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richData/rdrichvalue.xml" ContentType="application/vnd.ms-excel.rdrichvalu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8" yWindow="-108" windowWidth="22788" windowHeight="13176" tabRatio="868" firstSheet="60" activeTab="60"/>
  </bookViews>
  <sheets>
    <sheet name="KT-XH GĐ" sheetId="11" state="hidden" r:id="rId1"/>
    <sheet name="KT-XH NAM" sheetId="12" state="hidden" r:id="rId2"/>
    <sheet name="Phụ lục số I" sheetId="1" state="hidden" r:id="rId3"/>
    <sheet name="Phụ lục số II" sheetId="4" state="hidden" r:id="rId4"/>
    <sheet name="Phụ lục số III-CĐC" sheetId="7" state="hidden" r:id="rId5"/>
    <sheet name="Phụ lục số III-CĐC(-BS)" sheetId="6" state="hidden" r:id="rId6"/>
    <sheet name="Phụ lục số IV" sheetId="22" state="hidden" r:id="rId7"/>
    <sheet name="Phụ lục số IVa" sheetId="23" state="hidden" r:id="rId8"/>
    <sheet name="Phụ lục số IVb" sheetId="24" state="hidden" r:id="rId9"/>
    <sheet name="Phụ lục số IVd" sheetId="25" state="hidden" r:id="rId10"/>
    <sheet name="Phụ lục số IVk" sheetId="27" state="hidden" r:id="rId11"/>
    <sheet name="Phụ lục số IVL" sheetId="26" state="hidden" r:id="rId12"/>
    <sheet name="Phụ lục số IVm" sheetId="28" state="hidden" r:id="rId13"/>
    <sheet name="Phụ lục số IVn" sheetId="29" state="hidden" r:id="rId14"/>
    <sheet name="Phụ lục số V-CCTL" sheetId="30" state="hidden" r:id="rId15"/>
    <sheet name="Phụ lục số VI-DPDTr" sheetId="8" state="hidden" r:id="rId16"/>
    <sheet name="Phụ lục số VII-Vaytrano" sheetId="40" state="hidden" r:id="rId17"/>
    <sheet name="Phụ lục VIII-QUYTC" sheetId="10" state="hidden" r:id="rId18"/>
    <sheet name="Phụ lục số IX" sheetId="36" state="hidden" r:id="rId19"/>
    <sheet name="Phụ lục số X" sheetId="37" state="hidden" r:id="rId20"/>
    <sheet name="Phụ lục số XI năm -CĐC" sheetId="38" state="hidden" r:id="rId21"/>
    <sheet name="Phụ lục số XI-CĐC(-BS)" sheetId="39" state="hidden" r:id="rId22"/>
    <sheet name="Phụ lục số XII" sheetId="42" state="hidden" r:id="rId23"/>
    <sheet name="Phụ lục số XIII" sheetId="20" state="hidden" r:id="rId24"/>
    <sheet name="BIỂU MẪU SỐ 03-RUT VON" sheetId="21" state="hidden" r:id="rId25"/>
    <sheet name="Biểu Nợ vay" sheetId="9" state="hidden" r:id="rId26"/>
    <sheet name="PL-Chithuongxuyen" sheetId="93" state="hidden" r:id="rId27"/>
    <sheet name="Biểu mẫu số 04" sheetId="143" state="hidden" r:id="rId28"/>
    <sheet name="Biểu mẫu số 05" sheetId="144" state="hidden" r:id="rId29"/>
    <sheet name="SosanhThuTW-ĐP" sheetId="94" state="hidden" r:id="rId30"/>
    <sheet name="SosanhTW-ĐP" sheetId="95" state="hidden" r:id="rId31"/>
    <sheet name="Thu 3n" sheetId="96" state="hidden" r:id="rId32"/>
    <sheet name="Chi 3n" sheetId="97" state="hidden" r:id="rId33"/>
    <sheet name="CĐ3n" sheetId="98" state="hidden" r:id="rId34"/>
    <sheet name="CĐDP3nBS" sheetId="100" state="hidden" r:id="rId35"/>
    <sheet name="CĐĐP3n-BS" sheetId="99" state="hidden" r:id="rId36"/>
    <sheet name="PL-BSMTTW" sheetId="91" state="hidden" r:id="rId37"/>
    <sheet name="Phụ luc 1.1" sheetId="86" state="hidden" r:id="rId38"/>
    <sheet name="Phụ lục 2.1" sheetId="87" state="hidden" r:id="rId39"/>
    <sheet name="PLThu 21-25" sheetId="88" state="hidden" r:id="rId40"/>
    <sheet name="PLChi 21-25" sheetId="89" state="hidden" r:id="rId41"/>
    <sheet name="PLCĐ 21-25" sheetId="90" state="hidden" r:id="rId42"/>
    <sheet name="Biểu số 1" sheetId="3" state="hidden" r:id="rId43"/>
    <sheet name="Biểu số 2" sheetId="5" state="hidden" r:id="rId44"/>
    <sheet name="Biểu số 3" sheetId="16" state="hidden" r:id="rId45"/>
    <sheet name="Biểu số 1 (2)" sheetId="41" state="hidden" r:id="rId46"/>
    <sheet name="Biểu số 4-ĐTC 21-25" sheetId="92" state="hidden" r:id="rId47"/>
    <sheet name="Biểu số 4.1-ĐTC 2026-2030" sheetId="19" state="hidden" r:id="rId48"/>
    <sheet name="PL so sanh ĐM" sheetId="145" state="hidden" r:id="rId49"/>
    <sheet name="PL xác định lại ĐM" sheetId="146" state="hidden" r:id="rId50"/>
    <sheet name="PL xác định lại ĐM-TW" sheetId="147" state="hidden" r:id="rId51"/>
    <sheet name="Biểu KH05 năm" sheetId="148" state="hidden" r:id="rId52"/>
    <sheet name="Danh mục file" sheetId="111" state="hidden" r:id="rId53"/>
    <sheet name="Biểu 39-CK-NSNN" sheetId="119" state="hidden" r:id="rId54"/>
    <sheet name="Phụ lục thu 3 nam" sheetId="150" state="hidden" r:id="rId55"/>
    <sheet name="Phụ lục chi 3 nam" sheetId="151" state="hidden" r:id="rId56"/>
    <sheet name="Phụ lục CĐ 3 nam" sheetId="154" state="hidden" r:id="rId57"/>
    <sheet name="Phụ lục-CĐC-3 nam" sheetId="152" state="hidden" r:id="rId58"/>
    <sheet name="Phụ lục -CĐC(-BS)-3 nam" sheetId="153" state="hidden" r:id="rId59"/>
    <sheet name="Biểu 45-CK-NSNN" sheetId="124" state="hidden" r:id="rId60"/>
    <sheet name="Biểu 46-CK-NSNN" sheetId="169" r:id="rId61"/>
    <sheet name="Biểu 52-CK-NSNN" sheetId="132" state="hidden" r:id="rId62"/>
    <sheet name="Phụ lục số 1" sheetId="43" state="hidden" r:id="rId63"/>
    <sheet name="Phụ lục số 2" sheetId="44" state="hidden" r:id="rId64"/>
    <sheet name="Phụ lục số 3-CĐC" sheetId="45" state="hidden" r:id="rId65"/>
    <sheet name="Phụ lục số 3-CĐC(-BS)" sheetId="46" state="hidden" r:id="rId66"/>
    <sheet name="Phụ lục 1-CKNS" sheetId="158" state="hidden" r:id="rId67"/>
    <sheet name="Phụ lục 2-CKNS" sheetId="159" state="hidden" r:id="rId68"/>
    <sheet name="Phụ lục 3-CKNS" sheetId="160" state="hidden" r:id="rId69"/>
    <sheet name="Phụ lục 4-CKNS" sheetId="161" state="hidden" r:id="rId70"/>
    <sheet name="Phụ lục 5-CKNS" sheetId="162" state="hidden" r:id="rId71"/>
    <sheet name="Phụ lục 6-CKNS" sheetId="163" state="hidden" r:id="rId72"/>
    <sheet name="Phụ lục 7-CKNS" sheetId="164" state="hidden" r:id="rId73"/>
    <sheet name="Phụ lục 8-CKNS" sheetId="108" state="hidden" r:id="rId74"/>
    <sheet name="Phụ lục 9-CKNS" sheetId="109" state="hidden" r:id="rId75"/>
    <sheet name="Phụ lục 10-CKNS" sheetId="110" state="hidden" r:id="rId76"/>
    <sheet name="Phụ lục số 3.1-Phân bổ" sheetId="55" state="hidden" r:id="rId77"/>
    <sheet name="Phụ lục số 4" sheetId="65" state="hidden" r:id="rId78"/>
    <sheet name="Phụ lục số 5" sheetId="13" state="hidden" r:id="rId79"/>
    <sheet name="Phụ lục số 6" sheetId="53" state="hidden" r:id="rId80"/>
    <sheet name="Phụ lục số 7" sheetId="14" state="hidden" r:id="rId81"/>
    <sheet name="Phụ lục số 7.1" sheetId="47" state="hidden" r:id="rId82"/>
    <sheet name="Phụ lục số 7.2 - đất - thuê đất" sheetId="52" state="hidden" r:id="rId83"/>
    <sheet name="Phụ lục số 8" sheetId="15" state="hidden" r:id="rId84"/>
    <sheet name="Phụ lục số 8.1" sheetId="48" state="hidden" r:id="rId85"/>
    <sheet name="Phụ lục số 8.2-CCTL" sheetId="50" state="hidden" r:id="rId86"/>
    <sheet name="Phụ lục số 8.3-CĐCS" sheetId="51" state="hidden" r:id="rId87"/>
    <sheet name="Phụ lục số 8.4-10%TK" sheetId="71" state="hidden" r:id="rId88"/>
    <sheet name="Phụ lục số 9" sheetId="17" state="hidden" r:id="rId89"/>
    <sheet name="Phụ lục số 10" sheetId="138" state="hidden" r:id="rId90"/>
    <sheet name="Phụ lục số 9.1" sheetId="49" state="hidden" r:id="rId91"/>
    <sheet name="PHỤ LỤC 1 TRÌNH " sheetId="31" state="hidden" r:id="rId92"/>
    <sheet name="PHỤ LỤC 2 TRÌNH" sheetId="33" state="hidden" r:id="rId93"/>
    <sheet name="PHỤ LỤC 3 - CĐC TRINH" sheetId="34" state="hidden" r:id="rId94"/>
    <sheet name="PHỤ LỤC 3-CĐC(-BS) TRINH" sheetId="35" state="hidden" r:id="rId95"/>
    <sheet name="Phụ lục thu-6T" sheetId="139" state="hidden" r:id="rId96"/>
    <sheet name="Phụ lục chi-6T" sheetId="140" state="hidden" r:id="rId97"/>
    <sheet name="Phụ lục CĐC-6T" sheetId="141" state="hidden" r:id="rId98"/>
    <sheet name="Phụ lục CĐC-6T-BS" sheetId="142" state="hidden" r:id="rId99"/>
    <sheet name="Phụ lục 1-HĐND" sheetId="54" state="hidden" r:id="rId100"/>
    <sheet name="Sheet1" sheetId="155" state="hidden" r:id="rId101"/>
    <sheet name="Phụ lục 2-HĐND" sheetId="57" state="hidden" r:id="rId102"/>
    <sheet name="Phụ lục 3-HĐND" sheetId="58" state="hidden" r:id="rId103"/>
    <sheet name="Phụ lục 4-HĐND" sheetId="149" state="hidden" r:id="rId104"/>
    <sheet name="Phụ lục 5-HĐND" sheetId="60" state="hidden" r:id="rId105"/>
    <sheet name="Phụ lục 6-HĐND" sheetId="61" state="hidden" r:id="rId106"/>
    <sheet name="Phụ lục 7-HĐND" sheetId="62" state="hidden" r:id="rId107"/>
    <sheet name="Phụ lục 8-HĐND" sheetId="63" state="hidden" r:id="rId108"/>
    <sheet name="Phụ lục 9-HĐND" sheetId="64" state="hidden" r:id="rId109"/>
    <sheet name="Phụ lục 10-HĐND" sheetId="112" state="hidden" r:id="rId110"/>
    <sheet name="TỔNG CỘNG" sheetId="72" state="hidden" r:id="rId111"/>
    <sheet name="H. HỒNG NGỰ" sheetId="73" state="hidden" r:id="rId112"/>
    <sheet name="TP.  HỒNG NGỰ" sheetId="74" state="hidden" r:id="rId113"/>
    <sheet name="H. TÂN HỒNG" sheetId="75" state="hidden" r:id="rId114"/>
    <sheet name="H. TAM NÔNG" sheetId="76" state="hidden" r:id="rId115"/>
    <sheet name="H. THANH BÌNH" sheetId="77" state="hidden" r:id="rId116"/>
    <sheet name="TP. CAO LÃNH" sheetId="78" state="hidden" r:id="rId117"/>
    <sheet name="H. CAO LÃNH" sheetId="79" state="hidden" r:id="rId118"/>
    <sheet name="H. THÁP MƯỜI" sheetId="80" state="hidden" r:id="rId119"/>
    <sheet name="H. LẤP VÒ" sheetId="81" state="hidden" r:id="rId120"/>
    <sheet name="H. LAI VUNG" sheetId="82" state="hidden" r:id="rId121"/>
    <sheet name="TP. SA ĐÉC" sheetId="83" state="hidden" r:id="rId122"/>
    <sheet name="H. CHÂU THÀNH" sheetId="84" state="hidden" r:id="rId123"/>
    <sheet name="Phụ lục 1-KQPB" sheetId="66" state="hidden" r:id="rId124"/>
    <sheet name="Phụ lục 2-KQPB" sheetId="67" state="hidden" r:id="rId125"/>
    <sheet name="Phụ lục 3-KQPB" sheetId="68" state="hidden" r:id="rId126"/>
    <sheet name="Phụ lục 4-KQPB" sheetId="69" state="hidden" r:id="rId127"/>
    <sheet name="Phụ lục 5-KQPB" sheetId="70" state="hidden" r:id="rId128"/>
    <sheet name="Đề án ĐP" sheetId="18" state="hidden" r:id="rId129"/>
  </sheets>
  <externalReferences>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_xlnm.Print_Area" localSheetId="60">'Biểu 46-CK-NSNN'!$A$4:$C$63</definedName>
    <definedName name="_xlnm.Print_Area" localSheetId="24">'BIỂU MẪU SỐ 03-RUT VON'!$A$1:$J$16</definedName>
    <definedName name="_xlnm.Print_Area" localSheetId="42">'Biểu số 1'!$A$1:$BV$70</definedName>
    <definedName name="_xlnm.Print_Area" localSheetId="45">'Biểu số 1 (2)'!$A$1:$BV$72</definedName>
    <definedName name="_xlnm.Print_Area" localSheetId="43">'Biểu số 2'!$A$1:$BV$48</definedName>
    <definedName name="_xlnm.Print_Area" localSheetId="44">'Biểu số 3'!$A$1:$AE$33</definedName>
    <definedName name="_xlnm.Print_Area" localSheetId="46">'Biểu số 4-ĐTC 21-25'!$A$1:$T$35</definedName>
    <definedName name="_xlnm.Print_Area" localSheetId="0">'KT-XH GĐ'!$A$1:$K$94</definedName>
    <definedName name="_xlnm.Print_Area" localSheetId="91">'PHỤ LỤC 1 TRÌNH '!$A$1:$V$34</definedName>
    <definedName name="_xlnm.Print_Area" localSheetId="109">'Phụ lục 10-HĐND'!$A$1:$K$20</definedName>
    <definedName name="_xlnm.Print_Area" localSheetId="66">'Phụ lục 1-CKNS'!$A$4:$C$64</definedName>
    <definedName name="_xlnm.Print_Area" localSheetId="99">'Phụ lục 1-HĐND'!$A$4:$C$64</definedName>
    <definedName name="_xlnm.Print_Area" localSheetId="67">'Phụ lục 2-CKNS'!$A$4:$C$40</definedName>
    <definedName name="_xlnm.Print_Area" localSheetId="101">'Phụ lục 2-HĐND'!$A$4:$C$40</definedName>
    <definedName name="_xlnm.Print_Area" localSheetId="94">'PHỤ LỤC 3-CĐC(-BS) TRINH'!$A$1:$K$65</definedName>
    <definedName name="_xlnm.Print_Area" localSheetId="68">'Phụ lục 3-CKNS'!$A$4:$E$56</definedName>
    <definedName name="_xlnm.Print_Area" localSheetId="102">'Phụ lục 3-HĐND'!$A$4:$E$56</definedName>
    <definedName name="_xlnm.Print_Area" localSheetId="69">'Phụ lục 4-CKNS'!$A$3:$C$71</definedName>
    <definedName name="_xlnm.Print_Area" localSheetId="103">'Phụ lục 4-HĐND'!$A$3:$C$71</definedName>
    <definedName name="_xlnm.Print_Area" localSheetId="70">'Phụ lục 5-CKNS'!$A$1:$AN$127</definedName>
    <definedName name="_xlnm.Print_Area" localSheetId="104">'Phụ lục 5-HĐND'!$A$1:$AN$127</definedName>
    <definedName name="_xlnm.Print_Area" localSheetId="71">'Phụ lục 6-CKNS'!$A$1:$E$38</definedName>
    <definedName name="_xlnm.Print_Area" localSheetId="105">'Phụ lục 6-HĐND'!$A$1:$E$38</definedName>
    <definedName name="_xlnm.Print_Area" localSheetId="72">'Phụ lục 7-CKNS'!$A$1:$V$22</definedName>
    <definedName name="_xlnm.Print_Area" localSheetId="106">'Phụ lục 7-HĐND'!$A$1:$AO$41</definedName>
    <definedName name="_xlnm.Print_Area" localSheetId="107">'Phụ lục 8-HĐND'!$A$1:$O$22</definedName>
    <definedName name="_xlnm.Print_Area" localSheetId="108">'Phụ lục 9-HĐND'!$A$1:$V$22</definedName>
    <definedName name="_xlnm.Print_Area" localSheetId="56">'Phụ lục CĐ 3 nam'!$A$1:$H$68</definedName>
    <definedName name="_xlnm.Print_Area" localSheetId="58">'Phụ lục -CĐC(-BS)-3 nam'!$A$1:$T$73</definedName>
    <definedName name="_xlnm.Print_Area" localSheetId="55">'Phụ lục chi 3 nam'!$A$1:$AA$54</definedName>
    <definedName name="_xlnm.Print_Area" localSheetId="62">'Phụ lục số 1'!$A$1:$V$73</definedName>
    <definedName name="_xlnm.Print_Area" localSheetId="89">'Phụ lục số 10'!$A$1:$K$20</definedName>
    <definedName name="_xlnm.Print_Area" localSheetId="63">'Phụ lục số 2'!$A$1:$Q$53</definedName>
    <definedName name="_xlnm.Print_Area" localSheetId="64">'Phụ lục số 3-CĐC'!$A$1:$K$71</definedName>
    <definedName name="_xlnm.Print_Area" localSheetId="65">'Phụ lục số 3-CĐC(-BS)'!$A$1:$K$73</definedName>
    <definedName name="_xlnm.Print_Area" localSheetId="77">'Phụ lục số 4'!$A$3:$C$71</definedName>
    <definedName name="_xlnm.Print_Area" localSheetId="78">'Phụ lục số 5'!$A$1:$AN$127</definedName>
    <definedName name="_xlnm.Print_Area" localSheetId="79">'Phụ lục số 6'!$A$1:$E$44</definedName>
    <definedName name="_xlnm.Print_Area" localSheetId="80">'Phụ lục số 7'!$A$1:$AO$41</definedName>
    <definedName name="_xlnm.Print_Area" localSheetId="81">'Phụ lục số 7.1'!$A$1:$FB$45</definedName>
    <definedName name="_xlnm.Print_Area" localSheetId="83">'Phụ lục số 8'!$A$1:$O$21</definedName>
    <definedName name="_xlnm.Print_Area" localSheetId="84">'Phụ lục số 8.1'!$A$1:$DB$35</definedName>
    <definedName name="_xlnm.Print_Area" localSheetId="85">'Phụ lục số 8.2-CCTL'!$A$1:$P$44</definedName>
    <definedName name="_xlnm.Print_Area" localSheetId="86">'Phụ lục số 8.3-CĐCS'!$A$1:$GB$23</definedName>
    <definedName name="_xlnm.Print_Area" localSheetId="88">'Phụ lục số 9'!$A$1:$V$22</definedName>
    <definedName name="_xlnm.Print_Area" localSheetId="2">'Phụ lục số I'!$A$1:$V$70</definedName>
    <definedName name="_xlnm.Print_Area" localSheetId="3">'Phụ lục số II'!$A$1:$Q$48</definedName>
    <definedName name="_xlnm.Print_Area" localSheetId="4">'Phụ lục số III-CĐC'!$A$1:$K$63</definedName>
    <definedName name="_xlnm.Print_Area" localSheetId="5">'Phụ lục số III-CĐC(-BS)'!$A$1:$K$64</definedName>
    <definedName name="_xlnm.Print_Area" localSheetId="6">'Phụ lục số IV'!$A$2:$AG$78</definedName>
    <definedName name="_xlnm.Print_Area" localSheetId="7">'Phụ lục số IVa'!$A$1:$P$91</definedName>
    <definedName name="_xlnm.Print_Area" localSheetId="8">'Phụ lục số IVb'!$A$1:$AD$27</definedName>
    <definedName name="_xlnm.Print_Area" localSheetId="10">'Phụ lục số IVk'!$A$1:$N$32</definedName>
    <definedName name="_xlnm.Print_Area" localSheetId="11">'Phụ lục số IVL'!$A$1:$U$83</definedName>
    <definedName name="_xlnm.Print_Area" localSheetId="12">'Phụ lục số IVm'!$A$1:$AF$24</definedName>
    <definedName name="_xlnm.Print_Area" localSheetId="13">'Phụ lục số IVn'!$A$1:$O$17</definedName>
    <definedName name="_xlnm.Print_Area" localSheetId="18">'Phụ lục số IX'!$A$1:$AN$70</definedName>
    <definedName name="_xlnm.Print_Area" localSheetId="14">'Phụ lục số V-CCTL'!$A$1:$D$38</definedName>
    <definedName name="_xlnm.Print_Area" localSheetId="19">'Phụ lục số X'!$A$1:$AU$47</definedName>
    <definedName name="_xlnm.Print_Area" localSheetId="20">'Phụ lục số XI năm -CĐC'!$A$1:$T$63</definedName>
    <definedName name="_xlnm.Print_Area" localSheetId="21">'Phụ lục số XI-CĐC(-BS)'!$A$1:$T$64</definedName>
    <definedName name="_xlnm.Print_Area" localSheetId="23">'Phụ lục số XIII'!$A$1:$K$94</definedName>
    <definedName name="_xlnm.Print_Area" localSheetId="54">'Phụ lục thu 3 nam'!$A$1:$AH$73</definedName>
    <definedName name="_xlnm.Print_Area" localSheetId="57">'Phụ lục-CĐC-3 nam'!$A$1:$T$72</definedName>
    <definedName name="_xlnm.Print_Area" localSheetId="110">'TỔNG CỘNG'!$A$1:$C$142</definedName>
    <definedName name="_xlnm.Print_Titles" localSheetId="60">'Biểu 46-CK-NSNN'!$4:$7</definedName>
    <definedName name="_xlnm.Print_Titles" localSheetId="25">'Biểu Nợ vay'!$A:$B,'Biểu Nợ vay'!$6:$7</definedName>
    <definedName name="_xlnm.Print_Titles" localSheetId="42">'Biểu số 1'!$A:$B,'Biểu số 1'!$1:$9</definedName>
    <definedName name="_xlnm.Print_Titles" localSheetId="45">'Biểu số 1 (2)'!$A:$B,'Biểu số 1 (2)'!$1:$9</definedName>
    <definedName name="_xlnm.Print_Titles" localSheetId="43">'Biểu số 2'!$A:$B,'Biểu số 2'!$1:$8</definedName>
    <definedName name="_xlnm.Print_Titles" localSheetId="44">'Biểu số 3'!$A:$B,'Biểu số 3'!$1:$7</definedName>
    <definedName name="_xlnm.Print_Titles" localSheetId="0">'KT-XH GĐ'!$A:$B,'KT-XH GĐ'!$1:$4</definedName>
    <definedName name="_xlnm.Print_Titles" localSheetId="66">'Phụ lục 1-CKNS'!$4:$8</definedName>
    <definedName name="_xlnm.Print_Titles" localSheetId="99">'Phụ lục 1-HĐND'!$4:$8</definedName>
    <definedName name="_xlnm.Print_Titles" localSheetId="68">'Phụ lục 3-CKNS'!$4:$10</definedName>
    <definedName name="_xlnm.Print_Titles" localSheetId="102">'Phụ lục 3-HĐND'!$4:$10</definedName>
    <definedName name="_xlnm.Print_Titles" localSheetId="125">'Phụ lục 3-KQPB'!$8:$10</definedName>
    <definedName name="_xlnm.Print_Titles" localSheetId="70">'Phụ lục 5-CKNS'!$5:$9</definedName>
    <definedName name="_xlnm.Print_Titles" localSheetId="104">'Phụ lục 5-HĐND'!$5:$9</definedName>
    <definedName name="_xlnm.Print_Titles" localSheetId="106">'Phụ lục 7-HĐND'!$A:$B,'Phụ lục 7-HĐND'!$1:$6</definedName>
    <definedName name="_xlnm.Print_Titles" localSheetId="58">'Phụ lục -CĐC(-BS)-3 nam'!$A:$B,'Phụ lục -CĐC(-BS)-3 nam'!$1:$7</definedName>
    <definedName name="_xlnm.Print_Titles" localSheetId="55">'Phụ lục chi 3 nam'!$A:$B,'Phụ lục chi 3 nam'!$6:$8</definedName>
    <definedName name="_xlnm.Print_Titles" localSheetId="62">'Phụ lục số 1'!$A:$B,'Phụ lục số 1'!$1:$9</definedName>
    <definedName name="_xlnm.Print_Titles" localSheetId="64">'Phụ lục số 3-CĐC'!$A:$B,'Phụ lục số 3-CĐC'!$1:$7</definedName>
    <definedName name="_xlnm.Print_Titles" localSheetId="65">'Phụ lục số 3-CĐC(-BS)'!$A:$B,'Phụ lục số 3-CĐC(-BS)'!$1:$7</definedName>
    <definedName name="_xlnm.Print_Titles" localSheetId="78">'Phụ lục số 5'!$5:$9</definedName>
    <definedName name="_xlnm.Print_Titles" localSheetId="80">'Phụ lục số 7'!$A:$B,'Phụ lục số 7'!$1:$6</definedName>
    <definedName name="_xlnm.Print_Titles" localSheetId="81">'Phụ lục số 7.1'!$A:$B,'Phụ lục số 7.1'!$1:$8</definedName>
    <definedName name="_xlnm.Print_Titles" localSheetId="84">'Phụ lục số 8.1'!$A:$B,'Phụ lục số 8.1'!$1:$7</definedName>
    <definedName name="_xlnm.Print_Titles" localSheetId="86">'Phụ lục số 8.3-CĐCS'!$A:$B,'Phụ lục số 8.3-CĐCS'!$1:$9</definedName>
    <definedName name="_xlnm.Print_Titles" localSheetId="2">'Phụ lục số I'!$A:$B,'Phụ lục số I'!$1:$9</definedName>
    <definedName name="_xlnm.Print_Titles" localSheetId="4">'Phụ lục số III-CĐC'!$A:$B,'Phụ lục số III-CĐC'!$1:$7</definedName>
    <definedName name="_xlnm.Print_Titles" localSheetId="5">'Phụ lục số III-CĐC(-BS)'!$A:$B,'Phụ lục số III-CĐC(-BS)'!$1:$7</definedName>
    <definedName name="_xlnm.Print_Titles" localSheetId="6">'Phụ lục số IV'!$A:$B,'Phụ lục số IV'!$1:$8</definedName>
    <definedName name="_xlnm.Print_Titles" localSheetId="7">'Phụ lục số IVa'!$1:$10</definedName>
    <definedName name="_xlnm.Print_Titles" localSheetId="8">'Phụ lục số IVb'!$A:$B,'Phụ lục số IVb'!$6:$9</definedName>
    <definedName name="_xlnm.Print_Titles" localSheetId="11">'Phụ lục số IVL'!$5:$10</definedName>
    <definedName name="_xlnm.Print_Titles" localSheetId="18">'Phụ lục số IX'!$A:$B,'Phụ lục số IX'!$1:$9</definedName>
    <definedName name="_xlnm.Print_Titles" localSheetId="15">'Phụ lục số VI-DPDTr'!$A:$B,'Phụ lục số VI-DPDTr'!$1:$5</definedName>
    <definedName name="_xlnm.Print_Titles" localSheetId="16">'Phụ lục số VII-Vaytrano'!$A:$B,'Phụ lục số VII-Vaytrano'!$5:$6</definedName>
    <definedName name="_xlnm.Print_Titles" localSheetId="19">'Phụ lục số X'!$A:$B,'Phụ lục số X'!$6:$8</definedName>
    <definedName name="_xlnm.Print_Titles" localSheetId="20">'Phụ lục số XI năm -CĐC'!$A:$B,'Phụ lục số XI năm -CĐC'!$1:$7</definedName>
    <definedName name="_xlnm.Print_Titles" localSheetId="21">'Phụ lục số XI-CĐC(-BS)'!$A:$B,'Phụ lục số XI-CĐC(-BS)'!$1:$7</definedName>
    <definedName name="_xlnm.Print_Titles" localSheetId="23">'Phụ lục số XIII'!$A:$B,'Phụ lục số XIII'!$1:$4</definedName>
    <definedName name="_xlnm.Print_Titles" localSheetId="54">'Phụ lục thu 3 nam'!$A:$B,'Phụ lục thu 3 nam'!$1:$9</definedName>
    <definedName name="_xlnm.Print_Titles" localSheetId="57">'Phụ lục-CĐC-3 nam'!$A:$B,'Phụ lục-CĐC-3 nam'!$1:$7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69" i="13" l="1"/>
  <c r="C63" i="169"/>
  <c r="B36" i="169"/>
  <c r="B35" i="169"/>
  <c r="B34" i="169"/>
  <c r="C33" i="169"/>
  <c r="B33" i="169"/>
  <c r="B32" i="169"/>
  <c r="B31" i="169"/>
  <c r="B30" i="169"/>
  <c r="F29" i="169"/>
  <c r="B29" i="169"/>
  <c r="B28" i="169"/>
  <c r="C27" i="110"/>
  <c r="E13" i="110"/>
  <c r="E12" i="110"/>
  <c r="E38" i="163"/>
  <c r="C38" i="163" s="1"/>
  <c r="B38" i="163"/>
  <c r="E37" i="163"/>
  <c r="C37" i="163"/>
  <c r="B37" i="163"/>
  <c r="E36" i="163"/>
  <c r="C36" i="163"/>
  <c r="B36" i="163"/>
  <c r="E35" i="163"/>
  <c r="C35" i="163" s="1"/>
  <c r="B35" i="163"/>
  <c r="E34" i="163"/>
  <c r="C34" i="163" s="1"/>
  <c r="B34" i="163"/>
  <c r="E33" i="163"/>
  <c r="C33" i="163" s="1"/>
  <c r="B33" i="163"/>
  <c r="E32" i="163"/>
  <c r="C32" i="163" s="1"/>
  <c r="B32" i="163"/>
  <c r="E31" i="163"/>
  <c r="C31" i="163" s="1"/>
  <c r="B31" i="163"/>
  <c r="E30" i="163"/>
  <c r="C30" i="163"/>
  <c r="B30" i="163"/>
  <c r="A30" i="163"/>
  <c r="D29" i="163"/>
  <c r="B29" i="163"/>
  <c r="E27" i="163"/>
  <c r="C27" i="163"/>
  <c r="B27" i="163"/>
  <c r="A27" i="163"/>
  <c r="E26" i="163"/>
  <c r="E19" i="163" s="1"/>
  <c r="D26" i="163"/>
  <c r="C26" i="163" s="1"/>
  <c r="B26" i="163"/>
  <c r="A26" i="163"/>
  <c r="D25" i="163"/>
  <c r="C25" i="163" s="1"/>
  <c r="B25" i="163"/>
  <c r="A25" i="163"/>
  <c r="D24" i="163"/>
  <c r="C24" i="163" s="1"/>
  <c r="B24" i="163"/>
  <c r="A24" i="163"/>
  <c r="D23" i="163"/>
  <c r="C23" i="163" s="1"/>
  <c r="B23" i="163"/>
  <c r="A23" i="163"/>
  <c r="D22" i="163"/>
  <c r="C22" i="163" s="1"/>
  <c r="B22" i="163"/>
  <c r="A22" i="163"/>
  <c r="D21" i="163"/>
  <c r="C21" i="163" s="1"/>
  <c r="B21" i="163"/>
  <c r="A21" i="163"/>
  <c r="B20" i="163"/>
  <c r="A20" i="163"/>
  <c r="B19" i="163"/>
  <c r="A19" i="163"/>
  <c r="D18" i="163"/>
  <c r="C18" i="163"/>
  <c r="B18" i="163"/>
  <c r="A18" i="163"/>
  <c r="E17" i="163"/>
  <c r="D17" i="163"/>
  <c r="C17" i="163"/>
  <c r="B17" i="163"/>
  <c r="A17" i="163"/>
  <c r="E16" i="163"/>
  <c r="D16" i="163"/>
  <c r="B16" i="163"/>
  <c r="E15" i="163"/>
  <c r="E13" i="163" s="1"/>
  <c r="D15" i="163"/>
  <c r="B15" i="163"/>
  <c r="A15" i="163"/>
  <c r="B14" i="163"/>
  <c r="B13" i="163"/>
  <c r="A13" i="163"/>
  <c r="B12" i="163"/>
  <c r="A12" i="163"/>
  <c r="C11" i="163"/>
  <c r="B11" i="163"/>
  <c r="B10" i="163"/>
  <c r="E9" i="163"/>
  <c r="C9" i="163" s="1"/>
  <c r="B9" i="163"/>
  <c r="A9" i="163"/>
  <c r="B8" i="163"/>
  <c r="A8" i="163"/>
  <c r="B7" i="163"/>
  <c r="A1" i="163"/>
  <c r="AG127" i="162"/>
  <c r="AF127" i="162"/>
  <c r="AE127" i="162"/>
  <c r="AD127" i="162"/>
  <c r="D127" i="162"/>
  <c r="AN126" i="162"/>
  <c r="B126" i="162"/>
  <c r="AG125" i="162"/>
  <c r="AF125" i="162"/>
  <c r="AE125" i="162"/>
  <c r="AD125" i="162"/>
  <c r="B125" i="162"/>
  <c r="AH124" i="162"/>
  <c r="AG124" i="162"/>
  <c r="AF124" i="162"/>
  <c r="AE124" i="162"/>
  <c r="AD124" i="162"/>
  <c r="D124" i="162"/>
  <c r="AG123" i="162"/>
  <c r="AF123" i="162"/>
  <c r="AE123" i="162"/>
  <c r="AD123" i="162"/>
  <c r="D123" i="162"/>
  <c r="AG122" i="162"/>
  <c r="AF122" i="162"/>
  <c r="AE122" i="162"/>
  <c r="AD122" i="162"/>
  <c r="D122" i="162"/>
  <c r="AH121" i="162"/>
  <c r="AG121" i="162"/>
  <c r="AE121" i="162"/>
  <c r="AD121" i="162"/>
  <c r="K121" i="162"/>
  <c r="D121" i="162" s="1"/>
  <c r="AJ120" i="162"/>
  <c r="AI120" i="162"/>
  <c r="AH120" i="162" s="1"/>
  <c r="AG120" i="162"/>
  <c r="AF120" i="162"/>
  <c r="AD120" i="162"/>
  <c r="AC120" i="162"/>
  <c r="AB120" i="162"/>
  <c r="AA120" i="162"/>
  <c r="Z120" i="162"/>
  <c r="Y120" i="162"/>
  <c r="X120" i="162"/>
  <c r="W120" i="162"/>
  <c r="V120" i="162"/>
  <c r="U120" i="162"/>
  <c r="T120" i="162"/>
  <c r="S120" i="162"/>
  <c r="R120" i="162"/>
  <c r="P120" i="162" s="1"/>
  <c r="Q120" i="162"/>
  <c r="O120" i="162"/>
  <c r="K120" i="162"/>
  <c r="H120" i="162"/>
  <c r="F120" i="162"/>
  <c r="E120" i="162"/>
  <c r="AH119" i="162"/>
  <c r="AG119" i="162"/>
  <c r="AF119" i="162"/>
  <c r="AE119" i="162"/>
  <c r="D119" i="162"/>
  <c r="AH118" i="162"/>
  <c r="AG118" i="162"/>
  <c r="AF118" i="162"/>
  <c r="AE118" i="162"/>
  <c r="AD118" i="162"/>
  <c r="E118" i="162"/>
  <c r="AH117" i="162"/>
  <c r="D117" i="162"/>
  <c r="C117" i="162" s="1"/>
  <c r="AH115" i="162"/>
  <c r="AH114" i="162"/>
  <c r="AH113" i="162"/>
  <c r="AG113" i="162"/>
  <c r="AF113" i="162"/>
  <c r="AE113" i="162"/>
  <c r="AD113" i="162"/>
  <c r="AC113" i="162"/>
  <c r="AB113" i="162"/>
  <c r="AA113" i="162"/>
  <c r="Z113" i="162"/>
  <c r="Y113" i="162"/>
  <c r="X113" i="162"/>
  <c r="W113" i="162"/>
  <c r="V113" i="162"/>
  <c r="U113" i="162"/>
  <c r="T113" i="162"/>
  <c r="R113" i="162"/>
  <c r="Q113" i="162"/>
  <c r="D113" i="162"/>
  <c r="AH112" i="162"/>
  <c r="AG112" i="162"/>
  <c r="AF112" i="162"/>
  <c r="AE112" i="162"/>
  <c r="AD112" i="162"/>
  <c r="AB112" i="162"/>
  <c r="AA112" i="162"/>
  <c r="Z112" i="162"/>
  <c r="Y112" i="162"/>
  <c r="X112" i="162"/>
  <c r="W112" i="162"/>
  <c r="V112" i="162"/>
  <c r="U112" i="162"/>
  <c r="T112" i="162"/>
  <c r="S112" i="162"/>
  <c r="R112" i="162"/>
  <c r="Q112" i="162"/>
  <c r="D112" i="162"/>
  <c r="B112" i="162"/>
  <c r="AH111" i="162"/>
  <c r="D111" i="162"/>
  <c r="AJ110" i="162"/>
  <c r="AH110" i="162"/>
  <c r="AG110" i="162"/>
  <c r="AF110" i="162"/>
  <c r="AE110" i="162"/>
  <c r="AD110" i="162"/>
  <c r="AC110" i="162"/>
  <c r="AA110" i="162"/>
  <c r="Z110" i="162"/>
  <c r="Y110" i="162"/>
  <c r="X110" i="162"/>
  <c r="W110" i="162"/>
  <c r="V110" i="162"/>
  <c r="U110" i="162"/>
  <c r="T110" i="162"/>
  <c r="S110" i="162"/>
  <c r="R110" i="162"/>
  <c r="Q110" i="162"/>
  <c r="D110" i="162"/>
  <c r="B110" i="162"/>
  <c r="AG109" i="162"/>
  <c r="AF109" i="162"/>
  <c r="AF108" i="162" s="1"/>
  <c r="AE109" i="162"/>
  <c r="AD109" i="162"/>
  <c r="AD108" i="162" s="1"/>
  <c r="AC109" i="162"/>
  <c r="AC108" i="162" s="1"/>
  <c r="AB109" i="162"/>
  <c r="AA109" i="162"/>
  <c r="Z109" i="162"/>
  <c r="Y109" i="162"/>
  <c r="X109" i="162"/>
  <c r="W109" i="162"/>
  <c r="V109" i="162"/>
  <c r="U109" i="162"/>
  <c r="T109" i="162"/>
  <c r="S109" i="162"/>
  <c r="R109" i="162"/>
  <c r="Q109" i="162"/>
  <c r="B109" i="162"/>
  <c r="AM108" i="162"/>
  <c r="AL108" i="162"/>
  <c r="AL80" i="162" s="1"/>
  <c r="AK108" i="162"/>
  <c r="AI108" i="162"/>
  <c r="AG107" i="162"/>
  <c r="AF107" i="162"/>
  <c r="AE107" i="162"/>
  <c r="AD107" i="162"/>
  <c r="AC107" i="162"/>
  <c r="AB107" i="162"/>
  <c r="Z107" i="162"/>
  <c r="Y107" i="162"/>
  <c r="X107" i="162"/>
  <c r="W107" i="162"/>
  <c r="V107" i="162"/>
  <c r="U107" i="162"/>
  <c r="T107" i="162"/>
  <c r="S107" i="162"/>
  <c r="R107" i="162"/>
  <c r="Q107" i="162"/>
  <c r="B107" i="162"/>
  <c r="AH106" i="162"/>
  <c r="D106" i="162"/>
  <c r="AG105" i="162"/>
  <c r="AF105" i="162"/>
  <c r="AE105" i="162"/>
  <c r="AD105" i="162"/>
  <c r="AC105" i="162"/>
  <c r="AB105" i="162"/>
  <c r="AA105" i="162"/>
  <c r="Y105" i="162"/>
  <c r="X105" i="162"/>
  <c r="W105" i="162"/>
  <c r="V105" i="162"/>
  <c r="U105" i="162"/>
  <c r="T105" i="162"/>
  <c r="S105" i="162"/>
  <c r="R105" i="162"/>
  <c r="Q105" i="162"/>
  <c r="B105" i="162"/>
  <c r="AJ104" i="162"/>
  <c r="AJ100" i="162" s="1"/>
  <c r="AH100" i="162" s="1"/>
  <c r="AG104" i="162"/>
  <c r="AF104" i="162"/>
  <c r="AE104" i="162"/>
  <c r="AD104" i="162"/>
  <c r="AC104" i="162"/>
  <c r="AB104" i="162"/>
  <c r="AA104" i="162"/>
  <c r="Y104" i="162"/>
  <c r="X104" i="162"/>
  <c r="W104" i="162"/>
  <c r="V104" i="162"/>
  <c r="U104" i="162"/>
  <c r="T104" i="162"/>
  <c r="S104" i="162"/>
  <c r="R104" i="162"/>
  <c r="Q104" i="162"/>
  <c r="O104" i="162"/>
  <c r="K104" i="162"/>
  <c r="H104" i="162"/>
  <c r="F104" i="162"/>
  <c r="E104" i="162"/>
  <c r="B104" i="162"/>
  <c r="A104" i="162"/>
  <c r="AG103" i="162"/>
  <c r="AF103" i="162"/>
  <c r="AE103" i="162"/>
  <c r="AD103" i="162"/>
  <c r="AC103" i="162"/>
  <c r="AB103" i="162"/>
  <c r="AA103" i="162"/>
  <c r="Y103" i="162"/>
  <c r="X103" i="162"/>
  <c r="W103" i="162"/>
  <c r="V103" i="162"/>
  <c r="U103" i="162"/>
  <c r="T103" i="162"/>
  <c r="S103" i="162"/>
  <c r="R103" i="162"/>
  <c r="Q103" i="162"/>
  <c r="O103" i="162"/>
  <c r="K103" i="162"/>
  <c r="H103" i="162"/>
  <c r="F103" i="162"/>
  <c r="E103" i="162"/>
  <c r="B103" i="162"/>
  <c r="A103" i="162"/>
  <c r="AG102" i="162"/>
  <c r="AF102" i="162"/>
  <c r="AE102" i="162"/>
  <c r="AD102" i="162"/>
  <c r="AC102" i="162"/>
  <c r="AB102" i="162"/>
  <c r="AA102" i="162"/>
  <c r="Y102" i="162"/>
  <c r="X102" i="162"/>
  <c r="W102" i="162"/>
  <c r="V102" i="162"/>
  <c r="U102" i="162"/>
  <c r="T102" i="162"/>
  <c r="S102" i="162"/>
  <c r="R102" i="162"/>
  <c r="Q102" i="162"/>
  <c r="O102" i="162"/>
  <c r="K102" i="162"/>
  <c r="H102" i="162"/>
  <c r="F102" i="162"/>
  <c r="E102" i="162"/>
  <c r="B102" i="162"/>
  <c r="A102" i="162"/>
  <c r="AG101" i="162"/>
  <c r="AF101" i="162"/>
  <c r="AE101" i="162"/>
  <c r="AD101" i="162"/>
  <c r="AC101" i="162"/>
  <c r="AB101" i="162"/>
  <c r="AA101" i="162"/>
  <c r="Y101" i="162"/>
  <c r="X101" i="162"/>
  <c r="W101" i="162"/>
  <c r="V101" i="162"/>
  <c r="U101" i="162"/>
  <c r="T101" i="162"/>
  <c r="S101" i="162"/>
  <c r="R101" i="162"/>
  <c r="Q101" i="162"/>
  <c r="O101" i="162"/>
  <c r="K101" i="162"/>
  <c r="H101" i="162"/>
  <c r="F101" i="162"/>
  <c r="E101" i="162"/>
  <c r="B101" i="162"/>
  <c r="A101" i="162"/>
  <c r="D100" i="162"/>
  <c r="AG99" i="162"/>
  <c r="AF99" i="162"/>
  <c r="AE99" i="162"/>
  <c r="AD99" i="162"/>
  <c r="AC99" i="162"/>
  <c r="AB99" i="162"/>
  <c r="AA99" i="162"/>
  <c r="Z99" i="162"/>
  <c r="X99" i="162"/>
  <c r="W99" i="162"/>
  <c r="V99" i="162"/>
  <c r="U99" i="162"/>
  <c r="T99" i="162"/>
  <c r="S99" i="162"/>
  <c r="R99" i="162"/>
  <c r="Q99" i="162"/>
  <c r="B99" i="162"/>
  <c r="B98" i="162"/>
  <c r="AG96" i="162"/>
  <c r="AF96" i="162"/>
  <c r="AE96" i="162"/>
  <c r="AD96" i="162"/>
  <c r="AC96" i="162"/>
  <c r="AB96" i="162"/>
  <c r="AA96" i="162"/>
  <c r="Z96" i="162"/>
  <c r="Y96" i="162"/>
  <c r="W96" i="162"/>
  <c r="V96" i="162"/>
  <c r="U96" i="162"/>
  <c r="T96" i="162"/>
  <c r="S96" i="162"/>
  <c r="R96" i="162"/>
  <c r="Q96" i="162"/>
  <c r="B96" i="162"/>
  <c r="AG94" i="162"/>
  <c r="AF94" i="162"/>
  <c r="AE94" i="162"/>
  <c r="AD94" i="162"/>
  <c r="AC94" i="162"/>
  <c r="AB94" i="162"/>
  <c r="AA94" i="162"/>
  <c r="Z94" i="162"/>
  <c r="Y94" i="162"/>
  <c r="X94" i="162"/>
  <c r="V94" i="162"/>
  <c r="U94" i="162"/>
  <c r="T94" i="162"/>
  <c r="S94" i="162"/>
  <c r="R94" i="162"/>
  <c r="Q94" i="162"/>
  <c r="B94" i="162"/>
  <c r="AG92" i="162"/>
  <c r="AF92" i="162"/>
  <c r="AE92" i="162"/>
  <c r="AD92" i="162"/>
  <c r="AC92" i="162"/>
  <c r="AB92" i="162"/>
  <c r="AA92" i="162"/>
  <c r="Z92" i="162"/>
  <c r="Y92" i="162"/>
  <c r="X92" i="162"/>
  <c r="W92" i="162"/>
  <c r="U92" i="162"/>
  <c r="T92" i="162"/>
  <c r="S92" i="162"/>
  <c r="R92" i="162"/>
  <c r="Q92" i="162"/>
  <c r="B92" i="162"/>
  <c r="AH90" i="162"/>
  <c r="AH89" i="162" s="1"/>
  <c r="AG90" i="162"/>
  <c r="AG89" i="162" s="1"/>
  <c r="AF90" i="162"/>
  <c r="AF89" i="162" s="1"/>
  <c r="AE90" i="162"/>
  <c r="AE89" i="162" s="1"/>
  <c r="AD90" i="162"/>
  <c r="AD89" i="162" s="1"/>
  <c r="AC90" i="162"/>
  <c r="AC89" i="162" s="1"/>
  <c r="AB90" i="162"/>
  <c r="AB89" i="162" s="1"/>
  <c r="AA90" i="162"/>
  <c r="AA89" i="162" s="1"/>
  <c r="Z90" i="162"/>
  <c r="Y90" i="162"/>
  <c r="Y89" i="162" s="1"/>
  <c r="X90" i="162"/>
  <c r="X89" i="162" s="1"/>
  <c r="W90" i="162"/>
  <c r="V90" i="162"/>
  <c r="V89" i="162" s="1"/>
  <c r="T90" i="162"/>
  <c r="S90" i="162"/>
  <c r="R90" i="162"/>
  <c r="Q90" i="162"/>
  <c r="B90" i="162"/>
  <c r="AJ89" i="162"/>
  <c r="AI89" i="162"/>
  <c r="AI80" i="162" s="1"/>
  <c r="Z89" i="162"/>
  <c r="W89" i="162"/>
  <c r="AG88" i="162"/>
  <c r="AF88" i="162"/>
  <c r="AE88" i="162"/>
  <c r="AD88" i="162"/>
  <c r="P88" i="162"/>
  <c r="R87" i="162"/>
  <c r="P87" i="162"/>
  <c r="C87" i="162" s="1"/>
  <c r="AG86" i="162"/>
  <c r="AF86" i="162"/>
  <c r="AE86" i="162"/>
  <c r="AD86" i="162"/>
  <c r="AC86" i="162"/>
  <c r="AB86" i="162"/>
  <c r="AA86" i="162"/>
  <c r="Z86" i="162"/>
  <c r="Y86" i="162"/>
  <c r="X86" i="162"/>
  <c r="W86" i="162"/>
  <c r="V86" i="162"/>
  <c r="U86" i="162"/>
  <c r="T86" i="162"/>
  <c r="R86" i="162"/>
  <c r="Q86" i="162"/>
  <c r="D86" i="162"/>
  <c r="D85" i="162"/>
  <c r="AG84" i="162"/>
  <c r="AF84" i="162"/>
  <c r="AE84" i="162"/>
  <c r="AD84" i="162"/>
  <c r="AC84" i="162"/>
  <c r="AB84" i="162"/>
  <c r="AA84" i="162"/>
  <c r="Z84" i="162"/>
  <c r="Y84" i="162"/>
  <c r="X84" i="162"/>
  <c r="W84" i="162"/>
  <c r="V84" i="162"/>
  <c r="U84" i="162"/>
  <c r="T84" i="162"/>
  <c r="S84" i="162"/>
  <c r="Q84" i="162"/>
  <c r="D84" i="162"/>
  <c r="D83" i="162"/>
  <c r="AG82" i="162"/>
  <c r="AF82" i="162"/>
  <c r="AE82" i="162"/>
  <c r="AD82" i="162"/>
  <c r="AC82" i="162"/>
  <c r="AB82" i="162"/>
  <c r="AA82" i="162"/>
  <c r="Z82" i="162"/>
  <c r="Y82" i="162"/>
  <c r="X82" i="162"/>
  <c r="W82" i="162"/>
  <c r="V82" i="162"/>
  <c r="U82" i="162"/>
  <c r="T82" i="162"/>
  <c r="T80" i="162" s="1"/>
  <c r="S82" i="162"/>
  <c r="R82" i="162"/>
  <c r="D82" i="162"/>
  <c r="AG79" i="162"/>
  <c r="AF79" i="162"/>
  <c r="AE79" i="162"/>
  <c r="AD79" i="162"/>
  <c r="AC79" i="162"/>
  <c r="AB79" i="162"/>
  <c r="AA79" i="162"/>
  <c r="Z79" i="162"/>
  <c r="Y79" i="162"/>
  <c r="X79" i="162"/>
  <c r="W79" i="162"/>
  <c r="V79" i="162"/>
  <c r="U79" i="162"/>
  <c r="T79" i="162"/>
  <c r="S79" i="162"/>
  <c r="R79" i="162"/>
  <c r="Q79" i="162"/>
  <c r="P79" i="162"/>
  <c r="C79" i="162" s="1"/>
  <c r="B79" i="162"/>
  <c r="AG78" i="162"/>
  <c r="AF78" i="162"/>
  <c r="AE78" i="162"/>
  <c r="AD78" i="162"/>
  <c r="AC78" i="162"/>
  <c r="AB78" i="162"/>
  <c r="AA78" i="162"/>
  <c r="Z78" i="162"/>
  <c r="Y78" i="162"/>
  <c r="X78" i="162"/>
  <c r="W78" i="162"/>
  <c r="V78" i="162"/>
  <c r="U78" i="162"/>
  <c r="T78" i="162"/>
  <c r="S78" i="162"/>
  <c r="R78" i="162"/>
  <c r="Q78" i="162"/>
  <c r="B78" i="162"/>
  <c r="AJ77" i="162"/>
  <c r="AI77" i="162"/>
  <c r="AH77" i="162" s="1"/>
  <c r="AG77" i="162"/>
  <c r="AF77" i="162"/>
  <c r="AE77" i="162"/>
  <c r="AD77" i="162"/>
  <c r="AC77" i="162"/>
  <c r="AB77" i="162"/>
  <c r="AA77" i="162"/>
  <c r="Z77" i="162"/>
  <c r="Y77" i="162"/>
  <c r="X77" i="162"/>
  <c r="W77" i="162"/>
  <c r="V77" i="162"/>
  <c r="U77" i="162"/>
  <c r="T77" i="162"/>
  <c r="S77" i="162"/>
  <c r="R77" i="162"/>
  <c r="Q77" i="162"/>
  <c r="D77" i="162"/>
  <c r="AJ76" i="162"/>
  <c r="AI76" i="162"/>
  <c r="AH76" i="162" s="1"/>
  <c r="AG76" i="162"/>
  <c r="AF76" i="162"/>
  <c r="AE76" i="162"/>
  <c r="AD76" i="162"/>
  <c r="AC76" i="162"/>
  <c r="AB76" i="162"/>
  <c r="AA76" i="162"/>
  <c r="Z76" i="162"/>
  <c r="Y76" i="162"/>
  <c r="X76" i="162"/>
  <c r="W76" i="162"/>
  <c r="V76" i="162"/>
  <c r="U76" i="162"/>
  <c r="T76" i="162"/>
  <c r="S76" i="162"/>
  <c r="R76" i="162"/>
  <c r="Q76" i="162"/>
  <c r="D76" i="162"/>
  <c r="AJ75" i="162"/>
  <c r="AI75" i="162"/>
  <c r="AH75" i="162"/>
  <c r="AG75" i="162"/>
  <c r="AF75" i="162"/>
  <c r="AE75" i="162"/>
  <c r="AD75" i="162"/>
  <c r="AC75" i="162"/>
  <c r="AB75" i="162"/>
  <c r="AA75" i="162"/>
  <c r="Z75" i="162"/>
  <c r="Y75" i="162"/>
  <c r="X75" i="162"/>
  <c r="W75" i="162"/>
  <c r="V75" i="162"/>
  <c r="U75" i="162"/>
  <c r="T75" i="162"/>
  <c r="S75" i="162"/>
  <c r="R75" i="162"/>
  <c r="Q75" i="162"/>
  <c r="D75" i="162"/>
  <c r="AJ74" i="162"/>
  <c r="AI74" i="162"/>
  <c r="AG74" i="162"/>
  <c r="AF74" i="162"/>
  <c r="AE74" i="162"/>
  <c r="AD74" i="162"/>
  <c r="AC74" i="162"/>
  <c r="AB74" i="162"/>
  <c r="AA74" i="162"/>
  <c r="Z74" i="162"/>
  <c r="Y74" i="162"/>
  <c r="X74" i="162"/>
  <c r="W74" i="162"/>
  <c r="V74" i="162"/>
  <c r="U74" i="162"/>
  <c r="T74" i="162"/>
  <c r="S74" i="162"/>
  <c r="R74" i="162"/>
  <c r="Q74" i="162"/>
  <c r="D74" i="162"/>
  <c r="AJ73" i="162"/>
  <c r="AI73" i="162"/>
  <c r="AH73" i="162" s="1"/>
  <c r="AG73" i="162"/>
  <c r="AF73" i="162"/>
  <c r="AE73" i="162"/>
  <c r="AD73" i="162"/>
  <c r="AB73" i="162"/>
  <c r="AA73" i="162"/>
  <c r="Z73" i="162"/>
  <c r="Y73" i="162"/>
  <c r="X73" i="162"/>
  <c r="W73" i="162"/>
  <c r="V73" i="162"/>
  <c r="U73" i="162"/>
  <c r="T73" i="162"/>
  <c r="S73" i="162"/>
  <c r="R73" i="162"/>
  <c r="Q73" i="162"/>
  <c r="D73" i="162"/>
  <c r="AJ72" i="162"/>
  <c r="AI72" i="162"/>
  <c r="AH72" i="162" s="1"/>
  <c r="AG72" i="162"/>
  <c r="AF72" i="162"/>
  <c r="AE72" i="162"/>
  <c r="AD72" i="162"/>
  <c r="AB72" i="162"/>
  <c r="AA72" i="162"/>
  <c r="Z72" i="162"/>
  <c r="Y72" i="162"/>
  <c r="X72" i="162"/>
  <c r="W72" i="162"/>
  <c r="V72" i="162"/>
  <c r="U72" i="162"/>
  <c r="T72" i="162"/>
  <c r="S72" i="162"/>
  <c r="R72" i="162"/>
  <c r="Q72" i="162"/>
  <c r="D72" i="162"/>
  <c r="AJ71" i="162"/>
  <c r="AI71" i="162"/>
  <c r="AH71" i="162" s="1"/>
  <c r="AG71" i="162"/>
  <c r="AF71" i="162"/>
  <c r="AE71" i="162"/>
  <c r="AD71" i="162"/>
  <c r="AB71" i="162"/>
  <c r="AA71" i="162"/>
  <c r="Z71" i="162"/>
  <c r="Y71" i="162"/>
  <c r="X71" i="162"/>
  <c r="W71" i="162"/>
  <c r="V71" i="162"/>
  <c r="U71" i="162"/>
  <c r="T71" i="162"/>
  <c r="S71" i="162"/>
  <c r="R71" i="162"/>
  <c r="Q71" i="162"/>
  <c r="D71" i="162"/>
  <c r="AJ70" i="162"/>
  <c r="AI70" i="162"/>
  <c r="AG70" i="162"/>
  <c r="AF70" i="162"/>
  <c r="AE70" i="162"/>
  <c r="AD70" i="162"/>
  <c r="AB70" i="162"/>
  <c r="AA70" i="162"/>
  <c r="Z70" i="162"/>
  <c r="Y70" i="162"/>
  <c r="X70" i="162"/>
  <c r="W70" i="162"/>
  <c r="V70" i="162"/>
  <c r="U70" i="162"/>
  <c r="T70" i="162"/>
  <c r="S70" i="162"/>
  <c r="R70" i="162"/>
  <c r="Q70" i="162"/>
  <c r="D70" i="162"/>
  <c r="AJ69" i="162"/>
  <c r="AI69" i="162"/>
  <c r="AG69" i="162"/>
  <c r="AF69" i="162"/>
  <c r="AE69" i="162"/>
  <c r="AD69" i="162"/>
  <c r="AB69" i="162"/>
  <c r="AA69" i="162"/>
  <c r="Z69" i="162"/>
  <c r="Y69" i="162"/>
  <c r="X69" i="162"/>
  <c r="W69" i="162"/>
  <c r="V69" i="162"/>
  <c r="U69" i="162"/>
  <c r="T69" i="162"/>
  <c r="S69" i="162"/>
  <c r="R69" i="162"/>
  <c r="Q69" i="162"/>
  <c r="D69" i="162"/>
  <c r="AJ68" i="162"/>
  <c r="AI68" i="162"/>
  <c r="AH68" i="162"/>
  <c r="AG68" i="162"/>
  <c r="AF68" i="162"/>
  <c r="AE68" i="162"/>
  <c r="AD68" i="162"/>
  <c r="AB68" i="162"/>
  <c r="AA68" i="162"/>
  <c r="Z68" i="162"/>
  <c r="Y68" i="162"/>
  <c r="X68" i="162"/>
  <c r="W68" i="162"/>
  <c r="V68" i="162"/>
  <c r="U68" i="162"/>
  <c r="T68" i="162"/>
  <c r="S68" i="162"/>
  <c r="R68" i="162"/>
  <c r="Q68" i="162"/>
  <c r="D68" i="162"/>
  <c r="AJ67" i="162"/>
  <c r="AI67" i="162"/>
  <c r="AH67" i="162"/>
  <c r="AG67" i="162"/>
  <c r="AF67" i="162"/>
  <c r="AE67" i="162"/>
  <c r="AD67" i="162"/>
  <c r="AB67" i="162"/>
  <c r="AA67" i="162"/>
  <c r="Z67" i="162"/>
  <c r="Y67" i="162"/>
  <c r="X67" i="162"/>
  <c r="W67" i="162"/>
  <c r="V67" i="162"/>
  <c r="U67" i="162"/>
  <c r="T67" i="162"/>
  <c r="S67" i="162"/>
  <c r="R67" i="162"/>
  <c r="Q67" i="162"/>
  <c r="D67" i="162"/>
  <c r="AI66" i="162"/>
  <c r="AG66" i="162"/>
  <c r="AF66" i="162"/>
  <c r="AE66" i="162"/>
  <c r="AD66" i="162"/>
  <c r="AB66" i="162"/>
  <c r="AA66" i="162"/>
  <c r="Z66" i="162"/>
  <c r="Y66" i="162"/>
  <c r="X66" i="162"/>
  <c r="W66" i="162"/>
  <c r="V66" i="162"/>
  <c r="U66" i="162"/>
  <c r="T66" i="162"/>
  <c r="S66" i="162"/>
  <c r="R66" i="162"/>
  <c r="Q66" i="162"/>
  <c r="D66" i="162"/>
  <c r="AJ65" i="162"/>
  <c r="AI65" i="162"/>
  <c r="AH65" i="162" s="1"/>
  <c r="AG65" i="162"/>
  <c r="AF65" i="162"/>
  <c r="AE65" i="162"/>
  <c r="AD65" i="162"/>
  <c r="AC65" i="162"/>
  <c r="AB65" i="162"/>
  <c r="AA65" i="162"/>
  <c r="Z65" i="162"/>
  <c r="Y65" i="162"/>
  <c r="X65" i="162"/>
  <c r="W65" i="162"/>
  <c r="V65" i="162"/>
  <c r="U65" i="162"/>
  <c r="T65" i="162"/>
  <c r="S65" i="162"/>
  <c r="R65" i="162"/>
  <c r="Q65" i="162"/>
  <c r="D65" i="162"/>
  <c r="AJ64" i="162"/>
  <c r="AH64" i="162" s="1"/>
  <c r="AI64" i="162"/>
  <c r="AG64" i="162"/>
  <c r="AF64" i="162"/>
  <c r="AE64" i="162"/>
  <c r="AD64" i="162"/>
  <c r="AC64" i="162"/>
  <c r="AB64" i="162"/>
  <c r="AA64" i="162"/>
  <c r="Z64" i="162"/>
  <c r="Y64" i="162"/>
  <c r="X64" i="162"/>
  <c r="W64" i="162"/>
  <c r="V64" i="162"/>
  <c r="T64" i="162"/>
  <c r="S64" i="162"/>
  <c r="R64" i="162"/>
  <c r="Q64" i="162"/>
  <c r="D64" i="162"/>
  <c r="AM63" i="162"/>
  <c r="AL63" i="162"/>
  <c r="AK63" i="162"/>
  <c r="O63" i="162"/>
  <c r="K63" i="162"/>
  <c r="H63" i="162"/>
  <c r="F63" i="162"/>
  <c r="E63" i="162"/>
  <c r="AJ62" i="162"/>
  <c r="AI62" i="162"/>
  <c r="AG62" i="162"/>
  <c r="AF62" i="162"/>
  <c r="AE62" i="162"/>
  <c r="AD62" i="162"/>
  <c r="AC62" i="162"/>
  <c r="AB62" i="162"/>
  <c r="AA62" i="162"/>
  <c r="Z62" i="162"/>
  <c r="Y62" i="162"/>
  <c r="X62" i="162"/>
  <c r="W62" i="162"/>
  <c r="V62" i="162"/>
  <c r="U62" i="162"/>
  <c r="T62" i="162"/>
  <c r="R62" i="162"/>
  <c r="Q62" i="162"/>
  <c r="D62" i="162"/>
  <c r="AJ61" i="162"/>
  <c r="AH61" i="162" s="1"/>
  <c r="AI61" i="162"/>
  <c r="AG61" i="162"/>
  <c r="AF61" i="162"/>
  <c r="AE61" i="162"/>
  <c r="AD61" i="162"/>
  <c r="AD59" i="162" s="1"/>
  <c r="AC61" i="162"/>
  <c r="AB61" i="162"/>
  <c r="AA61" i="162"/>
  <c r="AA59" i="162" s="1"/>
  <c r="Z61" i="162"/>
  <c r="Y61" i="162"/>
  <c r="X61" i="162"/>
  <c r="W61" i="162"/>
  <c r="V61" i="162"/>
  <c r="V59" i="162" s="1"/>
  <c r="U61" i="162"/>
  <c r="T61" i="162"/>
  <c r="R61" i="162"/>
  <c r="Q61" i="162"/>
  <c r="D61" i="162"/>
  <c r="AJ60" i="162"/>
  <c r="AI60" i="162"/>
  <c r="AI59" i="162" s="1"/>
  <c r="AG60" i="162"/>
  <c r="AF60" i="162"/>
  <c r="AE60" i="162"/>
  <c r="AE59" i="162" s="1"/>
  <c r="AD60" i="162"/>
  <c r="AC60" i="162"/>
  <c r="AB60" i="162"/>
  <c r="AB59" i="162" s="1"/>
  <c r="AO61" i="162" s="1"/>
  <c r="AA60" i="162"/>
  <c r="Z60" i="162"/>
  <c r="Y60" i="162"/>
  <c r="X60" i="162"/>
  <c r="W60" i="162"/>
  <c r="V60" i="162"/>
  <c r="U60" i="162"/>
  <c r="T60" i="162"/>
  <c r="T59" i="162" s="1"/>
  <c r="R60" i="162"/>
  <c r="Q60" i="162"/>
  <c r="D60" i="162"/>
  <c r="D59" i="162" s="1"/>
  <c r="W59" i="162"/>
  <c r="K59" i="162"/>
  <c r="H59" i="162"/>
  <c r="F59" i="162"/>
  <c r="E59" i="162"/>
  <c r="AJ58" i="162"/>
  <c r="AI58" i="162"/>
  <c r="AG58" i="162"/>
  <c r="AF58" i="162"/>
  <c r="AE58" i="162"/>
  <c r="AD58" i="162"/>
  <c r="AC58" i="162"/>
  <c r="AB58" i="162"/>
  <c r="AA58" i="162"/>
  <c r="Z58" i="162"/>
  <c r="Y58" i="162"/>
  <c r="X58" i="162"/>
  <c r="W58" i="162"/>
  <c r="V58" i="162"/>
  <c r="U58" i="162"/>
  <c r="T58" i="162"/>
  <c r="S58" i="162"/>
  <c r="R58" i="162"/>
  <c r="Q58" i="162"/>
  <c r="D58" i="162"/>
  <c r="AJ57" i="162"/>
  <c r="AI57" i="162"/>
  <c r="AH57" i="162"/>
  <c r="AG57" i="162"/>
  <c r="AF57" i="162"/>
  <c r="AE57" i="162"/>
  <c r="AD57" i="162"/>
  <c r="AC57" i="162"/>
  <c r="AB57" i="162"/>
  <c r="AA57" i="162"/>
  <c r="Z57" i="162"/>
  <c r="Y57" i="162"/>
  <c r="X57" i="162"/>
  <c r="W57" i="162"/>
  <c r="V57" i="162"/>
  <c r="U57" i="162"/>
  <c r="T57" i="162"/>
  <c r="S57" i="162"/>
  <c r="R57" i="162"/>
  <c r="Q57" i="162"/>
  <c r="D57" i="162"/>
  <c r="AJ56" i="162"/>
  <c r="AH56" i="162" s="1"/>
  <c r="AI56" i="162"/>
  <c r="AG56" i="162"/>
  <c r="AF56" i="162"/>
  <c r="AE56" i="162"/>
  <c r="AD56" i="162"/>
  <c r="AC56" i="162"/>
  <c r="AB56" i="162"/>
  <c r="AA56" i="162"/>
  <c r="Z56" i="162"/>
  <c r="Y56" i="162"/>
  <c r="X56" i="162"/>
  <c r="W56" i="162"/>
  <c r="V56" i="162"/>
  <c r="U56" i="162"/>
  <c r="T56" i="162"/>
  <c r="P56" i="162" s="1"/>
  <c r="S56" i="162"/>
  <c r="R56" i="162"/>
  <c r="Q56" i="162"/>
  <c r="D56" i="162"/>
  <c r="AI55" i="162"/>
  <c r="AG55" i="162"/>
  <c r="AF55" i="162"/>
  <c r="AE55" i="162"/>
  <c r="AD55" i="162"/>
  <c r="AC55" i="162"/>
  <c r="AB55" i="162"/>
  <c r="AA55" i="162"/>
  <c r="Z55" i="162"/>
  <c r="Y55" i="162"/>
  <c r="X55" i="162"/>
  <c r="W55" i="162"/>
  <c r="V55" i="162"/>
  <c r="U55" i="162"/>
  <c r="T55" i="162"/>
  <c r="S55" i="162"/>
  <c r="R55" i="162"/>
  <c r="Q55" i="162"/>
  <c r="D55" i="162"/>
  <c r="AJ54" i="162"/>
  <c r="AI54" i="162"/>
  <c r="AH54" i="162"/>
  <c r="AG54" i="162"/>
  <c r="AF54" i="162"/>
  <c r="AE54" i="162"/>
  <c r="AD54" i="162"/>
  <c r="AC54" i="162"/>
  <c r="AB54" i="162"/>
  <c r="AA54" i="162"/>
  <c r="Z54" i="162"/>
  <c r="Y54" i="162"/>
  <c r="X54" i="162"/>
  <c r="W54" i="162"/>
  <c r="V54" i="162"/>
  <c r="U54" i="162"/>
  <c r="T54" i="162"/>
  <c r="S54" i="162"/>
  <c r="R54" i="162"/>
  <c r="P54" i="162" s="1"/>
  <c r="C54" i="162" s="1"/>
  <c r="Q54" i="162"/>
  <c r="D54" i="162"/>
  <c r="AJ53" i="162"/>
  <c r="AI53" i="162"/>
  <c r="AH53" i="162" s="1"/>
  <c r="AG53" i="162"/>
  <c r="AF53" i="162"/>
  <c r="AE53" i="162"/>
  <c r="AD53" i="162"/>
  <c r="AC53" i="162"/>
  <c r="AB53" i="162"/>
  <c r="AA53" i="162"/>
  <c r="Z53" i="162"/>
  <c r="Y53" i="162"/>
  <c r="X53" i="162"/>
  <c r="W53" i="162"/>
  <c r="V53" i="162"/>
  <c r="U53" i="162"/>
  <c r="T53" i="162"/>
  <c r="S53" i="162"/>
  <c r="R53" i="162"/>
  <c r="Q53" i="162"/>
  <c r="D53" i="162"/>
  <c r="AJ52" i="162"/>
  <c r="AI52" i="162"/>
  <c r="AH52" i="162" s="1"/>
  <c r="AG52" i="162"/>
  <c r="AF52" i="162"/>
  <c r="AE52" i="162"/>
  <c r="AD52" i="162"/>
  <c r="AC52" i="162"/>
  <c r="AB52" i="162"/>
  <c r="AA52" i="162"/>
  <c r="Z52" i="162"/>
  <c r="Z51" i="162" s="1"/>
  <c r="Y52" i="162"/>
  <c r="X52" i="162"/>
  <c r="W52" i="162"/>
  <c r="W51" i="162" s="1"/>
  <c r="V52" i="162"/>
  <c r="U52" i="162"/>
  <c r="T52" i="162"/>
  <c r="S52" i="162"/>
  <c r="R52" i="162"/>
  <c r="Q52" i="162"/>
  <c r="D52" i="162"/>
  <c r="AL51" i="162"/>
  <c r="AK51" i="162"/>
  <c r="K51" i="162"/>
  <c r="H51" i="162"/>
  <c r="F51" i="162"/>
  <c r="E51" i="162"/>
  <c r="AJ50" i="162"/>
  <c r="AH50" i="162" s="1"/>
  <c r="AI50" i="162"/>
  <c r="AG50" i="162"/>
  <c r="AF50" i="162"/>
  <c r="AE50" i="162"/>
  <c r="AD50" i="162"/>
  <c r="AC50" i="162"/>
  <c r="AB50" i="162"/>
  <c r="AA50" i="162"/>
  <c r="AA45" i="162" s="1"/>
  <c r="Z50" i="162"/>
  <c r="Y50" i="162"/>
  <c r="X50" i="162"/>
  <c r="W50" i="162"/>
  <c r="V50" i="162"/>
  <c r="U50" i="162"/>
  <c r="T50" i="162"/>
  <c r="S50" i="162"/>
  <c r="P50" i="162" s="1"/>
  <c r="R50" i="162"/>
  <c r="Q50" i="162"/>
  <c r="D50" i="162"/>
  <c r="AJ49" i="162"/>
  <c r="AI49" i="162"/>
  <c r="AG49" i="162"/>
  <c r="AF49" i="162"/>
  <c r="AE49" i="162"/>
  <c r="AD49" i="162"/>
  <c r="AC49" i="162"/>
  <c r="AB49" i="162"/>
  <c r="AA49" i="162"/>
  <c r="Z49" i="162"/>
  <c r="Y49" i="162"/>
  <c r="X49" i="162"/>
  <c r="W49" i="162"/>
  <c r="V49" i="162"/>
  <c r="U49" i="162"/>
  <c r="T49" i="162"/>
  <c r="S49" i="162"/>
  <c r="R49" i="162"/>
  <c r="Q49" i="162"/>
  <c r="D49" i="162"/>
  <c r="AJ48" i="162"/>
  <c r="AH48" i="162" s="1"/>
  <c r="AI48" i="162"/>
  <c r="AG48" i="162"/>
  <c r="AF48" i="162"/>
  <c r="AE48" i="162"/>
  <c r="AD48" i="162"/>
  <c r="AD45" i="162" s="1"/>
  <c r="AC48" i="162"/>
  <c r="AB48" i="162"/>
  <c r="AA48" i="162"/>
  <c r="Z48" i="162"/>
  <c r="Y48" i="162"/>
  <c r="Y45" i="162" s="1"/>
  <c r="X48" i="162"/>
  <c r="W48" i="162"/>
  <c r="V48" i="162"/>
  <c r="U48" i="162"/>
  <c r="T48" i="162"/>
  <c r="S48" i="162"/>
  <c r="R48" i="162"/>
  <c r="Q48" i="162"/>
  <c r="D48" i="162"/>
  <c r="AJ47" i="162"/>
  <c r="AI47" i="162"/>
  <c r="AH47" i="162"/>
  <c r="AG47" i="162"/>
  <c r="AF47" i="162"/>
  <c r="AE47" i="162"/>
  <c r="AE45" i="162" s="1"/>
  <c r="AD47" i="162"/>
  <c r="AC47" i="162"/>
  <c r="AB47" i="162"/>
  <c r="AA47" i="162"/>
  <c r="Z47" i="162"/>
  <c r="Y47" i="162"/>
  <c r="X47" i="162"/>
  <c r="W47" i="162"/>
  <c r="V47" i="162"/>
  <c r="V45" i="162" s="1"/>
  <c r="U47" i="162"/>
  <c r="T47" i="162"/>
  <c r="S47" i="162"/>
  <c r="R47" i="162"/>
  <c r="Q47" i="162"/>
  <c r="D47" i="162"/>
  <c r="A47" i="162"/>
  <c r="A48" i="162" s="1"/>
  <c r="A49" i="162" s="1"/>
  <c r="A50" i="162" s="1"/>
  <c r="AJ46" i="162"/>
  <c r="AI46" i="162"/>
  <c r="AH46" i="162"/>
  <c r="AG46" i="162"/>
  <c r="AF46" i="162"/>
  <c r="AE46" i="162"/>
  <c r="AD46" i="162"/>
  <c r="AC46" i="162"/>
  <c r="AB46" i="162"/>
  <c r="AA46" i="162"/>
  <c r="Z46" i="162"/>
  <c r="Y46" i="162"/>
  <c r="X46" i="162"/>
  <c r="W46" i="162"/>
  <c r="V46" i="162"/>
  <c r="U46" i="162"/>
  <c r="T46" i="162"/>
  <c r="S46" i="162"/>
  <c r="R46" i="162"/>
  <c r="Q46" i="162"/>
  <c r="D46" i="162"/>
  <c r="A46" i="162"/>
  <c r="AG45" i="162"/>
  <c r="W45" i="162"/>
  <c r="W44" i="162" s="1"/>
  <c r="Q45" i="162"/>
  <c r="K45" i="162"/>
  <c r="K44" i="162" s="1"/>
  <c r="H45" i="162"/>
  <c r="F45" i="162"/>
  <c r="F44" i="162" s="1"/>
  <c r="F11" i="162" s="1"/>
  <c r="E45" i="162"/>
  <c r="D45" i="162"/>
  <c r="E44" i="162"/>
  <c r="AJ43" i="162"/>
  <c r="AI43" i="162"/>
  <c r="AH43" i="162" s="1"/>
  <c r="AG43" i="162"/>
  <c r="AF43" i="162"/>
  <c r="AE43" i="162"/>
  <c r="AD43" i="162"/>
  <c r="AC43" i="162"/>
  <c r="AB43" i="162"/>
  <c r="AA43" i="162"/>
  <c r="Z43" i="162"/>
  <c r="Y43" i="162"/>
  <c r="X43" i="162"/>
  <c r="W43" i="162"/>
  <c r="V43" i="162"/>
  <c r="U43" i="162"/>
  <c r="T43" i="162"/>
  <c r="S43" i="162"/>
  <c r="R43" i="162"/>
  <c r="Q43" i="162"/>
  <c r="D43" i="162"/>
  <c r="AJ42" i="162"/>
  <c r="AI42" i="162"/>
  <c r="AH42" i="162"/>
  <c r="AG42" i="162"/>
  <c r="AF42" i="162"/>
  <c r="AE42" i="162"/>
  <c r="AD42" i="162"/>
  <c r="AC42" i="162"/>
  <c r="AB42" i="162"/>
  <c r="AA42" i="162"/>
  <c r="Z42" i="162"/>
  <c r="Y42" i="162"/>
  <c r="X42" i="162"/>
  <c r="W42" i="162"/>
  <c r="V42" i="162"/>
  <c r="U42" i="162"/>
  <c r="T42" i="162"/>
  <c r="S42" i="162"/>
  <c r="R42" i="162"/>
  <c r="Q42" i="162"/>
  <c r="D42" i="162"/>
  <c r="AJ41" i="162"/>
  <c r="AH41" i="162" s="1"/>
  <c r="AI41" i="162"/>
  <c r="AG41" i="162"/>
  <c r="AF41" i="162"/>
  <c r="AE41" i="162"/>
  <c r="AD41" i="162"/>
  <c r="AC41" i="162"/>
  <c r="AB41" i="162"/>
  <c r="AA41" i="162"/>
  <c r="Y41" i="162"/>
  <c r="X41" i="162"/>
  <c r="W41" i="162"/>
  <c r="V41" i="162"/>
  <c r="U41" i="162"/>
  <c r="T41" i="162"/>
  <c r="S41" i="162"/>
  <c r="R41" i="162"/>
  <c r="Q41" i="162"/>
  <c r="D41" i="162"/>
  <c r="P40" i="162"/>
  <c r="C40" i="162"/>
  <c r="P39" i="162"/>
  <c r="C39" i="162"/>
  <c r="AI38" i="162"/>
  <c r="AG38" i="162"/>
  <c r="AF38" i="162"/>
  <c r="AE38" i="162"/>
  <c r="AD38" i="162"/>
  <c r="AC38" i="162"/>
  <c r="AB38" i="162"/>
  <c r="AA38" i="162"/>
  <c r="Y38" i="162"/>
  <c r="X38" i="162"/>
  <c r="W38" i="162"/>
  <c r="V38" i="162"/>
  <c r="U38" i="162"/>
  <c r="T38" i="162"/>
  <c r="S38" i="162"/>
  <c r="R38" i="162"/>
  <c r="Q38" i="162"/>
  <c r="D38" i="162"/>
  <c r="AI37" i="162"/>
  <c r="AG37" i="162"/>
  <c r="AF37" i="162"/>
  <c r="AE37" i="162"/>
  <c r="AD37" i="162"/>
  <c r="AC37" i="162"/>
  <c r="AB37" i="162"/>
  <c r="AA37" i="162"/>
  <c r="Z37" i="162"/>
  <c r="Y37" i="162"/>
  <c r="X37" i="162"/>
  <c r="W37" i="162"/>
  <c r="V37" i="162"/>
  <c r="U37" i="162"/>
  <c r="T37" i="162"/>
  <c r="S37" i="162"/>
  <c r="R37" i="162"/>
  <c r="Q37" i="162"/>
  <c r="D37" i="162"/>
  <c r="AJ36" i="162"/>
  <c r="AH36" i="162" s="1"/>
  <c r="AI36" i="162"/>
  <c r="AG36" i="162"/>
  <c r="AF36" i="162"/>
  <c r="AE36" i="162"/>
  <c r="AD36" i="162"/>
  <c r="AC36" i="162"/>
  <c r="AB36" i="162"/>
  <c r="AA36" i="162"/>
  <c r="Z36" i="162"/>
  <c r="Y36" i="162"/>
  <c r="X36" i="162"/>
  <c r="W36" i="162"/>
  <c r="V36" i="162"/>
  <c r="U36" i="162"/>
  <c r="T36" i="162"/>
  <c r="S36" i="162"/>
  <c r="R36" i="162"/>
  <c r="Q36" i="162"/>
  <c r="D36" i="162"/>
  <c r="AJ35" i="162"/>
  <c r="AH35" i="162" s="1"/>
  <c r="AI35" i="162"/>
  <c r="AG35" i="162"/>
  <c r="AF35" i="162"/>
  <c r="AE35" i="162"/>
  <c r="AD35" i="162"/>
  <c r="AC35" i="162"/>
  <c r="AB35" i="162"/>
  <c r="AA35" i="162"/>
  <c r="Z35" i="162"/>
  <c r="Y35" i="162"/>
  <c r="X35" i="162"/>
  <c r="W35" i="162"/>
  <c r="V35" i="162"/>
  <c r="U35" i="162"/>
  <c r="T35" i="162"/>
  <c r="S35" i="162"/>
  <c r="R35" i="162"/>
  <c r="Q35" i="162"/>
  <c r="D35" i="162"/>
  <c r="AJ34" i="162"/>
  <c r="AI34" i="162"/>
  <c r="AG34" i="162"/>
  <c r="AF34" i="162"/>
  <c r="AE34" i="162"/>
  <c r="AD34" i="162"/>
  <c r="AC34" i="162"/>
  <c r="AB34" i="162"/>
  <c r="AA34" i="162"/>
  <c r="Z34" i="162"/>
  <c r="Y34" i="162"/>
  <c r="X34" i="162"/>
  <c r="W34" i="162"/>
  <c r="V34" i="162"/>
  <c r="U34" i="162"/>
  <c r="T34" i="162"/>
  <c r="S34" i="162"/>
  <c r="R34" i="162"/>
  <c r="D34" i="162"/>
  <c r="AJ33" i="162"/>
  <c r="AI33" i="162"/>
  <c r="AG33" i="162"/>
  <c r="AF33" i="162"/>
  <c r="AE33" i="162"/>
  <c r="AD33" i="162"/>
  <c r="AC33" i="162"/>
  <c r="AB33" i="162"/>
  <c r="AA33" i="162"/>
  <c r="Z33" i="162"/>
  <c r="Y33" i="162"/>
  <c r="X33" i="162"/>
  <c r="W33" i="162"/>
  <c r="V33" i="162"/>
  <c r="U33" i="162"/>
  <c r="T33" i="162"/>
  <c r="S33" i="162"/>
  <c r="R33" i="162"/>
  <c r="Q33" i="162"/>
  <c r="D33" i="162"/>
  <c r="AJ32" i="162"/>
  <c r="AI32" i="162"/>
  <c r="AH32" i="162" s="1"/>
  <c r="AG32" i="162"/>
  <c r="AF32" i="162"/>
  <c r="AE32" i="162"/>
  <c r="AD32" i="162"/>
  <c r="AC32" i="162"/>
  <c r="AB32" i="162"/>
  <c r="AA32" i="162"/>
  <c r="Z32" i="162"/>
  <c r="Y32" i="162"/>
  <c r="X32" i="162"/>
  <c r="W32" i="162"/>
  <c r="V32" i="162"/>
  <c r="U32" i="162"/>
  <c r="T32" i="162"/>
  <c r="S32" i="162"/>
  <c r="R32" i="162"/>
  <c r="Q32" i="162"/>
  <c r="D32" i="162"/>
  <c r="AN31" i="162"/>
  <c r="AN12" i="162" s="1"/>
  <c r="AN11" i="162" s="1"/>
  <c r="AJ31" i="162"/>
  <c r="AI31" i="162"/>
  <c r="AH31" i="162"/>
  <c r="AG31" i="162"/>
  <c r="AF31" i="162"/>
  <c r="AE31" i="162"/>
  <c r="AD31" i="162"/>
  <c r="AC31" i="162"/>
  <c r="AB31" i="162"/>
  <c r="AA31" i="162"/>
  <c r="Z31" i="162"/>
  <c r="Y31" i="162"/>
  <c r="X31" i="162"/>
  <c r="W31" i="162"/>
  <c r="V31" i="162"/>
  <c r="U31" i="162"/>
  <c r="T31" i="162"/>
  <c r="S31" i="162"/>
  <c r="R31" i="162"/>
  <c r="Q31" i="162"/>
  <c r="D31" i="162"/>
  <c r="AI30" i="162"/>
  <c r="AG30" i="162"/>
  <c r="AF30" i="162"/>
  <c r="AE30" i="162"/>
  <c r="AD30" i="162"/>
  <c r="AC30" i="162"/>
  <c r="AB30" i="162"/>
  <c r="AA30" i="162"/>
  <c r="Z30" i="162"/>
  <c r="Y30" i="162"/>
  <c r="X30" i="162"/>
  <c r="W30" i="162"/>
  <c r="V30" i="162"/>
  <c r="U30" i="162"/>
  <c r="T30" i="162"/>
  <c r="S30" i="162"/>
  <c r="R30" i="162"/>
  <c r="D30" i="162"/>
  <c r="AJ29" i="162"/>
  <c r="AI29" i="162"/>
  <c r="AG29" i="162"/>
  <c r="AF29" i="162"/>
  <c r="AE29" i="162"/>
  <c r="AD29" i="162"/>
  <c r="AC29" i="162"/>
  <c r="AB29" i="162"/>
  <c r="AA29" i="162"/>
  <c r="Z29" i="162"/>
  <c r="Y29" i="162"/>
  <c r="X29" i="162"/>
  <c r="W29" i="162"/>
  <c r="V29" i="162"/>
  <c r="U29" i="162"/>
  <c r="T29" i="162"/>
  <c r="S29" i="162"/>
  <c r="R29" i="162"/>
  <c r="Q29" i="162"/>
  <c r="D29" i="162"/>
  <c r="AJ28" i="162"/>
  <c r="AH28" i="162" s="1"/>
  <c r="AI28" i="162"/>
  <c r="AG28" i="162"/>
  <c r="AF28" i="162"/>
  <c r="AE28" i="162"/>
  <c r="AD28" i="162"/>
  <c r="AC28" i="162"/>
  <c r="AB28" i="162"/>
  <c r="AA28" i="162"/>
  <c r="Z28" i="162"/>
  <c r="Y28" i="162"/>
  <c r="X28" i="162"/>
  <c r="W28" i="162"/>
  <c r="V28" i="162"/>
  <c r="U28" i="162"/>
  <c r="T28" i="162"/>
  <c r="S28" i="162"/>
  <c r="R28" i="162"/>
  <c r="Q28" i="162"/>
  <c r="D28" i="162"/>
  <c r="AJ27" i="162"/>
  <c r="AH27" i="162" s="1"/>
  <c r="AI27" i="162"/>
  <c r="AG27" i="162"/>
  <c r="AF27" i="162"/>
  <c r="AE27" i="162"/>
  <c r="AD27" i="162"/>
  <c r="AC27" i="162"/>
  <c r="AB27" i="162"/>
  <c r="AA27" i="162"/>
  <c r="Z27" i="162"/>
  <c r="X27" i="162"/>
  <c r="W27" i="162"/>
  <c r="V27" i="162"/>
  <c r="U27" i="162"/>
  <c r="T27" i="162"/>
  <c r="S27" i="162"/>
  <c r="R27" i="162"/>
  <c r="Q27" i="162"/>
  <c r="D27" i="162"/>
  <c r="AJ26" i="162"/>
  <c r="AI26" i="162"/>
  <c r="AG26" i="162"/>
  <c r="AF26" i="162"/>
  <c r="AE26" i="162"/>
  <c r="AD26" i="162"/>
  <c r="AC26" i="162"/>
  <c r="AB26" i="162"/>
  <c r="AA26" i="162"/>
  <c r="Z26" i="162"/>
  <c r="Y26" i="162"/>
  <c r="X26" i="162"/>
  <c r="W26" i="162"/>
  <c r="V26" i="162"/>
  <c r="U26" i="162"/>
  <c r="T26" i="162"/>
  <c r="S26" i="162"/>
  <c r="R26" i="162"/>
  <c r="D26" i="162"/>
  <c r="AJ25" i="162"/>
  <c r="AI25" i="162"/>
  <c r="AG25" i="162"/>
  <c r="AF25" i="162"/>
  <c r="AE25" i="162"/>
  <c r="AD25" i="162"/>
  <c r="AC25" i="162"/>
  <c r="AB25" i="162"/>
  <c r="AA25" i="162"/>
  <c r="Z25" i="162"/>
  <c r="Y25" i="162"/>
  <c r="X25" i="162"/>
  <c r="W25" i="162"/>
  <c r="V25" i="162"/>
  <c r="U25" i="162"/>
  <c r="T25" i="162"/>
  <c r="S25" i="162"/>
  <c r="R25" i="162"/>
  <c r="Q25" i="162"/>
  <c r="D25" i="162"/>
  <c r="AJ24" i="162"/>
  <c r="AI24" i="162"/>
  <c r="AH24" i="162" s="1"/>
  <c r="AG24" i="162"/>
  <c r="AF24" i="162"/>
  <c r="AE24" i="162"/>
  <c r="AD24" i="162"/>
  <c r="AC24" i="162"/>
  <c r="AB24" i="162"/>
  <c r="AA24" i="162"/>
  <c r="Z24" i="162"/>
  <c r="Y24" i="162"/>
  <c r="X24" i="162"/>
  <c r="W24" i="162"/>
  <c r="V24" i="162"/>
  <c r="U24" i="162"/>
  <c r="T24" i="162"/>
  <c r="S24" i="162"/>
  <c r="R24" i="162"/>
  <c r="Q24" i="162"/>
  <c r="D24" i="162"/>
  <c r="AJ23" i="162"/>
  <c r="AI23" i="162"/>
  <c r="AH23" i="162" s="1"/>
  <c r="AG23" i="162"/>
  <c r="AF23" i="162"/>
  <c r="AE23" i="162"/>
  <c r="AD23" i="162"/>
  <c r="AC23" i="162"/>
  <c r="AB23" i="162"/>
  <c r="AA23" i="162"/>
  <c r="Z23" i="162"/>
  <c r="Y23" i="162"/>
  <c r="X23" i="162"/>
  <c r="W23" i="162"/>
  <c r="V23" i="162"/>
  <c r="U23" i="162"/>
  <c r="T23" i="162"/>
  <c r="S23" i="162"/>
  <c r="R23" i="162"/>
  <c r="Q23" i="162"/>
  <c r="D23" i="162"/>
  <c r="AJ22" i="162"/>
  <c r="AI22" i="162"/>
  <c r="AH22" i="162"/>
  <c r="AG22" i="162"/>
  <c r="AF22" i="162"/>
  <c r="AE22" i="162"/>
  <c r="AD22" i="162"/>
  <c r="AC22" i="162"/>
  <c r="AB22" i="162"/>
  <c r="AA22" i="162"/>
  <c r="Z22" i="162"/>
  <c r="Y22" i="162"/>
  <c r="X22" i="162"/>
  <c r="W22" i="162"/>
  <c r="V22" i="162"/>
  <c r="U22" i="162"/>
  <c r="T22" i="162"/>
  <c r="S22" i="162"/>
  <c r="R22" i="162"/>
  <c r="R12" i="162" s="1"/>
  <c r="Q22" i="162"/>
  <c r="D22" i="162"/>
  <c r="AJ21" i="162"/>
  <c r="AI21" i="162"/>
  <c r="AG21" i="162"/>
  <c r="AF21" i="162"/>
  <c r="AE21" i="162"/>
  <c r="AD21" i="162"/>
  <c r="AC21" i="162"/>
  <c r="AB21" i="162"/>
  <c r="AA21" i="162"/>
  <c r="Z21" i="162"/>
  <c r="Y21" i="162"/>
  <c r="X21" i="162"/>
  <c r="W21" i="162"/>
  <c r="V21" i="162"/>
  <c r="P21" i="162" s="1"/>
  <c r="U21" i="162"/>
  <c r="T21" i="162"/>
  <c r="S21" i="162"/>
  <c r="R21" i="162"/>
  <c r="Q21" i="162"/>
  <c r="D21" i="162"/>
  <c r="AJ20" i="162"/>
  <c r="AI20" i="162"/>
  <c r="AG20" i="162"/>
  <c r="AF20" i="162"/>
  <c r="AE20" i="162"/>
  <c r="AD20" i="162"/>
  <c r="AC20" i="162"/>
  <c r="AB20" i="162"/>
  <c r="AA20" i="162"/>
  <c r="Z20" i="162"/>
  <c r="Y20" i="162"/>
  <c r="X20" i="162"/>
  <c r="W20" i="162"/>
  <c r="V20" i="162"/>
  <c r="U20" i="162"/>
  <c r="T20" i="162"/>
  <c r="S20" i="162"/>
  <c r="R20" i="162"/>
  <c r="Q20" i="162"/>
  <c r="D20" i="162"/>
  <c r="AJ19" i="162"/>
  <c r="AI19" i="162"/>
  <c r="AH19" i="162" s="1"/>
  <c r="AG19" i="162"/>
  <c r="AF19" i="162"/>
  <c r="AE19" i="162"/>
  <c r="AD19" i="162"/>
  <c r="AC19" i="162"/>
  <c r="AB19" i="162"/>
  <c r="AA19" i="162"/>
  <c r="Y19" i="162"/>
  <c r="X19" i="162"/>
  <c r="W19" i="162"/>
  <c r="V19" i="162"/>
  <c r="U19" i="162"/>
  <c r="T19" i="162"/>
  <c r="S19" i="162"/>
  <c r="R19" i="162"/>
  <c r="Q19" i="162"/>
  <c r="D19" i="162"/>
  <c r="AJ18" i="162"/>
  <c r="AI18" i="162"/>
  <c r="AG18" i="162"/>
  <c r="AF18" i="162"/>
  <c r="AE18" i="162"/>
  <c r="AD18" i="162"/>
  <c r="AC18" i="162"/>
  <c r="AB18" i="162"/>
  <c r="AA18" i="162"/>
  <c r="Y18" i="162"/>
  <c r="X18" i="162"/>
  <c r="W18" i="162"/>
  <c r="V18" i="162"/>
  <c r="U18" i="162"/>
  <c r="T18" i="162"/>
  <c r="S18" i="162"/>
  <c r="R18" i="162"/>
  <c r="D18" i="162"/>
  <c r="AI17" i="162"/>
  <c r="AG17" i="162"/>
  <c r="AF17" i="162"/>
  <c r="AE17" i="162"/>
  <c r="AD17" i="162"/>
  <c r="AC17" i="162"/>
  <c r="AB17" i="162"/>
  <c r="AA17" i="162"/>
  <c r="Z17" i="162"/>
  <c r="Y17" i="162"/>
  <c r="X17" i="162"/>
  <c r="W17" i="162"/>
  <c r="V17" i="162"/>
  <c r="U17" i="162"/>
  <c r="T17" i="162"/>
  <c r="S17" i="162"/>
  <c r="R17" i="162"/>
  <c r="Q17" i="162"/>
  <c r="D17" i="162"/>
  <c r="AI16" i="162"/>
  <c r="AG16" i="162"/>
  <c r="AF16" i="162"/>
  <c r="AE16" i="162"/>
  <c r="AD16" i="162"/>
  <c r="AC16" i="162"/>
  <c r="AB16" i="162"/>
  <c r="Y16" i="162"/>
  <c r="X16" i="162"/>
  <c r="W16" i="162"/>
  <c r="V16" i="162"/>
  <c r="U16" i="162"/>
  <c r="T16" i="162"/>
  <c r="S16" i="162"/>
  <c r="R16" i="162"/>
  <c r="Q16" i="162"/>
  <c r="D16" i="162"/>
  <c r="AJ15" i="162"/>
  <c r="AI15" i="162"/>
  <c r="AH15" i="162" s="1"/>
  <c r="AG15" i="162"/>
  <c r="AF15" i="162"/>
  <c r="AE15" i="162"/>
  <c r="AD15" i="162"/>
  <c r="AC15" i="162"/>
  <c r="AB15" i="162"/>
  <c r="AA15" i="162"/>
  <c r="Z15" i="162"/>
  <c r="Y15" i="162"/>
  <c r="X15" i="162"/>
  <c r="W15" i="162"/>
  <c r="V15" i="162"/>
  <c r="U15" i="162"/>
  <c r="T15" i="162"/>
  <c r="S15" i="162"/>
  <c r="R15" i="162"/>
  <c r="Q15" i="162"/>
  <c r="D15" i="162"/>
  <c r="AJ14" i="162"/>
  <c r="AI14" i="162"/>
  <c r="AH14" i="162"/>
  <c r="AG14" i="162"/>
  <c r="AF14" i="162"/>
  <c r="AE14" i="162"/>
  <c r="AD14" i="162"/>
  <c r="AC14" i="162"/>
  <c r="AB14" i="162"/>
  <c r="AA14" i="162"/>
  <c r="Z14" i="162"/>
  <c r="Y14" i="162"/>
  <c r="X14" i="162"/>
  <c r="W14" i="162"/>
  <c r="V14" i="162"/>
  <c r="U14" i="162"/>
  <c r="T14" i="162"/>
  <c r="S14" i="162"/>
  <c r="R14" i="162"/>
  <c r="Q14" i="162"/>
  <c r="D14" i="162"/>
  <c r="AJ13" i="162"/>
  <c r="AI13" i="162"/>
  <c r="AG13" i="162"/>
  <c r="AF13" i="162"/>
  <c r="AE13" i="162"/>
  <c r="AD13" i="162"/>
  <c r="AC13" i="162"/>
  <c r="AB13" i="162"/>
  <c r="Z13" i="162"/>
  <c r="Y13" i="162"/>
  <c r="X13" i="162"/>
  <c r="W13" i="162"/>
  <c r="V13" i="162"/>
  <c r="T13" i="162"/>
  <c r="S13" i="162"/>
  <c r="R13" i="162"/>
  <c r="D13" i="162"/>
  <c r="AM12" i="162"/>
  <c r="AM11" i="162" s="1"/>
  <c r="AL12" i="162"/>
  <c r="AL11" i="162" s="1"/>
  <c r="AK12" i="162"/>
  <c r="AK11" i="162" s="1"/>
  <c r="AK10" i="162" s="1"/>
  <c r="K12" i="162"/>
  <c r="H12" i="162"/>
  <c r="F12" i="162"/>
  <c r="E12" i="162"/>
  <c r="AN10" i="162"/>
  <c r="S9" i="162"/>
  <c r="B85" i="162" s="1"/>
  <c r="H8" i="162"/>
  <c r="F8" i="162"/>
  <c r="E8" i="162"/>
  <c r="C71" i="161"/>
  <c r="C62" i="161"/>
  <c r="C60" i="161"/>
  <c r="C29" i="161"/>
  <c r="C28" i="161"/>
  <c r="C27" i="161" s="1"/>
  <c r="C26" i="161"/>
  <c r="C25" i="161"/>
  <c r="C17" i="161"/>
  <c r="B56" i="160"/>
  <c r="D55" i="160"/>
  <c r="B55" i="160"/>
  <c r="E46" i="160"/>
  <c r="E44" i="160"/>
  <c r="D44" i="160"/>
  <c r="E42" i="160"/>
  <c r="D42" i="160"/>
  <c r="C42" i="160" s="1"/>
  <c r="E40" i="160"/>
  <c r="E37" i="160"/>
  <c r="E36" i="160"/>
  <c r="E31" i="160"/>
  <c r="E30" i="160"/>
  <c r="E24" i="160"/>
  <c r="D24" i="160"/>
  <c r="E23" i="160"/>
  <c r="D23" i="160"/>
  <c r="C23" i="160" s="1"/>
  <c r="E22" i="160"/>
  <c r="E20" i="160" s="1"/>
  <c r="D22" i="160"/>
  <c r="E21" i="160"/>
  <c r="D21" i="160"/>
  <c r="C21" i="160" s="1"/>
  <c r="E19" i="160"/>
  <c r="D19" i="160"/>
  <c r="C19" i="160" s="1"/>
  <c r="E18" i="160"/>
  <c r="D18" i="160"/>
  <c r="E17" i="160"/>
  <c r="E16" i="160"/>
  <c r="A5" i="159"/>
  <c r="A5" i="160" s="1"/>
  <c r="A4" i="161" s="1"/>
  <c r="A2" i="162" s="1"/>
  <c r="A2" i="163" s="1"/>
  <c r="A2" i="164" s="1"/>
  <c r="A2" i="108" s="1"/>
  <c r="A3" i="109" s="1"/>
  <c r="A2" i="110" s="1"/>
  <c r="C40" i="159"/>
  <c r="C30" i="159"/>
  <c r="C26" i="159"/>
  <c r="C23" i="159"/>
  <c r="C20" i="159"/>
  <c r="C18" i="159"/>
  <c r="C64" i="158"/>
  <c r="B37" i="158"/>
  <c r="B36" i="158"/>
  <c r="B35" i="158"/>
  <c r="C34" i="158"/>
  <c r="B34" i="158"/>
  <c r="B33" i="158"/>
  <c r="B32" i="158"/>
  <c r="B31" i="158"/>
  <c r="F30" i="158"/>
  <c r="B30" i="158"/>
  <c r="B29" i="158"/>
  <c r="C16" i="163" l="1"/>
  <c r="C44" i="160"/>
  <c r="P14" i="162"/>
  <c r="C14" i="162" s="1"/>
  <c r="AD12" i="162"/>
  <c r="C18" i="160"/>
  <c r="Y63" i="162"/>
  <c r="C22" i="160"/>
  <c r="AH20" i="162"/>
  <c r="AE108" i="162"/>
  <c r="Y59" i="162"/>
  <c r="P77" i="162"/>
  <c r="AB12" i="162"/>
  <c r="P20" i="162"/>
  <c r="C20" i="162" s="1"/>
  <c r="C24" i="160"/>
  <c r="P17" i="162"/>
  <c r="P46" i="162"/>
  <c r="C46" i="162" s="1"/>
  <c r="Z45" i="162"/>
  <c r="Z44" i="162" s="1"/>
  <c r="AH45" i="162"/>
  <c r="D20" i="160"/>
  <c r="E35" i="160"/>
  <c r="S45" i="162"/>
  <c r="AI45" i="162"/>
  <c r="P78" i="162"/>
  <c r="C78" i="162" s="1"/>
  <c r="S12" i="162"/>
  <c r="C28" i="162"/>
  <c r="U51" i="162"/>
  <c r="X59" i="162"/>
  <c r="AF59" i="162"/>
  <c r="AH26" i="162"/>
  <c r="P43" i="162"/>
  <c r="AH49" i="162"/>
  <c r="H44" i="162"/>
  <c r="H11" i="162" s="1"/>
  <c r="X63" i="162"/>
  <c r="AF63" i="162"/>
  <c r="W12" i="162"/>
  <c r="AE12" i="162"/>
  <c r="V12" i="162"/>
  <c r="AH21" i="162"/>
  <c r="AH33" i="162"/>
  <c r="T45" i="162"/>
  <c r="AB45" i="162"/>
  <c r="AJ45" i="162"/>
  <c r="P49" i="162"/>
  <c r="AE51" i="162"/>
  <c r="AE44" i="162" s="1"/>
  <c r="P55" i="162"/>
  <c r="AH60" i="162"/>
  <c r="AH59" i="162" s="1"/>
  <c r="AH62" i="162"/>
  <c r="AH70" i="162"/>
  <c r="AF80" i="162"/>
  <c r="AH104" i="162"/>
  <c r="U45" i="162"/>
  <c r="AC45" i="162"/>
  <c r="X45" i="162"/>
  <c r="AF45" i="162"/>
  <c r="T51" i="162"/>
  <c r="AB51" i="162"/>
  <c r="AQ60" i="162"/>
  <c r="W63" i="162"/>
  <c r="AE63" i="162"/>
  <c r="P74" i="162"/>
  <c r="AG63" i="162"/>
  <c r="AD80" i="162"/>
  <c r="AG108" i="162"/>
  <c r="AG80" i="162" s="1"/>
  <c r="AH18" i="162"/>
  <c r="T12" i="162"/>
  <c r="P32" i="162"/>
  <c r="C32" i="162" s="1"/>
  <c r="P35" i="162"/>
  <c r="C35" i="162" s="1"/>
  <c r="P37" i="162"/>
  <c r="P48" i="162"/>
  <c r="AC51" i="162"/>
  <c r="Y51" i="162"/>
  <c r="AG51" i="162"/>
  <c r="AG59" i="162"/>
  <c r="D63" i="162"/>
  <c r="AH13" i="162"/>
  <c r="P22" i="162"/>
  <c r="C22" i="162" s="1"/>
  <c r="P25" i="162"/>
  <c r="P28" i="162"/>
  <c r="P29" i="162"/>
  <c r="P47" i="162"/>
  <c r="C47" i="162" s="1"/>
  <c r="V51" i="162"/>
  <c r="V44" i="162" s="1"/>
  <c r="AD51" i="162"/>
  <c r="AD44" i="162" s="1"/>
  <c r="R51" i="162"/>
  <c r="AH58" i="162"/>
  <c r="AJ59" i="162"/>
  <c r="P65" i="162"/>
  <c r="AB63" i="162"/>
  <c r="AH69" i="162"/>
  <c r="C122" i="162"/>
  <c r="C124" i="162"/>
  <c r="D13" i="163"/>
  <c r="C13" i="163"/>
  <c r="C29" i="163"/>
  <c r="C15" i="163"/>
  <c r="E29" i="163"/>
  <c r="E12" i="163" s="1"/>
  <c r="E8" i="163" s="1"/>
  <c r="E7" i="163" s="1"/>
  <c r="C43" i="162"/>
  <c r="P45" i="162"/>
  <c r="C49" i="162"/>
  <c r="U44" i="162"/>
  <c r="Y44" i="162"/>
  <c r="AG44" i="162"/>
  <c r="X12" i="162"/>
  <c r="AF12" i="162"/>
  <c r="AH25" i="162"/>
  <c r="AH29" i="162"/>
  <c r="C29" i="162" s="1"/>
  <c r="P33" i="162"/>
  <c r="P36" i="162"/>
  <c r="C36" i="162" s="1"/>
  <c r="R45" i="162"/>
  <c r="R44" i="162" s="1"/>
  <c r="D51" i="162"/>
  <c r="D44" i="162" s="1"/>
  <c r="P58" i="162"/>
  <c r="C58" i="162" s="1"/>
  <c r="AH74" i="162"/>
  <c r="C74" i="162" s="1"/>
  <c r="AE80" i="162"/>
  <c r="AE11" i="162" s="1"/>
  <c r="C50" i="162"/>
  <c r="P53" i="162"/>
  <c r="C53" i="162" s="1"/>
  <c r="C56" i="162"/>
  <c r="Q59" i="162"/>
  <c r="Q63" i="162"/>
  <c r="R63" i="162"/>
  <c r="Z63" i="162"/>
  <c r="D12" i="162"/>
  <c r="AI12" i="162"/>
  <c r="AC12" i="162"/>
  <c r="P24" i="162"/>
  <c r="C24" i="162" s="1"/>
  <c r="P31" i="162"/>
  <c r="C31" i="162" s="1"/>
  <c r="C48" i="162"/>
  <c r="S51" i="162"/>
  <c r="S44" i="162" s="1"/>
  <c r="AA51" i="162"/>
  <c r="AA44" i="162" s="1"/>
  <c r="AI51" i="162"/>
  <c r="AI44" i="162" s="1"/>
  <c r="P57" i="162"/>
  <c r="C57" i="162" s="1"/>
  <c r="T63" i="162"/>
  <c r="S63" i="162"/>
  <c r="AA63" i="162"/>
  <c r="AI63" i="162"/>
  <c r="AG12" i="162"/>
  <c r="E11" i="162"/>
  <c r="P23" i="162"/>
  <c r="C23" i="162" s="1"/>
  <c r="Q51" i="162"/>
  <c r="Q44" i="162" s="1"/>
  <c r="P52" i="162"/>
  <c r="X51" i="162"/>
  <c r="X44" i="162" s="1"/>
  <c r="AF51" i="162"/>
  <c r="AF44" i="162" s="1"/>
  <c r="R59" i="162"/>
  <c r="Z59" i="162"/>
  <c r="P76" i="162"/>
  <c r="C76" i="162" s="1"/>
  <c r="P109" i="162"/>
  <c r="P15" i="162"/>
  <c r="C15" i="162" s="1"/>
  <c r="P42" i="162"/>
  <c r="C42" i="162" s="1"/>
  <c r="C65" i="162"/>
  <c r="P75" i="162"/>
  <c r="C75" i="162" s="1"/>
  <c r="C88" i="162"/>
  <c r="C25" i="162"/>
  <c r="V63" i="162"/>
  <c r="AD63" i="162"/>
  <c r="AD11" i="162" s="1"/>
  <c r="K11" i="162"/>
  <c r="C21" i="162"/>
  <c r="AH34" i="162"/>
  <c r="U59" i="162"/>
  <c r="AC59" i="162"/>
  <c r="C77" i="162"/>
  <c r="D120" i="162"/>
  <c r="C20" i="160"/>
  <c r="C33" i="162" l="1"/>
  <c r="AI11" i="162"/>
  <c r="AG11" i="162"/>
  <c r="AG10" i="162" s="1"/>
  <c r="D11" i="162"/>
  <c r="AC44" i="162"/>
  <c r="AB44" i="162"/>
  <c r="T44" i="162"/>
  <c r="T11" i="162" s="1"/>
  <c r="T10" i="162" s="1"/>
  <c r="C45" i="162"/>
  <c r="P51" i="162"/>
  <c r="P44" i="162" s="1"/>
  <c r="C52" i="162"/>
  <c r="AF11" i="162"/>
  <c r="BC22" i="44" l="1"/>
  <c r="BD22" i="44"/>
  <c r="BE22" i="44"/>
  <c r="BF22" i="44"/>
  <c r="BF9" i="44" s="1"/>
  <c r="BF8" i="44" s="1"/>
  <c r="BC10" i="44"/>
  <c r="BD10" i="44"/>
  <c r="BD9" i="44" s="1"/>
  <c r="BD8" i="44" s="1"/>
  <c r="BE10" i="44"/>
  <c r="BE9" i="44" s="1"/>
  <c r="BE8" i="44" s="1"/>
  <c r="BF10" i="44"/>
  <c r="BA52" i="44"/>
  <c r="BA51" i="44"/>
  <c r="BA50" i="44"/>
  <c r="BA49" i="44"/>
  <c r="BA47" i="44" s="1"/>
  <c r="BA48" i="44"/>
  <c r="BA46" i="44"/>
  <c r="BA45" i="44"/>
  <c r="BA44" i="44"/>
  <c r="BA43" i="44"/>
  <c r="BA42" i="44"/>
  <c r="BA41" i="44" s="1"/>
  <c r="BA22" i="44"/>
  <c r="BA10" i="44"/>
  <c r="BA40" i="44" l="1"/>
  <c r="BC9" i="44"/>
  <c r="BC8" i="44" s="1"/>
  <c r="BA9" i="44"/>
  <c r="BA8" i="44" s="1"/>
  <c r="AC71" i="13"/>
  <c r="AC67" i="13"/>
  <c r="AC67" i="162" l="1"/>
  <c r="P67" i="162" s="1"/>
  <c r="C67" i="162" s="1"/>
  <c r="AC71" i="162"/>
  <c r="P71" i="162" s="1"/>
  <c r="C71" i="162" s="1"/>
  <c r="Q15" i="43"/>
  <c r="Q14" i="43"/>
  <c r="Z41" i="45" l="1"/>
  <c r="Y42" i="45"/>
  <c r="Y41" i="45"/>
  <c r="V78" i="44"/>
  <c r="U78" i="44"/>
  <c r="Z78" i="44"/>
  <c r="Z66" i="46"/>
  <c r="Z68" i="46"/>
  <c r="Z64" i="46"/>
  <c r="Z60" i="46"/>
  <c r="Z61" i="46"/>
  <c r="Y40" i="46"/>
  <c r="X40" i="46" s="1"/>
  <c r="Y41" i="46"/>
  <c r="Y42" i="46"/>
  <c r="Z38" i="46"/>
  <c r="Z68" i="45"/>
  <c r="Z66" i="45"/>
  <c r="Z64" i="45"/>
  <c r="Z60" i="45"/>
  <c r="Z61" i="45"/>
  <c r="Z57" i="45"/>
  <c r="Z55" i="45"/>
  <c r="Z40" i="45"/>
  <c r="Y40" i="45"/>
  <c r="X40" i="45" s="1"/>
  <c r="Z38" i="45"/>
  <c r="AP78" i="44"/>
  <c r="AO78" i="44"/>
  <c r="AK78" i="44"/>
  <c r="AJ78" i="44"/>
  <c r="AF78" i="44"/>
  <c r="AE78" i="44"/>
  <c r="W66" i="46"/>
  <c r="W68" i="46"/>
  <c r="W64" i="46"/>
  <c r="W60" i="46"/>
  <c r="W61" i="46"/>
  <c r="W57" i="46"/>
  <c r="V42" i="46"/>
  <c r="V41" i="46"/>
  <c r="V40" i="46"/>
  <c r="W40" i="46"/>
  <c r="W38" i="46"/>
  <c r="W41" i="45"/>
  <c r="W42" i="45"/>
  <c r="V42" i="45"/>
  <c r="V41" i="45"/>
  <c r="AP14" i="44"/>
  <c r="Z39" i="46" s="1"/>
  <c r="Z17" i="44"/>
  <c r="AK14" i="44"/>
  <c r="W39" i="46" s="1"/>
  <c r="W40" i="45"/>
  <c r="V40" i="45"/>
  <c r="W38" i="45"/>
  <c r="W68" i="45"/>
  <c r="W66" i="45"/>
  <c r="W64" i="45"/>
  <c r="W60" i="45"/>
  <c r="W61" i="45"/>
  <c r="T68" i="46"/>
  <c r="S68" i="46"/>
  <c r="T66" i="46"/>
  <c r="T64" i="46"/>
  <c r="T60" i="46"/>
  <c r="T61" i="46"/>
  <c r="T41" i="46"/>
  <c r="T42" i="46"/>
  <c r="S42" i="46"/>
  <c r="S41" i="46"/>
  <c r="R40" i="46"/>
  <c r="T39" i="46"/>
  <c r="T40" i="46"/>
  <c r="S40" i="46"/>
  <c r="T38" i="46"/>
  <c r="AA78" i="44"/>
  <c r="U40" i="45" l="1"/>
  <c r="U40" i="46"/>
  <c r="W39" i="45"/>
  <c r="Z39" i="45"/>
  <c r="T66" i="45"/>
  <c r="T64" i="45"/>
  <c r="T57" i="45"/>
  <c r="T41" i="45"/>
  <c r="T42" i="45"/>
  <c r="S41" i="45"/>
  <c r="S42" i="45"/>
  <c r="S40" i="45"/>
  <c r="R40" i="45" s="1"/>
  <c r="T38" i="45"/>
  <c r="U17" i="44"/>
  <c r="AB15" i="44"/>
  <c r="AG15" i="44"/>
  <c r="AL15" i="44"/>
  <c r="Y32" i="46"/>
  <c r="Z32" i="46"/>
  <c r="Z16" i="46"/>
  <c r="Z15" i="46"/>
  <c r="V32" i="46"/>
  <c r="W32" i="46"/>
  <c r="W15" i="46"/>
  <c r="S32" i="46"/>
  <c r="T32" i="46"/>
  <c r="T15" i="46"/>
  <c r="T16" i="46"/>
  <c r="S32" i="45"/>
  <c r="V32" i="45"/>
  <c r="Y32" i="45"/>
  <c r="Z16" i="45"/>
  <c r="Z15" i="45"/>
  <c r="W16" i="45"/>
  <c r="W15" i="45"/>
  <c r="T23" i="45"/>
  <c r="T24" i="45"/>
  <c r="T16" i="45"/>
  <c r="T15" i="45"/>
  <c r="AE14" i="44"/>
  <c r="P21" i="13"/>
  <c r="AB14" i="44" l="1"/>
  <c r="S39" i="46"/>
  <c r="S39" i="45"/>
  <c r="Q13" i="13" l="1"/>
  <c r="Q26" i="13"/>
  <c r="B98" i="60"/>
  <c r="Z102" i="13"/>
  <c r="Y98" i="13"/>
  <c r="Q18" i="13"/>
  <c r="Z102" i="162" l="1"/>
  <c r="Q18" i="162"/>
  <c r="Y98" i="60"/>
  <c r="Y98" i="162"/>
  <c r="Q26" i="162"/>
  <c r="P26" i="162" s="1"/>
  <c r="C26" i="162" s="1"/>
  <c r="Q13" i="162"/>
  <c r="Z104" i="13"/>
  <c r="P102" i="162" l="1"/>
  <c r="C102" i="162" s="1"/>
  <c r="Z104" i="162"/>
  <c r="P104" i="162" s="1"/>
  <c r="C104" i="162" s="1"/>
  <c r="AA16" i="13"/>
  <c r="Z19" i="13"/>
  <c r="Z19" i="162" l="1"/>
  <c r="P19" i="162" s="1"/>
  <c r="C19" i="162" s="1"/>
  <c r="AA16" i="162"/>
  <c r="Z41" i="13"/>
  <c r="Q34" i="13"/>
  <c r="Q34" i="162" l="1"/>
  <c r="P34" i="162" s="1"/>
  <c r="C34" i="162" s="1"/>
  <c r="Z41" i="162"/>
  <c r="P41" i="162" s="1"/>
  <c r="C41" i="162" s="1"/>
  <c r="B82" i="74"/>
  <c r="B85" i="75" s="1"/>
  <c r="B86" i="76" s="1"/>
  <c r="B87" i="77" s="1"/>
  <c r="B86" i="78" s="1"/>
  <c r="B87" i="79" s="1"/>
  <c r="B86" i="80" s="1"/>
  <c r="B85" i="81" s="1"/>
  <c r="B85" i="82" s="1"/>
  <c r="B85" i="83" s="1"/>
  <c r="B83" i="84" s="1"/>
  <c r="B83" i="74"/>
  <c r="B86" i="75" s="1"/>
  <c r="B87" i="76" s="1"/>
  <c r="B88" i="77" s="1"/>
  <c r="B87" i="78" s="1"/>
  <c r="B88" i="79" s="1"/>
  <c r="B87" i="80" s="1"/>
  <c r="B86" i="81" s="1"/>
  <c r="B86" i="82" s="1"/>
  <c r="B86" i="83" s="1"/>
  <c r="B84" i="84" s="1"/>
  <c r="B84" i="74"/>
  <c r="B87" i="75"/>
  <c r="B88" i="76" s="1"/>
  <c r="B89" i="77" s="1"/>
  <c r="B88" i="78" s="1"/>
  <c r="B89" i="79" s="1"/>
  <c r="B88" i="80" s="1"/>
  <c r="B87" i="81" s="1"/>
  <c r="B87" i="82" s="1"/>
  <c r="B87" i="83" s="1"/>
  <c r="B85" i="84" s="1"/>
  <c r="C131" i="84"/>
  <c r="C131" i="83"/>
  <c r="C131" i="82"/>
  <c r="C132" i="81"/>
  <c r="C135" i="80"/>
  <c r="C133" i="79"/>
  <c r="C135" i="78"/>
  <c r="C139" i="77"/>
  <c r="C133" i="76"/>
  <c r="C137" i="75"/>
  <c r="C128" i="74"/>
  <c r="C136" i="73"/>
  <c r="C133" i="72" s="1"/>
  <c r="B136" i="73"/>
  <c r="B128" i="74" s="1"/>
  <c r="B137" i="75" s="1"/>
  <c r="B133" i="76" s="1"/>
  <c r="B139" i="77" s="1"/>
  <c r="B135" i="78" s="1"/>
  <c r="B133" i="79" s="1"/>
  <c r="B135" i="80" s="1"/>
  <c r="B132" i="81" s="1"/>
  <c r="B131" i="82" s="1"/>
  <c r="B131" i="83" s="1"/>
  <c r="B131" i="84" s="1"/>
  <c r="B135" i="73"/>
  <c r="B127" i="74" s="1"/>
  <c r="B136" i="75" s="1"/>
  <c r="B132" i="76" s="1"/>
  <c r="B138" i="77" s="1"/>
  <c r="B134" i="78" s="1"/>
  <c r="B132" i="79" s="1"/>
  <c r="B134" i="80" s="1"/>
  <c r="B131" i="81" s="1"/>
  <c r="B130" i="82" s="1"/>
  <c r="B130" i="83" s="1"/>
  <c r="B130" i="84" s="1"/>
  <c r="C63" i="66"/>
  <c r="B21" i="63"/>
  <c r="C31" i="70"/>
  <c r="C31" i="110" s="1"/>
  <c r="E6" i="112" l="1"/>
  <c r="A3" i="154"/>
  <c r="M42" i="154" l="1"/>
  <c r="M43" i="154"/>
  <c r="M44" i="154"/>
  <c r="M46" i="154"/>
  <c r="M51" i="154"/>
  <c r="M52" i="154"/>
  <c r="AR21" i="151"/>
  <c r="AR22" i="151"/>
  <c r="AR27" i="151"/>
  <c r="AR54" i="151"/>
  <c r="BC59" i="150"/>
  <c r="G67" i="154"/>
  <c r="G68" i="154"/>
  <c r="H41" i="154"/>
  <c r="H42" i="154"/>
  <c r="H43" i="154"/>
  <c r="H44" i="154"/>
  <c r="F67" i="154"/>
  <c r="F68" i="154"/>
  <c r="H52" i="154"/>
  <c r="H51" i="154"/>
  <c r="Z51" i="151" l="1"/>
  <c r="AA51" i="151"/>
  <c r="Z52" i="151"/>
  <c r="AA52" i="151"/>
  <c r="Z53" i="151"/>
  <c r="AA53" i="151"/>
  <c r="AA49" i="151"/>
  <c r="AA47" i="151"/>
  <c r="AA44" i="151"/>
  <c r="AA43" i="151"/>
  <c r="Z27" i="151"/>
  <c r="AA27" i="151"/>
  <c r="U53" i="151"/>
  <c r="V53" i="151"/>
  <c r="V52" i="151"/>
  <c r="U52" i="151"/>
  <c r="V51" i="151"/>
  <c r="V49" i="151"/>
  <c r="V47" i="151"/>
  <c r="V44" i="151"/>
  <c r="V43" i="151"/>
  <c r="V25" i="151"/>
  <c r="U27" i="151"/>
  <c r="V27" i="151"/>
  <c r="V28" i="151"/>
  <c r="V37" i="151"/>
  <c r="U38" i="151"/>
  <c r="V38" i="151"/>
  <c r="V14" i="151"/>
  <c r="U16" i="151"/>
  <c r="V16" i="151"/>
  <c r="U17" i="151"/>
  <c r="R17" i="151" s="1"/>
  <c r="V17" i="151"/>
  <c r="U18" i="151"/>
  <c r="AA14" i="151"/>
  <c r="Z16" i="151"/>
  <c r="AA16" i="151"/>
  <c r="W16" i="151" s="1"/>
  <c r="Z17" i="151"/>
  <c r="AA17" i="151"/>
  <c r="Z18" i="151"/>
  <c r="P51" i="151"/>
  <c r="Q51" i="151"/>
  <c r="Q52" i="151"/>
  <c r="Q53" i="151"/>
  <c r="Q49" i="151"/>
  <c r="P49" i="151"/>
  <c r="Q47" i="151"/>
  <c r="Q44" i="151"/>
  <c r="Q42" i="151" s="1"/>
  <c r="Q43" i="151"/>
  <c r="P27" i="151"/>
  <c r="Q27" i="151"/>
  <c r="Q37" i="151"/>
  <c r="Q38" i="151"/>
  <c r="Q14" i="151"/>
  <c r="Q15" i="151"/>
  <c r="P16" i="151"/>
  <c r="Q16" i="151"/>
  <c r="P17" i="151"/>
  <c r="Q17" i="151"/>
  <c r="K14" i="151"/>
  <c r="L14" i="151"/>
  <c r="K16" i="151"/>
  <c r="L16" i="151"/>
  <c r="G50" i="151"/>
  <c r="G48" i="151" s="1"/>
  <c r="F50" i="151"/>
  <c r="G49" i="151"/>
  <c r="F49" i="151"/>
  <c r="G47" i="151"/>
  <c r="G46" i="151"/>
  <c r="G45" i="151" s="1"/>
  <c r="G44" i="151"/>
  <c r="G43" i="151"/>
  <c r="G42" i="151" s="1"/>
  <c r="F25" i="151"/>
  <c r="G25" i="151"/>
  <c r="F27" i="151"/>
  <c r="G27" i="151"/>
  <c r="F28" i="151"/>
  <c r="G28" i="151"/>
  <c r="F29" i="151"/>
  <c r="G29" i="151"/>
  <c r="F30" i="151"/>
  <c r="G30" i="151"/>
  <c r="F31" i="151"/>
  <c r="G31" i="151"/>
  <c r="F32" i="151"/>
  <c r="G32" i="151"/>
  <c r="F33" i="151"/>
  <c r="G33" i="151"/>
  <c r="F34" i="151"/>
  <c r="G34" i="151"/>
  <c r="F35" i="151"/>
  <c r="G35" i="151"/>
  <c r="F36" i="151"/>
  <c r="G36" i="151"/>
  <c r="F37" i="151"/>
  <c r="G37" i="151"/>
  <c r="F38" i="151"/>
  <c r="G38" i="151"/>
  <c r="F39" i="151"/>
  <c r="G39" i="151"/>
  <c r="F40" i="151"/>
  <c r="C25" i="151"/>
  <c r="C26" i="151"/>
  <c r="C27" i="151"/>
  <c r="D27" i="151"/>
  <c r="C28" i="151"/>
  <c r="C29" i="151"/>
  <c r="C30" i="151"/>
  <c r="C31" i="151"/>
  <c r="C32" i="151"/>
  <c r="C33" i="151"/>
  <c r="C34" i="151"/>
  <c r="C35" i="151"/>
  <c r="C36" i="151"/>
  <c r="C38" i="151"/>
  <c r="C39" i="151"/>
  <c r="C40" i="151"/>
  <c r="G24" i="151"/>
  <c r="C24" i="151"/>
  <c r="C14" i="151"/>
  <c r="D14" i="151"/>
  <c r="C15" i="151"/>
  <c r="C16" i="151"/>
  <c r="D16" i="151"/>
  <c r="C17" i="151"/>
  <c r="C18" i="151"/>
  <c r="C19" i="151"/>
  <c r="C20" i="151"/>
  <c r="C21" i="151"/>
  <c r="D21" i="151"/>
  <c r="C22" i="151"/>
  <c r="D22" i="151"/>
  <c r="F14" i="151"/>
  <c r="G14" i="151"/>
  <c r="G15" i="151"/>
  <c r="F16" i="151"/>
  <c r="G16" i="151"/>
  <c r="G17" i="151"/>
  <c r="F12" i="151"/>
  <c r="C12" i="151"/>
  <c r="AH72" i="150"/>
  <c r="AG72" i="150"/>
  <c r="AE72" i="150"/>
  <c r="AE71" i="150"/>
  <c r="AH70" i="150"/>
  <c r="AE70" i="150"/>
  <c r="AH69" i="150"/>
  <c r="AE69" i="150"/>
  <c r="AH67" i="150"/>
  <c r="AE67" i="150"/>
  <c r="AH66" i="150"/>
  <c r="AE66" i="150"/>
  <c r="AH64" i="150"/>
  <c r="AE64" i="150"/>
  <c r="AH63" i="150"/>
  <c r="AE63" i="150"/>
  <c r="AH60" i="150"/>
  <c r="AE60" i="150"/>
  <c r="AH58" i="150"/>
  <c r="AE58" i="150"/>
  <c r="AC52" i="150"/>
  <c r="AJ52" i="150" s="1"/>
  <c r="AH52" i="150"/>
  <c r="AC53" i="150"/>
  <c r="AH53" i="150"/>
  <c r="AC54" i="150"/>
  <c r="AH54" i="150"/>
  <c r="AC55" i="150"/>
  <c r="AE55" i="150"/>
  <c r="AG55" i="150"/>
  <c r="AH55" i="150"/>
  <c r="AC56" i="150"/>
  <c r="AE56" i="150"/>
  <c r="AG56" i="150"/>
  <c r="AH56" i="150"/>
  <c r="AC37" i="150"/>
  <c r="AE37" i="150"/>
  <c r="AH37" i="150"/>
  <c r="AC38" i="150"/>
  <c r="AE38" i="150"/>
  <c r="AC39" i="150"/>
  <c r="AE39" i="150"/>
  <c r="AC40" i="150"/>
  <c r="AH40" i="150"/>
  <c r="AC41" i="150"/>
  <c r="AC42" i="150"/>
  <c r="AE42" i="150"/>
  <c r="AC43" i="150"/>
  <c r="AE43" i="150"/>
  <c r="AC44" i="150"/>
  <c r="AE44" i="150"/>
  <c r="AH44" i="150"/>
  <c r="AC45" i="150"/>
  <c r="AC46" i="150"/>
  <c r="AJ46" i="150" s="1"/>
  <c r="AH46" i="150"/>
  <c r="AC47" i="150"/>
  <c r="AE47" i="150"/>
  <c r="AH47" i="150"/>
  <c r="AC48" i="150"/>
  <c r="AE48" i="150"/>
  <c r="AG48" i="150"/>
  <c r="AH48" i="150"/>
  <c r="AC49" i="150"/>
  <c r="AE49" i="150"/>
  <c r="AC50" i="150"/>
  <c r="AE50" i="150"/>
  <c r="AH50" i="150"/>
  <c r="AE36" i="150"/>
  <c r="AC36" i="150"/>
  <c r="AH35" i="150"/>
  <c r="AE35" i="150"/>
  <c r="AC35" i="150"/>
  <c r="AH34" i="150"/>
  <c r="AE34" i="150"/>
  <c r="AC34" i="150"/>
  <c r="AH33" i="150"/>
  <c r="AE33" i="150"/>
  <c r="AC33" i="150"/>
  <c r="AE32" i="150"/>
  <c r="AC32" i="150"/>
  <c r="AE31" i="150"/>
  <c r="AC31" i="150"/>
  <c r="AH29" i="150"/>
  <c r="AE29" i="150"/>
  <c r="AC29" i="150"/>
  <c r="AH28" i="150"/>
  <c r="AH25" i="150" s="1"/>
  <c r="AE28" i="150"/>
  <c r="AC28" i="150"/>
  <c r="AH27" i="150"/>
  <c r="AE27" i="150"/>
  <c r="AC27" i="150"/>
  <c r="AH26" i="150"/>
  <c r="AE26" i="150"/>
  <c r="AC26" i="150"/>
  <c r="AC25" i="150" s="1"/>
  <c r="AH24" i="150"/>
  <c r="AE24" i="150"/>
  <c r="AC24" i="150"/>
  <c r="AH23" i="150"/>
  <c r="AE23" i="150"/>
  <c r="AC23" i="150"/>
  <c r="AH22" i="150"/>
  <c r="AE22" i="150"/>
  <c r="AE19" i="150" s="1"/>
  <c r="AC22" i="150"/>
  <c r="AH21" i="150"/>
  <c r="AE21" i="150"/>
  <c r="AC21" i="150"/>
  <c r="AH20" i="150"/>
  <c r="AE20" i="150"/>
  <c r="AC20" i="150"/>
  <c r="AC15" i="150"/>
  <c r="AE15" i="150"/>
  <c r="AH15" i="150"/>
  <c r="AC16" i="150"/>
  <c r="AE16" i="150"/>
  <c r="AH16" i="150"/>
  <c r="AC17" i="150"/>
  <c r="AE17" i="150"/>
  <c r="AH17" i="150"/>
  <c r="AC18" i="150"/>
  <c r="AE18" i="150"/>
  <c r="AH18" i="150"/>
  <c r="AH14" i="150"/>
  <c r="AE14" i="150"/>
  <c r="AC14" i="150"/>
  <c r="AB72" i="150"/>
  <c r="AA72" i="150"/>
  <c r="Z72" i="150" s="1"/>
  <c r="Y72" i="150"/>
  <c r="AA71" i="150"/>
  <c r="Y71" i="150"/>
  <c r="AB70" i="150"/>
  <c r="Y70" i="150"/>
  <c r="AB69" i="150"/>
  <c r="Y69" i="150"/>
  <c r="AB67" i="150"/>
  <c r="AB65" i="150" s="1"/>
  <c r="Y67" i="150"/>
  <c r="AB66" i="150"/>
  <c r="Y66" i="150"/>
  <c r="AB64" i="150"/>
  <c r="Y64" i="150"/>
  <c r="AB63" i="150"/>
  <c r="Y63" i="150"/>
  <c r="AB60" i="150"/>
  <c r="Y60" i="150"/>
  <c r="AB58" i="150"/>
  <c r="Y58" i="150"/>
  <c r="W37" i="150"/>
  <c r="Y37" i="150"/>
  <c r="AB37" i="150"/>
  <c r="W38" i="150"/>
  <c r="Y38" i="150"/>
  <c r="W39" i="150"/>
  <c r="Y39" i="150"/>
  <c r="W40" i="150"/>
  <c r="AB40" i="150"/>
  <c r="W41" i="150"/>
  <c r="W42" i="150"/>
  <c r="Y42" i="150"/>
  <c r="W43" i="150"/>
  <c r="Y43" i="150"/>
  <c r="W44" i="150"/>
  <c r="Y44" i="150"/>
  <c r="AB44" i="150"/>
  <c r="W45" i="150"/>
  <c r="W46" i="150"/>
  <c r="AB46" i="150"/>
  <c r="W47" i="150"/>
  <c r="Y47" i="150"/>
  <c r="AB47" i="150"/>
  <c r="W48" i="150"/>
  <c r="Y48" i="150"/>
  <c r="AA48" i="150"/>
  <c r="AB48" i="150"/>
  <c r="W49" i="150"/>
  <c r="Y49" i="150"/>
  <c r="W50" i="150"/>
  <c r="Y50" i="150"/>
  <c r="AB50" i="150"/>
  <c r="Y36" i="150"/>
  <c r="W36" i="150"/>
  <c r="AB35" i="150"/>
  <c r="Y35" i="150"/>
  <c r="W35" i="150"/>
  <c r="AB34" i="150"/>
  <c r="Y34" i="150"/>
  <c r="W34" i="150"/>
  <c r="AB33" i="150"/>
  <c r="Y33" i="150"/>
  <c r="W33" i="150"/>
  <c r="Y32" i="150"/>
  <c r="W32" i="150"/>
  <c r="Y31" i="150"/>
  <c r="W31" i="150"/>
  <c r="AB29" i="150"/>
  <c r="Y29" i="150"/>
  <c r="W29" i="150"/>
  <c r="AB28" i="150"/>
  <c r="Y28" i="150"/>
  <c r="W28" i="150"/>
  <c r="AB27" i="150"/>
  <c r="Y27" i="150"/>
  <c r="W27" i="150"/>
  <c r="AB26" i="150"/>
  <c r="Y26" i="150"/>
  <c r="W26" i="150"/>
  <c r="AB24" i="150"/>
  <c r="Y24" i="150"/>
  <c r="Y19" i="150" s="1"/>
  <c r="W24" i="150"/>
  <c r="AB23" i="150"/>
  <c r="Y23" i="150"/>
  <c r="W23" i="150"/>
  <c r="AB22" i="150"/>
  <c r="Y22" i="150"/>
  <c r="W22" i="150"/>
  <c r="AB21" i="150"/>
  <c r="Y21" i="150"/>
  <c r="W21" i="150"/>
  <c r="AB20" i="150"/>
  <c r="Y20" i="150"/>
  <c r="W20" i="150"/>
  <c r="W15" i="150"/>
  <c r="Y15" i="150"/>
  <c r="AB15" i="150"/>
  <c r="W16" i="150"/>
  <c r="Y16" i="150"/>
  <c r="AB16" i="150"/>
  <c r="W17" i="150"/>
  <c r="Y17" i="150"/>
  <c r="AB17" i="150"/>
  <c r="W18" i="150"/>
  <c r="Y18" i="150"/>
  <c r="AB18" i="150"/>
  <c r="Y14" i="150"/>
  <c r="AB14" i="150"/>
  <c r="W14" i="150"/>
  <c r="V72" i="150"/>
  <c r="U72" i="150"/>
  <c r="S72" i="150"/>
  <c r="S71" i="150"/>
  <c r="V70" i="150"/>
  <c r="S70" i="150"/>
  <c r="V69" i="150"/>
  <c r="S69" i="150"/>
  <c r="Q69" i="150"/>
  <c r="V66" i="150"/>
  <c r="S66" i="150"/>
  <c r="V64" i="150"/>
  <c r="S64" i="150"/>
  <c r="V63" i="150"/>
  <c r="S63" i="150"/>
  <c r="V60" i="150"/>
  <c r="S60" i="150"/>
  <c r="Q60" i="150"/>
  <c r="V58" i="150"/>
  <c r="S58" i="150"/>
  <c r="S57" i="150" s="1"/>
  <c r="S36" i="150"/>
  <c r="S37" i="150"/>
  <c r="S38" i="150"/>
  <c r="Q39" i="150"/>
  <c r="S39" i="150"/>
  <c r="V40" i="150"/>
  <c r="Q41" i="150"/>
  <c r="S41" i="150"/>
  <c r="S42" i="150"/>
  <c r="S43" i="150"/>
  <c r="Q44" i="150"/>
  <c r="S44" i="150"/>
  <c r="V44" i="150"/>
  <c r="Q45" i="150"/>
  <c r="S45" i="150"/>
  <c r="Q46" i="150"/>
  <c r="S46" i="150"/>
  <c r="V46" i="150"/>
  <c r="S47" i="150"/>
  <c r="V47" i="150"/>
  <c r="Q48" i="150"/>
  <c r="S48" i="150"/>
  <c r="U48" i="150"/>
  <c r="V48" i="150"/>
  <c r="S49" i="150"/>
  <c r="S50" i="150"/>
  <c r="V50" i="150"/>
  <c r="Q52" i="150"/>
  <c r="V52" i="150"/>
  <c r="Q53" i="150"/>
  <c r="V53" i="150"/>
  <c r="Q54" i="150"/>
  <c r="V54" i="150"/>
  <c r="Q55" i="150"/>
  <c r="BB55" i="150" s="1"/>
  <c r="U55" i="150"/>
  <c r="V55" i="150"/>
  <c r="S56" i="150"/>
  <c r="V56" i="150"/>
  <c r="S32" i="150"/>
  <c r="S33" i="150"/>
  <c r="S34" i="150"/>
  <c r="S35" i="150"/>
  <c r="S31" i="150"/>
  <c r="Q27" i="150"/>
  <c r="S27" i="150"/>
  <c r="V27" i="150"/>
  <c r="Q28" i="150"/>
  <c r="S28" i="150"/>
  <c r="V28" i="150"/>
  <c r="Q29" i="150"/>
  <c r="S29" i="150"/>
  <c r="V29" i="150"/>
  <c r="V26" i="150"/>
  <c r="S26" i="150"/>
  <c r="Q26" i="150"/>
  <c r="Q21" i="150"/>
  <c r="S21" i="150"/>
  <c r="V21" i="150"/>
  <c r="Q22" i="150"/>
  <c r="S22" i="150"/>
  <c r="V22" i="150"/>
  <c r="Q23" i="150"/>
  <c r="S23" i="150"/>
  <c r="V23" i="150"/>
  <c r="Q24" i="150"/>
  <c r="S24" i="150"/>
  <c r="V24" i="150"/>
  <c r="V20" i="150"/>
  <c r="S20" i="150"/>
  <c r="Q20" i="150"/>
  <c r="S15" i="150"/>
  <c r="S16" i="150"/>
  <c r="S17" i="150"/>
  <c r="S18" i="150"/>
  <c r="Q15" i="150"/>
  <c r="Q16" i="150"/>
  <c r="Q17" i="150"/>
  <c r="Q18" i="150"/>
  <c r="V15" i="150"/>
  <c r="V16" i="150"/>
  <c r="V17" i="150"/>
  <c r="V18" i="150"/>
  <c r="V14" i="150"/>
  <c r="S14" i="150"/>
  <c r="Q14" i="150"/>
  <c r="O71" i="150"/>
  <c r="P70" i="150"/>
  <c r="P69" i="150"/>
  <c r="P67" i="150"/>
  <c r="P66" i="150"/>
  <c r="P64" i="150"/>
  <c r="P63" i="150"/>
  <c r="P59" i="150"/>
  <c r="P60" i="150"/>
  <c r="P58" i="150"/>
  <c r="I59" i="150"/>
  <c r="I60" i="150"/>
  <c r="I58" i="150"/>
  <c r="C60" i="150"/>
  <c r="M32" i="150"/>
  <c r="M33" i="150"/>
  <c r="M34" i="150"/>
  <c r="M35" i="150"/>
  <c r="M36" i="150"/>
  <c r="M37" i="150"/>
  <c r="M38" i="150"/>
  <c r="M39" i="150"/>
  <c r="M42" i="150"/>
  <c r="M43" i="150"/>
  <c r="M44" i="150"/>
  <c r="M48" i="150"/>
  <c r="M31" i="150"/>
  <c r="M27" i="150"/>
  <c r="M28" i="150"/>
  <c r="M29" i="150"/>
  <c r="M26" i="150"/>
  <c r="M21" i="150"/>
  <c r="M22" i="150"/>
  <c r="M23" i="150"/>
  <c r="M24" i="150"/>
  <c r="BN24" i="150" s="1"/>
  <c r="M20" i="150"/>
  <c r="M15" i="150"/>
  <c r="M16" i="150"/>
  <c r="M17" i="150"/>
  <c r="M18" i="150"/>
  <c r="M14" i="150"/>
  <c r="F32" i="150"/>
  <c r="F33" i="150"/>
  <c r="F34" i="150"/>
  <c r="F35" i="150"/>
  <c r="F36" i="150"/>
  <c r="F37" i="150"/>
  <c r="F38" i="150"/>
  <c r="F39" i="150"/>
  <c r="F41" i="150"/>
  <c r="F42" i="150"/>
  <c r="BN42" i="150" s="1"/>
  <c r="F43" i="150"/>
  <c r="F44" i="150"/>
  <c r="F45" i="150"/>
  <c r="F47" i="150"/>
  <c r="F48" i="150"/>
  <c r="F49" i="150"/>
  <c r="F50" i="150"/>
  <c r="F55" i="150"/>
  <c r="F31" i="150"/>
  <c r="F27" i="150"/>
  <c r="F28" i="150"/>
  <c r="F29" i="150"/>
  <c r="F26" i="150"/>
  <c r="BN26" i="150" s="1"/>
  <c r="F21" i="150"/>
  <c r="F22" i="150"/>
  <c r="F23" i="150"/>
  <c r="F24" i="150"/>
  <c r="F20" i="150"/>
  <c r="F15" i="150"/>
  <c r="F16" i="150"/>
  <c r="F17" i="150"/>
  <c r="BN17" i="150" s="1"/>
  <c r="F18" i="150"/>
  <c r="F14" i="150"/>
  <c r="J36" i="150"/>
  <c r="J37" i="150"/>
  <c r="J38" i="150"/>
  <c r="J39" i="150"/>
  <c r="J40" i="150"/>
  <c r="P40" i="150"/>
  <c r="J41" i="150"/>
  <c r="J42" i="150"/>
  <c r="J43" i="150"/>
  <c r="J44" i="150"/>
  <c r="O44" i="150"/>
  <c r="P44" i="150"/>
  <c r="J46" i="150"/>
  <c r="P48" i="150"/>
  <c r="J49" i="150"/>
  <c r="J50" i="150"/>
  <c r="J32" i="150"/>
  <c r="J33" i="150"/>
  <c r="P33" i="150"/>
  <c r="J34" i="150"/>
  <c r="P34" i="150"/>
  <c r="J35" i="150"/>
  <c r="P35" i="150"/>
  <c r="J31" i="150"/>
  <c r="J27" i="150"/>
  <c r="P27" i="150"/>
  <c r="J28" i="150"/>
  <c r="P28" i="150"/>
  <c r="J29" i="150"/>
  <c r="P29" i="150"/>
  <c r="P26" i="150"/>
  <c r="J26" i="150"/>
  <c r="J21" i="150"/>
  <c r="P21" i="150"/>
  <c r="J22" i="150"/>
  <c r="P22" i="150"/>
  <c r="J23" i="150"/>
  <c r="P23" i="150"/>
  <c r="J24" i="150"/>
  <c r="P24" i="150"/>
  <c r="P20" i="150"/>
  <c r="J15" i="150"/>
  <c r="P15" i="150"/>
  <c r="J16" i="150"/>
  <c r="P16" i="150"/>
  <c r="J17" i="150"/>
  <c r="P17" i="150"/>
  <c r="J18" i="150"/>
  <c r="P18" i="150"/>
  <c r="BQ18" i="150" s="1"/>
  <c r="P14" i="150"/>
  <c r="J14" i="150"/>
  <c r="I72" i="150"/>
  <c r="H72" i="150"/>
  <c r="D72" i="150"/>
  <c r="I71" i="150"/>
  <c r="H71" i="150"/>
  <c r="I70" i="150"/>
  <c r="H70" i="150"/>
  <c r="D70" i="150"/>
  <c r="I69" i="150"/>
  <c r="I67" i="150"/>
  <c r="I66" i="150"/>
  <c r="I64" i="150"/>
  <c r="I63" i="150"/>
  <c r="I39" i="150"/>
  <c r="I40" i="150"/>
  <c r="D44" i="150"/>
  <c r="I44" i="150"/>
  <c r="I46" i="150"/>
  <c r="I47" i="150"/>
  <c r="I48" i="150"/>
  <c r="I50" i="150"/>
  <c r="D32" i="150"/>
  <c r="D33" i="150"/>
  <c r="BM33" i="150" s="1"/>
  <c r="I33" i="150"/>
  <c r="D34" i="150"/>
  <c r="I34" i="150"/>
  <c r="BQ34" i="150" s="1"/>
  <c r="D35" i="150"/>
  <c r="I35" i="150"/>
  <c r="D31" i="150"/>
  <c r="I27" i="150"/>
  <c r="BQ27" i="150" s="1"/>
  <c r="D28" i="150"/>
  <c r="I28" i="150"/>
  <c r="D29" i="150"/>
  <c r="BM29" i="150" s="1"/>
  <c r="I29" i="150"/>
  <c r="I26" i="150"/>
  <c r="BQ26" i="150" s="1"/>
  <c r="I21" i="150"/>
  <c r="D22" i="150"/>
  <c r="I22" i="150"/>
  <c r="BQ22" i="150" s="1"/>
  <c r="I23" i="150"/>
  <c r="D24" i="150"/>
  <c r="I24" i="150"/>
  <c r="I20" i="150"/>
  <c r="D15" i="150"/>
  <c r="D17" i="150"/>
  <c r="D18" i="150"/>
  <c r="I15" i="150"/>
  <c r="BQ15" i="150" s="1"/>
  <c r="I16" i="150"/>
  <c r="I17" i="150"/>
  <c r="I18" i="150"/>
  <c r="I14" i="150"/>
  <c r="C70" i="150"/>
  <c r="C71" i="150"/>
  <c r="C72" i="150"/>
  <c r="C36" i="150"/>
  <c r="C37" i="150"/>
  <c r="C38" i="150"/>
  <c r="C41" i="150"/>
  <c r="C43" i="150"/>
  <c r="C44" i="150"/>
  <c r="C45" i="150"/>
  <c r="C46" i="150"/>
  <c r="C48" i="150"/>
  <c r="C49" i="150"/>
  <c r="C32" i="150"/>
  <c r="C34" i="150"/>
  <c r="C35" i="150"/>
  <c r="C27" i="150"/>
  <c r="C28" i="150"/>
  <c r="C29" i="150"/>
  <c r="C26" i="150"/>
  <c r="C22" i="150"/>
  <c r="C24" i="150"/>
  <c r="C15" i="150"/>
  <c r="C17" i="150"/>
  <c r="C18" i="150"/>
  <c r="C14" i="150"/>
  <c r="S13" i="153"/>
  <c r="T13" i="153"/>
  <c r="T44" i="153"/>
  <c r="S45" i="153"/>
  <c r="T45" i="153"/>
  <c r="S46" i="153"/>
  <c r="T46" i="153"/>
  <c r="S48" i="153"/>
  <c r="R48" i="153" s="1"/>
  <c r="T48" i="153"/>
  <c r="S52" i="153"/>
  <c r="R52" i="153" s="1"/>
  <c r="T52" i="153"/>
  <c r="S54" i="153"/>
  <c r="T54" i="153"/>
  <c r="T69" i="153"/>
  <c r="S73" i="153"/>
  <c r="R73" i="153" s="1"/>
  <c r="T73" i="153"/>
  <c r="R45" i="153"/>
  <c r="T44" i="152"/>
  <c r="S45" i="152"/>
  <c r="T45" i="152"/>
  <c r="S46" i="152"/>
  <c r="T46" i="152"/>
  <c r="S48" i="152"/>
  <c r="T48" i="152"/>
  <c r="S52" i="152"/>
  <c r="T52" i="152"/>
  <c r="S54" i="152"/>
  <c r="T54" i="152"/>
  <c r="R54" i="152" s="1"/>
  <c r="T69" i="152"/>
  <c r="T13" i="152"/>
  <c r="S13" i="152"/>
  <c r="T23" i="152"/>
  <c r="T24" i="152"/>
  <c r="T27" i="152"/>
  <c r="C63" i="154"/>
  <c r="H27" i="154"/>
  <c r="E18" i="154"/>
  <c r="C26" i="154"/>
  <c r="G10" i="154"/>
  <c r="F10" i="154"/>
  <c r="D10" i="154"/>
  <c r="C10" i="154"/>
  <c r="AC93" i="153"/>
  <c r="Z93" i="153"/>
  <c r="AC91" i="153"/>
  <c r="Z91" i="153"/>
  <c r="B85" i="153"/>
  <c r="B84" i="153"/>
  <c r="B83" i="153"/>
  <c r="B82" i="153"/>
  <c r="B81" i="153"/>
  <c r="Q72" i="153"/>
  <c r="P72" i="153"/>
  <c r="N72" i="153"/>
  <c r="M72" i="153"/>
  <c r="K72" i="153"/>
  <c r="F72" i="153"/>
  <c r="Q70" i="153"/>
  <c r="P70" i="153"/>
  <c r="N70" i="153"/>
  <c r="L70" i="153" s="1"/>
  <c r="M70" i="153"/>
  <c r="K70" i="153"/>
  <c r="V68" i="153"/>
  <c r="U68" i="153" s="1"/>
  <c r="Q68" i="153"/>
  <c r="P68" i="153"/>
  <c r="N68" i="153"/>
  <c r="J68" i="153"/>
  <c r="I68" i="153" s="1"/>
  <c r="H68" i="153"/>
  <c r="G68" i="153"/>
  <c r="C68" i="153"/>
  <c r="E67" i="153"/>
  <c r="D67" i="153"/>
  <c r="Q66" i="153"/>
  <c r="N66" i="153"/>
  <c r="K66" i="153"/>
  <c r="J66" i="153"/>
  <c r="E66" i="153"/>
  <c r="D66" i="153"/>
  <c r="AC65" i="153"/>
  <c r="Z65" i="153"/>
  <c r="W65" i="153"/>
  <c r="Q64" i="153"/>
  <c r="N64" i="153"/>
  <c r="K64" i="153"/>
  <c r="E64" i="153"/>
  <c r="E63" i="153"/>
  <c r="AC62" i="153"/>
  <c r="Z62" i="153"/>
  <c r="W62" i="153"/>
  <c r="Q61" i="153"/>
  <c r="N61" i="153"/>
  <c r="K61" i="153"/>
  <c r="E61" i="153"/>
  <c r="Q60" i="153"/>
  <c r="N60" i="153"/>
  <c r="K60" i="153"/>
  <c r="E60" i="153"/>
  <c r="AC59" i="153"/>
  <c r="AC58" i="153" s="1"/>
  <c r="Z59" i="153"/>
  <c r="W59" i="153"/>
  <c r="N57" i="153"/>
  <c r="K57" i="153"/>
  <c r="E57" i="153"/>
  <c r="D57" i="153"/>
  <c r="E56" i="153"/>
  <c r="D56" i="153"/>
  <c r="N55" i="153"/>
  <c r="M55" i="153"/>
  <c r="K55" i="153"/>
  <c r="E55" i="153"/>
  <c r="D55" i="153"/>
  <c r="F54" i="153"/>
  <c r="C54" i="153"/>
  <c r="D53" i="153"/>
  <c r="N50" i="153"/>
  <c r="E50" i="153"/>
  <c r="D50" i="153"/>
  <c r="E49" i="153"/>
  <c r="O48" i="153"/>
  <c r="I46" i="153"/>
  <c r="F46" i="153"/>
  <c r="C46" i="153"/>
  <c r="I45" i="153"/>
  <c r="F45" i="153"/>
  <c r="C45" i="153"/>
  <c r="J44" i="153"/>
  <c r="S44" i="153" s="1"/>
  <c r="R44" i="153" s="1"/>
  <c r="F44" i="153"/>
  <c r="C44" i="153"/>
  <c r="K43" i="153"/>
  <c r="T43" i="153" s="1"/>
  <c r="J43" i="153"/>
  <c r="H43" i="153"/>
  <c r="H42" i="153" s="1"/>
  <c r="G43" i="153"/>
  <c r="E43" i="153"/>
  <c r="E42" i="153" s="1"/>
  <c r="D43" i="153"/>
  <c r="Z42" i="153"/>
  <c r="W42" i="153"/>
  <c r="P42" i="153"/>
  <c r="P85" i="153" s="1"/>
  <c r="M42" i="153"/>
  <c r="D42" i="153"/>
  <c r="AC41" i="153"/>
  <c r="AB41" i="153"/>
  <c r="AA41" i="153" s="1"/>
  <c r="Z41" i="153"/>
  <c r="Y41" i="153"/>
  <c r="W41" i="153"/>
  <c r="V41" i="153"/>
  <c r="Q41" i="153"/>
  <c r="P41" i="153"/>
  <c r="N41" i="153"/>
  <c r="M41" i="153"/>
  <c r="K41" i="153"/>
  <c r="J41" i="153"/>
  <c r="I41" i="153" s="1"/>
  <c r="E41" i="153"/>
  <c r="Q40" i="153"/>
  <c r="P40" i="153"/>
  <c r="N40" i="153"/>
  <c r="M40" i="153"/>
  <c r="K40" i="153"/>
  <c r="J40" i="153"/>
  <c r="AC39" i="153"/>
  <c r="W39" i="153"/>
  <c r="K39" i="153"/>
  <c r="E39" i="153"/>
  <c r="Q38" i="153"/>
  <c r="N38" i="153"/>
  <c r="K38" i="153"/>
  <c r="D36" i="153"/>
  <c r="AC32" i="153"/>
  <c r="AB32" i="153"/>
  <c r="Z32" i="153"/>
  <c r="X32" i="153" s="1"/>
  <c r="Y32" i="153"/>
  <c r="W32" i="153"/>
  <c r="U32" i="153" s="1"/>
  <c r="V32" i="153"/>
  <c r="Q32" i="153"/>
  <c r="P32" i="153"/>
  <c r="N32" i="153"/>
  <c r="M32" i="153"/>
  <c r="K32" i="153"/>
  <c r="J32" i="153"/>
  <c r="E32" i="153"/>
  <c r="D32" i="153"/>
  <c r="M31" i="153"/>
  <c r="G31" i="153"/>
  <c r="D31" i="153"/>
  <c r="K30" i="153"/>
  <c r="N30" i="153" s="1"/>
  <c r="H30" i="153"/>
  <c r="D30" i="153"/>
  <c r="C30" i="153" s="1"/>
  <c r="K29" i="153"/>
  <c r="H29" i="153"/>
  <c r="E28" i="153"/>
  <c r="K27" i="153"/>
  <c r="T27" i="153" s="1"/>
  <c r="H27" i="153"/>
  <c r="H26" i="153"/>
  <c r="K26" i="153" s="1"/>
  <c r="E25" i="153"/>
  <c r="K24" i="153"/>
  <c r="T24" i="153" s="1"/>
  <c r="H24" i="153"/>
  <c r="K23" i="153"/>
  <c r="H23" i="153"/>
  <c r="AC22" i="153"/>
  <c r="Z22" i="153"/>
  <c r="W22" i="153"/>
  <c r="Q22" i="153"/>
  <c r="N22" i="153"/>
  <c r="E22" i="153"/>
  <c r="Q20" i="153"/>
  <c r="K20" i="153"/>
  <c r="H20" i="153"/>
  <c r="B20" i="153"/>
  <c r="Q19" i="153"/>
  <c r="T19" i="153" s="1"/>
  <c r="K19" i="153"/>
  <c r="N19" i="153" s="1"/>
  <c r="W19" i="153" s="1"/>
  <c r="H19" i="153"/>
  <c r="AC16" i="153"/>
  <c r="Z16" i="153"/>
  <c r="W16" i="153"/>
  <c r="Q16" i="153"/>
  <c r="N16" i="153"/>
  <c r="K16" i="153"/>
  <c r="E16" i="153"/>
  <c r="AC15" i="153"/>
  <c r="Z15" i="153"/>
  <c r="W15" i="153"/>
  <c r="Q15" i="153"/>
  <c r="N15" i="153"/>
  <c r="K15" i="153"/>
  <c r="E15" i="153"/>
  <c r="A3" i="153"/>
  <c r="Q72" i="152"/>
  <c r="P72" i="152"/>
  <c r="O72" i="152" s="1"/>
  <c r="N72" i="152"/>
  <c r="M72" i="152"/>
  <c r="L72" i="152" s="1"/>
  <c r="K72" i="152"/>
  <c r="Q70" i="152"/>
  <c r="P70" i="152"/>
  <c r="N70" i="152"/>
  <c r="M70" i="152"/>
  <c r="K70" i="152"/>
  <c r="V68" i="152"/>
  <c r="U68" i="152" s="1"/>
  <c r="Q68" i="152"/>
  <c r="P68" i="152"/>
  <c r="N68" i="152"/>
  <c r="K68" i="152"/>
  <c r="J68" i="152"/>
  <c r="H68" i="152"/>
  <c r="G68" i="152"/>
  <c r="C68" i="152"/>
  <c r="E67" i="152"/>
  <c r="D67" i="152"/>
  <c r="Q66" i="152"/>
  <c r="N66" i="152"/>
  <c r="K66" i="152"/>
  <c r="J66" i="152"/>
  <c r="E66" i="152"/>
  <c r="D66" i="152"/>
  <c r="C66" i="152" s="1"/>
  <c r="AF65" i="152"/>
  <c r="AC65" i="152"/>
  <c r="Z65" i="152"/>
  <c r="W65" i="152"/>
  <c r="E65" i="152"/>
  <c r="Q64" i="152"/>
  <c r="N64" i="152"/>
  <c r="K64" i="152"/>
  <c r="E64" i="152"/>
  <c r="E63" i="152"/>
  <c r="AC62" i="152"/>
  <c r="Z62" i="152"/>
  <c r="W62" i="152"/>
  <c r="AE61" i="152"/>
  <c r="Q61" i="152"/>
  <c r="N61" i="152"/>
  <c r="K61" i="152"/>
  <c r="E61" i="152"/>
  <c r="Q60" i="152"/>
  <c r="Q59" i="152" s="1"/>
  <c r="N60" i="152"/>
  <c r="N59" i="152" s="1"/>
  <c r="K60" i="152"/>
  <c r="E60" i="152"/>
  <c r="AC59" i="152"/>
  <c r="Z59" i="152"/>
  <c r="W59" i="152"/>
  <c r="AC58" i="152"/>
  <c r="N57" i="152"/>
  <c r="K57" i="152"/>
  <c r="E57" i="152"/>
  <c r="D57" i="152"/>
  <c r="E56" i="152"/>
  <c r="D56" i="152"/>
  <c r="N55" i="152"/>
  <c r="M55" i="152"/>
  <c r="K55" i="152"/>
  <c r="E55" i="152"/>
  <c r="C55" i="152" s="1"/>
  <c r="D55" i="152"/>
  <c r="F54" i="152"/>
  <c r="C54" i="152"/>
  <c r="AF53" i="152"/>
  <c r="D53" i="152"/>
  <c r="N50" i="152"/>
  <c r="E50" i="152"/>
  <c r="D50" i="152"/>
  <c r="E49" i="152"/>
  <c r="O48" i="152"/>
  <c r="I46" i="152"/>
  <c r="H46" i="152"/>
  <c r="G46" i="152"/>
  <c r="E46" i="152"/>
  <c r="D46" i="152"/>
  <c r="I45" i="152"/>
  <c r="H45" i="152"/>
  <c r="G45" i="152"/>
  <c r="E45" i="152"/>
  <c r="D45" i="152"/>
  <c r="O44" i="152"/>
  <c r="L44" i="152"/>
  <c r="J44" i="152"/>
  <c r="H44" i="152"/>
  <c r="G44" i="152"/>
  <c r="E44" i="152"/>
  <c r="D44" i="152"/>
  <c r="O43" i="152"/>
  <c r="L43" i="152"/>
  <c r="K43" i="152"/>
  <c r="J43" i="152"/>
  <c r="S43" i="152" s="1"/>
  <c r="H43" i="152"/>
  <c r="H42" i="152" s="1"/>
  <c r="G43" i="152"/>
  <c r="E43" i="152"/>
  <c r="D43" i="152"/>
  <c r="Z42" i="152"/>
  <c r="W42" i="152"/>
  <c r="P42" i="152"/>
  <c r="M42" i="152"/>
  <c r="J42" i="152"/>
  <c r="D42" i="152"/>
  <c r="AC41" i="152"/>
  <c r="AB41" i="152"/>
  <c r="AA41" i="152" s="1"/>
  <c r="Z41" i="152"/>
  <c r="Y41" i="152"/>
  <c r="W41" i="152"/>
  <c r="V41" i="152"/>
  <c r="Q41" i="152"/>
  <c r="P41" i="152"/>
  <c r="N41" i="152"/>
  <c r="M41" i="152"/>
  <c r="K41" i="152"/>
  <c r="J41" i="152"/>
  <c r="E41" i="152"/>
  <c r="Q40" i="152"/>
  <c r="P40" i="152"/>
  <c r="N40" i="152"/>
  <c r="M40" i="152"/>
  <c r="K40" i="152"/>
  <c r="J40" i="152"/>
  <c r="AC39" i="152"/>
  <c r="W39" i="152"/>
  <c r="K39" i="152"/>
  <c r="E39" i="152"/>
  <c r="Q38" i="152"/>
  <c r="N38" i="152"/>
  <c r="K38" i="152"/>
  <c r="D36" i="152"/>
  <c r="AB32" i="152"/>
  <c r="AA32" i="152" s="1"/>
  <c r="Y32" i="152"/>
  <c r="X32" i="152" s="1"/>
  <c r="V32" i="152"/>
  <c r="U32" i="152" s="1"/>
  <c r="Q32" i="152"/>
  <c r="P32" i="152"/>
  <c r="N32" i="152"/>
  <c r="M32" i="152"/>
  <c r="L32" i="152" s="1"/>
  <c r="K32" i="152"/>
  <c r="J32" i="152"/>
  <c r="E32" i="152"/>
  <c r="D32" i="152"/>
  <c r="C32" i="152" s="1"/>
  <c r="M31" i="152"/>
  <c r="G31" i="152"/>
  <c r="D31" i="152"/>
  <c r="D30" i="152"/>
  <c r="N29" i="152"/>
  <c r="W29" i="152" s="1"/>
  <c r="H29" i="152"/>
  <c r="H24" i="152"/>
  <c r="H23" i="152"/>
  <c r="H22" i="152" s="1"/>
  <c r="AC22" i="152"/>
  <c r="Z22" i="152"/>
  <c r="W22" i="152"/>
  <c r="Q22" i="152"/>
  <c r="N22" i="152"/>
  <c r="K22" i="152"/>
  <c r="E22" i="152"/>
  <c r="AC16" i="152"/>
  <c r="Z16" i="152"/>
  <c r="W16" i="152"/>
  <c r="Q16" i="152"/>
  <c r="N16" i="152"/>
  <c r="K16" i="152"/>
  <c r="E16" i="152"/>
  <c r="AC15" i="152"/>
  <c r="AC82" i="152" s="1"/>
  <c r="Z15" i="152"/>
  <c r="W15" i="152"/>
  <c r="Q15" i="152"/>
  <c r="N15" i="152"/>
  <c r="K15" i="152"/>
  <c r="E15" i="152"/>
  <c r="H112" i="151"/>
  <c r="H111" i="151"/>
  <c r="H110" i="151"/>
  <c r="H109" i="151"/>
  <c r="H108" i="151"/>
  <c r="H107" i="151"/>
  <c r="H106" i="151"/>
  <c r="XFD105" i="151"/>
  <c r="L105" i="151"/>
  <c r="L113" i="151" s="1"/>
  <c r="K105" i="151"/>
  <c r="H104" i="151"/>
  <c r="H103" i="151"/>
  <c r="H102" i="151"/>
  <c r="H101" i="151"/>
  <c r="H100" i="151"/>
  <c r="L99" i="151"/>
  <c r="K99" i="151"/>
  <c r="H98" i="151"/>
  <c r="AL95" i="151"/>
  <c r="AG95" i="151"/>
  <c r="AB95" i="151"/>
  <c r="AL94" i="151"/>
  <c r="AG94" i="151"/>
  <c r="AB94" i="151"/>
  <c r="AO93" i="151"/>
  <c r="AL93" i="151" s="1"/>
  <c r="AG93" i="151"/>
  <c r="AB93" i="151"/>
  <c r="AL69" i="151"/>
  <c r="AG69" i="151"/>
  <c r="AB69" i="151"/>
  <c r="W69" i="151"/>
  <c r="AL68" i="151"/>
  <c r="AG68" i="151"/>
  <c r="AB68" i="151"/>
  <c r="Z68" i="151"/>
  <c r="W68" i="151" s="1"/>
  <c r="W66" i="151" s="1"/>
  <c r="U68" i="151"/>
  <c r="U66" i="151" s="1"/>
  <c r="AL67" i="151"/>
  <c r="AG67" i="151"/>
  <c r="AB67" i="151"/>
  <c r="W67" i="151"/>
  <c r="AO66" i="151"/>
  <c r="AJ66" i="151"/>
  <c r="AE66" i="151"/>
  <c r="AE18" i="151" s="1"/>
  <c r="AB18" i="151" s="1"/>
  <c r="AA66" i="151"/>
  <c r="V66" i="151"/>
  <c r="H64" i="151"/>
  <c r="C57" i="151"/>
  <c r="D54" i="151"/>
  <c r="J54" i="151" s="1"/>
  <c r="D52" i="151"/>
  <c r="J52" i="151" s="1"/>
  <c r="AJ51" i="151"/>
  <c r="AB51" i="151"/>
  <c r="W51" i="151"/>
  <c r="M51" i="151"/>
  <c r="D51" i="151"/>
  <c r="J51" i="151" s="1"/>
  <c r="M50" i="151"/>
  <c r="D49" i="151"/>
  <c r="AP48" i="151"/>
  <c r="AK48" i="151"/>
  <c r="AF48" i="151"/>
  <c r="AP45" i="151"/>
  <c r="AK45" i="151"/>
  <c r="AF45" i="151"/>
  <c r="AP42" i="151"/>
  <c r="AP41" i="151" s="1"/>
  <c r="AK42" i="151"/>
  <c r="AF42" i="151"/>
  <c r="AF41" i="151" s="1"/>
  <c r="AA42" i="151"/>
  <c r="V42" i="151"/>
  <c r="R38" i="151"/>
  <c r="M20" i="151"/>
  <c r="H20" i="151"/>
  <c r="M19" i="151"/>
  <c r="AR19" i="151" s="1"/>
  <c r="H19" i="151"/>
  <c r="AP18" i="151"/>
  <c r="AO18" i="151"/>
  <c r="AJ18" i="151"/>
  <c r="AG18" i="151" s="1"/>
  <c r="W18" i="151"/>
  <c r="R18" i="151"/>
  <c r="H18" i="151"/>
  <c r="AL17" i="151"/>
  <c r="AG17" i="151"/>
  <c r="AB17" i="151"/>
  <c r="W17" i="151"/>
  <c r="M17" i="151"/>
  <c r="AK15" i="151"/>
  <c r="A3" i="151"/>
  <c r="U157" i="150"/>
  <c r="T145" i="150"/>
  <c r="J121" i="150"/>
  <c r="P114" i="150"/>
  <c r="O114" i="150"/>
  <c r="I114" i="150"/>
  <c r="P112" i="150"/>
  <c r="O112" i="150"/>
  <c r="M96" i="150"/>
  <c r="J94" i="150"/>
  <c r="J95" i="150" s="1"/>
  <c r="U93" i="150"/>
  <c r="T93" i="150" s="1"/>
  <c r="J91" i="150"/>
  <c r="T85" i="150"/>
  <c r="B77" i="150"/>
  <c r="B76" i="150"/>
  <c r="AX72" i="150"/>
  <c r="AU72" i="150" s="1"/>
  <c r="AR72" i="150"/>
  <c r="AO72" i="150" s="1"/>
  <c r="AL72" i="150"/>
  <c r="AI72" i="150" s="1"/>
  <c r="AX71" i="150"/>
  <c r="AU71" i="150" s="1"/>
  <c r="AR71" i="150"/>
  <c r="AO71" i="150" s="1"/>
  <c r="AN71" i="150"/>
  <c r="AM71" i="150"/>
  <c r="AL71" i="150" s="1"/>
  <c r="AI71" i="150" s="1"/>
  <c r="AZ68" i="150"/>
  <c r="AT68" i="150"/>
  <c r="AN68" i="150"/>
  <c r="F68" i="150"/>
  <c r="F61" i="150" s="1"/>
  <c r="F57" i="150" s="1"/>
  <c r="AZ65" i="150"/>
  <c r="AT65" i="150"/>
  <c r="AN65" i="150"/>
  <c r="V65" i="150"/>
  <c r="I65" i="150"/>
  <c r="AZ62" i="150"/>
  <c r="AT62" i="150"/>
  <c r="AN62" i="150"/>
  <c r="AI59" i="150"/>
  <c r="AO59" i="150" s="1"/>
  <c r="AU59" i="150" s="1"/>
  <c r="AG59" i="150"/>
  <c r="AF59" i="150" s="1"/>
  <c r="AA59" i="150"/>
  <c r="Z59" i="150" s="1"/>
  <c r="U59" i="150"/>
  <c r="T59" i="150" s="1"/>
  <c r="AW57" i="150"/>
  <c r="AV57" i="150"/>
  <c r="AQ57" i="150"/>
  <c r="AP57" i="150"/>
  <c r="AK57" i="150"/>
  <c r="AJ57" i="150"/>
  <c r="AE57" i="150"/>
  <c r="AD57" i="150"/>
  <c r="Y57" i="150"/>
  <c r="X57" i="150"/>
  <c r="R57" i="150"/>
  <c r="AW54" i="150"/>
  <c r="AY54" i="150" s="1"/>
  <c r="AX54" i="150" s="1"/>
  <c r="AV54" i="150"/>
  <c r="AR54" i="150"/>
  <c r="AQ54" i="150"/>
  <c r="AP54" i="150"/>
  <c r="AL54" i="150"/>
  <c r="AK54" i="150"/>
  <c r="AJ54" i="150"/>
  <c r="Y54" i="150"/>
  <c r="AA54" i="150" s="1"/>
  <c r="Z54" i="150" s="1"/>
  <c r="J54" i="150"/>
  <c r="L54" i="150" s="1"/>
  <c r="AW53" i="150"/>
  <c r="AY53" i="150" s="1"/>
  <c r="AX53" i="150" s="1"/>
  <c r="AV53" i="150"/>
  <c r="AR53" i="150"/>
  <c r="AQ53" i="150"/>
  <c r="AP53" i="150"/>
  <c r="AL53" i="150"/>
  <c r="AK53" i="150"/>
  <c r="AJ53" i="150"/>
  <c r="AA53" i="150"/>
  <c r="Z53" i="150" s="1"/>
  <c r="Y53" i="150"/>
  <c r="X53" i="150"/>
  <c r="J53" i="150"/>
  <c r="K53" i="150" s="1"/>
  <c r="D53" i="150"/>
  <c r="AW52" i="150"/>
  <c r="AY52" i="150" s="1"/>
  <c r="AV52" i="150"/>
  <c r="AR52" i="150"/>
  <c r="AR51" i="150" s="1"/>
  <c r="AQ52" i="150"/>
  <c r="AQ51" i="150" s="1"/>
  <c r="AP52" i="150"/>
  <c r="AL52" i="150"/>
  <c r="AL51" i="150" s="1"/>
  <c r="AK52" i="150"/>
  <c r="AA52" i="150"/>
  <c r="Y52" i="150"/>
  <c r="X52" i="150"/>
  <c r="J52" i="150"/>
  <c r="D52" i="150"/>
  <c r="BH51" i="150"/>
  <c r="AZ51" i="150"/>
  <c r="AU51" i="150"/>
  <c r="AT51" i="150"/>
  <c r="AS51" i="150"/>
  <c r="AO51" i="150"/>
  <c r="AV51" i="150" s="1"/>
  <c r="AN51" i="150"/>
  <c r="AM51" i="150"/>
  <c r="AI51" i="150"/>
  <c r="BU50" i="150"/>
  <c r="BV50" i="150" s="1"/>
  <c r="AY50" i="150"/>
  <c r="AX50" i="150" s="1"/>
  <c r="AV50" i="150"/>
  <c r="AS50" i="150"/>
  <c r="AR50" i="150" s="1"/>
  <c r="AP50" i="150"/>
  <c r="AM50" i="150"/>
  <c r="AL50" i="150" s="1"/>
  <c r="AJ50" i="150"/>
  <c r="AZ49" i="150"/>
  <c r="AY49" i="150" s="1"/>
  <c r="AX49" i="150" s="1"/>
  <c r="AV49" i="150"/>
  <c r="AT49" i="150"/>
  <c r="AS49" i="150" s="1"/>
  <c r="AR49" i="150" s="1"/>
  <c r="AP49" i="150"/>
  <c r="AN49" i="150"/>
  <c r="AM49" i="150" s="1"/>
  <c r="AL49" i="150" s="1"/>
  <c r="AJ49" i="150"/>
  <c r="BQ48" i="150"/>
  <c r="BN48" i="150"/>
  <c r="AU47" i="150"/>
  <c r="AO47" i="150"/>
  <c r="AS47" i="150" s="1"/>
  <c r="AR47" i="150" s="1"/>
  <c r="AI47" i="150"/>
  <c r="AV46" i="150"/>
  <c r="AP46" i="150"/>
  <c r="AV45" i="150"/>
  <c r="AI45" i="150"/>
  <c r="AJ45" i="150" s="1"/>
  <c r="BU44" i="150"/>
  <c r="BV44" i="150" s="1"/>
  <c r="BN44" i="150"/>
  <c r="BM44" i="150"/>
  <c r="AY44" i="150"/>
  <c r="AX44" i="150"/>
  <c r="AV44" i="150"/>
  <c r="AS44" i="150"/>
  <c r="AR44" i="150" s="1"/>
  <c r="AP44" i="150"/>
  <c r="AM44" i="150"/>
  <c r="AL44" i="150" s="1"/>
  <c r="AJ44" i="150"/>
  <c r="BN43" i="150"/>
  <c r="AV43" i="150"/>
  <c r="AP43" i="150"/>
  <c r="AJ43" i="150"/>
  <c r="AZ42" i="150"/>
  <c r="AU42" i="150"/>
  <c r="AT42" i="150"/>
  <c r="AS42" i="150" s="1"/>
  <c r="AR42" i="150" s="1"/>
  <c r="AP42" i="150"/>
  <c r="AN42" i="150"/>
  <c r="AM42" i="150" s="1"/>
  <c r="AL42" i="150" s="1"/>
  <c r="AU41" i="150"/>
  <c r="AV41" i="150" s="1"/>
  <c r="AI41" i="150"/>
  <c r="AP41" i="150" s="1"/>
  <c r="BQ40" i="150"/>
  <c r="AU40" i="150"/>
  <c r="AW40" i="150" s="1"/>
  <c r="AQ40" i="150"/>
  <c r="AS40" i="150" s="1"/>
  <c r="AR40" i="150" s="1"/>
  <c r="AK40" i="150"/>
  <c r="AI40" i="150"/>
  <c r="AP40" i="150" s="1"/>
  <c r="AV39" i="150"/>
  <c r="AP39" i="150"/>
  <c r="AJ39" i="150"/>
  <c r="AZ38" i="150"/>
  <c r="AY38" i="150" s="1"/>
  <c r="AX38" i="150" s="1"/>
  <c r="AV38" i="150"/>
  <c r="AT38" i="150"/>
  <c r="AS38" i="150" s="1"/>
  <c r="AR38" i="150" s="1"/>
  <c r="AP38" i="150"/>
  <c r="AN38" i="150"/>
  <c r="AM38" i="150" s="1"/>
  <c r="AL38" i="150" s="1"/>
  <c r="AJ38" i="150"/>
  <c r="BU37" i="150"/>
  <c r="BV37" i="150" s="1"/>
  <c r="AY37" i="150"/>
  <c r="AX37" i="150"/>
  <c r="AV37" i="150"/>
  <c r="AS37" i="150"/>
  <c r="AR37" i="150" s="1"/>
  <c r="AP37" i="150"/>
  <c r="AM37" i="150"/>
  <c r="AL37" i="150"/>
  <c r="AJ37" i="150"/>
  <c r="AZ36" i="150"/>
  <c r="AY36" i="150"/>
  <c r="AX36" i="150" s="1"/>
  <c r="AV36" i="150"/>
  <c r="AT36" i="150"/>
  <c r="AS36" i="150" s="1"/>
  <c r="AR36" i="150" s="1"/>
  <c r="AP36" i="150"/>
  <c r="AN36" i="150"/>
  <c r="AM36" i="150" s="1"/>
  <c r="AL36" i="150" s="1"/>
  <c r="AJ36" i="150"/>
  <c r="AY35" i="150"/>
  <c r="AX35" i="150" s="1"/>
  <c r="AS35" i="150"/>
  <c r="AR35" i="150" s="1"/>
  <c r="AM35" i="150"/>
  <c r="AL35" i="150" s="1"/>
  <c r="AY34" i="150"/>
  <c r="AX34" i="150"/>
  <c r="AS34" i="150"/>
  <c r="AR34" i="150" s="1"/>
  <c r="AM34" i="150"/>
  <c r="AL34" i="150" s="1"/>
  <c r="BQ33" i="150"/>
  <c r="AY33" i="150"/>
  <c r="AX33" i="150" s="1"/>
  <c r="AS33" i="150"/>
  <c r="AR33" i="150" s="1"/>
  <c r="AM33" i="150"/>
  <c r="AL33" i="150" s="1"/>
  <c r="AZ32" i="150"/>
  <c r="AY32" i="150" s="1"/>
  <c r="AX32" i="150" s="1"/>
  <c r="AT32" i="150"/>
  <c r="AS32" i="150"/>
  <c r="AR32" i="150" s="1"/>
  <c r="AN32" i="150"/>
  <c r="AM32" i="150" s="1"/>
  <c r="AL32" i="150" s="1"/>
  <c r="AZ31" i="150"/>
  <c r="AT31" i="150"/>
  <c r="AN31" i="150"/>
  <c r="AW30" i="150"/>
  <c r="AU30" i="150"/>
  <c r="AQ30" i="150"/>
  <c r="AO30" i="150"/>
  <c r="AP30" i="150" s="1"/>
  <c r="AK30" i="150"/>
  <c r="AI30" i="150"/>
  <c r="AY29" i="150"/>
  <c r="AX29" i="150" s="1"/>
  <c r="AS29" i="150"/>
  <c r="AR29" i="150" s="1"/>
  <c r="AM29" i="150"/>
  <c r="AL29" i="150" s="1"/>
  <c r="AY28" i="150"/>
  <c r="AX28" i="150" s="1"/>
  <c r="AS28" i="150"/>
  <c r="AR28" i="150" s="1"/>
  <c r="AM28" i="150"/>
  <c r="AL28" i="150" s="1"/>
  <c r="AY27" i="150"/>
  <c r="AX27" i="150" s="1"/>
  <c r="AS27" i="150"/>
  <c r="AR27" i="150"/>
  <c r="AN27" i="150"/>
  <c r="AM27" i="150" s="1"/>
  <c r="AL27" i="150" s="1"/>
  <c r="AY26" i="150"/>
  <c r="AS26" i="150"/>
  <c r="AR26" i="150" s="1"/>
  <c r="AN26" i="150"/>
  <c r="AZ25" i="150"/>
  <c r="AW25" i="150"/>
  <c r="AU25" i="150"/>
  <c r="AT25" i="150"/>
  <c r="AQ25" i="150"/>
  <c r="AO25" i="150"/>
  <c r="AK25" i="150"/>
  <c r="AI25" i="150"/>
  <c r="AB25" i="150"/>
  <c r="Y25" i="150"/>
  <c r="Q25" i="150"/>
  <c r="AY24" i="150"/>
  <c r="AX24" i="150" s="1"/>
  <c r="AS24" i="150"/>
  <c r="AR24" i="150" s="1"/>
  <c r="AM24" i="150"/>
  <c r="AL24" i="150" s="1"/>
  <c r="AY23" i="150"/>
  <c r="AX23" i="150" s="1"/>
  <c r="AS23" i="150"/>
  <c r="AR23" i="150" s="1"/>
  <c r="AM23" i="150"/>
  <c r="AL23" i="150" s="1"/>
  <c r="BN22" i="150"/>
  <c r="AY22" i="150"/>
  <c r="AX22" i="150" s="1"/>
  <c r="AS22" i="150"/>
  <c r="AR22" i="150"/>
  <c r="AM22" i="150"/>
  <c r="AL22" i="150" s="1"/>
  <c r="BN21" i="150"/>
  <c r="AY21" i="150"/>
  <c r="AX21" i="150" s="1"/>
  <c r="AS21" i="150"/>
  <c r="AM21" i="150"/>
  <c r="AL21" i="150" s="1"/>
  <c r="AY20" i="150"/>
  <c r="AX20" i="150" s="1"/>
  <c r="AS20" i="150"/>
  <c r="AR20" i="150" s="1"/>
  <c r="AM20" i="150"/>
  <c r="AL20" i="150" s="1"/>
  <c r="AZ19" i="150"/>
  <c r="AW19" i="150"/>
  <c r="AU19" i="150"/>
  <c r="AT19" i="150"/>
  <c r="AQ19" i="150"/>
  <c r="AO19" i="150"/>
  <c r="AN19" i="150"/>
  <c r="AK19" i="150"/>
  <c r="AI19" i="150"/>
  <c r="BN18" i="150"/>
  <c r="AY18" i="150"/>
  <c r="AS18" i="150"/>
  <c r="AM18" i="150"/>
  <c r="AY17" i="150"/>
  <c r="AS17" i="150"/>
  <c r="AM17" i="150"/>
  <c r="AY16" i="150"/>
  <c r="AX16" i="150" s="1"/>
  <c r="AS16" i="150"/>
  <c r="AR16" i="150" s="1"/>
  <c r="AM16" i="150"/>
  <c r="AL16" i="150" s="1"/>
  <c r="BN15" i="150"/>
  <c r="AY15" i="150"/>
  <c r="AX15" i="150" s="1"/>
  <c r="AS15" i="150"/>
  <c r="AR15" i="150" s="1"/>
  <c r="AM15" i="150"/>
  <c r="AL15" i="150" s="1"/>
  <c r="BQ14" i="150"/>
  <c r="AY14" i="150"/>
  <c r="AX14" i="150" s="1"/>
  <c r="AS14" i="150"/>
  <c r="AR14" i="150" s="1"/>
  <c r="AM14" i="150"/>
  <c r="AL14" i="150" s="1"/>
  <c r="AZ13" i="150"/>
  <c r="AW13" i="150"/>
  <c r="AU13" i="150"/>
  <c r="AT13" i="150"/>
  <c r="AQ13" i="150"/>
  <c r="AO13" i="150"/>
  <c r="AN13" i="150"/>
  <c r="AK13" i="150"/>
  <c r="AI13" i="150"/>
  <c r="AB13" i="150"/>
  <c r="J13" i="150"/>
  <c r="C64" i="54"/>
  <c r="C64" i="66" s="1"/>
  <c r="AE120" i="13"/>
  <c r="AD31" i="48"/>
  <c r="BH42" i="150" l="1"/>
  <c r="W58" i="153"/>
  <c r="R13" i="153"/>
  <c r="AL13" i="150"/>
  <c r="AY42" i="150"/>
  <c r="AX42" i="150" s="1"/>
  <c r="Z84" i="153"/>
  <c r="I44" i="153"/>
  <c r="C55" i="153"/>
  <c r="Z48" i="150"/>
  <c r="M49" i="151"/>
  <c r="R16" i="151"/>
  <c r="K54" i="150"/>
  <c r="AL66" i="151"/>
  <c r="BQ29" i="150"/>
  <c r="AS25" i="150"/>
  <c r="AP45" i="150"/>
  <c r="N93" i="153"/>
  <c r="R46" i="153"/>
  <c r="AH65" i="150"/>
  <c r="AE120" i="162"/>
  <c r="AT30" i="150"/>
  <c r="C45" i="152"/>
  <c r="R46" i="152"/>
  <c r="C57" i="152"/>
  <c r="I32" i="153"/>
  <c r="AH68" i="150"/>
  <c r="AH61" i="150" s="1"/>
  <c r="AH57" i="150" s="1"/>
  <c r="AV13" i="150"/>
  <c r="AN17" i="151"/>
  <c r="AL18" i="151"/>
  <c r="Z66" i="151"/>
  <c r="E21" i="153"/>
  <c r="E18" i="153" s="1"/>
  <c r="U41" i="153"/>
  <c r="O70" i="153"/>
  <c r="R45" i="152"/>
  <c r="BQ21" i="150"/>
  <c r="BN37" i="150"/>
  <c r="V62" i="150"/>
  <c r="AH62" i="150"/>
  <c r="BM22" i="150"/>
  <c r="F19" i="150"/>
  <c r="BN23" i="150"/>
  <c r="S13" i="150"/>
  <c r="Y13" i="150"/>
  <c r="W19" i="150"/>
  <c r="AH19" i="150"/>
  <c r="I68" i="150"/>
  <c r="BQ44" i="150"/>
  <c r="BN28" i="150"/>
  <c r="BN36" i="150"/>
  <c r="T55" i="150"/>
  <c r="BE55" i="150" s="1"/>
  <c r="N82" i="152"/>
  <c r="O32" i="152"/>
  <c r="BQ23" i="150"/>
  <c r="F30" i="150"/>
  <c r="BN20" i="150"/>
  <c r="S19" i="150"/>
  <c r="D50" i="151"/>
  <c r="I25" i="150"/>
  <c r="P65" i="150"/>
  <c r="L40" i="153"/>
  <c r="C43" i="153"/>
  <c r="T72" i="153"/>
  <c r="R52" i="152"/>
  <c r="C50" i="151"/>
  <c r="S41" i="153"/>
  <c r="C42" i="153"/>
  <c r="F48" i="151"/>
  <c r="K42" i="153"/>
  <c r="C50" i="153"/>
  <c r="AX13" i="150"/>
  <c r="AP13" i="150"/>
  <c r="AV30" i="150"/>
  <c r="BE59" i="150"/>
  <c r="AP19" i="150"/>
  <c r="AS19" i="150"/>
  <c r="AM40" i="150"/>
  <c r="AL40" i="150" s="1"/>
  <c r="AP51" i="150"/>
  <c r="M18" i="151"/>
  <c r="AR20" i="151"/>
  <c r="T38" i="152"/>
  <c r="I40" i="152"/>
  <c r="O40" i="152"/>
  <c r="S40" i="152"/>
  <c r="L41" i="152"/>
  <c r="S42" i="152"/>
  <c r="C43" i="152"/>
  <c r="I44" i="152"/>
  <c r="S44" i="152"/>
  <c r="R44" i="152" s="1"/>
  <c r="AR18" i="151"/>
  <c r="AB66" i="151"/>
  <c r="T40" i="152"/>
  <c r="K42" i="152"/>
  <c r="T43" i="152"/>
  <c r="R43" i="152" s="1"/>
  <c r="AR17" i="151"/>
  <c r="Y18" i="151"/>
  <c r="AK41" i="151"/>
  <c r="AG66" i="151"/>
  <c r="K113" i="151"/>
  <c r="H105" i="151"/>
  <c r="T15" i="152"/>
  <c r="K83" i="152"/>
  <c r="T16" i="152"/>
  <c r="T22" i="152"/>
  <c r="T32" i="152"/>
  <c r="L40" i="152"/>
  <c r="O41" i="152"/>
  <c r="S41" i="152"/>
  <c r="F45" i="152"/>
  <c r="AY40" i="150"/>
  <c r="AX40" i="150" s="1"/>
  <c r="AK51" i="150"/>
  <c r="AO58" i="150"/>
  <c r="AS58" i="150" s="1"/>
  <c r="AD18" i="151"/>
  <c r="H99" i="151"/>
  <c r="H113" i="151"/>
  <c r="T41" i="152"/>
  <c r="W58" i="152"/>
  <c r="T68" i="152"/>
  <c r="T72" i="152"/>
  <c r="T38" i="153"/>
  <c r="K84" i="153"/>
  <c r="Q84" i="153"/>
  <c r="T41" i="153"/>
  <c r="I43" i="153"/>
  <c r="S43" i="153"/>
  <c r="R43" i="153" s="1"/>
  <c r="Z58" i="152"/>
  <c r="T66" i="152"/>
  <c r="T15" i="153"/>
  <c r="T20" i="153"/>
  <c r="S32" i="153"/>
  <c r="R32" i="153" s="1"/>
  <c r="S40" i="153"/>
  <c r="M84" i="153"/>
  <c r="Z85" i="153"/>
  <c r="C56" i="152"/>
  <c r="T16" i="153"/>
  <c r="T32" i="153"/>
  <c r="K83" i="153"/>
  <c r="T40" i="153"/>
  <c r="F43" i="153"/>
  <c r="K93" i="153"/>
  <c r="E62" i="153"/>
  <c r="R48" i="152"/>
  <c r="R54" i="153"/>
  <c r="K91" i="153"/>
  <c r="Z58" i="153"/>
  <c r="F68" i="153"/>
  <c r="O68" i="153"/>
  <c r="T70" i="153"/>
  <c r="BM32" i="150"/>
  <c r="BN34" i="150"/>
  <c r="L55" i="153"/>
  <c r="E59" i="153"/>
  <c r="I13" i="150"/>
  <c r="BQ17" i="150"/>
  <c r="BQ24" i="150"/>
  <c r="X54" i="150"/>
  <c r="BB54" i="150"/>
  <c r="BB53" i="150"/>
  <c r="BB52" i="150"/>
  <c r="BB46" i="150"/>
  <c r="BB44" i="150"/>
  <c r="BB41" i="150"/>
  <c r="BB39" i="150"/>
  <c r="AE25" i="150"/>
  <c r="M30" i="150"/>
  <c r="S30" i="150"/>
  <c r="W30" i="150"/>
  <c r="M16" i="151"/>
  <c r="AR16" i="151" s="1"/>
  <c r="M48" i="151"/>
  <c r="BN29" i="150"/>
  <c r="V13" i="150"/>
  <c r="V19" i="150"/>
  <c r="Q19" i="150"/>
  <c r="AF48" i="150"/>
  <c r="AF55" i="150"/>
  <c r="Q13" i="150"/>
  <c r="BQ16" i="150"/>
  <c r="M25" i="150"/>
  <c r="W25" i="150"/>
  <c r="AD25" i="150" s="1"/>
  <c r="P19" i="150"/>
  <c r="BN27" i="150"/>
  <c r="C25" i="150"/>
  <c r="BQ20" i="150"/>
  <c r="P13" i="150"/>
  <c r="BM28" i="150"/>
  <c r="S25" i="150"/>
  <c r="D30" i="150"/>
  <c r="AE30" i="150"/>
  <c r="BN32" i="150"/>
  <c r="BM35" i="150"/>
  <c r="BM31" i="150"/>
  <c r="BN35" i="150"/>
  <c r="T64" i="153"/>
  <c r="O70" i="152"/>
  <c r="E65" i="153"/>
  <c r="T60" i="153"/>
  <c r="C67" i="153"/>
  <c r="T68" i="153"/>
  <c r="T61" i="152"/>
  <c r="F68" i="152"/>
  <c r="I68" i="152"/>
  <c r="T61" i="153"/>
  <c r="T66" i="153"/>
  <c r="T70" i="152"/>
  <c r="K28" i="153"/>
  <c r="S32" i="152"/>
  <c r="R32" i="152" s="1"/>
  <c r="L32" i="153"/>
  <c r="AB68" i="150"/>
  <c r="AT61" i="150"/>
  <c r="AT57" i="150" s="1"/>
  <c r="AU11" i="150"/>
  <c r="AU12" i="150" s="1"/>
  <c r="AS31" i="150"/>
  <c r="AR31" i="150" s="1"/>
  <c r="AR30" i="150" s="1"/>
  <c r="AI11" i="150"/>
  <c r="AP25" i="150"/>
  <c r="AR21" i="150"/>
  <c r="AM19" i="150"/>
  <c r="AV19" i="150"/>
  <c r="AO11" i="150"/>
  <c r="AR13" i="150"/>
  <c r="AS13" i="150"/>
  <c r="AY13" i="150"/>
  <c r="C49" i="151"/>
  <c r="D65" i="153"/>
  <c r="D48" i="151"/>
  <c r="T64" i="152"/>
  <c r="T60" i="152"/>
  <c r="G41" i="151"/>
  <c r="N59" i="153"/>
  <c r="I61" i="150"/>
  <c r="I57" i="150" s="1"/>
  <c r="V68" i="150"/>
  <c r="K22" i="153"/>
  <c r="T22" i="153" s="1"/>
  <c r="T23" i="153"/>
  <c r="BQ35" i="150"/>
  <c r="BN33" i="150"/>
  <c r="BN31" i="150"/>
  <c r="BM34" i="150"/>
  <c r="BB28" i="150"/>
  <c r="F25" i="150"/>
  <c r="BB29" i="150"/>
  <c r="BB27" i="150"/>
  <c r="J25" i="150"/>
  <c r="R25" i="150" s="1"/>
  <c r="BB26" i="150"/>
  <c r="BB24" i="150"/>
  <c r="BB22" i="150"/>
  <c r="BM24" i="150"/>
  <c r="BB23" i="150"/>
  <c r="BB21" i="150"/>
  <c r="BB18" i="150"/>
  <c r="BB17" i="150"/>
  <c r="BB16" i="150"/>
  <c r="BB15" i="150"/>
  <c r="BB14" i="150"/>
  <c r="N112" i="150"/>
  <c r="T48" i="150"/>
  <c r="AF56" i="150"/>
  <c r="AF72" i="150"/>
  <c r="BE72" i="150" s="1"/>
  <c r="J30" i="150"/>
  <c r="M19" i="150"/>
  <c r="Y30" i="150"/>
  <c r="P68" i="150"/>
  <c r="AB62" i="150"/>
  <c r="G71" i="150"/>
  <c r="BE48" i="150"/>
  <c r="BQ28" i="150"/>
  <c r="BQ25" i="150" s="1"/>
  <c r="BC15" i="150"/>
  <c r="BC41" i="150"/>
  <c r="BC52" i="150"/>
  <c r="G72" i="150"/>
  <c r="BC20" i="150"/>
  <c r="BC22" i="150"/>
  <c r="BC24" i="150"/>
  <c r="W13" i="150"/>
  <c r="BC27" i="150"/>
  <c r="AC30" i="150"/>
  <c r="BH50" i="150"/>
  <c r="BH52" i="150" s="1"/>
  <c r="BC39" i="150"/>
  <c r="G70" i="150"/>
  <c r="N44" i="150"/>
  <c r="V25" i="150"/>
  <c r="AC13" i="150"/>
  <c r="AJ13" i="150" s="1"/>
  <c r="BC18" i="150"/>
  <c r="AE13" i="150"/>
  <c r="BC29" i="150"/>
  <c r="BC48" i="150"/>
  <c r="BC46" i="150"/>
  <c r="BC44" i="150"/>
  <c r="BC55" i="150"/>
  <c r="N114" i="150"/>
  <c r="AB19" i="150"/>
  <c r="BC14" i="150"/>
  <c r="AH13" i="150"/>
  <c r="BC16" i="150"/>
  <c r="AJ42" i="150"/>
  <c r="BC53" i="150"/>
  <c r="AC19" i="150"/>
  <c r="BC21" i="150"/>
  <c r="BC23" i="150"/>
  <c r="AJ40" i="150"/>
  <c r="I19" i="150"/>
  <c r="BC26" i="150"/>
  <c r="BN16" i="150"/>
  <c r="BN39" i="150"/>
  <c r="BC17" i="150"/>
  <c r="BC28" i="150"/>
  <c r="BC45" i="150"/>
  <c r="BC54" i="150"/>
  <c r="T17" i="151"/>
  <c r="Y17" i="151"/>
  <c r="BH41" i="150"/>
  <c r="V61" i="150"/>
  <c r="V57" i="150" s="1"/>
  <c r="P62" i="150"/>
  <c r="P61" i="150" s="1"/>
  <c r="P57" i="150" s="1"/>
  <c r="BN38" i="150"/>
  <c r="M13" i="150"/>
  <c r="F13" i="150"/>
  <c r="BN14" i="150"/>
  <c r="P25" i="150"/>
  <c r="AB61" i="150"/>
  <c r="AB57" i="150" s="1"/>
  <c r="AN61" i="150"/>
  <c r="AN57" i="150" s="1"/>
  <c r="AZ61" i="150"/>
  <c r="AZ57" i="150" s="1"/>
  <c r="O32" i="153"/>
  <c r="AA32" i="153"/>
  <c r="K85" i="153"/>
  <c r="C32" i="153"/>
  <c r="O41" i="153"/>
  <c r="H22" i="153"/>
  <c r="H25" i="153"/>
  <c r="I40" i="153"/>
  <c r="P84" i="153"/>
  <c r="I66" i="153"/>
  <c r="N91" i="153"/>
  <c r="C57" i="153"/>
  <c r="Q59" i="153"/>
  <c r="L72" i="153"/>
  <c r="W84" i="153"/>
  <c r="G42" i="153"/>
  <c r="F42" i="153" s="1"/>
  <c r="O40" i="153"/>
  <c r="J42" i="153"/>
  <c r="C56" i="153"/>
  <c r="O72" i="153"/>
  <c r="C46" i="152"/>
  <c r="L55" i="152"/>
  <c r="C67" i="152"/>
  <c r="I32" i="152"/>
  <c r="O68" i="152"/>
  <c r="N83" i="152"/>
  <c r="I41" i="152"/>
  <c r="U41" i="152"/>
  <c r="E42" i="152"/>
  <c r="F46" i="152"/>
  <c r="AC83" i="152"/>
  <c r="L70" i="152"/>
  <c r="F43" i="152"/>
  <c r="K82" i="152"/>
  <c r="I43" i="152"/>
  <c r="I42" i="152"/>
  <c r="N29" i="153"/>
  <c r="H28" i="153"/>
  <c r="N26" i="153"/>
  <c r="K25" i="153"/>
  <c r="K21" i="153" s="1"/>
  <c r="Z19" i="153"/>
  <c r="K59" i="153"/>
  <c r="X41" i="153"/>
  <c r="Y84" i="153"/>
  <c r="X84" i="153" s="1"/>
  <c r="L41" i="153"/>
  <c r="N84" i="153"/>
  <c r="L84" i="153" s="1"/>
  <c r="AB84" i="153"/>
  <c r="AC84" i="153"/>
  <c r="O84" i="153"/>
  <c r="C66" i="153"/>
  <c r="W30" i="153"/>
  <c r="Z30" i="153" s="1"/>
  <c r="Q30" i="153"/>
  <c r="T30" i="153" s="1"/>
  <c r="V84" i="153"/>
  <c r="Z29" i="152"/>
  <c r="X41" i="152"/>
  <c r="G42" i="152"/>
  <c r="F42" i="152" s="1"/>
  <c r="F44" i="152"/>
  <c r="Z82" i="152"/>
  <c r="Z83" i="152"/>
  <c r="Q29" i="152"/>
  <c r="T29" i="152" s="1"/>
  <c r="I66" i="152"/>
  <c r="Q82" i="152"/>
  <c r="Q83" i="152"/>
  <c r="C44" i="152"/>
  <c r="W82" i="152"/>
  <c r="W83" i="152"/>
  <c r="C50" i="152"/>
  <c r="E59" i="152"/>
  <c r="E62" i="152"/>
  <c r="D65" i="152"/>
  <c r="C65" i="152" s="1"/>
  <c r="K59" i="152"/>
  <c r="T59" i="152" s="1"/>
  <c r="AI18" i="151"/>
  <c r="T18" i="151"/>
  <c r="AN18" i="151"/>
  <c r="AD17" i="151"/>
  <c r="AG51" i="151"/>
  <c r="AO51" i="151"/>
  <c r="AL51" i="151" s="1"/>
  <c r="AI17" i="151"/>
  <c r="R13" i="150"/>
  <c r="AI10" i="150"/>
  <c r="AI12" i="150"/>
  <c r="AN30" i="150"/>
  <c r="AM31" i="150"/>
  <c r="AM26" i="150"/>
  <c r="AN25" i="150"/>
  <c r="AL19" i="150"/>
  <c r="AR25" i="150"/>
  <c r="AR19" i="150"/>
  <c r="AX26" i="150"/>
  <c r="AX25" i="150" s="1"/>
  <c r="AY25" i="150"/>
  <c r="AY31" i="150"/>
  <c r="AZ30" i="150"/>
  <c r="AX19" i="150"/>
  <c r="AJ25" i="150"/>
  <c r="AM13" i="150"/>
  <c r="AY19" i="150"/>
  <c r="AS30" i="150"/>
  <c r="BN19" i="150"/>
  <c r="AV25" i="150"/>
  <c r="P54" i="150"/>
  <c r="AU58" i="150"/>
  <c r="AY59" i="150"/>
  <c r="AX59" i="150" s="1"/>
  <c r="AV40" i="150"/>
  <c r="AV42" i="150"/>
  <c r="AY47" i="150"/>
  <c r="AX47" i="150" s="1"/>
  <c r="AV47" i="150"/>
  <c r="Z52" i="150"/>
  <c r="AX52" i="150"/>
  <c r="AX51" i="150" s="1"/>
  <c r="AY51" i="150"/>
  <c r="AJ41" i="150"/>
  <c r="AM47" i="150"/>
  <c r="AL47" i="150" s="1"/>
  <c r="AJ47" i="150"/>
  <c r="L52" i="150"/>
  <c r="P52" i="150" s="1"/>
  <c r="K52" i="150"/>
  <c r="L53" i="150"/>
  <c r="P53" i="150" s="1"/>
  <c r="AP47" i="150"/>
  <c r="AR58" i="150"/>
  <c r="AI58" i="150"/>
  <c r="AW51" i="150"/>
  <c r="AM59" i="150"/>
  <c r="AL59" i="150" s="1"/>
  <c r="AS59" i="150"/>
  <c r="AR59" i="150" s="1"/>
  <c r="CX31" i="48"/>
  <c r="CP31" i="48"/>
  <c r="CH31" i="48"/>
  <c r="BZ31" i="48"/>
  <c r="BJ31" i="48"/>
  <c r="BB31" i="48"/>
  <c r="AT31" i="48"/>
  <c r="AL31" i="48"/>
  <c r="V31" i="48"/>
  <c r="AF121" i="13"/>
  <c r="Q35" i="44"/>
  <c r="Q36" i="151" s="1"/>
  <c r="Q34" i="44"/>
  <c r="Q35" i="151" s="1"/>
  <c r="Q33" i="44"/>
  <c r="Q34" i="151" s="1"/>
  <c r="Q30" i="44"/>
  <c r="Q31" i="151" s="1"/>
  <c r="Q29" i="44"/>
  <c r="Q30" i="151" s="1"/>
  <c r="Q28" i="44"/>
  <c r="Q29" i="151" s="1"/>
  <c r="J26" i="50"/>
  <c r="O26" i="50"/>
  <c r="C120" i="162" l="1"/>
  <c r="AE10" i="162"/>
  <c r="X25" i="150"/>
  <c r="W11" i="150"/>
  <c r="W12" i="150" s="1"/>
  <c r="AV11" i="150"/>
  <c r="BC25" i="150"/>
  <c r="L30" i="150"/>
  <c r="AF121" i="162"/>
  <c r="C65" i="153"/>
  <c r="AU10" i="150"/>
  <c r="AV10" i="150" s="1"/>
  <c r="U84" i="153"/>
  <c r="AP11" i="150"/>
  <c r="X19" i="150"/>
  <c r="BQ19" i="150"/>
  <c r="BN30" i="150"/>
  <c r="BN25" i="150"/>
  <c r="BC19" i="150"/>
  <c r="BQ13" i="150"/>
  <c r="C48" i="151"/>
  <c r="E58" i="153"/>
  <c r="AD30" i="150"/>
  <c r="BB25" i="150"/>
  <c r="AJ19" i="150"/>
  <c r="AD13" i="150"/>
  <c r="H21" i="153"/>
  <c r="H18" i="153" s="1"/>
  <c r="G69" i="153" s="1"/>
  <c r="F69" i="153" s="1"/>
  <c r="R41" i="152"/>
  <c r="R40" i="152"/>
  <c r="R40" i="153"/>
  <c r="R41" i="153"/>
  <c r="BM30" i="150"/>
  <c r="C42" i="152"/>
  <c r="AD19" i="150"/>
  <c r="J85" i="153"/>
  <c r="I85" i="153" s="1"/>
  <c r="S42" i="153"/>
  <c r="K25" i="150"/>
  <c r="AO10" i="150"/>
  <c r="AO12" i="150"/>
  <c r="AV12" i="150" s="1"/>
  <c r="T59" i="153"/>
  <c r="K18" i="153"/>
  <c r="J69" i="153" s="1"/>
  <c r="V87" i="150"/>
  <c r="AC11" i="150"/>
  <c r="AJ11" i="150" s="1"/>
  <c r="BB13" i="150"/>
  <c r="X13" i="150"/>
  <c r="BC13" i="150"/>
  <c r="AJ30" i="150"/>
  <c r="BN13" i="150"/>
  <c r="I42" i="153"/>
  <c r="M85" i="153"/>
  <c r="W29" i="153"/>
  <c r="W28" i="153" s="1"/>
  <c r="Q29" i="153"/>
  <c r="T29" i="153" s="1"/>
  <c r="N28" i="153"/>
  <c r="AC30" i="153"/>
  <c r="AA84" i="153"/>
  <c r="Q26" i="153"/>
  <c r="T26" i="153" s="1"/>
  <c r="N25" i="153"/>
  <c r="W26" i="153"/>
  <c r="AC19" i="153"/>
  <c r="AC29" i="152"/>
  <c r="E58" i="152"/>
  <c r="AX31" i="150"/>
  <c r="AX30" i="150" s="1"/>
  <c r="AY30" i="150"/>
  <c r="AP12" i="150"/>
  <c r="AM58" i="150"/>
  <c r="AP10" i="150"/>
  <c r="AY58" i="150"/>
  <c r="AL31" i="150"/>
  <c r="AL30" i="150" s="1"/>
  <c r="AM30" i="150"/>
  <c r="AL26" i="150"/>
  <c r="AL25" i="150" s="1"/>
  <c r="AM25" i="150"/>
  <c r="H63" i="44"/>
  <c r="S113" i="13"/>
  <c r="P76" i="13"/>
  <c r="U93" i="43"/>
  <c r="T93" i="43" s="1"/>
  <c r="P113" i="13" l="1"/>
  <c r="S113" i="162"/>
  <c r="P113" i="162" s="1"/>
  <c r="C113" i="162" s="1"/>
  <c r="C121" i="162"/>
  <c r="AF10" i="162"/>
  <c r="AD11" i="150"/>
  <c r="I69" i="153"/>
  <c r="AC12" i="150"/>
  <c r="AJ12" i="150" s="1"/>
  <c r="N21" i="153"/>
  <c r="N18" i="153" s="1"/>
  <c r="M69" i="153" s="1"/>
  <c r="Z29" i="153"/>
  <c r="Q28" i="153"/>
  <c r="T28" i="153" s="1"/>
  <c r="Z26" i="153"/>
  <c r="W25" i="153"/>
  <c r="W21" i="153" s="1"/>
  <c r="W18" i="153" s="1"/>
  <c r="Q25" i="153"/>
  <c r="T25" i="153" s="1"/>
  <c r="AX58" i="150"/>
  <c r="AL58" i="150"/>
  <c r="Z38" i="13"/>
  <c r="T14" i="30"/>
  <c r="T15" i="30"/>
  <c r="X12" i="13"/>
  <c r="T21" i="30"/>
  <c r="E37" i="30"/>
  <c r="E36" i="30" s="1"/>
  <c r="H37" i="30"/>
  <c r="H36" i="30" s="1"/>
  <c r="J37" i="30"/>
  <c r="J36" i="30" s="1"/>
  <c r="K37" i="30"/>
  <c r="K36" i="30" s="1"/>
  <c r="L37" i="30"/>
  <c r="L36" i="30" s="1"/>
  <c r="N37" i="30"/>
  <c r="N36" i="30" s="1"/>
  <c r="O37" i="30"/>
  <c r="O36" i="30" s="1"/>
  <c r="P37" i="30"/>
  <c r="P36" i="30" s="1"/>
  <c r="Q37" i="30"/>
  <c r="Q36" i="30" s="1"/>
  <c r="R12" i="30"/>
  <c r="R9" i="30" s="1"/>
  <c r="R37" i="30" s="1"/>
  <c r="R36" i="30" s="1"/>
  <c r="Z38" i="162" l="1"/>
  <c r="P38" i="162" s="1"/>
  <c r="AD12" i="150"/>
  <c r="Q21" i="153"/>
  <c r="Z28" i="153"/>
  <c r="AC29" i="153"/>
  <c r="AC26" i="153"/>
  <c r="Z25" i="153"/>
  <c r="L69" i="153"/>
  <c r="C171" i="13"/>
  <c r="Z21" i="153" l="1"/>
  <c r="Z18" i="153" s="1"/>
  <c r="Q18" i="153"/>
  <c r="T21" i="153"/>
  <c r="AC28" i="153"/>
  <c r="AC25" i="153"/>
  <c r="C178" i="13"/>
  <c r="C170" i="13"/>
  <c r="C179" i="13" s="1"/>
  <c r="BR47" i="48"/>
  <c r="CH47" i="48"/>
  <c r="CZ16" i="48"/>
  <c r="AJ82" i="13"/>
  <c r="X46" i="14"/>
  <c r="AV16" i="48"/>
  <c r="G19" i="138"/>
  <c r="G18" i="138"/>
  <c r="G17" i="138"/>
  <c r="G16" i="138"/>
  <c r="G15" i="138"/>
  <c r="G14" i="138"/>
  <c r="G13" i="138"/>
  <c r="G12" i="138"/>
  <c r="G11" i="138"/>
  <c r="G10" i="138"/>
  <c r="G9" i="138"/>
  <c r="G8" i="138"/>
  <c r="O19" i="15"/>
  <c r="N19" i="15"/>
  <c r="M19" i="15"/>
  <c r="L19" i="15"/>
  <c r="K19" i="15"/>
  <c r="J19" i="15"/>
  <c r="I19" i="15"/>
  <c r="H19" i="15"/>
  <c r="G19" i="15"/>
  <c r="F19" i="15"/>
  <c r="E19" i="15"/>
  <c r="D19" i="15"/>
  <c r="O88" i="50"/>
  <c r="J88" i="50"/>
  <c r="P87" i="50"/>
  <c r="O87" i="50"/>
  <c r="N87" i="50"/>
  <c r="M87" i="50"/>
  <c r="L87" i="50"/>
  <c r="K87" i="50"/>
  <c r="J87" i="50"/>
  <c r="I87" i="50"/>
  <c r="H87" i="50"/>
  <c r="G87" i="50"/>
  <c r="F87" i="50"/>
  <c r="E87" i="50"/>
  <c r="E26" i="50"/>
  <c r="P43" i="50"/>
  <c r="O43" i="50"/>
  <c r="N43" i="50"/>
  <c r="M43" i="50"/>
  <c r="L43" i="50"/>
  <c r="K43" i="50"/>
  <c r="J43" i="50"/>
  <c r="I43" i="50"/>
  <c r="H43" i="50"/>
  <c r="G43" i="50"/>
  <c r="F43" i="50"/>
  <c r="E43" i="50"/>
  <c r="P26" i="50"/>
  <c r="N26" i="50"/>
  <c r="M26" i="50"/>
  <c r="L26" i="50"/>
  <c r="K26" i="50"/>
  <c r="I26" i="50"/>
  <c r="H26" i="50"/>
  <c r="G26" i="50"/>
  <c r="F26" i="50"/>
  <c r="H18" i="48"/>
  <c r="F18" i="48"/>
  <c r="G15" i="112" l="1"/>
  <c r="G16" i="112"/>
  <c r="G14" i="112"/>
  <c r="G8" i="112"/>
  <c r="G10" i="112"/>
  <c r="G18" i="112"/>
  <c r="AJ82" i="162"/>
  <c r="G11" i="112"/>
  <c r="G19" i="112"/>
  <c r="G17" i="112"/>
  <c r="G12" i="112"/>
  <c r="G9" i="112"/>
  <c r="G20" i="112" s="1"/>
  <c r="D43" i="50"/>
  <c r="G13" i="112"/>
  <c r="D26" i="50"/>
  <c r="C181" i="13"/>
  <c r="T18" i="153"/>
  <c r="P69" i="153"/>
  <c r="AC21" i="153"/>
  <c r="AC18" i="153" s="1"/>
  <c r="G20" i="138"/>
  <c r="Q30" i="13"/>
  <c r="P39" i="60"/>
  <c r="C39" i="60" s="1"/>
  <c r="P40" i="60"/>
  <c r="C40" i="60" s="1"/>
  <c r="P39" i="13"/>
  <c r="P40" i="13"/>
  <c r="Z16" i="13"/>
  <c r="U64" i="13"/>
  <c r="AC72" i="13"/>
  <c r="AC70" i="13"/>
  <c r="AJ17" i="13"/>
  <c r="Z16" i="162" l="1"/>
  <c r="AH82" i="162"/>
  <c r="AH81" i="162" s="1"/>
  <c r="AJ81" i="162"/>
  <c r="AJ17" i="162"/>
  <c r="AH17" i="162" s="1"/>
  <c r="C17" i="162" s="1"/>
  <c r="AC70" i="162"/>
  <c r="P70" i="162" s="1"/>
  <c r="C70" i="162" s="1"/>
  <c r="Q30" i="162"/>
  <c r="AC72" i="162"/>
  <c r="P72" i="162" s="1"/>
  <c r="C72" i="162" s="1"/>
  <c r="U64" i="162"/>
  <c r="S69" i="153"/>
  <c r="R69" i="153" s="1"/>
  <c r="O69" i="153"/>
  <c r="Q58" i="43"/>
  <c r="P16" i="162" l="1"/>
  <c r="P30" i="162"/>
  <c r="Q12" i="162"/>
  <c r="U63" i="162"/>
  <c r="P64" i="162"/>
  <c r="Q58" i="150"/>
  <c r="E17" i="154"/>
  <c r="K34" i="44"/>
  <c r="K35" i="151" s="1"/>
  <c r="C64" i="162" l="1"/>
  <c r="CR16" i="48"/>
  <c r="CJ16" i="48"/>
  <c r="CB16" i="48"/>
  <c r="BT16" i="48"/>
  <c r="BL16" i="48"/>
  <c r="BD16" i="48"/>
  <c r="AN16" i="48"/>
  <c r="AF16" i="48"/>
  <c r="X16" i="48"/>
  <c r="P16" i="48"/>
  <c r="BM48" i="43"/>
  <c r="BJ48" i="43"/>
  <c r="BM44" i="43"/>
  <c r="BJ44" i="43"/>
  <c r="BJ43" i="43"/>
  <c r="BJ42" i="43"/>
  <c r="BM40" i="43"/>
  <c r="BJ39" i="43"/>
  <c r="BJ38" i="43"/>
  <c r="BJ37" i="43"/>
  <c r="BJ36" i="43"/>
  <c r="BM35" i="43"/>
  <c r="BJ35" i="43"/>
  <c r="BM34" i="43"/>
  <c r="BJ34" i="43"/>
  <c r="BM33" i="43"/>
  <c r="BJ33" i="43"/>
  <c r="BJ32" i="43"/>
  <c r="BJ31" i="43"/>
  <c r="BM29" i="43"/>
  <c r="BJ29" i="43"/>
  <c r="BM28" i="43"/>
  <c r="BJ28" i="43"/>
  <c r="BM27" i="43"/>
  <c r="BJ27" i="43"/>
  <c r="BM26" i="43"/>
  <c r="BJ26" i="43"/>
  <c r="BM24" i="43"/>
  <c r="BJ24" i="43"/>
  <c r="BM23" i="43"/>
  <c r="BJ23" i="43"/>
  <c r="BM22" i="43"/>
  <c r="BJ22" i="43"/>
  <c r="BM21" i="43"/>
  <c r="BJ21" i="43"/>
  <c r="BM20" i="43"/>
  <c r="BJ20" i="43"/>
  <c r="BJ14" i="43"/>
  <c r="BM14" i="43"/>
  <c r="M96" i="43"/>
  <c r="Q56" i="43"/>
  <c r="C14" i="169" l="1"/>
  <c r="C29" i="159"/>
  <c r="C15" i="158"/>
  <c r="C15" i="66"/>
  <c r="C29" i="67"/>
  <c r="Q56" i="150"/>
  <c r="E10" i="154"/>
  <c r="X37" i="30"/>
  <c r="X39" i="30" s="1"/>
  <c r="X36" i="30"/>
  <c r="X34" i="30"/>
  <c r="W35" i="30"/>
  <c r="V23" i="30"/>
  <c r="BA105" i="41"/>
  <c r="BB14" i="41"/>
  <c r="BB15" i="41"/>
  <c r="BB16" i="41"/>
  <c r="BB17" i="41"/>
  <c r="BB18" i="41"/>
  <c r="BB21" i="41"/>
  <c r="BY21" i="41" s="1"/>
  <c r="BZ21" i="41" s="1"/>
  <c r="BB22" i="41"/>
  <c r="BB23" i="41"/>
  <c r="BB24" i="41"/>
  <c r="BB26" i="41"/>
  <c r="BB27" i="41"/>
  <c r="BB28" i="41"/>
  <c r="BB29" i="41"/>
  <c r="BB31" i="41"/>
  <c r="BB32" i="41"/>
  <c r="BB33" i="41"/>
  <c r="BY33" i="41" s="1"/>
  <c r="BZ33" i="41" s="1"/>
  <c r="BB34" i="41"/>
  <c r="BB35" i="41"/>
  <c r="BY35" i="41" s="1"/>
  <c r="BZ35" i="41" s="1"/>
  <c r="AU51" i="41"/>
  <c r="AV51" i="41"/>
  <c r="AW51" i="41"/>
  <c r="AX51" i="41"/>
  <c r="AY51" i="41"/>
  <c r="AZ51" i="41"/>
  <c r="D52" i="43"/>
  <c r="D53" i="43"/>
  <c r="BA54" i="41"/>
  <c r="BC52" i="41"/>
  <c r="BD52" i="41" s="1"/>
  <c r="BC53" i="41"/>
  <c r="BD53" i="41" s="1"/>
  <c r="BC54" i="41"/>
  <c r="BD54" i="41" s="1"/>
  <c r="BC55" i="41"/>
  <c r="BD55" i="41" s="1"/>
  <c r="BF55" i="41" s="1"/>
  <c r="BC14" i="41"/>
  <c r="BD14" i="41" s="1"/>
  <c r="BF14" i="41" s="1"/>
  <c r="BC16" i="41"/>
  <c r="BD16" i="41" s="1"/>
  <c r="BC17" i="41"/>
  <c r="BD17" i="41" s="1"/>
  <c r="BC18" i="41"/>
  <c r="BD18" i="41" s="1"/>
  <c r="BC20" i="41"/>
  <c r="BD20" i="41" s="1"/>
  <c r="BC21" i="41"/>
  <c r="BD21" i="41" s="1"/>
  <c r="BC22" i="41"/>
  <c r="BC23" i="41"/>
  <c r="BD23" i="41" s="1"/>
  <c r="BC24" i="41"/>
  <c r="BD24" i="41" s="1"/>
  <c r="BF24" i="41" s="1"/>
  <c r="BC26" i="41"/>
  <c r="BD26" i="41" s="1"/>
  <c r="BC27" i="41"/>
  <c r="BD27" i="41" s="1"/>
  <c r="BC28" i="41"/>
  <c r="BD28" i="41" s="1"/>
  <c r="BC29" i="41"/>
  <c r="BD29" i="41" s="1"/>
  <c r="J45" i="43"/>
  <c r="J94" i="43"/>
  <c r="J95" i="43" s="1"/>
  <c r="D14" i="43"/>
  <c r="D26" i="43"/>
  <c r="D27" i="43"/>
  <c r="D30" i="43"/>
  <c r="BB45" i="41"/>
  <c r="P43" i="43"/>
  <c r="P43" i="150" s="1"/>
  <c r="J20" i="43"/>
  <c r="J91" i="43"/>
  <c r="BC21" i="5"/>
  <c r="U16" i="43"/>
  <c r="U17" i="43"/>
  <c r="U20" i="43"/>
  <c r="U21" i="43"/>
  <c r="U22" i="43"/>
  <c r="U23" i="43"/>
  <c r="U24" i="43"/>
  <c r="U26" i="43"/>
  <c r="U27" i="43"/>
  <c r="U28" i="43"/>
  <c r="U29" i="43"/>
  <c r="S52" i="43"/>
  <c r="S53" i="43"/>
  <c r="S54" i="43"/>
  <c r="BB36" i="41"/>
  <c r="BB38" i="41"/>
  <c r="BB39" i="41"/>
  <c r="BB40" i="41"/>
  <c r="BB41" i="41"/>
  <c r="BB42" i="41"/>
  <c r="BB43" i="41"/>
  <c r="BB46" i="41"/>
  <c r="BB49" i="41"/>
  <c r="BB50" i="41"/>
  <c r="BB103" i="41" s="1"/>
  <c r="BA14" i="41"/>
  <c r="BA15" i="41"/>
  <c r="BA17" i="41"/>
  <c r="BA18" i="41"/>
  <c r="BA22" i="41"/>
  <c r="BA24" i="41"/>
  <c r="BA28" i="41"/>
  <c r="BA29" i="41"/>
  <c r="BA31" i="41"/>
  <c r="BA32" i="41"/>
  <c r="BA33" i="41"/>
  <c r="BA34" i="41"/>
  <c r="BA35" i="41"/>
  <c r="BC56" i="41"/>
  <c r="BE56" i="41" s="1"/>
  <c r="BC39" i="41"/>
  <c r="BC41" i="41"/>
  <c r="BC44" i="41"/>
  <c r="BC45" i="41"/>
  <c r="BC46" i="41"/>
  <c r="BC48" i="41"/>
  <c r="Q19" i="43"/>
  <c r="Q25" i="43"/>
  <c r="Q51" i="43"/>
  <c r="P49" i="43"/>
  <c r="P49" i="150" s="1"/>
  <c r="J48" i="43"/>
  <c r="J30" i="43"/>
  <c r="P36" i="43"/>
  <c r="P36" i="150" s="1"/>
  <c r="P38" i="43"/>
  <c r="P38" i="150" s="1"/>
  <c r="P37" i="43"/>
  <c r="P37" i="150" s="1"/>
  <c r="BB37" i="41"/>
  <c r="BA44" i="41"/>
  <c r="BB44" i="41"/>
  <c r="P38" i="13"/>
  <c r="J54" i="43"/>
  <c r="J52" i="43"/>
  <c r="J53" i="43"/>
  <c r="F30" i="54"/>
  <c r="F12" i="60"/>
  <c r="F45" i="60"/>
  <c r="F44" i="60" s="1"/>
  <c r="F51" i="60"/>
  <c r="F59" i="60"/>
  <c r="F63" i="60"/>
  <c r="F101" i="60"/>
  <c r="F102" i="60"/>
  <c r="F103" i="60"/>
  <c r="F104" i="60"/>
  <c r="AN126" i="60"/>
  <c r="B126" i="60"/>
  <c r="P52" i="44"/>
  <c r="D125" i="13"/>
  <c r="D124" i="13"/>
  <c r="D123" i="13"/>
  <c r="D122" i="13"/>
  <c r="D120" i="13"/>
  <c r="D119" i="13"/>
  <c r="I116" i="13"/>
  <c r="C96" i="13"/>
  <c r="C94" i="13"/>
  <c r="N50" i="46"/>
  <c r="H23" i="46"/>
  <c r="H24" i="46"/>
  <c r="H26" i="46"/>
  <c r="H27" i="46"/>
  <c r="H29" i="46"/>
  <c r="H30" i="46"/>
  <c r="N57" i="46"/>
  <c r="N55" i="46"/>
  <c r="M55" i="46"/>
  <c r="N40" i="46"/>
  <c r="N41" i="46"/>
  <c r="N38" i="46"/>
  <c r="Q38" i="46"/>
  <c r="Q40" i="46"/>
  <c r="Q41" i="46"/>
  <c r="P41" i="46"/>
  <c r="P40" i="46"/>
  <c r="O40" i="46" s="1"/>
  <c r="M41" i="46"/>
  <c r="M40" i="46"/>
  <c r="N55" i="45"/>
  <c r="M55" i="45"/>
  <c r="N57" i="45"/>
  <c r="Q72" i="46"/>
  <c r="P72" i="46"/>
  <c r="N72" i="46"/>
  <c r="L72" i="46" s="1"/>
  <c r="M72" i="46"/>
  <c r="N70" i="46"/>
  <c r="M70" i="46"/>
  <c r="Q70" i="46"/>
  <c r="P70" i="46"/>
  <c r="Q68" i="46"/>
  <c r="P68" i="46"/>
  <c r="Q66" i="46"/>
  <c r="Q64" i="46"/>
  <c r="Q60" i="46"/>
  <c r="Q61" i="46"/>
  <c r="N68" i="46"/>
  <c r="N66" i="46"/>
  <c r="N64" i="46"/>
  <c r="N60" i="46"/>
  <c r="N61" i="46"/>
  <c r="Q72" i="45"/>
  <c r="P72" i="45"/>
  <c r="Q70" i="45"/>
  <c r="P70" i="45"/>
  <c r="Q68" i="45"/>
  <c r="P68" i="45"/>
  <c r="Q66" i="45"/>
  <c r="Q64" i="45"/>
  <c r="Q61" i="45"/>
  <c r="Q60" i="45"/>
  <c r="Q59" i="45" s="1"/>
  <c r="N66" i="45"/>
  <c r="O44" i="45"/>
  <c r="O43" i="45"/>
  <c r="L44" i="45"/>
  <c r="L43" i="45"/>
  <c r="Q41" i="45"/>
  <c r="P41" i="45"/>
  <c r="Q40" i="45"/>
  <c r="P40" i="45"/>
  <c r="O40" i="45" s="1"/>
  <c r="Q38" i="45"/>
  <c r="M42" i="45"/>
  <c r="N41" i="45"/>
  <c r="M41" i="45"/>
  <c r="N40" i="45"/>
  <c r="M40" i="45"/>
  <c r="N38" i="45"/>
  <c r="W17" i="44"/>
  <c r="G40" i="154" s="1"/>
  <c r="W16" i="44"/>
  <c r="G39" i="154" s="1"/>
  <c r="W15" i="44"/>
  <c r="G38" i="154" s="1"/>
  <c r="N72" i="45"/>
  <c r="M72" i="45"/>
  <c r="N70" i="45"/>
  <c r="M70" i="45"/>
  <c r="N68" i="45"/>
  <c r="N60" i="45"/>
  <c r="N59" i="45" s="1"/>
  <c r="N61" i="45"/>
  <c r="N64" i="45"/>
  <c r="AA14" i="44"/>
  <c r="V14" i="44"/>
  <c r="R15" i="44"/>
  <c r="F38" i="154" s="1"/>
  <c r="Q32" i="45"/>
  <c r="P32" i="45"/>
  <c r="Q16" i="45"/>
  <c r="Q15" i="45"/>
  <c r="N22" i="45"/>
  <c r="N32" i="45"/>
  <c r="M32" i="45"/>
  <c r="M31" i="45"/>
  <c r="K40" i="46"/>
  <c r="J40" i="46"/>
  <c r="K38" i="46"/>
  <c r="Q32" i="46"/>
  <c r="P32" i="46"/>
  <c r="Q20" i="46"/>
  <c r="Q19" i="46"/>
  <c r="Q16" i="46"/>
  <c r="Q15" i="46"/>
  <c r="N32" i="46"/>
  <c r="M32" i="46"/>
  <c r="M31" i="46"/>
  <c r="N16" i="46"/>
  <c r="N15" i="46"/>
  <c r="N16" i="45"/>
  <c r="AH42" i="43"/>
  <c r="V12" i="44" s="1"/>
  <c r="AB42" i="43"/>
  <c r="N14" i="45" s="1"/>
  <c r="O72" i="45"/>
  <c r="O70" i="45"/>
  <c r="N47" i="48"/>
  <c r="AD47" i="48"/>
  <c r="N44" i="48"/>
  <c r="N31" i="48" s="1"/>
  <c r="Z104" i="60"/>
  <c r="H76" i="48"/>
  <c r="C60" i="65"/>
  <c r="E48" i="53"/>
  <c r="E50" i="53" s="1"/>
  <c r="M49" i="44"/>
  <c r="S21" i="138"/>
  <c r="R20" i="138"/>
  <c r="C15" i="54"/>
  <c r="C29" i="57"/>
  <c r="T85" i="43"/>
  <c r="C56" i="44"/>
  <c r="Y20" i="30"/>
  <c r="D16" i="30"/>
  <c r="V27" i="30"/>
  <c r="Z23" i="30"/>
  <c r="AA24" i="30" s="1"/>
  <c r="AA26" i="30" s="1"/>
  <c r="AA27" i="30" s="1"/>
  <c r="V33" i="48"/>
  <c r="CX33" i="48"/>
  <c r="P6" i="50"/>
  <c r="CZ23" i="48" s="1"/>
  <c r="AM40" i="14" s="1"/>
  <c r="AM40" i="62" s="1"/>
  <c r="K6" i="50"/>
  <c r="G6" i="50"/>
  <c r="E6" i="50"/>
  <c r="K72" i="46"/>
  <c r="K70" i="46"/>
  <c r="K72" i="45"/>
  <c r="K70" i="45"/>
  <c r="AR41" i="13"/>
  <c r="AQ44" i="13"/>
  <c r="AY111" i="13"/>
  <c r="AY110" i="13"/>
  <c r="AY112" i="13" s="1"/>
  <c r="AY113" i="13" s="1"/>
  <c r="AY114" i="13" s="1"/>
  <c r="AX110" i="13"/>
  <c r="AY109" i="13"/>
  <c r="AX109" i="13"/>
  <c r="AW112" i="13"/>
  <c r="AU109" i="13"/>
  <c r="AQ109" i="13"/>
  <c r="AR109" i="13" s="1"/>
  <c r="AH90" i="13"/>
  <c r="AI89" i="13"/>
  <c r="AJ89" i="13"/>
  <c r="Y27" i="13"/>
  <c r="Z205" i="13"/>
  <c r="Z204" i="13"/>
  <c r="Z202" i="13"/>
  <c r="P21" i="138"/>
  <c r="O20" i="138"/>
  <c r="O22" i="138" s="1"/>
  <c r="Z103" i="13"/>
  <c r="C142" i="79"/>
  <c r="C144" i="80"/>
  <c r="C141" i="81"/>
  <c r="C140" i="82"/>
  <c r="C140" i="83"/>
  <c r="C140" i="84"/>
  <c r="C144" i="78"/>
  <c r="C148" i="77"/>
  <c r="C142" i="76"/>
  <c r="C146" i="75"/>
  <c r="C137" i="74"/>
  <c r="C145" i="73"/>
  <c r="B145" i="73"/>
  <c r="B137" i="74" s="1"/>
  <c r="B146" i="75" s="1"/>
  <c r="B142" i="76" s="1"/>
  <c r="B148" i="77" s="1"/>
  <c r="B144" i="78" s="1"/>
  <c r="B142" i="79" s="1"/>
  <c r="B144" i="80" s="1"/>
  <c r="B141" i="81" s="1"/>
  <c r="B140" i="82" s="1"/>
  <c r="B140" i="83" s="1"/>
  <c r="B140" i="84" s="1"/>
  <c r="K19" i="138"/>
  <c r="K18" i="138"/>
  <c r="K17" i="138"/>
  <c r="K16" i="138"/>
  <c r="K15" i="138"/>
  <c r="K14" i="138"/>
  <c r="K13" i="138"/>
  <c r="K12" i="138"/>
  <c r="K11" i="138"/>
  <c r="K10" i="138"/>
  <c r="K9" i="138"/>
  <c r="K8" i="138"/>
  <c r="AM12" i="60"/>
  <c r="AM12" i="13"/>
  <c r="AL12" i="13"/>
  <c r="AK12" i="13"/>
  <c r="AI12" i="13"/>
  <c r="AG12" i="13"/>
  <c r="AF12" i="13"/>
  <c r="AE12" i="13"/>
  <c r="AD12" i="13"/>
  <c r="AC12" i="13"/>
  <c r="AB12" i="13"/>
  <c r="W12" i="13"/>
  <c r="V12" i="13"/>
  <c r="T12" i="13"/>
  <c r="S12" i="13"/>
  <c r="R12" i="13"/>
  <c r="AH31" i="13"/>
  <c r="D46" i="58"/>
  <c r="D53" i="58" s="1"/>
  <c r="AC65" i="45"/>
  <c r="E12" i="13"/>
  <c r="F12" i="13"/>
  <c r="G12" i="13"/>
  <c r="H12" i="13"/>
  <c r="I12" i="13"/>
  <c r="J12" i="13"/>
  <c r="K12" i="13"/>
  <c r="L12" i="13"/>
  <c r="M12" i="13"/>
  <c r="N12" i="13"/>
  <c r="O12" i="13"/>
  <c r="U56" i="43"/>
  <c r="AN12" i="13"/>
  <c r="AN11" i="13" s="1"/>
  <c r="AN10" i="13" s="1"/>
  <c r="AN193" i="13" s="1"/>
  <c r="AN31" i="60"/>
  <c r="AN12" i="60" s="1"/>
  <c r="AN11" i="60" s="1"/>
  <c r="BE34" i="47"/>
  <c r="AG34" i="47"/>
  <c r="BD51" i="43"/>
  <c r="BD50" i="43"/>
  <c r="AC58" i="43"/>
  <c r="AI59" i="43"/>
  <c r="AO59" i="43" s="1"/>
  <c r="AO58" i="43" s="1"/>
  <c r="AS58" i="43" s="1"/>
  <c r="AQ54" i="43"/>
  <c r="AQ53" i="43"/>
  <c r="AQ52" i="43"/>
  <c r="AK54" i="43"/>
  <c r="AK53" i="43"/>
  <c r="AK52" i="43"/>
  <c r="AI58" i="43"/>
  <c r="AM58" i="43" s="1"/>
  <c r="AB61" i="45"/>
  <c r="C71" i="149"/>
  <c r="C25" i="149"/>
  <c r="C60" i="149"/>
  <c r="C25" i="65"/>
  <c r="K38" i="45"/>
  <c r="K40" i="45"/>
  <c r="J40" i="45"/>
  <c r="I40" i="45" s="1"/>
  <c r="E31" i="70"/>
  <c r="E20" i="69"/>
  <c r="D9" i="69"/>
  <c r="A31" i="69"/>
  <c r="A32" i="69"/>
  <c r="A33" i="69"/>
  <c r="A34" i="69"/>
  <c r="A35" i="69"/>
  <c r="A36" i="69"/>
  <c r="A37" i="69"/>
  <c r="A38" i="69"/>
  <c r="B12" i="68"/>
  <c r="E20" i="68"/>
  <c r="D19" i="68"/>
  <c r="E19" i="68"/>
  <c r="A5" i="67"/>
  <c r="A5" i="68" s="1"/>
  <c r="A2" i="69" s="1"/>
  <c r="A2" i="70" s="1"/>
  <c r="B37" i="66"/>
  <c r="B36" i="66"/>
  <c r="B35" i="66"/>
  <c r="B33" i="66"/>
  <c r="B31" i="66"/>
  <c r="C25" i="66"/>
  <c r="B22" i="66"/>
  <c r="B23" i="66"/>
  <c r="B21" i="66"/>
  <c r="A100" i="73"/>
  <c r="A95" i="74" s="1"/>
  <c r="A98" i="75" s="1"/>
  <c r="A99" i="76" s="1"/>
  <c r="A100" i="77" s="1"/>
  <c r="A99" i="78" s="1"/>
  <c r="A100" i="79" s="1"/>
  <c r="A99" i="80" s="1"/>
  <c r="A98" i="81" s="1"/>
  <c r="A98" i="82" s="1"/>
  <c r="A98" i="83" s="1"/>
  <c r="A96" i="84" s="1"/>
  <c r="A98" i="73"/>
  <c r="A93" i="74" s="1"/>
  <c r="A96" i="75" s="1"/>
  <c r="A97" i="76" s="1"/>
  <c r="A98" i="77" s="1"/>
  <c r="A97" i="78" s="1"/>
  <c r="A98" i="79" s="1"/>
  <c r="A97" i="80" s="1"/>
  <c r="A96" i="81" s="1"/>
  <c r="A96" i="82" s="1"/>
  <c r="A96" i="83" s="1"/>
  <c r="A94" i="84" s="1"/>
  <c r="A97" i="73"/>
  <c r="A92" i="74" s="1"/>
  <c r="A95" i="75" s="1"/>
  <c r="A96" i="76" s="1"/>
  <c r="A97" i="77" s="1"/>
  <c r="A96" i="78" s="1"/>
  <c r="A97" i="79" s="1"/>
  <c r="A96" i="80" s="1"/>
  <c r="A95" i="81" s="1"/>
  <c r="A95" i="82" s="1"/>
  <c r="A95" i="83" s="1"/>
  <c r="A93" i="84" s="1"/>
  <c r="A96" i="73"/>
  <c r="A91" i="74" s="1"/>
  <c r="A94" i="75" s="1"/>
  <c r="A95" i="76" s="1"/>
  <c r="A96" i="77" s="1"/>
  <c r="A95" i="78" s="1"/>
  <c r="A96" i="79" s="1"/>
  <c r="A95" i="80" s="1"/>
  <c r="A94" i="81" s="1"/>
  <c r="A94" i="82" s="1"/>
  <c r="A94" i="83" s="1"/>
  <c r="A92" i="84" s="1"/>
  <c r="A94" i="73"/>
  <c r="A89" i="74" s="1"/>
  <c r="A92" i="75" s="1"/>
  <c r="A93" i="76" s="1"/>
  <c r="A94" i="77" s="1"/>
  <c r="A93" i="78" s="1"/>
  <c r="A94" i="79" s="1"/>
  <c r="A93" i="80" s="1"/>
  <c r="A92" i="81" s="1"/>
  <c r="A92" i="82" s="1"/>
  <c r="A92" i="83" s="1"/>
  <c r="A90" i="84" s="1"/>
  <c r="A93" i="73"/>
  <c r="A88" i="74" s="1"/>
  <c r="A91" i="75" s="1"/>
  <c r="A92" i="76" s="1"/>
  <c r="A93" i="77" s="1"/>
  <c r="A92" i="78" s="1"/>
  <c r="A93" i="79" s="1"/>
  <c r="A92" i="80" s="1"/>
  <c r="A91" i="81" s="1"/>
  <c r="A91" i="82" s="1"/>
  <c r="A91" i="83" s="1"/>
  <c r="A89" i="84" s="1"/>
  <c r="A50" i="73"/>
  <c r="A50" i="74" s="1"/>
  <c r="A50" i="75" s="1"/>
  <c r="A50" i="76" s="1"/>
  <c r="A50" i="77" s="1"/>
  <c r="A50" i="78" s="1"/>
  <c r="A50" i="79" s="1"/>
  <c r="A50" i="80" s="1"/>
  <c r="A50" i="81" s="1"/>
  <c r="A50" i="82" s="1"/>
  <c r="A50" i="83" s="1"/>
  <c r="A50" i="84" s="1"/>
  <c r="A49" i="73"/>
  <c r="A49" i="74"/>
  <c r="A49" i="75" s="1"/>
  <c r="A49" i="76" s="1"/>
  <c r="A49" i="77" s="1"/>
  <c r="A49" i="78" s="1"/>
  <c r="A49" i="79" s="1"/>
  <c r="A49" i="80" s="1"/>
  <c r="A49" i="81" s="1"/>
  <c r="A49" i="82" s="1"/>
  <c r="A49" i="83" s="1"/>
  <c r="A49" i="84" s="1"/>
  <c r="A48" i="73"/>
  <c r="A48" i="74" s="1"/>
  <c r="A48" i="75" s="1"/>
  <c r="A48" i="76" s="1"/>
  <c r="A48" i="77" s="1"/>
  <c r="A48" i="78" s="1"/>
  <c r="A48" i="79" s="1"/>
  <c r="A48" i="80" s="1"/>
  <c r="A48" i="81" s="1"/>
  <c r="A48" i="82" s="1"/>
  <c r="A48" i="83" s="1"/>
  <c r="A48" i="84" s="1"/>
  <c r="A47" i="73"/>
  <c r="A47" i="74"/>
  <c r="A47" i="75" s="1"/>
  <c r="A47" i="76" s="1"/>
  <c r="A47" i="77" s="1"/>
  <c r="A47" i="78" s="1"/>
  <c r="A47" i="79" s="1"/>
  <c r="A47" i="80" s="1"/>
  <c r="A47" i="81" s="1"/>
  <c r="A47" i="82" s="1"/>
  <c r="A47" i="83" s="1"/>
  <c r="A47" i="84" s="1"/>
  <c r="C140" i="81"/>
  <c r="C147" i="77"/>
  <c r="C141" i="76"/>
  <c r="B144" i="73"/>
  <c r="B136" i="74" s="1"/>
  <c r="B145" i="75" s="1"/>
  <c r="B141" i="76" s="1"/>
  <c r="B147" i="77" s="1"/>
  <c r="B143" i="78" s="1"/>
  <c r="B141" i="79" s="1"/>
  <c r="B143" i="80" s="1"/>
  <c r="B140" i="81" s="1"/>
  <c r="B139" i="82" s="1"/>
  <c r="B139" i="83" s="1"/>
  <c r="B139" i="84" s="1"/>
  <c r="J10" i="112"/>
  <c r="J13" i="112"/>
  <c r="J14" i="112"/>
  <c r="J15" i="112"/>
  <c r="J17" i="112"/>
  <c r="J18" i="112"/>
  <c r="J19" i="112"/>
  <c r="J9" i="112"/>
  <c r="J8" i="112"/>
  <c r="J16" i="138"/>
  <c r="J12" i="138"/>
  <c r="J11" i="138"/>
  <c r="D55" i="58"/>
  <c r="D65" i="68" s="1"/>
  <c r="B56" i="58"/>
  <c r="B66" i="68" s="1"/>
  <c r="B55" i="58"/>
  <c r="B65" i="68" s="1"/>
  <c r="FY17" i="51"/>
  <c r="FY16" i="51" s="1"/>
  <c r="FK17" i="51"/>
  <c r="EW17" i="51"/>
  <c r="EI17" i="51"/>
  <c r="DU17" i="51"/>
  <c r="DG17" i="51"/>
  <c r="CS17" i="51"/>
  <c r="CE17" i="51"/>
  <c r="BQ17" i="51"/>
  <c r="BC17" i="51"/>
  <c r="AO17" i="51"/>
  <c r="AA17" i="51"/>
  <c r="AC17" i="51" s="1"/>
  <c r="C71" i="65"/>
  <c r="M118" i="13"/>
  <c r="L118" i="13"/>
  <c r="T153" i="13"/>
  <c r="V153" i="13"/>
  <c r="W153" i="13"/>
  <c r="X153" i="13"/>
  <c r="J44" i="46"/>
  <c r="J44" i="45"/>
  <c r="AC68" i="13"/>
  <c r="AJ30" i="13"/>
  <c r="AJ37" i="13"/>
  <c r="E25" i="50"/>
  <c r="AC53" i="45"/>
  <c r="U63" i="13"/>
  <c r="AG35" i="47"/>
  <c r="I33" i="14" s="1"/>
  <c r="BE35" i="47"/>
  <c r="P143" i="13"/>
  <c r="AC145" i="13"/>
  <c r="AB145" i="13"/>
  <c r="X145" i="13"/>
  <c r="V145" i="13"/>
  <c r="U145" i="13"/>
  <c r="T145" i="13"/>
  <c r="S145" i="13"/>
  <c r="AA142" i="13"/>
  <c r="P142" i="13" s="1"/>
  <c r="P141" i="13"/>
  <c r="AA140" i="13"/>
  <c r="P140" i="13" s="1"/>
  <c r="AA144" i="13"/>
  <c r="W144" i="13"/>
  <c r="W145" i="13" s="1"/>
  <c r="Q144" i="13"/>
  <c r="R144" i="13"/>
  <c r="R145" i="13" s="1"/>
  <c r="Y144" i="13"/>
  <c r="Y145" i="13" s="1"/>
  <c r="Z144" i="13"/>
  <c r="Z145" i="13" s="1"/>
  <c r="P88" i="60"/>
  <c r="D119" i="60"/>
  <c r="D117" i="60"/>
  <c r="I116" i="60"/>
  <c r="I10" i="60" s="1"/>
  <c r="L118" i="60"/>
  <c r="L10" i="60" s="1"/>
  <c r="AG127" i="60"/>
  <c r="AF127" i="60"/>
  <c r="AE127" i="60"/>
  <c r="AD127" i="60"/>
  <c r="AG125" i="60"/>
  <c r="AF125" i="60"/>
  <c r="AE125" i="60"/>
  <c r="AD125" i="60"/>
  <c r="AG124" i="60"/>
  <c r="AF124" i="60"/>
  <c r="AE124" i="60"/>
  <c r="AD124" i="60"/>
  <c r="AG123" i="60"/>
  <c r="AF123" i="60"/>
  <c r="AE123" i="60"/>
  <c r="AD123" i="60"/>
  <c r="AF122" i="60"/>
  <c r="AE122" i="60"/>
  <c r="AD122" i="60"/>
  <c r="AG121" i="60"/>
  <c r="AE121" i="60"/>
  <c r="AD121" i="60"/>
  <c r="AG120" i="60"/>
  <c r="AF120" i="60"/>
  <c r="AD120" i="60"/>
  <c r="AG119" i="60"/>
  <c r="AF119" i="60"/>
  <c r="AE119" i="60"/>
  <c r="AG118" i="60"/>
  <c r="AF118" i="60"/>
  <c r="AE118" i="60"/>
  <c r="AD118" i="60"/>
  <c r="AG113" i="60"/>
  <c r="AF113" i="60"/>
  <c r="AE113" i="60"/>
  <c r="AD113" i="60"/>
  <c r="AG112" i="60"/>
  <c r="AF112" i="60"/>
  <c r="AE112" i="60"/>
  <c r="AD112" i="60"/>
  <c r="AG110" i="60"/>
  <c r="AF110" i="60"/>
  <c r="AE110" i="60"/>
  <c r="AD110" i="60"/>
  <c r="AG109" i="60"/>
  <c r="AF109" i="60"/>
  <c r="AE109" i="60"/>
  <c r="AD109" i="60"/>
  <c r="AD108" i="60" s="1"/>
  <c r="AG107" i="60"/>
  <c r="AF107" i="60"/>
  <c r="AE107" i="60"/>
  <c r="AD107" i="60"/>
  <c r="AG105" i="60"/>
  <c r="AF105" i="60"/>
  <c r="AE105" i="60"/>
  <c r="AD105" i="60"/>
  <c r="AG104" i="60"/>
  <c r="AF104" i="60"/>
  <c r="AE104" i="60"/>
  <c r="AD104" i="60"/>
  <c r="AG103" i="60"/>
  <c r="AF103" i="60"/>
  <c r="AE103" i="60"/>
  <c r="AD103" i="60"/>
  <c r="AG102" i="60"/>
  <c r="AF102" i="60"/>
  <c r="AE102" i="60"/>
  <c r="AD102" i="60"/>
  <c r="AG101" i="60"/>
  <c r="AF101" i="60"/>
  <c r="AE101" i="60"/>
  <c r="AD101" i="60"/>
  <c r="AG99" i="60"/>
  <c r="AF99" i="60"/>
  <c r="AE99" i="60"/>
  <c r="AD99" i="60"/>
  <c r="AG96" i="60"/>
  <c r="AF96" i="60"/>
  <c r="AE96" i="60"/>
  <c r="AD96" i="60"/>
  <c r="AG94" i="60"/>
  <c r="AF94" i="60"/>
  <c r="AE94" i="60"/>
  <c r="AD94" i="60"/>
  <c r="AG92" i="60"/>
  <c r="AF92" i="60"/>
  <c r="AE92" i="60"/>
  <c r="AD92" i="60"/>
  <c r="AG90" i="60"/>
  <c r="AF90" i="60"/>
  <c r="AE90" i="60"/>
  <c r="AE89" i="60" s="1"/>
  <c r="AD90" i="60"/>
  <c r="AG88" i="60"/>
  <c r="AF88" i="60"/>
  <c r="AE88" i="60"/>
  <c r="AD88" i="60"/>
  <c r="AG86" i="60"/>
  <c r="AF86" i="60"/>
  <c r="AE86" i="60"/>
  <c r="AD86" i="60"/>
  <c r="AG84" i="60"/>
  <c r="AF84" i="60"/>
  <c r="AE84" i="60"/>
  <c r="AD84" i="60"/>
  <c r="AG82" i="60"/>
  <c r="AF82" i="60"/>
  <c r="AE82" i="60"/>
  <c r="AD82" i="60"/>
  <c r="AG79" i="60"/>
  <c r="AF79" i="60"/>
  <c r="AE79" i="60"/>
  <c r="AD79" i="60"/>
  <c r="AG78" i="60"/>
  <c r="AF78" i="60"/>
  <c r="AE78" i="60"/>
  <c r="AD78" i="60"/>
  <c r="AG77" i="60"/>
  <c r="AF77" i="60"/>
  <c r="AE77" i="60"/>
  <c r="AD77" i="60"/>
  <c r="AG76" i="60"/>
  <c r="AF76" i="60"/>
  <c r="AE76" i="60"/>
  <c r="AD76" i="60"/>
  <c r="AG75" i="60"/>
  <c r="AF75" i="60"/>
  <c r="AE75" i="60"/>
  <c r="AD75" i="60"/>
  <c r="AG74" i="60"/>
  <c r="AF74" i="60"/>
  <c r="AE74" i="60"/>
  <c r="AD74" i="60"/>
  <c r="AG73" i="60"/>
  <c r="AF73" i="60"/>
  <c r="AE73" i="60"/>
  <c r="AD73" i="60"/>
  <c r="AG72" i="60"/>
  <c r="AF72" i="60"/>
  <c r="AE72" i="60"/>
  <c r="AD72" i="60"/>
  <c r="AG71" i="60"/>
  <c r="AF71" i="60"/>
  <c r="AE71" i="60"/>
  <c r="AD71" i="60"/>
  <c r="AG70" i="60"/>
  <c r="AF70" i="60"/>
  <c r="AE70" i="60"/>
  <c r="AD70" i="60"/>
  <c r="AG69" i="60"/>
  <c r="AF69" i="60"/>
  <c r="AE69" i="60"/>
  <c r="AD69" i="60"/>
  <c r="AG68" i="60"/>
  <c r="AF68" i="60"/>
  <c r="AE68" i="60"/>
  <c r="AD68" i="60"/>
  <c r="AG67" i="60"/>
  <c r="AF67" i="60"/>
  <c r="AE67" i="60"/>
  <c r="AD67" i="60"/>
  <c r="AG66" i="60"/>
  <c r="AF66" i="60"/>
  <c r="AE66" i="60"/>
  <c r="AD66" i="60"/>
  <c r="AG65" i="60"/>
  <c r="AF65" i="60"/>
  <c r="AE65" i="60"/>
  <c r="AD65" i="60"/>
  <c r="AG64" i="60"/>
  <c r="AF64" i="60"/>
  <c r="AE64" i="60"/>
  <c r="AD64" i="60"/>
  <c r="AG62" i="60"/>
  <c r="AF62" i="60"/>
  <c r="AE62" i="60"/>
  <c r="AD62" i="60"/>
  <c r="AG61" i="60"/>
  <c r="AF61" i="60"/>
  <c r="AE61" i="60"/>
  <c r="AD61" i="60"/>
  <c r="AG60" i="60"/>
  <c r="AF60" i="60"/>
  <c r="AE60" i="60"/>
  <c r="AD60" i="60"/>
  <c r="AG58" i="60"/>
  <c r="AF58" i="60"/>
  <c r="AE58" i="60"/>
  <c r="AD58" i="60"/>
  <c r="AG57" i="60"/>
  <c r="AF57" i="60"/>
  <c r="AE57" i="60"/>
  <c r="AD57" i="60"/>
  <c r="AG56" i="60"/>
  <c r="AF56" i="60"/>
  <c r="AE56" i="60"/>
  <c r="AD56" i="60"/>
  <c r="AG55" i="60"/>
  <c r="AF55" i="60"/>
  <c r="AE55" i="60"/>
  <c r="AD55" i="60"/>
  <c r="AG54" i="60"/>
  <c r="AF54" i="60"/>
  <c r="AE54" i="60"/>
  <c r="AD54" i="60"/>
  <c r="AG53" i="60"/>
  <c r="AF53" i="60"/>
  <c r="AE53" i="60"/>
  <c r="AD53" i="60"/>
  <c r="AG52" i="60"/>
  <c r="AF52" i="60"/>
  <c r="AE52" i="60"/>
  <c r="AD52" i="60"/>
  <c r="AG50" i="60"/>
  <c r="AF50" i="60"/>
  <c r="AE50" i="60"/>
  <c r="AD50" i="60"/>
  <c r="AG49" i="60"/>
  <c r="AF49" i="60"/>
  <c r="AE49" i="60"/>
  <c r="AD49" i="60"/>
  <c r="AG48" i="60"/>
  <c r="AF48" i="60"/>
  <c r="AE48" i="60"/>
  <c r="AD48" i="60"/>
  <c r="AG47" i="60"/>
  <c r="AF47" i="60"/>
  <c r="AE47" i="60"/>
  <c r="AD47" i="60"/>
  <c r="AG46" i="60"/>
  <c r="AF46" i="60"/>
  <c r="AE46" i="60"/>
  <c r="AD46" i="60"/>
  <c r="AD45" i="60" s="1"/>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D23" i="60"/>
  <c r="AE23" i="60"/>
  <c r="AF23"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AD36" i="60"/>
  <c r="AE36" i="60"/>
  <c r="AF36" i="60"/>
  <c r="AG36" i="60"/>
  <c r="AD37" i="60"/>
  <c r="AE37" i="60"/>
  <c r="AF37" i="60"/>
  <c r="AG37" i="60"/>
  <c r="AD38" i="60"/>
  <c r="AE38" i="60"/>
  <c r="AF38" i="60"/>
  <c r="AG38" i="60"/>
  <c r="AD41" i="60"/>
  <c r="AE41" i="60"/>
  <c r="AF41" i="60"/>
  <c r="AG41" i="60"/>
  <c r="AD42" i="60"/>
  <c r="AE42" i="60"/>
  <c r="AF42" i="60"/>
  <c r="AG42" i="60"/>
  <c r="AD43" i="60"/>
  <c r="AE43" i="60"/>
  <c r="AF43" i="60"/>
  <c r="AG43" i="60"/>
  <c r="AE13" i="60"/>
  <c r="AF13" i="60"/>
  <c r="AG13" i="60"/>
  <c r="AD13" i="60"/>
  <c r="AK12" i="60"/>
  <c r="AL12" i="60"/>
  <c r="AC113" i="60"/>
  <c r="AB113" i="60"/>
  <c r="AA113" i="60"/>
  <c r="Z113" i="60"/>
  <c r="Y113" i="60"/>
  <c r="X113" i="60"/>
  <c r="W113" i="60"/>
  <c r="V113" i="60"/>
  <c r="U113" i="60"/>
  <c r="T113" i="60"/>
  <c r="S113" i="60"/>
  <c r="R113" i="60"/>
  <c r="Q113" i="60"/>
  <c r="AB112" i="60"/>
  <c r="AA112" i="60"/>
  <c r="Z112" i="60"/>
  <c r="Y112" i="60"/>
  <c r="X112" i="60"/>
  <c r="W112" i="60"/>
  <c r="V112" i="60"/>
  <c r="U112" i="60"/>
  <c r="T112" i="60"/>
  <c r="S112" i="60"/>
  <c r="R112" i="60"/>
  <c r="Q112" i="60"/>
  <c r="AC110" i="60"/>
  <c r="AA110" i="60"/>
  <c r="Z110" i="60"/>
  <c r="Y110" i="60"/>
  <c r="X110" i="60"/>
  <c r="W110" i="60"/>
  <c r="V110" i="60"/>
  <c r="U110" i="60"/>
  <c r="T110" i="60"/>
  <c r="S110" i="60"/>
  <c r="R110" i="60"/>
  <c r="Q110" i="60"/>
  <c r="AC109" i="60"/>
  <c r="AB109" i="60"/>
  <c r="AA109" i="60"/>
  <c r="Z109" i="60"/>
  <c r="Y109" i="60"/>
  <c r="X109" i="60"/>
  <c r="W109" i="60"/>
  <c r="V109" i="60"/>
  <c r="U109" i="60"/>
  <c r="T109" i="60"/>
  <c r="S109" i="60"/>
  <c r="R109" i="60"/>
  <c r="Q109" i="60"/>
  <c r="AC107" i="60"/>
  <c r="AB107" i="60"/>
  <c r="Z107" i="60"/>
  <c r="Y107" i="60"/>
  <c r="X107" i="60"/>
  <c r="W107" i="60"/>
  <c r="V107" i="60"/>
  <c r="U107" i="60"/>
  <c r="T107" i="60"/>
  <c r="S107" i="60"/>
  <c r="R107" i="60"/>
  <c r="Q107" i="60"/>
  <c r="AC105" i="60"/>
  <c r="AB105" i="60"/>
  <c r="AA105" i="60"/>
  <c r="Y105" i="60"/>
  <c r="X105" i="60"/>
  <c r="W105" i="60"/>
  <c r="V105" i="60"/>
  <c r="U105" i="60"/>
  <c r="T105" i="60"/>
  <c r="S105" i="60"/>
  <c r="R105" i="60"/>
  <c r="Q105" i="60"/>
  <c r="AC104" i="60"/>
  <c r="AB104" i="60"/>
  <c r="AA104" i="60"/>
  <c r="Y104" i="60"/>
  <c r="X104" i="60"/>
  <c r="W104" i="60"/>
  <c r="V104" i="60"/>
  <c r="U104" i="60"/>
  <c r="T104" i="60"/>
  <c r="S104" i="60"/>
  <c r="R104" i="60"/>
  <c r="Q104" i="60"/>
  <c r="AC103" i="60"/>
  <c r="AB103" i="60"/>
  <c r="AA103" i="60"/>
  <c r="Z103" i="60"/>
  <c r="Y103" i="60"/>
  <c r="X103" i="60"/>
  <c r="W103" i="60"/>
  <c r="V103" i="60"/>
  <c r="U103" i="60"/>
  <c r="T103" i="60"/>
  <c r="S103" i="60"/>
  <c r="R103" i="60"/>
  <c r="Q103" i="60"/>
  <c r="AC102" i="60"/>
  <c r="AB102" i="60"/>
  <c r="AA102" i="60"/>
  <c r="Z102" i="60"/>
  <c r="Y102" i="60"/>
  <c r="X102" i="60"/>
  <c r="W102" i="60"/>
  <c r="V102" i="60"/>
  <c r="U102" i="60"/>
  <c r="T102" i="60"/>
  <c r="S102" i="60"/>
  <c r="R102" i="60"/>
  <c r="Q102" i="60"/>
  <c r="AC101" i="60"/>
  <c r="AB101" i="60"/>
  <c r="AA101" i="60"/>
  <c r="Y101" i="60"/>
  <c r="X101" i="60"/>
  <c r="W101" i="60"/>
  <c r="V101" i="60"/>
  <c r="U101" i="60"/>
  <c r="T101" i="60"/>
  <c r="S101" i="60"/>
  <c r="R101" i="60"/>
  <c r="Q101" i="60"/>
  <c r="AC99" i="60"/>
  <c r="AB99" i="60"/>
  <c r="AA99" i="60"/>
  <c r="Z99" i="60"/>
  <c r="X99" i="60"/>
  <c r="W99" i="60"/>
  <c r="V99" i="60"/>
  <c r="U99" i="60"/>
  <c r="T99" i="60"/>
  <c r="S99" i="60"/>
  <c r="R99" i="60"/>
  <c r="Q99" i="60"/>
  <c r="AC96" i="60"/>
  <c r="AB96" i="60"/>
  <c r="AA96" i="60"/>
  <c r="Z96" i="60"/>
  <c r="Y96" i="60"/>
  <c r="W96" i="60"/>
  <c r="V96" i="60"/>
  <c r="U96" i="60"/>
  <c r="T96" i="60"/>
  <c r="S96" i="60"/>
  <c r="R96" i="60"/>
  <c r="Q96" i="60"/>
  <c r="AC94" i="60"/>
  <c r="AB94" i="60"/>
  <c r="AA94" i="60"/>
  <c r="Z94" i="60"/>
  <c r="Y94" i="60"/>
  <c r="X94" i="60"/>
  <c r="V94" i="60"/>
  <c r="U94" i="60"/>
  <c r="T94" i="60"/>
  <c r="S94" i="60"/>
  <c r="R94" i="60"/>
  <c r="Q94" i="60"/>
  <c r="AC92" i="60"/>
  <c r="AB92" i="60"/>
  <c r="AA92" i="60"/>
  <c r="Z92" i="60"/>
  <c r="Y92" i="60"/>
  <c r="X92" i="60"/>
  <c r="W92" i="60"/>
  <c r="U92" i="60"/>
  <c r="T92" i="60"/>
  <c r="S92" i="60"/>
  <c r="R92" i="60"/>
  <c r="Q92" i="60"/>
  <c r="AC90" i="60"/>
  <c r="AB90" i="60"/>
  <c r="AA90" i="60"/>
  <c r="Z90" i="60"/>
  <c r="Y90" i="60"/>
  <c r="X90" i="60"/>
  <c r="W90" i="60"/>
  <c r="W89" i="60" s="1"/>
  <c r="V90" i="60"/>
  <c r="V89" i="60" s="1"/>
  <c r="T90" i="60"/>
  <c r="S90" i="60"/>
  <c r="R90" i="60"/>
  <c r="Q90" i="60"/>
  <c r="AC86" i="60"/>
  <c r="AB86" i="60"/>
  <c r="AA86" i="60"/>
  <c r="Z86" i="60"/>
  <c r="Y86" i="60"/>
  <c r="X86" i="60"/>
  <c r="W86" i="60"/>
  <c r="V86" i="60"/>
  <c r="U86" i="60"/>
  <c r="T86" i="60"/>
  <c r="R86" i="60"/>
  <c r="Q86" i="60"/>
  <c r="AC84" i="60"/>
  <c r="AB84" i="60"/>
  <c r="AA84" i="60"/>
  <c r="Z84" i="60"/>
  <c r="Y84" i="60"/>
  <c r="X84" i="60"/>
  <c r="W84" i="60"/>
  <c r="V84" i="60"/>
  <c r="U84" i="60"/>
  <c r="T84" i="60"/>
  <c r="S84" i="60"/>
  <c r="Q84" i="60"/>
  <c r="AC82" i="60"/>
  <c r="AB82" i="60"/>
  <c r="AA82" i="60"/>
  <c r="Z82" i="60"/>
  <c r="Y82" i="60"/>
  <c r="X82" i="60"/>
  <c r="W82" i="60"/>
  <c r="V82" i="60"/>
  <c r="U82" i="60"/>
  <c r="T82" i="60"/>
  <c r="S82" i="60"/>
  <c r="R82" i="60"/>
  <c r="Q65" i="60"/>
  <c r="R65" i="60"/>
  <c r="S65" i="60"/>
  <c r="T65" i="60"/>
  <c r="U65" i="60"/>
  <c r="V65" i="60"/>
  <c r="W65" i="60"/>
  <c r="X65" i="60"/>
  <c r="Y65" i="60"/>
  <c r="Z65" i="60"/>
  <c r="AA65" i="60"/>
  <c r="AB65" i="60"/>
  <c r="AC65" i="60"/>
  <c r="Q66" i="60"/>
  <c r="R66" i="60"/>
  <c r="S66" i="60"/>
  <c r="T66" i="60"/>
  <c r="U66" i="60"/>
  <c r="V66" i="60"/>
  <c r="W66" i="60"/>
  <c r="X66" i="60"/>
  <c r="Y66" i="60"/>
  <c r="Z66" i="60"/>
  <c r="AA66" i="60"/>
  <c r="AB66" i="60"/>
  <c r="Q67" i="60"/>
  <c r="R67" i="60"/>
  <c r="S67" i="60"/>
  <c r="T67" i="60"/>
  <c r="U67" i="60"/>
  <c r="V67" i="60"/>
  <c r="W67" i="60"/>
  <c r="X67" i="60"/>
  <c r="Y67" i="60"/>
  <c r="Z67" i="60"/>
  <c r="AA67" i="60"/>
  <c r="AB67" i="60"/>
  <c r="Q68" i="60"/>
  <c r="R68" i="60"/>
  <c r="S68" i="60"/>
  <c r="T68" i="60"/>
  <c r="U68" i="60"/>
  <c r="V68" i="60"/>
  <c r="W68" i="60"/>
  <c r="X68" i="60"/>
  <c r="Y68" i="60"/>
  <c r="Z68" i="60"/>
  <c r="AA68" i="60"/>
  <c r="AB68" i="60"/>
  <c r="Q69" i="60"/>
  <c r="R69" i="60"/>
  <c r="S69" i="60"/>
  <c r="T69" i="60"/>
  <c r="U69" i="60"/>
  <c r="V69" i="60"/>
  <c r="W69" i="60"/>
  <c r="X69" i="60"/>
  <c r="Y69" i="60"/>
  <c r="Z69" i="60"/>
  <c r="AA69" i="60"/>
  <c r="AB69" i="60"/>
  <c r="Q70" i="60"/>
  <c r="R70" i="60"/>
  <c r="S70" i="60"/>
  <c r="T70" i="60"/>
  <c r="U70" i="60"/>
  <c r="V70" i="60"/>
  <c r="W70" i="60"/>
  <c r="X70" i="60"/>
  <c r="Y70" i="60"/>
  <c r="Z70" i="60"/>
  <c r="AA70" i="60"/>
  <c r="AB70" i="60"/>
  <c r="Q71" i="60"/>
  <c r="R71" i="60"/>
  <c r="S71" i="60"/>
  <c r="T71" i="60"/>
  <c r="U71" i="60"/>
  <c r="V71" i="60"/>
  <c r="W71" i="60"/>
  <c r="X71" i="60"/>
  <c r="Y71" i="60"/>
  <c r="Z71" i="60"/>
  <c r="AA71" i="60"/>
  <c r="AB71" i="60"/>
  <c r="Q72" i="60"/>
  <c r="R72" i="60"/>
  <c r="S72" i="60"/>
  <c r="T72" i="60"/>
  <c r="U72" i="60"/>
  <c r="V72" i="60"/>
  <c r="W72" i="60"/>
  <c r="X72" i="60"/>
  <c r="Y72" i="60"/>
  <c r="Z72" i="60"/>
  <c r="AA72" i="60"/>
  <c r="AB72" i="60"/>
  <c r="Q73" i="60"/>
  <c r="R73" i="60"/>
  <c r="S73" i="60"/>
  <c r="T73" i="60"/>
  <c r="U73" i="60"/>
  <c r="V73" i="60"/>
  <c r="W73" i="60"/>
  <c r="X73" i="60"/>
  <c r="Y73" i="60"/>
  <c r="Z73" i="60"/>
  <c r="AA73" i="60"/>
  <c r="AB73" i="60"/>
  <c r="Q74" i="60"/>
  <c r="R74" i="60"/>
  <c r="S74" i="60"/>
  <c r="T74" i="60"/>
  <c r="U74" i="60"/>
  <c r="V74" i="60"/>
  <c r="W74" i="60"/>
  <c r="X74" i="60"/>
  <c r="Y74" i="60"/>
  <c r="Z74" i="60"/>
  <c r="AA74" i="60"/>
  <c r="AB74" i="60"/>
  <c r="AC74" i="60"/>
  <c r="Q75" i="60"/>
  <c r="R75" i="60"/>
  <c r="S75" i="60"/>
  <c r="T75" i="60"/>
  <c r="U75" i="60"/>
  <c r="V75" i="60"/>
  <c r="W75" i="60"/>
  <c r="X75" i="60"/>
  <c r="Y75" i="60"/>
  <c r="Z75" i="60"/>
  <c r="AA75" i="60"/>
  <c r="AB75" i="60"/>
  <c r="AC75" i="60"/>
  <c r="Q76" i="60"/>
  <c r="R76" i="60"/>
  <c r="S76" i="60"/>
  <c r="T76" i="60"/>
  <c r="U76" i="60"/>
  <c r="V76" i="60"/>
  <c r="W76" i="60"/>
  <c r="X76" i="60"/>
  <c r="Y76" i="60"/>
  <c r="Z76" i="60"/>
  <c r="AA76" i="60"/>
  <c r="AB76" i="60"/>
  <c r="AC76" i="60"/>
  <c r="Q77" i="60"/>
  <c r="R77" i="60"/>
  <c r="S77" i="60"/>
  <c r="T77" i="60"/>
  <c r="U77" i="60"/>
  <c r="V77" i="60"/>
  <c r="W77" i="60"/>
  <c r="X77" i="60"/>
  <c r="Y77" i="60"/>
  <c r="Z77" i="60"/>
  <c r="AA77" i="60"/>
  <c r="AB77" i="60"/>
  <c r="AC77" i="60"/>
  <c r="Q78" i="60"/>
  <c r="R78" i="60"/>
  <c r="S78" i="60"/>
  <c r="T78" i="60"/>
  <c r="U78" i="60"/>
  <c r="V78" i="60"/>
  <c r="W78" i="60"/>
  <c r="X78" i="60"/>
  <c r="Y78" i="60"/>
  <c r="Z78" i="60"/>
  <c r="AA78" i="60"/>
  <c r="AB78" i="60"/>
  <c r="AC78" i="60"/>
  <c r="Q79" i="60"/>
  <c r="R79" i="60"/>
  <c r="S79" i="60"/>
  <c r="T79" i="60"/>
  <c r="U79" i="60"/>
  <c r="V79" i="60"/>
  <c r="W79" i="60"/>
  <c r="X79" i="60"/>
  <c r="Y79" i="60"/>
  <c r="Z79" i="60"/>
  <c r="AA79" i="60"/>
  <c r="AB79" i="60"/>
  <c r="AC79" i="60"/>
  <c r="AC64" i="60"/>
  <c r="AB64" i="60"/>
  <c r="AA64" i="60"/>
  <c r="Z64" i="60"/>
  <c r="Y64" i="60"/>
  <c r="X64" i="60"/>
  <c r="W64" i="60"/>
  <c r="V64" i="60"/>
  <c r="T64" i="60"/>
  <c r="S64" i="60"/>
  <c r="R64" i="60"/>
  <c r="Q64" i="60"/>
  <c r="Q61" i="60"/>
  <c r="R61" i="60"/>
  <c r="T61" i="60"/>
  <c r="U61" i="60"/>
  <c r="V61" i="60"/>
  <c r="W61" i="60"/>
  <c r="X61" i="60"/>
  <c r="Y61" i="60"/>
  <c r="Z61" i="60"/>
  <c r="AA61" i="60"/>
  <c r="AB61" i="60"/>
  <c r="AC61" i="60"/>
  <c r="Q62" i="60"/>
  <c r="R62" i="60"/>
  <c r="T62" i="60"/>
  <c r="U62" i="60"/>
  <c r="V62" i="60"/>
  <c r="W62" i="60"/>
  <c r="X62" i="60"/>
  <c r="Y62" i="60"/>
  <c r="Z62" i="60"/>
  <c r="AA62" i="60"/>
  <c r="AB62" i="60"/>
  <c r="AC62" i="60"/>
  <c r="AC60" i="60"/>
  <c r="AB60" i="60"/>
  <c r="AA60" i="60"/>
  <c r="Z60" i="60"/>
  <c r="Y60" i="60"/>
  <c r="X60" i="60"/>
  <c r="W60" i="60"/>
  <c r="V60" i="60"/>
  <c r="U60" i="60"/>
  <c r="T60" i="60"/>
  <c r="R60" i="60"/>
  <c r="Q60" i="60"/>
  <c r="Q53" i="60"/>
  <c r="R53" i="60"/>
  <c r="S53" i="60"/>
  <c r="T53" i="60"/>
  <c r="U53" i="60"/>
  <c r="V53" i="60"/>
  <c r="W53" i="60"/>
  <c r="X53" i="60"/>
  <c r="Y53" i="60"/>
  <c r="Z53" i="60"/>
  <c r="AA53" i="60"/>
  <c r="AB53" i="60"/>
  <c r="AC53" i="60"/>
  <c r="Q54" i="60"/>
  <c r="R54" i="60"/>
  <c r="S54" i="60"/>
  <c r="T54" i="60"/>
  <c r="U54" i="60"/>
  <c r="V54" i="60"/>
  <c r="W54" i="60"/>
  <c r="X54" i="60"/>
  <c r="Y54" i="60"/>
  <c r="Z54" i="60"/>
  <c r="AA54" i="60"/>
  <c r="AB54" i="60"/>
  <c r="AC54" i="60"/>
  <c r="Q55" i="60"/>
  <c r="R55" i="60"/>
  <c r="S55" i="60"/>
  <c r="T55" i="60"/>
  <c r="U55" i="60"/>
  <c r="V55" i="60"/>
  <c r="W55" i="60"/>
  <c r="X55" i="60"/>
  <c r="Y55" i="60"/>
  <c r="Z55" i="60"/>
  <c r="AA55" i="60"/>
  <c r="AB55" i="60"/>
  <c r="AC55" i="60"/>
  <c r="Q56" i="60"/>
  <c r="R56" i="60"/>
  <c r="S56" i="60"/>
  <c r="T56" i="60"/>
  <c r="U56" i="60"/>
  <c r="V56" i="60"/>
  <c r="W56" i="60"/>
  <c r="X56" i="60"/>
  <c r="Y56" i="60"/>
  <c r="Z56" i="60"/>
  <c r="AA56" i="60"/>
  <c r="AB56" i="60"/>
  <c r="AC56" i="60"/>
  <c r="Q57" i="60"/>
  <c r="R57" i="60"/>
  <c r="S57" i="60"/>
  <c r="T57" i="60"/>
  <c r="U57" i="60"/>
  <c r="V57" i="60"/>
  <c r="W57" i="60"/>
  <c r="X57" i="60"/>
  <c r="Y57" i="60"/>
  <c r="Z57" i="60"/>
  <c r="AA57" i="60"/>
  <c r="AB57" i="60"/>
  <c r="AC57" i="60"/>
  <c r="Q58" i="60"/>
  <c r="R58" i="60"/>
  <c r="S58" i="60"/>
  <c r="T58" i="60"/>
  <c r="U58" i="60"/>
  <c r="V58" i="60"/>
  <c r="W58" i="60"/>
  <c r="X58" i="60"/>
  <c r="Y58" i="60"/>
  <c r="Z58" i="60"/>
  <c r="AA58" i="60"/>
  <c r="AB58" i="60"/>
  <c r="AC58" i="60"/>
  <c r="AC52" i="60"/>
  <c r="AB52" i="60"/>
  <c r="AA52" i="60"/>
  <c r="Z52" i="60"/>
  <c r="Y52" i="60"/>
  <c r="X52" i="60"/>
  <c r="W52" i="60"/>
  <c r="V52" i="60"/>
  <c r="U52" i="60"/>
  <c r="T52" i="60"/>
  <c r="S52" i="60"/>
  <c r="R52" i="60"/>
  <c r="Q52" i="60"/>
  <c r="Q47" i="60"/>
  <c r="R47" i="60"/>
  <c r="S47" i="60"/>
  <c r="T47" i="60"/>
  <c r="U47" i="60"/>
  <c r="V47" i="60"/>
  <c r="W47" i="60"/>
  <c r="X47" i="60"/>
  <c r="Y47" i="60"/>
  <c r="Z47" i="60"/>
  <c r="AA47" i="60"/>
  <c r="AB47" i="60"/>
  <c r="AC47" i="60"/>
  <c r="Q48" i="60"/>
  <c r="R48" i="60"/>
  <c r="S48" i="60"/>
  <c r="T48" i="60"/>
  <c r="U48" i="60"/>
  <c r="V48" i="60"/>
  <c r="W48" i="60"/>
  <c r="X48" i="60"/>
  <c r="Y48" i="60"/>
  <c r="Z48" i="60"/>
  <c r="AA48" i="60"/>
  <c r="AB48" i="60"/>
  <c r="AC48" i="60"/>
  <c r="Q49" i="60"/>
  <c r="R49" i="60"/>
  <c r="S49" i="60"/>
  <c r="T49" i="60"/>
  <c r="U49" i="60"/>
  <c r="V49" i="60"/>
  <c r="W49" i="60"/>
  <c r="X49" i="60"/>
  <c r="Y49" i="60"/>
  <c r="Z49" i="60"/>
  <c r="AA49" i="60"/>
  <c r="AB49" i="60"/>
  <c r="AC49" i="60"/>
  <c r="Q50" i="60"/>
  <c r="R50" i="60"/>
  <c r="S50" i="60"/>
  <c r="T50" i="60"/>
  <c r="U50" i="60"/>
  <c r="V50" i="60"/>
  <c r="W50" i="60"/>
  <c r="X50" i="60"/>
  <c r="Y50" i="60"/>
  <c r="Z50" i="60"/>
  <c r="AA50" i="60"/>
  <c r="AB50" i="60"/>
  <c r="AC50" i="60"/>
  <c r="AC46" i="60"/>
  <c r="AB46" i="60"/>
  <c r="AA46" i="60"/>
  <c r="Z46" i="60"/>
  <c r="Y46" i="60"/>
  <c r="X46" i="60"/>
  <c r="W46" i="60"/>
  <c r="V46" i="60"/>
  <c r="U46" i="60"/>
  <c r="T46" i="60"/>
  <c r="S46" i="60"/>
  <c r="R46" i="60"/>
  <c r="Q46" i="60"/>
  <c r="T14" i="60"/>
  <c r="U14" i="60"/>
  <c r="V14" i="60"/>
  <c r="W14" i="60"/>
  <c r="X14" i="60"/>
  <c r="Y14" i="60"/>
  <c r="Z14" i="60"/>
  <c r="AA14" i="60"/>
  <c r="AB14" i="60"/>
  <c r="AC14" i="60"/>
  <c r="T15" i="60"/>
  <c r="U15" i="60"/>
  <c r="V15" i="60"/>
  <c r="W15" i="60"/>
  <c r="X15" i="60"/>
  <c r="Y15" i="60"/>
  <c r="Z15" i="60"/>
  <c r="AA15" i="60"/>
  <c r="AB15" i="60"/>
  <c r="AC15" i="60"/>
  <c r="T16" i="60"/>
  <c r="U16" i="60"/>
  <c r="V16" i="60"/>
  <c r="W16" i="60"/>
  <c r="X16" i="60"/>
  <c r="Y16" i="60"/>
  <c r="AA16" i="60"/>
  <c r="AB16" i="60"/>
  <c r="AC16" i="60"/>
  <c r="T17" i="60"/>
  <c r="U17" i="60"/>
  <c r="V17" i="60"/>
  <c r="W17" i="60"/>
  <c r="X17" i="60"/>
  <c r="Y17" i="60"/>
  <c r="Z17" i="60"/>
  <c r="AA17" i="60"/>
  <c r="AB17" i="60"/>
  <c r="AC17" i="60"/>
  <c r="T18" i="60"/>
  <c r="U18" i="60"/>
  <c r="V18" i="60"/>
  <c r="W18" i="60"/>
  <c r="X18" i="60"/>
  <c r="Y18" i="60"/>
  <c r="AA18" i="60"/>
  <c r="AB18" i="60"/>
  <c r="AC18" i="60"/>
  <c r="T19" i="60"/>
  <c r="U19" i="60"/>
  <c r="V19" i="60"/>
  <c r="W19" i="60"/>
  <c r="X19" i="60"/>
  <c r="Y19" i="60"/>
  <c r="Z19" i="60"/>
  <c r="AA19" i="60"/>
  <c r="AB19" i="60"/>
  <c r="AC19" i="60"/>
  <c r="T20" i="60"/>
  <c r="U20" i="60"/>
  <c r="V20" i="60"/>
  <c r="W20" i="60"/>
  <c r="X20" i="60"/>
  <c r="Y20" i="60"/>
  <c r="Z20" i="60"/>
  <c r="AA20" i="60"/>
  <c r="AB20" i="60"/>
  <c r="AC20" i="60"/>
  <c r="T21" i="60"/>
  <c r="U21" i="60"/>
  <c r="V21" i="60"/>
  <c r="W21" i="60"/>
  <c r="X21" i="60"/>
  <c r="Y21" i="60"/>
  <c r="Z21" i="60"/>
  <c r="AA21" i="60"/>
  <c r="AB21" i="60"/>
  <c r="AC21" i="60"/>
  <c r="T22" i="60"/>
  <c r="U22" i="60"/>
  <c r="V22" i="60"/>
  <c r="W22" i="60"/>
  <c r="X22" i="60"/>
  <c r="Y22" i="60"/>
  <c r="Z22" i="60"/>
  <c r="AA22" i="60"/>
  <c r="AB22" i="60"/>
  <c r="AC22" i="60"/>
  <c r="T23" i="60"/>
  <c r="U23" i="60"/>
  <c r="V23" i="60"/>
  <c r="W23" i="60"/>
  <c r="X23" i="60"/>
  <c r="Y23" i="60"/>
  <c r="Z23" i="60"/>
  <c r="AA23" i="60"/>
  <c r="AB23" i="60"/>
  <c r="AC23" i="60"/>
  <c r="T24" i="60"/>
  <c r="U24" i="60"/>
  <c r="V24" i="60"/>
  <c r="W24" i="60"/>
  <c r="X24" i="60"/>
  <c r="Y24" i="60"/>
  <c r="Z24" i="60"/>
  <c r="AA24" i="60"/>
  <c r="AB24" i="60"/>
  <c r="AC24" i="60"/>
  <c r="T25" i="60"/>
  <c r="U25" i="60"/>
  <c r="V25" i="60"/>
  <c r="W25" i="60"/>
  <c r="X25" i="60"/>
  <c r="Y25" i="60"/>
  <c r="Z25" i="60"/>
  <c r="AA25" i="60"/>
  <c r="AB25" i="60"/>
  <c r="AC25" i="60"/>
  <c r="T26" i="60"/>
  <c r="U26" i="60"/>
  <c r="V26" i="60"/>
  <c r="W26" i="60"/>
  <c r="X26" i="60"/>
  <c r="Y26" i="60"/>
  <c r="Z26" i="60"/>
  <c r="AA26" i="60"/>
  <c r="AB26" i="60"/>
  <c r="AC26" i="60"/>
  <c r="T27" i="60"/>
  <c r="U27" i="60"/>
  <c r="V27" i="60"/>
  <c r="W27" i="60"/>
  <c r="X27" i="60"/>
  <c r="Y27" i="60"/>
  <c r="Z27" i="60"/>
  <c r="AA27" i="60"/>
  <c r="AB27" i="60"/>
  <c r="AC27" i="60"/>
  <c r="T28" i="60"/>
  <c r="U28" i="60"/>
  <c r="V28" i="60"/>
  <c r="W28" i="60"/>
  <c r="X28" i="60"/>
  <c r="Y28" i="60"/>
  <c r="Z28" i="60"/>
  <c r="AA28" i="60"/>
  <c r="AB28" i="60"/>
  <c r="AC28" i="60"/>
  <c r="T29" i="60"/>
  <c r="U29" i="60"/>
  <c r="V29" i="60"/>
  <c r="W29" i="60"/>
  <c r="X29" i="60"/>
  <c r="Y29" i="60"/>
  <c r="Z29" i="60"/>
  <c r="AA29" i="60"/>
  <c r="AB29" i="60"/>
  <c r="AC29" i="60"/>
  <c r="T30" i="60"/>
  <c r="U30" i="60"/>
  <c r="V30" i="60"/>
  <c r="W30" i="60"/>
  <c r="X30" i="60"/>
  <c r="Y30" i="60"/>
  <c r="Z30" i="60"/>
  <c r="AA30" i="60"/>
  <c r="AB30" i="60"/>
  <c r="AC30" i="60"/>
  <c r="T31" i="60"/>
  <c r="U31" i="60"/>
  <c r="V31" i="60"/>
  <c r="W31" i="60"/>
  <c r="X31" i="60"/>
  <c r="Y31" i="60"/>
  <c r="Z31" i="60"/>
  <c r="AA31" i="60"/>
  <c r="AB31" i="60"/>
  <c r="AC31" i="60"/>
  <c r="T32" i="60"/>
  <c r="U32" i="60"/>
  <c r="V32" i="60"/>
  <c r="W32" i="60"/>
  <c r="X32" i="60"/>
  <c r="Y32" i="60"/>
  <c r="Z32" i="60"/>
  <c r="AA32" i="60"/>
  <c r="AB32" i="60"/>
  <c r="AC32" i="60"/>
  <c r="T33" i="60"/>
  <c r="U33" i="60"/>
  <c r="V33" i="60"/>
  <c r="W33" i="60"/>
  <c r="X33" i="60"/>
  <c r="Y33" i="60"/>
  <c r="Z33" i="60"/>
  <c r="AA33" i="60"/>
  <c r="AB33" i="60"/>
  <c r="AC33" i="60"/>
  <c r="T34" i="60"/>
  <c r="U34" i="60"/>
  <c r="V34" i="60"/>
  <c r="W34" i="60"/>
  <c r="X34" i="60"/>
  <c r="Y34" i="60"/>
  <c r="Z34" i="60"/>
  <c r="AA34" i="60"/>
  <c r="AB34" i="60"/>
  <c r="AC34" i="60"/>
  <c r="T35" i="60"/>
  <c r="U35" i="60"/>
  <c r="V35" i="60"/>
  <c r="W35" i="60"/>
  <c r="X35" i="60"/>
  <c r="Y35" i="60"/>
  <c r="Z35" i="60"/>
  <c r="AA35" i="60"/>
  <c r="AB35" i="60"/>
  <c r="AC35" i="60"/>
  <c r="T36" i="60"/>
  <c r="U36" i="60"/>
  <c r="V36" i="60"/>
  <c r="W36" i="60"/>
  <c r="X36" i="60"/>
  <c r="Y36" i="60"/>
  <c r="Z36" i="60"/>
  <c r="AA36" i="60"/>
  <c r="AB36" i="60"/>
  <c r="AC36" i="60"/>
  <c r="T37" i="60"/>
  <c r="U37" i="60"/>
  <c r="V37" i="60"/>
  <c r="W37" i="60"/>
  <c r="X37" i="60"/>
  <c r="Y37" i="60"/>
  <c r="Z37" i="60"/>
  <c r="AA37" i="60"/>
  <c r="AB37" i="60"/>
  <c r="AC37" i="60"/>
  <c r="T38" i="60"/>
  <c r="U38" i="60"/>
  <c r="V38" i="60"/>
  <c r="W38" i="60"/>
  <c r="X38" i="60"/>
  <c r="Y38" i="60"/>
  <c r="Z38" i="60"/>
  <c r="AA38" i="60"/>
  <c r="AB38" i="60"/>
  <c r="AC38" i="60"/>
  <c r="T41" i="60"/>
  <c r="U41" i="60"/>
  <c r="V41" i="60"/>
  <c r="W41" i="60"/>
  <c r="X41" i="60"/>
  <c r="Y41" i="60"/>
  <c r="Z41" i="60"/>
  <c r="AA41" i="60"/>
  <c r="AB41" i="60"/>
  <c r="AC41" i="60"/>
  <c r="T42" i="60"/>
  <c r="U42" i="60"/>
  <c r="V42" i="60"/>
  <c r="W42" i="60"/>
  <c r="X42" i="60"/>
  <c r="Y42" i="60"/>
  <c r="Z42" i="60"/>
  <c r="AA42" i="60"/>
  <c r="AB42" i="60"/>
  <c r="AC42" i="60"/>
  <c r="V13" i="60"/>
  <c r="W13" i="60"/>
  <c r="X13" i="60"/>
  <c r="Y13" i="60"/>
  <c r="Z13" i="60"/>
  <c r="AB13" i="60"/>
  <c r="AC13" i="60"/>
  <c r="T13" i="60"/>
  <c r="S13" i="60"/>
  <c r="AK51" i="60"/>
  <c r="AL51" i="60"/>
  <c r="R14" i="60"/>
  <c r="R15" i="60"/>
  <c r="R16" i="60"/>
  <c r="R17" i="60"/>
  <c r="R18" i="60"/>
  <c r="R19" i="60"/>
  <c r="R20" i="60"/>
  <c r="R21" i="60"/>
  <c r="R22" i="60"/>
  <c r="R23" i="60"/>
  <c r="R24" i="60"/>
  <c r="R25" i="60"/>
  <c r="R26" i="60"/>
  <c r="R27" i="60"/>
  <c r="R28" i="60"/>
  <c r="R29" i="60"/>
  <c r="R30" i="60"/>
  <c r="R31" i="60"/>
  <c r="R32" i="60"/>
  <c r="R33" i="60"/>
  <c r="R34" i="60"/>
  <c r="R35" i="60"/>
  <c r="R36" i="60"/>
  <c r="R37" i="60"/>
  <c r="R38" i="60"/>
  <c r="R41" i="60"/>
  <c r="R42" i="60"/>
  <c r="R13" i="60"/>
  <c r="Q14" i="60"/>
  <c r="Q15" i="60"/>
  <c r="Q16" i="60"/>
  <c r="Q17" i="60"/>
  <c r="Q18" i="60"/>
  <c r="Q19" i="60"/>
  <c r="Q20" i="60"/>
  <c r="Q21" i="60"/>
  <c r="Q22" i="60"/>
  <c r="Q23" i="60"/>
  <c r="Q24" i="60"/>
  <c r="Q25" i="60"/>
  <c r="Q26" i="60"/>
  <c r="Q27" i="60"/>
  <c r="Q28" i="60"/>
  <c r="Q29" i="60"/>
  <c r="Q30" i="60"/>
  <c r="Q31" i="60"/>
  <c r="Q32" i="60"/>
  <c r="Q33" i="60"/>
  <c r="Q34" i="60"/>
  <c r="Q35" i="60"/>
  <c r="Q36" i="60"/>
  <c r="Q37" i="60"/>
  <c r="Q38" i="60"/>
  <c r="Q41" i="60"/>
  <c r="Q42" i="60"/>
  <c r="AM63" i="60"/>
  <c r="AK63" i="60"/>
  <c r="AL63" i="60"/>
  <c r="B79" i="60"/>
  <c r="B78" i="60"/>
  <c r="AM108" i="60"/>
  <c r="AL108" i="60"/>
  <c r="AK108" i="60"/>
  <c r="AI108" i="60"/>
  <c r="AJ110" i="60"/>
  <c r="AH110" i="60" s="1"/>
  <c r="AI108" i="13"/>
  <c r="AI81" i="13"/>
  <c r="AJ81" i="13"/>
  <c r="B86" i="13"/>
  <c r="B85" i="13"/>
  <c r="S9" i="60"/>
  <c r="B85" i="60" s="1"/>
  <c r="B90" i="60"/>
  <c r="B92" i="60"/>
  <c r="B94" i="60"/>
  <c r="B96" i="60"/>
  <c r="B102" i="60"/>
  <c r="B103" i="60"/>
  <c r="B104" i="60"/>
  <c r="B105" i="60"/>
  <c r="B101" i="60"/>
  <c r="B107" i="60"/>
  <c r="D113" i="60"/>
  <c r="B110" i="60"/>
  <c r="B109" i="60"/>
  <c r="B112" i="60"/>
  <c r="AE108" i="60"/>
  <c r="AJ82" i="60"/>
  <c r="P109" i="13"/>
  <c r="D110" i="13"/>
  <c r="AH110" i="13"/>
  <c r="AC108" i="13"/>
  <c r="AF121" i="60"/>
  <c r="AC131" i="13"/>
  <c r="AC136" i="13"/>
  <c r="P136" i="13" s="1"/>
  <c r="R131" i="13"/>
  <c r="R138" i="13" s="1"/>
  <c r="R153" i="13" s="1"/>
  <c r="P132" i="13"/>
  <c r="P134" i="13"/>
  <c r="P55" i="13"/>
  <c r="AA131" i="13"/>
  <c r="AA138" i="13" s="1"/>
  <c r="AA153" i="13" s="1"/>
  <c r="AB131" i="13"/>
  <c r="AB138" i="13" s="1"/>
  <c r="AB153" i="13" s="1"/>
  <c r="U131" i="13"/>
  <c r="U138" i="13" s="1"/>
  <c r="U153" i="13" s="1"/>
  <c r="Q131" i="13"/>
  <c r="Q138" i="13" s="1"/>
  <c r="Y131" i="13"/>
  <c r="Y138" i="13" s="1"/>
  <c r="Y153" i="13" s="1"/>
  <c r="Z133" i="13"/>
  <c r="Z131" i="13"/>
  <c r="Z138" i="13" s="1"/>
  <c r="Z153" i="13" s="1"/>
  <c r="AM51" i="13"/>
  <c r="AL51" i="13"/>
  <c r="AK51" i="13"/>
  <c r="AI51" i="13"/>
  <c r="AG51" i="13"/>
  <c r="AF51" i="13"/>
  <c r="AE51" i="13"/>
  <c r="AD51" i="13"/>
  <c r="AD44" i="13" s="1"/>
  <c r="AC51" i="13"/>
  <c r="AB51" i="13"/>
  <c r="AA51" i="13"/>
  <c r="Z51" i="13"/>
  <c r="Z44" i="13" s="1"/>
  <c r="Y51" i="13"/>
  <c r="X51" i="13"/>
  <c r="W51" i="13"/>
  <c r="V51" i="13"/>
  <c r="U51" i="13"/>
  <c r="T51" i="13"/>
  <c r="S51" i="13"/>
  <c r="S44" i="13" s="1"/>
  <c r="R51" i="13"/>
  <c r="R44" i="13" s="1"/>
  <c r="Q51" i="13"/>
  <c r="AM45" i="13"/>
  <c r="AL45" i="13"/>
  <c r="AK45" i="13"/>
  <c r="AK44" i="13" s="1"/>
  <c r="AJ45" i="13"/>
  <c r="AI45" i="13"/>
  <c r="AG45" i="13"/>
  <c r="AF45" i="13"/>
  <c r="AF44" i="13" s="1"/>
  <c r="AE45" i="13"/>
  <c r="AD45" i="13"/>
  <c r="AC45" i="13"/>
  <c r="AB45" i="13"/>
  <c r="AA45" i="13"/>
  <c r="Z45" i="13"/>
  <c r="Y45" i="13"/>
  <c r="Y44" i="13"/>
  <c r="X45" i="13"/>
  <c r="X44" i="13" s="1"/>
  <c r="W45" i="13"/>
  <c r="W44" i="13" s="1"/>
  <c r="V45" i="13"/>
  <c r="U45" i="13"/>
  <c r="U44" i="13" s="1"/>
  <c r="T45" i="13"/>
  <c r="S45" i="13"/>
  <c r="R45" i="13"/>
  <c r="Q45" i="13"/>
  <c r="E63" i="13"/>
  <c r="F63" i="13"/>
  <c r="G63" i="13"/>
  <c r="H63" i="13"/>
  <c r="I63" i="13"/>
  <c r="J63" i="13"/>
  <c r="K63" i="13"/>
  <c r="L63" i="13"/>
  <c r="M63" i="13"/>
  <c r="N63" i="13"/>
  <c r="O63" i="13"/>
  <c r="Q63" i="13"/>
  <c r="R63" i="13"/>
  <c r="S63" i="13"/>
  <c r="T63" i="13"/>
  <c r="V63" i="13"/>
  <c r="W63" i="13"/>
  <c r="X63" i="13"/>
  <c r="Y63" i="13"/>
  <c r="Z63" i="13"/>
  <c r="AA63" i="13"/>
  <c r="AB63" i="13"/>
  <c r="AD63" i="13"/>
  <c r="AE63" i="13"/>
  <c r="AF63" i="13"/>
  <c r="AG63" i="13"/>
  <c r="AI63" i="13"/>
  <c r="AK63" i="13"/>
  <c r="AL63" i="13"/>
  <c r="AM63" i="13"/>
  <c r="P79" i="13"/>
  <c r="C79" i="13" s="1"/>
  <c r="Q44" i="13"/>
  <c r="AM44" i="13"/>
  <c r="P133" i="13"/>
  <c r="P78" i="13"/>
  <c r="C78" i="13" s="1"/>
  <c r="Z18" i="13"/>
  <c r="Z18" i="60" s="1"/>
  <c r="AJ16" i="13"/>
  <c r="AJ49" i="60"/>
  <c r="AJ50" i="60"/>
  <c r="C17" i="149"/>
  <c r="Z101" i="13"/>
  <c r="M48" i="44"/>
  <c r="P71" i="43"/>
  <c r="Y59" i="13"/>
  <c r="J60" i="43"/>
  <c r="L35" i="44"/>
  <c r="L36" i="151" s="1"/>
  <c r="L34" i="44"/>
  <c r="L35" i="151" s="1"/>
  <c r="H35" i="151" s="1"/>
  <c r="L31" i="44"/>
  <c r="L32" i="151" s="1"/>
  <c r="L28" i="44"/>
  <c r="L29" i="151" s="1"/>
  <c r="L23" i="44"/>
  <c r="L32" i="44"/>
  <c r="L33" i="151" s="1"/>
  <c r="L33" i="44"/>
  <c r="L34" i="151" s="1"/>
  <c r="K32" i="44"/>
  <c r="K33" i="151" s="1"/>
  <c r="K30" i="44"/>
  <c r="K31" i="151" s="1"/>
  <c r="K29" i="44"/>
  <c r="K30" i="151" s="1"/>
  <c r="K31" i="44"/>
  <c r="K32" i="151" s="1"/>
  <c r="H32" i="151" s="1"/>
  <c r="K27" i="44"/>
  <c r="K28" i="151" s="1"/>
  <c r="K28" i="44"/>
  <c r="K29" i="151" s="1"/>
  <c r="H29" i="151" s="1"/>
  <c r="K24" i="44"/>
  <c r="K33" i="44"/>
  <c r="K34" i="151" s="1"/>
  <c r="H34" i="151" s="1"/>
  <c r="Z16" i="60"/>
  <c r="H31" i="45"/>
  <c r="X2" i="14"/>
  <c r="X1" i="14"/>
  <c r="E26" i="61"/>
  <c r="E26" i="69" s="1"/>
  <c r="D26" i="61"/>
  <c r="D26" i="69" s="1"/>
  <c r="A3" i="44"/>
  <c r="L24" i="44"/>
  <c r="L26" i="44"/>
  <c r="L27" i="151" s="1"/>
  <c r="L27" i="44"/>
  <c r="L28" i="151" s="1"/>
  <c r="L29" i="44"/>
  <c r="L30" i="151" s="1"/>
  <c r="L30" i="44"/>
  <c r="L31" i="151" s="1"/>
  <c r="K26" i="44"/>
  <c r="K27" i="151" s="1"/>
  <c r="K35" i="44"/>
  <c r="K36" i="151" s="1"/>
  <c r="K11" i="44"/>
  <c r="J19" i="43"/>
  <c r="D19" i="53"/>
  <c r="D20" i="61"/>
  <c r="D20" i="69" s="1"/>
  <c r="A126" i="73"/>
  <c r="A118" i="74" s="1"/>
  <c r="A127" i="75" s="1"/>
  <c r="A123" i="76" s="1"/>
  <c r="A129" i="77" s="1"/>
  <c r="A125" i="78" s="1"/>
  <c r="A123" i="79" s="1"/>
  <c r="A125" i="80" s="1"/>
  <c r="A122" i="81" s="1"/>
  <c r="A121" i="82" s="1"/>
  <c r="A121" i="83" s="1"/>
  <c r="A121" i="84" s="1"/>
  <c r="A67" i="73"/>
  <c r="A62" i="74" s="1"/>
  <c r="A65" i="75" s="1"/>
  <c r="A66" i="76" s="1"/>
  <c r="A67" i="77" s="1"/>
  <c r="A66" i="78" s="1"/>
  <c r="A67" i="79" s="1"/>
  <c r="A66" i="80" s="1"/>
  <c r="A65" i="81" s="1"/>
  <c r="A65" i="82" s="1"/>
  <c r="A65" i="83" s="1"/>
  <c r="A63" i="84" s="1"/>
  <c r="A66" i="73"/>
  <c r="A61" i="74" s="1"/>
  <c r="A64" i="75" s="1"/>
  <c r="A65" i="76" s="1"/>
  <c r="A66" i="77" s="1"/>
  <c r="A65" i="78" s="1"/>
  <c r="A66" i="79" s="1"/>
  <c r="A65" i="80" s="1"/>
  <c r="A64" i="81" s="1"/>
  <c r="A64" i="82" s="1"/>
  <c r="A64" i="83" s="1"/>
  <c r="A62" i="84" s="1"/>
  <c r="A4" i="73"/>
  <c r="A4" i="74" s="1"/>
  <c r="A2" i="73"/>
  <c r="A1" i="73"/>
  <c r="A1" i="74" s="1"/>
  <c r="A1" i="75" s="1"/>
  <c r="A1" i="76" s="1"/>
  <c r="A1" i="77" s="1"/>
  <c r="A1" i="78" s="1"/>
  <c r="A1" i="79" s="1"/>
  <c r="A1" i="80" s="1"/>
  <c r="A1" i="81" s="1"/>
  <c r="A1" i="82" s="1"/>
  <c r="A1" i="83" s="1"/>
  <c r="A1" i="84" s="1"/>
  <c r="C70" i="75"/>
  <c r="C133" i="75" s="1"/>
  <c r="A127" i="73"/>
  <c r="A119" i="74" s="1"/>
  <c r="A128" i="75" s="1"/>
  <c r="A124" i="76" s="1"/>
  <c r="A130" i="77" s="1"/>
  <c r="A126" i="78" s="1"/>
  <c r="A124" i="79" s="1"/>
  <c r="A126" i="80" s="1"/>
  <c r="A123" i="81" s="1"/>
  <c r="A122" i="82" s="1"/>
  <c r="A122" i="83" s="1"/>
  <c r="A122" i="84" s="1"/>
  <c r="C133" i="74"/>
  <c r="A2" i="74" a="1"/>
  <c r="C70" i="72"/>
  <c r="C129" i="72" s="1"/>
  <c r="C141" i="77"/>
  <c r="C135" i="76"/>
  <c r="B31" i="65"/>
  <c r="B30" i="65"/>
  <c r="B29" i="65"/>
  <c r="B28" i="65"/>
  <c r="B27" i="65"/>
  <c r="B26" i="65"/>
  <c r="B25" i="65"/>
  <c r="B24" i="65"/>
  <c r="B23" i="65"/>
  <c r="B22" i="65"/>
  <c r="B21" i="65"/>
  <c r="O9" i="13"/>
  <c r="N9" i="13"/>
  <c r="M9" i="13"/>
  <c r="L9" i="13"/>
  <c r="K8" i="13"/>
  <c r="J8" i="13"/>
  <c r="I8" i="13"/>
  <c r="H8" i="13"/>
  <c r="G8" i="13"/>
  <c r="F8" i="13"/>
  <c r="E8" i="13"/>
  <c r="E18" i="63"/>
  <c r="C80" i="74" s="1"/>
  <c r="F18" i="63"/>
  <c r="C83" i="75" s="1"/>
  <c r="G18" i="63"/>
  <c r="C84" i="76" s="1"/>
  <c r="H18" i="63"/>
  <c r="C85" i="77" s="1"/>
  <c r="I18" i="63"/>
  <c r="C84" i="78" s="1"/>
  <c r="J18" i="63"/>
  <c r="C85" i="79" s="1"/>
  <c r="K18" i="63"/>
  <c r="C84" i="80" s="1"/>
  <c r="L18" i="63"/>
  <c r="C83" i="81" s="1"/>
  <c r="M18" i="63"/>
  <c r="C83" i="82" s="1"/>
  <c r="N18" i="63"/>
  <c r="C83" i="83" s="1"/>
  <c r="O18" i="63"/>
  <c r="C81" i="84" s="1"/>
  <c r="E19" i="63"/>
  <c r="C81" i="74" s="1"/>
  <c r="F19" i="63"/>
  <c r="C84" i="75" s="1"/>
  <c r="G19" i="63"/>
  <c r="C85" i="76" s="1"/>
  <c r="H19" i="63"/>
  <c r="C86" i="77" s="1"/>
  <c r="I19" i="63"/>
  <c r="C85" i="78" s="1"/>
  <c r="J19" i="63"/>
  <c r="C86" i="79" s="1"/>
  <c r="K19" i="63"/>
  <c r="C85" i="80" s="1"/>
  <c r="L19" i="63"/>
  <c r="C84" i="81" s="1"/>
  <c r="M19" i="63"/>
  <c r="C84" i="82" s="1"/>
  <c r="N19" i="63"/>
  <c r="C84" i="83" s="1"/>
  <c r="O19" i="63"/>
  <c r="C82" i="84" s="1"/>
  <c r="E20" i="63"/>
  <c r="C82" i="74" s="1"/>
  <c r="F20" i="63"/>
  <c r="C85" i="75" s="1"/>
  <c r="G20" i="63"/>
  <c r="C86" i="76" s="1"/>
  <c r="H20" i="63"/>
  <c r="C87" i="77" s="1"/>
  <c r="I20" i="63"/>
  <c r="C86" i="78" s="1"/>
  <c r="J20" i="63"/>
  <c r="C87" i="79" s="1"/>
  <c r="K20" i="63"/>
  <c r="C86" i="80" s="1"/>
  <c r="L20" i="63"/>
  <c r="C85" i="81" s="1"/>
  <c r="M20" i="63"/>
  <c r="C85" i="82" s="1"/>
  <c r="N20" i="63"/>
  <c r="C85" i="83" s="1"/>
  <c r="O20" i="63"/>
  <c r="C83" i="84" s="1"/>
  <c r="D19" i="63"/>
  <c r="C86" i="73"/>
  <c r="D20" i="63"/>
  <c r="C87" i="73" s="1"/>
  <c r="D18" i="63"/>
  <c r="C85" i="73" s="1"/>
  <c r="E46" i="58"/>
  <c r="E56" i="68" s="1"/>
  <c r="D22" i="58"/>
  <c r="D22" i="68" s="1"/>
  <c r="C22" i="68" s="1"/>
  <c r="E22" i="58"/>
  <c r="D23" i="58"/>
  <c r="E23" i="58"/>
  <c r="D24" i="58"/>
  <c r="C24" i="58" s="1"/>
  <c r="E24" i="58"/>
  <c r="E21" i="58"/>
  <c r="E19" i="58"/>
  <c r="D19" i="58"/>
  <c r="E18" i="58"/>
  <c r="D18" i="58"/>
  <c r="D18" i="68" s="1"/>
  <c r="C18" i="68" s="1"/>
  <c r="E17" i="58"/>
  <c r="E17" i="68" s="1"/>
  <c r="E16" i="58"/>
  <c r="C40" i="57"/>
  <c r="C39" i="67" s="1"/>
  <c r="C26" i="57"/>
  <c r="C26" i="67" s="1"/>
  <c r="C23" i="57"/>
  <c r="C23" i="67" s="1"/>
  <c r="C20" i="57"/>
  <c r="C20" i="67" s="1"/>
  <c r="C18" i="57"/>
  <c r="C18" i="67" s="1"/>
  <c r="M19" i="44"/>
  <c r="M15" i="44"/>
  <c r="M16" i="44"/>
  <c r="E39" i="154" s="1"/>
  <c r="B36" i="54"/>
  <c r="B37" i="54"/>
  <c r="B35" i="54"/>
  <c r="B34" i="54"/>
  <c r="B33" i="54"/>
  <c r="B32" i="54"/>
  <c r="B31" i="54"/>
  <c r="B30" i="54"/>
  <c r="B29" i="54"/>
  <c r="F72" i="46"/>
  <c r="D56" i="68"/>
  <c r="AE120" i="60"/>
  <c r="AD119" i="13"/>
  <c r="C17" i="65"/>
  <c r="K66" i="46"/>
  <c r="J66" i="46"/>
  <c r="K64" i="46"/>
  <c r="K60" i="46"/>
  <c r="K61" i="46"/>
  <c r="K55" i="46"/>
  <c r="K57" i="46"/>
  <c r="K68" i="45"/>
  <c r="J68" i="45"/>
  <c r="K66" i="45"/>
  <c r="J66" i="45"/>
  <c r="K64" i="45"/>
  <c r="K60" i="45"/>
  <c r="K61" i="45"/>
  <c r="K57" i="45"/>
  <c r="K55" i="45"/>
  <c r="B125" i="60"/>
  <c r="J117" i="13"/>
  <c r="E19" i="53"/>
  <c r="AL41" i="48"/>
  <c r="AT41" i="48"/>
  <c r="BJ41" i="48"/>
  <c r="CP41" i="48"/>
  <c r="Q31" i="48"/>
  <c r="C137" i="84"/>
  <c r="C142" i="73"/>
  <c r="CX16" i="48"/>
  <c r="CU12" i="48"/>
  <c r="CW12" i="48" s="1"/>
  <c r="CM12" i="48"/>
  <c r="CO12" i="48" s="1"/>
  <c r="CE12" i="48"/>
  <c r="CG12" i="48" s="1"/>
  <c r="BW12" i="48"/>
  <c r="BY12" i="48" s="1"/>
  <c r="BR16" i="48"/>
  <c r="BO12" i="48"/>
  <c r="BQ12" i="48" s="1"/>
  <c r="BG12" i="48"/>
  <c r="BI12" i="48" s="1"/>
  <c r="AY12" i="48"/>
  <c r="BA12" i="48" s="1"/>
  <c r="AQ12" i="48"/>
  <c r="AS12" i="48" s="1"/>
  <c r="AI12" i="48"/>
  <c r="AK12" i="48" s="1"/>
  <c r="AD16" i="48"/>
  <c r="H16" i="48"/>
  <c r="H78" i="48" s="1"/>
  <c r="AA12" i="48"/>
  <c r="AC12" i="48" s="1"/>
  <c r="S12" i="48"/>
  <c r="K12" i="48"/>
  <c r="M12" i="48" s="1"/>
  <c r="CR12" i="48"/>
  <c r="C141" i="80"/>
  <c r="BD12" i="48"/>
  <c r="U38" i="14" s="1"/>
  <c r="D8" i="48"/>
  <c r="AJ38" i="14"/>
  <c r="AL38" i="14" s="1"/>
  <c r="J20" i="17" s="1"/>
  <c r="C134" i="74"/>
  <c r="C138" i="81"/>
  <c r="H8" i="138"/>
  <c r="H19" i="138"/>
  <c r="H15" i="138"/>
  <c r="F12" i="48"/>
  <c r="L67" i="48"/>
  <c r="T67" i="48"/>
  <c r="AB67" i="48"/>
  <c r="AJ67" i="48"/>
  <c r="AR67" i="48"/>
  <c r="AZ67" i="48"/>
  <c r="BH67" i="48"/>
  <c r="BP67" i="48"/>
  <c r="BX67" i="48"/>
  <c r="CF67" i="48"/>
  <c r="CN67" i="48"/>
  <c r="CV67" i="48"/>
  <c r="DC67" i="48"/>
  <c r="CR23" i="48"/>
  <c r="AJ40" i="14" s="1"/>
  <c r="AJ40" i="62" s="1"/>
  <c r="C43" i="83" s="1"/>
  <c r="CJ23" i="48"/>
  <c r="AG40" i="14" s="1"/>
  <c r="CB23" i="48"/>
  <c r="AD40" i="14" s="1"/>
  <c r="BT23" i="48"/>
  <c r="AA40" i="14" s="1"/>
  <c r="AA40" i="62" s="1"/>
  <c r="BL23" i="48"/>
  <c r="X40" i="14" s="1"/>
  <c r="X40" i="62" s="1"/>
  <c r="BD23" i="48"/>
  <c r="U40" i="14" s="1"/>
  <c r="U40" i="62" s="1"/>
  <c r="AV23" i="48"/>
  <c r="R40" i="14" s="1"/>
  <c r="AN23" i="48"/>
  <c r="O40" i="14" s="1"/>
  <c r="O40" i="62" s="1"/>
  <c r="C43" i="76" s="1"/>
  <c r="AF23" i="48"/>
  <c r="L40" i="14" s="1"/>
  <c r="L40" i="62" s="1"/>
  <c r="X23" i="48"/>
  <c r="I40" i="14" s="1"/>
  <c r="P23" i="48"/>
  <c r="F40" i="14" s="1"/>
  <c r="CY31" i="48"/>
  <c r="CZ31" i="48" s="1"/>
  <c r="CY30" i="48"/>
  <c r="CQ31" i="48"/>
  <c r="CQ30" i="48"/>
  <c r="CQ67" i="48" s="1"/>
  <c r="CI31" i="48"/>
  <c r="CI30" i="48"/>
  <c r="CI67" i="48" s="1"/>
  <c r="CA31" i="48"/>
  <c r="CA30" i="48"/>
  <c r="BS31" i="48"/>
  <c r="BS30" i="48"/>
  <c r="BS67" i="48" s="1"/>
  <c r="BK31" i="48"/>
  <c r="BK30" i="48"/>
  <c r="BK67" i="48" s="1"/>
  <c r="BC31" i="48"/>
  <c r="BC30" i="48"/>
  <c r="AU31" i="48"/>
  <c r="AU30" i="48"/>
  <c r="AM31" i="48"/>
  <c r="AN31" i="48" s="1"/>
  <c r="AM30" i="48"/>
  <c r="AM67" i="48" s="1"/>
  <c r="AE31" i="48"/>
  <c r="AE30" i="48"/>
  <c r="AE67" i="48" s="1"/>
  <c r="W31" i="48"/>
  <c r="W30" i="48"/>
  <c r="W67" i="48" s="1"/>
  <c r="O31" i="48"/>
  <c r="BJ23" i="48"/>
  <c r="AY35" i="48"/>
  <c r="AW21" i="48"/>
  <c r="AW22" i="48"/>
  <c r="BB33" i="48"/>
  <c r="N42" i="48"/>
  <c r="BA42" i="48"/>
  <c r="BD42" i="48"/>
  <c r="O30" i="48"/>
  <c r="O67" i="48" s="1"/>
  <c r="F44" i="50"/>
  <c r="G44" i="50"/>
  <c r="H44" i="50"/>
  <c r="I44" i="50"/>
  <c r="J44" i="50"/>
  <c r="K44" i="50"/>
  <c r="L44" i="50"/>
  <c r="M44" i="50"/>
  <c r="N44" i="50"/>
  <c r="O44" i="50"/>
  <c r="P44" i="50"/>
  <c r="E44" i="50"/>
  <c r="N21" i="50"/>
  <c r="M21" i="50"/>
  <c r="L21" i="50"/>
  <c r="K21" i="50"/>
  <c r="H21" i="50"/>
  <c r="H16" i="138"/>
  <c r="H18" i="138"/>
  <c r="C137" i="83"/>
  <c r="H10" i="138"/>
  <c r="C143" i="75"/>
  <c r="H12" i="138"/>
  <c r="C145" i="77"/>
  <c r="H17" i="138"/>
  <c r="C137" i="82"/>
  <c r="H9" i="138"/>
  <c r="H11" i="138"/>
  <c r="C139" i="76"/>
  <c r="H13" i="138"/>
  <c r="C141" i="78"/>
  <c r="H14" i="138"/>
  <c r="C139" i="79"/>
  <c r="AW91" i="3"/>
  <c r="AW90" i="3"/>
  <c r="AV91" i="3"/>
  <c r="AZ89" i="3"/>
  <c r="AX89" i="3"/>
  <c r="AX88" i="3"/>
  <c r="AV89" i="3"/>
  <c r="AV88" i="3"/>
  <c r="S23" i="92"/>
  <c r="S25" i="92"/>
  <c r="K43" i="46"/>
  <c r="K41" i="46"/>
  <c r="J41" i="46"/>
  <c r="K39" i="46"/>
  <c r="I46" i="46"/>
  <c r="I45" i="46"/>
  <c r="K41" i="45"/>
  <c r="J41" i="45"/>
  <c r="K39" i="45"/>
  <c r="K43" i="45"/>
  <c r="I46" i="45"/>
  <c r="I45" i="45"/>
  <c r="K23" i="46"/>
  <c r="K24" i="46"/>
  <c r="K27" i="46"/>
  <c r="K29" i="46"/>
  <c r="K30" i="46"/>
  <c r="N30" i="46" s="1"/>
  <c r="Q30" i="46" s="1"/>
  <c r="K20" i="46"/>
  <c r="K19" i="46"/>
  <c r="K32" i="45"/>
  <c r="J32" i="45"/>
  <c r="K16" i="46"/>
  <c r="K15" i="46"/>
  <c r="K16" i="45"/>
  <c r="K15" i="45"/>
  <c r="E25" i="46"/>
  <c r="H68" i="46"/>
  <c r="G68" i="46"/>
  <c r="E66" i="46"/>
  <c r="E67" i="46"/>
  <c r="D67" i="46"/>
  <c r="D65" i="46" s="1"/>
  <c r="D66" i="46"/>
  <c r="E63" i="46"/>
  <c r="E64" i="46"/>
  <c r="E60" i="46"/>
  <c r="E59" i="46" s="1"/>
  <c r="E61" i="46"/>
  <c r="E57" i="46"/>
  <c r="D57" i="46"/>
  <c r="E56" i="46"/>
  <c r="D56" i="46"/>
  <c r="E55" i="46"/>
  <c r="D55" i="46"/>
  <c r="E50" i="46"/>
  <c r="D50" i="46"/>
  <c r="E49" i="46"/>
  <c r="H43" i="46"/>
  <c r="H42" i="46" s="1"/>
  <c r="G43" i="46"/>
  <c r="F46" i="46"/>
  <c r="F45" i="46"/>
  <c r="F44" i="46"/>
  <c r="E43" i="46"/>
  <c r="E42" i="46" s="1"/>
  <c r="D43" i="46"/>
  <c r="D42" i="46"/>
  <c r="C46" i="46"/>
  <c r="C45" i="46"/>
  <c r="C44" i="46"/>
  <c r="E39" i="46"/>
  <c r="E41" i="46"/>
  <c r="D36" i="46"/>
  <c r="H68" i="45"/>
  <c r="G68" i="45"/>
  <c r="G44" i="45"/>
  <c r="H44" i="45"/>
  <c r="G45" i="45"/>
  <c r="H45" i="45"/>
  <c r="G46" i="45"/>
  <c r="F46" i="45" s="1"/>
  <c r="H46" i="45"/>
  <c r="H43" i="45"/>
  <c r="G43" i="45"/>
  <c r="K23" i="48"/>
  <c r="N23" i="48" s="1"/>
  <c r="Q23" i="48" s="1"/>
  <c r="CU17" i="48"/>
  <c r="CU13" i="48" s="1"/>
  <c r="CM17" i="48"/>
  <c r="CE17" i="48"/>
  <c r="CH17" i="48" s="1"/>
  <c r="CH16" i="48"/>
  <c r="BW17" i="48"/>
  <c r="BO17" i="48"/>
  <c r="BR17" i="48" s="1"/>
  <c r="BG17" i="48"/>
  <c r="BJ16" i="48"/>
  <c r="AY17" i="48"/>
  <c r="AQ17" i="48"/>
  <c r="AT17" i="48" s="1"/>
  <c r="AW16" i="48"/>
  <c r="AI17" i="48"/>
  <c r="AK17" i="48" s="1"/>
  <c r="AA17" i="48"/>
  <c r="S17" i="48"/>
  <c r="K17" i="48"/>
  <c r="C43" i="46"/>
  <c r="E49" i="45"/>
  <c r="G25" i="44"/>
  <c r="E16" i="45"/>
  <c r="E15" i="45"/>
  <c r="E66" i="45"/>
  <c r="E67" i="45"/>
  <c r="D67" i="45"/>
  <c r="D66" i="45"/>
  <c r="C66" i="45" s="1"/>
  <c r="E63" i="45"/>
  <c r="E64" i="45"/>
  <c r="E61" i="45"/>
  <c r="E60" i="45"/>
  <c r="E57" i="45"/>
  <c r="D57" i="45"/>
  <c r="E55" i="45"/>
  <c r="E56" i="45"/>
  <c r="D56" i="45"/>
  <c r="D55" i="45"/>
  <c r="D53" i="45"/>
  <c r="E50" i="45"/>
  <c r="D50" i="45"/>
  <c r="E32" i="45"/>
  <c r="D32" i="45"/>
  <c r="D31" i="45"/>
  <c r="D31" i="46"/>
  <c r="D32" i="46"/>
  <c r="C32" i="46" s="1"/>
  <c r="E32" i="46"/>
  <c r="D30" i="46"/>
  <c r="E22" i="46"/>
  <c r="E16" i="46"/>
  <c r="E15" i="46"/>
  <c r="D44" i="45"/>
  <c r="E44" i="45"/>
  <c r="D45" i="45"/>
  <c r="C45" i="45" s="1"/>
  <c r="E45" i="45"/>
  <c r="D46" i="45"/>
  <c r="E46" i="45"/>
  <c r="E43" i="45"/>
  <c r="D43" i="45"/>
  <c r="E41" i="45"/>
  <c r="E39" i="45"/>
  <c r="D36" i="45"/>
  <c r="D30" i="45"/>
  <c r="G31" i="46"/>
  <c r="H20" i="46"/>
  <c r="B20" i="46"/>
  <c r="H29" i="45"/>
  <c r="H23" i="45"/>
  <c r="H22" i="45" s="1"/>
  <c r="H24" i="45"/>
  <c r="L25" i="44"/>
  <c r="L26" i="151" s="1"/>
  <c r="E28" i="46"/>
  <c r="C30" i="46"/>
  <c r="M40" i="43"/>
  <c r="M40" i="150" s="1"/>
  <c r="U157" i="43"/>
  <c r="K17" i="44"/>
  <c r="K18" i="151" s="1"/>
  <c r="BR27" i="48"/>
  <c r="EU13" i="47"/>
  <c r="AZ42" i="48"/>
  <c r="AT27" i="48"/>
  <c r="AD27" i="48"/>
  <c r="C18" i="52"/>
  <c r="DM34" i="47"/>
  <c r="BQ34" i="47"/>
  <c r="BQ36" i="47" s="1"/>
  <c r="R34" i="14" s="1"/>
  <c r="R34" i="62" s="1"/>
  <c r="C35" i="77" s="1"/>
  <c r="DY36" i="47"/>
  <c r="AG29" i="47"/>
  <c r="AS12" i="47"/>
  <c r="AQ29" i="47"/>
  <c r="BE13" i="47"/>
  <c r="BE12" i="47"/>
  <c r="O10" i="14" s="1"/>
  <c r="O10" i="62" s="1"/>
  <c r="C11" i="76" s="1"/>
  <c r="BC19" i="47"/>
  <c r="DY13" i="47"/>
  <c r="AG11" i="14" s="1"/>
  <c r="AG11" i="62" s="1"/>
  <c r="C12" i="82" s="1"/>
  <c r="DY12" i="47"/>
  <c r="DM13" i="47"/>
  <c r="DM12" i="47"/>
  <c r="AD10" i="14" s="1"/>
  <c r="AD10" i="62" s="1"/>
  <c r="C11" i="81" s="1"/>
  <c r="CO13" i="47"/>
  <c r="X11" i="14" s="1"/>
  <c r="X11" i="62" s="1"/>
  <c r="C12" i="79" s="1"/>
  <c r="CO12" i="47"/>
  <c r="X10" i="14" s="1"/>
  <c r="X10" i="62" s="1"/>
  <c r="DA13" i="47"/>
  <c r="AA11" i="14" s="1"/>
  <c r="DA12" i="47"/>
  <c r="AG32" i="47"/>
  <c r="C9" i="52" s="1"/>
  <c r="AG13" i="47"/>
  <c r="AG12" i="47"/>
  <c r="U32" i="47"/>
  <c r="F30" i="14" s="1"/>
  <c r="F30" i="62" s="1"/>
  <c r="C31" i="73" s="1"/>
  <c r="U28" i="47"/>
  <c r="U15" i="47"/>
  <c r="F13" i="14" s="1"/>
  <c r="F13" i="62" s="1"/>
  <c r="C14" i="73" s="1"/>
  <c r="U12" i="47"/>
  <c r="EW13" i="47"/>
  <c r="EW12" i="47"/>
  <c r="AM10" i="14" s="1"/>
  <c r="AM10" i="62" s="1"/>
  <c r="EK36" i="47"/>
  <c r="EK13" i="47"/>
  <c r="AJ11" i="14" s="1"/>
  <c r="AJ11" i="62" s="1"/>
  <c r="C12" i="83" s="1"/>
  <c r="EK12" i="47"/>
  <c r="EI29" i="47"/>
  <c r="EK31" i="47"/>
  <c r="AJ29" i="14" s="1"/>
  <c r="AJ29" i="62" s="1"/>
  <c r="C30" i="83" s="1"/>
  <c r="BQ29" i="47"/>
  <c r="BQ26" i="47"/>
  <c r="R24" i="14" s="1"/>
  <c r="R24" i="62" s="1"/>
  <c r="BQ13" i="47"/>
  <c r="R11" i="14" s="1"/>
  <c r="BQ12" i="47"/>
  <c r="R10" i="14" s="1"/>
  <c r="R10" i="62" s="1"/>
  <c r="C11" i="77" s="1"/>
  <c r="BQ32" i="47"/>
  <c r="R30" i="14" s="1"/>
  <c r="R30" i="62" s="1"/>
  <c r="C31" i="77" s="1"/>
  <c r="BO26" i="47"/>
  <c r="BO19" i="47"/>
  <c r="CC13" i="47"/>
  <c r="CC12" i="47"/>
  <c r="U10" i="14" s="1"/>
  <c r="U10" i="62" s="1"/>
  <c r="C11" i="78" s="1"/>
  <c r="W37" i="47"/>
  <c r="F17" i="44"/>
  <c r="F18" i="151" s="1"/>
  <c r="AA17" i="44"/>
  <c r="V17" i="44"/>
  <c r="N42" i="46" s="1"/>
  <c r="M42" i="46"/>
  <c r="R17" i="44"/>
  <c r="F40" i="154" s="1"/>
  <c r="Q17" i="44"/>
  <c r="Q18" i="151" s="1"/>
  <c r="L17" i="44"/>
  <c r="L18" i="151" s="1"/>
  <c r="G17" i="44"/>
  <c r="G18" i="151" s="1"/>
  <c r="R18" i="52"/>
  <c r="R17" i="52"/>
  <c r="R16" i="52"/>
  <c r="S16" i="52" s="1"/>
  <c r="R15" i="52"/>
  <c r="R14" i="52"/>
  <c r="S14" i="52" s="1"/>
  <c r="R13" i="52"/>
  <c r="Q19" i="52"/>
  <c r="S19" i="52" s="1"/>
  <c r="Q18" i="52"/>
  <c r="Q17" i="52"/>
  <c r="Q16" i="52"/>
  <c r="Q15" i="52"/>
  <c r="Q14" i="52"/>
  <c r="Q13" i="52"/>
  <c r="Q12" i="52"/>
  <c r="S12" i="52" s="1"/>
  <c r="Q11" i="52"/>
  <c r="S11" i="52"/>
  <c r="Q10" i="52"/>
  <c r="S10" i="52" s="1"/>
  <c r="Q9" i="52"/>
  <c r="S9" i="52"/>
  <c r="Q8" i="52"/>
  <c r="O20" i="52"/>
  <c r="E18" i="52"/>
  <c r="N18" i="52" s="1"/>
  <c r="P18" i="52" s="1"/>
  <c r="S15" i="52"/>
  <c r="I37" i="14"/>
  <c r="K37" i="14" s="1"/>
  <c r="I11" i="17" s="1"/>
  <c r="E40" i="58"/>
  <c r="E50" i="68" s="1"/>
  <c r="E36" i="58"/>
  <c r="E37" i="58"/>
  <c r="E47" i="68" s="1"/>
  <c r="E42" i="58"/>
  <c r="D42" i="58"/>
  <c r="D52" i="68" s="1"/>
  <c r="E31" i="58"/>
  <c r="E41" i="68" s="1"/>
  <c r="E30" i="58"/>
  <c r="E40" i="68" s="1"/>
  <c r="C62" i="149"/>
  <c r="C26" i="149"/>
  <c r="W60" i="43"/>
  <c r="AA60" i="43" s="1"/>
  <c r="Z60" i="43" s="1"/>
  <c r="W58" i="43"/>
  <c r="Q70" i="43"/>
  <c r="U59" i="43"/>
  <c r="C160" i="13" s="1"/>
  <c r="R57" i="43"/>
  <c r="S57" i="43"/>
  <c r="X57" i="43"/>
  <c r="Y57" i="43"/>
  <c r="AD57" i="43"/>
  <c r="AE57" i="43"/>
  <c r="AJ57" i="43"/>
  <c r="AK57" i="43"/>
  <c r="AP57" i="43"/>
  <c r="AQ57" i="43"/>
  <c r="AV57" i="43"/>
  <c r="AW57" i="43"/>
  <c r="O60" i="43"/>
  <c r="D60" i="43"/>
  <c r="C67" i="43"/>
  <c r="C63" i="43"/>
  <c r="C63" i="150" s="1"/>
  <c r="C69" i="43"/>
  <c r="C62" i="65"/>
  <c r="F25" i="44"/>
  <c r="F26" i="151" s="1"/>
  <c r="C26" i="65"/>
  <c r="H19" i="44"/>
  <c r="H18" i="44"/>
  <c r="J18" i="44" s="1"/>
  <c r="D19" i="44"/>
  <c r="D20" i="151" s="1"/>
  <c r="D18" i="44"/>
  <c r="D19" i="151" s="1"/>
  <c r="S148" i="13"/>
  <c r="S153" i="13"/>
  <c r="S60" i="13"/>
  <c r="U58" i="43"/>
  <c r="C13" i="161" s="1"/>
  <c r="C28" i="149"/>
  <c r="M18" i="44"/>
  <c r="D21" i="58"/>
  <c r="D21" i="68" s="1"/>
  <c r="P17" i="44"/>
  <c r="P18" i="151" s="1"/>
  <c r="C28" i="65"/>
  <c r="AC60" i="43"/>
  <c r="AG60" i="43" s="1"/>
  <c r="J43" i="46"/>
  <c r="S19" i="92"/>
  <c r="J43" i="45"/>
  <c r="U60" i="43"/>
  <c r="T145" i="43"/>
  <c r="AC72" i="60"/>
  <c r="U13" i="13"/>
  <c r="C36" i="54"/>
  <c r="D18" i="61"/>
  <c r="D17" i="61"/>
  <c r="D15" i="61"/>
  <c r="D15" i="69" s="1"/>
  <c r="AH82" i="13"/>
  <c r="AH81" i="13" s="1"/>
  <c r="AH50" i="13"/>
  <c r="AH49" i="13"/>
  <c r="AH48" i="13"/>
  <c r="AH47" i="13"/>
  <c r="AH46" i="13"/>
  <c r="AH43" i="13"/>
  <c r="AH42" i="13"/>
  <c r="AH41" i="13"/>
  <c r="AH36" i="13"/>
  <c r="AH35" i="13"/>
  <c r="AH34" i="13"/>
  <c r="AH33" i="13"/>
  <c r="AH32" i="13"/>
  <c r="AH29" i="13"/>
  <c r="AH28" i="13"/>
  <c r="AH27" i="13"/>
  <c r="AH26" i="13"/>
  <c r="AH25" i="13"/>
  <c r="AH24" i="13"/>
  <c r="AH23" i="13"/>
  <c r="AH22" i="13"/>
  <c r="AH21" i="13"/>
  <c r="AH20" i="13"/>
  <c r="AH19" i="13"/>
  <c r="AH18" i="13"/>
  <c r="AH15" i="13"/>
  <c r="AH14" i="13"/>
  <c r="AH13" i="13"/>
  <c r="AH30" i="13"/>
  <c r="AJ66" i="13"/>
  <c r="AH56" i="13"/>
  <c r="AH57" i="13"/>
  <c r="AH58" i="13"/>
  <c r="AH52" i="13"/>
  <c r="AH53" i="13"/>
  <c r="AH54" i="13"/>
  <c r="AJ55" i="13"/>
  <c r="AM35" i="14"/>
  <c r="AM35" i="62" s="1"/>
  <c r="C36" i="84" s="1"/>
  <c r="AM33" i="14"/>
  <c r="AM33" i="62" s="1"/>
  <c r="C34" i="84" s="1"/>
  <c r="AM32" i="14"/>
  <c r="AM32" i="62" s="1"/>
  <c r="C33" i="84" s="1"/>
  <c r="AM29" i="14"/>
  <c r="AM29" i="62" s="1"/>
  <c r="C30" i="84" s="1"/>
  <c r="AM26" i="14"/>
  <c r="AM26" i="62" s="1"/>
  <c r="C27" i="84" s="1"/>
  <c r="AM23" i="14"/>
  <c r="AM23" i="62" s="1"/>
  <c r="AM22" i="14"/>
  <c r="AM22" i="62" s="1"/>
  <c r="C23" i="84"/>
  <c r="AM20" i="14"/>
  <c r="AM20" i="62" s="1"/>
  <c r="C21" i="84" s="1"/>
  <c r="AM19" i="14"/>
  <c r="AM19" i="62" s="1"/>
  <c r="C20" i="84" s="1"/>
  <c r="AM18" i="14"/>
  <c r="AM18" i="62" s="1"/>
  <c r="C19" i="84" s="1"/>
  <c r="AM16" i="14"/>
  <c r="AM16" i="62"/>
  <c r="C17" i="84" s="1"/>
  <c r="AM11" i="14"/>
  <c r="AM11" i="62" s="1"/>
  <c r="C12" i="84" s="1"/>
  <c r="AM13" i="14"/>
  <c r="AM13" i="62" s="1"/>
  <c r="C14" i="84" s="1"/>
  <c r="AM14" i="14"/>
  <c r="AM14" i="62" s="1"/>
  <c r="C15" i="84" s="1"/>
  <c r="AJ35" i="14"/>
  <c r="AJ35" i="62" s="1"/>
  <c r="C36" i="83" s="1"/>
  <c r="AJ33" i="14"/>
  <c r="AJ33" i="62" s="1"/>
  <c r="C34" i="83" s="1"/>
  <c r="AJ34" i="14"/>
  <c r="AJ34" i="62" s="1"/>
  <c r="C35" i="83" s="1"/>
  <c r="AJ32" i="14"/>
  <c r="AJ32" i="62" s="1"/>
  <c r="C33" i="83" s="1"/>
  <c r="C32" i="83" s="1"/>
  <c r="AJ27" i="14"/>
  <c r="AJ27" i="62" s="1"/>
  <c r="C28" i="83" s="1"/>
  <c r="AJ26" i="14"/>
  <c r="AJ26" i="62" s="1"/>
  <c r="C27" i="83" s="1"/>
  <c r="AJ22" i="14"/>
  <c r="AJ22" i="62" s="1"/>
  <c r="C23" i="83" s="1"/>
  <c r="AJ20" i="14"/>
  <c r="AJ20" i="62" s="1"/>
  <c r="C21" i="83" s="1"/>
  <c r="AJ19" i="14"/>
  <c r="AJ19" i="62" s="1"/>
  <c r="C20" i="83" s="1"/>
  <c r="AJ18" i="14"/>
  <c r="AJ18" i="62" s="1"/>
  <c r="AJ16" i="14"/>
  <c r="AJ16" i="62" s="1"/>
  <c r="C17" i="83" s="1"/>
  <c r="AJ14" i="14"/>
  <c r="AJ14" i="62" s="1"/>
  <c r="C15" i="83" s="1"/>
  <c r="AJ10" i="14"/>
  <c r="AJ10" i="62" s="1"/>
  <c r="C11" i="83" s="1"/>
  <c r="AG35" i="14"/>
  <c r="AG35" i="62" s="1"/>
  <c r="AG33" i="14"/>
  <c r="AG33" i="62" s="1"/>
  <c r="AG34" i="14"/>
  <c r="AG34" i="62" s="1"/>
  <c r="C35" i="82" s="1"/>
  <c r="AG32" i="14"/>
  <c r="AG32" i="62" s="1"/>
  <c r="C33" i="82" s="1"/>
  <c r="AG29" i="14"/>
  <c r="AG29" i="62" s="1"/>
  <c r="C30" i="82" s="1"/>
  <c r="AG27" i="14"/>
  <c r="AG27" i="62" s="1"/>
  <c r="C28" i="82" s="1"/>
  <c r="AG26" i="14"/>
  <c r="AG26" i="62" s="1"/>
  <c r="AG23" i="14"/>
  <c r="AG23" i="62" s="1"/>
  <c r="C24" i="82" s="1"/>
  <c r="AG22" i="14"/>
  <c r="AG22" i="62" s="1"/>
  <c r="C23" i="82" s="1"/>
  <c r="AG20" i="14"/>
  <c r="AG20" i="62" s="1"/>
  <c r="AG19" i="14"/>
  <c r="AG19" i="62" s="1"/>
  <c r="C20" i="82" s="1"/>
  <c r="AG18" i="14"/>
  <c r="AG18" i="62" s="1"/>
  <c r="C19" i="82" s="1"/>
  <c r="AG16" i="14"/>
  <c r="AG16" i="62" s="1"/>
  <c r="C17" i="82" s="1"/>
  <c r="AG14" i="14"/>
  <c r="AG14" i="62" s="1"/>
  <c r="C15" i="82" s="1"/>
  <c r="AG10" i="14"/>
  <c r="AG10" i="62" s="1"/>
  <c r="AD35" i="14"/>
  <c r="AD35" i="62"/>
  <c r="C36" i="81" s="1"/>
  <c r="AD32" i="14"/>
  <c r="AD32" i="62" s="1"/>
  <c r="C33" i="81" s="1"/>
  <c r="AD29" i="14"/>
  <c r="AD29" i="62"/>
  <c r="C30" i="81" s="1"/>
  <c r="AD27" i="14"/>
  <c r="AD27" i="62" s="1"/>
  <c r="C28" i="81" s="1"/>
  <c r="AD26" i="14"/>
  <c r="AD26" i="62" s="1"/>
  <c r="C27" i="81" s="1"/>
  <c r="C26" i="81" s="1"/>
  <c r="AD23" i="14"/>
  <c r="AD23" i="62" s="1"/>
  <c r="C24" i="81" s="1"/>
  <c r="AD22" i="14"/>
  <c r="AD22" i="62" s="1"/>
  <c r="C23" i="81" s="1"/>
  <c r="AD20" i="14"/>
  <c r="AD20" i="62"/>
  <c r="C21" i="81" s="1"/>
  <c r="AD19" i="14"/>
  <c r="AD19" i="62" s="1"/>
  <c r="C20" i="81" s="1"/>
  <c r="AD18" i="14"/>
  <c r="AD18" i="62" s="1"/>
  <c r="C19" i="81" s="1"/>
  <c r="AD16" i="14"/>
  <c r="AD16" i="62" s="1"/>
  <c r="C17" i="81" s="1"/>
  <c r="AD11" i="14"/>
  <c r="AD11" i="62" s="1"/>
  <c r="C12" i="81" s="1"/>
  <c r="AD14" i="14"/>
  <c r="AD14" i="62" s="1"/>
  <c r="C15" i="81" s="1"/>
  <c r="AA35" i="14"/>
  <c r="AA35" i="62" s="1"/>
  <c r="C36" i="80" s="1"/>
  <c r="AA33" i="14"/>
  <c r="AA33" i="62" s="1"/>
  <c r="C34" i="80" s="1"/>
  <c r="AA32" i="14"/>
  <c r="AA32" i="62" s="1"/>
  <c r="C33" i="80" s="1"/>
  <c r="AA29" i="14"/>
  <c r="AA29" i="62"/>
  <c r="C30" i="80" s="1"/>
  <c r="AA27" i="14"/>
  <c r="AA27" i="62" s="1"/>
  <c r="C28" i="80" s="1"/>
  <c r="AA26" i="14"/>
  <c r="AA26" i="62" s="1"/>
  <c r="C27" i="80" s="1"/>
  <c r="AA23" i="14"/>
  <c r="AA23" i="62" s="1"/>
  <c r="C24" i="80" s="1"/>
  <c r="AA22" i="14"/>
  <c r="AA22" i="62" s="1"/>
  <c r="C23" i="80" s="1"/>
  <c r="AA20" i="14"/>
  <c r="AA20" i="62" s="1"/>
  <c r="C21" i="80" s="1"/>
  <c r="AA19" i="14"/>
  <c r="AA19" i="62" s="1"/>
  <c r="C20" i="80" s="1"/>
  <c r="AA18" i="14"/>
  <c r="AA18" i="62" s="1"/>
  <c r="C19" i="80" s="1"/>
  <c r="AA16" i="14"/>
  <c r="AA16" i="62"/>
  <c r="C17" i="80" s="1"/>
  <c r="AA11" i="62"/>
  <c r="C12" i="80" s="1"/>
  <c r="AA12" i="14"/>
  <c r="AA12" i="62" s="1"/>
  <c r="C13" i="80" s="1"/>
  <c r="AA13" i="14"/>
  <c r="AA13" i="62"/>
  <c r="C14" i="80" s="1"/>
  <c r="AA14" i="14"/>
  <c r="AA14" i="62" s="1"/>
  <c r="C15" i="80" s="1"/>
  <c r="AA10" i="14"/>
  <c r="AA10" i="62"/>
  <c r="C11" i="80" s="1"/>
  <c r="X35" i="14"/>
  <c r="X35" i="62" s="1"/>
  <c r="C36" i="79" s="1"/>
  <c r="X32" i="14"/>
  <c r="X32" i="62" s="1"/>
  <c r="C33" i="79" s="1"/>
  <c r="X29" i="14"/>
  <c r="X29" i="62" s="1"/>
  <c r="C30" i="79" s="1"/>
  <c r="X27" i="14"/>
  <c r="X27" i="62" s="1"/>
  <c r="C28" i="79" s="1"/>
  <c r="X26" i="14"/>
  <c r="X26" i="62" s="1"/>
  <c r="C27" i="79" s="1"/>
  <c r="X23" i="14"/>
  <c r="X23" i="62" s="1"/>
  <c r="C24" i="79" s="1"/>
  <c r="X22" i="14"/>
  <c r="X22" i="62" s="1"/>
  <c r="C23" i="79" s="1"/>
  <c r="X20" i="14"/>
  <c r="X20" i="62"/>
  <c r="C21" i="79" s="1"/>
  <c r="X19" i="14"/>
  <c r="X19" i="62" s="1"/>
  <c r="C20" i="79" s="1"/>
  <c r="X18" i="14"/>
  <c r="X18" i="62" s="1"/>
  <c r="C19" i="79" s="1"/>
  <c r="X16" i="14"/>
  <c r="X16" i="62" s="1"/>
  <c r="C17" i="79" s="1"/>
  <c r="X13" i="14"/>
  <c r="X13" i="62" s="1"/>
  <c r="C14" i="79" s="1"/>
  <c r="X14" i="14"/>
  <c r="X14" i="62"/>
  <c r="C15" i="79" s="1"/>
  <c r="U35" i="14"/>
  <c r="U35" i="62" s="1"/>
  <c r="U29" i="14"/>
  <c r="U29" i="62" s="1"/>
  <c r="C30" i="78" s="1"/>
  <c r="U26" i="14"/>
  <c r="U26" i="62" s="1"/>
  <c r="U23" i="14"/>
  <c r="U23" i="62" s="1"/>
  <c r="C24" i="78" s="1"/>
  <c r="U22" i="14"/>
  <c r="U22" i="62" s="1"/>
  <c r="C23" i="78" s="1"/>
  <c r="U20" i="14"/>
  <c r="U20" i="62" s="1"/>
  <c r="C21" i="78" s="1"/>
  <c r="U19" i="14"/>
  <c r="U19" i="62" s="1"/>
  <c r="C20" i="78" s="1"/>
  <c r="U18" i="14"/>
  <c r="U18" i="62"/>
  <c r="C19" i="78" s="1"/>
  <c r="U16" i="14"/>
  <c r="U16" i="62" s="1"/>
  <c r="C17" i="78" s="1"/>
  <c r="U11" i="14"/>
  <c r="U11" i="62" s="1"/>
  <c r="C12" i="78" s="1"/>
  <c r="U14" i="14"/>
  <c r="U14" i="62" s="1"/>
  <c r="C15" i="78" s="1"/>
  <c r="R35" i="14"/>
  <c r="R35" i="62" s="1"/>
  <c r="C36" i="77" s="1"/>
  <c r="R33" i="14"/>
  <c r="R33" i="62" s="1"/>
  <c r="C34" i="77" s="1"/>
  <c r="R29" i="14"/>
  <c r="R29" i="62" s="1"/>
  <c r="C30" i="77" s="1"/>
  <c r="R27" i="14"/>
  <c r="R27" i="62" s="1"/>
  <c r="C28" i="77" s="1"/>
  <c r="C26" i="77" s="1"/>
  <c r="R26" i="14"/>
  <c r="R26" i="62" s="1"/>
  <c r="C27" i="77" s="1"/>
  <c r="R23" i="14"/>
  <c r="R23" i="62" s="1"/>
  <c r="C24" i="77" s="1"/>
  <c r="R22" i="14"/>
  <c r="R22" i="62" s="1"/>
  <c r="C23" i="77" s="1"/>
  <c r="R20" i="14"/>
  <c r="R20" i="62" s="1"/>
  <c r="C21" i="77" s="1"/>
  <c r="R19" i="14"/>
  <c r="R19" i="62" s="1"/>
  <c r="C20" i="77" s="1"/>
  <c r="R18" i="14"/>
  <c r="R18" i="62" s="1"/>
  <c r="C19" i="77" s="1"/>
  <c r="R16" i="14"/>
  <c r="R16" i="62" s="1"/>
  <c r="C17" i="77" s="1"/>
  <c r="R11" i="62"/>
  <c r="C12" i="77" s="1"/>
  <c r="R14" i="14"/>
  <c r="R14" i="62"/>
  <c r="C15" i="77" s="1"/>
  <c r="O35" i="14"/>
  <c r="O35" i="62" s="1"/>
  <c r="C36" i="76" s="1"/>
  <c r="O33" i="14"/>
  <c r="O33" i="62" s="1"/>
  <c r="C34" i="76" s="1"/>
  <c r="O32" i="14"/>
  <c r="O32" i="62" s="1"/>
  <c r="C33" i="76" s="1"/>
  <c r="O29" i="14"/>
  <c r="O29" i="62"/>
  <c r="C30" i="76" s="1"/>
  <c r="O27" i="14"/>
  <c r="O27" i="62" s="1"/>
  <c r="C28" i="76" s="1"/>
  <c r="O26" i="14"/>
  <c r="O26" i="62" s="1"/>
  <c r="C27" i="76" s="1"/>
  <c r="O23" i="14"/>
  <c r="O23" i="62" s="1"/>
  <c r="C24" i="76" s="1"/>
  <c r="O22" i="14"/>
  <c r="O22" i="62" s="1"/>
  <c r="C23" i="76" s="1"/>
  <c r="O20" i="14"/>
  <c r="O20" i="62" s="1"/>
  <c r="C21" i="76" s="1"/>
  <c r="O19" i="14"/>
  <c r="O19" i="62" s="1"/>
  <c r="O18" i="14"/>
  <c r="O18" i="62" s="1"/>
  <c r="C19" i="76" s="1"/>
  <c r="O16" i="14"/>
  <c r="O16" i="62" s="1"/>
  <c r="C17" i="76" s="1"/>
  <c r="O11" i="14"/>
  <c r="O11" i="62" s="1"/>
  <c r="C12" i="76" s="1"/>
  <c r="O14" i="14"/>
  <c r="O14" i="62"/>
  <c r="C15" i="76"/>
  <c r="L35" i="14"/>
  <c r="L35" i="62" s="1"/>
  <c r="C36" i="75" s="1"/>
  <c r="L33" i="14"/>
  <c r="L33" i="62" s="1"/>
  <c r="C34" i="75" s="1"/>
  <c r="L32" i="14"/>
  <c r="L32" i="62" s="1"/>
  <c r="C33" i="75" s="1"/>
  <c r="L29" i="14"/>
  <c r="L29" i="62" s="1"/>
  <c r="C30" i="75" s="1"/>
  <c r="L27" i="14"/>
  <c r="L27" i="62" s="1"/>
  <c r="C28" i="75" s="1"/>
  <c r="L26" i="14"/>
  <c r="L26" i="62" s="1"/>
  <c r="C27" i="75" s="1"/>
  <c r="L23" i="14"/>
  <c r="L23" i="62" s="1"/>
  <c r="C24" i="75" s="1"/>
  <c r="L22" i="14"/>
  <c r="L22" i="62" s="1"/>
  <c r="C23" i="75" s="1"/>
  <c r="L20" i="14"/>
  <c r="L20" i="62" s="1"/>
  <c r="C21" i="75" s="1"/>
  <c r="L19" i="14"/>
  <c r="L19" i="62" s="1"/>
  <c r="C20" i="75" s="1"/>
  <c r="L18" i="14"/>
  <c r="L18" i="62" s="1"/>
  <c r="C19" i="75" s="1"/>
  <c r="L16" i="14"/>
  <c r="L16" i="62"/>
  <c r="C17" i="75" s="1"/>
  <c r="L11" i="14"/>
  <c r="L11" i="62" s="1"/>
  <c r="C12" i="75" s="1"/>
  <c r="C10" i="75" s="1"/>
  <c r="L12" i="14"/>
  <c r="L12" i="62" s="1"/>
  <c r="C13" i="75" s="1"/>
  <c r="L13" i="14"/>
  <c r="L13" i="62" s="1"/>
  <c r="C14" i="75" s="1"/>
  <c r="L14" i="14"/>
  <c r="L14" i="62" s="1"/>
  <c r="C15" i="75" s="1"/>
  <c r="L10" i="14"/>
  <c r="L10" i="62" s="1"/>
  <c r="C11" i="75" s="1"/>
  <c r="I35" i="14"/>
  <c r="I35" i="62" s="1"/>
  <c r="C36" i="74" s="1"/>
  <c r="I33" i="62"/>
  <c r="C34" i="74" s="1"/>
  <c r="I32" i="14"/>
  <c r="I32" i="62" s="1"/>
  <c r="C33" i="74" s="1"/>
  <c r="I29" i="14"/>
  <c r="I29" i="62"/>
  <c r="C30" i="74" s="1"/>
  <c r="I27" i="14"/>
  <c r="I27" i="62" s="1"/>
  <c r="C28" i="74" s="1"/>
  <c r="I26" i="14"/>
  <c r="I26" i="62" s="1"/>
  <c r="C27" i="74" s="1"/>
  <c r="I23" i="14"/>
  <c r="I23" i="62" s="1"/>
  <c r="C24" i="74" s="1"/>
  <c r="I22" i="14"/>
  <c r="I22" i="62" s="1"/>
  <c r="C23" i="74" s="1"/>
  <c r="I20" i="14"/>
  <c r="I20" i="62" s="1"/>
  <c r="C21" i="74" s="1"/>
  <c r="I19" i="14"/>
  <c r="I19" i="62"/>
  <c r="C20" i="74" s="1"/>
  <c r="I18" i="14"/>
  <c r="I18" i="62" s="1"/>
  <c r="C19" i="74" s="1"/>
  <c r="I16" i="14"/>
  <c r="I16" i="62" s="1"/>
  <c r="C17" i="74" s="1"/>
  <c r="I11" i="14"/>
  <c r="I11" i="62" s="1"/>
  <c r="C12" i="74"/>
  <c r="I14" i="14"/>
  <c r="I14" i="62" s="1"/>
  <c r="C15" i="74" s="1"/>
  <c r="I10" i="14"/>
  <c r="I10" i="62" s="1"/>
  <c r="C11" i="74" s="1"/>
  <c r="F35" i="14"/>
  <c r="F35" i="62"/>
  <c r="C36" i="73" s="1"/>
  <c r="F33" i="14"/>
  <c r="F33" i="62" s="1"/>
  <c r="C34" i="73" s="1"/>
  <c r="F29" i="14"/>
  <c r="F29" i="62" s="1"/>
  <c r="C30" i="73" s="1"/>
  <c r="F22" i="14"/>
  <c r="F20" i="14"/>
  <c r="F20" i="62" s="1"/>
  <c r="C21" i="73" s="1"/>
  <c r="F19" i="14"/>
  <c r="F19" i="62" s="1"/>
  <c r="C20" i="73" s="1"/>
  <c r="F18" i="14"/>
  <c r="F18" i="62" s="1"/>
  <c r="C19" i="73" s="1"/>
  <c r="F16" i="14"/>
  <c r="F16" i="62" s="1"/>
  <c r="C17" i="73" s="1"/>
  <c r="F12" i="14"/>
  <c r="F12" i="62"/>
  <c r="C13" i="73" s="1"/>
  <c r="F14" i="14"/>
  <c r="F14" i="62" s="1"/>
  <c r="C15" i="73" s="1"/>
  <c r="F10" i="14"/>
  <c r="F10" i="62" s="1"/>
  <c r="C11" i="73" s="1"/>
  <c r="AH17" i="13"/>
  <c r="AJ100" i="13"/>
  <c r="AH100" i="13" s="1"/>
  <c r="AJ104" i="60"/>
  <c r="AH104" i="60" s="1"/>
  <c r="AJ81" i="60"/>
  <c r="AH55" i="13"/>
  <c r="R47" i="94"/>
  <c r="U47" i="94" s="1"/>
  <c r="U50" i="94"/>
  <c r="U49" i="94"/>
  <c r="U48" i="94"/>
  <c r="P30" i="94"/>
  <c r="P37" i="94" s="1"/>
  <c r="U30" i="94"/>
  <c r="Q26" i="94"/>
  <c r="T18" i="94"/>
  <c r="T23" i="94"/>
  <c r="T22" i="94"/>
  <c r="S23" i="94"/>
  <c r="S22" i="94"/>
  <c r="X22" i="94" s="1"/>
  <c r="S18" i="94"/>
  <c r="S16" i="94"/>
  <c r="S27" i="94"/>
  <c r="T27" i="94" s="1"/>
  <c r="C14" i="54"/>
  <c r="C14" i="66" s="1"/>
  <c r="C28" i="57"/>
  <c r="C28" i="67" s="1"/>
  <c r="Q47" i="43"/>
  <c r="S55" i="43"/>
  <c r="S55" i="150" s="1"/>
  <c r="C51" i="43"/>
  <c r="C51" i="150" s="1"/>
  <c r="U36" i="44"/>
  <c r="Z36" i="44" s="1"/>
  <c r="Q40" i="43"/>
  <c r="Q50" i="43"/>
  <c r="C25" i="57" s="1"/>
  <c r="C25" i="67" s="1"/>
  <c r="D29" i="61"/>
  <c r="E31" i="61"/>
  <c r="E31" i="69" s="1"/>
  <c r="C31" i="69" s="1"/>
  <c r="E32" i="61"/>
  <c r="E32" i="69" s="1"/>
  <c r="C32" i="69" s="1"/>
  <c r="E33" i="61"/>
  <c r="E33" i="69" s="1"/>
  <c r="E34" i="61"/>
  <c r="E34" i="69" s="1"/>
  <c r="E35" i="61"/>
  <c r="E35" i="69" s="1"/>
  <c r="E36" i="61"/>
  <c r="E36" i="69" s="1"/>
  <c r="E37" i="61"/>
  <c r="C37" i="61" s="1"/>
  <c r="E38" i="61"/>
  <c r="E30" i="61"/>
  <c r="B30" i="61"/>
  <c r="B30" i="69" s="1"/>
  <c r="B31" i="61"/>
  <c r="B31" i="69" s="1"/>
  <c r="B32" i="61"/>
  <c r="B32" i="69" s="1"/>
  <c r="B33" i="61"/>
  <c r="B33" i="69" s="1"/>
  <c r="B34" i="61"/>
  <c r="B34" i="69" s="1"/>
  <c r="B35" i="61"/>
  <c r="B35" i="69" s="1"/>
  <c r="B36" i="61"/>
  <c r="B36" i="69" s="1"/>
  <c r="B37" i="61"/>
  <c r="B37" i="69" s="1"/>
  <c r="B38" i="61"/>
  <c r="B38" i="69" s="1"/>
  <c r="B29" i="61"/>
  <c r="E28" i="53"/>
  <c r="C34" i="53"/>
  <c r="C32" i="53"/>
  <c r="C29" i="53"/>
  <c r="C30" i="53"/>
  <c r="D28" i="53"/>
  <c r="C19" i="57"/>
  <c r="C19" i="67" s="1"/>
  <c r="FZ16" i="51"/>
  <c r="FX16" i="51"/>
  <c r="FV16" i="51"/>
  <c r="FU16" i="51"/>
  <c r="FT16" i="51"/>
  <c r="FS16" i="51"/>
  <c r="FL16" i="51"/>
  <c r="FK16" i="51"/>
  <c r="FJ16" i="51"/>
  <c r="ET16" i="51"/>
  <c r="ES16" i="51"/>
  <c r="ER16" i="51"/>
  <c r="EQ16" i="51"/>
  <c r="EX16" i="51"/>
  <c r="EW16" i="51"/>
  <c r="EV16" i="51"/>
  <c r="EF16" i="51"/>
  <c r="EE16" i="51"/>
  <c r="ED16" i="51"/>
  <c r="EC16" i="51"/>
  <c r="EJ16" i="51"/>
  <c r="EI16" i="51"/>
  <c r="EH16" i="51"/>
  <c r="DI13" i="51"/>
  <c r="DI18" i="51"/>
  <c r="DI17" i="51"/>
  <c r="DX16" i="51"/>
  <c r="DV16" i="51"/>
  <c r="DU16" i="51"/>
  <c r="DT16" i="51"/>
  <c r="DR16" i="51"/>
  <c r="DQ16" i="51"/>
  <c r="DP16" i="51"/>
  <c r="DO16" i="51"/>
  <c r="DH16" i="51"/>
  <c r="DG16" i="51"/>
  <c r="DG12" i="51"/>
  <c r="J148" i="13"/>
  <c r="D148" i="13" s="1"/>
  <c r="AH148" i="13"/>
  <c r="P148" i="13"/>
  <c r="F99" i="147"/>
  <c r="D59" i="147"/>
  <c r="D58" i="147"/>
  <c r="D57" i="147"/>
  <c r="C21" i="147"/>
  <c r="H20" i="147"/>
  <c r="C20" i="147"/>
  <c r="I19" i="147"/>
  <c r="I18" i="147"/>
  <c r="I17" i="147"/>
  <c r="I16" i="147"/>
  <c r="I15" i="147"/>
  <c r="K15" i="147" s="1"/>
  <c r="C13" i="147"/>
  <c r="C7" i="147" s="1"/>
  <c r="B6" i="147"/>
  <c r="C6" i="147"/>
  <c r="D6" i="147" s="1"/>
  <c r="E41" i="146"/>
  <c r="E40" i="146"/>
  <c r="D39" i="146"/>
  <c r="E39" i="146" s="1"/>
  <c r="C39" i="146"/>
  <c r="E38" i="146"/>
  <c r="E37" i="146"/>
  <c r="E36" i="146"/>
  <c r="E35" i="146"/>
  <c r="E34" i="146"/>
  <c r="E33" i="146"/>
  <c r="E32" i="146"/>
  <c r="E31" i="146"/>
  <c r="E30" i="146"/>
  <c r="E29" i="146"/>
  <c r="E28" i="146"/>
  <c r="E27" i="146"/>
  <c r="E26" i="146"/>
  <c r="D25" i="146"/>
  <c r="C25" i="146"/>
  <c r="D24" i="146"/>
  <c r="C22" i="146"/>
  <c r="E21" i="146"/>
  <c r="E20" i="146"/>
  <c r="E19" i="146"/>
  <c r="E18" i="146"/>
  <c r="D17" i="146"/>
  <c r="E17" i="146" s="1"/>
  <c r="C17" i="146"/>
  <c r="C15" i="146" s="1"/>
  <c r="E16" i="146"/>
  <c r="E14" i="146"/>
  <c r="E12" i="146"/>
  <c r="E11" i="146"/>
  <c r="E10" i="146"/>
  <c r="D9" i="146"/>
  <c r="E9" i="146" s="1"/>
  <c r="D7" i="146"/>
  <c r="D6" i="146" s="1"/>
  <c r="C7" i="146"/>
  <c r="E195" i="145"/>
  <c r="F175" i="145"/>
  <c r="E175" i="145"/>
  <c r="F174" i="145"/>
  <c r="E174" i="145"/>
  <c r="F173" i="145"/>
  <c r="E173" i="145"/>
  <c r="F172" i="145"/>
  <c r="E172" i="145"/>
  <c r="F171" i="145"/>
  <c r="E171" i="145"/>
  <c r="F151" i="145"/>
  <c r="E151" i="145"/>
  <c r="E150" i="145"/>
  <c r="E149" i="145"/>
  <c r="F148" i="145"/>
  <c r="E148" i="145"/>
  <c r="E147" i="145"/>
  <c r="F142" i="145"/>
  <c r="E142" i="145"/>
  <c r="F141" i="145"/>
  <c r="E141" i="145"/>
  <c r="F140" i="145"/>
  <c r="E140" i="145"/>
  <c r="F139" i="145"/>
  <c r="E139" i="145"/>
  <c r="C132" i="145"/>
  <c r="F132" i="145" s="1"/>
  <c r="E131" i="145"/>
  <c r="F130" i="145"/>
  <c r="E130" i="145"/>
  <c r="F129" i="145"/>
  <c r="E129" i="145"/>
  <c r="E128" i="145"/>
  <c r="F123" i="145"/>
  <c r="E123" i="145"/>
  <c r="F122" i="145"/>
  <c r="E122" i="145"/>
  <c r="F121" i="145"/>
  <c r="E121" i="145"/>
  <c r="F120" i="145"/>
  <c r="E120" i="145"/>
  <c r="F109" i="145"/>
  <c r="E109" i="145"/>
  <c r="F108" i="145"/>
  <c r="E108" i="145"/>
  <c r="F107" i="145"/>
  <c r="E107" i="145"/>
  <c r="F106" i="145"/>
  <c r="E106" i="145"/>
  <c r="F99" i="145"/>
  <c r="E99" i="145"/>
  <c r="F98" i="145"/>
  <c r="E98" i="145"/>
  <c r="F97" i="145"/>
  <c r="E97" i="145"/>
  <c r="F96" i="145"/>
  <c r="E96" i="145"/>
  <c r="F89" i="145"/>
  <c r="E89" i="145"/>
  <c r="F88" i="145"/>
  <c r="E88" i="145"/>
  <c r="F87" i="145"/>
  <c r="E87" i="145"/>
  <c r="F86" i="145"/>
  <c r="E86" i="145"/>
  <c r="F77" i="145"/>
  <c r="E77" i="145"/>
  <c r="F76" i="145"/>
  <c r="E76" i="145"/>
  <c r="F75" i="145"/>
  <c r="E75" i="145"/>
  <c r="F74" i="145"/>
  <c r="E74" i="145"/>
  <c r="C68" i="145"/>
  <c r="D67" i="145"/>
  <c r="E67" i="145" s="1"/>
  <c r="E66" i="145"/>
  <c r="F61" i="145"/>
  <c r="E61" i="145"/>
  <c r="F60" i="145"/>
  <c r="E60" i="145"/>
  <c r="F58" i="145"/>
  <c r="E58" i="145"/>
  <c r="F57" i="145"/>
  <c r="E57" i="145"/>
  <c r="F51" i="145"/>
  <c r="E51" i="145"/>
  <c r="F50" i="145"/>
  <c r="E50" i="145"/>
  <c r="F49" i="145"/>
  <c r="E49" i="145"/>
  <c r="F48" i="145"/>
  <c r="E48" i="145"/>
  <c r="F40" i="145"/>
  <c r="E40" i="145"/>
  <c r="F39" i="145"/>
  <c r="E39" i="145"/>
  <c r="F38" i="145"/>
  <c r="E38" i="145"/>
  <c r="F37" i="145"/>
  <c r="E37" i="145"/>
  <c r="F30" i="145"/>
  <c r="E30" i="145"/>
  <c r="F29" i="145"/>
  <c r="E29" i="145"/>
  <c r="F28" i="145"/>
  <c r="E28" i="145"/>
  <c r="F27" i="145"/>
  <c r="E27" i="145"/>
  <c r="C16" i="145"/>
  <c r="D15" i="145"/>
  <c r="D16" i="145" s="1"/>
  <c r="E14" i="145"/>
  <c r="F10" i="145"/>
  <c r="E10" i="145"/>
  <c r="F9" i="145"/>
  <c r="E9" i="145"/>
  <c r="F8" i="145"/>
  <c r="E8" i="145"/>
  <c r="F7" i="145"/>
  <c r="E7" i="145"/>
  <c r="I8" i="144"/>
  <c r="H8" i="144"/>
  <c r="G8" i="144"/>
  <c r="F8" i="144"/>
  <c r="D30" i="143"/>
  <c r="C30" i="143"/>
  <c r="G30" i="143" s="1"/>
  <c r="G29" i="143"/>
  <c r="D29" i="143"/>
  <c r="G28" i="143"/>
  <c r="G27" i="143"/>
  <c r="G26" i="143"/>
  <c r="F25" i="143"/>
  <c r="F24" i="143"/>
  <c r="F23" i="143"/>
  <c r="F22" i="143"/>
  <c r="F21" i="143"/>
  <c r="F20" i="143"/>
  <c r="F19" i="143"/>
  <c r="F18" i="143"/>
  <c r="E17" i="143"/>
  <c r="E16" i="143"/>
  <c r="E15" i="143"/>
  <c r="E14" i="143"/>
  <c r="E13" i="143"/>
  <c r="E12" i="143"/>
  <c r="E11" i="143"/>
  <c r="E10" i="143"/>
  <c r="E72" i="142"/>
  <c r="C72" i="142"/>
  <c r="C65" i="142"/>
  <c r="B65" i="142"/>
  <c r="A65" i="142"/>
  <c r="C64" i="142"/>
  <c r="A64" i="142"/>
  <c r="E63" i="142"/>
  <c r="D63" i="142"/>
  <c r="A63" i="142"/>
  <c r="E62" i="142"/>
  <c r="D62" i="142"/>
  <c r="A62" i="142"/>
  <c r="E61" i="142"/>
  <c r="D61" i="142"/>
  <c r="A61" i="142"/>
  <c r="A60" i="142"/>
  <c r="E59" i="142"/>
  <c r="D59" i="142"/>
  <c r="A59" i="142"/>
  <c r="E58" i="142"/>
  <c r="D58" i="142"/>
  <c r="A58" i="142"/>
  <c r="E57" i="142"/>
  <c r="C57" i="142" s="1"/>
  <c r="D57" i="142"/>
  <c r="A57" i="142"/>
  <c r="E56" i="142"/>
  <c r="D56" i="142"/>
  <c r="A56" i="142"/>
  <c r="D55" i="142"/>
  <c r="C55" i="142" s="1"/>
  <c r="A55" i="142"/>
  <c r="E54" i="142"/>
  <c r="D54" i="142"/>
  <c r="A54" i="142"/>
  <c r="E53" i="142"/>
  <c r="D53" i="142"/>
  <c r="B53" i="142"/>
  <c r="A53" i="142"/>
  <c r="D52" i="142"/>
  <c r="C52" i="142" s="1"/>
  <c r="A52" i="142"/>
  <c r="E51" i="142"/>
  <c r="D51" i="142"/>
  <c r="A51" i="142"/>
  <c r="E50" i="142"/>
  <c r="D50" i="142"/>
  <c r="A50" i="142"/>
  <c r="E49" i="142"/>
  <c r="D49" i="142"/>
  <c r="A49" i="142"/>
  <c r="E48" i="142"/>
  <c r="C48" i="142" s="1"/>
  <c r="D48" i="142"/>
  <c r="A48" i="142"/>
  <c r="E47" i="142"/>
  <c r="D47" i="142"/>
  <c r="C47" i="142" s="1"/>
  <c r="A47" i="142"/>
  <c r="A46" i="142"/>
  <c r="E42" i="142"/>
  <c r="D42" i="142"/>
  <c r="B42" i="142"/>
  <c r="B64" i="142" s="1"/>
  <c r="E41" i="142"/>
  <c r="D41" i="142"/>
  <c r="C41" i="142" s="1"/>
  <c r="B41" i="142"/>
  <c r="B63" i="142" s="1"/>
  <c r="E40" i="142"/>
  <c r="E38" i="142" s="1"/>
  <c r="D40" i="142"/>
  <c r="B40" i="142"/>
  <c r="B62" i="142" s="1"/>
  <c r="E39" i="142"/>
  <c r="D39" i="142"/>
  <c r="B39" i="142"/>
  <c r="B61" i="142" s="1"/>
  <c r="B38" i="142"/>
  <c r="B60" i="142" s="1"/>
  <c r="E37" i="142"/>
  <c r="D37" i="142"/>
  <c r="B37" i="142"/>
  <c r="B59" i="142" s="1"/>
  <c r="E36" i="142"/>
  <c r="D36" i="142"/>
  <c r="B36" i="142"/>
  <c r="B58" i="142" s="1"/>
  <c r="E35" i="142"/>
  <c r="D35" i="142"/>
  <c r="B35" i="142"/>
  <c r="B57" i="142" s="1"/>
  <c r="E34" i="142"/>
  <c r="D34" i="142"/>
  <c r="B34" i="142"/>
  <c r="B56" i="142" s="1"/>
  <c r="E33" i="142"/>
  <c r="D33" i="142"/>
  <c r="B33" i="142"/>
  <c r="B55" i="142" s="1"/>
  <c r="E32" i="142"/>
  <c r="D32" i="142"/>
  <c r="B32" i="142"/>
  <c r="B54" i="142" s="1"/>
  <c r="E31" i="142"/>
  <c r="D31" i="142"/>
  <c r="C31" i="142" s="1"/>
  <c r="E30" i="142"/>
  <c r="D30" i="142"/>
  <c r="E29" i="142"/>
  <c r="D29" i="142"/>
  <c r="B29" i="142"/>
  <c r="B51" i="142" s="1"/>
  <c r="E28" i="142"/>
  <c r="D28" i="142"/>
  <c r="B28" i="142"/>
  <c r="B50" i="142" s="1"/>
  <c r="E27" i="142"/>
  <c r="D27" i="142"/>
  <c r="B27" i="142"/>
  <c r="B49" i="142" s="1"/>
  <c r="E26" i="142"/>
  <c r="D26" i="142"/>
  <c r="B26" i="142"/>
  <c r="B48" i="142" s="1"/>
  <c r="E25" i="142"/>
  <c r="D25" i="142"/>
  <c r="B25" i="142"/>
  <c r="B47" i="142" s="1"/>
  <c r="E21" i="142"/>
  <c r="D21" i="142"/>
  <c r="C21" i="142" s="1"/>
  <c r="E20" i="142"/>
  <c r="D20" i="142"/>
  <c r="D19" i="142"/>
  <c r="B19" i="142"/>
  <c r="E18" i="142"/>
  <c r="D18" i="142"/>
  <c r="B18" i="142"/>
  <c r="E17" i="142"/>
  <c r="D17" i="142"/>
  <c r="B17" i="142"/>
  <c r="B16" i="142"/>
  <c r="E15" i="142"/>
  <c r="D15" i="142"/>
  <c r="B15" i="142"/>
  <c r="E13" i="142"/>
  <c r="D13" i="142"/>
  <c r="B13" i="142"/>
  <c r="B21" i="142" s="1"/>
  <c r="E12" i="142"/>
  <c r="D12" i="142"/>
  <c r="B12" i="142"/>
  <c r="B20" i="142" s="1"/>
  <c r="E11" i="142"/>
  <c r="D43" i="142" s="1"/>
  <c r="C43" i="142" s="1"/>
  <c r="D11" i="142"/>
  <c r="E10" i="142"/>
  <c r="D10" i="142"/>
  <c r="E9" i="142"/>
  <c r="D9" i="142"/>
  <c r="E7" i="142"/>
  <c r="D7" i="142"/>
  <c r="A2" i="142"/>
  <c r="B65" i="141"/>
  <c r="A65" i="141"/>
  <c r="C64" i="141"/>
  <c r="A64" i="141"/>
  <c r="E63" i="141"/>
  <c r="D63" i="141"/>
  <c r="A63" i="141"/>
  <c r="E62" i="141"/>
  <c r="D62" i="141"/>
  <c r="A62" i="141"/>
  <c r="E61" i="141"/>
  <c r="D61" i="141"/>
  <c r="A61" i="141"/>
  <c r="A60" i="141"/>
  <c r="E59" i="141"/>
  <c r="C59" i="141" s="1"/>
  <c r="A59" i="141"/>
  <c r="E58" i="141"/>
  <c r="D58" i="141"/>
  <c r="A58" i="141"/>
  <c r="E57" i="141"/>
  <c r="D57" i="141"/>
  <c r="A57" i="141"/>
  <c r="E56" i="141"/>
  <c r="D56" i="141"/>
  <c r="A56" i="141"/>
  <c r="D55" i="141"/>
  <c r="C55" i="141" s="1"/>
  <c r="A55" i="141"/>
  <c r="E54" i="141"/>
  <c r="D54" i="141"/>
  <c r="A54" i="141"/>
  <c r="E53" i="141"/>
  <c r="D53" i="141"/>
  <c r="B53" i="141"/>
  <c r="A53" i="141"/>
  <c r="D52" i="141"/>
  <c r="C52" i="141" s="1"/>
  <c r="A52" i="141"/>
  <c r="E51" i="141"/>
  <c r="D51" i="141"/>
  <c r="A51" i="141"/>
  <c r="E50" i="141"/>
  <c r="D50" i="141"/>
  <c r="A50" i="141"/>
  <c r="E49" i="141"/>
  <c r="D49" i="141"/>
  <c r="A49" i="141"/>
  <c r="E48" i="141"/>
  <c r="D48" i="141"/>
  <c r="A48" i="141"/>
  <c r="E47" i="141"/>
  <c r="D47" i="141"/>
  <c r="A47" i="141"/>
  <c r="A46" i="141"/>
  <c r="E42" i="141"/>
  <c r="D42" i="141"/>
  <c r="B42" i="141"/>
  <c r="B64" i="141" s="1"/>
  <c r="E41" i="141"/>
  <c r="D41" i="141"/>
  <c r="B41" i="141"/>
  <c r="B63" i="141" s="1"/>
  <c r="E40" i="141"/>
  <c r="D40" i="141"/>
  <c r="B40" i="141"/>
  <c r="B62" i="141" s="1"/>
  <c r="E39" i="141"/>
  <c r="D39" i="141"/>
  <c r="B39" i="141"/>
  <c r="B61" i="141" s="1"/>
  <c r="B38" i="141"/>
  <c r="B60" i="141" s="1"/>
  <c r="E37" i="141"/>
  <c r="D37" i="141"/>
  <c r="B37" i="141"/>
  <c r="B59" i="141" s="1"/>
  <c r="E36" i="141"/>
  <c r="D36" i="141"/>
  <c r="B36" i="141"/>
  <c r="B58" i="141" s="1"/>
  <c r="E35" i="141"/>
  <c r="D35" i="141"/>
  <c r="B35" i="141"/>
  <c r="B57" i="141" s="1"/>
  <c r="E34" i="141"/>
  <c r="D34" i="141"/>
  <c r="B34" i="141"/>
  <c r="B56" i="141" s="1"/>
  <c r="E33" i="141"/>
  <c r="D33" i="141"/>
  <c r="B33" i="141"/>
  <c r="B55" i="141" s="1"/>
  <c r="E32" i="141"/>
  <c r="D32" i="141"/>
  <c r="B32" i="141"/>
  <c r="B54" i="141" s="1"/>
  <c r="E31" i="141"/>
  <c r="D31" i="141"/>
  <c r="E30" i="141"/>
  <c r="D30" i="141"/>
  <c r="E29" i="141"/>
  <c r="D29" i="141"/>
  <c r="B29" i="141"/>
  <c r="B51" i="141" s="1"/>
  <c r="E28" i="141"/>
  <c r="D28" i="141"/>
  <c r="B28" i="141"/>
  <c r="B50" i="141" s="1"/>
  <c r="E27" i="141"/>
  <c r="D27" i="141"/>
  <c r="B27" i="141"/>
  <c r="B49" i="141" s="1"/>
  <c r="E26" i="141"/>
  <c r="D26" i="141"/>
  <c r="B26" i="141"/>
  <c r="B48" i="141" s="1"/>
  <c r="E25" i="141"/>
  <c r="D25" i="141"/>
  <c r="B25" i="141"/>
  <c r="B47" i="141" s="1"/>
  <c r="E21" i="141"/>
  <c r="D21" i="141"/>
  <c r="E20" i="141"/>
  <c r="E19" i="141"/>
  <c r="D65" i="141" s="1"/>
  <c r="C65" i="141" s="1"/>
  <c r="D19" i="141"/>
  <c r="B19" i="141"/>
  <c r="E18" i="141"/>
  <c r="D18" i="141"/>
  <c r="B18" i="141"/>
  <c r="E17" i="141"/>
  <c r="D17" i="141"/>
  <c r="B17" i="141"/>
  <c r="B16" i="141"/>
  <c r="E15" i="141"/>
  <c r="D15" i="141"/>
  <c r="B15" i="141"/>
  <c r="E13" i="141"/>
  <c r="D13" i="141"/>
  <c r="B13" i="141"/>
  <c r="B21" i="141" s="1"/>
  <c r="E12" i="141"/>
  <c r="D12" i="141"/>
  <c r="B12" i="141"/>
  <c r="B20" i="141" s="1"/>
  <c r="E11" i="141"/>
  <c r="D11" i="141"/>
  <c r="E10" i="141"/>
  <c r="D10" i="141"/>
  <c r="E9" i="141"/>
  <c r="D9" i="141"/>
  <c r="E7" i="141"/>
  <c r="D7" i="141"/>
  <c r="A2" i="141"/>
  <c r="D39" i="140"/>
  <c r="C39" i="140" s="1"/>
  <c r="D38" i="140"/>
  <c r="I38" i="140" s="1"/>
  <c r="D37" i="140"/>
  <c r="C37" i="140" s="1"/>
  <c r="D36" i="140"/>
  <c r="O35" i="140"/>
  <c r="J35" i="140"/>
  <c r="E35" i="140"/>
  <c r="T34" i="140"/>
  <c r="F34" i="140"/>
  <c r="E34" i="140"/>
  <c r="W34" i="140" s="1"/>
  <c r="D34" i="140"/>
  <c r="N34" i="140" s="1"/>
  <c r="K34" i="140" s="1"/>
  <c r="T33" i="140"/>
  <c r="K33" i="140"/>
  <c r="F33" i="140"/>
  <c r="E33" i="140"/>
  <c r="D33" i="140"/>
  <c r="N33" i="140" s="1"/>
  <c r="S33" i="140" s="1"/>
  <c r="V33" i="140" s="1"/>
  <c r="S32" i="140"/>
  <c r="V32" i="140" s="1"/>
  <c r="O32" i="140"/>
  <c r="J32" i="140"/>
  <c r="F32" i="140" s="1"/>
  <c r="E32" i="140"/>
  <c r="D32" i="140"/>
  <c r="E31" i="140"/>
  <c r="D31" i="140"/>
  <c r="N31" i="140" s="1"/>
  <c r="S31" i="140" s="1"/>
  <c r="V31" i="140" s="1"/>
  <c r="N30" i="140"/>
  <c r="E30" i="140"/>
  <c r="D30" i="140"/>
  <c r="I30" i="140" s="1"/>
  <c r="I29" i="140"/>
  <c r="E29" i="140"/>
  <c r="O29" i="140" s="1"/>
  <c r="T29" i="140" s="1"/>
  <c r="W29" i="140" s="1"/>
  <c r="D29" i="140"/>
  <c r="E28" i="140"/>
  <c r="D28" i="140"/>
  <c r="I28" i="140" s="1"/>
  <c r="E27" i="140"/>
  <c r="J27" i="140" s="1"/>
  <c r="O27" i="140" s="1"/>
  <c r="T27" i="140" s="1"/>
  <c r="W27" i="140" s="1"/>
  <c r="D27" i="140"/>
  <c r="E26" i="140"/>
  <c r="D26" i="140"/>
  <c r="I26" i="140" s="1"/>
  <c r="N26" i="140" s="1"/>
  <c r="S26" i="140" s="1"/>
  <c r="V26" i="140" s="1"/>
  <c r="E25" i="140"/>
  <c r="J25" i="140" s="1"/>
  <c r="D25" i="140"/>
  <c r="I25" i="140" s="1"/>
  <c r="E24" i="140"/>
  <c r="D24" i="140"/>
  <c r="I24" i="140"/>
  <c r="N24" i="140" s="1"/>
  <c r="S24" i="140" s="1"/>
  <c r="V24" i="140" s="1"/>
  <c r="E23" i="140"/>
  <c r="D23" i="140"/>
  <c r="E22" i="140"/>
  <c r="D22" i="140"/>
  <c r="I22" i="140" s="1"/>
  <c r="E21" i="140"/>
  <c r="J21" i="140" s="1"/>
  <c r="D21" i="140"/>
  <c r="I21" i="140"/>
  <c r="E20" i="140"/>
  <c r="D20" i="140"/>
  <c r="E19" i="140"/>
  <c r="J19" i="140" s="1"/>
  <c r="D19" i="140"/>
  <c r="E17" i="140"/>
  <c r="D17" i="140"/>
  <c r="I17" i="140" s="1"/>
  <c r="E16" i="140"/>
  <c r="D16" i="140"/>
  <c r="E14" i="140"/>
  <c r="D14" i="140"/>
  <c r="I14" i="140" s="1"/>
  <c r="O13" i="140"/>
  <c r="N13" i="140"/>
  <c r="E13" i="140"/>
  <c r="J13" i="140" s="1"/>
  <c r="D13" i="140"/>
  <c r="O12" i="140"/>
  <c r="N12" i="140"/>
  <c r="E12" i="140"/>
  <c r="J12" i="140"/>
  <c r="D12" i="140"/>
  <c r="I12" i="140" s="1"/>
  <c r="O11" i="140"/>
  <c r="N11" i="140"/>
  <c r="E11" i="140"/>
  <c r="D11" i="140"/>
  <c r="E10" i="140"/>
  <c r="D10" i="140"/>
  <c r="I10" i="140" s="1"/>
  <c r="N10" i="140" s="1"/>
  <c r="S10" i="140" s="1"/>
  <c r="V10" i="140" s="1"/>
  <c r="M5" i="140"/>
  <c r="R5" i="140" s="1"/>
  <c r="K61" i="139"/>
  <c r="G61" i="139"/>
  <c r="F61" i="139"/>
  <c r="C61" i="139"/>
  <c r="V60" i="139"/>
  <c r="AA60" i="139" s="1"/>
  <c r="G60" i="139"/>
  <c r="M60" i="139" s="1"/>
  <c r="S60" i="139" s="1"/>
  <c r="Y60" i="139" s="1"/>
  <c r="AD60" i="139" s="1"/>
  <c r="F60" i="139"/>
  <c r="C60" i="139"/>
  <c r="X59" i="139"/>
  <c r="V59" i="139"/>
  <c r="AA59" i="139" s="1"/>
  <c r="S59" i="139"/>
  <c r="Y59" i="139" s="1"/>
  <c r="H59" i="139"/>
  <c r="K59" i="139" s="1"/>
  <c r="G59" i="139"/>
  <c r="F59" i="139"/>
  <c r="C59" i="139"/>
  <c r="Y58" i="139"/>
  <c r="V58" i="139"/>
  <c r="AA58" i="139" s="1"/>
  <c r="G58" i="139"/>
  <c r="F58" i="139"/>
  <c r="C58" i="139"/>
  <c r="H58" i="139" s="1"/>
  <c r="K58" i="139" s="1"/>
  <c r="Y57" i="139"/>
  <c r="V57" i="139"/>
  <c r="AA57" i="139" s="1"/>
  <c r="G57" i="139"/>
  <c r="F57" i="139"/>
  <c r="C57" i="139"/>
  <c r="H57" i="139" s="1"/>
  <c r="N57" i="139" s="1"/>
  <c r="Y56" i="139"/>
  <c r="V56" i="139"/>
  <c r="AA56" i="139" s="1"/>
  <c r="D56" i="139"/>
  <c r="Y55" i="139"/>
  <c r="AD55" i="139" s="1"/>
  <c r="V55" i="139"/>
  <c r="AA55" i="139" s="1"/>
  <c r="C55" i="139"/>
  <c r="F55" i="139" s="1"/>
  <c r="E55" i="139" s="1"/>
  <c r="Y54" i="139"/>
  <c r="AD54" i="139" s="1"/>
  <c r="V54" i="139"/>
  <c r="AA54" i="139" s="1"/>
  <c r="F54" i="139"/>
  <c r="C54" i="139"/>
  <c r="S53" i="139"/>
  <c r="P53" i="139"/>
  <c r="M53" i="139"/>
  <c r="J53" i="139"/>
  <c r="D53" i="139"/>
  <c r="J52" i="139"/>
  <c r="E52" i="139"/>
  <c r="D52" i="139"/>
  <c r="Y51" i="139"/>
  <c r="AD51" i="139" s="1"/>
  <c r="X51" i="139"/>
  <c r="AC51" i="139" s="1"/>
  <c r="Q51" i="139"/>
  <c r="N51" i="139"/>
  <c r="P51" i="139" s="1"/>
  <c r="K51" i="139"/>
  <c r="H51" i="139"/>
  <c r="J51" i="139" s="1"/>
  <c r="E51" i="139"/>
  <c r="D51" i="139"/>
  <c r="Y50" i="139"/>
  <c r="AD50" i="139" s="1"/>
  <c r="X50" i="139"/>
  <c r="AC50" i="139" s="1"/>
  <c r="Q50" i="139"/>
  <c r="N50" i="139"/>
  <c r="P50" i="139" s="1"/>
  <c r="P49" i="139" s="1"/>
  <c r="K50" i="139"/>
  <c r="W50" i="139" s="1"/>
  <c r="H50" i="139"/>
  <c r="J50" i="139" s="1"/>
  <c r="E50" i="139"/>
  <c r="D50" i="139"/>
  <c r="S49" i="139"/>
  <c r="R49" i="139"/>
  <c r="X49" i="139" s="1"/>
  <c r="M49" i="139"/>
  <c r="L49" i="139"/>
  <c r="G49" i="139"/>
  <c r="F49" i="139"/>
  <c r="C49" i="139"/>
  <c r="Y48" i="139"/>
  <c r="V48" i="139"/>
  <c r="AA48" i="139"/>
  <c r="T48" i="139"/>
  <c r="R48" i="139"/>
  <c r="Q48" i="139"/>
  <c r="L48" i="139"/>
  <c r="K48" i="139"/>
  <c r="G48" i="139"/>
  <c r="AD48" i="139" s="1"/>
  <c r="F48" i="139"/>
  <c r="C48" i="139"/>
  <c r="I48" i="139" s="1"/>
  <c r="T47" i="139"/>
  <c r="S47" i="139"/>
  <c r="P47" i="139"/>
  <c r="M47" i="139"/>
  <c r="J47" i="139"/>
  <c r="K47" i="139" s="1"/>
  <c r="L47" i="139" s="1"/>
  <c r="G47" i="139"/>
  <c r="F47" i="139"/>
  <c r="C47" i="139"/>
  <c r="O47" i="139" s="1"/>
  <c r="V46" i="139"/>
  <c r="N46" i="139"/>
  <c r="Q46" i="139" s="1"/>
  <c r="K46" i="139"/>
  <c r="F46" i="139"/>
  <c r="E46" i="139" s="1"/>
  <c r="Y45" i="139"/>
  <c r="P45" i="139"/>
  <c r="J45" i="139"/>
  <c r="H45" i="139"/>
  <c r="G45" i="139"/>
  <c r="AD45" i="139" s="1"/>
  <c r="F45" i="139"/>
  <c r="C45" i="139"/>
  <c r="T44" i="139"/>
  <c r="F44" i="139"/>
  <c r="E44" i="139" s="1"/>
  <c r="D44" i="139"/>
  <c r="C44" i="139"/>
  <c r="I44" i="139" s="1"/>
  <c r="M44" i="139" s="1"/>
  <c r="T43" i="139"/>
  <c r="G43" i="139"/>
  <c r="F43" i="139"/>
  <c r="D43" i="139"/>
  <c r="C43" i="139"/>
  <c r="Y42" i="139"/>
  <c r="V42" i="139"/>
  <c r="AA42" i="139" s="1"/>
  <c r="Q42" i="139"/>
  <c r="R42" i="139"/>
  <c r="H42" i="139"/>
  <c r="G42" i="139"/>
  <c r="F42" i="139"/>
  <c r="E42" i="139" s="1"/>
  <c r="C42" i="139"/>
  <c r="T41" i="139"/>
  <c r="P41" i="139"/>
  <c r="Q41" i="139" s="1"/>
  <c r="M41" i="139"/>
  <c r="J41" i="139"/>
  <c r="G41" i="139"/>
  <c r="F41" i="139"/>
  <c r="C41" i="139"/>
  <c r="T40" i="139"/>
  <c r="P40" i="139"/>
  <c r="M40" i="139"/>
  <c r="J40" i="139"/>
  <c r="K40" i="139"/>
  <c r="G40" i="139"/>
  <c r="F40" i="139"/>
  <c r="R40" i="139" s="1"/>
  <c r="C40" i="139"/>
  <c r="I40" i="139" s="1"/>
  <c r="T39" i="139"/>
  <c r="G39" i="139"/>
  <c r="F39" i="139"/>
  <c r="D39" i="139"/>
  <c r="C39" i="139"/>
  <c r="Y38" i="139"/>
  <c r="T38" i="139"/>
  <c r="P38" i="139"/>
  <c r="Q38" i="139" s="1"/>
  <c r="W38" i="139" s="1"/>
  <c r="J38" i="139"/>
  <c r="K38" i="139" s="1"/>
  <c r="L38" i="139"/>
  <c r="G38" i="139"/>
  <c r="F38" i="139"/>
  <c r="D38" i="139"/>
  <c r="C38" i="139"/>
  <c r="I38" i="139" s="1"/>
  <c r="T37" i="139"/>
  <c r="P37" i="139"/>
  <c r="J37" i="139"/>
  <c r="G37" i="139"/>
  <c r="F37" i="139"/>
  <c r="C37" i="139"/>
  <c r="T36" i="139"/>
  <c r="S36" i="139"/>
  <c r="Y36" i="139"/>
  <c r="P36" i="139"/>
  <c r="M36" i="139"/>
  <c r="J36" i="139"/>
  <c r="K36" i="139" s="1"/>
  <c r="L36" i="139" s="1"/>
  <c r="G36" i="139"/>
  <c r="F36" i="139"/>
  <c r="C36" i="139"/>
  <c r="T35" i="139"/>
  <c r="S35" i="139"/>
  <c r="P35" i="139"/>
  <c r="M35" i="139"/>
  <c r="J35" i="139"/>
  <c r="K35" i="139"/>
  <c r="E35" i="139"/>
  <c r="C35" i="139"/>
  <c r="T34" i="139"/>
  <c r="S34" i="139"/>
  <c r="P34" i="139"/>
  <c r="M34" i="139"/>
  <c r="J34" i="139"/>
  <c r="K34" i="139" s="1"/>
  <c r="G34" i="139"/>
  <c r="F34" i="139"/>
  <c r="C34" i="139"/>
  <c r="T33" i="139"/>
  <c r="S33" i="139"/>
  <c r="P33" i="139"/>
  <c r="Q33" i="139"/>
  <c r="M33" i="139"/>
  <c r="J33" i="139"/>
  <c r="G33" i="139"/>
  <c r="F33" i="139"/>
  <c r="C33" i="139"/>
  <c r="Y32" i="139"/>
  <c r="T32" i="139"/>
  <c r="P32" i="139"/>
  <c r="Q32" i="139" s="1"/>
  <c r="J32" i="139"/>
  <c r="K32" i="139" s="1"/>
  <c r="L32" i="139" s="1"/>
  <c r="G32" i="139"/>
  <c r="F32" i="139"/>
  <c r="C32" i="139"/>
  <c r="Y31" i="139"/>
  <c r="T31" i="139"/>
  <c r="P31" i="139"/>
  <c r="J31" i="139"/>
  <c r="K31" i="139" s="1"/>
  <c r="L31" i="139" s="1"/>
  <c r="G31" i="139"/>
  <c r="F31" i="139"/>
  <c r="C31" i="139"/>
  <c r="U31" i="139" s="1"/>
  <c r="T30" i="139"/>
  <c r="S30" i="139"/>
  <c r="P30" i="139"/>
  <c r="M30" i="139"/>
  <c r="Y30" i="139" s="1"/>
  <c r="J30" i="139"/>
  <c r="K30" i="139" s="1"/>
  <c r="G30" i="139"/>
  <c r="F30" i="139"/>
  <c r="C30" i="139"/>
  <c r="U30" i="139" s="1"/>
  <c r="T29" i="139"/>
  <c r="S29" i="139"/>
  <c r="P29" i="139"/>
  <c r="Q29" i="139" s="1"/>
  <c r="M29" i="139"/>
  <c r="J29" i="139"/>
  <c r="G29" i="139"/>
  <c r="F29" i="139"/>
  <c r="C29" i="139"/>
  <c r="Z29" i="139" s="1"/>
  <c r="N28" i="139"/>
  <c r="H28" i="139"/>
  <c r="T28" i="139" s="1"/>
  <c r="D28" i="139"/>
  <c r="Y27" i="139"/>
  <c r="X27" i="139"/>
  <c r="W27" i="139"/>
  <c r="V27" i="139"/>
  <c r="T27" i="139"/>
  <c r="G27" i="139"/>
  <c r="F27" i="139"/>
  <c r="D27" i="139"/>
  <c r="C27" i="139"/>
  <c r="Z27" i="139" s="1"/>
  <c r="Y26" i="139"/>
  <c r="T26" i="139"/>
  <c r="P26" i="139"/>
  <c r="J26" i="139"/>
  <c r="K26" i="139" s="1"/>
  <c r="L26" i="139" s="1"/>
  <c r="G26" i="139"/>
  <c r="F26" i="139"/>
  <c r="D26" i="139"/>
  <c r="C26" i="139"/>
  <c r="Y25" i="139"/>
  <c r="T25" i="139"/>
  <c r="P25" i="139"/>
  <c r="Q25" i="139" s="1"/>
  <c r="R25" i="139" s="1"/>
  <c r="J25" i="139"/>
  <c r="G25" i="139"/>
  <c r="F25" i="139"/>
  <c r="D25" i="139"/>
  <c r="C25" i="139"/>
  <c r="Y24" i="139"/>
  <c r="T24" i="139"/>
  <c r="P24" i="139"/>
  <c r="J24" i="139"/>
  <c r="G24" i="139"/>
  <c r="F24" i="139"/>
  <c r="D24" i="139"/>
  <c r="C24" i="139"/>
  <c r="Y23" i="139"/>
  <c r="V23" i="139"/>
  <c r="N23" i="139"/>
  <c r="H23" i="139"/>
  <c r="L23" i="139" s="1"/>
  <c r="K23" i="139" s="1"/>
  <c r="Y22" i="139"/>
  <c r="AD22" i="139" s="1"/>
  <c r="T22" i="139"/>
  <c r="P22" i="139"/>
  <c r="Q22" i="139" s="1"/>
  <c r="J22" i="139"/>
  <c r="K22" i="139" s="1"/>
  <c r="L22" i="139" s="1"/>
  <c r="F22" i="139"/>
  <c r="E22" i="139" s="1"/>
  <c r="D22" i="139"/>
  <c r="C22" i="139"/>
  <c r="Y21" i="139"/>
  <c r="AD21" i="139" s="1"/>
  <c r="T21" i="139"/>
  <c r="P21" i="139"/>
  <c r="Q21" i="139" s="1"/>
  <c r="R21" i="139" s="1"/>
  <c r="J21" i="139"/>
  <c r="V21" i="139" s="1"/>
  <c r="F21" i="139"/>
  <c r="E21" i="139" s="1"/>
  <c r="D21" i="139"/>
  <c r="C21" i="139"/>
  <c r="Y20" i="139"/>
  <c r="AD20" i="139" s="1"/>
  <c r="T20" i="139"/>
  <c r="P20" i="139"/>
  <c r="V20" i="139" s="1"/>
  <c r="J20" i="139"/>
  <c r="K20" i="139"/>
  <c r="L20" i="139"/>
  <c r="F20" i="139"/>
  <c r="E20" i="139" s="1"/>
  <c r="D20" i="139"/>
  <c r="C20" i="139"/>
  <c r="Y19" i="139"/>
  <c r="AD19" i="139" s="1"/>
  <c r="T19" i="139"/>
  <c r="P19" i="139"/>
  <c r="Q19" i="139"/>
  <c r="J19" i="139"/>
  <c r="K19" i="139" s="1"/>
  <c r="L19" i="139" s="1"/>
  <c r="F19" i="139"/>
  <c r="E19" i="139" s="1"/>
  <c r="D19" i="139"/>
  <c r="C19" i="139"/>
  <c r="Y18" i="139"/>
  <c r="AD18" i="139" s="1"/>
  <c r="T18" i="139"/>
  <c r="P18" i="139"/>
  <c r="Q18" i="139"/>
  <c r="R18" i="139" s="1"/>
  <c r="J18" i="139"/>
  <c r="K18" i="139" s="1"/>
  <c r="L18" i="139" s="1"/>
  <c r="F18" i="139"/>
  <c r="E18" i="139" s="1"/>
  <c r="D18" i="139"/>
  <c r="C18" i="139"/>
  <c r="Z18" i="139" s="1"/>
  <c r="Y17" i="139"/>
  <c r="V17" i="139"/>
  <c r="N17" i="139"/>
  <c r="Q17" i="139" s="1"/>
  <c r="H17" i="139"/>
  <c r="L17" i="139" s="1"/>
  <c r="K17" i="139" s="1"/>
  <c r="G17" i="139"/>
  <c r="Y16" i="139"/>
  <c r="T16" i="139"/>
  <c r="P16" i="139"/>
  <c r="Q16" i="139" s="1"/>
  <c r="R16" i="139" s="1"/>
  <c r="J16" i="139"/>
  <c r="K16" i="139" s="1"/>
  <c r="L16" i="139" s="1"/>
  <c r="G16" i="139"/>
  <c r="F16" i="139"/>
  <c r="D16" i="139"/>
  <c r="C16" i="139"/>
  <c r="Z16" i="139" s="1"/>
  <c r="Y15" i="139"/>
  <c r="T15" i="139"/>
  <c r="P15" i="139"/>
  <c r="V15" i="139" s="1"/>
  <c r="J15" i="139"/>
  <c r="K15" i="139" s="1"/>
  <c r="L15" i="139" s="1"/>
  <c r="G15" i="139"/>
  <c r="AD15" i="139" s="1"/>
  <c r="F15" i="139"/>
  <c r="D15" i="139"/>
  <c r="C15" i="139"/>
  <c r="Y14" i="139"/>
  <c r="T14" i="139"/>
  <c r="P14" i="139"/>
  <c r="Q14" i="139" s="1"/>
  <c r="J14" i="139"/>
  <c r="K14" i="139"/>
  <c r="L14" i="139" s="1"/>
  <c r="G14" i="139"/>
  <c r="F14" i="139"/>
  <c r="D14" i="139"/>
  <c r="C14" i="139"/>
  <c r="U14" i="139" s="1"/>
  <c r="Y13" i="139"/>
  <c r="T13" i="139"/>
  <c r="P13" i="139"/>
  <c r="J13" i="139"/>
  <c r="K13" i="139" s="1"/>
  <c r="G13" i="139"/>
  <c r="F13" i="139"/>
  <c r="D13" i="139"/>
  <c r="C13" i="139"/>
  <c r="Y12" i="139"/>
  <c r="T12" i="139"/>
  <c r="P12" i="139"/>
  <c r="J12" i="139"/>
  <c r="K12" i="139" s="1"/>
  <c r="L12" i="139" s="1"/>
  <c r="G12" i="139"/>
  <c r="AD12" i="139" s="1"/>
  <c r="F12" i="139"/>
  <c r="D12" i="139"/>
  <c r="C12" i="139"/>
  <c r="S11" i="139"/>
  <c r="N11" i="139"/>
  <c r="M11" i="139"/>
  <c r="Y11" i="139" s="1"/>
  <c r="H11" i="139"/>
  <c r="O5" i="139"/>
  <c r="U5" i="139" s="1"/>
  <c r="D68" i="145"/>
  <c r="E15" i="145"/>
  <c r="T46" i="139"/>
  <c r="U46" i="139"/>
  <c r="C9" i="143"/>
  <c r="E68" i="145"/>
  <c r="K49" i="139"/>
  <c r="C18" i="142"/>
  <c r="I19" i="140"/>
  <c r="C53" i="141"/>
  <c r="C11" i="142"/>
  <c r="C33" i="142"/>
  <c r="C63" i="142"/>
  <c r="C53" i="142"/>
  <c r="C56" i="142"/>
  <c r="D15" i="146"/>
  <c r="E132" i="145"/>
  <c r="T11" i="139"/>
  <c r="V35" i="139"/>
  <c r="AA35" i="139" s="1"/>
  <c r="Q35" i="139"/>
  <c r="Q24" i="139"/>
  <c r="Q37" i="139"/>
  <c r="Q34" i="139"/>
  <c r="V34" i="139"/>
  <c r="AA34" i="139" s="1"/>
  <c r="AC49" i="139"/>
  <c r="Q31" i="139"/>
  <c r="R31" i="139" s="1"/>
  <c r="X31" i="139" s="1"/>
  <c r="W34" i="139"/>
  <c r="E34" i="110"/>
  <c r="E32" i="110" s="1"/>
  <c r="C34" i="110"/>
  <c r="C32" i="110"/>
  <c r="D32" i="110"/>
  <c r="D31" i="110"/>
  <c r="D29" i="110" s="1"/>
  <c r="I29" i="110"/>
  <c r="I31" i="110"/>
  <c r="E28" i="110"/>
  <c r="C28" i="110"/>
  <c r="D25" i="110"/>
  <c r="E24" i="110"/>
  <c r="E22" i="110" s="1"/>
  <c r="C24" i="110"/>
  <c r="D22" i="110"/>
  <c r="B15" i="110"/>
  <c r="B14" i="110"/>
  <c r="B10" i="110"/>
  <c r="B9" i="110"/>
  <c r="B8" i="110"/>
  <c r="G49" i="99"/>
  <c r="T44" i="99"/>
  <c r="Q43" i="99"/>
  <c r="P43" i="99"/>
  <c r="N43" i="99"/>
  <c r="M43" i="99"/>
  <c r="K43" i="99"/>
  <c r="I43" i="99" s="1"/>
  <c r="J43" i="99"/>
  <c r="H43" i="99"/>
  <c r="G43" i="99"/>
  <c r="E43" i="99"/>
  <c r="D43" i="99"/>
  <c r="S42" i="99"/>
  <c r="R42" i="99" s="1"/>
  <c r="O42" i="99"/>
  <c r="L42" i="99"/>
  <c r="F42" i="99"/>
  <c r="B42" i="99"/>
  <c r="Q41" i="99"/>
  <c r="T41" i="99" s="1"/>
  <c r="P41" i="99"/>
  <c r="M41" i="99"/>
  <c r="L41" i="99" s="1"/>
  <c r="J41" i="99"/>
  <c r="G41" i="99"/>
  <c r="F41" i="99" s="1"/>
  <c r="D41" i="99"/>
  <c r="B41" i="99"/>
  <c r="Q40" i="99"/>
  <c r="T40" i="99" s="1"/>
  <c r="P40" i="99"/>
  <c r="M40" i="99"/>
  <c r="L40" i="99" s="1"/>
  <c r="J40" i="99"/>
  <c r="G40" i="99"/>
  <c r="F40" i="99" s="1"/>
  <c r="D40" i="99"/>
  <c r="C40" i="99" s="1"/>
  <c r="B40" i="99"/>
  <c r="N39" i="99"/>
  <c r="K39" i="99"/>
  <c r="H39" i="99"/>
  <c r="E39" i="99"/>
  <c r="Q38" i="99"/>
  <c r="P38" i="99"/>
  <c r="O38" i="99" s="1"/>
  <c r="N38" i="99"/>
  <c r="M38" i="99"/>
  <c r="K38" i="99"/>
  <c r="J38" i="99"/>
  <c r="H38" i="99"/>
  <c r="G38" i="99"/>
  <c r="E38" i="99"/>
  <c r="D38" i="99"/>
  <c r="Q37" i="99"/>
  <c r="P37" i="99"/>
  <c r="S37" i="99" s="1"/>
  <c r="N37" i="99"/>
  <c r="M37" i="99"/>
  <c r="K37" i="99"/>
  <c r="J37" i="99"/>
  <c r="H37" i="99"/>
  <c r="G37" i="99"/>
  <c r="F37" i="99" s="1"/>
  <c r="E37" i="99"/>
  <c r="D37" i="99"/>
  <c r="C37" i="99" s="1"/>
  <c r="Q36" i="99"/>
  <c r="P36" i="99"/>
  <c r="N36" i="99"/>
  <c r="M36" i="99"/>
  <c r="K36" i="99"/>
  <c r="J36" i="99"/>
  <c r="H36" i="99"/>
  <c r="G36" i="99"/>
  <c r="F36" i="99" s="1"/>
  <c r="E36" i="99"/>
  <c r="D36" i="99"/>
  <c r="Q35" i="99"/>
  <c r="P35" i="99"/>
  <c r="N35" i="99"/>
  <c r="M35" i="99"/>
  <c r="H35" i="99"/>
  <c r="G35" i="99"/>
  <c r="F35" i="99" s="1"/>
  <c r="Q34" i="99"/>
  <c r="P34" i="99"/>
  <c r="N34" i="99"/>
  <c r="M34" i="99"/>
  <c r="K34" i="99"/>
  <c r="J34" i="99"/>
  <c r="H34" i="99"/>
  <c r="G34" i="99"/>
  <c r="F34" i="99" s="1"/>
  <c r="Q33" i="99"/>
  <c r="P33" i="99"/>
  <c r="N33" i="99"/>
  <c r="M33" i="99"/>
  <c r="K33" i="99"/>
  <c r="J33" i="99"/>
  <c r="H33" i="99"/>
  <c r="G33" i="99"/>
  <c r="F33" i="99" s="1"/>
  <c r="E33" i="99"/>
  <c r="C33" i="99" s="1"/>
  <c r="Q31" i="99"/>
  <c r="P31" i="99"/>
  <c r="N31" i="99"/>
  <c r="M31" i="99"/>
  <c r="K31" i="99"/>
  <c r="J31" i="99"/>
  <c r="H31" i="99"/>
  <c r="G31" i="99"/>
  <c r="E31" i="99"/>
  <c r="D31" i="99"/>
  <c r="Q30" i="99"/>
  <c r="P30" i="99"/>
  <c r="N30" i="99"/>
  <c r="M30" i="99"/>
  <c r="K30" i="99"/>
  <c r="I30" i="99" s="1"/>
  <c r="J30" i="99"/>
  <c r="H30" i="99"/>
  <c r="G30" i="99"/>
  <c r="E30" i="99"/>
  <c r="D30" i="99"/>
  <c r="Q29" i="99"/>
  <c r="P29" i="99"/>
  <c r="N29" i="99"/>
  <c r="L29" i="99" s="1"/>
  <c r="M29" i="99"/>
  <c r="K29" i="99"/>
  <c r="J29" i="99"/>
  <c r="H29" i="99"/>
  <c r="G29" i="99"/>
  <c r="E29" i="99"/>
  <c r="D29" i="99"/>
  <c r="J28" i="99"/>
  <c r="M28" i="99" s="1"/>
  <c r="B28" i="99"/>
  <c r="Q27" i="99"/>
  <c r="P27" i="99"/>
  <c r="N27" i="99"/>
  <c r="M27" i="99"/>
  <c r="K27" i="99"/>
  <c r="J27" i="99"/>
  <c r="H27" i="99"/>
  <c r="G27" i="99"/>
  <c r="E27" i="99"/>
  <c r="D27" i="99"/>
  <c r="B27" i="99"/>
  <c r="Q26" i="99"/>
  <c r="P26" i="99"/>
  <c r="N26" i="99"/>
  <c r="M26" i="99"/>
  <c r="L26" i="99" s="1"/>
  <c r="K26" i="99"/>
  <c r="J26" i="99"/>
  <c r="H26" i="99"/>
  <c r="G26" i="99"/>
  <c r="E26" i="99"/>
  <c r="D26" i="99"/>
  <c r="C26" i="99" s="1"/>
  <c r="Q25" i="99"/>
  <c r="P25" i="99"/>
  <c r="N25" i="99"/>
  <c r="M25" i="99"/>
  <c r="K25" i="99"/>
  <c r="J25" i="99"/>
  <c r="H25" i="99"/>
  <c r="G25" i="99"/>
  <c r="E25" i="99"/>
  <c r="D25" i="99"/>
  <c r="Q24" i="99"/>
  <c r="P24" i="99"/>
  <c r="N24" i="99"/>
  <c r="M24" i="99"/>
  <c r="K24" i="99"/>
  <c r="J24" i="99"/>
  <c r="H24" i="99"/>
  <c r="G24" i="99"/>
  <c r="F24" i="99" s="1"/>
  <c r="E24" i="99"/>
  <c r="D24" i="99"/>
  <c r="U20" i="99"/>
  <c r="Q20" i="99"/>
  <c r="P20" i="99"/>
  <c r="N20" i="99"/>
  <c r="M20" i="99"/>
  <c r="K20" i="99"/>
  <c r="I20" i="99" s="1"/>
  <c r="J20" i="99"/>
  <c r="H20" i="99"/>
  <c r="G20" i="99"/>
  <c r="E20" i="99"/>
  <c r="D20" i="99"/>
  <c r="Q19" i="99"/>
  <c r="P19" i="99"/>
  <c r="N19" i="99"/>
  <c r="L19" i="99" s="1"/>
  <c r="M19" i="99"/>
  <c r="K19" i="99"/>
  <c r="J19" i="99"/>
  <c r="H19" i="99"/>
  <c r="G19" i="99"/>
  <c r="E19" i="99"/>
  <c r="D19" i="99"/>
  <c r="T18" i="99"/>
  <c r="J18" i="99"/>
  <c r="M18" i="99" s="1"/>
  <c r="F18" i="99"/>
  <c r="D18" i="99"/>
  <c r="C18" i="99" s="1"/>
  <c r="T17" i="99"/>
  <c r="P17" i="99"/>
  <c r="M17" i="99"/>
  <c r="J17" i="99"/>
  <c r="I17" i="99" s="1"/>
  <c r="G17" i="99"/>
  <c r="F17" i="99" s="1"/>
  <c r="D17" i="99"/>
  <c r="C17" i="99" s="1"/>
  <c r="P16" i="99"/>
  <c r="M16" i="99"/>
  <c r="K16" i="99"/>
  <c r="K15" i="99" s="1"/>
  <c r="K13" i="99" s="1"/>
  <c r="J16" i="99"/>
  <c r="G16" i="99"/>
  <c r="D16" i="99"/>
  <c r="E15" i="99"/>
  <c r="H16" i="99" s="1"/>
  <c r="K14" i="99"/>
  <c r="J14" i="99"/>
  <c r="E14" i="99"/>
  <c r="H14" i="99" s="1"/>
  <c r="D14" i="99"/>
  <c r="G14" i="99" s="1"/>
  <c r="Q11" i="99"/>
  <c r="P11" i="99"/>
  <c r="N11" i="99"/>
  <c r="L11" i="99" s="1"/>
  <c r="M11" i="99"/>
  <c r="K11" i="99"/>
  <c r="J11" i="99"/>
  <c r="H11" i="99"/>
  <c r="G11" i="99"/>
  <c r="E11" i="99"/>
  <c r="D11" i="99"/>
  <c r="Q10" i="99"/>
  <c r="O10" i="99" s="1"/>
  <c r="P10" i="99"/>
  <c r="N10" i="99"/>
  <c r="M10" i="99"/>
  <c r="K10" i="99"/>
  <c r="J10" i="99"/>
  <c r="H10" i="99"/>
  <c r="G10" i="99"/>
  <c r="E10" i="99"/>
  <c r="C10" i="99" s="1"/>
  <c r="D10" i="99"/>
  <c r="Q9" i="99"/>
  <c r="P9" i="99"/>
  <c r="N9" i="99"/>
  <c r="M9" i="99"/>
  <c r="K9" i="99"/>
  <c r="J9" i="99"/>
  <c r="H9" i="99"/>
  <c r="F9" i="99" s="1"/>
  <c r="G9" i="99"/>
  <c r="E9" i="99"/>
  <c r="D9" i="99"/>
  <c r="Q8" i="99"/>
  <c r="P8" i="99"/>
  <c r="N8" i="99"/>
  <c r="M8" i="99"/>
  <c r="K8" i="99"/>
  <c r="J8" i="99"/>
  <c r="H8" i="99"/>
  <c r="G8" i="99"/>
  <c r="E8" i="99"/>
  <c r="D8" i="99"/>
  <c r="T44" i="100"/>
  <c r="P44" i="100"/>
  <c r="O44" i="100" s="1"/>
  <c r="M44" i="100"/>
  <c r="L44" i="100" s="1"/>
  <c r="J44" i="100"/>
  <c r="G44" i="100"/>
  <c r="F44" i="100" s="1"/>
  <c r="Q43" i="100"/>
  <c r="P43" i="100"/>
  <c r="N43" i="100"/>
  <c r="M43" i="100"/>
  <c r="K43" i="100"/>
  <c r="J43" i="100"/>
  <c r="I43" i="100" s="1"/>
  <c r="H43" i="100"/>
  <c r="G43" i="100"/>
  <c r="E43" i="100"/>
  <c r="D43" i="100"/>
  <c r="Q42" i="100"/>
  <c r="T42" i="100" s="1"/>
  <c r="P42" i="100"/>
  <c r="M42" i="100"/>
  <c r="L42" i="100" s="1"/>
  <c r="J42" i="100"/>
  <c r="I42" i="100" s="1"/>
  <c r="G42" i="100"/>
  <c r="F42" i="100" s="1"/>
  <c r="E42" i="100"/>
  <c r="D42" i="100"/>
  <c r="B42" i="100"/>
  <c r="Q41" i="100"/>
  <c r="P41" i="100"/>
  <c r="M41" i="100"/>
  <c r="L41" i="100" s="1"/>
  <c r="J41" i="100"/>
  <c r="I41" i="100" s="1"/>
  <c r="G41" i="100"/>
  <c r="F41" i="100" s="1"/>
  <c r="E41" i="100"/>
  <c r="D41" i="100"/>
  <c r="B41" i="100"/>
  <c r="Q40" i="100"/>
  <c r="P40" i="100"/>
  <c r="M40" i="100"/>
  <c r="L40" i="100" s="1"/>
  <c r="J40" i="100"/>
  <c r="J39" i="100" s="1"/>
  <c r="I39" i="100" s="1"/>
  <c r="G40" i="100"/>
  <c r="F40" i="100" s="1"/>
  <c r="E40" i="100"/>
  <c r="D40" i="100"/>
  <c r="B40" i="100"/>
  <c r="N39" i="100"/>
  <c r="K39" i="100"/>
  <c r="H39" i="100"/>
  <c r="Q38" i="100"/>
  <c r="O38" i="100" s="1"/>
  <c r="P38" i="100"/>
  <c r="N38" i="100"/>
  <c r="M38" i="100"/>
  <c r="K38" i="100"/>
  <c r="J38" i="100"/>
  <c r="H38" i="100"/>
  <c r="G38" i="100"/>
  <c r="E38" i="100"/>
  <c r="C38" i="100" s="1"/>
  <c r="D38" i="100"/>
  <c r="Q37" i="100"/>
  <c r="P37" i="100"/>
  <c r="N37" i="100"/>
  <c r="M37" i="100"/>
  <c r="K37" i="100"/>
  <c r="J37" i="100"/>
  <c r="H37" i="100"/>
  <c r="F37" i="100" s="1"/>
  <c r="G37" i="100"/>
  <c r="E37" i="100"/>
  <c r="D37" i="100"/>
  <c r="Q36" i="100"/>
  <c r="P36" i="100"/>
  <c r="N36" i="100"/>
  <c r="M36" i="100"/>
  <c r="K36" i="100"/>
  <c r="I36" i="100" s="1"/>
  <c r="J36" i="100"/>
  <c r="H36" i="100"/>
  <c r="G36" i="100"/>
  <c r="E36" i="100"/>
  <c r="D36" i="100"/>
  <c r="Q35" i="100"/>
  <c r="P35" i="100"/>
  <c r="N35" i="100"/>
  <c r="L35" i="100" s="1"/>
  <c r="M35" i="100"/>
  <c r="K35" i="100"/>
  <c r="J35" i="100"/>
  <c r="H35" i="100"/>
  <c r="G35" i="100"/>
  <c r="Q34" i="100"/>
  <c r="P34" i="100"/>
  <c r="N34" i="100"/>
  <c r="L34" i="100" s="1"/>
  <c r="M34" i="100"/>
  <c r="K34" i="100"/>
  <c r="J34" i="100"/>
  <c r="H34" i="100"/>
  <c r="G34" i="100"/>
  <c r="Q33" i="100"/>
  <c r="P33" i="100"/>
  <c r="N33" i="100"/>
  <c r="L33" i="100" s="1"/>
  <c r="M33" i="100"/>
  <c r="K33" i="100"/>
  <c r="J33" i="100"/>
  <c r="H33" i="100"/>
  <c r="G33" i="100"/>
  <c r="E33" i="100"/>
  <c r="D33" i="100"/>
  <c r="Q31" i="100"/>
  <c r="P31" i="100"/>
  <c r="N31" i="100"/>
  <c r="M31" i="100"/>
  <c r="K31" i="100"/>
  <c r="J31" i="100"/>
  <c r="H31" i="100"/>
  <c r="G31" i="100"/>
  <c r="E31" i="100"/>
  <c r="D31" i="100"/>
  <c r="Q30" i="100"/>
  <c r="P30" i="100"/>
  <c r="N30" i="100"/>
  <c r="M30" i="100"/>
  <c r="K30" i="100"/>
  <c r="J30" i="100"/>
  <c r="H30" i="100"/>
  <c r="G30" i="100"/>
  <c r="E30" i="100"/>
  <c r="D30" i="100"/>
  <c r="Q29" i="100"/>
  <c r="P29" i="100"/>
  <c r="N29" i="100"/>
  <c r="M29" i="100"/>
  <c r="K29" i="100"/>
  <c r="J29" i="100"/>
  <c r="H29" i="100"/>
  <c r="G29" i="100"/>
  <c r="E29" i="100"/>
  <c r="D29" i="100"/>
  <c r="J28" i="100"/>
  <c r="B28" i="100"/>
  <c r="Q27" i="100"/>
  <c r="T27" i="100" s="1"/>
  <c r="P27" i="100"/>
  <c r="N27" i="100"/>
  <c r="M27" i="100"/>
  <c r="K27" i="100"/>
  <c r="J27" i="100"/>
  <c r="H27" i="100"/>
  <c r="G27" i="100"/>
  <c r="E27" i="100"/>
  <c r="C27" i="100" s="1"/>
  <c r="D27" i="100"/>
  <c r="B27" i="100"/>
  <c r="Q26" i="100"/>
  <c r="P26" i="100"/>
  <c r="N26" i="100"/>
  <c r="M26" i="100"/>
  <c r="K26" i="100"/>
  <c r="J26" i="100"/>
  <c r="H26" i="100"/>
  <c r="G26" i="100"/>
  <c r="E26" i="100"/>
  <c r="D26" i="100"/>
  <c r="Q25" i="100"/>
  <c r="P25" i="100"/>
  <c r="N25" i="100"/>
  <c r="M25" i="100"/>
  <c r="L25" i="100" s="1"/>
  <c r="K25" i="100"/>
  <c r="J25" i="100"/>
  <c r="H25" i="100"/>
  <c r="G25" i="100"/>
  <c r="E25" i="100"/>
  <c r="D25" i="100"/>
  <c r="C25" i="100" s="1"/>
  <c r="Q24" i="100"/>
  <c r="P24" i="100"/>
  <c r="N24" i="100"/>
  <c r="M24" i="100"/>
  <c r="K24" i="100"/>
  <c r="J24" i="100"/>
  <c r="H24" i="100"/>
  <c r="G24" i="100"/>
  <c r="E24" i="100"/>
  <c r="D24" i="100"/>
  <c r="U20" i="100"/>
  <c r="Q20" i="100"/>
  <c r="P20" i="100"/>
  <c r="N20" i="100"/>
  <c r="M20" i="100"/>
  <c r="K20" i="100"/>
  <c r="J20" i="100"/>
  <c r="H20" i="100"/>
  <c r="F20" i="100" s="1"/>
  <c r="G20" i="100"/>
  <c r="E20" i="100"/>
  <c r="D20" i="100"/>
  <c r="Q19" i="100"/>
  <c r="P19" i="100"/>
  <c r="N19" i="100"/>
  <c r="M19" i="100"/>
  <c r="K19" i="100"/>
  <c r="J19" i="100"/>
  <c r="H19" i="100"/>
  <c r="G19" i="100"/>
  <c r="E19" i="100"/>
  <c r="D19" i="100"/>
  <c r="B19" i="100"/>
  <c r="Q18" i="100"/>
  <c r="P18" i="100"/>
  <c r="N18" i="100"/>
  <c r="M18" i="100"/>
  <c r="K18" i="100"/>
  <c r="J18" i="100"/>
  <c r="H18" i="100"/>
  <c r="G18" i="100"/>
  <c r="E18" i="100"/>
  <c r="D18" i="100"/>
  <c r="C18" i="100" s="1"/>
  <c r="B18" i="100"/>
  <c r="Q17" i="100"/>
  <c r="P17" i="100"/>
  <c r="N17" i="100"/>
  <c r="M17" i="100"/>
  <c r="K17" i="100"/>
  <c r="J17" i="100"/>
  <c r="H17" i="100"/>
  <c r="G17" i="100"/>
  <c r="E17" i="100"/>
  <c r="D17" i="100"/>
  <c r="B17" i="100"/>
  <c r="Q16" i="100"/>
  <c r="P16" i="100"/>
  <c r="N16" i="100"/>
  <c r="M16" i="100"/>
  <c r="K16" i="100"/>
  <c r="J16" i="100"/>
  <c r="H16" i="100"/>
  <c r="G16" i="100"/>
  <c r="E16" i="100"/>
  <c r="D16" i="100"/>
  <c r="B16" i="100"/>
  <c r="Q14" i="100"/>
  <c r="P14" i="100"/>
  <c r="N14" i="100"/>
  <c r="M14" i="100"/>
  <c r="K14" i="100"/>
  <c r="J14" i="100"/>
  <c r="J50" i="100" s="1"/>
  <c r="G14" i="100"/>
  <c r="F14" i="100" s="1"/>
  <c r="E14" i="100"/>
  <c r="D14" i="100"/>
  <c r="C14" i="100" s="1"/>
  <c r="T13" i="100"/>
  <c r="Q11" i="100"/>
  <c r="P11" i="100"/>
  <c r="N11" i="100"/>
  <c r="M11" i="100"/>
  <c r="K11" i="100"/>
  <c r="J11" i="100"/>
  <c r="H11" i="100"/>
  <c r="F11" i="100" s="1"/>
  <c r="G11" i="100"/>
  <c r="E11" i="100"/>
  <c r="D11" i="100"/>
  <c r="Q10" i="100"/>
  <c r="P10" i="100"/>
  <c r="N10" i="100"/>
  <c r="M10" i="100"/>
  <c r="K10" i="100"/>
  <c r="I10" i="100" s="1"/>
  <c r="J10" i="100"/>
  <c r="H10" i="100"/>
  <c r="G10" i="100"/>
  <c r="E10" i="100"/>
  <c r="D10" i="100"/>
  <c r="Q9" i="100"/>
  <c r="P9" i="100"/>
  <c r="N9" i="100"/>
  <c r="L9" i="100" s="1"/>
  <c r="M9" i="100"/>
  <c r="K9" i="100"/>
  <c r="J9" i="100"/>
  <c r="H9" i="100"/>
  <c r="G9" i="100"/>
  <c r="E9" i="100"/>
  <c r="D9" i="100"/>
  <c r="Q8" i="100"/>
  <c r="P8" i="100"/>
  <c r="N8" i="100"/>
  <c r="M8" i="100"/>
  <c r="K8" i="100"/>
  <c r="J8" i="100"/>
  <c r="H8" i="100"/>
  <c r="G8" i="100"/>
  <c r="E8" i="100"/>
  <c r="D8" i="100"/>
  <c r="H46" i="98"/>
  <c r="H45" i="98"/>
  <c r="H44" i="98"/>
  <c r="H43" i="98"/>
  <c r="H42" i="98"/>
  <c r="H41" i="98"/>
  <c r="H40" i="98"/>
  <c r="H39" i="98"/>
  <c r="H38" i="98"/>
  <c r="H37" i="98"/>
  <c r="H36" i="98"/>
  <c r="G35" i="98"/>
  <c r="F35" i="98"/>
  <c r="E35" i="98"/>
  <c r="D35" i="98"/>
  <c r="C35" i="98"/>
  <c r="G34" i="98"/>
  <c r="F34" i="98"/>
  <c r="E34" i="98"/>
  <c r="D34" i="98"/>
  <c r="C34" i="98"/>
  <c r="C31" i="98" s="1"/>
  <c r="B34" i="98"/>
  <c r="G33" i="98"/>
  <c r="F33" i="98"/>
  <c r="E33" i="98"/>
  <c r="D33" i="98"/>
  <c r="C33" i="98"/>
  <c r="B33" i="98"/>
  <c r="G32" i="98"/>
  <c r="F32" i="98"/>
  <c r="E32" i="98"/>
  <c r="E31" i="98" s="1"/>
  <c r="D32" i="98"/>
  <c r="C32" i="98"/>
  <c r="B32" i="98"/>
  <c r="G30" i="98"/>
  <c r="F30" i="98"/>
  <c r="E30" i="98"/>
  <c r="H30" i="98" s="1"/>
  <c r="D30" i="98"/>
  <c r="C30" i="98"/>
  <c r="G29" i="98"/>
  <c r="F29" i="98"/>
  <c r="E29" i="98"/>
  <c r="D29" i="98"/>
  <c r="C29" i="98"/>
  <c r="G28" i="98"/>
  <c r="F28" i="98"/>
  <c r="E28" i="98"/>
  <c r="D28" i="98"/>
  <c r="C28" i="98"/>
  <c r="G27" i="98"/>
  <c r="F27" i="98"/>
  <c r="E27" i="98"/>
  <c r="D27" i="98"/>
  <c r="C27" i="98"/>
  <c r="G26" i="98"/>
  <c r="H26" i="98" s="1"/>
  <c r="F26" i="98"/>
  <c r="E26" i="98"/>
  <c r="D26" i="98"/>
  <c r="C26" i="98"/>
  <c r="G25" i="98"/>
  <c r="F25" i="98"/>
  <c r="E25" i="98"/>
  <c r="D25" i="98"/>
  <c r="C25" i="98"/>
  <c r="G24" i="98"/>
  <c r="F24" i="98"/>
  <c r="E24" i="98"/>
  <c r="D24" i="98"/>
  <c r="C24" i="98"/>
  <c r="G23" i="98"/>
  <c r="F23" i="98"/>
  <c r="H23" i="98" s="1"/>
  <c r="E23" i="98"/>
  <c r="D23" i="98"/>
  <c r="C23" i="98"/>
  <c r="G20" i="98"/>
  <c r="F20" i="98"/>
  <c r="E20" i="98"/>
  <c r="H20" i="98" s="1"/>
  <c r="D20" i="98"/>
  <c r="C20" i="98"/>
  <c r="G19" i="98"/>
  <c r="F19" i="98"/>
  <c r="E19" i="98"/>
  <c r="D19" i="98"/>
  <c r="C19" i="98"/>
  <c r="G18" i="98"/>
  <c r="F18" i="98"/>
  <c r="E18" i="98"/>
  <c r="E15" i="98" s="1"/>
  <c r="E13" i="98" s="1"/>
  <c r="D18" i="98"/>
  <c r="C18" i="98"/>
  <c r="B18" i="98"/>
  <c r="G17" i="98"/>
  <c r="F17" i="98"/>
  <c r="E17" i="98"/>
  <c r="H17" i="98" s="1"/>
  <c r="D17" i="98"/>
  <c r="C17" i="98"/>
  <c r="B17" i="98"/>
  <c r="G16" i="98"/>
  <c r="F16" i="98"/>
  <c r="E16" i="98"/>
  <c r="D16" i="98"/>
  <c r="C16" i="98"/>
  <c r="B16" i="98"/>
  <c r="G14" i="98"/>
  <c r="H14" i="98" s="1"/>
  <c r="F14" i="98"/>
  <c r="E14" i="98"/>
  <c r="D14" i="98"/>
  <c r="C14" i="98"/>
  <c r="G12" i="98"/>
  <c r="F12" i="98"/>
  <c r="F11" i="98" s="1"/>
  <c r="E12" i="98"/>
  <c r="D12" i="98"/>
  <c r="D11" i="98" s="1"/>
  <c r="C12" i="98"/>
  <c r="G10" i="98"/>
  <c r="F10" i="98"/>
  <c r="E10" i="98"/>
  <c r="D10" i="98"/>
  <c r="C10" i="98"/>
  <c r="G7" i="98"/>
  <c r="F7" i="98"/>
  <c r="E7" i="98"/>
  <c r="D7" i="98"/>
  <c r="C7" i="98"/>
  <c r="G6" i="98"/>
  <c r="F6" i="98"/>
  <c r="E6" i="98"/>
  <c r="D6" i="98"/>
  <c r="C6" i="98"/>
  <c r="K121" i="97"/>
  <c r="R110" i="97"/>
  <c r="S110" i="97"/>
  <c r="P110" i="97"/>
  <c r="R109" i="97"/>
  <c r="S109" i="97" s="1"/>
  <c r="P109" i="97"/>
  <c r="K108" i="97"/>
  <c r="C108" i="97"/>
  <c r="R107" i="97"/>
  <c r="S107" i="97" s="1"/>
  <c r="P107" i="97"/>
  <c r="R106" i="97"/>
  <c r="S106" i="97" s="1"/>
  <c r="P106" i="97"/>
  <c r="R105" i="97"/>
  <c r="S105" i="97" s="1"/>
  <c r="P105" i="97"/>
  <c r="P104" i="97"/>
  <c r="P103" i="97"/>
  <c r="P102" i="97"/>
  <c r="P101" i="97"/>
  <c r="N101" i="97"/>
  <c r="R101" i="97" s="1"/>
  <c r="K100" i="97"/>
  <c r="C100" i="97"/>
  <c r="N98" i="97"/>
  <c r="K95" i="97"/>
  <c r="N92" i="97"/>
  <c r="P91" i="97"/>
  <c r="K90" i="97"/>
  <c r="P89" i="97"/>
  <c r="N88" i="97"/>
  <c r="P88" i="97" s="1"/>
  <c r="N85" i="97"/>
  <c r="N84" i="97"/>
  <c r="N81" i="97"/>
  <c r="N78" i="97"/>
  <c r="N76" i="97"/>
  <c r="N73" i="97"/>
  <c r="N72" i="97"/>
  <c r="K72" i="97"/>
  <c r="K74" i="97" s="1"/>
  <c r="N71" i="97"/>
  <c r="K68" i="97"/>
  <c r="C61" i="97"/>
  <c r="K56" i="97"/>
  <c r="K52" i="97"/>
  <c r="K59" i="97" s="1"/>
  <c r="N48" i="97"/>
  <c r="Y41" i="97"/>
  <c r="X41" i="97"/>
  <c r="T41" i="97"/>
  <c r="S41" i="97"/>
  <c r="O41" i="97"/>
  <c r="N41" i="97"/>
  <c r="I40" i="97"/>
  <c r="Y39" i="97"/>
  <c r="X39" i="97"/>
  <c r="U39" i="97" s="1"/>
  <c r="T39" i="97"/>
  <c r="S39" i="97"/>
  <c r="P39" i="97" s="1"/>
  <c r="O39" i="97"/>
  <c r="N39" i="97"/>
  <c r="J39" i="97"/>
  <c r="F39" i="97" s="1"/>
  <c r="I39" i="97"/>
  <c r="E39" i="97"/>
  <c r="D39" i="97"/>
  <c r="Y38" i="97"/>
  <c r="X38" i="97"/>
  <c r="T38" i="97"/>
  <c r="S38" i="97"/>
  <c r="O38" i="97"/>
  <c r="N38" i="97"/>
  <c r="J38" i="97"/>
  <c r="I38" i="97"/>
  <c r="E38" i="97"/>
  <c r="D38" i="97"/>
  <c r="B38" i="97"/>
  <c r="Y37" i="97"/>
  <c r="X37" i="97"/>
  <c r="T37" i="97"/>
  <c r="S37" i="97"/>
  <c r="O37" i="97"/>
  <c r="N37" i="97"/>
  <c r="J37" i="97"/>
  <c r="I37" i="97"/>
  <c r="F37" i="97" s="1"/>
  <c r="E37" i="97"/>
  <c r="D37" i="97"/>
  <c r="B37" i="97"/>
  <c r="Y36" i="97"/>
  <c r="X36" i="97"/>
  <c r="T36" i="97"/>
  <c r="S36" i="97"/>
  <c r="O36" i="97"/>
  <c r="N36" i="97"/>
  <c r="J36" i="97"/>
  <c r="I36" i="97"/>
  <c r="E36" i="97"/>
  <c r="D36" i="97"/>
  <c r="B36" i="97"/>
  <c r="Y34" i="97"/>
  <c r="X34" i="97"/>
  <c r="U34" i="97" s="1"/>
  <c r="T34" i="97"/>
  <c r="S34" i="97"/>
  <c r="O34" i="97"/>
  <c r="N34" i="97"/>
  <c r="J34" i="97"/>
  <c r="I34" i="97"/>
  <c r="E34" i="97"/>
  <c r="D34" i="97"/>
  <c r="C34" i="97" s="1"/>
  <c r="Y33" i="97"/>
  <c r="X33" i="97"/>
  <c r="T33" i="97"/>
  <c r="S33" i="97"/>
  <c r="O33" i="97"/>
  <c r="N33" i="97"/>
  <c r="J33" i="97"/>
  <c r="I33" i="97"/>
  <c r="F33" i="97" s="1"/>
  <c r="E33" i="97"/>
  <c r="D33" i="97"/>
  <c r="C33" i="97" s="1"/>
  <c r="Y32" i="97"/>
  <c r="X32" i="97"/>
  <c r="T32" i="97"/>
  <c r="S32" i="97"/>
  <c r="O32" i="97"/>
  <c r="N32" i="97"/>
  <c r="K32" i="97" s="1"/>
  <c r="J32" i="97"/>
  <c r="I32" i="97"/>
  <c r="F32" i="97" s="1"/>
  <c r="E32" i="97"/>
  <c r="D32" i="97"/>
  <c r="Y31" i="97"/>
  <c r="X31" i="97"/>
  <c r="T31" i="97"/>
  <c r="S31" i="97"/>
  <c r="P31" i="97" s="1"/>
  <c r="O31" i="97"/>
  <c r="N31" i="97"/>
  <c r="K31" i="97" s="1"/>
  <c r="J31" i="97"/>
  <c r="I31" i="97"/>
  <c r="E31" i="97"/>
  <c r="D31" i="97"/>
  <c r="Y30" i="97"/>
  <c r="X30" i="97"/>
  <c r="U30" i="97" s="1"/>
  <c r="T30" i="97"/>
  <c r="S30" i="97"/>
  <c r="P30" i="97" s="1"/>
  <c r="O30" i="97"/>
  <c r="N30" i="97"/>
  <c r="J30" i="97"/>
  <c r="I30" i="97"/>
  <c r="E30" i="97"/>
  <c r="D30" i="97"/>
  <c r="C30" i="97" s="1"/>
  <c r="Y29" i="97"/>
  <c r="X29" i="97"/>
  <c r="U29" i="97" s="1"/>
  <c r="T29" i="97"/>
  <c r="S29" i="97"/>
  <c r="O29" i="97"/>
  <c r="N29" i="97"/>
  <c r="J29" i="97"/>
  <c r="I29" i="97"/>
  <c r="F29" i="97" s="1"/>
  <c r="E29" i="97"/>
  <c r="D29" i="97"/>
  <c r="C29" i="97" s="1"/>
  <c r="Y28" i="97"/>
  <c r="X28" i="97"/>
  <c r="T28" i="97"/>
  <c r="S28" i="97"/>
  <c r="O28" i="97"/>
  <c r="N28" i="97"/>
  <c r="J28" i="97"/>
  <c r="I28" i="97"/>
  <c r="F28" i="97" s="1"/>
  <c r="E28" i="97"/>
  <c r="D28" i="97"/>
  <c r="Y27" i="97"/>
  <c r="X27" i="97"/>
  <c r="T27" i="97"/>
  <c r="S27" i="97"/>
  <c r="P27" i="97" s="1"/>
  <c r="O27" i="97"/>
  <c r="N27" i="97"/>
  <c r="K27" i="97" s="1"/>
  <c r="J27" i="97"/>
  <c r="I27" i="97"/>
  <c r="E27" i="97"/>
  <c r="D27" i="97"/>
  <c r="Y26" i="97"/>
  <c r="X26" i="97"/>
  <c r="U26" i="97" s="1"/>
  <c r="T26" i="97"/>
  <c r="S26" i="97"/>
  <c r="P26" i="97" s="1"/>
  <c r="O26" i="97"/>
  <c r="N26" i="97"/>
  <c r="J26" i="97"/>
  <c r="I26" i="97"/>
  <c r="E26" i="97"/>
  <c r="D26" i="97"/>
  <c r="Y25" i="97"/>
  <c r="X25" i="97"/>
  <c r="T25" i="97"/>
  <c r="S25" i="97"/>
  <c r="O25" i="97"/>
  <c r="N25" i="97"/>
  <c r="J25" i="97"/>
  <c r="I25" i="97"/>
  <c r="F25" i="97" s="1"/>
  <c r="E25" i="97"/>
  <c r="D25" i="97"/>
  <c r="C25" i="97" s="1"/>
  <c r="Y24" i="97"/>
  <c r="X24" i="97"/>
  <c r="T24" i="97"/>
  <c r="S24" i="97"/>
  <c r="O24" i="97"/>
  <c r="N24" i="97"/>
  <c r="K24" i="97" s="1"/>
  <c r="J24" i="97"/>
  <c r="I24" i="97"/>
  <c r="F24" i="97" s="1"/>
  <c r="E24" i="97"/>
  <c r="D24" i="97"/>
  <c r="Y23" i="97"/>
  <c r="X23" i="97"/>
  <c r="T23" i="97"/>
  <c r="S23" i="97"/>
  <c r="P23" i="97" s="1"/>
  <c r="O23" i="97"/>
  <c r="N23" i="97"/>
  <c r="K23" i="97" s="1"/>
  <c r="J23" i="97"/>
  <c r="I23" i="97"/>
  <c r="E23" i="97"/>
  <c r="D23" i="97"/>
  <c r="Y22" i="97"/>
  <c r="X22" i="97"/>
  <c r="T22" i="97"/>
  <c r="S22" i="97"/>
  <c r="P22" i="97" s="1"/>
  <c r="O22" i="97"/>
  <c r="N22" i="97"/>
  <c r="J22" i="97"/>
  <c r="I22" i="97"/>
  <c r="E22" i="97"/>
  <c r="D22" i="97"/>
  <c r="Y21" i="97"/>
  <c r="X21" i="97"/>
  <c r="U21" i="97" s="1"/>
  <c r="T21" i="97"/>
  <c r="S21" i="97"/>
  <c r="O21" i="97"/>
  <c r="N21" i="97"/>
  <c r="J21" i="97"/>
  <c r="I21" i="97"/>
  <c r="F21" i="97" s="1"/>
  <c r="E21" i="97"/>
  <c r="D21" i="97"/>
  <c r="Y20" i="97"/>
  <c r="X20" i="97"/>
  <c r="T20" i="97"/>
  <c r="S20" i="97"/>
  <c r="O20" i="97"/>
  <c r="N20" i="97"/>
  <c r="K20" i="97" s="1"/>
  <c r="J20" i="97"/>
  <c r="I20" i="97"/>
  <c r="E20" i="97"/>
  <c r="D20" i="97"/>
  <c r="Y19" i="97"/>
  <c r="X19" i="97"/>
  <c r="T19" i="97"/>
  <c r="S19" i="97"/>
  <c r="O19" i="97"/>
  <c r="N19" i="97"/>
  <c r="K19" i="97" s="1"/>
  <c r="J19" i="97"/>
  <c r="I19" i="97"/>
  <c r="E19" i="97"/>
  <c r="D19" i="97"/>
  <c r="Y17" i="97"/>
  <c r="X17" i="97"/>
  <c r="U17" i="97" s="1"/>
  <c r="T17" i="97"/>
  <c r="S17" i="97"/>
  <c r="P17" i="97" s="1"/>
  <c r="O17" i="97"/>
  <c r="N17" i="97"/>
  <c r="J17" i="97"/>
  <c r="I17" i="97"/>
  <c r="E17" i="97"/>
  <c r="D17" i="97"/>
  <c r="C17" i="97" s="1"/>
  <c r="Y16" i="97"/>
  <c r="X16" i="97"/>
  <c r="U16" i="97" s="1"/>
  <c r="T16" i="97"/>
  <c r="S16" i="97"/>
  <c r="O16" i="97"/>
  <c r="N16" i="97"/>
  <c r="J16" i="97"/>
  <c r="I16" i="97"/>
  <c r="F16" i="97" s="1"/>
  <c r="E16" i="97"/>
  <c r="D16" i="97"/>
  <c r="X14" i="97"/>
  <c r="U14" i="97" s="1"/>
  <c r="T14" i="97"/>
  <c r="S14" i="97"/>
  <c r="O14" i="97"/>
  <c r="N14" i="97"/>
  <c r="B14" i="97"/>
  <c r="Y13" i="97"/>
  <c r="X13" i="97"/>
  <c r="X9" i="97" s="1"/>
  <c r="T13" i="97"/>
  <c r="S13" i="97"/>
  <c r="O13" i="97"/>
  <c r="N13" i="97"/>
  <c r="J13" i="97"/>
  <c r="I13" i="97"/>
  <c r="I9" i="97" s="1"/>
  <c r="E13" i="97"/>
  <c r="D13" i="97"/>
  <c r="C13" i="97" s="1"/>
  <c r="B13" i="97"/>
  <c r="Y12" i="97"/>
  <c r="X12" i="97"/>
  <c r="T12" i="97"/>
  <c r="S12" i="97"/>
  <c r="O12" i="97"/>
  <c r="N12" i="97"/>
  <c r="J12" i="97"/>
  <c r="I12" i="97"/>
  <c r="E12" i="97"/>
  <c r="D12" i="97"/>
  <c r="Y11" i="97"/>
  <c r="X11" i="97"/>
  <c r="T11" i="97"/>
  <c r="S11" i="97"/>
  <c r="O11" i="97"/>
  <c r="K11" i="97" s="1"/>
  <c r="N11" i="97"/>
  <c r="J11" i="97"/>
  <c r="I11" i="97"/>
  <c r="E11" i="97"/>
  <c r="D11" i="97"/>
  <c r="Y10" i="97"/>
  <c r="X10" i="97"/>
  <c r="T10" i="97"/>
  <c r="S10" i="97"/>
  <c r="O10" i="97"/>
  <c r="N10" i="97"/>
  <c r="N64" i="97" s="1"/>
  <c r="N65" i="97" s="1"/>
  <c r="J10" i="97"/>
  <c r="I10" i="97"/>
  <c r="E10" i="97"/>
  <c r="D10" i="97"/>
  <c r="N101" i="96"/>
  <c r="N100" i="96"/>
  <c r="Q90" i="96"/>
  <c r="Q77" i="96"/>
  <c r="N76" i="96"/>
  <c r="H71" i="96"/>
  <c r="Q70" i="96"/>
  <c r="H68" i="96"/>
  <c r="P62" i="96"/>
  <c r="AD59" i="96"/>
  <c r="AC59" i="96" s="1"/>
  <c r="Z59" i="96" s="1"/>
  <c r="X59" i="96"/>
  <c r="W59" i="96" s="1"/>
  <c r="T59" i="96" s="1"/>
  <c r="R59" i="96"/>
  <c r="Q59" i="96" s="1"/>
  <c r="N59" i="96"/>
  <c r="H59" i="96"/>
  <c r="K59" i="96" s="1"/>
  <c r="L59" i="96" s="1"/>
  <c r="F59" i="96"/>
  <c r="E59" i="96" s="1"/>
  <c r="C59" i="96"/>
  <c r="B59" i="96"/>
  <c r="AE58" i="96"/>
  <c r="AD58" i="96"/>
  <c r="Y58" i="96"/>
  <c r="X58" i="96"/>
  <c r="S58" i="96"/>
  <c r="R58" i="96"/>
  <c r="Q58" i="96" s="1"/>
  <c r="N58" i="96" s="1"/>
  <c r="M58" i="96"/>
  <c r="L58" i="96"/>
  <c r="H58" i="96" s="1"/>
  <c r="G58" i="96"/>
  <c r="F58" i="96"/>
  <c r="C58" i="96"/>
  <c r="B58" i="96"/>
  <c r="Z57" i="96"/>
  <c r="AD57" i="96" s="1"/>
  <c r="T57" i="96"/>
  <c r="S57" i="96"/>
  <c r="S54" i="96" s="1"/>
  <c r="S52" i="96" s="1"/>
  <c r="R57" i="96"/>
  <c r="Q57" i="96" s="1"/>
  <c r="N57" i="96"/>
  <c r="H57" i="96"/>
  <c r="F57" i="96"/>
  <c r="E57" i="96" s="1"/>
  <c r="C57" i="96"/>
  <c r="B57" i="96"/>
  <c r="Z56" i="96"/>
  <c r="T56" i="96"/>
  <c r="N56" i="96"/>
  <c r="H56" i="96"/>
  <c r="F56" i="96"/>
  <c r="E56" i="96" s="1"/>
  <c r="C56" i="96"/>
  <c r="B56" i="96"/>
  <c r="Z55" i="96"/>
  <c r="AC55" i="96" s="1"/>
  <c r="T55" i="96"/>
  <c r="W55" i="96" s="1"/>
  <c r="X55" i="96" s="1"/>
  <c r="N55" i="96"/>
  <c r="R55" i="96" s="1"/>
  <c r="Q55" i="96" s="1"/>
  <c r="H55" i="96"/>
  <c r="AF55" i="96" s="1"/>
  <c r="C55" i="96"/>
  <c r="F55" i="96" s="1"/>
  <c r="B55" i="96"/>
  <c r="AE54" i="96"/>
  <c r="AE52" i="96" s="1"/>
  <c r="AB54" i="96"/>
  <c r="AB52" i="96" s="1"/>
  <c r="Y54" i="96"/>
  <c r="Y52" i="96" s="1"/>
  <c r="V54" i="96"/>
  <c r="V52" i="96" s="1"/>
  <c r="P54" i="96"/>
  <c r="P52" i="96" s="1"/>
  <c r="M54" i="96"/>
  <c r="M52" i="96" s="1"/>
  <c r="J54" i="96"/>
  <c r="J52" i="96" s="1"/>
  <c r="G54" i="96"/>
  <c r="G52" i="96" s="1"/>
  <c r="G51" i="96" s="1"/>
  <c r="G49" i="96" s="1"/>
  <c r="D54" i="96"/>
  <c r="D52" i="96" s="1"/>
  <c r="Z53" i="96"/>
  <c r="T53" i="96"/>
  <c r="W53" i="96" s="1"/>
  <c r="N53" i="96"/>
  <c r="R53" i="96" s="1"/>
  <c r="H53" i="96"/>
  <c r="K53" i="96" s="1"/>
  <c r="L53" i="96" s="1"/>
  <c r="C53" i="96"/>
  <c r="AB51" i="96"/>
  <c r="AA51" i="96"/>
  <c r="V51" i="96"/>
  <c r="N51" i="96"/>
  <c r="U51" i="96" s="1"/>
  <c r="H51" i="96"/>
  <c r="J51" i="96" s="1"/>
  <c r="C51" i="96"/>
  <c r="AB50" i="96"/>
  <c r="V50" i="96"/>
  <c r="N50" i="96"/>
  <c r="P50" i="96" s="1"/>
  <c r="H50" i="96"/>
  <c r="J50" i="96" s="1"/>
  <c r="C50" i="96"/>
  <c r="D50" i="96" s="1"/>
  <c r="Z49" i="96"/>
  <c r="AB49" i="96" s="1"/>
  <c r="AC49" i="96" s="1"/>
  <c r="AD49" i="96" s="1"/>
  <c r="T49" i="96"/>
  <c r="N49" i="96"/>
  <c r="F49" i="96"/>
  <c r="E49" i="96"/>
  <c r="Z48" i="96"/>
  <c r="T48" i="96"/>
  <c r="X48" i="96" s="1"/>
  <c r="W48" i="96" s="1"/>
  <c r="N48" i="96"/>
  <c r="H48" i="96"/>
  <c r="C48" i="96"/>
  <c r="F48" i="96" s="1"/>
  <c r="E48" i="96" s="1"/>
  <c r="AB47" i="96"/>
  <c r="Z47" i="96"/>
  <c r="AE47" i="96" s="1"/>
  <c r="V47" i="96"/>
  <c r="T47" i="96"/>
  <c r="Y47" i="96" s="1"/>
  <c r="P47" i="96"/>
  <c r="N47" i="96"/>
  <c r="S47" i="96" s="1"/>
  <c r="J47" i="96"/>
  <c r="H47" i="96"/>
  <c r="C47" i="96"/>
  <c r="T46" i="96"/>
  <c r="W46" i="96" s="1"/>
  <c r="X46" i="96" s="1"/>
  <c r="N46" i="96"/>
  <c r="Q46" i="96" s="1"/>
  <c r="R46" i="96" s="1"/>
  <c r="H46" i="96"/>
  <c r="K46" i="96" s="1"/>
  <c r="L46" i="96" s="1"/>
  <c r="C46" i="96"/>
  <c r="C45" i="96" s="1"/>
  <c r="Z45" i="96"/>
  <c r="AC45" i="96" s="1"/>
  <c r="AD45" i="96" s="1"/>
  <c r="T45" i="96"/>
  <c r="W45" i="96" s="1"/>
  <c r="X45" i="96" s="1"/>
  <c r="N45" i="96"/>
  <c r="Q45" i="96" s="1"/>
  <c r="R45" i="96" s="1"/>
  <c r="H45" i="96"/>
  <c r="Z44" i="96"/>
  <c r="AC44" i="96" s="1"/>
  <c r="AD44" i="96" s="1"/>
  <c r="T44" i="96"/>
  <c r="N44" i="96"/>
  <c r="Q44" i="96" s="1"/>
  <c r="R44" i="96" s="1"/>
  <c r="H44" i="96"/>
  <c r="K44" i="96" s="1"/>
  <c r="L44" i="96" s="1"/>
  <c r="C44" i="96"/>
  <c r="E44" i="96" s="1"/>
  <c r="F44" i="96" s="1"/>
  <c r="AE43" i="96"/>
  <c r="AD43" i="96"/>
  <c r="AB43" i="96"/>
  <c r="Z43" i="96"/>
  <c r="Y43" i="96"/>
  <c r="V43" i="96"/>
  <c r="T43" i="96"/>
  <c r="S43" i="96"/>
  <c r="P43" i="96"/>
  <c r="N43" i="96"/>
  <c r="M43" i="96"/>
  <c r="J43" i="96"/>
  <c r="H43" i="96"/>
  <c r="G43" i="96"/>
  <c r="D43" i="96"/>
  <c r="C43" i="96"/>
  <c r="Z42" i="96"/>
  <c r="AC42" i="96" s="1"/>
  <c r="V42" i="96"/>
  <c r="T42" i="96"/>
  <c r="W42" i="96" s="1"/>
  <c r="X42" i="96" s="1"/>
  <c r="P42" i="96"/>
  <c r="N42" i="96"/>
  <c r="Q42" i="96" s="1"/>
  <c r="H42" i="96"/>
  <c r="K42" i="96" s="1"/>
  <c r="L42" i="96" s="1"/>
  <c r="C42" i="96"/>
  <c r="AE41" i="96"/>
  <c r="AD41" i="96"/>
  <c r="Z41" i="96"/>
  <c r="Y41" i="96"/>
  <c r="T41" i="96"/>
  <c r="W41" i="96" s="1"/>
  <c r="S41" i="96"/>
  <c r="R41" i="96" s="1"/>
  <c r="N41" i="96"/>
  <c r="Q41" i="96" s="1"/>
  <c r="M41" i="96"/>
  <c r="H41" i="96"/>
  <c r="K41" i="96" s="1"/>
  <c r="G41" i="96"/>
  <c r="C41" i="96"/>
  <c r="AE40" i="96"/>
  <c r="AD40" i="96"/>
  <c r="AB40" i="96"/>
  <c r="Z40" i="96"/>
  <c r="Y40" i="96"/>
  <c r="V40" i="96"/>
  <c r="T40" i="96"/>
  <c r="S40" i="96"/>
  <c r="N40" i="96"/>
  <c r="M40" i="96"/>
  <c r="J40" i="96"/>
  <c r="H40" i="96"/>
  <c r="G40" i="96"/>
  <c r="C40" i="96"/>
  <c r="AE39" i="96"/>
  <c r="AD39" i="96"/>
  <c r="AB39" i="96"/>
  <c r="AB9" i="96" s="1"/>
  <c r="Z39" i="96"/>
  <c r="Y39" i="96"/>
  <c r="V39" i="96"/>
  <c r="T39" i="96"/>
  <c r="S39" i="96"/>
  <c r="P39" i="96"/>
  <c r="N39" i="96"/>
  <c r="M39" i="96"/>
  <c r="J39" i="96"/>
  <c r="H39" i="96"/>
  <c r="G39" i="96"/>
  <c r="D39" i="96"/>
  <c r="C39" i="96"/>
  <c r="AD38" i="96"/>
  <c r="AB38" i="96"/>
  <c r="Z38" i="96"/>
  <c r="T38" i="96"/>
  <c r="V38" i="96" s="1"/>
  <c r="N38" i="96"/>
  <c r="H38" i="96"/>
  <c r="D38" i="96"/>
  <c r="C38" i="96"/>
  <c r="AE37" i="96"/>
  <c r="AD37" i="96"/>
  <c r="AB37" i="96"/>
  <c r="Z37" i="96"/>
  <c r="Y37" i="96"/>
  <c r="V37" i="96"/>
  <c r="T37" i="96"/>
  <c r="S37" i="96"/>
  <c r="P37" i="96"/>
  <c r="N37" i="96"/>
  <c r="M37" i="96"/>
  <c r="J37" i="96"/>
  <c r="H37" i="96"/>
  <c r="G37" i="96"/>
  <c r="C37" i="96"/>
  <c r="E37" i="96" s="1"/>
  <c r="AB36" i="96"/>
  <c r="Z36" i="96"/>
  <c r="AE36" i="96" s="1"/>
  <c r="V36" i="96"/>
  <c r="T36" i="96"/>
  <c r="P36" i="96"/>
  <c r="N36" i="96"/>
  <c r="J36" i="96"/>
  <c r="H36" i="96"/>
  <c r="M36" i="96" s="1"/>
  <c r="C36" i="96"/>
  <c r="E36" i="96" s="1"/>
  <c r="G36" i="96" s="1"/>
  <c r="AB35" i="96"/>
  <c r="Z35" i="96"/>
  <c r="V35" i="96"/>
  <c r="T35" i="96"/>
  <c r="P35" i="96"/>
  <c r="N35" i="96"/>
  <c r="Q35" i="96" s="1"/>
  <c r="R35" i="96" s="1"/>
  <c r="J35" i="96"/>
  <c r="H35" i="96"/>
  <c r="M35" i="96" s="1"/>
  <c r="C35" i="96"/>
  <c r="E35" i="96" s="1"/>
  <c r="G35" i="96" s="1"/>
  <c r="AB34" i="96"/>
  <c r="Z34" i="96"/>
  <c r="V34" i="96"/>
  <c r="T34" i="96"/>
  <c r="W34" i="96" s="1"/>
  <c r="P34" i="96"/>
  <c r="N34" i="96"/>
  <c r="J34" i="96"/>
  <c r="H34" i="96"/>
  <c r="C34" i="96"/>
  <c r="E34" i="96" s="1"/>
  <c r="G34" i="96" s="1"/>
  <c r="Z33" i="96"/>
  <c r="T33" i="96"/>
  <c r="Y33" i="96" s="1"/>
  <c r="N33" i="96"/>
  <c r="H33" i="96"/>
  <c r="K33" i="96" s="1"/>
  <c r="C33" i="96"/>
  <c r="Z32" i="96"/>
  <c r="AC32" i="96" s="1"/>
  <c r="AD32" i="96" s="1"/>
  <c r="T32" i="96"/>
  <c r="N32" i="96"/>
  <c r="Q32" i="96" s="1"/>
  <c r="H32" i="96"/>
  <c r="C32" i="96"/>
  <c r="E32" i="96" s="1"/>
  <c r="F32" i="96" s="1"/>
  <c r="Z31" i="96"/>
  <c r="AC31" i="96" s="1"/>
  <c r="AD31" i="96" s="1"/>
  <c r="T31" i="96"/>
  <c r="N31" i="96"/>
  <c r="Q31" i="96" s="1"/>
  <c r="R31" i="96" s="1"/>
  <c r="H31" i="96"/>
  <c r="K31" i="96" s="1"/>
  <c r="L31" i="96" s="1"/>
  <c r="C31" i="96"/>
  <c r="E31" i="96" s="1"/>
  <c r="F31" i="96" s="1"/>
  <c r="Z30" i="96"/>
  <c r="AC30" i="96" s="1"/>
  <c r="T30" i="96"/>
  <c r="N30" i="96"/>
  <c r="J30" i="96"/>
  <c r="H30" i="96"/>
  <c r="C30" i="96"/>
  <c r="Z29" i="96"/>
  <c r="AE29" i="96" s="1"/>
  <c r="T29" i="96"/>
  <c r="Y29" i="96" s="1"/>
  <c r="N29" i="96"/>
  <c r="S29" i="96" s="1"/>
  <c r="J29" i="96"/>
  <c r="H29" i="96"/>
  <c r="C29" i="96"/>
  <c r="AB28" i="96"/>
  <c r="V28" i="96"/>
  <c r="P28" i="96"/>
  <c r="D28" i="96"/>
  <c r="Z27" i="96"/>
  <c r="AC27" i="96" s="1"/>
  <c r="T27" i="96"/>
  <c r="W27" i="96" s="1"/>
  <c r="X27" i="96" s="1"/>
  <c r="N27" i="96"/>
  <c r="Q27" i="96" s="1"/>
  <c r="R27" i="96" s="1"/>
  <c r="H27" i="96"/>
  <c r="C27" i="96"/>
  <c r="E27" i="96" s="1"/>
  <c r="F27" i="96" s="1"/>
  <c r="Z26" i="96"/>
  <c r="AC26" i="96" s="1"/>
  <c r="T26" i="96"/>
  <c r="W26" i="96" s="1"/>
  <c r="X26" i="96" s="1"/>
  <c r="N26" i="96"/>
  <c r="Q26" i="96" s="1"/>
  <c r="R26" i="96" s="1"/>
  <c r="H26" i="96"/>
  <c r="K26" i="96" s="1"/>
  <c r="L26" i="96" s="1"/>
  <c r="C26" i="96"/>
  <c r="Z25" i="96"/>
  <c r="AC25" i="96" s="1"/>
  <c r="AD25" i="96" s="1"/>
  <c r="T25" i="96"/>
  <c r="W25" i="96" s="1"/>
  <c r="X25" i="96" s="1"/>
  <c r="N25" i="96"/>
  <c r="J25" i="96"/>
  <c r="H25" i="96"/>
  <c r="C25" i="96"/>
  <c r="E25" i="96" s="1"/>
  <c r="F25" i="96" s="1"/>
  <c r="Z24" i="96"/>
  <c r="AC24" i="96" s="1"/>
  <c r="AD24" i="96" s="1"/>
  <c r="T24" i="96"/>
  <c r="N24" i="96"/>
  <c r="Q24" i="96" s="1"/>
  <c r="J24" i="96"/>
  <c r="H24" i="96"/>
  <c r="C24" i="96"/>
  <c r="E24" i="96" s="1"/>
  <c r="F24" i="96" s="1"/>
  <c r="AE23" i="96"/>
  <c r="AB23" i="96"/>
  <c r="Y23" i="96"/>
  <c r="V23" i="96"/>
  <c r="S23" i="96"/>
  <c r="P23" i="96"/>
  <c r="M23" i="96"/>
  <c r="G23" i="96"/>
  <c r="D23" i="96"/>
  <c r="Z22" i="96"/>
  <c r="AC22" i="96" s="1"/>
  <c r="AD22" i="96" s="1"/>
  <c r="T22" i="96"/>
  <c r="W22" i="96" s="1"/>
  <c r="X22" i="96" s="1"/>
  <c r="N22" i="96"/>
  <c r="H22" i="96"/>
  <c r="K22" i="96" s="1"/>
  <c r="L22" i="96" s="1"/>
  <c r="C22" i="96"/>
  <c r="Z21" i="96"/>
  <c r="AC21" i="96" s="1"/>
  <c r="T21" i="96"/>
  <c r="W21" i="96" s="1"/>
  <c r="X21" i="96" s="1"/>
  <c r="N21" i="96"/>
  <c r="Q21" i="96" s="1"/>
  <c r="R21" i="96" s="1"/>
  <c r="H21" i="96"/>
  <c r="K21" i="96" s="1"/>
  <c r="L21" i="96" s="1"/>
  <c r="C21" i="96"/>
  <c r="Z20" i="96"/>
  <c r="T20" i="96"/>
  <c r="W20" i="96" s="1"/>
  <c r="X20" i="96" s="1"/>
  <c r="N20" i="96"/>
  <c r="Q20" i="96" s="1"/>
  <c r="R20" i="96" s="1"/>
  <c r="H20" i="96"/>
  <c r="K20" i="96" s="1"/>
  <c r="L20" i="96" s="1"/>
  <c r="C20" i="96"/>
  <c r="E20" i="96" s="1"/>
  <c r="F20" i="96" s="1"/>
  <c r="Z19" i="96"/>
  <c r="AC19" i="96" s="1"/>
  <c r="AD19" i="96" s="1"/>
  <c r="T19" i="96"/>
  <c r="W19" i="96" s="1"/>
  <c r="N19" i="96"/>
  <c r="Q19" i="96" s="1"/>
  <c r="H19" i="96"/>
  <c r="C19" i="96"/>
  <c r="Z18" i="96"/>
  <c r="AC18" i="96" s="1"/>
  <c r="AD18" i="96" s="1"/>
  <c r="T18" i="96"/>
  <c r="W18" i="96" s="1"/>
  <c r="X18" i="96" s="1"/>
  <c r="N18" i="96"/>
  <c r="Q18" i="96" s="1"/>
  <c r="H18" i="96"/>
  <c r="C18" i="96"/>
  <c r="E18" i="96" s="1"/>
  <c r="AE17" i="96"/>
  <c r="AB17" i="96"/>
  <c r="Y17" i="96"/>
  <c r="V17" i="96"/>
  <c r="S17" i="96"/>
  <c r="P17" i="96"/>
  <c r="M17" i="96"/>
  <c r="J17" i="96"/>
  <c r="G17" i="96"/>
  <c r="D17" i="96"/>
  <c r="Z16" i="96"/>
  <c r="AC16" i="96" s="1"/>
  <c r="AD16" i="96" s="1"/>
  <c r="T16" i="96"/>
  <c r="T11" i="96" s="1"/>
  <c r="N16" i="96"/>
  <c r="H16" i="96"/>
  <c r="C16" i="96"/>
  <c r="Z15" i="96"/>
  <c r="AC15" i="96" s="1"/>
  <c r="AD15" i="96" s="1"/>
  <c r="T15" i="96"/>
  <c r="W15" i="96" s="1"/>
  <c r="X15" i="96" s="1"/>
  <c r="N15" i="96"/>
  <c r="Q15" i="96" s="1"/>
  <c r="R15" i="96" s="1"/>
  <c r="H15" i="96"/>
  <c r="C15" i="96"/>
  <c r="Z14" i="96"/>
  <c r="T14" i="96"/>
  <c r="W14" i="96" s="1"/>
  <c r="X14" i="96" s="1"/>
  <c r="N14" i="96"/>
  <c r="Q14" i="96" s="1"/>
  <c r="R14" i="96" s="1"/>
  <c r="H14" i="96"/>
  <c r="C14" i="96"/>
  <c r="E14" i="96" s="1"/>
  <c r="F14" i="96" s="1"/>
  <c r="Z13" i="96"/>
  <c r="AC13" i="96" s="1"/>
  <c r="AD13" i="96" s="1"/>
  <c r="T13" i="96"/>
  <c r="W13" i="96" s="1"/>
  <c r="N13" i="96"/>
  <c r="Q13" i="96" s="1"/>
  <c r="R13" i="96" s="1"/>
  <c r="R11" i="96" s="1"/>
  <c r="H13" i="96"/>
  <c r="K13" i="96" s="1"/>
  <c r="L13" i="96" s="1"/>
  <c r="C13" i="96"/>
  <c r="Z12" i="96"/>
  <c r="AC12" i="96" s="1"/>
  <c r="AD12" i="96" s="1"/>
  <c r="T12" i="96"/>
  <c r="W12" i="96" s="1"/>
  <c r="X12" i="96" s="1"/>
  <c r="N12" i="96"/>
  <c r="Q12" i="96" s="1"/>
  <c r="R12" i="96" s="1"/>
  <c r="H12" i="96"/>
  <c r="C12" i="96"/>
  <c r="E12" i="96" s="1"/>
  <c r="F12" i="96" s="1"/>
  <c r="AE11" i="96"/>
  <c r="AB11" i="96"/>
  <c r="Y11" i="96"/>
  <c r="V11" i="96"/>
  <c r="S11" i="96"/>
  <c r="M11" i="96"/>
  <c r="G11" i="96"/>
  <c r="A2" i="96"/>
  <c r="AB61" i="95"/>
  <c r="Z61" i="95" s="1"/>
  <c r="X61" i="95" s="1"/>
  <c r="AA61" i="95"/>
  <c r="P61" i="95"/>
  <c r="O61" i="95"/>
  <c r="H61" i="95"/>
  <c r="G61" i="95" s="1"/>
  <c r="E61" i="95" s="1"/>
  <c r="AB60" i="95"/>
  <c r="AA60" i="95"/>
  <c r="Z60" i="95" s="1"/>
  <c r="X60" i="95" s="1"/>
  <c r="P60" i="95"/>
  <c r="O60" i="95"/>
  <c r="N60" i="95" s="1"/>
  <c r="L60" i="95" s="1"/>
  <c r="I60" i="95"/>
  <c r="H60" i="95"/>
  <c r="AB59" i="95"/>
  <c r="AA59" i="95"/>
  <c r="P59" i="95"/>
  <c r="O59" i="95"/>
  <c r="N59" i="95" s="1"/>
  <c r="L59" i="95" s="1"/>
  <c r="I59" i="95"/>
  <c r="H59" i="95"/>
  <c r="G59" i="95" s="1"/>
  <c r="E59" i="95" s="1"/>
  <c r="B59" i="95"/>
  <c r="AB58" i="95"/>
  <c r="AA58" i="95"/>
  <c r="P58" i="95"/>
  <c r="O58" i="95"/>
  <c r="I58" i="95"/>
  <c r="H58" i="95"/>
  <c r="B58" i="95"/>
  <c r="AB57" i="95"/>
  <c r="AA57" i="95"/>
  <c r="P57" i="95"/>
  <c r="O57" i="95"/>
  <c r="I57" i="95"/>
  <c r="H57" i="95"/>
  <c r="B57" i="95"/>
  <c r="Y56" i="95"/>
  <c r="M56" i="95"/>
  <c r="F56" i="95"/>
  <c r="AB55" i="95"/>
  <c r="AA55" i="95"/>
  <c r="P55" i="95"/>
  <c r="O55" i="95"/>
  <c r="N55" i="95" s="1"/>
  <c r="L55" i="95" s="1"/>
  <c r="I55" i="95"/>
  <c r="H55" i="95"/>
  <c r="G55" i="95" s="1"/>
  <c r="E55" i="95" s="1"/>
  <c r="AB54" i="95"/>
  <c r="AA54" i="95"/>
  <c r="P54" i="95"/>
  <c r="O54" i="95"/>
  <c r="I54" i="95"/>
  <c r="H54" i="95"/>
  <c r="AB53" i="95"/>
  <c r="AA53" i="95"/>
  <c r="Z53" i="95" s="1"/>
  <c r="X53" i="95" s="1"/>
  <c r="P53" i="95"/>
  <c r="O53" i="95"/>
  <c r="I53" i="95"/>
  <c r="H53" i="95"/>
  <c r="AB52" i="95"/>
  <c r="AA52" i="95"/>
  <c r="Z52" i="95" s="1"/>
  <c r="X52" i="95" s="1"/>
  <c r="P52" i="95"/>
  <c r="O52" i="95"/>
  <c r="N52" i="95" s="1"/>
  <c r="L52" i="95" s="1"/>
  <c r="I52" i="95"/>
  <c r="H52" i="95"/>
  <c r="AB51" i="95"/>
  <c r="AA51" i="95"/>
  <c r="P51" i="95"/>
  <c r="O51" i="95"/>
  <c r="N51" i="95" s="1"/>
  <c r="L51" i="95" s="1"/>
  <c r="I51" i="95"/>
  <c r="H51" i="95"/>
  <c r="G51" i="95" s="1"/>
  <c r="E51" i="95" s="1"/>
  <c r="AB50" i="95"/>
  <c r="AA50" i="95"/>
  <c r="P50" i="95"/>
  <c r="O50" i="95"/>
  <c r="I50" i="95"/>
  <c r="H50" i="95"/>
  <c r="G50" i="95" s="1"/>
  <c r="E50" i="95" s="1"/>
  <c r="AB49" i="95"/>
  <c r="AA49" i="95"/>
  <c r="P49" i="95"/>
  <c r="O49" i="95"/>
  <c r="I49" i="95"/>
  <c r="H49" i="95"/>
  <c r="AB48" i="95"/>
  <c r="AA48" i="95"/>
  <c r="Z48" i="95" s="1"/>
  <c r="X48" i="95" s="1"/>
  <c r="P48" i="95"/>
  <c r="O48" i="95"/>
  <c r="I48" i="95"/>
  <c r="H48" i="95"/>
  <c r="AB47" i="95"/>
  <c r="AA47" i="95"/>
  <c r="P47" i="95"/>
  <c r="O47" i="95"/>
  <c r="N47" i="95" s="1"/>
  <c r="L47" i="95" s="1"/>
  <c r="I47" i="95"/>
  <c r="H47" i="95"/>
  <c r="G47" i="95" s="1"/>
  <c r="E47" i="95" s="1"/>
  <c r="AB46" i="95"/>
  <c r="AA46" i="95"/>
  <c r="P46" i="95"/>
  <c r="O46" i="95"/>
  <c r="I46" i="95"/>
  <c r="H46" i="95"/>
  <c r="AB45" i="95"/>
  <c r="AA45" i="95"/>
  <c r="P45" i="95"/>
  <c r="O45" i="95"/>
  <c r="I45" i="95"/>
  <c r="H45" i="95"/>
  <c r="B45" i="95"/>
  <c r="AB44" i="95"/>
  <c r="AA44" i="95"/>
  <c r="P44" i="95"/>
  <c r="O44" i="95"/>
  <c r="I44" i="95"/>
  <c r="H44" i="95"/>
  <c r="B44" i="95"/>
  <c r="AB43" i="95"/>
  <c r="AA43" i="95"/>
  <c r="P43" i="95"/>
  <c r="O43" i="95"/>
  <c r="N43" i="95" s="1"/>
  <c r="L43" i="95" s="1"/>
  <c r="I43" i="95"/>
  <c r="H43" i="95"/>
  <c r="AB42" i="95"/>
  <c r="AA42" i="95"/>
  <c r="P42" i="95"/>
  <c r="O42" i="95"/>
  <c r="I42" i="95"/>
  <c r="H42" i="95"/>
  <c r="G42" i="95" s="1"/>
  <c r="E42" i="95" s="1"/>
  <c r="AB41" i="95"/>
  <c r="AA41" i="95"/>
  <c r="P41" i="95"/>
  <c r="O41" i="95"/>
  <c r="I41" i="95"/>
  <c r="H41" i="95"/>
  <c r="G41" i="95" s="1"/>
  <c r="E41" i="95" s="1"/>
  <c r="D37" i="95"/>
  <c r="C37" i="95"/>
  <c r="AA36" i="95"/>
  <c r="Z36" i="95" s="1"/>
  <c r="X36" i="95" s="1"/>
  <c r="O36" i="95"/>
  <c r="N36" i="95" s="1"/>
  <c r="L36" i="95" s="1"/>
  <c r="H36" i="95"/>
  <c r="G36" i="95" s="1"/>
  <c r="E36" i="95" s="1"/>
  <c r="C36" i="95"/>
  <c r="AB35" i="95"/>
  <c r="AA35" i="95"/>
  <c r="Z35" i="95" s="1"/>
  <c r="X35" i="95" s="1"/>
  <c r="P35" i="95"/>
  <c r="O35" i="95"/>
  <c r="G35" i="95"/>
  <c r="C35" i="95"/>
  <c r="F35" i="95" s="1"/>
  <c r="E35" i="95" s="1"/>
  <c r="AB34" i="95"/>
  <c r="AA34" i="95"/>
  <c r="N34" i="95"/>
  <c r="L34" i="95" s="1"/>
  <c r="G34" i="95"/>
  <c r="F34" i="95"/>
  <c r="AA33" i="95"/>
  <c r="Z33" i="95" s="1"/>
  <c r="X33" i="95" s="1"/>
  <c r="O33" i="95"/>
  <c r="N33" i="95" s="1"/>
  <c r="L33" i="95" s="1"/>
  <c r="H33" i="95"/>
  <c r="G33" i="95" s="1"/>
  <c r="E33" i="95" s="1"/>
  <c r="C33" i="95"/>
  <c r="AB32" i="95"/>
  <c r="AA32" i="95"/>
  <c r="P32" i="95"/>
  <c r="P31" i="95" s="1"/>
  <c r="O32" i="95"/>
  <c r="I32" i="95"/>
  <c r="H32" i="95"/>
  <c r="C32" i="95"/>
  <c r="Y31" i="95"/>
  <c r="Y28" i="95" s="1"/>
  <c r="M31" i="95"/>
  <c r="M28" i="95" s="1"/>
  <c r="K31" i="95"/>
  <c r="K28" i="95" s="1"/>
  <c r="J31" i="95"/>
  <c r="J28" i="95" s="1"/>
  <c r="J37" i="95" s="1"/>
  <c r="AF30" i="95"/>
  <c r="AE30" i="95"/>
  <c r="AD30" i="95"/>
  <c r="AC30" i="95"/>
  <c r="R30" i="95"/>
  <c r="Q30" i="95"/>
  <c r="AB29" i="95"/>
  <c r="AA29" i="95"/>
  <c r="Z29" i="95" s="1"/>
  <c r="X29" i="95" s="1"/>
  <c r="P29" i="95"/>
  <c r="O29" i="95"/>
  <c r="N29" i="95" s="1"/>
  <c r="L29" i="95" s="1"/>
  <c r="I29" i="95"/>
  <c r="H29" i="95"/>
  <c r="C29" i="95"/>
  <c r="Z27" i="95"/>
  <c r="Y27" i="95"/>
  <c r="X27" i="95"/>
  <c r="U27" i="95"/>
  <c r="T27" i="95"/>
  <c r="N27" i="95"/>
  <c r="M27" i="95"/>
  <c r="L27" i="95"/>
  <c r="G27" i="95"/>
  <c r="F27" i="95"/>
  <c r="E27" i="95"/>
  <c r="D27" i="95"/>
  <c r="AA26" i="95"/>
  <c r="Z26" i="95" s="1"/>
  <c r="X26" i="95"/>
  <c r="V26" i="95"/>
  <c r="U26" i="95" s="1"/>
  <c r="O26" i="95"/>
  <c r="N26" i="95" s="1"/>
  <c r="L26" i="95"/>
  <c r="H26" i="95"/>
  <c r="G26" i="95" s="1"/>
  <c r="E26" i="95"/>
  <c r="D26" i="95"/>
  <c r="AB25" i="95"/>
  <c r="Z25" i="95" s="1"/>
  <c r="X25" i="95"/>
  <c r="W25" i="95"/>
  <c r="U25" i="95" s="1"/>
  <c r="P25" i="95"/>
  <c r="N25" i="95" s="1"/>
  <c r="L25" i="95"/>
  <c r="I25" i="95"/>
  <c r="G25" i="95" s="1"/>
  <c r="E25" i="95"/>
  <c r="D25" i="95"/>
  <c r="AA24" i="95"/>
  <c r="Z24" i="95" s="1"/>
  <c r="X24" i="95"/>
  <c r="V24" i="95"/>
  <c r="U24" i="95" s="1"/>
  <c r="O24" i="95"/>
  <c r="N24" i="95" s="1"/>
  <c r="L24" i="95"/>
  <c r="H24" i="95"/>
  <c r="G24" i="95" s="1"/>
  <c r="E24" i="95"/>
  <c r="D24" i="95"/>
  <c r="AA23" i="95"/>
  <c r="X23" i="95"/>
  <c r="O23" i="95"/>
  <c r="N23" i="95" s="1"/>
  <c r="L23" i="95"/>
  <c r="H23" i="95"/>
  <c r="G23" i="95" s="1"/>
  <c r="E23" i="95"/>
  <c r="D23" i="95"/>
  <c r="AB22" i="95"/>
  <c r="Z22" i="95" s="1"/>
  <c r="AA22" i="95"/>
  <c r="V22" i="95" s="1"/>
  <c r="Y22" i="95"/>
  <c r="T22" i="95" s="1"/>
  <c r="X22" i="95"/>
  <c r="P22" i="95"/>
  <c r="O22" i="95"/>
  <c r="M22" i="95"/>
  <c r="L22" i="95"/>
  <c r="I22" i="95"/>
  <c r="G22" i="95" s="1"/>
  <c r="H22" i="95"/>
  <c r="F22" i="95"/>
  <c r="E22" i="95"/>
  <c r="D22" i="95"/>
  <c r="Z21" i="95"/>
  <c r="X21" i="95"/>
  <c r="U21" i="95"/>
  <c r="N21" i="95"/>
  <c r="L21" i="95"/>
  <c r="G21" i="95"/>
  <c r="E21" i="95"/>
  <c r="D21" i="95"/>
  <c r="AB20" i="95"/>
  <c r="AA20" i="95"/>
  <c r="X20" i="95"/>
  <c r="W20" i="95"/>
  <c r="V20" i="95" s="1"/>
  <c r="U20" i="95" s="1"/>
  <c r="P20" i="95"/>
  <c r="O20" i="95"/>
  <c r="L20" i="95"/>
  <c r="I20" i="95"/>
  <c r="E20" i="95"/>
  <c r="D20" i="95"/>
  <c r="AB19" i="95"/>
  <c r="AA19" i="95"/>
  <c r="X19" i="95"/>
  <c r="P19" i="95"/>
  <c r="O19" i="95"/>
  <c r="L19" i="95"/>
  <c r="I19" i="95"/>
  <c r="H19" i="95"/>
  <c r="E19" i="95"/>
  <c r="D19" i="95"/>
  <c r="AB18" i="95"/>
  <c r="W18" i="95" s="1"/>
  <c r="AA18" i="95"/>
  <c r="Y18" i="95"/>
  <c r="T18" i="95" s="1"/>
  <c r="X18" i="95"/>
  <c r="P18" i="95"/>
  <c r="O18" i="95"/>
  <c r="M18" i="95"/>
  <c r="L18" i="95"/>
  <c r="AC18" i="95" s="1"/>
  <c r="I18" i="95"/>
  <c r="H18" i="95"/>
  <c r="F18" i="95"/>
  <c r="E18" i="95"/>
  <c r="D18" i="95"/>
  <c r="AA17" i="95"/>
  <c r="Z17" i="95" s="1"/>
  <c r="Y17" i="95"/>
  <c r="T17" i="95" s="1"/>
  <c r="X17" i="95"/>
  <c r="O17" i="95"/>
  <c r="N17" i="95" s="1"/>
  <c r="M17" i="95"/>
  <c r="L17" i="95"/>
  <c r="H17" i="95"/>
  <c r="G17" i="95" s="1"/>
  <c r="F17" i="95"/>
  <c r="E17" i="95"/>
  <c r="D17" i="95"/>
  <c r="AB16" i="95"/>
  <c r="AA16" i="95"/>
  <c r="X16" i="95"/>
  <c r="P16" i="95"/>
  <c r="O16" i="95"/>
  <c r="L16" i="95"/>
  <c r="I16" i="95"/>
  <c r="H16" i="95"/>
  <c r="E16" i="95"/>
  <c r="D16" i="95"/>
  <c r="AB15" i="95"/>
  <c r="Z15" i="95" s="1"/>
  <c r="X15" i="95"/>
  <c r="W15" i="95"/>
  <c r="U15" i="95" s="1"/>
  <c r="P15" i="95"/>
  <c r="N15" i="95" s="1"/>
  <c r="L15" i="95"/>
  <c r="I15" i="95"/>
  <c r="G15" i="95" s="1"/>
  <c r="E15" i="95"/>
  <c r="D15" i="95"/>
  <c r="Z14" i="95"/>
  <c r="X14" i="95"/>
  <c r="U14" i="95"/>
  <c r="P14" i="95"/>
  <c r="N14" i="95" s="1"/>
  <c r="L14" i="95"/>
  <c r="G14" i="95"/>
  <c r="E14" i="95"/>
  <c r="D14" i="95"/>
  <c r="AB13" i="95"/>
  <c r="X13" i="95"/>
  <c r="W13" i="95"/>
  <c r="U13" i="95" s="1"/>
  <c r="P13" i="95"/>
  <c r="N13" i="95" s="1"/>
  <c r="L13" i="95"/>
  <c r="I13" i="95"/>
  <c r="G13" i="95" s="1"/>
  <c r="E13" i="95"/>
  <c r="D13" i="95"/>
  <c r="AB12" i="95"/>
  <c r="AA12" i="95"/>
  <c r="X12" i="95"/>
  <c r="W12" i="95"/>
  <c r="V12" i="95"/>
  <c r="P12" i="95"/>
  <c r="O12" i="95"/>
  <c r="N12" i="95" s="1"/>
  <c r="L12" i="95"/>
  <c r="I12" i="95"/>
  <c r="H12" i="95"/>
  <c r="E12" i="95"/>
  <c r="D12" i="95"/>
  <c r="AA11" i="95"/>
  <c r="Z11" i="95" s="1"/>
  <c r="X11" i="95"/>
  <c r="S11" i="95"/>
  <c r="V11" i="95" s="1"/>
  <c r="U11" i="95" s="1"/>
  <c r="O11" i="95"/>
  <c r="N11" i="95" s="1"/>
  <c r="L11" i="95"/>
  <c r="H11" i="95"/>
  <c r="G11" i="95" s="1"/>
  <c r="E11" i="95"/>
  <c r="D11" i="95"/>
  <c r="AA10" i="95"/>
  <c r="Z10" i="95" s="1"/>
  <c r="X10" i="95"/>
  <c r="S10" i="95"/>
  <c r="O10" i="95"/>
  <c r="N10" i="95" s="1"/>
  <c r="L10" i="95"/>
  <c r="J10" i="95"/>
  <c r="J8" i="95" s="1"/>
  <c r="J9" i="95" s="1"/>
  <c r="H10" i="95"/>
  <c r="E10" i="95"/>
  <c r="D10" i="95"/>
  <c r="C10" i="95"/>
  <c r="C8" i="95" s="1"/>
  <c r="W33" i="94"/>
  <c r="AI27" i="94"/>
  <c r="AJ27" i="94" s="1"/>
  <c r="U27" i="94"/>
  <c r="P27" i="94"/>
  <c r="O27" i="94"/>
  <c r="L27" i="94"/>
  <c r="G27" i="94"/>
  <c r="F27" i="94"/>
  <c r="E27" i="94"/>
  <c r="D27" i="94"/>
  <c r="AI26" i="94"/>
  <c r="AJ26" i="94" s="1"/>
  <c r="L26" i="94"/>
  <c r="Z26" i="94" s="1"/>
  <c r="H26" i="94"/>
  <c r="G26" i="94" s="1"/>
  <c r="E26" i="94"/>
  <c r="D26" i="94"/>
  <c r="AI25" i="94"/>
  <c r="AJ25" i="94" s="1"/>
  <c r="R25" i="94"/>
  <c r="P25" i="94" s="1"/>
  <c r="L25" i="94"/>
  <c r="I25" i="94"/>
  <c r="G25" i="94" s="1"/>
  <c r="E25" i="94"/>
  <c r="D25" i="94"/>
  <c r="AI24" i="94"/>
  <c r="AJ24" i="94" s="1"/>
  <c r="Q24" i="94"/>
  <c r="L24" i="94"/>
  <c r="H24" i="94"/>
  <c r="G24" i="94" s="1"/>
  <c r="E24" i="94"/>
  <c r="D24" i="94"/>
  <c r="AI23" i="94"/>
  <c r="AJ23" i="94" s="1"/>
  <c r="X23" i="94"/>
  <c r="L23" i="94"/>
  <c r="H23" i="94"/>
  <c r="G23" i="94" s="1"/>
  <c r="E23" i="94"/>
  <c r="D23" i="94"/>
  <c r="AA23" i="94" s="1"/>
  <c r="AC23" i="94" s="1"/>
  <c r="AI22" i="94"/>
  <c r="AJ22" i="94" s="1"/>
  <c r="L22" i="94"/>
  <c r="Z22" i="94" s="1"/>
  <c r="I22" i="94"/>
  <c r="H22" i="94"/>
  <c r="G22" i="94" s="1"/>
  <c r="F22" i="94"/>
  <c r="E22" i="94"/>
  <c r="K22" i="94" s="1"/>
  <c r="D22" i="94"/>
  <c r="AI21" i="94"/>
  <c r="AJ21" i="94" s="1"/>
  <c r="Z21" i="94"/>
  <c r="U21" i="94"/>
  <c r="S21" i="94"/>
  <c r="X21" i="94" s="1"/>
  <c r="P21" i="94"/>
  <c r="L21" i="94"/>
  <c r="G21" i="94"/>
  <c r="E21" i="94"/>
  <c r="D21" i="94"/>
  <c r="AI20" i="94"/>
  <c r="AJ20" i="94" s="1"/>
  <c r="R20" i="94"/>
  <c r="Q20" i="94" s="1"/>
  <c r="P20" i="94" s="1"/>
  <c r="L20" i="94"/>
  <c r="Z20" i="94" s="1"/>
  <c r="I20" i="94"/>
  <c r="G20" i="94" s="1"/>
  <c r="E20" i="94"/>
  <c r="D20" i="94"/>
  <c r="AI19" i="94"/>
  <c r="AJ19" i="94"/>
  <c r="L19" i="94"/>
  <c r="Z19" i="94" s="1"/>
  <c r="I19" i="94"/>
  <c r="H19" i="94"/>
  <c r="E19" i="94"/>
  <c r="D19" i="94"/>
  <c r="AI18" i="94"/>
  <c r="AJ18" i="94" s="1"/>
  <c r="X18" i="94"/>
  <c r="L18" i="94"/>
  <c r="I18" i="94"/>
  <c r="H18" i="94"/>
  <c r="F18" i="94"/>
  <c r="E18" i="94"/>
  <c r="D18" i="94"/>
  <c r="AI17" i="94"/>
  <c r="AJ17" i="94" s="1"/>
  <c r="L17" i="94"/>
  <c r="Z17" i="94" s="1"/>
  <c r="H17" i="94"/>
  <c r="G17" i="94" s="1"/>
  <c r="F17" i="94"/>
  <c r="E17" i="94"/>
  <c r="K17" i="94" s="1"/>
  <c r="D17" i="94"/>
  <c r="AI16" i="94"/>
  <c r="AJ16" i="94" s="1"/>
  <c r="L16" i="94"/>
  <c r="Z16" i="94" s="1"/>
  <c r="I16" i="94"/>
  <c r="H16" i="94"/>
  <c r="E16" i="94"/>
  <c r="D16" i="94"/>
  <c r="AI15" i="94"/>
  <c r="AJ15" i="94" s="1"/>
  <c r="R15" i="94"/>
  <c r="P15" i="94" s="1"/>
  <c r="L15" i="94"/>
  <c r="I15" i="94"/>
  <c r="G15" i="94" s="1"/>
  <c r="E15" i="94"/>
  <c r="D15" i="94"/>
  <c r="AI14" i="94"/>
  <c r="AJ14" i="94" s="1"/>
  <c r="Z14" i="94"/>
  <c r="U14" i="94"/>
  <c r="S14" i="94"/>
  <c r="P14" i="94"/>
  <c r="L14" i="94"/>
  <c r="G14" i="94"/>
  <c r="E14" i="94"/>
  <c r="D14" i="94"/>
  <c r="AA14" i="94" s="1"/>
  <c r="AC14" i="94" s="1"/>
  <c r="AI13" i="94"/>
  <c r="AJ13" i="94" s="1"/>
  <c r="R13" i="94"/>
  <c r="P13" i="94" s="1"/>
  <c r="L13" i="94"/>
  <c r="Z13" i="94" s="1"/>
  <c r="I13" i="94"/>
  <c r="G13" i="94" s="1"/>
  <c r="E13" i="94"/>
  <c r="D13" i="94"/>
  <c r="AI12" i="94"/>
  <c r="AJ12" i="94" s="1"/>
  <c r="R12" i="94"/>
  <c r="Q12" i="94"/>
  <c r="L12" i="94"/>
  <c r="I12" i="94"/>
  <c r="H12" i="94"/>
  <c r="E12" i="94"/>
  <c r="K12" i="94" s="1"/>
  <c r="D12" i="94"/>
  <c r="AI11" i="94"/>
  <c r="AJ11" i="94" s="1"/>
  <c r="N11" i="94"/>
  <c r="L11" i="94"/>
  <c r="H11" i="94"/>
  <c r="G11" i="94" s="1"/>
  <c r="E11" i="94"/>
  <c r="D11" i="94"/>
  <c r="AA11" i="94" s="1"/>
  <c r="AC11" i="94" s="1"/>
  <c r="N10" i="94"/>
  <c r="L10" i="94"/>
  <c r="J10" i="94"/>
  <c r="J8" i="94"/>
  <c r="J7" i="94" s="1"/>
  <c r="H10" i="94"/>
  <c r="G10" i="94" s="1"/>
  <c r="E10" i="94"/>
  <c r="D10" i="94"/>
  <c r="C10" i="94"/>
  <c r="C8" i="94" s="1"/>
  <c r="C9" i="94" s="1"/>
  <c r="D214" i="93"/>
  <c r="F208" i="93"/>
  <c r="F209" i="93" s="1"/>
  <c r="F206" i="93"/>
  <c r="F207" i="93" s="1"/>
  <c r="A194" i="93"/>
  <c r="A195" i="93" s="1"/>
  <c r="A196" i="93" s="1"/>
  <c r="A197" i="93" s="1"/>
  <c r="A198" i="93" s="1"/>
  <c r="E186" i="93"/>
  <c r="E177" i="93"/>
  <c r="G170" i="93"/>
  <c r="G169" i="93"/>
  <c r="G168" i="93"/>
  <c r="G167" i="93"/>
  <c r="G166" i="93"/>
  <c r="E164" i="93"/>
  <c r="G164" i="93" s="1"/>
  <c r="E160" i="93"/>
  <c r="G160" i="93" s="1"/>
  <c r="E159" i="93"/>
  <c r="G159" i="93" s="1"/>
  <c r="E158" i="93"/>
  <c r="G158" i="93" s="1"/>
  <c r="D155" i="93"/>
  <c r="E154" i="93"/>
  <c r="G154" i="93" s="1"/>
  <c r="G153" i="93"/>
  <c r="E150" i="93"/>
  <c r="G150" i="93" s="1"/>
  <c r="E149" i="93"/>
  <c r="G149" i="93" s="1"/>
  <c r="E148" i="93"/>
  <c r="G148" i="93" s="1"/>
  <c r="G145" i="93"/>
  <c r="G144" i="93"/>
  <c r="E141" i="93"/>
  <c r="G141" i="93" s="1"/>
  <c r="E140" i="93"/>
  <c r="G140" i="93" s="1"/>
  <c r="E139" i="93"/>
  <c r="G136" i="93"/>
  <c r="F135" i="93"/>
  <c r="G135" i="93" s="1"/>
  <c r="G133" i="93" s="1"/>
  <c r="E131" i="93"/>
  <c r="G131" i="93" s="1"/>
  <c r="E130" i="93"/>
  <c r="E129" i="93"/>
  <c r="G129" i="93" s="1"/>
  <c r="E125" i="93"/>
  <c r="G125" i="93" s="1"/>
  <c r="E124" i="93"/>
  <c r="G124" i="93" s="1"/>
  <c r="E123" i="93"/>
  <c r="G123" i="93" s="1"/>
  <c r="E119" i="93"/>
  <c r="E118" i="93"/>
  <c r="G118" i="93" s="1"/>
  <c r="E117" i="93"/>
  <c r="G117" i="93" s="1"/>
  <c r="G114" i="93"/>
  <c r="E112" i="93"/>
  <c r="G112" i="93" s="1"/>
  <c r="E111" i="93"/>
  <c r="G111" i="93" s="1"/>
  <c r="E110" i="93"/>
  <c r="G110" i="93" s="1"/>
  <c r="F105" i="93"/>
  <c r="G105" i="93" s="1"/>
  <c r="F104" i="93"/>
  <c r="G104" i="93" s="1"/>
  <c r="F103" i="93"/>
  <c r="G103" i="93" s="1"/>
  <c r="F102" i="93"/>
  <c r="G102" i="93" s="1"/>
  <c r="G101" i="93" s="1"/>
  <c r="G100" i="93" s="1"/>
  <c r="E101" i="93"/>
  <c r="F99" i="93"/>
  <c r="G99" i="93" s="1"/>
  <c r="F98" i="93"/>
  <c r="G98" i="93" s="1"/>
  <c r="F97" i="93"/>
  <c r="G97" i="93" s="1"/>
  <c r="E96" i="93"/>
  <c r="G95" i="93"/>
  <c r="E94" i="93"/>
  <c r="G94" i="93" s="1"/>
  <c r="E91" i="93"/>
  <c r="G91" i="93" s="1"/>
  <c r="E90" i="93"/>
  <c r="G90" i="93" s="1"/>
  <c r="F83" i="93"/>
  <c r="E83" i="93"/>
  <c r="F82" i="93"/>
  <c r="G82" i="93" s="1"/>
  <c r="F81" i="93"/>
  <c r="G81" i="93"/>
  <c r="E75" i="93"/>
  <c r="G77" i="93" s="1"/>
  <c r="E70" i="93"/>
  <c r="E68" i="93" s="1"/>
  <c r="G69" i="93"/>
  <c r="E67" i="93"/>
  <c r="G67" i="93" s="1"/>
  <c r="G66" i="93"/>
  <c r="E63" i="93"/>
  <c r="G63" i="93" s="1"/>
  <c r="E62" i="93"/>
  <c r="G62" i="93" s="1"/>
  <c r="E61" i="93"/>
  <c r="G61" i="93" s="1"/>
  <c r="F57" i="93"/>
  <c r="G57" i="93" s="1"/>
  <c r="F56" i="93"/>
  <c r="G56" i="93" s="1"/>
  <c r="F55" i="93"/>
  <c r="G55" i="93" s="1"/>
  <c r="F54" i="93"/>
  <c r="G54" i="93" s="1"/>
  <c r="F53" i="93"/>
  <c r="G53" i="93" s="1"/>
  <c r="F52" i="93"/>
  <c r="G52" i="93" s="1"/>
  <c r="F51" i="93"/>
  <c r="G51" i="93" s="1"/>
  <c r="F50" i="93"/>
  <c r="G50" i="93" s="1"/>
  <c r="E48" i="93"/>
  <c r="G48" i="93" s="1"/>
  <c r="G47" i="93"/>
  <c r="G46" i="93"/>
  <c r="G45" i="93"/>
  <c r="E41" i="93"/>
  <c r="G41" i="93"/>
  <c r="E40" i="93"/>
  <c r="G40" i="93" s="1"/>
  <c r="E39" i="93"/>
  <c r="I37" i="93"/>
  <c r="G34" i="93"/>
  <c r="F34" i="93"/>
  <c r="E34" i="93"/>
  <c r="F33" i="93"/>
  <c r="F32" i="93"/>
  <c r="G32" i="93" s="1"/>
  <c r="G31" i="93" s="1"/>
  <c r="E24" i="93"/>
  <c r="G26" i="93" s="1"/>
  <c r="G19" i="93"/>
  <c r="G18" i="93"/>
  <c r="G17" i="93"/>
  <c r="G16" i="93"/>
  <c r="E15" i="93"/>
  <c r="I14" i="93"/>
  <c r="D13" i="93"/>
  <c r="D9" i="93"/>
  <c r="B8" i="93"/>
  <c r="C8" i="93" s="1"/>
  <c r="D8" i="93" s="1"/>
  <c r="E8" i="93" s="1"/>
  <c r="F8" i="93" s="1"/>
  <c r="G8" i="93" s="1"/>
  <c r="D40" i="92"/>
  <c r="P36" i="92"/>
  <c r="M36" i="92"/>
  <c r="J36" i="92"/>
  <c r="D35" i="92"/>
  <c r="C35" i="92"/>
  <c r="AJ35" i="92" s="1"/>
  <c r="AB34" i="92"/>
  <c r="AC34" i="92" s="1"/>
  <c r="AD34" i="92" s="1"/>
  <c r="AE34" i="92" s="1"/>
  <c r="AF34" i="92" s="1"/>
  <c r="AG34" i="92" s="1"/>
  <c r="AH34" i="92" s="1"/>
  <c r="D34" i="92"/>
  <c r="C34" i="92"/>
  <c r="AB33" i="92"/>
  <c r="D33" i="92"/>
  <c r="C33" i="92"/>
  <c r="AA32" i="92"/>
  <c r="AA31" i="92" s="1"/>
  <c r="Z32" i="92"/>
  <c r="Z31" i="92"/>
  <c r="Y32" i="92"/>
  <c r="Y31" i="92"/>
  <c r="X32" i="92"/>
  <c r="X31" i="92" s="1"/>
  <c r="W32" i="92"/>
  <c r="W31" i="92" s="1"/>
  <c r="T32" i="92"/>
  <c r="T31" i="92" s="1"/>
  <c r="S32" i="92"/>
  <c r="S31" i="92" s="1"/>
  <c r="R32" i="92"/>
  <c r="R31" i="92"/>
  <c r="Q32" i="92"/>
  <c r="Q31" i="92" s="1"/>
  <c r="P32" i="92"/>
  <c r="P31" i="92" s="1"/>
  <c r="O32" i="92"/>
  <c r="O31" i="92" s="1"/>
  <c r="N32" i="92"/>
  <c r="N31" i="92" s="1"/>
  <c r="M32" i="92"/>
  <c r="M31" i="92" s="1"/>
  <c r="L32" i="92"/>
  <c r="L31" i="92" s="1"/>
  <c r="K32" i="92"/>
  <c r="K31" i="92" s="1"/>
  <c r="J32" i="92"/>
  <c r="J31" i="92" s="1"/>
  <c r="I32" i="92"/>
  <c r="I31" i="92" s="1"/>
  <c r="H32" i="92"/>
  <c r="H31" i="92" s="1"/>
  <c r="G32" i="92"/>
  <c r="G31" i="92" s="1"/>
  <c r="F32" i="92"/>
  <c r="F31" i="92" s="1"/>
  <c r="AF30" i="92"/>
  <c r="AG30" i="92" s="1"/>
  <c r="AH30" i="92" s="1"/>
  <c r="Q30" i="92"/>
  <c r="D30" i="92"/>
  <c r="C30" i="92"/>
  <c r="R29" i="92"/>
  <c r="R28" i="92" s="1"/>
  <c r="O29" i="92"/>
  <c r="O28" i="92" s="1"/>
  <c r="L29" i="92"/>
  <c r="N29" i="92" s="1"/>
  <c r="N28" i="92" s="1"/>
  <c r="I29" i="92"/>
  <c r="F29" i="92"/>
  <c r="F28" i="92" s="1"/>
  <c r="D29" i="92"/>
  <c r="AK29" i="92" s="1"/>
  <c r="AE28" i="92"/>
  <c r="AD28" i="92"/>
  <c r="AC28" i="92"/>
  <c r="AB28" i="92"/>
  <c r="AA28" i="92"/>
  <c r="Z28" i="92"/>
  <c r="Y28" i="92"/>
  <c r="X28" i="92"/>
  <c r="W28" i="92"/>
  <c r="T28" i="92"/>
  <c r="S28" i="92"/>
  <c r="P28" i="92"/>
  <c r="M28" i="92"/>
  <c r="J28" i="92"/>
  <c r="G28" i="92"/>
  <c r="P27" i="92"/>
  <c r="Q27" i="92" s="1"/>
  <c r="O27" i="92"/>
  <c r="M27" i="92"/>
  <c r="L27" i="92"/>
  <c r="I27" i="92"/>
  <c r="G27" i="92"/>
  <c r="G41" i="92" s="1"/>
  <c r="F27" i="92"/>
  <c r="AG26" i="92"/>
  <c r="AH26" i="92" s="1"/>
  <c r="AC26" i="92"/>
  <c r="AD26" i="92" s="1"/>
  <c r="AE26" i="92"/>
  <c r="W26" i="92"/>
  <c r="AB25" i="92"/>
  <c r="AB23" i="92" s="1"/>
  <c r="T25" i="92"/>
  <c r="P25" i="92"/>
  <c r="O25" i="92"/>
  <c r="M25" i="92"/>
  <c r="L25" i="92"/>
  <c r="I25" i="92"/>
  <c r="K25" i="92" s="1"/>
  <c r="F25" i="92"/>
  <c r="AC24" i="92"/>
  <c r="AD24" i="92" s="1"/>
  <c r="AE24" i="92" s="1"/>
  <c r="AF24" i="92" s="1"/>
  <c r="AG24" i="92" s="1"/>
  <c r="AH24" i="92" s="1"/>
  <c r="T24" i="92"/>
  <c r="T22" i="92" s="1"/>
  <c r="Q24" i="92"/>
  <c r="M24" i="92"/>
  <c r="J24" i="92"/>
  <c r="J22" i="92" s="1"/>
  <c r="J21" i="92" s="1"/>
  <c r="H24" i="92"/>
  <c r="C24" i="92"/>
  <c r="W24" i="92" s="1"/>
  <c r="T23" i="92"/>
  <c r="P23" i="92"/>
  <c r="O23" i="92"/>
  <c r="O22" i="92" s="1"/>
  <c r="O21" i="92" s="1"/>
  <c r="M23" i="92"/>
  <c r="L23" i="92"/>
  <c r="I23" i="92"/>
  <c r="G23" i="92"/>
  <c r="G22" i="92"/>
  <c r="G21" i="92" s="1"/>
  <c r="F23" i="92"/>
  <c r="AA22" i="92"/>
  <c r="AA21" i="92" s="1"/>
  <c r="Z22" i="92"/>
  <c r="Z21" i="92" s="1"/>
  <c r="Y22" i="92"/>
  <c r="Y21" i="92" s="1"/>
  <c r="X22" i="92"/>
  <c r="X21" i="92" s="1"/>
  <c r="T20" i="92"/>
  <c r="Q20" i="92"/>
  <c r="N20" i="92"/>
  <c r="K20" i="92"/>
  <c r="H20" i="92"/>
  <c r="D20" i="92"/>
  <c r="C20" i="92"/>
  <c r="AB19" i="92"/>
  <c r="AC19" i="92" s="1"/>
  <c r="M19" i="92"/>
  <c r="M18" i="92" s="1"/>
  <c r="J19" i="92"/>
  <c r="J18" i="92" s="1"/>
  <c r="H19" i="92"/>
  <c r="C19" i="92"/>
  <c r="AA18" i="92"/>
  <c r="Z18" i="92"/>
  <c r="Y18" i="92"/>
  <c r="X18" i="92"/>
  <c r="R18" i="92"/>
  <c r="O18" i="92"/>
  <c r="L18" i="92"/>
  <c r="I18" i="92"/>
  <c r="G18" i="92"/>
  <c r="F18" i="92"/>
  <c r="D17" i="92"/>
  <c r="C17" i="92"/>
  <c r="AF16" i="92"/>
  <c r="AF15" i="92" s="1"/>
  <c r="AE16" i="92"/>
  <c r="AE15" i="92" s="1"/>
  <c r="AD16" i="92"/>
  <c r="AD15" i="92" s="1"/>
  <c r="AC16" i="92"/>
  <c r="AC15" i="92" s="1"/>
  <c r="AB16" i="92"/>
  <c r="AB15" i="92" s="1"/>
  <c r="AA16" i="92"/>
  <c r="AA15" i="92" s="1"/>
  <c r="Z16" i="92"/>
  <c r="Z15" i="92" s="1"/>
  <c r="Y16" i="92"/>
  <c r="R16" i="92"/>
  <c r="R15" i="92" s="1"/>
  <c r="P16" i="92"/>
  <c r="O16" i="92"/>
  <c r="O15" i="92" s="1"/>
  <c r="M16" i="92"/>
  <c r="L16" i="92"/>
  <c r="L15" i="92" s="1"/>
  <c r="J16" i="92"/>
  <c r="I16" i="92"/>
  <c r="G16" i="92"/>
  <c r="F16" i="92"/>
  <c r="X15" i="92"/>
  <c r="AF14" i="92"/>
  <c r="AG14" i="92" s="1"/>
  <c r="AE14" i="92"/>
  <c r="AD14" i="92"/>
  <c r="AC14" i="92"/>
  <c r="AC12" i="92" s="1"/>
  <c r="AB14" i="92"/>
  <c r="AA14" i="92"/>
  <c r="Z14" i="92"/>
  <c r="Y14" i="92"/>
  <c r="Y12" i="92" s="1"/>
  <c r="R14" i="92"/>
  <c r="P14" i="92"/>
  <c r="O14" i="92"/>
  <c r="M14" i="92"/>
  <c r="L14" i="92"/>
  <c r="J14" i="92"/>
  <c r="I14" i="92"/>
  <c r="G14" i="92"/>
  <c r="H14" i="92" s="1"/>
  <c r="F14" i="92"/>
  <c r="AF13" i="92"/>
  <c r="AG13" i="92" s="1"/>
  <c r="AE13" i="92"/>
  <c r="AD13" i="92"/>
  <c r="AD12" i="92" s="1"/>
  <c r="AC13" i="92"/>
  <c r="AB13" i="92"/>
  <c r="AA13" i="92"/>
  <c r="Z13" i="92"/>
  <c r="Y13" i="92"/>
  <c r="R13" i="92"/>
  <c r="P13" i="92"/>
  <c r="O13" i="92"/>
  <c r="Q13" i="92" s="1"/>
  <c r="M13" i="92"/>
  <c r="L13" i="92"/>
  <c r="J13" i="92"/>
  <c r="I13" i="92"/>
  <c r="G13" i="92"/>
  <c r="F13" i="92"/>
  <c r="X12" i="92"/>
  <c r="AF11" i="92"/>
  <c r="AE11" i="92"/>
  <c r="AD11" i="92"/>
  <c r="AC11" i="92"/>
  <c r="AB11" i="92"/>
  <c r="AB9" i="92" s="1"/>
  <c r="AA11" i="92"/>
  <c r="Z11" i="92"/>
  <c r="Y11" i="92"/>
  <c r="R11" i="92"/>
  <c r="R9" i="92" s="1"/>
  <c r="P11" i="92"/>
  <c r="O11" i="92"/>
  <c r="M11" i="92"/>
  <c r="L11" i="92"/>
  <c r="J11" i="92"/>
  <c r="I11" i="92"/>
  <c r="G11" i="92"/>
  <c r="F11" i="92"/>
  <c r="AF10" i="92"/>
  <c r="AG10" i="92" s="1"/>
  <c r="AE10" i="92"/>
  <c r="AD10" i="92"/>
  <c r="AC10" i="92"/>
  <c r="AC9" i="92" s="1"/>
  <c r="AB10" i="92"/>
  <c r="AA10" i="92"/>
  <c r="Z10" i="92"/>
  <c r="Y10" i="92"/>
  <c r="R10" i="92"/>
  <c r="P10" i="92"/>
  <c r="O10" i="92"/>
  <c r="M10" i="92"/>
  <c r="L10" i="92"/>
  <c r="J10" i="92"/>
  <c r="I10" i="92"/>
  <c r="G10" i="92"/>
  <c r="F10" i="92"/>
  <c r="X9" i="92"/>
  <c r="AN8" i="92"/>
  <c r="AN10" i="92"/>
  <c r="Z19" i="91"/>
  <c r="M17" i="91"/>
  <c r="L17" i="91"/>
  <c r="M16" i="91"/>
  <c r="L16" i="91"/>
  <c r="F15" i="91"/>
  <c r="E15" i="91"/>
  <c r="D15" i="91"/>
  <c r="Y14" i="91"/>
  <c r="X14" i="91"/>
  <c r="W14" i="91"/>
  <c r="V14" i="91"/>
  <c r="M14" i="91"/>
  <c r="L14" i="91"/>
  <c r="F14" i="91"/>
  <c r="E14" i="91"/>
  <c r="D14" i="91"/>
  <c r="AD12" i="91"/>
  <c r="Y12" i="91"/>
  <c r="X12" i="91"/>
  <c r="W12" i="91"/>
  <c r="V12" i="91"/>
  <c r="U12" i="91"/>
  <c r="P12" i="91"/>
  <c r="O12" i="91"/>
  <c r="N12" i="91"/>
  <c r="AD11" i="91"/>
  <c r="Y11" i="91"/>
  <c r="X11" i="91"/>
  <c r="W11" i="91"/>
  <c r="V11" i="91"/>
  <c r="U11" i="91"/>
  <c r="P11" i="91"/>
  <c r="O11" i="91"/>
  <c r="N11" i="91"/>
  <c r="N16" i="91" s="1"/>
  <c r="AD10" i="91"/>
  <c r="Y10" i="91"/>
  <c r="X10" i="91"/>
  <c r="W10" i="91"/>
  <c r="V10" i="91"/>
  <c r="U10" i="91"/>
  <c r="P10" i="91"/>
  <c r="O10" i="91"/>
  <c r="N10" i="91"/>
  <c r="M10" i="91"/>
  <c r="M8" i="91" s="1"/>
  <c r="L10" i="91"/>
  <c r="H10" i="91"/>
  <c r="H8" i="91" s="1"/>
  <c r="G10" i="91"/>
  <c r="I20" i="91" s="1"/>
  <c r="Z9" i="91"/>
  <c r="P9" i="91"/>
  <c r="U14" i="91" s="1"/>
  <c r="O9" i="91"/>
  <c r="N9" i="91"/>
  <c r="G9" i="91"/>
  <c r="H14" i="91" s="1"/>
  <c r="F8" i="91"/>
  <c r="E8" i="91"/>
  <c r="D8" i="91"/>
  <c r="C8" i="91"/>
  <c r="P47" i="90"/>
  <c r="P46" i="90"/>
  <c r="P45" i="90"/>
  <c r="P44" i="90"/>
  <c r="P43" i="90"/>
  <c r="P42" i="90"/>
  <c r="P41" i="90"/>
  <c r="P40" i="90"/>
  <c r="P39" i="90"/>
  <c r="P38" i="90"/>
  <c r="P37" i="90"/>
  <c r="P36" i="90"/>
  <c r="U35" i="90"/>
  <c r="T35" i="90"/>
  <c r="S35" i="90"/>
  <c r="R35" i="90"/>
  <c r="Q35" i="90"/>
  <c r="O35" i="90"/>
  <c r="N35" i="90"/>
  <c r="M35" i="90"/>
  <c r="L35" i="90"/>
  <c r="J35" i="90"/>
  <c r="I35" i="90"/>
  <c r="H35" i="90"/>
  <c r="G35" i="90"/>
  <c r="F35" i="90"/>
  <c r="E35" i="90"/>
  <c r="D35" i="90"/>
  <c r="C35" i="90"/>
  <c r="Q34" i="90"/>
  <c r="O34" i="90"/>
  <c r="N34" i="90"/>
  <c r="H34" i="90"/>
  <c r="G34" i="90"/>
  <c r="Q33" i="90"/>
  <c r="O33" i="90"/>
  <c r="N33" i="90"/>
  <c r="M33" i="90"/>
  <c r="L33" i="90"/>
  <c r="J33" i="90"/>
  <c r="I33" i="90"/>
  <c r="G33" i="90"/>
  <c r="H33" i="90" s="1"/>
  <c r="Q32" i="90"/>
  <c r="Q31" i="90" s="1"/>
  <c r="O32" i="90"/>
  <c r="N32" i="90"/>
  <c r="M32" i="90"/>
  <c r="L32" i="90"/>
  <c r="L31" i="90" s="1"/>
  <c r="J32" i="90"/>
  <c r="I32" i="90"/>
  <c r="G32" i="90"/>
  <c r="H32" i="90" s="1"/>
  <c r="U31" i="90"/>
  <c r="T31" i="90"/>
  <c r="S31" i="90"/>
  <c r="R31" i="90"/>
  <c r="F31" i="90"/>
  <c r="E31" i="90"/>
  <c r="D31" i="90"/>
  <c r="C31" i="90"/>
  <c r="U30" i="90"/>
  <c r="T30" i="90"/>
  <c r="S30" i="90"/>
  <c r="R30" i="90"/>
  <c r="Q30" i="90"/>
  <c r="O30" i="90"/>
  <c r="N30" i="90"/>
  <c r="M30" i="90"/>
  <c r="L30" i="90"/>
  <c r="J30" i="90"/>
  <c r="I30" i="90"/>
  <c r="H30" i="90"/>
  <c r="G30" i="90"/>
  <c r="F30" i="90"/>
  <c r="D30" i="90"/>
  <c r="C30" i="90"/>
  <c r="Q29" i="90"/>
  <c r="O29" i="90"/>
  <c r="N29" i="90"/>
  <c r="M29" i="90"/>
  <c r="L29" i="90"/>
  <c r="I29" i="90"/>
  <c r="H29" i="90"/>
  <c r="G29" i="90"/>
  <c r="Q28" i="90"/>
  <c r="V28" i="90" s="1"/>
  <c r="O28" i="90"/>
  <c r="N28" i="90"/>
  <c r="M28" i="90"/>
  <c r="L28" i="90"/>
  <c r="I28" i="90"/>
  <c r="H28" i="90"/>
  <c r="K28" i="90" s="1"/>
  <c r="G28" i="90"/>
  <c r="U27" i="90"/>
  <c r="T27" i="90"/>
  <c r="S27" i="90"/>
  <c r="R27" i="90"/>
  <c r="Q27" i="90"/>
  <c r="O27" i="90"/>
  <c r="N27" i="90"/>
  <c r="M27" i="90"/>
  <c r="L27" i="90"/>
  <c r="J27" i="90"/>
  <c r="I27" i="90"/>
  <c r="H27" i="90"/>
  <c r="G27" i="90"/>
  <c r="F27" i="90"/>
  <c r="D27" i="90"/>
  <c r="C27" i="90"/>
  <c r="U26" i="90"/>
  <c r="U22" i="90" s="1"/>
  <c r="U21" i="90" s="1"/>
  <c r="T26" i="90"/>
  <c r="S26" i="90"/>
  <c r="R26" i="90"/>
  <c r="Q26" i="90"/>
  <c r="O26" i="90"/>
  <c r="N26" i="90"/>
  <c r="M26" i="90"/>
  <c r="L26" i="90"/>
  <c r="J26" i="90"/>
  <c r="I26" i="90"/>
  <c r="H26" i="90"/>
  <c r="G26" i="90"/>
  <c r="F26" i="90"/>
  <c r="C26" i="90"/>
  <c r="U25" i="90"/>
  <c r="T25" i="90"/>
  <c r="V25" i="90" s="1"/>
  <c r="S25" i="90"/>
  <c r="R25" i="90"/>
  <c r="Q25" i="90"/>
  <c r="O25" i="90"/>
  <c r="N25" i="90"/>
  <c r="M25" i="90"/>
  <c r="L25" i="90"/>
  <c r="J25" i="90"/>
  <c r="I25" i="90"/>
  <c r="H25" i="90"/>
  <c r="G25" i="90"/>
  <c r="F25" i="90"/>
  <c r="D25" i="90"/>
  <c r="C25" i="90"/>
  <c r="U24" i="90"/>
  <c r="T24" i="90"/>
  <c r="V24" i="90" s="1"/>
  <c r="S24" i="90"/>
  <c r="R24" i="90"/>
  <c r="Q24" i="90"/>
  <c r="O24" i="90"/>
  <c r="N24" i="90"/>
  <c r="M24" i="90"/>
  <c r="L24" i="90"/>
  <c r="J24" i="90"/>
  <c r="I24" i="90"/>
  <c r="H24" i="90"/>
  <c r="G24" i="90"/>
  <c r="F24" i="90"/>
  <c r="D24" i="90"/>
  <c r="C24" i="90"/>
  <c r="U23" i="90"/>
  <c r="T23" i="90"/>
  <c r="S23" i="90"/>
  <c r="R23" i="90"/>
  <c r="Q23" i="90"/>
  <c r="O23" i="90"/>
  <c r="O22" i="90" s="1"/>
  <c r="N23" i="90"/>
  <c r="M23" i="90"/>
  <c r="L23" i="90"/>
  <c r="J23" i="90"/>
  <c r="J22" i="90" s="1"/>
  <c r="J49" i="90" s="1"/>
  <c r="J50" i="90" s="1"/>
  <c r="I23" i="90"/>
  <c r="H23" i="90"/>
  <c r="G23" i="90"/>
  <c r="F23" i="90"/>
  <c r="D23" i="90"/>
  <c r="C23" i="90"/>
  <c r="E22" i="90"/>
  <c r="U20" i="90"/>
  <c r="T20" i="90"/>
  <c r="S20" i="90"/>
  <c r="R20" i="90"/>
  <c r="Q20" i="90"/>
  <c r="O20" i="90"/>
  <c r="N20" i="90"/>
  <c r="M20" i="90"/>
  <c r="L20" i="90"/>
  <c r="J20" i="90"/>
  <c r="I20" i="90"/>
  <c r="H20" i="90"/>
  <c r="G20" i="90"/>
  <c r="F20" i="90"/>
  <c r="E20" i="90"/>
  <c r="D20" i="90"/>
  <c r="C20" i="90"/>
  <c r="U19" i="90"/>
  <c r="T19" i="90"/>
  <c r="S19" i="90"/>
  <c r="R19" i="90"/>
  <c r="Q19" i="90"/>
  <c r="O19" i="90"/>
  <c r="N19" i="90"/>
  <c r="M19" i="90"/>
  <c r="L19" i="90"/>
  <c r="I19" i="90"/>
  <c r="J19" i="90" s="1"/>
  <c r="H19" i="90"/>
  <c r="G19" i="90"/>
  <c r="C19" i="90"/>
  <c r="Q18" i="90"/>
  <c r="O18" i="90"/>
  <c r="N18" i="90"/>
  <c r="L18" i="90"/>
  <c r="M18" i="90" s="1"/>
  <c r="I18" i="90"/>
  <c r="J18" i="90" s="1"/>
  <c r="G18" i="90"/>
  <c r="H18" i="90" s="1"/>
  <c r="Q17" i="90"/>
  <c r="Q15" i="90" s="1"/>
  <c r="O17" i="90"/>
  <c r="N17" i="90"/>
  <c r="L17" i="90"/>
  <c r="M17" i="90" s="1"/>
  <c r="I17" i="90"/>
  <c r="G17" i="90"/>
  <c r="Q16" i="90"/>
  <c r="O16" i="90"/>
  <c r="N16" i="90"/>
  <c r="L16" i="90"/>
  <c r="M16" i="90" s="1"/>
  <c r="I16" i="90"/>
  <c r="J16" i="90" s="1"/>
  <c r="G16" i="90"/>
  <c r="H16" i="90" s="1"/>
  <c r="U15" i="90"/>
  <c r="T15" i="90"/>
  <c r="S15" i="90"/>
  <c r="R15" i="90"/>
  <c r="F15" i="90"/>
  <c r="D15" i="90"/>
  <c r="C15" i="90"/>
  <c r="U14" i="90"/>
  <c r="T14" i="90"/>
  <c r="S14" i="90"/>
  <c r="R14" i="90"/>
  <c r="Q14" i="90"/>
  <c r="O14" i="90"/>
  <c r="N14" i="90"/>
  <c r="M14" i="90"/>
  <c r="L14" i="90"/>
  <c r="J14" i="90"/>
  <c r="J9" i="90" s="1"/>
  <c r="I14" i="90"/>
  <c r="H14" i="90"/>
  <c r="G14" i="90"/>
  <c r="F14" i="90"/>
  <c r="D14" i="90"/>
  <c r="D13" i="90" s="1"/>
  <c r="C14" i="90"/>
  <c r="C13" i="90" s="1"/>
  <c r="E13" i="90"/>
  <c r="U12" i="90"/>
  <c r="T12" i="90"/>
  <c r="S12" i="90"/>
  <c r="R12" i="90"/>
  <c r="Q12" i="90"/>
  <c r="O12" i="90"/>
  <c r="N12" i="90"/>
  <c r="M12" i="90"/>
  <c r="L12" i="90"/>
  <c r="L11" i="90" s="1"/>
  <c r="J12" i="90"/>
  <c r="I12" i="90"/>
  <c r="H12" i="90"/>
  <c r="G12" i="90"/>
  <c r="G11" i="90" s="1"/>
  <c r="F12" i="90"/>
  <c r="U10" i="90"/>
  <c r="T10" i="90"/>
  <c r="S10" i="90"/>
  <c r="R10" i="90"/>
  <c r="Q10" i="90"/>
  <c r="O10" i="90"/>
  <c r="N10" i="90"/>
  <c r="M10" i="90"/>
  <c r="L10" i="90"/>
  <c r="J10" i="90"/>
  <c r="I10" i="90"/>
  <c r="I9" i="90" s="1"/>
  <c r="H10" i="90"/>
  <c r="G10" i="90"/>
  <c r="F10" i="90"/>
  <c r="E10" i="90"/>
  <c r="E49" i="90" s="1"/>
  <c r="E50" i="90" s="1"/>
  <c r="D10" i="90"/>
  <c r="C10" i="90"/>
  <c r="U7" i="90"/>
  <c r="T7" i="90"/>
  <c r="S7" i="90"/>
  <c r="R7" i="90"/>
  <c r="Q7" i="90"/>
  <c r="O7" i="90"/>
  <c r="O5" i="90" s="1"/>
  <c r="N7" i="90"/>
  <c r="M7" i="90"/>
  <c r="L7" i="90"/>
  <c r="J7" i="90"/>
  <c r="I7" i="90"/>
  <c r="H7" i="90"/>
  <c r="G7" i="90"/>
  <c r="F7" i="90"/>
  <c r="F5" i="90" s="1"/>
  <c r="E7" i="90"/>
  <c r="D7" i="90"/>
  <c r="C7" i="90"/>
  <c r="U6" i="90"/>
  <c r="U5" i="90" s="1"/>
  <c r="T6" i="90"/>
  <c r="S6" i="90"/>
  <c r="R6" i="90"/>
  <c r="Q6" i="90"/>
  <c r="O6" i="90"/>
  <c r="N6" i="90"/>
  <c r="M6" i="90"/>
  <c r="L6" i="90"/>
  <c r="J6" i="90"/>
  <c r="I6" i="90"/>
  <c r="H6" i="90"/>
  <c r="G6" i="90"/>
  <c r="G5" i="90" s="1"/>
  <c r="F6" i="90"/>
  <c r="E6" i="90"/>
  <c r="D6" i="90"/>
  <c r="C6" i="90"/>
  <c r="AH180" i="89"/>
  <c r="Q179" i="89"/>
  <c r="AF176" i="89"/>
  <c r="AF173" i="89"/>
  <c r="AI168" i="89" s="1"/>
  <c r="V173" i="89"/>
  <c r="Y172" i="89" s="1"/>
  <c r="S173" i="89"/>
  <c r="AH172" i="89"/>
  <c r="W172" i="89"/>
  <c r="T172" i="89"/>
  <c r="AH171" i="89"/>
  <c r="W171" i="89"/>
  <c r="T171" i="89"/>
  <c r="AH170" i="89"/>
  <c r="W170" i="89"/>
  <c r="T170" i="89"/>
  <c r="AH169" i="89"/>
  <c r="W169" i="89"/>
  <c r="T169" i="89"/>
  <c r="AH168" i="89"/>
  <c r="W168" i="89"/>
  <c r="T168" i="89"/>
  <c r="AH167" i="89"/>
  <c r="W167" i="89"/>
  <c r="T167" i="89"/>
  <c r="AH166" i="89"/>
  <c r="W166" i="89"/>
  <c r="T166" i="89"/>
  <c r="AH165" i="89"/>
  <c r="W165" i="89"/>
  <c r="T165" i="89"/>
  <c r="AH164" i="89"/>
  <c r="W164" i="89"/>
  <c r="T164" i="89"/>
  <c r="L164" i="89"/>
  <c r="AH163" i="89"/>
  <c r="W163" i="89"/>
  <c r="T163" i="89"/>
  <c r="AH162" i="89"/>
  <c r="W162" i="89"/>
  <c r="T162" i="89"/>
  <c r="AH161" i="89"/>
  <c r="W161" i="89"/>
  <c r="T161" i="89"/>
  <c r="AH160" i="89"/>
  <c r="W160" i="89"/>
  <c r="T160" i="89"/>
  <c r="S155" i="89"/>
  <c r="Q155" i="89"/>
  <c r="O155" i="89"/>
  <c r="M155" i="89"/>
  <c r="L155" i="89"/>
  <c r="G155" i="89"/>
  <c r="F155" i="89"/>
  <c r="E155" i="89"/>
  <c r="D155" i="89"/>
  <c r="AI153" i="89"/>
  <c r="AJ153" i="89" s="1"/>
  <c r="AH153" i="89"/>
  <c r="AF153" i="89"/>
  <c r="AA153" i="89"/>
  <c r="Y153" i="89"/>
  <c r="S153" i="89"/>
  <c r="Q153" i="89"/>
  <c r="O153" i="89"/>
  <c r="M153" i="89"/>
  <c r="T153" i="89" s="1"/>
  <c r="L153" i="89"/>
  <c r="H153" i="89"/>
  <c r="G153" i="89"/>
  <c r="F153" i="89"/>
  <c r="E153" i="89"/>
  <c r="D153" i="89"/>
  <c r="C153" i="89"/>
  <c r="F151" i="89"/>
  <c r="E151" i="89"/>
  <c r="D151" i="89"/>
  <c r="AS150" i="89"/>
  <c r="AS139" i="89" s="1"/>
  <c r="AR150" i="89"/>
  <c r="AQ150" i="89"/>
  <c r="AQ139" i="89" s="1"/>
  <c r="AP150" i="89"/>
  <c r="AO150" i="89"/>
  <c r="AO139" i="89" s="1"/>
  <c r="AI150" i="89"/>
  <c r="AI151" i="89" s="1"/>
  <c r="AH150" i="89"/>
  <c r="AF150" i="89"/>
  <c r="AA150" i="89"/>
  <c r="Y150" i="89"/>
  <c r="X150" i="89"/>
  <c r="X139" i="89" s="1"/>
  <c r="S150" i="89"/>
  <c r="R150" i="89"/>
  <c r="R139" i="89" s="1"/>
  <c r="Q150" i="89"/>
  <c r="S151" i="89" s="1"/>
  <c r="O150" i="89"/>
  <c r="M150" i="89"/>
  <c r="L150" i="89"/>
  <c r="H150" i="89"/>
  <c r="G150" i="89"/>
  <c r="G151" i="89" s="1"/>
  <c r="AK148" i="89"/>
  <c r="F148" i="89"/>
  <c r="E148" i="89"/>
  <c r="D148" i="89"/>
  <c r="AI147" i="89"/>
  <c r="AH147" i="89"/>
  <c r="AF147" i="89"/>
  <c r="AA147" i="89"/>
  <c r="Y147" i="89"/>
  <c r="S147" i="89"/>
  <c r="Q147" i="89"/>
  <c r="S148" i="89" s="1"/>
  <c r="O147" i="89"/>
  <c r="M147" i="89"/>
  <c r="O148" i="89" s="1"/>
  <c r="L147" i="89"/>
  <c r="L139" i="89" s="1"/>
  <c r="G147" i="89"/>
  <c r="AP139" i="89"/>
  <c r="AI139" i="89"/>
  <c r="AH139" i="89"/>
  <c r="AG139" i="89"/>
  <c r="Z139" i="89"/>
  <c r="P139" i="89"/>
  <c r="F139" i="89"/>
  <c r="E139" i="89"/>
  <c r="D139" i="89"/>
  <c r="C139" i="89"/>
  <c r="AJ137" i="89"/>
  <c r="AB137" i="89"/>
  <c r="T137" i="89"/>
  <c r="K137" i="89"/>
  <c r="I137" i="89"/>
  <c r="AJ136" i="89"/>
  <c r="AB136" i="89"/>
  <c r="T136" i="89"/>
  <c r="I136" i="89"/>
  <c r="AJ135" i="89"/>
  <c r="AB135" i="89"/>
  <c r="T135" i="89"/>
  <c r="K135" i="89"/>
  <c r="I135" i="89"/>
  <c r="AJ134" i="89"/>
  <c r="AB134" i="89"/>
  <c r="T134" i="89"/>
  <c r="I134" i="89"/>
  <c r="AJ133" i="89"/>
  <c r="AB133" i="89"/>
  <c r="T133" i="89"/>
  <c r="K133" i="89"/>
  <c r="I133" i="89"/>
  <c r="AJ132" i="89"/>
  <c r="AB132" i="89"/>
  <c r="T132" i="89"/>
  <c r="K132" i="89"/>
  <c r="I132" i="89"/>
  <c r="AJ131" i="89"/>
  <c r="AB131" i="89"/>
  <c r="T131" i="89"/>
  <c r="K131" i="89"/>
  <c r="I131" i="89"/>
  <c r="S130" i="89"/>
  <c r="V131" i="89" s="1"/>
  <c r="Q130" i="89"/>
  <c r="K130" i="89"/>
  <c r="I130" i="89"/>
  <c r="O127" i="89"/>
  <c r="M127" i="89"/>
  <c r="L127" i="89"/>
  <c r="H127" i="89"/>
  <c r="G127" i="89"/>
  <c r="F127" i="89"/>
  <c r="E127" i="89"/>
  <c r="E128" i="89" s="1"/>
  <c r="D127" i="89"/>
  <c r="C127" i="89"/>
  <c r="O124" i="89"/>
  <c r="M124" i="89"/>
  <c r="L124" i="89"/>
  <c r="H124" i="89"/>
  <c r="G124" i="89"/>
  <c r="F124" i="89"/>
  <c r="E124" i="89"/>
  <c r="D124" i="89"/>
  <c r="C124" i="89"/>
  <c r="O121" i="89"/>
  <c r="M121" i="89"/>
  <c r="L121" i="89"/>
  <c r="H121" i="89"/>
  <c r="G121" i="89"/>
  <c r="G122" i="89" s="1"/>
  <c r="F121" i="89"/>
  <c r="E121" i="89"/>
  <c r="D121" i="89"/>
  <c r="C121" i="89"/>
  <c r="AJ115" i="89"/>
  <c r="AB115" i="89"/>
  <c r="Y114" i="89"/>
  <c r="S114" i="89"/>
  <c r="Q114" i="89"/>
  <c r="H114" i="89"/>
  <c r="G114" i="89"/>
  <c r="F114" i="89"/>
  <c r="E114" i="89"/>
  <c r="D114" i="89"/>
  <c r="C114" i="89"/>
  <c r="Q101" i="89"/>
  <c r="Q102" i="89" s="1"/>
  <c r="U102" i="89" s="1"/>
  <c r="O101" i="89"/>
  <c r="M101" i="89"/>
  <c r="L101" i="89"/>
  <c r="H101" i="89"/>
  <c r="G101" i="89"/>
  <c r="F101" i="89"/>
  <c r="E101" i="89"/>
  <c r="D101" i="89"/>
  <c r="C101" i="89"/>
  <c r="Q98" i="89"/>
  <c r="O98" i="89"/>
  <c r="M98" i="89"/>
  <c r="O99" i="89" s="1"/>
  <c r="L98" i="89"/>
  <c r="H98" i="89"/>
  <c r="G98" i="89"/>
  <c r="F98" i="89"/>
  <c r="E98" i="89"/>
  <c r="D98" i="89"/>
  <c r="C98" i="89"/>
  <c r="Y95" i="89"/>
  <c r="S95" i="89"/>
  <c r="Q95" i="89"/>
  <c r="O95" i="89"/>
  <c r="M95" i="89"/>
  <c r="L95" i="89"/>
  <c r="H95" i="89"/>
  <c r="G95" i="89"/>
  <c r="F95" i="89"/>
  <c r="G96" i="89" s="1"/>
  <c r="E95" i="89"/>
  <c r="D95" i="89"/>
  <c r="C95" i="89"/>
  <c r="Y92" i="89"/>
  <c r="S92" i="89"/>
  <c r="Q92" i="89"/>
  <c r="O92" i="89"/>
  <c r="M92" i="89"/>
  <c r="L92" i="89"/>
  <c r="H92" i="89"/>
  <c r="G92" i="89"/>
  <c r="F92" i="89"/>
  <c r="E92" i="89"/>
  <c r="D92" i="89"/>
  <c r="C92" i="89"/>
  <c r="Y89" i="89"/>
  <c r="S89" i="89"/>
  <c r="Q89" i="89"/>
  <c r="O89" i="89"/>
  <c r="M89" i="89"/>
  <c r="L89" i="89"/>
  <c r="H89" i="89"/>
  <c r="G89" i="89"/>
  <c r="F89" i="89"/>
  <c r="G90" i="89" s="1"/>
  <c r="E89" i="89"/>
  <c r="D89" i="89"/>
  <c r="C89" i="89"/>
  <c r="Y86" i="89"/>
  <c r="Y87" i="89" s="1"/>
  <c r="S86" i="89"/>
  <c r="Q86" i="89"/>
  <c r="O86" i="89"/>
  <c r="M86" i="89"/>
  <c r="L86" i="89"/>
  <c r="H86" i="89"/>
  <c r="G86" i="89"/>
  <c r="F86" i="89"/>
  <c r="G87" i="89" s="1"/>
  <c r="E86" i="89"/>
  <c r="D86" i="89"/>
  <c r="C86" i="89"/>
  <c r="Y83" i="89"/>
  <c r="S83" i="89"/>
  <c r="Q83" i="89"/>
  <c r="O83" i="89"/>
  <c r="M83" i="89"/>
  <c r="L83" i="89"/>
  <c r="H83" i="89"/>
  <c r="G83" i="89"/>
  <c r="F83" i="89"/>
  <c r="E83" i="89"/>
  <c r="D83" i="89"/>
  <c r="C83" i="89"/>
  <c r="Y80" i="89"/>
  <c r="Q80" i="89"/>
  <c r="O80" i="89"/>
  <c r="M80" i="89"/>
  <c r="L80" i="89"/>
  <c r="H80" i="89"/>
  <c r="G80" i="89"/>
  <c r="F80" i="89"/>
  <c r="E80" i="89"/>
  <c r="F81" i="89" s="1"/>
  <c r="D80" i="89"/>
  <c r="C80" i="89"/>
  <c r="Y77" i="89"/>
  <c r="S77" i="89"/>
  <c r="Q77" i="89"/>
  <c r="O77" i="89"/>
  <c r="M77" i="89"/>
  <c r="L77" i="89"/>
  <c r="M78" i="89" s="1"/>
  <c r="H77" i="89"/>
  <c r="G77" i="89"/>
  <c r="F77" i="89"/>
  <c r="E77" i="89"/>
  <c r="F78" i="89" s="1"/>
  <c r="D77" i="89"/>
  <c r="C77" i="89"/>
  <c r="AJ76" i="89"/>
  <c r="AN76" i="89"/>
  <c r="AB76" i="89"/>
  <c r="S70" i="89"/>
  <c r="Q70" i="89"/>
  <c r="O70" i="89"/>
  <c r="Q71" i="89" s="1"/>
  <c r="M70" i="89"/>
  <c r="L70" i="89"/>
  <c r="H70" i="89"/>
  <c r="G70" i="89"/>
  <c r="F70" i="89"/>
  <c r="E70" i="89"/>
  <c r="D70" i="89"/>
  <c r="C70" i="89"/>
  <c r="Y67" i="89"/>
  <c r="S67" i="89"/>
  <c r="Q67" i="89"/>
  <c r="O67" i="89"/>
  <c r="O68" i="89" s="1"/>
  <c r="M67" i="89"/>
  <c r="L67" i="89"/>
  <c r="H67" i="89"/>
  <c r="G67" i="89"/>
  <c r="F67" i="89"/>
  <c r="E67" i="89"/>
  <c r="D67" i="89"/>
  <c r="C67" i="89"/>
  <c r="D68" i="89" s="1"/>
  <c r="Q64" i="89"/>
  <c r="O64" i="89"/>
  <c r="M64" i="89"/>
  <c r="L64" i="89"/>
  <c r="M65" i="89" s="1"/>
  <c r="H64" i="89"/>
  <c r="G64" i="89"/>
  <c r="F64" i="89"/>
  <c r="E64" i="89"/>
  <c r="F65" i="89" s="1"/>
  <c r="D64" i="89"/>
  <c r="C64" i="89"/>
  <c r="AJ60" i="89"/>
  <c r="AB60" i="89"/>
  <c r="I60" i="89"/>
  <c r="AJ59" i="89"/>
  <c r="AB59" i="89"/>
  <c r="S55" i="89"/>
  <c r="Q55" i="89"/>
  <c r="O55" i="89"/>
  <c r="M55" i="89"/>
  <c r="L55" i="89"/>
  <c r="H55" i="89"/>
  <c r="G55" i="89"/>
  <c r="F55" i="89"/>
  <c r="E55" i="89"/>
  <c r="S52" i="89"/>
  <c r="Y52" i="89" s="1"/>
  <c r="Q52" i="89"/>
  <c r="O52" i="89"/>
  <c r="M52" i="89"/>
  <c r="O53" i="89" s="1"/>
  <c r="L52" i="89"/>
  <c r="H52" i="89"/>
  <c r="G52" i="89"/>
  <c r="F52" i="89"/>
  <c r="F53" i="89" s="1"/>
  <c r="J53" i="89" s="1"/>
  <c r="E52" i="89"/>
  <c r="S51" i="89"/>
  <c r="Q51" i="89"/>
  <c r="O51" i="89"/>
  <c r="M51" i="89"/>
  <c r="L51" i="89"/>
  <c r="H51" i="89"/>
  <c r="G51" i="89"/>
  <c r="F51" i="89"/>
  <c r="Y50" i="89"/>
  <c r="T50" i="89"/>
  <c r="D50" i="89"/>
  <c r="I50" i="89" s="1"/>
  <c r="W50" i="89" s="1"/>
  <c r="S49" i="89"/>
  <c r="Q49" i="89"/>
  <c r="O49" i="89"/>
  <c r="M49" i="89"/>
  <c r="L49" i="89"/>
  <c r="H49" i="89"/>
  <c r="G49" i="89"/>
  <c r="F49" i="89"/>
  <c r="T48" i="89"/>
  <c r="D48" i="89"/>
  <c r="C155" i="89" s="1"/>
  <c r="AJ47" i="89"/>
  <c r="AB47" i="89"/>
  <c r="T47" i="89"/>
  <c r="AJ46" i="89"/>
  <c r="AB46" i="89"/>
  <c r="AJ45" i="89"/>
  <c r="AN45" i="89" s="1"/>
  <c r="AB45" i="89"/>
  <c r="AJ44" i="89"/>
  <c r="AB44" i="89"/>
  <c r="AJ43" i="89"/>
  <c r="AN43" i="89" s="1"/>
  <c r="AB43" i="89"/>
  <c r="AJ42" i="89"/>
  <c r="AN42" i="89" s="1"/>
  <c r="AB42" i="89"/>
  <c r="AS41" i="89"/>
  <c r="AR41" i="89"/>
  <c r="AQ41" i="89"/>
  <c r="AP41" i="89"/>
  <c r="AO41" i="89"/>
  <c r="AI41" i="89"/>
  <c r="AH41" i="89"/>
  <c r="AG41" i="89"/>
  <c r="AF41" i="89"/>
  <c r="AA41" i="89"/>
  <c r="Y41" i="89"/>
  <c r="X41" i="89"/>
  <c r="S41" i="89"/>
  <c r="Q41" i="89"/>
  <c r="O41" i="89"/>
  <c r="AO40" i="89"/>
  <c r="AI40" i="89"/>
  <c r="AH40" i="89"/>
  <c r="AG40" i="89"/>
  <c r="AF40" i="89"/>
  <c r="Y40" i="89"/>
  <c r="O40" i="89"/>
  <c r="AO39" i="89"/>
  <c r="AO36" i="89" s="1"/>
  <c r="AI39" i="89"/>
  <c r="AH39" i="89"/>
  <c r="AG39" i="89"/>
  <c r="AF39" i="89"/>
  <c r="AA39" i="89"/>
  <c r="AA38" i="89" s="1"/>
  <c r="AA36" i="89" s="1"/>
  <c r="S39" i="89"/>
  <c r="Q39" i="89"/>
  <c r="N39" i="89"/>
  <c r="O39" i="89" s="1"/>
  <c r="AO38" i="89"/>
  <c r="AI38" i="89"/>
  <c r="AH38" i="89"/>
  <c r="AG38" i="89"/>
  <c r="AG36" i="89" s="1"/>
  <c r="AF38" i="89"/>
  <c r="R38" i="89"/>
  <c r="P38" i="89"/>
  <c r="O38" i="89"/>
  <c r="X37" i="89"/>
  <c r="X36" i="89" s="1"/>
  <c r="R37" i="89"/>
  <c r="S37" i="89" s="1"/>
  <c r="P37" i="89"/>
  <c r="Q37" i="89"/>
  <c r="O37" i="89"/>
  <c r="AT36" i="89"/>
  <c r="AS36" i="89"/>
  <c r="AR36" i="89"/>
  <c r="AQ36" i="89"/>
  <c r="AP36" i="89"/>
  <c r="AN36" i="89"/>
  <c r="AM36" i="89"/>
  <c r="AL36" i="89"/>
  <c r="AK36" i="89"/>
  <c r="AJ36" i="89"/>
  <c r="Z36" i="89"/>
  <c r="T36" i="89"/>
  <c r="V36" i="89" s="1"/>
  <c r="M36" i="89"/>
  <c r="L36" i="89"/>
  <c r="H36" i="89"/>
  <c r="G36" i="89"/>
  <c r="I36" i="89" s="1"/>
  <c r="F36" i="89"/>
  <c r="E36" i="89"/>
  <c r="D36" i="89"/>
  <c r="C36" i="89"/>
  <c r="AS35" i="89"/>
  <c r="AR35" i="89"/>
  <c r="AQ35" i="89"/>
  <c r="AT35" i="89" s="1"/>
  <c r="AP35" i="89"/>
  <c r="AO35" i="89"/>
  <c r="AI35" i="89"/>
  <c r="AH35" i="89"/>
  <c r="AG35" i="89"/>
  <c r="AF35" i="89"/>
  <c r="AA35" i="89"/>
  <c r="X35" i="89"/>
  <c r="S35" i="89"/>
  <c r="Q35" i="89"/>
  <c r="O35" i="89"/>
  <c r="I35" i="89"/>
  <c r="AO34" i="89"/>
  <c r="AI34" i="89"/>
  <c r="AH34" i="89"/>
  <c r="AG34" i="89"/>
  <c r="AF34" i="89"/>
  <c r="AA34" i="89"/>
  <c r="AO33" i="89"/>
  <c r="AT33" i="89" s="1"/>
  <c r="AI33" i="89"/>
  <c r="AH33" i="89"/>
  <c r="AG33" i="89"/>
  <c r="AF33" i="89"/>
  <c r="AA33" i="89"/>
  <c r="AB33" i="89" s="1"/>
  <c r="O33" i="89"/>
  <c r="T33" i="89" s="1"/>
  <c r="M33" i="89"/>
  <c r="L33" i="89"/>
  <c r="H33" i="89"/>
  <c r="I33" i="89" s="1"/>
  <c r="C33" i="89"/>
  <c r="AS32" i="89"/>
  <c r="AR32" i="89"/>
  <c r="AQ32" i="89"/>
  <c r="AP32" i="89"/>
  <c r="AO32" i="89"/>
  <c r="AI32" i="89"/>
  <c r="AI114" i="89" s="1"/>
  <c r="AH32" i="89"/>
  <c r="AG32" i="89"/>
  <c r="AF32" i="89"/>
  <c r="AF114" i="89" s="1"/>
  <c r="AA32" i="89"/>
  <c r="AA114" i="89" s="1"/>
  <c r="X32" i="89"/>
  <c r="O32" i="89"/>
  <c r="O114" i="89" s="1"/>
  <c r="M32" i="89"/>
  <c r="M114" i="89" s="1"/>
  <c r="L32" i="89"/>
  <c r="L114" i="89" s="1"/>
  <c r="I32" i="89"/>
  <c r="AS31" i="89"/>
  <c r="AR31" i="89"/>
  <c r="AQ31" i="89"/>
  <c r="AP31" i="89"/>
  <c r="AO31" i="89"/>
  <c r="AI31" i="89"/>
  <c r="AH31" i="89"/>
  <c r="AG31" i="89"/>
  <c r="AF31" i="89"/>
  <c r="AA31" i="89"/>
  <c r="Y31" i="89"/>
  <c r="X31" i="89"/>
  <c r="S31" i="89"/>
  <c r="T31" i="89" s="1"/>
  <c r="Q31" i="89"/>
  <c r="AS30" i="89"/>
  <c r="AR30" i="89"/>
  <c r="AQ30" i="89"/>
  <c r="AP30" i="89"/>
  <c r="AO30" i="89"/>
  <c r="AI30" i="89"/>
  <c r="AH30" i="89"/>
  <c r="AG30" i="89"/>
  <c r="AF30" i="89"/>
  <c r="AA30" i="89"/>
  <c r="Y30" i="89"/>
  <c r="X30" i="89"/>
  <c r="S30" i="89"/>
  <c r="Q30" i="89"/>
  <c r="T30" i="89" s="1"/>
  <c r="I30" i="89"/>
  <c r="AS29" i="89"/>
  <c r="AR29" i="89"/>
  <c r="AQ29" i="89"/>
  <c r="AP29" i="89"/>
  <c r="AO29" i="89"/>
  <c r="AI29" i="89"/>
  <c r="AI101" i="89" s="1"/>
  <c r="AH29" i="89"/>
  <c r="AH101" i="89" s="1"/>
  <c r="AG29" i="89"/>
  <c r="AF29" i="89"/>
  <c r="AF101" i="89" s="1"/>
  <c r="AA29" i="89"/>
  <c r="AA101" i="89" s="1"/>
  <c r="Y29" i="89"/>
  <c r="Y101" i="89" s="1"/>
  <c r="X29" i="89"/>
  <c r="S29" i="89"/>
  <c r="I29" i="89"/>
  <c r="AS28" i="89"/>
  <c r="AR28" i="89"/>
  <c r="AQ28" i="89"/>
  <c r="AP28" i="89"/>
  <c r="AO28" i="89"/>
  <c r="AI28" i="89"/>
  <c r="AI98" i="89" s="1"/>
  <c r="AH28" i="89"/>
  <c r="AH98" i="89" s="1"/>
  <c r="AG28" i="89"/>
  <c r="AF28" i="89"/>
  <c r="AF98" i="89" s="1"/>
  <c r="AA28" i="89"/>
  <c r="AA98" i="89" s="1"/>
  <c r="Y28" i="89"/>
  <c r="Y98" i="89" s="1"/>
  <c r="X28" i="89"/>
  <c r="S28" i="89"/>
  <c r="S98" i="89" s="1"/>
  <c r="I28" i="89"/>
  <c r="AS27" i="89"/>
  <c r="AR27" i="89"/>
  <c r="AQ27" i="89"/>
  <c r="AP27" i="89"/>
  <c r="AO27" i="89"/>
  <c r="AI27" i="89"/>
  <c r="AI80" i="89" s="1"/>
  <c r="AH27" i="89"/>
  <c r="AG27" i="89"/>
  <c r="AF27" i="89"/>
  <c r="AF80" i="89" s="1"/>
  <c r="AA27" i="89"/>
  <c r="AA80" i="89" s="1"/>
  <c r="X27" i="89"/>
  <c r="S27" i="89"/>
  <c r="S80" i="89" s="1"/>
  <c r="I27" i="89"/>
  <c r="AS26" i="89"/>
  <c r="AR26" i="89"/>
  <c r="AQ26" i="89"/>
  <c r="AP26" i="89"/>
  <c r="AO26" i="89"/>
  <c r="AI26" i="89"/>
  <c r="AI95" i="89" s="1"/>
  <c r="AH26" i="89"/>
  <c r="AH95" i="89" s="1"/>
  <c r="AG26" i="89"/>
  <c r="AF26" i="89"/>
  <c r="AF95" i="89" s="1"/>
  <c r="AA26" i="89"/>
  <c r="X26" i="89"/>
  <c r="T26" i="89"/>
  <c r="I26" i="89"/>
  <c r="AS25" i="89"/>
  <c r="AR25" i="89"/>
  <c r="AQ25" i="89"/>
  <c r="AP25" i="89"/>
  <c r="AO25" i="89"/>
  <c r="AI25" i="89"/>
  <c r="AI92" i="89" s="1"/>
  <c r="AH25" i="89"/>
  <c r="AH92" i="89" s="1"/>
  <c r="AG25" i="89"/>
  <c r="AF25" i="89"/>
  <c r="AF92" i="89" s="1"/>
  <c r="AF93" i="89" s="1"/>
  <c r="AA25" i="89"/>
  <c r="AA92" i="89" s="1"/>
  <c r="X25" i="89"/>
  <c r="T25" i="89"/>
  <c r="I25" i="89"/>
  <c r="AS24" i="89"/>
  <c r="AR24" i="89"/>
  <c r="AQ24" i="89"/>
  <c r="AP24" i="89"/>
  <c r="AT24" i="89" s="1"/>
  <c r="AO24" i="89"/>
  <c r="AI24" i="89"/>
  <c r="AI89" i="89" s="1"/>
  <c r="AH24" i="89"/>
  <c r="AH89" i="89" s="1"/>
  <c r="AG24" i="89"/>
  <c r="AJ24" i="89" s="1"/>
  <c r="AF24" i="89"/>
  <c r="AF89" i="89" s="1"/>
  <c r="AA24" i="89"/>
  <c r="X24" i="89"/>
  <c r="T24" i="89"/>
  <c r="W24" i="89" s="1"/>
  <c r="I24" i="89"/>
  <c r="AS23" i="89"/>
  <c r="AR23" i="89"/>
  <c r="AQ23" i="89"/>
  <c r="AP23" i="89"/>
  <c r="AO23" i="89"/>
  <c r="AI23" i="89"/>
  <c r="AI86" i="89" s="1"/>
  <c r="AH23" i="89"/>
  <c r="AH86" i="89" s="1"/>
  <c r="AI87" i="89" s="1"/>
  <c r="AG23" i="89"/>
  <c r="AF23" i="89"/>
  <c r="AF86" i="89" s="1"/>
  <c r="AA23" i="89"/>
  <c r="AA86" i="89" s="1"/>
  <c r="X23" i="89"/>
  <c r="T23" i="89"/>
  <c r="I23" i="89"/>
  <c r="AS22" i="89"/>
  <c r="AR22" i="89"/>
  <c r="AT22" i="89" s="1"/>
  <c r="AQ22" i="89"/>
  <c r="AP22" i="89"/>
  <c r="AO22" i="89"/>
  <c r="AI22" i="89"/>
  <c r="AH22" i="89"/>
  <c r="AG22" i="89"/>
  <c r="AF22" i="89"/>
  <c r="AA22" i="89"/>
  <c r="AA77" i="89" s="1"/>
  <c r="X22" i="89"/>
  <c r="T22" i="89"/>
  <c r="W22" i="89" s="1"/>
  <c r="I22" i="89"/>
  <c r="AS21" i="89"/>
  <c r="AR21" i="89"/>
  <c r="AQ21" i="89"/>
  <c r="AP21" i="89"/>
  <c r="AO21" i="89"/>
  <c r="AI21" i="89"/>
  <c r="AI83" i="89" s="1"/>
  <c r="AH21" i="89"/>
  <c r="AH83" i="89" s="1"/>
  <c r="AG21" i="89"/>
  <c r="AF21" i="89"/>
  <c r="AA21" i="89"/>
  <c r="AA83" i="89" s="1"/>
  <c r="X21" i="89"/>
  <c r="T21" i="89"/>
  <c r="I21" i="89"/>
  <c r="W21" i="89" s="1"/>
  <c r="Z20" i="89"/>
  <c r="Z16" i="89" s="1"/>
  <c r="Y20" i="89"/>
  <c r="Y73" i="89" s="1"/>
  <c r="R20" i="89"/>
  <c r="Q20" i="89"/>
  <c r="Q73" i="89" s="1"/>
  <c r="Q74" i="89" s="1"/>
  <c r="P20" i="89"/>
  <c r="P16" i="89" s="1"/>
  <c r="O20" i="89"/>
  <c r="O73" i="89"/>
  <c r="O74" i="89" s="1"/>
  <c r="N20" i="89"/>
  <c r="N16" i="89" s="1"/>
  <c r="M20" i="89"/>
  <c r="L20" i="89"/>
  <c r="H20" i="89"/>
  <c r="H73" i="89" s="1"/>
  <c r="G20" i="89"/>
  <c r="F20" i="89"/>
  <c r="F73" i="89"/>
  <c r="E20" i="89"/>
  <c r="E73" i="89" s="1"/>
  <c r="E74" i="89" s="1"/>
  <c r="D20" i="89"/>
  <c r="D73" i="89" s="1"/>
  <c r="C20" i="89"/>
  <c r="C73" i="89" s="1"/>
  <c r="AS19" i="89"/>
  <c r="AR19" i="89"/>
  <c r="AQ19" i="89"/>
  <c r="AP19" i="89"/>
  <c r="AO19" i="89"/>
  <c r="AI19" i="89"/>
  <c r="AI70" i="89" s="1"/>
  <c r="AH19" i="89"/>
  <c r="AH70" i="89" s="1"/>
  <c r="AG19" i="89"/>
  <c r="AF19" i="89"/>
  <c r="AF70" i="89" s="1"/>
  <c r="AA19" i="89"/>
  <c r="AA70" i="89" s="1"/>
  <c r="Y19" i="89"/>
  <c r="Y70" i="89" s="1"/>
  <c r="X19" i="89"/>
  <c r="T19" i="89"/>
  <c r="I19" i="89"/>
  <c r="AS18" i="89"/>
  <c r="AR18" i="89"/>
  <c r="AQ18" i="89"/>
  <c r="AP18" i="89"/>
  <c r="AO18" i="89"/>
  <c r="AI18" i="89"/>
  <c r="AI67" i="89" s="1"/>
  <c r="AH18" i="89"/>
  <c r="AG18" i="89"/>
  <c r="AF18" i="89"/>
  <c r="AF67" i="89" s="1"/>
  <c r="AF68" i="89" s="1"/>
  <c r="AA18" i="89"/>
  <c r="AA67" i="89" s="1"/>
  <c r="X18" i="89"/>
  <c r="T18" i="89"/>
  <c r="I18" i="89"/>
  <c r="AS17" i="89"/>
  <c r="AR17" i="89"/>
  <c r="AQ17" i="89"/>
  <c r="AP17" i="89"/>
  <c r="AT17" i="89" s="1"/>
  <c r="AO17" i="89"/>
  <c r="AI17" i="89"/>
  <c r="AH17" i="89"/>
  <c r="AG17" i="89"/>
  <c r="AF17" i="89"/>
  <c r="AA17" i="89"/>
  <c r="Y17" i="89"/>
  <c r="Y16" i="89" s="1"/>
  <c r="Y58" i="89" s="1"/>
  <c r="X17" i="89"/>
  <c r="S17" i="89"/>
  <c r="I17" i="89"/>
  <c r="AA16" i="89"/>
  <c r="F16" i="89"/>
  <c r="F61" i="89" s="1"/>
  <c r="AS15" i="89"/>
  <c r="AR15" i="89"/>
  <c r="AQ15" i="89"/>
  <c r="AP15" i="89"/>
  <c r="AO15" i="89"/>
  <c r="AI15" i="89"/>
  <c r="AH15" i="89"/>
  <c r="AG15" i="89"/>
  <c r="AF15" i="89"/>
  <c r="AS14" i="89"/>
  <c r="AR14" i="89"/>
  <c r="AQ14" i="89"/>
  <c r="AP14" i="89"/>
  <c r="AO14" i="89"/>
  <c r="AI14" i="89"/>
  <c r="AI127" i="89" s="1"/>
  <c r="AH14" i="89"/>
  <c r="AG14" i="89"/>
  <c r="AF14" i="89"/>
  <c r="AF127" i="89" s="1"/>
  <c r="AA14" i="89"/>
  <c r="AA127" i="89" s="1"/>
  <c r="Y14" i="89"/>
  <c r="X14" i="89"/>
  <c r="S14" i="89"/>
  <c r="S127" i="89" s="1"/>
  <c r="Q14" i="89"/>
  <c r="Q127" i="89" s="1"/>
  <c r="I14" i="89"/>
  <c r="AS13" i="89"/>
  <c r="AR13" i="89"/>
  <c r="AQ13" i="89"/>
  <c r="AP13" i="89"/>
  <c r="AP11" i="89" s="1"/>
  <c r="AO13" i="89"/>
  <c r="AI13" i="89"/>
  <c r="AI124" i="89" s="1"/>
  <c r="AH13" i="89"/>
  <c r="AH124" i="89" s="1"/>
  <c r="AG13" i="89"/>
  <c r="AF13" i="89"/>
  <c r="AF124" i="89" s="1"/>
  <c r="AA13" i="89"/>
  <c r="Y13" i="89"/>
  <c r="Y124" i="89" s="1"/>
  <c r="X13" i="89"/>
  <c r="X11" i="89" s="1"/>
  <c r="S13" i="89"/>
  <c r="S124" i="89" s="1"/>
  <c r="Q13" i="89"/>
  <c r="Q124" i="89" s="1"/>
  <c r="I13" i="89"/>
  <c r="AS12" i="89"/>
  <c r="AR12" i="89"/>
  <c r="AQ12" i="89"/>
  <c r="AP12" i="89"/>
  <c r="AO12" i="89"/>
  <c r="AO11" i="89" s="1"/>
  <c r="AI12" i="89"/>
  <c r="AI121" i="89" s="1"/>
  <c r="AH12" i="89"/>
  <c r="AH121" i="89" s="1"/>
  <c r="AG12" i="89"/>
  <c r="AF12" i="89"/>
  <c r="AA12" i="89"/>
  <c r="Y12" i="89"/>
  <c r="Y121" i="89" s="1"/>
  <c r="X12" i="89"/>
  <c r="S12" i="89"/>
  <c r="Q12" i="89"/>
  <c r="I12" i="89"/>
  <c r="Z11" i="89"/>
  <c r="R11" i="89"/>
  <c r="R10" i="89" s="1"/>
  <c r="P11" i="89"/>
  <c r="O11" i="89"/>
  <c r="N11" i="89"/>
  <c r="M11" i="89"/>
  <c r="L11" i="89"/>
  <c r="H11" i="89"/>
  <c r="G11" i="89"/>
  <c r="F11" i="89"/>
  <c r="E11" i="89"/>
  <c r="D11" i="89"/>
  <c r="I11" i="89" s="1"/>
  <c r="I177" i="89" s="1"/>
  <c r="C11" i="89"/>
  <c r="AK10" i="89"/>
  <c r="B228" i="88"/>
  <c r="B227" i="88"/>
  <c r="B226" i="88"/>
  <c r="B225" i="88"/>
  <c r="B224" i="88"/>
  <c r="AD223" i="88"/>
  <c r="AD225" i="88" s="1"/>
  <c r="B223" i="88"/>
  <c r="B222" i="88"/>
  <c r="AC221" i="88"/>
  <c r="B221" i="88"/>
  <c r="B220" i="88"/>
  <c r="B219" i="88"/>
  <c r="B218" i="88"/>
  <c r="B217" i="88"/>
  <c r="B216" i="88"/>
  <c r="B215" i="88"/>
  <c r="B214" i="88"/>
  <c r="B213" i="88"/>
  <c r="B212" i="88"/>
  <c r="B211" i="88"/>
  <c r="B210" i="88"/>
  <c r="AF206" i="88"/>
  <c r="Z206" i="88"/>
  <c r="AH199" i="88"/>
  <c r="AF199" i="88"/>
  <c r="Z199" i="88"/>
  <c r="X199" i="88"/>
  <c r="Y196" i="88"/>
  <c r="W196" i="88"/>
  <c r="AG194" i="88"/>
  <c r="Y194" i="88"/>
  <c r="W194" i="88"/>
  <c r="AV187" i="88"/>
  <c r="AA187" i="88"/>
  <c r="AV186" i="88"/>
  <c r="AA186" i="88"/>
  <c r="AF185" i="88"/>
  <c r="Z185" i="88"/>
  <c r="Z188" i="88" s="1"/>
  <c r="AV184" i="88"/>
  <c r="AA184" i="88"/>
  <c r="AV183" i="88"/>
  <c r="AA183" i="88"/>
  <c r="AR182" i="88"/>
  <c r="AQ182" i="88"/>
  <c r="AO182" i="88"/>
  <c r="AH182" i="88"/>
  <c r="AF182" i="88"/>
  <c r="Z182" i="88"/>
  <c r="X182" i="88"/>
  <c r="X188" i="88" s="1"/>
  <c r="V182" i="88"/>
  <c r="V188" i="88" s="1"/>
  <c r="T182" i="88"/>
  <c r="T188" i="88" s="1"/>
  <c r="S182" i="88"/>
  <c r="S188" i="88" s="1"/>
  <c r="O182" i="88"/>
  <c r="O188" i="88" s="1"/>
  <c r="N182" i="88"/>
  <c r="N188" i="88" s="1"/>
  <c r="N190" i="88" s="1"/>
  <c r="M182" i="88"/>
  <c r="M188" i="88" s="1"/>
  <c r="M190" i="88" s="1"/>
  <c r="L182" i="88"/>
  <c r="L188" i="88" s="1"/>
  <c r="K182" i="88"/>
  <c r="K188" i="88" s="1"/>
  <c r="H182" i="88"/>
  <c r="H188" i="88" s="1"/>
  <c r="G182" i="88"/>
  <c r="G188" i="88" s="1"/>
  <c r="G189" i="88" s="1"/>
  <c r="F182" i="88"/>
  <c r="F188" i="88"/>
  <c r="F189" i="88" s="1"/>
  <c r="E182" i="88"/>
  <c r="E188" i="88" s="1"/>
  <c r="E189" i="88" s="1"/>
  <c r="D182" i="88"/>
  <c r="D188" i="88" s="1"/>
  <c r="D189" i="88" s="1"/>
  <c r="C182" i="88"/>
  <c r="C188" i="88" s="1"/>
  <c r="C189" i="88" s="1"/>
  <c r="C190" i="88" s="1"/>
  <c r="V181" i="88"/>
  <c r="T181" i="88"/>
  <c r="S181" i="88"/>
  <c r="O181" i="88"/>
  <c r="N181" i="88"/>
  <c r="M181" i="88"/>
  <c r="L181" i="88"/>
  <c r="K181" i="88"/>
  <c r="C181" i="88"/>
  <c r="G180" i="88"/>
  <c r="F180" i="88"/>
  <c r="E180" i="88"/>
  <c r="D180" i="88"/>
  <c r="C180" i="88"/>
  <c r="AV179" i="88"/>
  <c r="AA179" i="88"/>
  <c r="V178" i="88"/>
  <c r="V180" i="88" s="1"/>
  <c r="T178" i="88"/>
  <c r="T180" i="88"/>
  <c r="S178" i="88"/>
  <c r="O178" i="88"/>
  <c r="O180" i="88" s="1"/>
  <c r="N178" i="88"/>
  <c r="M178" i="88"/>
  <c r="M189" i="88" s="1"/>
  <c r="L178" i="88"/>
  <c r="L180" i="88" s="1"/>
  <c r="K178" i="88"/>
  <c r="K180" i="88" s="1"/>
  <c r="H178" i="88"/>
  <c r="H180" i="88" s="1"/>
  <c r="AR177" i="88"/>
  <c r="AQ177" i="88"/>
  <c r="AO177" i="88"/>
  <c r="AH177" i="88"/>
  <c r="AH185" i="88" s="1"/>
  <c r="AA177" i="88"/>
  <c r="AQ176" i="88"/>
  <c r="AO176" i="88"/>
  <c r="Y176" i="88"/>
  <c r="S176" i="88"/>
  <c r="O176" i="88"/>
  <c r="N176" i="88"/>
  <c r="M176" i="88"/>
  <c r="L176" i="88"/>
  <c r="K176" i="88"/>
  <c r="BD175" i="88"/>
  <c r="BC175" i="88"/>
  <c r="BB175" i="88"/>
  <c r="BA175" i="88"/>
  <c r="AZ175" i="88"/>
  <c r="AR175" i="88"/>
  <c r="AQ175" i="88"/>
  <c r="AO175" i="88"/>
  <c r="AH175" i="88"/>
  <c r="AG175" i="88"/>
  <c r="AG197" i="88" s="1"/>
  <c r="AF175" i="88"/>
  <c r="AE175" i="88"/>
  <c r="AE197" i="88" s="1"/>
  <c r="Z175" i="88"/>
  <c r="Y175" i="88"/>
  <c r="X175" i="88"/>
  <c r="W175" i="88"/>
  <c r="V175" i="88"/>
  <c r="T175" i="88"/>
  <c r="S175" i="88"/>
  <c r="P175" i="88"/>
  <c r="O175" i="88"/>
  <c r="N175" i="88"/>
  <c r="M175" i="88"/>
  <c r="L175" i="88"/>
  <c r="K175" i="88"/>
  <c r="H175" i="88"/>
  <c r="AV174" i="88"/>
  <c r="W174" i="88"/>
  <c r="W171" i="88"/>
  <c r="P174" i="88"/>
  <c r="G174" i="88"/>
  <c r="G171" i="88" s="1"/>
  <c r="G165" i="88" s="1"/>
  <c r="F174" i="88"/>
  <c r="F171" i="88" s="1"/>
  <c r="F165" i="88" s="1"/>
  <c r="E174" i="88"/>
  <c r="E171" i="88" s="1"/>
  <c r="E165" i="88"/>
  <c r="D174" i="88"/>
  <c r="D171" i="88" s="1"/>
  <c r="D165" i="88" s="1"/>
  <c r="C174" i="88"/>
  <c r="C171" i="88" s="1"/>
  <c r="C165" i="88" s="1"/>
  <c r="BD173" i="88"/>
  <c r="BD171" i="88" s="1"/>
  <c r="BC173" i="88"/>
  <c r="BC172" i="88" s="1"/>
  <c r="BB173" i="88"/>
  <c r="BB172" i="88" s="1"/>
  <c r="BA173" i="88"/>
  <c r="AZ173" i="88"/>
  <c r="AZ172" i="88" s="1"/>
  <c r="AR173" i="88"/>
  <c r="AQ173" i="88"/>
  <c r="AO173" i="88"/>
  <c r="AO171" i="88" s="1"/>
  <c r="AH173" i="88"/>
  <c r="AH171" i="88" s="1"/>
  <c r="AF173" i="88"/>
  <c r="AF172" i="88" s="1"/>
  <c r="Z173" i="88"/>
  <c r="W173" i="88"/>
  <c r="X173" i="88" s="1"/>
  <c r="S173" i="88"/>
  <c r="L173" i="88"/>
  <c r="M173" i="88" s="1"/>
  <c r="N173" i="88"/>
  <c r="N172" i="88" s="1"/>
  <c r="N166" i="88" s="1"/>
  <c r="N165" i="88" s="1"/>
  <c r="AG172" i="88"/>
  <c r="AE172" i="88"/>
  <c r="Y172" i="88"/>
  <c r="V172" i="88"/>
  <c r="V166" i="88" s="1"/>
  <c r="T172" i="88"/>
  <c r="T166" i="88" s="1"/>
  <c r="T165" i="88" s="1"/>
  <c r="K172" i="88"/>
  <c r="H172" i="88"/>
  <c r="H166" i="88" s="1"/>
  <c r="H165" i="88" s="1"/>
  <c r="AG171" i="88"/>
  <c r="AE171" i="88"/>
  <c r="Y171" i="88"/>
  <c r="V171" i="88"/>
  <c r="T171" i="88"/>
  <c r="V169" i="88"/>
  <c r="T169" i="88"/>
  <c r="S169" i="88"/>
  <c r="O169" i="88"/>
  <c r="N169" i="88"/>
  <c r="M169" i="88"/>
  <c r="L169" i="88"/>
  <c r="K169" i="88"/>
  <c r="V168" i="88"/>
  <c r="T168" i="88"/>
  <c r="S168" i="88"/>
  <c r="O168" i="88"/>
  <c r="N168" i="88"/>
  <c r="M168" i="88"/>
  <c r="L168" i="88"/>
  <c r="K168" i="88"/>
  <c r="J168" i="88"/>
  <c r="BD167" i="88"/>
  <c r="BC167" i="88"/>
  <c r="BB167" i="88"/>
  <c r="BB49" i="88" s="1"/>
  <c r="BA167" i="88"/>
  <c r="BA168" i="88" s="1"/>
  <c r="AZ167" i="88"/>
  <c r="AZ49" i="88" s="1"/>
  <c r="AR167" i="88"/>
  <c r="AR49" i="88" s="1"/>
  <c r="AQ167" i="88"/>
  <c r="AQ49" i="88" s="1"/>
  <c r="AP167" i="88"/>
  <c r="AP166" i="88" s="1"/>
  <c r="AP165" i="88" s="1"/>
  <c r="AO167" i="88"/>
  <c r="AO169" i="88" s="1"/>
  <c r="AG167" i="88"/>
  <c r="AF167" i="88"/>
  <c r="AE167" i="88"/>
  <c r="Z167" i="88"/>
  <c r="Z49" i="88" s="1"/>
  <c r="Y167" i="88"/>
  <c r="X167" i="88"/>
  <c r="W167" i="88"/>
  <c r="W204" i="88" s="1"/>
  <c r="P167" i="88"/>
  <c r="AC166" i="88"/>
  <c r="AB166" i="88"/>
  <c r="J164" i="88"/>
  <c r="AF163" i="88"/>
  <c r="Z163" i="88"/>
  <c r="X163" i="88"/>
  <c r="V163" i="88"/>
  <c r="T163" i="88"/>
  <c r="T164" i="88" s="1"/>
  <c r="S163" i="88"/>
  <c r="O163" i="88"/>
  <c r="N163" i="88"/>
  <c r="M163" i="88"/>
  <c r="L163" i="88"/>
  <c r="K163" i="88"/>
  <c r="H163" i="88"/>
  <c r="G163" i="88"/>
  <c r="F163" i="88"/>
  <c r="E163" i="88"/>
  <c r="D163" i="88"/>
  <c r="AR161" i="88"/>
  <c r="AQ161" i="88"/>
  <c r="AO161" i="88"/>
  <c r="AH161" i="88"/>
  <c r="AF161" i="88"/>
  <c r="Z161" i="88"/>
  <c r="X161" i="88"/>
  <c r="V161" i="88"/>
  <c r="T161" i="88"/>
  <c r="S161" i="88"/>
  <c r="O161" i="88"/>
  <c r="N161" i="88"/>
  <c r="M161" i="88"/>
  <c r="P161" i="88" s="1"/>
  <c r="L161" i="88"/>
  <c r="K161" i="88"/>
  <c r="H161" i="88"/>
  <c r="G161" i="88"/>
  <c r="F161" i="88"/>
  <c r="E161" i="88"/>
  <c r="D161" i="88"/>
  <c r="J160" i="88"/>
  <c r="BL159" i="88"/>
  <c r="BL160" i="88" s="1"/>
  <c r="J154" i="88"/>
  <c r="AF153" i="88"/>
  <c r="Z153" i="88"/>
  <c r="X153" i="88"/>
  <c r="V153" i="88"/>
  <c r="T153" i="88"/>
  <c r="S153" i="88"/>
  <c r="S154" i="88" s="1"/>
  <c r="O153" i="88"/>
  <c r="N153" i="88"/>
  <c r="O154" i="88" s="1"/>
  <c r="M153" i="88"/>
  <c r="L153" i="88"/>
  <c r="K153" i="88"/>
  <c r="H153" i="88"/>
  <c r="G153" i="88"/>
  <c r="F153" i="88"/>
  <c r="E153" i="88"/>
  <c r="D153" i="88"/>
  <c r="AF150" i="88"/>
  <c r="Z150" i="88"/>
  <c r="X150" i="88"/>
  <c r="V150" i="88"/>
  <c r="T150" i="88"/>
  <c r="S150" i="88"/>
  <c r="AA150" i="88" s="1"/>
  <c r="O150" i="88"/>
  <c r="N150" i="88"/>
  <c r="M150" i="88"/>
  <c r="L150" i="88"/>
  <c r="K150" i="88"/>
  <c r="H150" i="88"/>
  <c r="G150" i="88"/>
  <c r="F150" i="88"/>
  <c r="E150" i="88"/>
  <c r="D150" i="88"/>
  <c r="C150" i="88"/>
  <c r="J148" i="88"/>
  <c r="AF147" i="88"/>
  <c r="Z147" i="88"/>
  <c r="X147" i="88"/>
  <c r="V147" i="88"/>
  <c r="AA147" i="88" s="1"/>
  <c r="T147" i="88"/>
  <c r="S147" i="88"/>
  <c r="O147" i="88"/>
  <c r="N147" i="88"/>
  <c r="N148" i="88" s="1"/>
  <c r="M147" i="88"/>
  <c r="L147" i="88"/>
  <c r="K147" i="88"/>
  <c r="H147" i="88"/>
  <c r="G147" i="88"/>
  <c r="F147" i="88"/>
  <c r="E147" i="88"/>
  <c r="D147" i="88"/>
  <c r="J145" i="88"/>
  <c r="AF144" i="88"/>
  <c r="Z144" i="88"/>
  <c r="X144" i="88"/>
  <c r="V144" i="88"/>
  <c r="T144" i="88"/>
  <c r="S144" i="88"/>
  <c r="O144" i="88"/>
  <c r="S145" i="88" s="1"/>
  <c r="N144" i="88"/>
  <c r="M144" i="88"/>
  <c r="L144" i="88"/>
  <c r="K144" i="88"/>
  <c r="H144" i="88"/>
  <c r="G144" i="88"/>
  <c r="F144" i="88"/>
  <c r="E144" i="88"/>
  <c r="D144" i="88"/>
  <c r="J142" i="88"/>
  <c r="AF141" i="88"/>
  <c r="Z141" i="88"/>
  <c r="X141" i="88"/>
  <c r="V141" i="88"/>
  <c r="T141" i="88"/>
  <c r="S141" i="88"/>
  <c r="O141" i="88"/>
  <c r="N141" i="88"/>
  <c r="M141" i="88"/>
  <c r="L141" i="88"/>
  <c r="K141" i="88"/>
  <c r="H141" i="88"/>
  <c r="G141" i="88"/>
  <c r="F141" i="88"/>
  <c r="E141" i="88"/>
  <c r="D141" i="88"/>
  <c r="J139" i="88"/>
  <c r="AF138" i="88"/>
  <c r="Z138" i="88"/>
  <c r="X138" i="88"/>
  <c r="V138" i="88"/>
  <c r="T138" i="88"/>
  <c r="V139" i="88" s="1"/>
  <c r="S138" i="88"/>
  <c r="O138" i="88"/>
  <c r="N138" i="88"/>
  <c r="M138" i="88"/>
  <c r="M139" i="88" s="1"/>
  <c r="L138" i="88"/>
  <c r="K138" i="88"/>
  <c r="H138" i="88"/>
  <c r="J136" i="88"/>
  <c r="AF135" i="88"/>
  <c r="Z135" i="88"/>
  <c r="X135" i="88"/>
  <c r="V135" i="88"/>
  <c r="V136" i="88" s="1"/>
  <c r="T135" i="88"/>
  <c r="S135" i="88"/>
  <c r="O135" i="88"/>
  <c r="N135" i="88"/>
  <c r="M135" i="88"/>
  <c r="L135" i="88"/>
  <c r="K135" i="88"/>
  <c r="H135" i="88"/>
  <c r="K136" i="88" s="1"/>
  <c r="G135" i="88"/>
  <c r="F135" i="88"/>
  <c r="E135" i="88"/>
  <c r="D135" i="88"/>
  <c r="J132" i="88"/>
  <c r="J129" i="88"/>
  <c r="AF128" i="88"/>
  <c r="Z128" i="88"/>
  <c r="X128" i="88"/>
  <c r="V128" i="88"/>
  <c r="T128" i="88"/>
  <c r="S128" i="88"/>
  <c r="O128" i="88"/>
  <c r="N128" i="88"/>
  <c r="M128" i="88"/>
  <c r="L128" i="88"/>
  <c r="K128" i="88"/>
  <c r="H128" i="88"/>
  <c r="G128" i="88"/>
  <c r="F128" i="88"/>
  <c r="E128" i="88"/>
  <c r="D128" i="88"/>
  <c r="J126" i="88"/>
  <c r="AF125" i="88"/>
  <c r="Z125" i="88"/>
  <c r="X125" i="88"/>
  <c r="V125" i="88"/>
  <c r="T125" i="88"/>
  <c r="S125" i="88"/>
  <c r="O125" i="88"/>
  <c r="N125" i="88"/>
  <c r="M125" i="88"/>
  <c r="L125" i="88"/>
  <c r="K125" i="88"/>
  <c r="H125" i="88"/>
  <c r="G125" i="88"/>
  <c r="F125" i="88"/>
  <c r="E125" i="88"/>
  <c r="D125" i="88"/>
  <c r="J123" i="88"/>
  <c r="AF122" i="88"/>
  <c r="Z122" i="88"/>
  <c r="X122" i="88"/>
  <c r="V122" i="88"/>
  <c r="V123" i="88" s="1"/>
  <c r="T122" i="88"/>
  <c r="S122" i="88"/>
  <c r="O122" i="88"/>
  <c r="N122" i="88"/>
  <c r="N123" i="88" s="1"/>
  <c r="M122" i="88"/>
  <c r="L122" i="88"/>
  <c r="K122" i="88"/>
  <c r="H122" i="88"/>
  <c r="G122" i="88"/>
  <c r="F122" i="88"/>
  <c r="E122" i="88"/>
  <c r="D122" i="88"/>
  <c r="J120" i="88"/>
  <c r="AF119" i="88"/>
  <c r="Z119" i="88"/>
  <c r="X119" i="88"/>
  <c r="V119" i="88"/>
  <c r="T119" i="88"/>
  <c r="S119" i="88"/>
  <c r="O119" i="88"/>
  <c r="N119" i="88"/>
  <c r="M119" i="88"/>
  <c r="L119" i="88"/>
  <c r="K119" i="88"/>
  <c r="H119" i="88"/>
  <c r="G119" i="88"/>
  <c r="F119" i="88"/>
  <c r="E119" i="88"/>
  <c r="D119" i="88"/>
  <c r="J117" i="88"/>
  <c r="AF116" i="88"/>
  <c r="Z116" i="88"/>
  <c r="X116" i="88"/>
  <c r="V116" i="88"/>
  <c r="T116" i="88"/>
  <c r="S116" i="88"/>
  <c r="S117" i="88" s="1"/>
  <c r="O116" i="88"/>
  <c r="N116" i="88"/>
  <c r="N117" i="88" s="1"/>
  <c r="M116" i="88"/>
  <c r="L116" i="88"/>
  <c r="K116" i="88"/>
  <c r="H116" i="88"/>
  <c r="G116" i="88"/>
  <c r="F116" i="88"/>
  <c r="E116" i="88"/>
  <c r="D116" i="88"/>
  <c r="J114" i="88"/>
  <c r="AF113" i="88"/>
  <c r="Z113" i="88"/>
  <c r="X113" i="88"/>
  <c r="V113" i="88"/>
  <c r="T113" i="88"/>
  <c r="S113" i="88"/>
  <c r="O113" i="88"/>
  <c r="N113" i="88"/>
  <c r="M113" i="88"/>
  <c r="L113" i="88"/>
  <c r="K113" i="88"/>
  <c r="H113" i="88"/>
  <c r="G113" i="88"/>
  <c r="F113" i="88"/>
  <c r="E113" i="88"/>
  <c r="D113" i="88"/>
  <c r="J111" i="88"/>
  <c r="AF110" i="88"/>
  <c r="Z110" i="88"/>
  <c r="X110" i="88"/>
  <c r="V110" i="88"/>
  <c r="T110" i="88"/>
  <c r="S110" i="88"/>
  <c r="O110" i="88"/>
  <c r="O111" i="88" s="1"/>
  <c r="N110" i="88"/>
  <c r="M110" i="88"/>
  <c r="L110" i="88"/>
  <c r="K110" i="88"/>
  <c r="K111" i="88" s="1"/>
  <c r="Q111" i="88" s="1"/>
  <c r="H110" i="88"/>
  <c r="G110" i="88"/>
  <c r="F110" i="88"/>
  <c r="E110" i="88"/>
  <c r="E104" i="88" s="1"/>
  <c r="D110" i="88"/>
  <c r="J108" i="88"/>
  <c r="AF107" i="88"/>
  <c r="Z107" i="88"/>
  <c r="AA107" i="88" s="1"/>
  <c r="AD107" i="88" s="1"/>
  <c r="X107" i="88"/>
  <c r="V107" i="88"/>
  <c r="T107" i="88"/>
  <c r="S107" i="88"/>
  <c r="O107" i="88"/>
  <c r="N107" i="88"/>
  <c r="M107" i="88"/>
  <c r="L107" i="88"/>
  <c r="K107" i="88"/>
  <c r="H107" i="88"/>
  <c r="G107" i="88"/>
  <c r="F107" i="88"/>
  <c r="E107" i="88"/>
  <c r="D107" i="88"/>
  <c r="D104" i="88" s="1"/>
  <c r="J105" i="88"/>
  <c r="J102" i="88"/>
  <c r="J100" i="88"/>
  <c r="J99" i="88"/>
  <c r="J98" i="88"/>
  <c r="J97" i="88"/>
  <c r="AG92" i="88"/>
  <c r="AF92" i="88"/>
  <c r="AE92" i="88"/>
  <c r="Z92" i="88"/>
  <c r="AF100" i="88" s="1"/>
  <c r="Y92" i="88"/>
  <c r="X92" i="88"/>
  <c r="W92" i="88"/>
  <c r="V92" i="88"/>
  <c r="T92" i="88"/>
  <c r="S92" i="88"/>
  <c r="O92" i="88"/>
  <c r="N92" i="88"/>
  <c r="M92" i="88"/>
  <c r="L92" i="88"/>
  <c r="K92" i="88"/>
  <c r="H92" i="88"/>
  <c r="G92" i="88"/>
  <c r="F92" i="88"/>
  <c r="E92" i="88"/>
  <c r="D92" i="88"/>
  <c r="J92" i="88" s="1"/>
  <c r="AF90" i="88"/>
  <c r="Z90" i="88"/>
  <c r="X90" i="88"/>
  <c r="V90" i="88"/>
  <c r="T90" i="88"/>
  <c r="S90" i="88"/>
  <c r="O90" i="88"/>
  <c r="N90" i="88"/>
  <c r="M90" i="88"/>
  <c r="L90" i="88"/>
  <c r="K90" i="88"/>
  <c r="H90" i="88"/>
  <c r="G90" i="88"/>
  <c r="F90" i="88"/>
  <c r="E90" i="88"/>
  <c r="D90" i="88"/>
  <c r="J90" i="88" s="1"/>
  <c r="AF89" i="88"/>
  <c r="Z89" i="88"/>
  <c r="X89" i="88"/>
  <c r="V89" i="88"/>
  <c r="T89" i="88"/>
  <c r="S89" i="88"/>
  <c r="O89" i="88"/>
  <c r="N89" i="88"/>
  <c r="M89" i="88"/>
  <c r="L89" i="88"/>
  <c r="K89" i="88"/>
  <c r="H89" i="88"/>
  <c r="G89" i="88"/>
  <c r="F89" i="88"/>
  <c r="E89" i="88"/>
  <c r="D89" i="88"/>
  <c r="J89" i="88" s="1"/>
  <c r="AF88" i="88"/>
  <c r="Z88" i="88"/>
  <c r="X88" i="88"/>
  <c r="V88" i="88"/>
  <c r="T88" i="88"/>
  <c r="S88" i="88"/>
  <c r="O88" i="88"/>
  <c r="N88" i="88"/>
  <c r="M88" i="88"/>
  <c r="L88" i="88"/>
  <c r="K88" i="88"/>
  <c r="H88" i="88"/>
  <c r="J88" i="88" s="1"/>
  <c r="G88" i="88"/>
  <c r="F88" i="88"/>
  <c r="E88" i="88"/>
  <c r="D88" i="88"/>
  <c r="AF87" i="88"/>
  <c r="Z87" i="88"/>
  <c r="X87" i="88"/>
  <c r="V87" i="88"/>
  <c r="T87" i="88"/>
  <c r="S87" i="88"/>
  <c r="O87" i="88"/>
  <c r="N87" i="88"/>
  <c r="N86" i="88" s="1"/>
  <c r="M87" i="88"/>
  <c r="L87" i="88"/>
  <c r="K87" i="88"/>
  <c r="H87" i="88"/>
  <c r="G87" i="88"/>
  <c r="F87" i="88"/>
  <c r="E87" i="88"/>
  <c r="D87" i="88"/>
  <c r="AG86" i="88"/>
  <c r="AE86" i="88"/>
  <c r="Y86" i="88"/>
  <c r="W86" i="88"/>
  <c r="AV82" i="88"/>
  <c r="AA82" i="88"/>
  <c r="O82" i="88"/>
  <c r="N82" i="88"/>
  <c r="M82" i="88"/>
  <c r="L82" i="88"/>
  <c r="K82" i="88"/>
  <c r="H82" i="88"/>
  <c r="G82" i="88"/>
  <c r="F82" i="88"/>
  <c r="E82" i="88"/>
  <c r="D82" i="88"/>
  <c r="C82" i="88"/>
  <c r="AF79" i="88"/>
  <c r="Z79" i="88"/>
  <c r="X79" i="88"/>
  <c r="X80" i="88" s="1"/>
  <c r="V79" i="88"/>
  <c r="T79" i="88"/>
  <c r="S79" i="88"/>
  <c r="O79" i="88"/>
  <c r="O80" i="88" s="1"/>
  <c r="N79" i="88"/>
  <c r="M79" i="88"/>
  <c r="L79" i="88"/>
  <c r="K79" i="88"/>
  <c r="K80" i="88" s="1"/>
  <c r="H79" i="88"/>
  <c r="G79" i="88"/>
  <c r="F79" i="88"/>
  <c r="E79" i="88"/>
  <c r="D79" i="88"/>
  <c r="V64" i="88"/>
  <c r="T64" i="88"/>
  <c r="S64" i="88"/>
  <c r="O64" i="88"/>
  <c r="N64" i="88"/>
  <c r="M64" i="88"/>
  <c r="L64" i="88"/>
  <c r="K64" i="88"/>
  <c r="AV63" i="88"/>
  <c r="AC63" i="88"/>
  <c r="AA63" i="88"/>
  <c r="P63" i="88"/>
  <c r="AV62" i="88"/>
  <c r="AC62" i="88"/>
  <c r="AA62" i="88"/>
  <c r="P62" i="88"/>
  <c r="AO61" i="88"/>
  <c r="AH61" i="88"/>
  <c r="BM63" i="88" s="1"/>
  <c r="AF61" i="88"/>
  <c r="AF56" i="88" s="1"/>
  <c r="AA61" i="88"/>
  <c r="R61" i="88"/>
  <c r="P61" i="88"/>
  <c r="AV60" i="88"/>
  <c r="AA60" i="88"/>
  <c r="P60" i="88"/>
  <c r="AV59" i="88"/>
  <c r="AA59" i="88"/>
  <c r="AY59" i="88" s="1"/>
  <c r="R59" i="88"/>
  <c r="P59" i="88"/>
  <c r="AO58" i="88"/>
  <c r="AH58" i="88"/>
  <c r="AF58" i="88"/>
  <c r="AA58" i="88"/>
  <c r="R58" i="88"/>
  <c r="P58" i="88"/>
  <c r="AO57" i="88"/>
  <c r="AH57" i="88"/>
  <c r="AF57" i="88"/>
  <c r="AA57" i="88"/>
  <c r="AY57" i="88" s="1"/>
  <c r="R57" i="88"/>
  <c r="P57" i="88"/>
  <c r="AE56" i="88"/>
  <c r="AG56" i="88" s="1"/>
  <c r="Z56" i="88"/>
  <c r="Z181" i="88" s="1"/>
  <c r="AA181" i="88" s="1"/>
  <c r="Y56" i="88"/>
  <c r="X56" i="88"/>
  <c r="X181" i="88" s="1"/>
  <c r="W56" i="88"/>
  <c r="R56" i="88"/>
  <c r="P56" i="88"/>
  <c r="G56" i="88"/>
  <c r="F56" i="88"/>
  <c r="E56" i="88"/>
  <c r="E181" i="88" s="1"/>
  <c r="D56" i="88"/>
  <c r="AV54" i="88"/>
  <c r="AA54" i="88"/>
  <c r="AE49" i="88"/>
  <c r="BO39" i="88"/>
  <c r="BN39" i="88"/>
  <c r="BM39" i="88"/>
  <c r="BL39" i="88"/>
  <c r="BJ39" i="88"/>
  <c r="BI39" i="88"/>
  <c r="BH39" i="88"/>
  <c r="BG39" i="88"/>
  <c r="BF39" i="88"/>
  <c r="BD39" i="88"/>
  <c r="BC39" i="88"/>
  <c r="BB39" i="88"/>
  <c r="BA39" i="88"/>
  <c r="AX39" i="88"/>
  <c r="AW39" i="88"/>
  <c r="AV39" i="88"/>
  <c r="AU39" i="88"/>
  <c r="AT39" i="88"/>
  <c r="AN39" i="88"/>
  <c r="AL39" i="88"/>
  <c r="AK39" i="88"/>
  <c r="AJ39" i="88"/>
  <c r="AI39" i="88"/>
  <c r="AD39" i="88"/>
  <c r="AC39" i="88"/>
  <c r="AB39" i="88"/>
  <c r="T39" i="88"/>
  <c r="S39" i="88"/>
  <c r="R39" i="88"/>
  <c r="Q39" i="88"/>
  <c r="P39" i="88"/>
  <c r="N39" i="88"/>
  <c r="M39" i="88"/>
  <c r="L39" i="88"/>
  <c r="K39" i="88"/>
  <c r="J39" i="88"/>
  <c r="H39" i="88"/>
  <c r="G39" i="88"/>
  <c r="F39" i="88"/>
  <c r="E39" i="88"/>
  <c r="D39" i="88"/>
  <c r="C39" i="88"/>
  <c r="BM38" i="88"/>
  <c r="BG38" i="88"/>
  <c r="BA38" i="88"/>
  <c r="AZ38" i="88"/>
  <c r="AU38" i="88"/>
  <c r="AR38" i="88"/>
  <c r="AX38" i="88" s="1"/>
  <c r="BD38" i="88" s="1"/>
  <c r="BJ38" i="88" s="1"/>
  <c r="AQ38" i="88"/>
  <c r="AP38" i="88"/>
  <c r="AO38" i="88"/>
  <c r="AI38" i="88"/>
  <c r="AG38" i="88"/>
  <c r="AH38" i="88" s="1"/>
  <c r="AF38" i="88"/>
  <c r="AL38" i="88" s="1"/>
  <c r="AC38" i="88"/>
  <c r="X38" i="88"/>
  <c r="V38" i="88"/>
  <c r="T38" i="88"/>
  <c r="Q38" i="88"/>
  <c r="N38" i="88" s="1"/>
  <c r="E38" i="88"/>
  <c r="C38" i="88" s="1"/>
  <c r="H38" i="88" s="1"/>
  <c r="K38" i="88" s="1"/>
  <c r="L38" i="88" s="1"/>
  <c r="BM37" i="88"/>
  <c r="BG37" i="88"/>
  <c r="BA37" i="88"/>
  <c r="AZ37" i="88"/>
  <c r="AU37" i="88"/>
  <c r="AR37" i="88"/>
  <c r="AQ37" i="88"/>
  <c r="AP37" i="88"/>
  <c r="AO37" i="88"/>
  <c r="AI37" i="88"/>
  <c r="AG37" i="88"/>
  <c r="AH37" i="88" s="1"/>
  <c r="AF37" i="88"/>
  <c r="AC37" i="88"/>
  <c r="Z37" i="88"/>
  <c r="X37" i="88"/>
  <c r="V37" i="88"/>
  <c r="T37" i="88"/>
  <c r="R37" i="88"/>
  <c r="Q37" i="88" s="1"/>
  <c r="N37" i="88" s="1"/>
  <c r="M37" i="88"/>
  <c r="H37" i="88" s="1"/>
  <c r="K37" i="88" s="1"/>
  <c r="L37" i="88"/>
  <c r="E37" i="88"/>
  <c r="C37" i="88"/>
  <c r="AZ36" i="88"/>
  <c r="AR36" i="88"/>
  <c r="AQ36" i="88"/>
  <c r="AP36" i="88"/>
  <c r="AO36" i="88"/>
  <c r="AG36" i="88"/>
  <c r="AG33" i="88" s="1"/>
  <c r="AF36" i="88"/>
  <c r="Z36" i="88"/>
  <c r="X36" i="88"/>
  <c r="V36" i="88"/>
  <c r="AZ35" i="88"/>
  <c r="AR35" i="88"/>
  <c r="AQ35" i="88"/>
  <c r="AP35" i="88"/>
  <c r="AO35" i="88"/>
  <c r="AG35" i="88"/>
  <c r="AF35" i="88"/>
  <c r="Y35" i="88"/>
  <c r="Z35" i="88" s="1"/>
  <c r="AC35" i="88" s="1"/>
  <c r="AD35" i="88" s="1"/>
  <c r="X35" i="88"/>
  <c r="U35" i="88"/>
  <c r="V35" i="88" s="1"/>
  <c r="T35" i="88"/>
  <c r="N35" i="88"/>
  <c r="R35" i="88" s="1"/>
  <c r="Q35" i="88"/>
  <c r="H35" i="88"/>
  <c r="F35" i="88"/>
  <c r="E35" i="88" s="1"/>
  <c r="E33" i="88" s="1"/>
  <c r="AZ34" i="88"/>
  <c r="AZ33" i="88" s="1"/>
  <c r="AR34" i="88"/>
  <c r="AU34" i="88" s="1"/>
  <c r="AQ34" i="88"/>
  <c r="AP34" i="88"/>
  <c r="AO34" i="88"/>
  <c r="AO33" i="88" s="1"/>
  <c r="AO31" i="88" s="1"/>
  <c r="AH34" i="88"/>
  <c r="AG34" i="88"/>
  <c r="AF34" i="88"/>
  <c r="Y34" i="88"/>
  <c r="W34" i="88"/>
  <c r="W33" i="88" s="1"/>
  <c r="U34" i="88"/>
  <c r="V34" i="88" s="1"/>
  <c r="N34" i="88"/>
  <c r="H34" i="88"/>
  <c r="K34" i="88" s="1"/>
  <c r="L34" i="88" s="1"/>
  <c r="F34" i="88"/>
  <c r="E34" i="88" s="1"/>
  <c r="BO33" i="88"/>
  <c r="BO31" i="88" s="1"/>
  <c r="BL33" i="88"/>
  <c r="BL31" i="88" s="1"/>
  <c r="BI33" i="88"/>
  <c r="BI31" i="88"/>
  <c r="BF33" i="88"/>
  <c r="BF31" i="88" s="1"/>
  <c r="BC33" i="88"/>
  <c r="BC31" i="88" s="1"/>
  <c r="AW33" i="88"/>
  <c r="AW31" i="88" s="1"/>
  <c r="AT33" i="88"/>
  <c r="AT31" i="88" s="1"/>
  <c r="AN33" i="88"/>
  <c r="AN31" i="88" s="1"/>
  <c r="AK33" i="88"/>
  <c r="AK31" i="88" s="1"/>
  <c r="AE33" i="88"/>
  <c r="AE31" i="88"/>
  <c r="AB33" i="88"/>
  <c r="AB31" i="88" s="1"/>
  <c r="AA33" i="88"/>
  <c r="S33" i="88"/>
  <c r="S31" i="88" s="1"/>
  <c r="P33" i="88"/>
  <c r="P31" i="88" s="1"/>
  <c r="M33" i="88"/>
  <c r="M31" i="88" s="1"/>
  <c r="J33" i="88"/>
  <c r="J31" i="88"/>
  <c r="G33" i="88"/>
  <c r="G31" i="88" s="1"/>
  <c r="D33" i="88"/>
  <c r="D31" i="88" s="1"/>
  <c r="C33" i="88"/>
  <c r="C31" i="88" s="1"/>
  <c r="BJ32" i="88"/>
  <c r="BM32" i="88" s="1"/>
  <c r="BN32" i="88" s="1"/>
  <c r="BD32" i="88"/>
  <c r="BG32" i="88" s="1"/>
  <c r="AZ32" i="88"/>
  <c r="AX32" i="88"/>
  <c r="BA32" i="88" s="1"/>
  <c r="BB32" i="88" s="1"/>
  <c r="AR32" i="88"/>
  <c r="AU32" i="88" s="1"/>
  <c r="AQ32" i="88"/>
  <c r="AO32" i="88"/>
  <c r="AP32" i="88" s="1"/>
  <c r="AL32" i="88"/>
  <c r="AG32" i="88"/>
  <c r="AH32" i="88" s="1"/>
  <c r="AF32" i="88"/>
  <c r="Z32" i="88"/>
  <c r="Y32" i="88"/>
  <c r="W32" i="88"/>
  <c r="X32" i="88" s="1"/>
  <c r="U32" i="88"/>
  <c r="V32" i="88" s="1"/>
  <c r="R32" i="88"/>
  <c r="Q32" i="88" s="1"/>
  <c r="N32" i="88" s="1"/>
  <c r="H32" i="88"/>
  <c r="F32" i="88"/>
  <c r="E32" i="88" s="1"/>
  <c r="AV29" i="88"/>
  <c r="BL28" i="88"/>
  <c r="BD28" i="88"/>
  <c r="BC28" i="88"/>
  <c r="BB28" i="88"/>
  <c r="BA28" i="88"/>
  <c r="AZ28" i="88"/>
  <c r="AZ125" i="88" s="1"/>
  <c r="AR28" i="88"/>
  <c r="AQ28" i="88"/>
  <c r="AQ79" i="88" s="1"/>
  <c r="AP28" i="88"/>
  <c r="AO28" i="88"/>
  <c r="AH28" i="88"/>
  <c r="AL28" i="88" s="1"/>
  <c r="AB28" i="88"/>
  <c r="AA28" i="88"/>
  <c r="U28" i="88"/>
  <c r="P28" i="88"/>
  <c r="AD28" i="88" s="1"/>
  <c r="I28" i="88"/>
  <c r="C28" i="88"/>
  <c r="BL27" i="88"/>
  <c r="BD27" i="88"/>
  <c r="BC27" i="88"/>
  <c r="BB27" i="88"/>
  <c r="BB122" i="88" s="1"/>
  <c r="BA27" i="88"/>
  <c r="AZ27" i="88"/>
  <c r="AR27" i="88"/>
  <c r="AQ27" i="88"/>
  <c r="AP27" i="88"/>
  <c r="AO27" i="88"/>
  <c r="AO122" i="88" s="1"/>
  <c r="AH27" i="88"/>
  <c r="AI27" i="88" s="1"/>
  <c r="AB27" i="88"/>
  <c r="AA27" i="88"/>
  <c r="U27" i="88"/>
  <c r="P27" i="88"/>
  <c r="I27" i="88"/>
  <c r="C27" i="88"/>
  <c r="BL26" i="88"/>
  <c r="BD26" i="88"/>
  <c r="BC26" i="88"/>
  <c r="BB26" i="88"/>
  <c r="BA26" i="88"/>
  <c r="AZ26" i="88"/>
  <c r="AR26" i="88"/>
  <c r="AQ26" i="88"/>
  <c r="AP26" i="88"/>
  <c r="AW26" i="88" s="1"/>
  <c r="AO26" i="88"/>
  <c r="AH26" i="88"/>
  <c r="AN26" i="88" s="1"/>
  <c r="AB26" i="88"/>
  <c r="AA26" i="88"/>
  <c r="U26" i="88"/>
  <c r="P26" i="88"/>
  <c r="I26" i="88"/>
  <c r="C26" i="88"/>
  <c r="BL25" i="88"/>
  <c r="BD25" i="88"/>
  <c r="BD150" i="88" s="1"/>
  <c r="BC25" i="88"/>
  <c r="BC150" i="88" s="1"/>
  <c r="BB25" i="88"/>
  <c r="BB150" i="88" s="1"/>
  <c r="BA25" i="88"/>
  <c r="BA150" i="88" s="1"/>
  <c r="AZ25" i="88"/>
  <c r="AZ150" i="88" s="1"/>
  <c r="AR25" i="88"/>
  <c r="AQ25" i="88"/>
  <c r="AP25" i="88"/>
  <c r="AO25" i="88"/>
  <c r="AO150" i="88" s="1"/>
  <c r="AH25" i="88"/>
  <c r="AN25" i="88" s="1"/>
  <c r="AB25" i="88"/>
  <c r="AA25" i="88"/>
  <c r="U25" i="88"/>
  <c r="P25" i="88"/>
  <c r="P150" i="88" s="1"/>
  <c r="I25" i="88"/>
  <c r="BL24" i="88"/>
  <c r="BD24" i="88"/>
  <c r="BC24" i="88"/>
  <c r="BB24" i="88"/>
  <c r="BE24" i="88" s="1"/>
  <c r="BA24" i="88"/>
  <c r="AZ24" i="88"/>
  <c r="AR24" i="88"/>
  <c r="AQ24" i="88"/>
  <c r="AP24" i="88"/>
  <c r="AO24" i="88"/>
  <c r="AH24" i="88"/>
  <c r="AH224" i="88" s="1"/>
  <c r="AB24" i="88"/>
  <c r="AA24" i="88"/>
  <c r="U24" i="88"/>
  <c r="P24" i="88"/>
  <c r="I24" i="88"/>
  <c r="BL23" i="88"/>
  <c r="BD23" i="88"/>
  <c r="BC23" i="88"/>
  <c r="BB23" i="88"/>
  <c r="BA23" i="88"/>
  <c r="AZ23" i="88"/>
  <c r="AR23" i="88"/>
  <c r="AQ23" i="88"/>
  <c r="AP23" i="88"/>
  <c r="AO23" i="88"/>
  <c r="AH23" i="88"/>
  <c r="BM23" i="88" s="1"/>
  <c r="BN23" i="88" s="1"/>
  <c r="BO23" i="88" s="1"/>
  <c r="AB23" i="88"/>
  <c r="AA23" i="88"/>
  <c r="U23" i="88"/>
  <c r="P23" i="88"/>
  <c r="I23" i="88"/>
  <c r="C23" i="88"/>
  <c r="C153" i="88" s="1"/>
  <c r="BL22" i="88"/>
  <c r="BD22" i="88"/>
  <c r="BC22" i="88"/>
  <c r="BB22" i="88"/>
  <c r="BA22" i="88"/>
  <c r="AZ22" i="88"/>
  <c r="AR22" i="88"/>
  <c r="AQ22" i="88"/>
  <c r="AP22" i="88"/>
  <c r="AO22" i="88"/>
  <c r="AH22" i="88"/>
  <c r="AB22" i="88"/>
  <c r="AA22" i="88"/>
  <c r="U22" i="88"/>
  <c r="P22" i="88"/>
  <c r="I22" i="88"/>
  <c r="C22" i="88"/>
  <c r="C147" i="88" s="1"/>
  <c r="BL21" i="88"/>
  <c r="BD21" i="88"/>
  <c r="BD147" i="88" s="1"/>
  <c r="BD148" i="88" s="1"/>
  <c r="BC21" i="88"/>
  <c r="BC147" i="88" s="1"/>
  <c r="BB21" i="88"/>
  <c r="BB147" i="88" s="1"/>
  <c r="BA21" i="88"/>
  <c r="BA147" i="88" s="1"/>
  <c r="AZ21" i="88"/>
  <c r="AR21" i="88"/>
  <c r="AQ21" i="88"/>
  <c r="AP21" i="88"/>
  <c r="AO21" i="88"/>
  <c r="AO147" i="88" s="1"/>
  <c r="AH21" i="88"/>
  <c r="AB21" i="88"/>
  <c r="AA21" i="88"/>
  <c r="U21" i="88"/>
  <c r="P21" i="88"/>
  <c r="P147" i="88" s="1"/>
  <c r="I21" i="88"/>
  <c r="C21" i="88"/>
  <c r="BL20" i="88"/>
  <c r="BD20" i="88"/>
  <c r="BD119" i="88" s="1"/>
  <c r="BC20" i="88"/>
  <c r="BC119" i="88" s="1"/>
  <c r="BB20" i="88"/>
  <c r="BB119" i="88" s="1"/>
  <c r="BA20" i="88"/>
  <c r="BA119" i="88" s="1"/>
  <c r="AZ20" i="88"/>
  <c r="AR20" i="88"/>
  <c r="AQ20" i="88"/>
  <c r="AP20" i="88"/>
  <c r="AO20" i="88"/>
  <c r="AO119" i="88" s="1"/>
  <c r="AH20" i="88"/>
  <c r="AH220" i="88" s="1"/>
  <c r="AB20" i="88"/>
  <c r="AA20" i="88"/>
  <c r="U20" i="88"/>
  <c r="P20" i="88"/>
  <c r="P119" i="88" s="1"/>
  <c r="I20" i="88"/>
  <c r="C20" i="88"/>
  <c r="C119" i="88" s="1"/>
  <c r="BL19" i="88"/>
  <c r="BD19" i="88"/>
  <c r="BD144" i="88" s="1"/>
  <c r="BC19" i="88"/>
  <c r="BC144" i="88" s="1"/>
  <c r="BB19" i="88"/>
  <c r="BB144" i="88" s="1"/>
  <c r="BB145" i="88" s="1"/>
  <c r="BA19" i="88"/>
  <c r="BA144" i="88" s="1"/>
  <c r="AZ19" i="88"/>
  <c r="AR19" i="88"/>
  <c r="AQ19" i="88"/>
  <c r="AW19" i="88" s="1"/>
  <c r="AP19" i="88"/>
  <c r="AO19" i="88"/>
  <c r="AO144" i="88" s="1"/>
  <c r="AH19" i="88"/>
  <c r="AL19" i="88" s="1"/>
  <c r="AB19" i="88"/>
  <c r="AA19" i="88"/>
  <c r="AD19" i="88"/>
  <c r="U19" i="88"/>
  <c r="P19" i="88"/>
  <c r="P144" i="88" s="1"/>
  <c r="I19" i="88"/>
  <c r="C19" i="88"/>
  <c r="C144" i="88" s="1"/>
  <c r="BL18" i="88"/>
  <c r="BD18" i="88"/>
  <c r="BD89" i="88" s="1"/>
  <c r="BC18" i="88"/>
  <c r="BB18" i="88"/>
  <c r="BA18" i="88"/>
  <c r="AZ18" i="88"/>
  <c r="AZ116" i="88" s="1"/>
  <c r="AR18" i="88"/>
  <c r="AQ18" i="88"/>
  <c r="AS18" i="88" s="1"/>
  <c r="AP18" i="88"/>
  <c r="AO18" i="88"/>
  <c r="AO89" i="88" s="1"/>
  <c r="AH18" i="88"/>
  <c r="AK18" i="88" s="1"/>
  <c r="AB18" i="88"/>
  <c r="AA18" i="88"/>
  <c r="U18" i="88"/>
  <c r="P18" i="88"/>
  <c r="P89" i="88" s="1"/>
  <c r="I18" i="88"/>
  <c r="C18" i="88"/>
  <c r="BL17" i="88"/>
  <c r="BD17" i="88"/>
  <c r="BD138" i="88" s="1"/>
  <c r="BC17" i="88"/>
  <c r="BC138" i="88" s="1"/>
  <c r="BB17" i="88"/>
  <c r="BB138" i="88" s="1"/>
  <c r="BA17" i="88"/>
  <c r="AZ17" i="88"/>
  <c r="AR17" i="88"/>
  <c r="AQ17" i="88"/>
  <c r="AQ138" i="88" s="1"/>
  <c r="AP17" i="88"/>
  <c r="AO17" i="88"/>
  <c r="AO138" i="88" s="1"/>
  <c r="AH17" i="88"/>
  <c r="BM17" i="88" s="1"/>
  <c r="BN17" i="88" s="1"/>
  <c r="BO17" i="88" s="1"/>
  <c r="AB17" i="88"/>
  <c r="AA17" i="88"/>
  <c r="U17" i="88"/>
  <c r="P17" i="88"/>
  <c r="P138" i="88" s="1"/>
  <c r="G17" i="88"/>
  <c r="G138" i="88" s="1"/>
  <c r="F17" i="88"/>
  <c r="F138" i="88"/>
  <c r="E17" i="88"/>
  <c r="D17" i="88"/>
  <c r="C17" i="88"/>
  <c r="C138" i="88" s="1"/>
  <c r="BL16" i="88"/>
  <c r="BD16" i="88"/>
  <c r="BD141" i="88" s="1"/>
  <c r="BC16" i="88"/>
  <c r="BC141" i="88" s="1"/>
  <c r="BB16" i="88"/>
  <c r="BE16" i="88" s="1"/>
  <c r="BA16" i="88"/>
  <c r="BA141" i="88" s="1"/>
  <c r="AZ16" i="88"/>
  <c r="AZ141" i="88" s="1"/>
  <c r="AR16" i="88"/>
  <c r="AQ16" i="88"/>
  <c r="AP16" i="88"/>
  <c r="AO16" i="88"/>
  <c r="AO141" i="88" s="1"/>
  <c r="AH16" i="88"/>
  <c r="AB16" i="88"/>
  <c r="AA16" i="88"/>
  <c r="U16" i="88"/>
  <c r="P16" i="88"/>
  <c r="P141" i="88" s="1"/>
  <c r="AD141" i="88" s="1"/>
  <c r="I16" i="88"/>
  <c r="C16" i="88"/>
  <c r="C141" i="88" s="1"/>
  <c r="BQ15" i="88"/>
  <c r="BO63" i="88" s="1"/>
  <c r="BL15" i="88"/>
  <c r="BD15" i="88"/>
  <c r="BC15" i="88"/>
  <c r="BB15" i="88"/>
  <c r="BA15" i="88"/>
  <c r="AZ15" i="88"/>
  <c r="AR15" i="88"/>
  <c r="AQ15" i="88"/>
  <c r="AP15" i="88"/>
  <c r="AO15" i="88"/>
  <c r="AH15" i="88"/>
  <c r="AH215" i="88" s="1"/>
  <c r="AB15" i="88"/>
  <c r="AA15" i="88"/>
  <c r="U15" i="88"/>
  <c r="P15" i="88"/>
  <c r="I15" i="88"/>
  <c r="C15" i="88"/>
  <c r="BR14" i="88"/>
  <c r="BL14" i="88"/>
  <c r="BD14" i="88"/>
  <c r="BD135" i="88" s="1"/>
  <c r="BC14" i="88"/>
  <c r="BC135" i="88" s="1"/>
  <c r="BB14" i="88"/>
  <c r="BB135" i="88" s="1"/>
  <c r="BC136" i="88" s="1"/>
  <c r="BA14" i="88"/>
  <c r="BA135" i="88" s="1"/>
  <c r="AZ14" i="88"/>
  <c r="AZ135" i="88" s="1"/>
  <c r="AR14" i="88"/>
  <c r="AQ14" i="88"/>
  <c r="AQ135" i="88" s="1"/>
  <c r="AP14" i="88"/>
  <c r="AO14" i="88"/>
  <c r="AH14" i="88"/>
  <c r="AB14" i="88"/>
  <c r="AA14" i="88"/>
  <c r="U14" i="88"/>
  <c r="P14" i="88"/>
  <c r="P135" i="88"/>
  <c r="I14" i="88"/>
  <c r="C14" i="88"/>
  <c r="C135" i="88" s="1"/>
  <c r="BL13" i="88"/>
  <c r="BD13" i="88"/>
  <c r="BD113" i="88" s="1"/>
  <c r="BC13" i="88"/>
  <c r="BC113" i="88" s="1"/>
  <c r="BB13" i="88"/>
  <c r="BB113" i="88" s="1"/>
  <c r="BA13" i="88"/>
  <c r="BA113" i="88" s="1"/>
  <c r="AZ13" i="88"/>
  <c r="AZ113" i="88" s="1"/>
  <c r="AR13" i="88"/>
  <c r="AQ13" i="88"/>
  <c r="AQ113" i="88" s="1"/>
  <c r="AP13" i="88"/>
  <c r="AO13" i="88"/>
  <c r="AO113" i="88" s="1"/>
  <c r="AH13" i="88"/>
  <c r="AB13" i="88"/>
  <c r="AA13" i="88"/>
  <c r="U13" i="88"/>
  <c r="P13" i="88"/>
  <c r="P113" i="88" s="1"/>
  <c r="I13" i="88"/>
  <c r="C13" i="88"/>
  <c r="C113" i="88" s="1"/>
  <c r="BR12" i="88"/>
  <c r="BQ12" i="88"/>
  <c r="BL12" i="88"/>
  <c r="BD12" i="88"/>
  <c r="BC12" i="88"/>
  <c r="BB12" i="88"/>
  <c r="BA12" i="88"/>
  <c r="BA128" i="88" s="1"/>
  <c r="AZ12" i="88"/>
  <c r="AR12" i="88"/>
  <c r="AW12" i="88" s="1"/>
  <c r="AQ12" i="88"/>
  <c r="AP12" i="88"/>
  <c r="AO12" i="88"/>
  <c r="AO128" i="88" s="1"/>
  <c r="AH12" i="88"/>
  <c r="AK12" i="88" s="1"/>
  <c r="AB12" i="88"/>
  <c r="AA12" i="88"/>
  <c r="U12" i="88"/>
  <c r="P12" i="88"/>
  <c r="AD12" i="88" s="1"/>
  <c r="I12" i="88"/>
  <c r="C12" i="88"/>
  <c r="BR11" i="88"/>
  <c r="BQ11" i="88"/>
  <c r="BN11" i="88"/>
  <c r="BO11" i="88" s="1"/>
  <c r="BD11" i="88"/>
  <c r="BD110" i="88" s="1"/>
  <c r="BC11" i="88"/>
  <c r="BB11" i="88"/>
  <c r="BA11" i="88"/>
  <c r="AZ11" i="88"/>
  <c r="AZ110" i="88" s="1"/>
  <c r="AR11" i="88"/>
  <c r="AQ11" i="88"/>
  <c r="AQ88" i="88" s="1"/>
  <c r="AP11" i="88"/>
  <c r="AO11" i="88"/>
  <c r="AH11" i="88"/>
  <c r="AK11" i="88" s="1"/>
  <c r="AB11" i="88"/>
  <c r="AA11" i="88"/>
  <c r="U11" i="88"/>
  <c r="P11" i="88"/>
  <c r="I11" i="88"/>
  <c r="C11" i="88"/>
  <c r="BQ10" i="88"/>
  <c r="BL10" i="88"/>
  <c r="BD10" i="88"/>
  <c r="BD107" i="88" s="1"/>
  <c r="BD104" i="88" s="1"/>
  <c r="BC10" i="88"/>
  <c r="BB10" i="88"/>
  <c r="BA10" i="88"/>
  <c r="BA87" i="88" s="1"/>
  <c r="AZ10" i="88"/>
  <c r="AR10" i="88"/>
  <c r="AQ10" i="88"/>
  <c r="AP10" i="88"/>
  <c r="AO10" i="88"/>
  <c r="AO87" i="88" s="1"/>
  <c r="AO86" i="88" s="1"/>
  <c r="AH10" i="88"/>
  <c r="AK10" i="88" s="1"/>
  <c r="AB10" i="88"/>
  <c r="AA10" i="88"/>
  <c r="U10" i="88"/>
  <c r="P10" i="88"/>
  <c r="I10" i="88"/>
  <c r="C10" i="88"/>
  <c r="AG8" i="88"/>
  <c r="AG9" i="88" s="1"/>
  <c r="AF8" i="88"/>
  <c r="BL8" i="88" s="1"/>
  <c r="AE8" i="88"/>
  <c r="AE9" i="88" s="1"/>
  <c r="AF78" i="88" s="1"/>
  <c r="Z8" i="88"/>
  <c r="Z7" i="88" s="1"/>
  <c r="Y8" i="88"/>
  <c r="Y9" i="88" s="1"/>
  <c r="Y159" i="88" s="1"/>
  <c r="X8" i="88"/>
  <c r="W8" i="88"/>
  <c r="V8" i="88"/>
  <c r="V9" i="88" s="1"/>
  <c r="T8" i="88"/>
  <c r="T7" i="88" s="1"/>
  <c r="S8" i="88"/>
  <c r="S7" i="88" s="1"/>
  <c r="O8" i="88"/>
  <c r="N8" i="88"/>
  <c r="N9" i="88" s="1"/>
  <c r="N67" i="88" s="1"/>
  <c r="M8" i="88"/>
  <c r="M9" i="88" s="1"/>
  <c r="L8" i="88"/>
  <c r="L9" i="88"/>
  <c r="K8" i="88"/>
  <c r="K9" i="88" s="1"/>
  <c r="H8" i="88"/>
  <c r="H7" i="88" s="1"/>
  <c r="K129" i="87"/>
  <c r="K122" i="87"/>
  <c r="K120" i="87"/>
  <c r="W118" i="87"/>
  <c r="X118" i="87" s="1"/>
  <c r="U118" i="87"/>
  <c r="W117" i="87"/>
  <c r="X117" i="87" s="1"/>
  <c r="U117" i="87"/>
  <c r="K116" i="87"/>
  <c r="C116" i="87"/>
  <c r="W115" i="87"/>
  <c r="X115" i="87" s="1"/>
  <c r="U115" i="87"/>
  <c r="W114" i="87"/>
  <c r="X114" i="87" s="1"/>
  <c r="U114" i="87"/>
  <c r="W113" i="87"/>
  <c r="X113" i="87" s="1"/>
  <c r="U113" i="87"/>
  <c r="U112" i="87"/>
  <c r="U111" i="87"/>
  <c r="U110" i="87"/>
  <c r="U109" i="87"/>
  <c r="N109" i="87"/>
  <c r="W109" i="87"/>
  <c r="K108" i="87"/>
  <c r="K107" i="87" s="1"/>
  <c r="C108" i="87"/>
  <c r="F108" i="87" s="1"/>
  <c r="N106" i="87"/>
  <c r="K103" i="87"/>
  <c r="N100" i="87"/>
  <c r="U99" i="87"/>
  <c r="K98" i="87"/>
  <c r="U97" i="87"/>
  <c r="N96" i="87"/>
  <c r="U96" i="87" s="1"/>
  <c r="N93" i="87"/>
  <c r="N92" i="87"/>
  <c r="N89" i="87"/>
  <c r="N86" i="87"/>
  <c r="N84" i="87"/>
  <c r="N81" i="87"/>
  <c r="N80" i="87"/>
  <c r="K80" i="87"/>
  <c r="K82" i="87" s="1"/>
  <c r="N79" i="87"/>
  <c r="K76" i="87"/>
  <c r="T73" i="87"/>
  <c r="S73" i="87"/>
  <c r="C69" i="87"/>
  <c r="K64" i="87"/>
  <c r="K60" i="87"/>
  <c r="K67" i="87" s="1"/>
  <c r="Y53" i="87"/>
  <c r="X53" i="87"/>
  <c r="AY52" i="87"/>
  <c r="AT52" i="87"/>
  <c r="AO52" i="87"/>
  <c r="AJ52" i="87"/>
  <c r="AI52" i="87"/>
  <c r="AH52" i="87"/>
  <c r="AE52" i="87"/>
  <c r="Z52" i="87"/>
  <c r="W52" i="87"/>
  <c r="W54" i="87" s="1"/>
  <c r="V52" i="87"/>
  <c r="V54" i="87" s="1"/>
  <c r="R47" i="87"/>
  <c r="R46" i="87" s="1"/>
  <c r="Q47" i="87"/>
  <c r="Q46" i="87" s="1"/>
  <c r="BC44" i="87"/>
  <c r="BB44" i="87"/>
  <c r="AX44" i="87"/>
  <c r="AW44" i="87"/>
  <c r="AS44" i="87"/>
  <c r="AR44" i="87"/>
  <c r="AN44" i="87"/>
  <c r="AM44" i="87"/>
  <c r="AI44" i="87"/>
  <c r="AH44" i="87"/>
  <c r="AD44" i="87"/>
  <c r="AC44" i="87"/>
  <c r="Y44" i="87"/>
  <c r="X44" i="87"/>
  <c r="T44" i="87"/>
  <c r="S44" i="87"/>
  <c r="O44" i="87"/>
  <c r="N44" i="87"/>
  <c r="U40" i="87"/>
  <c r="S40" i="87"/>
  <c r="I39" i="87"/>
  <c r="BB38" i="87"/>
  <c r="AY38" i="87" s="1"/>
  <c r="AW38" i="87"/>
  <c r="AT38" i="87" s="1"/>
  <c r="AR38" i="87"/>
  <c r="AO38" i="87" s="1"/>
  <c r="AM38" i="87"/>
  <c r="AJ38" i="87" s="1"/>
  <c r="AI38" i="87"/>
  <c r="AH38" i="87"/>
  <c r="AD38" i="87"/>
  <c r="AC38" i="87"/>
  <c r="Z38" i="87" s="1"/>
  <c r="Y38" i="87"/>
  <c r="X38" i="87"/>
  <c r="T38" i="87"/>
  <c r="T72" i="87" s="1"/>
  <c r="S38" i="87"/>
  <c r="O38" i="87"/>
  <c r="N38" i="87"/>
  <c r="J38" i="87"/>
  <c r="I38" i="87"/>
  <c r="C38" i="87"/>
  <c r="AI37" i="87"/>
  <c r="AH37" i="87"/>
  <c r="AD37" i="87"/>
  <c r="AC37" i="87"/>
  <c r="Y37" i="87"/>
  <c r="X37" i="87"/>
  <c r="T37" i="87"/>
  <c r="S37" i="87"/>
  <c r="O37" i="87"/>
  <c r="N37" i="87"/>
  <c r="AI36" i="87"/>
  <c r="AH36" i="87"/>
  <c r="AD36" i="87"/>
  <c r="AC36" i="87"/>
  <c r="Y36" i="87"/>
  <c r="Y34" i="87" s="1"/>
  <c r="X36" i="87"/>
  <c r="T36" i="87"/>
  <c r="S36" i="87"/>
  <c r="O36" i="87"/>
  <c r="N36" i="87"/>
  <c r="J36" i="87"/>
  <c r="F36" i="87" s="1"/>
  <c r="F34" i="87" s="1"/>
  <c r="I36" i="87"/>
  <c r="C36" i="87"/>
  <c r="AY35" i="87"/>
  <c r="BB35" i="87" s="1"/>
  <c r="AT35" i="87"/>
  <c r="AW35" i="87" s="1"/>
  <c r="AO35" i="87"/>
  <c r="AR35" i="87" s="1"/>
  <c r="AJ35" i="87"/>
  <c r="AM35" i="87" s="1"/>
  <c r="AI35" i="87"/>
  <c r="AH35" i="87"/>
  <c r="AD35" i="87"/>
  <c r="AC35" i="87"/>
  <c r="Z35" i="87" s="1"/>
  <c r="Y35" i="87"/>
  <c r="X35" i="87"/>
  <c r="T35" i="87"/>
  <c r="T70" i="87" s="1"/>
  <c r="S35" i="87"/>
  <c r="O35" i="87"/>
  <c r="N35" i="87"/>
  <c r="J35" i="87"/>
  <c r="J34" i="87" s="1"/>
  <c r="I35" i="87"/>
  <c r="C35" i="87"/>
  <c r="BC34" i="87"/>
  <c r="AX34" i="87"/>
  <c r="AS34" i="87"/>
  <c r="AN34" i="87"/>
  <c r="E34" i="87"/>
  <c r="D34" i="87"/>
  <c r="BB33" i="87"/>
  <c r="AY33" i="87" s="1"/>
  <c r="AW33" i="87"/>
  <c r="AT33" i="87" s="1"/>
  <c r="AR33" i="87"/>
  <c r="AO33" i="87" s="1"/>
  <c r="AM33" i="87"/>
  <c r="AJ33" i="87" s="1"/>
  <c r="AI33" i="87"/>
  <c r="AH33" i="87"/>
  <c r="AD33" i="87"/>
  <c r="AC33" i="87"/>
  <c r="Y33" i="87"/>
  <c r="X33" i="87"/>
  <c r="T33" i="87"/>
  <c r="S33" i="87"/>
  <c r="O33" i="87"/>
  <c r="N33" i="87"/>
  <c r="J33" i="87"/>
  <c r="I33" i="87"/>
  <c r="C33" i="87"/>
  <c r="AI32" i="87"/>
  <c r="AE32" i="87" s="1"/>
  <c r="AH32" i="87"/>
  <c r="AD32" i="87"/>
  <c r="AC32" i="87"/>
  <c r="Y32" i="87"/>
  <c r="X32" i="87"/>
  <c r="T32" i="87"/>
  <c r="S32" i="87"/>
  <c r="P32" i="87" s="1"/>
  <c r="O32" i="87"/>
  <c r="N32" i="87"/>
  <c r="AI31" i="87"/>
  <c r="AH31" i="87"/>
  <c r="AD31" i="87"/>
  <c r="AC31" i="87"/>
  <c r="Y31" i="87"/>
  <c r="X31" i="87"/>
  <c r="T31" i="87"/>
  <c r="S31" i="87"/>
  <c r="O31" i="87"/>
  <c r="N31" i="87"/>
  <c r="AI30" i="87"/>
  <c r="AN30" i="87" s="1"/>
  <c r="AH30" i="87"/>
  <c r="AM30" i="87" s="1"/>
  <c r="AR30" i="87" s="1"/>
  <c r="AD30" i="87"/>
  <c r="AC30" i="87"/>
  <c r="Y30" i="87"/>
  <c r="U30" i="87" s="1"/>
  <c r="X30" i="87"/>
  <c r="T30" i="87"/>
  <c r="P30" i="87" s="1"/>
  <c r="S30" i="87"/>
  <c r="O30" i="87"/>
  <c r="O49" i="87" s="1"/>
  <c r="N30" i="87"/>
  <c r="N49" i="87" s="1"/>
  <c r="J30" i="87"/>
  <c r="I30" i="87"/>
  <c r="C30" i="87"/>
  <c r="AI29" i="87"/>
  <c r="AH29" i="87"/>
  <c r="AM29" i="87" s="1"/>
  <c r="AD29" i="87"/>
  <c r="AC29" i="87"/>
  <c r="Y29" i="87"/>
  <c r="X29" i="87"/>
  <c r="T29" i="87"/>
  <c r="S29" i="87"/>
  <c r="O29" i="87"/>
  <c r="O48" i="87" s="1"/>
  <c r="N29" i="87"/>
  <c r="N48" i="87" s="1"/>
  <c r="K29" i="87"/>
  <c r="F29" i="87"/>
  <c r="C29" i="87"/>
  <c r="AI28" i="87"/>
  <c r="AN28" i="87" s="1"/>
  <c r="AH28" i="87"/>
  <c r="AM28" i="87" s="1"/>
  <c r="AR28" i="87" s="1"/>
  <c r="AD28" i="87"/>
  <c r="AC28" i="87"/>
  <c r="Y28" i="87"/>
  <c r="X28" i="87"/>
  <c r="T28" i="87"/>
  <c r="S28" i="87"/>
  <c r="O28" i="87"/>
  <c r="O47" i="87" s="1"/>
  <c r="N28" i="87"/>
  <c r="N47" i="87" s="1"/>
  <c r="J28" i="87"/>
  <c r="I28" i="87"/>
  <c r="F28" i="87" s="1"/>
  <c r="H28" i="87" s="1"/>
  <c r="C28" i="87"/>
  <c r="AI27" i="87"/>
  <c r="AH27" i="87"/>
  <c r="AD27" i="87"/>
  <c r="AC27" i="87"/>
  <c r="Y27" i="87"/>
  <c r="X27" i="87"/>
  <c r="T27" i="87"/>
  <c r="S27" i="87"/>
  <c r="O27" i="87"/>
  <c r="N27" i="87"/>
  <c r="J27" i="87"/>
  <c r="F27" i="87" s="1"/>
  <c r="I27" i="87"/>
  <c r="C27" i="87"/>
  <c r="AI26" i="87"/>
  <c r="AH26" i="87"/>
  <c r="AD26" i="87"/>
  <c r="AC26" i="87"/>
  <c r="Y26" i="87"/>
  <c r="X26" i="87"/>
  <c r="U26" i="87" s="1"/>
  <c r="T26" i="87"/>
  <c r="S26" i="87"/>
  <c r="P26" i="87" s="1"/>
  <c r="O26" i="87"/>
  <c r="N26" i="87"/>
  <c r="N61" i="87" s="1"/>
  <c r="J26" i="87"/>
  <c r="I26" i="87"/>
  <c r="F26" i="87" s="1"/>
  <c r="C26" i="87"/>
  <c r="AI25" i="87"/>
  <c r="AH25" i="87"/>
  <c r="AD25" i="87"/>
  <c r="AC25" i="87"/>
  <c r="Y25" i="87"/>
  <c r="X25" i="87"/>
  <c r="T25" i="87"/>
  <c r="S25" i="87"/>
  <c r="O25" i="87"/>
  <c r="N25" i="87"/>
  <c r="N60" i="87" s="1"/>
  <c r="J25" i="87"/>
  <c r="I25" i="87"/>
  <c r="C25" i="87"/>
  <c r="AI24" i="87"/>
  <c r="AH24" i="87"/>
  <c r="AD24" i="87"/>
  <c r="AC24" i="87"/>
  <c r="Y24" i="87"/>
  <c r="X24" i="87"/>
  <c r="T24" i="87"/>
  <c r="S24" i="87"/>
  <c r="O24" i="87"/>
  <c r="K24" i="87" s="1"/>
  <c r="M24" i="87" s="1"/>
  <c r="N24" i="87"/>
  <c r="J24" i="87"/>
  <c r="I24" i="87"/>
  <c r="F24" i="87" s="1"/>
  <c r="C24" i="87"/>
  <c r="AI23" i="87"/>
  <c r="AH23" i="87"/>
  <c r="AD23" i="87"/>
  <c r="AC23" i="87"/>
  <c r="Z23" i="87" s="1"/>
  <c r="Y23" i="87"/>
  <c r="X23" i="87"/>
  <c r="T23" i="87"/>
  <c r="S23" i="87"/>
  <c r="O23" i="87"/>
  <c r="N23" i="87"/>
  <c r="J23" i="87"/>
  <c r="I23" i="87"/>
  <c r="C23" i="87"/>
  <c r="AI22" i="87"/>
  <c r="AH22" i="87"/>
  <c r="AD22" i="87"/>
  <c r="AC22" i="87"/>
  <c r="Z22" i="87" s="1"/>
  <c r="Y22" i="87"/>
  <c r="X22" i="87"/>
  <c r="T22" i="87"/>
  <c r="S22" i="87"/>
  <c r="O22" i="87"/>
  <c r="N22" i="87"/>
  <c r="J22" i="87"/>
  <c r="I22" i="87"/>
  <c r="F22" i="87" s="1"/>
  <c r="H22" i="87" s="1"/>
  <c r="C22" i="87"/>
  <c r="AI21" i="87"/>
  <c r="AH21" i="87"/>
  <c r="AD21" i="87"/>
  <c r="AC21" i="87"/>
  <c r="Y21" i="87"/>
  <c r="X21" i="87"/>
  <c r="T21" i="87"/>
  <c r="S21" i="87"/>
  <c r="O21" i="87"/>
  <c r="N21" i="87"/>
  <c r="K21" i="87" s="1"/>
  <c r="J21" i="87"/>
  <c r="I21" i="87"/>
  <c r="C21" i="87"/>
  <c r="AI20" i="87"/>
  <c r="AH20" i="87"/>
  <c r="AD20" i="87"/>
  <c r="AC20" i="87"/>
  <c r="Y20" i="87"/>
  <c r="U20" i="87" s="1"/>
  <c r="X20" i="87"/>
  <c r="T20" i="87"/>
  <c r="S20" i="87"/>
  <c r="O20" i="87"/>
  <c r="N20" i="87"/>
  <c r="K20" i="87" s="1"/>
  <c r="M20" i="87" s="1"/>
  <c r="J20" i="87"/>
  <c r="I20" i="87"/>
  <c r="C20" i="87"/>
  <c r="AI19" i="87"/>
  <c r="AH19" i="87"/>
  <c r="AD19" i="87"/>
  <c r="AC19" i="87"/>
  <c r="Y19" i="87"/>
  <c r="X19" i="87"/>
  <c r="T19" i="87"/>
  <c r="S19" i="87"/>
  <c r="O19" i="87"/>
  <c r="N19" i="87"/>
  <c r="K19" i="87"/>
  <c r="M19" i="87" s="1"/>
  <c r="J19" i="87"/>
  <c r="I19" i="87"/>
  <c r="F19" i="87" s="1"/>
  <c r="C19" i="87"/>
  <c r="AI18" i="87"/>
  <c r="AH18" i="87"/>
  <c r="AD18" i="87"/>
  <c r="AC18" i="87"/>
  <c r="Y18" i="87"/>
  <c r="X18" i="87"/>
  <c r="T18" i="87"/>
  <c r="S18" i="87"/>
  <c r="O18" i="87"/>
  <c r="N18" i="87"/>
  <c r="J18" i="87"/>
  <c r="J17" i="87" s="1"/>
  <c r="J14" i="87" s="1"/>
  <c r="I18" i="87"/>
  <c r="C18" i="87"/>
  <c r="E17" i="87"/>
  <c r="E14" i="87"/>
  <c r="D17" i="87"/>
  <c r="D14" i="87" s="1"/>
  <c r="AI16" i="87"/>
  <c r="AH16" i="87"/>
  <c r="AM16" i="87" s="1"/>
  <c r="AR16" i="87" s="1"/>
  <c r="AD16" i="87"/>
  <c r="AC16" i="87"/>
  <c r="Y16" i="87"/>
  <c r="X16" i="87"/>
  <c r="T16" i="87"/>
  <c r="P16" i="87" s="1"/>
  <c r="R16" i="87" s="1"/>
  <c r="S16" i="87"/>
  <c r="O16" i="87"/>
  <c r="N16" i="87"/>
  <c r="K16" i="87" s="1"/>
  <c r="J16" i="87"/>
  <c r="I16" i="87"/>
  <c r="F16" i="87" s="1"/>
  <c r="C16" i="87"/>
  <c r="AI15" i="87"/>
  <c r="AN15" i="87" s="1"/>
  <c r="AH15" i="87"/>
  <c r="AE15" i="87" s="1"/>
  <c r="AD15" i="87"/>
  <c r="AC15" i="87"/>
  <c r="Y15" i="87"/>
  <c r="X15" i="87"/>
  <c r="T15" i="87"/>
  <c r="S15" i="87"/>
  <c r="O15" i="87"/>
  <c r="N15" i="87"/>
  <c r="J15" i="87"/>
  <c r="I15" i="87"/>
  <c r="C15" i="87"/>
  <c r="BC13" i="87"/>
  <c r="AY13" i="87" s="1"/>
  <c r="BB13" i="87"/>
  <c r="AX13" i="87"/>
  <c r="AW13" i="87"/>
  <c r="AS13" i="87"/>
  <c r="AR13" i="87"/>
  <c r="AN13" i="87"/>
  <c r="AM13" i="87"/>
  <c r="AJ13" i="87" s="1"/>
  <c r="AI13" i="87"/>
  <c r="AH13" i="87"/>
  <c r="AD13" i="87"/>
  <c r="AC13" i="87"/>
  <c r="Y13" i="87"/>
  <c r="X13" i="87"/>
  <c r="T13" i="87"/>
  <c r="S13" i="87"/>
  <c r="P13" i="87" s="1"/>
  <c r="O13" i="87"/>
  <c r="K13" i="87" s="1"/>
  <c r="N13" i="87"/>
  <c r="I13" i="87"/>
  <c r="F13" i="87" s="1"/>
  <c r="C13" i="87"/>
  <c r="BC12" i="87"/>
  <c r="BB12" i="87"/>
  <c r="AX12" i="87"/>
  <c r="AW12" i="87"/>
  <c r="AT12" i="87" s="1"/>
  <c r="AS12" i="87"/>
  <c r="AO12" i="87" s="1"/>
  <c r="AR12" i="87"/>
  <c r="AN12" i="87"/>
  <c r="AM12" i="87"/>
  <c r="AJ12" i="87" s="1"/>
  <c r="AI12" i="87"/>
  <c r="AH12" i="87"/>
  <c r="AD12" i="87"/>
  <c r="AC12" i="87"/>
  <c r="Z12" i="87" s="1"/>
  <c r="Y12" i="87"/>
  <c r="U12" i="87" s="1"/>
  <c r="X12" i="87"/>
  <c r="T12" i="87"/>
  <c r="S12" i="87"/>
  <c r="O12" i="87"/>
  <c r="N12" i="87"/>
  <c r="J12" i="87"/>
  <c r="I12" i="87"/>
  <c r="C12" i="87"/>
  <c r="BC11" i="87"/>
  <c r="BB11" i="87"/>
  <c r="AX11" i="87"/>
  <c r="AW11" i="87"/>
  <c r="AT11" i="87" s="1"/>
  <c r="AS11" i="87"/>
  <c r="AR11" i="87"/>
  <c r="AN11" i="87"/>
  <c r="AM11" i="87"/>
  <c r="AI11" i="87"/>
  <c r="AH11" i="87"/>
  <c r="AD11" i="87"/>
  <c r="AC11" i="87"/>
  <c r="Y11" i="87"/>
  <c r="X11" i="87"/>
  <c r="T11" i="87"/>
  <c r="S11" i="87"/>
  <c r="O11" i="87"/>
  <c r="N11" i="87"/>
  <c r="J11" i="87"/>
  <c r="I11" i="87"/>
  <c r="I9" i="87" s="1"/>
  <c r="C11" i="87"/>
  <c r="AI10" i="87"/>
  <c r="AH10" i="87"/>
  <c r="AD10" i="87"/>
  <c r="Z10" i="87" s="1"/>
  <c r="AC10" i="87"/>
  <c r="Y10" i="87"/>
  <c r="X10" i="87"/>
  <c r="U10" i="87" s="1"/>
  <c r="T10" i="87"/>
  <c r="P10" i="87" s="1"/>
  <c r="S10" i="87"/>
  <c r="O10" i="87"/>
  <c r="O45" i="87" s="1"/>
  <c r="N10" i="87"/>
  <c r="J10" i="87"/>
  <c r="I10" i="87"/>
  <c r="C10" i="87"/>
  <c r="E9" i="87"/>
  <c r="E8" i="87" s="1"/>
  <c r="E7" i="87" s="1"/>
  <c r="D9" i="87"/>
  <c r="AY3" i="87"/>
  <c r="AT3" i="87"/>
  <c r="AO3" i="87"/>
  <c r="AJ3" i="87"/>
  <c r="AE3" i="87"/>
  <c r="Z3" i="87"/>
  <c r="U3" i="87"/>
  <c r="P3" i="87"/>
  <c r="N105" i="86"/>
  <c r="N104" i="86"/>
  <c r="Q94" i="86"/>
  <c r="N86" i="86"/>
  <c r="N87" i="86" s="1"/>
  <c r="Q81" i="86"/>
  <c r="N80" i="86"/>
  <c r="H80" i="86"/>
  <c r="N79" i="86"/>
  <c r="H75" i="86"/>
  <c r="Q74" i="86"/>
  <c r="H73" i="86"/>
  <c r="H72" i="86"/>
  <c r="AQ67" i="86"/>
  <c r="AP67" i="86"/>
  <c r="AO67" i="86"/>
  <c r="P66" i="86"/>
  <c r="AD65" i="86"/>
  <c r="AC65" i="86"/>
  <c r="BM59" i="86"/>
  <c r="BG59" i="86"/>
  <c r="BA59" i="86"/>
  <c r="AU59" i="86"/>
  <c r="AQ59" i="86"/>
  <c r="AP59" i="86"/>
  <c r="AL59" i="86"/>
  <c r="AR59" i="86" s="1"/>
  <c r="AX59" i="86" s="1"/>
  <c r="BD59" i="86" s="1"/>
  <c r="BJ59" i="86" s="1"/>
  <c r="AK59" i="86"/>
  <c r="AJ59" i="86"/>
  <c r="AI59" i="86" s="1"/>
  <c r="AF59" i="86"/>
  <c r="AE59" i="86"/>
  <c r="AD59" i="86"/>
  <c r="Y59" i="86"/>
  <c r="X59" i="86"/>
  <c r="T59" i="86"/>
  <c r="Q59" i="86"/>
  <c r="N59" i="86" s="1"/>
  <c r="E59" i="86"/>
  <c r="C59" i="86" s="1"/>
  <c r="H59" i="86" s="1"/>
  <c r="K59" i="86" s="1"/>
  <c r="L59" i="86" s="1"/>
  <c r="BM58" i="86"/>
  <c r="BG58" i="86"/>
  <c r="BA58" i="86"/>
  <c r="AU58" i="86"/>
  <c r="AQ58" i="86"/>
  <c r="AP58" i="86"/>
  <c r="AL58" i="86"/>
  <c r="AK58" i="86"/>
  <c r="AJ58" i="86"/>
  <c r="AF58" i="86"/>
  <c r="AE58" i="86"/>
  <c r="AD58" i="86"/>
  <c r="AC58" i="86" s="1"/>
  <c r="Z58" i="86" s="1"/>
  <c r="Y58" i="86"/>
  <c r="X58" i="86"/>
  <c r="T58" i="86"/>
  <c r="R58" i="86"/>
  <c r="Q58" i="86" s="1"/>
  <c r="N58" i="86" s="1"/>
  <c r="M58" i="86"/>
  <c r="L58" i="86"/>
  <c r="E58" i="86"/>
  <c r="C58" i="86"/>
  <c r="AQ57" i="86"/>
  <c r="AP57" i="86"/>
  <c r="AL57" i="86"/>
  <c r="AK57" i="86"/>
  <c r="AJ57" i="86"/>
  <c r="AF57" i="86"/>
  <c r="AE57" i="86"/>
  <c r="AD57" i="86"/>
  <c r="AC57" i="86" s="1"/>
  <c r="Z57" i="86" s="1"/>
  <c r="Y57" i="86"/>
  <c r="X57" i="86"/>
  <c r="T57" i="86"/>
  <c r="AQ56" i="86"/>
  <c r="AP56" i="86"/>
  <c r="AL56" i="86"/>
  <c r="AR56" i="86" s="1"/>
  <c r="AU56" i="86" s="1"/>
  <c r="AK56" i="86"/>
  <c r="AJ56" i="86"/>
  <c r="AI56" i="86" s="1"/>
  <c r="AF56" i="86"/>
  <c r="AE56" i="86"/>
  <c r="AC56" i="86" s="1"/>
  <c r="Z56" i="86" s="1"/>
  <c r="AD56" i="86"/>
  <c r="Y56" i="86"/>
  <c r="X56" i="86"/>
  <c r="T56" i="86"/>
  <c r="N56" i="86"/>
  <c r="K56" i="86"/>
  <c r="L56" i="86" s="1"/>
  <c r="F56" i="86"/>
  <c r="E56" i="86"/>
  <c r="AQ55" i="86"/>
  <c r="AP55" i="86"/>
  <c r="AL55" i="86"/>
  <c r="AR55" i="86" s="1"/>
  <c r="AK55" i="86"/>
  <c r="AJ55" i="86"/>
  <c r="AF55" i="86"/>
  <c r="AE55" i="86"/>
  <c r="AD55" i="86"/>
  <c r="Y55" i="86"/>
  <c r="X55" i="86"/>
  <c r="T55" i="86"/>
  <c r="N55" i="86"/>
  <c r="N54" i="86" s="1"/>
  <c r="H55" i="86"/>
  <c r="H54" i="86" s="1"/>
  <c r="K54" i="86" s="1"/>
  <c r="L54" i="86" s="1"/>
  <c r="F55" i="86"/>
  <c r="E55" i="86" s="1"/>
  <c r="BO54" i="86"/>
  <c r="BO52" i="86" s="1"/>
  <c r="BL54" i="86"/>
  <c r="BL52" i="86" s="1"/>
  <c r="BI54" i="86"/>
  <c r="BI52" i="86" s="1"/>
  <c r="BF54" i="86"/>
  <c r="BF52" i="86" s="1"/>
  <c r="BC54" i="86"/>
  <c r="BC52" i="86" s="1"/>
  <c r="AZ54" i="86"/>
  <c r="AZ52" i="86" s="1"/>
  <c r="AW54" i="86"/>
  <c r="AW52" i="86"/>
  <c r="AT54" i="86"/>
  <c r="AT52" i="86" s="1"/>
  <c r="AN54" i="86"/>
  <c r="AN52" i="86" s="1"/>
  <c r="AH54" i="86"/>
  <c r="AH52" i="86" s="1"/>
  <c r="AB54" i="86"/>
  <c r="AB52" i="86"/>
  <c r="V54" i="86"/>
  <c r="S54" i="86"/>
  <c r="S52" i="86" s="1"/>
  <c r="P54" i="86"/>
  <c r="P52" i="86" s="1"/>
  <c r="M54" i="86"/>
  <c r="M52" i="86" s="1"/>
  <c r="J54" i="86"/>
  <c r="J52" i="86" s="1"/>
  <c r="G54" i="86"/>
  <c r="G52" i="86"/>
  <c r="G51" i="86"/>
  <c r="G49" i="86" s="1"/>
  <c r="D54" i="86"/>
  <c r="D52" i="86" s="1"/>
  <c r="C54" i="86"/>
  <c r="C52" i="86" s="1"/>
  <c r="AL53" i="86"/>
  <c r="AO53" i="86" s="1"/>
  <c r="AF53" i="86"/>
  <c r="AI53" i="86" s="1"/>
  <c r="R53" i="86"/>
  <c r="X53" i="86" s="1"/>
  <c r="W53" i="86" s="1"/>
  <c r="H53" i="86"/>
  <c r="K53" i="86" s="1"/>
  <c r="F53" i="86"/>
  <c r="E53" i="86" s="1"/>
  <c r="V52" i="86"/>
  <c r="AL51" i="86"/>
  <c r="AH51" i="86"/>
  <c r="AG51" i="86"/>
  <c r="AB51" i="86"/>
  <c r="V51" i="86"/>
  <c r="N51" i="86"/>
  <c r="AA51" i="86"/>
  <c r="H51" i="86"/>
  <c r="J51" i="86" s="1"/>
  <c r="D51" i="86"/>
  <c r="AL50" i="86"/>
  <c r="AR50" i="86" s="1"/>
  <c r="AF50" i="86"/>
  <c r="AH50" i="86" s="1"/>
  <c r="Z50" i="86"/>
  <c r="AB50" i="86" s="1"/>
  <c r="T50" i="86"/>
  <c r="V50" i="86" s="1"/>
  <c r="N50" i="86"/>
  <c r="N49" i="86" s="1"/>
  <c r="H50" i="86"/>
  <c r="J50" i="86" s="1"/>
  <c r="D50" i="86"/>
  <c r="D49" i="86" s="1"/>
  <c r="BO49" i="86"/>
  <c r="BN49" i="86"/>
  <c r="BM49" i="86"/>
  <c r="BI49" i="86"/>
  <c r="BH49" i="86"/>
  <c r="BG49" i="86"/>
  <c r="BC49" i="86"/>
  <c r="BB49" i="86"/>
  <c r="BA49" i="86"/>
  <c r="AW49" i="86"/>
  <c r="AV49" i="86"/>
  <c r="AU49" i="86"/>
  <c r="AQ49" i="86"/>
  <c r="AP49" i="86"/>
  <c r="AO49" i="86"/>
  <c r="H49" i="86"/>
  <c r="F49" i="86"/>
  <c r="E49" i="86"/>
  <c r="C49" i="86"/>
  <c r="BJ48" i="86"/>
  <c r="BD48" i="86"/>
  <c r="BH48" i="86" s="1"/>
  <c r="BG48" i="86" s="1"/>
  <c r="AX48" i="86"/>
  <c r="AR48" i="86"/>
  <c r="AL48" i="86"/>
  <c r="AM48" i="86" s="1"/>
  <c r="AF48" i="86"/>
  <c r="AJ48" i="86" s="1"/>
  <c r="AI48" i="86" s="1"/>
  <c r="Z48" i="86"/>
  <c r="T48" i="86"/>
  <c r="X48" i="86" s="1"/>
  <c r="R48" i="86"/>
  <c r="Q48" i="86" s="1"/>
  <c r="H48" i="86"/>
  <c r="O48" i="86" s="1"/>
  <c r="F48" i="86"/>
  <c r="E48" i="86"/>
  <c r="BL47" i="86"/>
  <c r="BJ47" i="86"/>
  <c r="BO47" i="86" s="1"/>
  <c r="BF47" i="86"/>
  <c r="BD47" i="86"/>
  <c r="BK47" i="86" s="1"/>
  <c r="AZ47" i="86"/>
  <c r="AX47" i="86"/>
  <c r="AT47" i="86"/>
  <c r="AR47" i="86"/>
  <c r="AU47" i="86" s="1"/>
  <c r="AN47" i="86"/>
  <c r="AL47" i="86"/>
  <c r="AQ47" i="86" s="1"/>
  <c r="AH47" i="86"/>
  <c r="AF47" i="86"/>
  <c r="AK47" i="86" s="1"/>
  <c r="AB47" i="86"/>
  <c r="Z47" i="86"/>
  <c r="V47" i="86"/>
  <c r="T47" i="86"/>
  <c r="Y47" i="86" s="1"/>
  <c r="P47" i="86"/>
  <c r="N47" i="86"/>
  <c r="S47" i="86" s="1"/>
  <c r="J47" i="86"/>
  <c r="H47" i="86"/>
  <c r="M47" i="86" s="1"/>
  <c r="G47" i="86"/>
  <c r="E47" i="86" s="1"/>
  <c r="BM46" i="86"/>
  <c r="BN46" i="86" s="1"/>
  <c r="BK46" i="86"/>
  <c r="BG46" i="86"/>
  <c r="BH46" i="86" s="1"/>
  <c r="BE46" i="86"/>
  <c r="BA46" i="86"/>
  <c r="BB46" i="86" s="1"/>
  <c r="AY46" i="86"/>
  <c r="AU46" i="86"/>
  <c r="AV46" i="86" s="1"/>
  <c r="AL46" i="86"/>
  <c r="AO46" i="86" s="1"/>
  <c r="AP46" i="86" s="1"/>
  <c r="AF46" i="86"/>
  <c r="AI46" i="86" s="1"/>
  <c r="AJ46" i="86" s="1"/>
  <c r="Z46" i="86"/>
  <c r="T46" i="86"/>
  <c r="W46" i="86" s="1"/>
  <c r="X46" i="86" s="1"/>
  <c r="Q46" i="86"/>
  <c r="R46" i="86" s="1"/>
  <c r="K46" i="86"/>
  <c r="L46" i="86" s="1"/>
  <c r="E46" i="86"/>
  <c r="F46" i="86"/>
  <c r="BJ45" i="86"/>
  <c r="BM45" i="86" s="1"/>
  <c r="BN45" i="86" s="1"/>
  <c r="BD45" i="86"/>
  <c r="BG45" i="86" s="1"/>
  <c r="BH45" i="86" s="1"/>
  <c r="AX45" i="86"/>
  <c r="AR45" i="86"/>
  <c r="AU45" i="86" s="1"/>
  <c r="AV45" i="86" s="1"/>
  <c r="AL45" i="86"/>
  <c r="AF45" i="86"/>
  <c r="Z45" i="86"/>
  <c r="AC45" i="86" s="1"/>
  <c r="AD45" i="86" s="1"/>
  <c r="T45" i="86"/>
  <c r="W45" i="86" s="1"/>
  <c r="X45" i="86" s="1"/>
  <c r="N45" i="86"/>
  <c r="Q45" i="86" s="1"/>
  <c r="R45" i="86" s="1"/>
  <c r="H45" i="86"/>
  <c r="K45" i="86" s="1"/>
  <c r="L45" i="86" s="1"/>
  <c r="C45" i="86"/>
  <c r="E45" i="86" s="1"/>
  <c r="F45" i="86" s="1"/>
  <c r="BJ44" i="86"/>
  <c r="BK44" i="86" s="1"/>
  <c r="BD44" i="86"/>
  <c r="BE44" i="86" s="1"/>
  <c r="AX44" i="86"/>
  <c r="AR44" i="86"/>
  <c r="AL44" i="86"/>
  <c r="AS44" i="86" s="1"/>
  <c r="AF44" i="86"/>
  <c r="AI44" i="86" s="1"/>
  <c r="AJ44" i="86" s="1"/>
  <c r="Z44" i="86"/>
  <c r="T44" i="86"/>
  <c r="W44" i="86" s="1"/>
  <c r="X44" i="86" s="1"/>
  <c r="Q44" i="86"/>
  <c r="R44" i="86" s="1"/>
  <c r="H44" i="86"/>
  <c r="O44" i="86" s="1"/>
  <c r="E44" i="86"/>
  <c r="F44" i="86" s="1"/>
  <c r="BJ43" i="86"/>
  <c r="BD43" i="86"/>
  <c r="AX43" i="86"/>
  <c r="BE43" i="86" s="1"/>
  <c r="AR43" i="86"/>
  <c r="AN43" i="86"/>
  <c r="AL43" i="86"/>
  <c r="AK43" i="86"/>
  <c r="AF43" i="86"/>
  <c r="AE43" i="86"/>
  <c r="AB43" i="86"/>
  <c r="Z43" i="86"/>
  <c r="Y43" i="86"/>
  <c r="V43" i="86"/>
  <c r="T43" i="86"/>
  <c r="S43" i="86"/>
  <c r="P43" i="86"/>
  <c r="Q43" i="86" s="1"/>
  <c r="M43" i="86"/>
  <c r="J43" i="86"/>
  <c r="H43" i="86"/>
  <c r="I43" i="86" s="1"/>
  <c r="E43" i="86"/>
  <c r="F43" i="86" s="1"/>
  <c r="AL42" i="86"/>
  <c r="AH42" i="86"/>
  <c r="AF42" i="86"/>
  <c r="AB42" i="86"/>
  <c r="Z42" i="86"/>
  <c r="AC42" i="86" s="1"/>
  <c r="AD42" i="86" s="1"/>
  <c r="V42" i="86"/>
  <c r="T42" i="86"/>
  <c r="U42" i="86" s="1"/>
  <c r="P42" i="86"/>
  <c r="Q42" i="86"/>
  <c r="R42" i="86"/>
  <c r="K42" i="86"/>
  <c r="L42" i="86" s="1"/>
  <c r="BJ41" i="86"/>
  <c r="BD41" i="86"/>
  <c r="BG41" i="86" s="1"/>
  <c r="AX41" i="86"/>
  <c r="BC41" i="86" s="1"/>
  <c r="AR41" i="86"/>
  <c r="AL41" i="86"/>
  <c r="AF41" i="86"/>
  <c r="AK41" i="86" s="1"/>
  <c r="Z41" i="86"/>
  <c r="Y41" i="86"/>
  <c r="T41" i="86"/>
  <c r="W41" i="86" s="1"/>
  <c r="S41" i="86"/>
  <c r="Q41" i="86"/>
  <c r="O41" i="86"/>
  <c r="M41" i="86"/>
  <c r="K41" i="86"/>
  <c r="I41" i="86"/>
  <c r="F41" i="86"/>
  <c r="E41" i="86"/>
  <c r="BL40" i="86"/>
  <c r="BJ40" i="86"/>
  <c r="BM40" i="86" s="1"/>
  <c r="BF40" i="86"/>
  <c r="BD40" i="86"/>
  <c r="AZ40" i="86"/>
  <c r="AX40" i="86"/>
  <c r="AY40" i="86" s="1"/>
  <c r="AT40" i="86"/>
  <c r="AR40" i="86"/>
  <c r="AQ40" i="86"/>
  <c r="AN40" i="86"/>
  <c r="AL40" i="86"/>
  <c r="AK40" i="86"/>
  <c r="AH40" i="86"/>
  <c r="AF40" i="86"/>
  <c r="AI40" i="86" s="1"/>
  <c r="AJ40" i="86" s="1"/>
  <c r="AE40" i="86"/>
  <c r="AB40" i="86"/>
  <c r="Z40" i="86"/>
  <c r="AC40" i="86" s="1"/>
  <c r="Y40" i="86"/>
  <c r="V40" i="86"/>
  <c r="T40" i="86"/>
  <c r="S40" i="86"/>
  <c r="N40" i="86"/>
  <c r="J40" i="86"/>
  <c r="K40" i="86" s="1"/>
  <c r="L40" i="86" s="1"/>
  <c r="I40" i="86"/>
  <c r="F40" i="86"/>
  <c r="E40" i="86" s="1"/>
  <c r="BJ39" i="86"/>
  <c r="BD39" i="86"/>
  <c r="AX39" i="86"/>
  <c r="AR39" i="86"/>
  <c r="AQ39" i="86"/>
  <c r="AN39" i="86"/>
  <c r="AL39" i="86"/>
  <c r="AK39" i="86"/>
  <c r="AH39" i="86"/>
  <c r="AF39" i="86"/>
  <c r="AE39" i="86"/>
  <c r="AB39" i="86"/>
  <c r="Z39" i="86"/>
  <c r="Y39" i="86"/>
  <c r="V39" i="86"/>
  <c r="T39" i="86"/>
  <c r="U39" i="86" s="1"/>
  <c r="S39" i="86"/>
  <c r="R39" i="86" s="1"/>
  <c r="Q39" i="86" s="1"/>
  <c r="P39" i="86"/>
  <c r="O39" i="86"/>
  <c r="M39" i="86"/>
  <c r="J39" i="86"/>
  <c r="K39" i="86" s="1"/>
  <c r="L39" i="86" s="1"/>
  <c r="I39" i="86"/>
  <c r="E39" i="86"/>
  <c r="F39" i="86" s="1"/>
  <c r="BJ38" i="86"/>
  <c r="BD38" i="86"/>
  <c r="BF38" i="86" s="1"/>
  <c r="AX38" i="86"/>
  <c r="AR38" i="86"/>
  <c r="AN38" i="86"/>
  <c r="AL38" i="86"/>
  <c r="AM38" i="86" s="1"/>
  <c r="AH38" i="86"/>
  <c r="AF38" i="86"/>
  <c r="Z38" i="86"/>
  <c r="T38" i="86"/>
  <c r="V38" i="86" s="1"/>
  <c r="P38" i="86"/>
  <c r="Q38" i="86" s="1"/>
  <c r="Q86" i="86" s="1"/>
  <c r="O38" i="86"/>
  <c r="J38" i="86"/>
  <c r="K38" i="86" s="1"/>
  <c r="L38" i="86" s="1"/>
  <c r="I38" i="86"/>
  <c r="D38" i="86"/>
  <c r="E38" i="86" s="1"/>
  <c r="F38" i="86" s="1"/>
  <c r="BJ37" i="86"/>
  <c r="BM37" i="86" s="1"/>
  <c r="BD37" i="86"/>
  <c r="BG37" i="86" s="1"/>
  <c r="AX37" i="86"/>
  <c r="BA37" i="86" s="1"/>
  <c r="AR37" i="86"/>
  <c r="AU37" i="86" s="1"/>
  <c r="AL37" i="86"/>
  <c r="AO37" i="86" s="1"/>
  <c r="AK37" i="86"/>
  <c r="AH37" i="86"/>
  <c r="AF37" i="86"/>
  <c r="AB37" i="86"/>
  <c r="Z37" i="86"/>
  <c r="Y37" i="86"/>
  <c r="V37" i="86"/>
  <c r="T37" i="86"/>
  <c r="W37" i="86" s="1"/>
  <c r="S37" i="86"/>
  <c r="P37" i="86"/>
  <c r="Q37" i="86" s="1"/>
  <c r="O37" i="86"/>
  <c r="M37" i="86"/>
  <c r="J37" i="86"/>
  <c r="K37" i="86" s="1"/>
  <c r="I37" i="86"/>
  <c r="E37" i="86"/>
  <c r="F37" i="86" s="1"/>
  <c r="BJ36" i="86"/>
  <c r="BM36" i="86" s="1"/>
  <c r="BN36" i="86" s="1"/>
  <c r="BD36" i="86"/>
  <c r="BG36" i="86" s="1"/>
  <c r="BH36" i="86" s="1"/>
  <c r="AX36" i="86"/>
  <c r="AR36" i="86"/>
  <c r="AU36" i="86" s="1"/>
  <c r="AV36" i="86" s="1"/>
  <c r="AL36" i="86"/>
  <c r="AO36" i="86" s="1"/>
  <c r="AP36" i="86" s="1"/>
  <c r="AH36" i="86"/>
  <c r="AF36" i="86"/>
  <c r="AI36" i="86" s="1"/>
  <c r="AB36" i="86"/>
  <c r="Z36" i="86"/>
  <c r="AE36" i="86" s="1"/>
  <c r="V36" i="86"/>
  <c r="T36" i="86"/>
  <c r="P36" i="86"/>
  <c r="N36" i="86"/>
  <c r="N75" i="86" s="1"/>
  <c r="M36" i="86"/>
  <c r="L36" i="86" s="1"/>
  <c r="J36" i="86"/>
  <c r="K36" i="86"/>
  <c r="I36" i="86"/>
  <c r="E36" i="86"/>
  <c r="G36" i="86" s="1"/>
  <c r="AL35" i="86"/>
  <c r="AH35" i="86"/>
  <c r="AF35" i="86"/>
  <c r="AB35" i="86"/>
  <c r="Z35" i="86"/>
  <c r="V35" i="86"/>
  <c r="T35" i="86"/>
  <c r="P35" i="86"/>
  <c r="N35" i="86"/>
  <c r="M35" i="86"/>
  <c r="J35" i="86"/>
  <c r="K35" i="86" s="1"/>
  <c r="L35" i="86" s="1"/>
  <c r="E35" i="86"/>
  <c r="G35" i="86" s="1"/>
  <c r="BJ34" i="86"/>
  <c r="BD34" i="86"/>
  <c r="BG34" i="86" s="1"/>
  <c r="AX34" i="86"/>
  <c r="BC34" i="86" s="1"/>
  <c r="AR34" i="86"/>
  <c r="AU34" i="86" s="1"/>
  <c r="AV34" i="86" s="1"/>
  <c r="AL34" i="86"/>
  <c r="AO34" i="86" s="1"/>
  <c r="AP34" i="86" s="1"/>
  <c r="AH34" i="86"/>
  <c r="AF34" i="86"/>
  <c r="AK34" i="86" s="1"/>
  <c r="AB34" i="86"/>
  <c r="Z34" i="86"/>
  <c r="V34" i="86"/>
  <c r="T34" i="86"/>
  <c r="P34" i="86"/>
  <c r="N34" i="86"/>
  <c r="N73" i="86" s="1"/>
  <c r="M34" i="86"/>
  <c r="J34" i="86"/>
  <c r="K34" i="86" s="1"/>
  <c r="L34" i="86" s="1"/>
  <c r="I34" i="86"/>
  <c r="E34" i="86"/>
  <c r="G34" i="86" s="1"/>
  <c r="AL33" i="86"/>
  <c r="AF33" i="86"/>
  <c r="AK33" i="86" s="1"/>
  <c r="Z33" i="86"/>
  <c r="AE33" i="86" s="1"/>
  <c r="T33" i="86"/>
  <c r="N33" i="86"/>
  <c r="S33" i="86" s="1"/>
  <c r="M33" i="86"/>
  <c r="L33" i="86" s="1"/>
  <c r="K33" i="86"/>
  <c r="G33" i="86"/>
  <c r="E33" i="86"/>
  <c r="F33" i="86" s="1"/>
  <c r="BJ32" i="86"/>
  <c r="BM32" i="86" s="1"/>
  <c r="BN32" i="86" s="1"/>
  <c r="BD32" i="86"/>
  <c r="BG32" i="86"/>
  <c r="BH32" i="86" s="1"/>
  <c r="AX32" i="86"/>
  <c r="BA32" i="86" s="1"/>
  <c r="BB32" i="86" s="1"/>
  <c r="AR32" i="86"/>
  <c r="AL32" i="86"/>
  <c r="AO32" i="86" s="1"/>
  <c r="AP32" i="86" s="1"/>
  <c r="AF32" i="86"/>
  <c r="AI32" i="86" s="1"/>
  <c r="AJ32" i="86" s="1"/>
  <c r="Z32" i="86"/>
  <c r="AC32" i="86" s="1"/>
  <c r="AD32" i="86" s="1"/>
  <c r="T32" i="86"/>
  <c r="W32" i="86" s="1"/>
  <c r="X32" i="86" s="1"/>
  <c r="N32" i="86"/>
  <c r="Q32" i="86" s="1"/>
  <c r="R32" i="86" s="1"/>
  <c r="K32" i="86"/>
  <c r="L32" i="86"/>
  <c r="E32" i="86"/>
  <c r="F32" i="86" s="1"/>
  <c r="BJ31" i="86"/>
  <c r="BM31" i="86" s="1"/>
  <c r="BN31" i="86" s="1"/>
  <c r="BD31" i="86"/>
  <c r="BG31" i="86" s="1"/>
  <c r="BH31" i="86" s="1"/>
  <c r="AX31" i="86"/>
  <c r="BA31" i="86" s="1"/>
  <c r="BB31" i="86" s="1"/>
  <c r="BB28" i="86" s="1"/>
  <c r="AR31" i="86"/>
  <c r="AU31" i="86" s="1"/>
  <c r="AV31" i="86" s="1"/>
  <c r="AL31" i="86"/>
  <c r="AF31" i="86"/>
  <c r="AI31" i="86" s="1"/>
  <c r="AJ31" i="86" s="1"/>
  <c r="Z31" i="86"/>
  <c r="AC31" i="86" s="1"/>
  <c r="AD31" i="86" s="1"/>
  <c r="T31" i="86"/>
  <c r="W31" i="86" s="1"/>
  <c r="X31" i="86" s="1"/>
  <c r="N31" i="86"/>
  <c r="Q31" i="86" s="1"/>
  <c r="R31" i="86" s="1"/>
  <c r="K31" i="86"/>
  <c r="L31" i="86" s="1"/>
  <c r="E31" i="86"/>
  <c r="F31" i="86" s="1"/>
  <c r="BJ30" i="86"/>
  <c r="BO30" i="86" s="1"/>
  <c r="BD30" i="86"/>
  <c r="BI30" i="86" s="1"/>
  <c r="AX30" i="86"/>
  <c r="BC30" i="86" s="1"/>
  <c r="AR30" i="86"/>
  <c r="AW30" i="86" s="1"/>
  <c r="AL30" i="86"/>
  <c r="AQ30" i="86" s="1"/>
  <c r="AF30" i="86"/>
  <c r="AK30" i="86" s="1"/>
  <c r="Z30" i="86"/>
  <c r="AE30" i="86" s="1"/>
  <c r="T30" i="86"/>
  <c r="N30" i="86"/>
  <c r="S30" i="86" s="1"/>
  <c r="M30" i="86"/>
  <c r="J30" i="86"/>
  <c r="K30" i="86" s="1"/>
  <c r="G30" i="86"/>
  <c r="E30" i="86"/>
  <c r="BJ29" i="86"/>
  <c r="BM29" i="86" s="1"/>
  <c r="BD29" i="86"/>
  <c r="BI29" i="86" s="1"/>
  <c r="AX29" i="86"/>
  <c r="BC29" i="86" s="1"/>
  <c r="AR29" i="86"/>
  <c r="AW29" i="86" s="1"/>
  <c r="AL29" i="86"/>
  <c r="AQ29" i="86" s="1"/>
  <c r="AQ28" i="86" s="1"/>
  <c r="AF29" i="86"/>
  <c r="AI29" i="86" s="1"/>
  <c r="Z29" i="86"/>
  <c r="AE29" i="86" s="1"/>
  <c r="T29" i="86"/>
  <c r="N29" i="86"/>
  <c r="S29" i="86" s="1"/>
  <c r="M29" i="86"/>
  <c r="J29" i="86"/>
  <c r="J28" i="86" s="1"/>
  <c r="G29" i="86"/>
  <c r="E29" i="86"/>
  <c r="BL28" i="86"/>
  <c r="BF28" i="86"/>
  <c r="AZ28" i="86"/>
  <c r="AT28" i="86"/>
  <c r="AN28" i="86"/>
  <c r="AH28" i="86"/>
  <c r="AB28" i="86"/>
  <c r="V28" i="86"/>
  <c r="P28" i="86"/>
  <c r="H28" i="86"/>
  <c r="I28" i="86" s="1"/>
  <c r="D28" i="86"/>
  <c r="C28" i="86"/>
  <c r="BM27" i="86"/>
  <c r="BG27" i="86"/>
  <c r="BA27" i="86"/>
  <c r="AU27" i="86"/>
  <c r="AL27" i="86"/>
  <c r="AO27" i="86" s="1"/>
  <c r="AF27" i="86"/>
  <c r="AI27" i="86" s="1"/>
  <c r="AJ27" i="86" s="1"/>
  <c r="Z27" i="86"/>
  <c r="AC27" i="86" s="1"/>
  <c r="AD27" i="86" s="1"/>
  <c r="T27" i="86"/>
  <c r="W27" i="86" s="1"/>
  <c r="X27" i="86" s="1"/>
  <c r="Q27" i="86"/>
  <c r="R27" i="86" s="1"/>
  <c r="K27" i="86"/>
  <c r="L27" i="86" s="1"/>
  <c r="E27" i="86"/>
  <c r="F27" i="86" s="1"/>
  <c r="BM26" i="86"/>
  <c r="BG26" i="86"/>
  <c r="BA26" i="86"/>
  <c r="AU26" i="86"/>
  <c r="AL26" i="86"/>
  <c r="AO26" i="86" s="1"/>
  <c r="AF26" i="86"/>
  <c r="AI26" i="86" s="1"/>
  <c r="Z26" i="86"/>
  <c r="AC26" i="86" s="1"/>
  <c r="AC23" i="86" s="1"/>
  <c r="T26" i="86"/>
  <c r="W26" i="86" s="1"/>
  <c r="X26" i="86" s="1"/>
  <c r="Q26" i="86"/>
  <c r="R26" i="86" s="1"/>
  <c r="K26" i="86"/>
  <c r="L26" i="86" s="1"/>
  <c r="F26" i="86"/>
  <c r="E26" i="86"/>
  <c r="BJ25" i="86"/>
  <c r="BN25" i="86" s="1"/>
  <c r="BD25" i="86"/>
  <c r="BH25" i="86" s="1"/>
  <c r="AX25" i="86"/>
  <c r="BA25" i="86" s="1"/>
  <c r="AR25" i="86"/>
  <c r="AV25" i="86" s="1"/>
  <c r="AL25" i="86"/>
  <c r="AO25" i="86" s="1"/>
  <c r="AF25" i="86"/>
  <c r="AI25" i="86" s="1"/>
  <c r="AJ25" i="86" s="1"/>
  <c r="Z25" i="86"/>
  <c r="AC25" i="86" s="1"/>
  <c r="AD25" i="86" s="1"/>
  <c r="T25" i="86"/>
  <c r="U25" i="86" s="1"/>
  <c r="Q25" i="86"/>
  <c r="R25" i="86"/>
  <c r="J25" i="86"/>
  <c r="K25" i="86" s="1"/>
  <c r="L25" i="86" s="1"/>
  <c r="E25" i="86"/>
  <c r="F25" i="86"/>
  <c r="BJ24" i="86"/>
  <c r="BD24" i="86"/>
  <c r="BH24" i="86" s="1"/>
  <c r="AX24" i="86"/>
  <c r="BA24" i="86" s="1"/>
  <c r="AR24" i="86"/>
  <c r="AU24" i="86" s="1"/>
  <c r="AL24" i="86"/>
  <c r="AO24" i="86" s="1"/>
  <c r="AF24" i="86"/>
  <c r="AI24" i="86" s="1"/>
  <c r="AJ24" i="86" s="1"/>
  <c r="Z24" i="86"/>
  <c r="AC24" i="86" s="1"/>
  <c r="AD24" i="86" s="1"/>
  <c r="T24" i="86"/>
  <c r="U24" i="86" s="1"/>
  <c r="Q24" i="86"/>
  <c r="J24" i="86"/>
  <c r="J23" i="86" s="1"/>
  <c r="E24" i="86"/>
  <c r="F24" i="86" s="1"/>
  <c r="BO23" i="86"/>
  <c r="BL23" i="86"/>
  <c r="BI23" i="86"/>
  <c r="BF23" i="86"/>
  <c r="BC23" i="86"/>
  <c r="AZ23" i="86"/>
  <c r="AW23" i="86"/>
  <c r="AT23" i="86"/>
  <c r="AQ23" i="86"/>
  <c r="AN23" i="86"/>
  <c r="AK23" i="86"/>
  <c r="AH23" i="86"/>
  <c r="AE23" i="86"/>
  <c r="AB23" i="86"/>
  <c r="Y23" i="86"/>
  <c r="V23" i="86"/>
  <c r="S23" i="86"/>
  <c r="P23" i="86"/>
  <c r="N23" i="86"/>
  <c r="M23" i="86"/>
  <c r="H23" i="86"/>
  <c r="G23" i="86"/>
  <c r="D23" i="86"/>
  <c r="C23" i="86"/>
  <c r="AL22" i="86"/>
  <c r="AF22" i="86"/>
  <c r="AI22" i="86" s="1"/>
  <c r="AJ22" i="86" s="1"/>
  <c r="Z22" i="86"/>
  <c r="AC22" i="86" s="1"/>
  <c r="AD22" i="86" s="1"/>
  <c r="T22" i="86"/>
  <c r="W22" i="86" s="1"/>
  <c r="X22" i="86" s="1"/>
  <c r="Q22" i="86"/>
  <c r="R22" i="86" s="1"/>
  <c r="K22" i="86"/>
  <c r="L22" i="86" s="1"/>
  <c r="E22" i="86"/>
  <c r="F22" i="86" s="1"/>
  <c r="BJ21" i="86"/>
  <c r="BM21" i="86" s="1"/>
  <c r="BD21" i="86"/>
  <c r="BH21" i="86" s="1"/>
  <c r="AX21" i="86"/>
  <c r="BB21" i="86" s="1"/>
  <c r="AR21" i="86"/>
  <c r="AL21" i="86"/>
  <c r="AO21" i="86" s="1"/>
  <c r="AF21" i="86"/>
  <c r="AI21" i="86" s="1"/>
  <c r="AJ21" i="86" s="1"/>
  <c r="Z21" i="86"/>
  <c r="AC21" i="86" s="1"/>
  <c r="AD21" i="86" s="1"/>
  <c r="T21" i="86"/>
  <c r="W21" i="86" s="1"/>
  <c r="X21" i="86" s="1"/>
  <c r="Q21" i="86"/>
  <c r="R21" i="86" s="1"/>
  <c r="K21" i="86"/>
  <c r="L21" i="86"/>
  <c r="E21" i="86"/>
  <c r="F21" i="86" s="1"/>
  <c r="BN20" i="86"/>
  <c r="BM20" i="86"/>
  <c r="BH20" i="86"/>
  <c r="BG20" i="86"/>
  <c r="BB20" i="86"/>
  <c r="BA20" i="86"/>
  <c r="AV20" i="86"/>
  <c r="AU20" i="86"/>
  <c r="AL20" i="86"/>
  <c r="AF20" i="86"/>
  <c r="AI20" i="86" s="1"/>
  <c r="AJ20" i="86" s="1"/>
  <c r="Z20" i="86"/>
  <c r="AC20" i="86" s="1"/>
  <c r="AD20" i="86" s="1"/>
  <c r="T20" i="86"/>
  <c r="W20" i="86" s="1"/>
  <c r="X20" i="86" s="1"/>
  <c r="Q20" i="86"/>
  <c r="R20" i="86" s="1"/>
  <c r="L20" i="86"/>
  <c r="K20" i="86"/>
  <c r="E20" i="86"/>
  <c r="F20" i="86" s="1"/>
  <c r="BJ19" i="86"/>
  <c r="BM19" i="86" s="1"/>
  <c r="BD19" i="86"/>
  <c r="BH19" i="86" s="1"/>
  <c r="AX19" i="86"/>
  <c r="AR19" i="86"/>
  <c r="AU19" i="86" s="1"/>
  <c r="AL19" i="86"/>
  <c r="AP19" i="86" s="1"/>
  <c r="AF19" i="86"/>
  <c r="AI19" i="86" s="1"/>
  <c r="Z19" i="86"/>
  <c r="AC19" i="86" s="1"/>
  <c r="AD19" i="86" s="1"/>
  <c r="T19" i="86"/>
  <c r="Q19" i="86"/>
  <c r="R19" i="86"/>
  <c r="K19" i="86"/>
  <c r="L19" i="86" s="1"/>
  <c r="E19" i="86"/>
  <c r="F19" i="86" s="1"/>
  <c r="BJ18" i="86"/>
  <c r="BD18" i="86"/>
  <c r="BG18" i="86" s="1"/>
  <c r="AX18" i="86"/>
  <c r="BB18" i="86" s="1"/>
  <c r="AR18" i="86"/>
  <c r="AU18" i="86" s="1"/>
  <c r="AL18" i="86"/>
  <c r="AP18" i="86" s="1"/>
  <c r="AF18" i="86"/>
  <c r="AI18" i="86" s="1"/>
  <c r="AJ18" i="86" s="1"/>
  <c r="Z18" i="86"/>
  <c r="AC18" i="86" s="1"/>
  <c r="AD18" i="86" s="1"/>
  <c r="T18" i="86"/>
  <c r="W18" i="86" s="1"/>
  <c r="Q18" i="86"/>
  <c r="R18" i="86" s="1"/>
  <c r="K18" i="86"/>
  <c r="L18" i="86" s="1"/>
  <c r="C18" i="86"/>
  <c r="E18" i="86" s="1"/>
  <c r="E17" i="86" s="1"/>
  <c r="BO17" i="86"/>
  <c r="BL17" i="86"/>
  <c r="BI17" i="86"/>
  <c r="BF17" i="86"/>
  <c r="BC17" i="86"/>
  <c r="AZ17" i="86"/>
  <c r="AW17" i="86"/>
  <c r="AT17" i="86"/>
  <c r="AQ17" i="86"/>
  <c r="AN17" i="86"/>
  <c r="AK17" i="86"/>
  <c r="AH17" i="86"/>
  <c r="AE17" i="86"/>
  <c r="AB17" i="86"/>
  <c r="Y17" i="86"/>
  <c r="V17" i="86"/>
  <c r="S17" i="86"/>
  <c r="P17" i="86"/>
  <c r="N17" i="86"/>
  <c r="M17" i="86"/>
  <c r="J17" i="86"/>
  <c r="H17" i="86"/>
  <c r="G17" i="86"/>
  <c r="D17" i="86"/>
  <c r="AL16" i="86"/>
  <c r="AJ16" i="86"/>
  <c r="AF16" i="86"/>
  <c r="Z16" i="86"/>
  <c r="T16" i="86"/>
  <c r="U16" i="86" s="1"/>
  <c r="P16" i="86"/>
  <c r="Q16" i="86" s="1"/>
  <c r="J16" i="86"/>
  <c r="D16" i="86"/>
  <c r="BM15" i="86"/>
  <c r="BG15" i="86"/>
  <c r="BA15" i="86"/>
  <c r="AU15" i="86"/>
  <c r="AL15" i="86"/>
  <c r="AO15" i="86" s="1"/>
  <c r="AF15" i="86"/>
  <c r="AI15" i="86" s="1"/>
  <c r="AJ15" i="86" s="1"/>
  <c r="Z15" i="86"/>
  <c r="AC15" i="86" s="1"/>
  <c r="AD15" i="86" s="1"/>
  <c r="T15" i="86"/>
  <c r="U15" i="86" s="1"/>
  <c r="Q15" i="86"/>
  <c r="R15" i="86"/>
  <c r="K15" i="86"/>
  <c r="E15" i="86"/>
  <c r="F15" i="86"/>
  <c r="BJ14" i="86"/>
  <c r="BN14" i="86" s="1"/>
  <c r="BD14" i="86"/>
  <c r="AX14" i="86"/>
  <c r="BB14" i="86" s="1"/>
  <c r="AR14" i="86"/>
  <c r="AL14" i="86"/>
  <c r="AP14" i="86" s="1"/>
  <c r="AF14" i="86"/>
  <c r="AI14" i="86" s="1"/>
  <c r="AJ14" i="86" s="1"/>
  <c r="Z14" i="86"/>
  <c r="AC14" i="86" s="1"/>
  <c r="AD14" i="86" s="1"/>
  <c r="T14" i="86"/>
  <c r="W14" i="86" s="1"/>
  <c r="X14" i="86" s="1"/>
  <c r="Q14" i="86"/>
  <c r="R14" i="86" s="1"/>
  <c r="K14" i="86"/>
  <c r="L14" i="86" s="1"/>
  <c r="E14" i="86"/>
  <c r="F14" i="86" s="1"/>
  <c r="BJ13" i="86"/>
  <c r="BM13" i="86" s="1"/>
  <c r="BD13" i="86"/>
  <c r="BG13" i="86" s="1"/>
  <c r="AX13" i="86"/>
  <c r="AR13" i="86"/>
  <c r="AV13" i="86" s="1"/>
  <c r="AL13" i="86"/>
  <c r="AO13" i="86" s="1"/>
  <c r="AF13" i="86"/>
  <c r="AI13" i="86" s="1"/>
  <c r="AJ13" i="86" s="1"/>
  <c r="Z13" i="86"/>
  <c r="AC13" i="86" s="1"/>
  <c r="AD13" i="86" s="1"/>
  <c r="T13" i="86"/>
  <c r="U13" i="86" s="1"/>
  <c r="Q13" i="86"/>
  <c r="R13" i="86"/>
  <c r="K13" i="86"/>
  <c r="L13" i="86" s="1"/>
  <c r="E13" i="86"/>
  <c r="F13" i="86" s="1"/>
  <c r="BJ12" i="86"/>
  <c r="BN12" i="86" s="1"/>
  <c r="BD12" i="86"/>
  <c r="BG12" i="86" s="1"/>
  <c r="AX12" i="86"/>
  <c r="BB12" i="86" s="1"/>
  <c r="AR12" i="86"/>
  <c r="AL12" i="86"/>
  <c r="AP12" i="86" s="1"/>
  <c r="AF12" i="86"/>
  <c r="Z12" i="86"/>
  <c r="AC12" i="86" s="1"/>
  <c r="T12" i="86"/>
  <c r="W12" i="86" s="1"/>
  <c r="Q12" i="86"/>
  <c r="R12" i="86" s="1"/>
  <c r="K12" i="86"/>
  <c r="L12" i="86" s="1"/>
  <c r="C12" i="86"/>
  <c r="BO11" i="86"/>
  <c r="BL11" i="86"/>
  <c r="BI11" i="86"/>
  <c r="BF11" i="86"/>
  <c r="BC11" i="86"/>
  <c r="AZ11" i="86"/>
  <c r="AW11" i="86"/>
  <c r="AT11" i="86"/>
  <c r="AQ11" i="86"/>
  <c r="AN11" i="86"/>
  <c r="AK11" i="86"/>
  <c r="AH11" i="86"/>
  <c r="AE11" i="86"/>
  <c r="AB11" i="86"/>
  <c r="Y11" i="86"/>
  <c r="V11" i="86"/>
  <c r="S11" i="86"/>
  <c r="N11" i="86"/>
  <c r="M11" i="86"/>
  <c r="H11" i="86"/>
  <c r="O11" i="86" s="1"/>
  <c r="G11" i="86"/>
  <c r="H3" i="86"/>
  <c r="N36" i="89"/>
  <c r="Q53" i="89"/>
  <c r="AI163" i="89"/>
  <c r="G93" i="93"/>
  <c r="Q87" i="88"/>
  <c r="AI165" i="89"/>
  <c r="F21" i="87"/>
  <c r="L114" i="88"/>
  <c r="Z114" i="88"/>
  <c r="AI160" i="89"/>
  <c r="AI167" i="89"/>
  <c r="S44" i="100"/>
  <c r="M117" i="88"/>
  <c r="O129" i="88"/>
  <c r="K154" i="88"/>
  <c r="X154" i="88"/>
  <c r="Z164" i="88"/>
  <c r="H125" i="89"/>
  <c r="N102" i="96"/>
  <c r="V126" i="88"/>
  <c r="D28" i="92"/>
  <c r="AF28" i="92"/>
  <c r="K10" i="95"/>
  <c r="W26" i="89"/>
  <c r="AN134" i="89"/>
  <c r="D145" i="89"/>
  <c r="AI161" i="89"/>
  <c r="AI171" i="89"/>
  <c r="S53" i="89"/>
  <c r="X8" i="92"/>
  <c r="N104" i="88"/>
  <c r="V120" i="88"/>
  <c r="AH172" i="88"/>
  <c r="Z10" i="89"/>
  <c r="Z8" i="89" s="1"/>
  <c r="D24" i="92"/>
  <c r="AK24" i="92" s="1"/>
  <c r="M22" i="92"/>
  <c r="R108" i="97"/>
  <c r="S108" i="97" s="1"/>
  <c r="F35" i="87"/>
  <c r="L7" i="88"/>
  <c r="X86" i="88"/>
  <c r="L172" i="88"/>
  <c r="K166" i="88"/>
  <c r="K165" i="88" s="1"/>
  <c r="L71" i="89"/>
  <c r="C18" i="92"/>
  <c r="AA161" i="88"/>
  <c r="G30" i="93"/>
  <c r="F8" i="88"/>
  <c r="F7" i="88" s="1"/>
  <c r="K108" i="88"/>
  <c r="H104" i="88"/>
  <c r="X129" i="88"/>
  <c r="AE166" i="88"/>
  <c r="AE195" i="88" s="1"/>
  <c r="D81" i="89"/>
  <c r="O81" i="89"/>
  <c r="H16" i="89"/>
  <c r="H10" i="89"/>
  <c r="AN47" i="89"/>
  <c r="H81" i="89"/>
  <c r="Y33" i="88"/>
  <c r="Y31" i="88" s="1"/>
  <c r="O78" i="89"/>
  <c r="O102" i="89"/>
  <c r="E145" i="89"/>
  <c r="Z117" i="88"/>
  <c r="AF154" i="88"/>
  <c r="U169" i="89"/>
  <c r="E17" i="92"/>
  <c r="V108" i="88"/>
  <c r="L120" i="88"/>
  <c r="X120" i="88"/>
  <c r="G99" i="89"/>
  <c r="Y160" i="89"/>
  <c r="D13" i="91"/>
  <c r="E20" i="92"/>
  <c r="AA90" i="88"/>
  <c r="K123" i="88"/>
  <c r="N142" i="88"/>
  <c r="AG166" i="88"/>
  <c r="O16" i="89"/>
  <c r="O54" i="89" s="1"/>
  <c r="W25" i="89"/>
  <c r="R21" i="95"/>
  <c r="G65" i="93"/>
  <c r="T136" i="88"/>
  <c r="E99" i="89"/>
  <c r="U162" i="89"/>
  <c r="M29" i="87"/>
  <c r="AD14" i="88"/>
  <c r="M145" i="88"/>
  <c r="V164" i="88"/>
  <c r="M21" i="92"/>
  <c r="E23" i="86"/>
  <c r="I23" i="86"/>
  <c r="T9" i="88"/>
  <c r="T114" i="88"/>
  <c r="BD172" i="88"/>
  <c r="AA176" i="88"/>
  <c r="C16" i="89"/>
  <c r="C10" i="89" s="1"/>
  <c r="H53" i="89"/>
  <c r="M99" i="89"/>
  <c r="U168" i="89"/>
  <c r="U170" i="89"/>
  <c r="H11" i="90"/>
  <c r="G8" i="91"/>
  <c r="G13" i="91" s="1"/>
  <c r="J13" i="91" s="1"/>
  <c r="N106" i="86"/>
  <c r="W49" i="88"/>
  <c r="D86" i="88"/>
  <c r="M86" i="88"/>
  <c r="L86" i="88"/>
  <c r="L100" i="88"/>
  <c r="S142" i="88"/>
  <c r="V154" i="88"/>
  <c r="X164" i="88"/>
  <c r="K171" i="88"/>
  <c r="D16" i="89"/>
  <c r="M53" i="89"/>
  <c r="H90" i="89"/>
  <c r="D99" i="89"/>
  <c r="S139" i="89"/>
  <c r="Y162" i="89"/>
  <c r="L15" i="91"/>
  <c r="D32" i="92"/>
  <c r="D31" i="92" s="1"/>
  <c r="BB171" i="88"/>
  <c r="AE7" i="88"/>
  <c r="G181" i="88"/>
  <c r="H64" i="88"/>
  <c r="H86" i="88"/>
  <c r="F23" i="87"/>
  <c r="I34" i="87"/>
  <c r="S38" i="89"/>
  <c r="S36" i="89" s="1"/>
  <c r="R36" i="89"/>
  <c r="AJ24" i="92"/>
  <c r="R37" i="86"/>
  <c r="R34" i="88"/>
  <c r="N33" i="88"/>
  <c r="N31" i="88"/>
  <c r="P51" i="86"/>
  <c r="F33" i="88"/>
  <c r="F31" i="88"/>
  <c r="AA125" i="88"/>
  <c r="Y204" i="88"/>
  <c r="Y49" i="88"/>
  <c r="S101" i="89"/>
  <c r="Y51" i="89"/>
  <c r="AA50" i="89"/>
  <c r="AA51" i="89" s="1"/>
  <c r="T34" i="88"/>
  <c r="Z136" i="88"/>
  <c r="Y53" i="89"/>
  <c r="AA52" i="89"/>
  <c r="AF52" i="89" s="1"/>
  <c r="AF53" i="89" s="1"/>
  <c r="T104" i="88"/>
  <c r="O23" i="86"/>
  <c r="H58" i="86"/>
  <c r="K58" i="86" s="1"/>
  <c r="M100" i="88"/>
  <c r="O117" i="88"/>
  <c r="T52" i="89"/>
  <c r="AL34" i="88"/>
  <c r="S139" i="88"/>
  <c r="T139" i="88"/>
  <c r="AF169" i="88"/>
  <c r="AF49" i="88"/>
  <c r="G119" i="93"/>
  <c r="T32" i="88"/>
  <c r="F29" i="86"/>
  <c r="W116" i="87"/>
  <c r="X116" i="87" s="1"/>
  <c r="AF171" i="88"/>
  <c r="W172" i="88"/>
  <c r="W166" i="88" s="1"/>
  <c r="M73" i="89"/>
  <c r="M16" i="89"/>
  <c r="U51" i="89"/>
  <c r="E64" i="88"/>
  <c r="L80" i="88"/>
  <c r="K86" i="88"/>
  <c r="K120" i="88"/>
  <c r="M136" i="88"/>
  <c r="L139" i="88"/>
  <c r="K148" i="88"/>
  <c r="Z154" i="88"/>
  <c r="S164" i="88"/>
  <c r="H84" i="89"/>
  <c r="D96" i="89"/>
  <c r="H102" i="89"/>
  <c r="AI170" i="89"/>
  <c r="E126" i="93"/>
  <c r="E121" i="93" s="1"/>
  <c r="E142" i="93"/>
  <c r="G142" i="93" s="1"/>
  <c r="G138" i="93" s="1"/>
  <c r="P108" i="97"/>
  <c r="D5" i="98"/>
  <c r="Z86" i="88"/>
  <c r="E64" i="93"/>
  <c r="G64" i="93"/>
  <c r="E120" i="93"/>
  <c r="G120" i="93" s="1"/>
  <c r="E151" i="93"/>
  <c r="G151" i="93" s="1"/>
  <c r="G147" i="93" s="1"/>
  <c r="X64" i="88"/>
  <c r="M80" i="88"/>
  <c r="M114" i="88"/>
  <c r="K117" i="88"/>
  <c r="T123" i="88"/>
  <c r="N154" i="88"/>
  <c r="W18" i="89"/>
  <c r="D55" i="89"/>
  <c r="D65" i="89"/>
  <c r="L68" i="89"/>
  <c r="H87" i="89"/>
  <c r="S96" i="89"/>
  <c r="AI172" i="89"/>
  <c r="L8" i="91"/>
  <c r="L13" i="91" s="1"/>
  <c r="H15" i="91"/>
  <c r="V16" i="91"/>
  <c r="N23" i="92"/>
  <c r="G15" i="93"/>
  <c r="E80" i="93"/>
  <c r="G143" i="93"/>
  <c r="AV57" i="88"/>
  <c r="F86" i="88"/>
  <c r="N114" i="88"/>
  <c r="L164" i="88"/>
  <c r="P36" i="89"/>
  <c r="AI169" i="89"/>
  <c r="AK30" i="92"/>
  <c r="AK28" i="92" s="1"/>
  <c r="E35" i="92"/>
  <c r="E42" i="93"/>
  <c r="G42" i="93" s="1"/>
  <c r="E65" i="93"/>
  <c r="I9" i="91"/>
  <c r="H18" i="92"/>
  <c r="E30" i="92"/>
  <c r="E44" i="93"/>
  <c r="E178" i="93" s="1"/>
  <c r="E174" i="93" s="1"/>
  <c r="E92" i="93"/>
  <c r="G92" i="93" s="1"/>
  <c r="G89" i="93" s="1"/>
  <c r="G88" i="93" s="1"/>
  <c r="G130" i="93"/>
  <c r="G139" i="93"/>
  <c r="E161" i="93"/>
  <c r="G161" i="93" s="1"/>
  <c r="G157" i="93" s="1"/>
  <c r="J7" i="95"/>
  <c r="M164" i="88"/>
  <c r="G53" i="89"/>
  <c r="G65" i="89"/>
  <c r="G78" i="89"/>
  <c r="H96" i="89"/>
  <c r="T86" i="88"/>
  <c r="G86" i="88"/>
  <c r="T108" i="88"/>
  <c r="M123" i="88"/>
  <c r="K126" i="88"/>
  <c r="K139" i="88"/>
  <c r="AF164" i="88"/>
  <c r="L65" i="89"/>
  <c r="T130" i="89"/>
  <c r="E13" i="91"/>
  <c r="G39" i="93"/>
  <c r="E132" i="93"/>
  <c r="G132" i="93"/>
  <c r="Z58" i="95"/>
  <c r="X58" i="95" s="1"/>
  <c r="I44" i="100"/>
  <c r="R44" i="100" s="1"/>
  <c r="F8" i="95"/>
  <c r="F9" i="95" s="1"/>
  <c r="N9" i="90"/>
  <c r="N13" i="92"/>
  <c r="G15" i="92"/>
  <c r="AA12" i="92"/>
  <c r="F23" i="97"/>
  <c r="AI36" i="89"/>
  <c r="L20" i="100"/>
  <c r="C42" i="100"/>
  <c r="O43" i="99"/>
  <c r="T16" i="100"/>
  <c r="S43" i="99"/>
  <c r="BC168" i="88"/>
  <c r="W35" i="96"/>
  <c r="X35" i="96" s="1"/>
  <c r="F54" i="96"/>
  <c r="M5" i="90"/>
  <c r="G31" i="90"/>
  <c r="C31" i="95"/>
  <c r="C28" i="95" s="1"/>
  <c r="AF16" i="96"/>
  <c r="P12" i="97"/>
  <c r="AH36" i="89"/>
  <c r="E5" i="90"/>
  <c r="AA43" i="96"/>
  <c r="AI11" i="89"/>
  <c r="AI120" i="89" s="1"/>
  <c r="AI129" i="89" s="1"/>
  <c r="C14" i="92"/>
  <c r="W14" i="92" s="1"/>
  <c r="N18" i="95"/>
  <c r="H34" i="98"/>
  <c r="O11" i="90"/>
  <c r="K43" i="96"/>
  <c r="K16" i="97"/>
  <c r="F17" i="97"/>
  <c r="C19" i="97"/>
  <c r="P24" i="97"/>
  <c r="C12" i="97"/>
  <c r="U12" i="97"/>
  <c r="O30" i="99"/>
  <c r="F8" i="94"/>
  <c r="F7" i="94" s="1"/>
  <c r="P56" i="95"/>
  <c r="AC39" i="96"/>
  <c r="D15" i="98"/>
  <c r="C31" i="99"/>
  <c r="O31" i="99"/>
  <c r="P28" i="87"/>
  <c r="AR11" i="89"/>
  <c r="H9" i="90"/>
  <c r="G43" i="95"/>
  <c r="E43" i="95" s="1"/>
  <c r="O34" i="96"/>
  <c r="AB12" i="92"/>
  <c r="I38" i="100"/>
  <c r="AE33" i="87"/>
  <c r="AD16" i="95"/>
  <c r="O19" i="100"/>
  <c r="AD25" i="95"/>
  <c r="W37" i="96"/>
  <c r="U39" i="96"/>
  <c r="W43" i="96"/>
  <c r="U31" i="97"/>
  <c r="N15" i="100"/>
  <c r="I31" i="100"/>
  <c r="Q39" i="100"/>
  <c r="J12" i="92"/>
  <c r="P32" i="97"/>
  <c r="O42" i="100"/>
  <c r="R42" i="100" s="1"/>
  <c r="L25" i="99"/>
  <c r="O27" i="99"/>
  <c r="AE22" i="87"/>
  <c r="Z54" i="95"/>
  <c r="X54" i="95" s="1"/>
  <c r="U13" i="97"/>
  <c r="F29" i="100"/>
  <c r="L31" i="100"/>
  <c r="Z49" i="95"/>
  <c r="X49" i="95" s="1"/>
  <c r="J23" i="96"/>
  <c r="AC29" i="96"/>
  <c r="AD29" i="96" s="1"/>
  <c r="Q39" i="99"/>
  <c r="AE9" i="92"/>
  <c r="C16" i="92"/>
  <c r="C15" i="92" s="1"/>
  <c r="I22" i="92"/>
  <c r="N27" i="92"/>
  <c r="O27" i="100"/>
  <c r="T26" i="99"/>
  <c r="I27" i="99"/>
  <c r="S13" i="90"/>
  <c r="C38" i="99"/>
  <c r="M148" i="89"/>
  <c r="C54" i="96"/>
  <c r="N53" i="97"/>
  <c r="U12" i="95"/>
  <c r="N50" i="95"/>
  <c r="L50" i="95" s="1"/>
  <c r="Z51" i="95"/>
  <c r="X51" i="95" s="1"/>
  <c r="G53" i="95"/>
  <c r="E53" i="95" s="1"/>
  <c r="M33" i="96"/>
  <c r="L33" i="96" s="1"/>
  <c r="C10" i="100"/>
  <c r="O10" i="100"/>
  <c r="L11" i="100"/>
  <c r="BM14" i="86"/>
  <c r="AN51" i="86"/>
  <c r="AR51" i="86"/>
  <c r="AX51" i="86" s="1"/>
  <c r="AN21" i="88"/>
  <c r="AL21" i="88"/>
  <c r="AR23" i="86"/>
  <c r="R55" i="86"/>
  <c r="Q55" i="86" s="1"/>
  <c r="T68" i="87"/>
  <c r="R22" i="90"/>
  <c r="R21" i="90" s="1"/>
  <c r="K11" i="92"/>
  <c r="AG16" i="92"/>
  <c r="AH16" i="92" s="1"/>
  <c r="Q23" i="92"/>
  <c r="Y8" i="95"/>
  <c r="Y9" i="95" s="1"/>
  <c r="R26" i="95"/>
  <c r="G44" i="95"/>
  <c r="E44" i="95" s="1"/>
  <c r="N23" i="96"/>
  <c r="W58" i="96"/>
  <c r="F19" i="97"/>
  <c r="P20" i="97"/>
  <c r="U36" i="97"/>
  <c r="P37" i="97"/>
  <c r="I27" i="100"/>
  <c r="O29" i="100"/>
  <c r="L30" i="100"/>
  <c r="O40" i="100"/>
  <c r="F43" i="100"/>
  <c r="O34" i="99"/>
  <c r="C36" i="99"/>
  <c r="L37" i="99"/>
  <c r="O41" i="99"/>
  <c r="K30" i="90"/>
  <c r="O31" i="90"/>
  <c r="AD8" i="91"/>
  <c r="F15" i="92"/>
  <c r="H23" i="92"/>
  <c r="AF22" i="95"/>
  <c r="N45" i="95"/>
  <c r="L45" i="95" s="1"/>
  <c r="F25" i="100"/>
  <c r="C26" i="100"/>
  <c r="C36" i="100"/>
  <c r="L10" i="99"/>
  <c r="AI23" i="88"/>
  <c r="Q11" i="89"/>
  <c r="Q108" i="89" s="1"/>
  <c r="N19" i="92"/>
  <c r="N18" i="92" s="1"/>
  <c r="R22" i="92"/>
  <c r="R21" i="92" s="1"/>
  <c r="G18" i="95"/>
  <c r="AF23" i="95"/>
  <c r="P21" i="97"/>
  <c r="W21" i="97" s="1"/>
  <c r="AI24" i="88"/>
  <c r="I15" i="92"/>
  <c r="N16" i="92"/>
  <c r="N15" i="92" s="1"/>
  <c r="G16" i="95"/>
  <c r="N61" i="95"/>
  <c r="L61" i="95" s="1"/>
  <c r="AF14" i="96"/>
  <c r="G5" i="98"/>
  <c r="P32" i="99"/>
  <c r="P9" i="92"/>
  <c r="P12" i="92"/>
  <c r="AB32" i="92"/>
  <c r="AB31" i="92" s="1"/>
  <c r="AF19" i="95"/>
  <c r="I40" i="95"/>
  <c r="I39" i="95" s="1"/>
  <c r="U25" i="97"/>
  <c r="T25" i="100"/>
  <c r="O20" i="99"/>
  <c r="AI145" i="89"/>
  <c r="W8" i="91"/>
  <c r="AE12" i="92"/>
  <c r="AC33" i="92"/>
  <c r="AC32" i="92" s="1"/>
  <c r="M13" i="94"/>
  <c r="G19" i="95"/>
  <c r="G46" i="95"/>
  <c r="E46" i="95" s="1"/>
  <c r="AC35" i="96"/>
  <c r="AD35" i="96" s="1"/>
  <c r="V9" i="96"/>
  <c r="U49" i="96"/>
  <c r="S9" i="97"/>
  <c r="P13" i="97"/>
  <c r="U38" i="97"/>
  <c r="E15" i="100"/>
  <c r="E13" i="100" s="1"/>
  <c r="D44" i="100" s="1"/>
  <c r="C44" i="100" s="1"/>
  <c r="Q15" i="100"/>
  <c r="T35" i="99"/>
  <c r="T36" i="99"/>
  <c r="H5" i="90"/>
  <c r="G12" i="95"/>
  <c r="G54" i="95"/>
  <c r="E54" i="95" s="1"/>
  <c r="U32" i="97"/>
  <c r="P33" i="97"/>
  <c r="L17" i="100"/>
  <c r="C11" i="99"/>
  <c r="N23" i="99"/>
  <c r="F26" i="99"/>
  <c r="L33" i="99"/>
  <c r="O35" i="99"/>
  <c r="L36" i="99"/>
  <c r="AW28" i="86"/>
  <c r="AU29" i="86"/>
  <c r="O43" i="86"/>
  <c r="BC49" i="88"/>
  <c r="D5" i="90"/>
  <c r="BM30" i="86"/>
  <c r="AZ171" i="88"/>
  <c r="AB29" i="89"/>
  <c r="R5" i="90"/>
  <c r="D22" i="90"/>
  <c r="D21" i="90" s="1"/>
  <c r="M10" i="94"/>
  <c r="K11" i="94"/>
  <c r="M24" i="94"/>
  <c r="Y16" i="94"/>
  <c r="Z10" i="94"/>
  <c r="BJ17" i="86"/>
  <c r="BN21" i="86"/>
  <c r="AU25" i="86"/>
  <c r="AE19" i="87"/>
  <c r="BB24" i="86"/>
  <c r="W25" i="86"/>
  <c r="X25" i="86" s="1"/>
  <c r="BM47" i="86"/>
  <c r="Q30" i="86"/>
  <c r="Q36" i="86"/>
  <c r="BI41" i="86"/>
  <c r="BH41" i="86" s="1"/>
  <c r="I47" i="86"/>
  <c r="R13" i="90"/>
  <c r="M22" i="90"/>
  <c r="M31" i="90"/>
  <c r="M21" i="90" s="1"/>
  <c r="I9" i="92"/>
  <c r="R14" i="95"/>
  <c r="S19" i="100"/>
  <c r="J32" i="100"/>
  <c r="AE27" i="87"/>
  <c r="AS13" i="88"/>
  <c r="AB18" i="89"/>
  <c r="K35" i="90"/>
  <c r="AD9" i="92"/>
  <c r="K13" i="94"/>
  <c r="AA20" i="94"/>
  <c r="AC20" i="94" s="1"/>
  <c r="N20" i="95"/>
  <c r="AC26" i="95"/>
  <c r="G29" i="95"/>
  <c r="E29" i="95" s="1"/>
  <c r="N23" i="100"/>
  <c r="D39" i="100"/>
  <c r="T10" i="99"/>
  <c r="I18" i="99"/>
  <c r="F20" i="99"/>
  <c r="L24" i="99"/>
  <c r="G32" i="99"/>
  <c r="K25" i="87"/>
  <c r="M25" i="87" s="1"/>
  <c r="P20" i="90"/>
  <c r="N31" i="90"/>
  <c r="V17" i="91"/>
  <c r="M20" i="94"/>
  <c r="Z34" i="95"/>
  <c r="X34" i="95" s="1"/>
  <c r="Z55" i="95"/>
  <c r="X55" i="95" s="1"/>
  <c r="AF13" i="96"/>
  <c r="U45" i="96"/>
  <c r="F26" i="97"/>
  <c r="T24" i="100"/>
  <c r="S33" i="100"/>
  <c r="S36" i="100"/>
  <c r="T38" i="100"/>
  <c r="E39" i="100"/>
  <c r="AJ27" i="89"/>
  <c r="M15" i="92"/>
  <c r="F22" i="92"/>
  <c r="F21" i="92" s="1"/>
  <c r="AF12" i="95"/>
  <c r="Z13" i="95"/>
  <c r="Z46" i="95"/>
  <c r="X46" i="95" s="1"/>
  <c r="N49" i="95"/>
  <c r="L49" i="95" s="1"/>
  <c r="AF20" i="96"/>
  <c r="D9" i="97"/>
  <c r="U24" i="97"/>
  <c r="F30" i="97"/>
  <c r="C9" i="99"/>
  <c r="E23" i="99"/>
  <c r="I29" i="99"/>
  <c r="AM26" i="87"/>
  <c r="AR26" i="87" s="1"/>
  <c r="AW26" i="87" s="1"/>
  <c r="AF21" i="96"/>
  <c r="C31" i="97"/>
  <c r="H12" i="98"/>
  <c r="Q23" i="99"/>
  <c r="T25" i="99"/>
  <c r="AW13" i="88"/>
  <c r="K19" i="90"/>
  <c r="AF12" i="92"/>
  <c r="K14" i="92"/>
  <c r="P22" i="92"/>
  <c r="AA19" i="94"/>
  <c r="AC19" i="94" s="1"/>
  <c r="AE11" i="95"/>
  <c r="O31" i="95"/>
  <c r="Z59" i="95"/>
  <c r="C11" i="97"/>
  <c r="C19" i="100"/>
  <c r="C29" i="100"/>
  <c r="F30" i="99"/>
  <c r="I37" i="99"/>
  <c r="S40" i="99"/>
  <c r="K22" i="87"/>
  <c r="M22" i="87" s="1"/>
  <c r="AW10" i="88"/>
  <c r="AO178" i="88"/>
  <c r="AO180" i="88" s="1"/>
  <c r="I5" i="90"/>
  <c r="I31" i="90"/>
  <c r="P15" i="91"/>
  <c r="K15" i="94"/>
  <c r="AA22" i="94"/>
  <c r="AC22" i="94" s="1"/>
  <c r="AC14" i="95"/>
  <c r="AF20" i="95"/>
  <c r="Z45" i="95"/>
  <c r="X45" i="95" s="1"/>
  <c r="AB56" i="95"/>
  <c r="W33" i="96"/>
  <c r="AF42" i="96"/>
  <c r="I9" i="100"/>
  <c r="I16" i="100"/>
  <c r="I25" i="100"/>
  <c r="P32" i="100"/>
  <c r="Z21" i="87"/>
  <c r="S61" i="87"/>
  <c r="AU13" i="88"/>
  <c r="K6" i="90"/>
  <c r="N11" i="92"/>
  <c r="AA12" i="94"/>
  <c r="AC12" i="94" s="1"/>
  <c r="AA21" i="94"/>
  <c r="AC21" i="94" s="1"/>
  <c r="AA26" i="94"/>
  <c r="AC26" i="94" s="1"/>
  <c r="AC16" i="95"/>
  <c r="N19" i="95"/>
  <c r="AA40" i="96"/>
  <c r="F22" i="97"/>
  <c r="C32" i="97"/>
  <c r="P36" i="97"/>
  <c r="C43" i="100"/>
  <c r="O43" i="100"/>
  <c r="C20" i="99"/>
  <c r="O26" i="99"/>
  <c r="I38" i="99"/>
  <c r="M39" i="99"/>
  <c r="L39" i="99" s="1"/>
  <c r="O40" i="99"/>
  <c r="U55" i="86"/>
  <c r="AV10" i="88"/>
  <c r="AY10" i="88" s="1"/>
  <c r="AN11" i="88"/>
  <c r="AK14" i="88"/>
  <c r="AN19" i="88"/>
  <c r="BM21" i="88"/>
  <c r="BN21" i="88" s="1"/>
  <c r="BO21" i="88" s="1"/>
  <c r="AK23" i="88"/>
  <c r="AZ79" i="88"/>
  <c r="U29" i="86"/>
  <c r="BG30" i="86"/>
  <c r="AI33" i="86"/>
  <c r="AJ33" i="86" s="1"/>
  <c r="BK37" i="86"/>
  <c r="AY39" i="86"/>
  <c r="AI45" i="86"/>
  <c r="AJ45" i="86" s="1"/>
  <c r="P20" i="87"/>
  <c r="U22" i="87"/>
  <c r="Z33" i="87"/>
  <c r="AS20" i="88"/>
  <c r="AI21" i="88"/>
  <c r="AL23" i="88"/>
  <c r="H189" i="88"/>
  <c r="BA12" i="86"/>
  <c r="W29" i="86"/>
  <c r="AI47" i="86"/>
  <c r="BC47" i="86"/>
  <c r="P35" i="87"/>
  <c r="AV13" i="88"/>
  <c r="AK21" i="88"/>
  <c r="AN23" i="88"/>
  <c r="AH10" i="92"/>
  <c r="U12" i="86"/>
  <c r="AO14" i="86"/>
  <c r="U26" i="86"/>
  <c r="U23" i="86" s="1"/>
  <c r="Y29" i="86"/>
  <c r="AS36" i="86"/>
  <c r="P25" i="87"/>
  <c r="AU10" i="88"/>
  <c r="AK13" i="88"/>
  <c r="BM18" i="88"/>
  <c r="BN18" i="88" s="1"/>
  <c r="BO18" i="88" s="1"/>
  <c r="BM19" i="88"/>
  <c r="BN19" i="88" s="1"/>
  <c r="BO19" i="88" s="1"/>
  <c r="BB90" i="88"/>
  <c r="Y197" i="88"/>
  <c r="T14" i="89"/>
  <c r="W14" i="89" s="1"/>
  <c r="AU44" i="86"/>
  <c r="AV44" i="86" s="1"/>
  <c r="L48" i="86"/>
  <c r="Z15" i="87"/>
  <c r="P33" i="87"/>
  <c r="Z36" i="87"/>
  <c r="U37" i="87"/>
  <c r="BC171" i="88"/>
  <c r="BH13" i="86"/>
  <c r="U14" i="86"/>
  <c r="AU30" i="86"/>
  <c r="AK36" i="86"/>
  <c r="L37" i="86"/>
  <c r="AM41" i="86"/>
  <c r="AY44" i="86"/>
  <c r="BG47" i="86"/>
  <c r="Y33" i="86"/>
  <c r="O36" i="86"/>
  <c r="AO41" i="86"/>
  <c r="BI47" i="86"/>
  <c r="U18" i="87"/>
  <c r="P27" i="87"/>
  <c r="N34" i="87"/>
  <c r="AH34" i="87"/>
  <c r="AS10" i="88"/>
  <c r="AI11" i="88"/>
  <c r="AK19" i="88"/>
  <c r="AL24" i="88"/>
  <c r="AI26" i="88"/>
  <c r="BB166" i="88"/>
  <c r="BB165" i="88" s="1"/>
  <c r="BB193" i="88" s="1"/>
  <c r="AA89" i="89"/>
  <c r="AB24" i="89"/>
  <c r="AM36" i="86"/>
  <c r="BK38" i="86"/>
  <c r="AQ41" i="86"/>
  <c r="BG44" i="86"/>
  <c r="BH44" i="86" s="1"/>
  <c r="U11" i="87"/>
  <c r="Z19" i="87"/>
  <c r="AG19" i="87" s="1"/>
  <c r="AE21" i="87"/>
  <c r="K30" i="87"/>
  <c r="O34" i="87"/>
  <c r="BC166" i="88"/>
  <c r="BC165" i="88" s="1"/>
  <c r="BC193" i="88" s="1"/>
  <c r="AB35" i="89"/>
  <c r="O139" i="89"/>
  <c r="Q148" i="89"/>
  <c r="U9" i="90"/>
  <c r="K10" i="90"/>
  <c r="P12" i="90"/>
  <c r="N22" i="90"/>
  <c r="P26" i="90"/>
  <c r="P27" i="90"/>
  <c r="Q11" i="92"/>
  <c r="Z12" i="94"/>
  <c r="O8" i="94"/>
  <c r="O9" i="94" s="1"/>
  <c r="AA24" i="94"/>
  <c r="AC24" i="94" s="1"/>
  <c r="R12" i="95"/>
  <c r="K19" i="95"/>
  <c r="E21" i="96"/>
  <c r="F21" i="96" s="1"/>
  <c r="K29" i="96"/>
  <c r="G33" i="96"/>
  <c r="E33" i="96"/>
  <c r="S5" i="90"/>
  <c r="L15" i="90"/>
  <c r="L13" i="90" s="1"/>
  <c r="C48" i="90"/>
  <c r="U15" i="91"/>
  <c r="L28" i="92"/>
  <c r="Q10" i="94"/>
  <c r="P10" i="94" s="1"/>
  <c r="M12" i="94"/>
  <c r="AA17" i="94"/>
  <c r="AC17" i="94" s="1"/>
  <c r="AE22" i="95"/>
  <c r="AD22" i="95"/>
  <c r="N48" i="95"/>
  <c r="L48" i="95" s="1"/>
  <c r="R48" i="95" s="1"/>
  <c r="AF18" i="96"/>
  <c r="K25" i="96"/>
  <c r="L25" i="96" s="1"/>
  <c r="M29" i="96"/>
  <c r="AE30" i="96"/>
  <c r="AE28" i="96" s="1"/>
  <c r="AF31" i="96"/>
  <c r="AJ31" i="89"/>
  <c r="P19" i="90"/>
  <c r="E21" i="90"/>
  <c r="Q10" i="92"/>
  <c r="P12" i="94"/>
  <c r="M22" i="94"/>
  <c r="Y22" i="94"/>
  <c r="AF10" i="95"/>
  <c r="AE19" i="95"/>
  <c r="AC25" i="95"/>
  <c r="Z23" i="96"/>
  <c r="AF30" i="96"/>
  <c r="H22" i="90"/>
  <c r="AE20" i="95"/>
  <c r="AF26" i="95"/>
  <c r="K15" i="96"/>
  <c r="L15" i="96" s="1"/>
  <c r="K18" i="96"/>
  <c r="E19" i="96"/>
  <c r="F19" i="96" s="1"/>
  <c r="Q29" i="96"/>
  <c r="R29" i="96" s="1"/>
  <c r="M9" i="90"/>
  <c r="I22" i="90"/>
  <c r="I49" i="90" s="1"/>
  <c r="I50" i="90" s="1"/>
  <c r="K26" i="90"/>
  <c r="K27" i="90"/>
  <c r="P30" i="90"/>
  <c r="X15" i="91"/>
  <c r="W16" i="91"/>
  <c r="Q14" i="92"/>
  <c r="D25" i="92"/>
  <c r="Q25" i="92"/>
  <c r="S27" i="92"/>
  <c r="T27" i="92" s="1"/>
  <c r="T21" i="92" s="1"/>
  <c r="G19" i="94"/>
  <c r="K20" i="94"/>
  <c r="N58" i="95"/>
  <c r="L58" i="95" s="1"/>
  <c r="AC58" i="95" s="1"/>
  <c r="Q25" i="96"/>
  <c r="R25" i="96" s="1"/>
  <c r="N5" i="90"/>
  <c r="P28" i="90"/>
  <c r="Y15" i="91"/>
  <c r="X16" i="91"/>
  <c r="W17" i="91"/>
  <c r="D23" i="92"/>
  <c r="G18" i="94"/>
  <c r="W29" i="96"/>
  <c r="N69" i="96"/>
  <c r="S34" i="96"/>
  <c r="P6" i="90"/>
  <c r="M11" i="90"/>
  <c r="J9" i="92"/>
  <c r="O12" i="92"/>
  <c r="AB23" i="94"/>
  <c r="V17" i="95"/>
  <c r="U17" i="95" s="1"/>
  <c r="Q20" i="95"/>
  <c r="AD20" i="95"/>
  <c r="AE21" i="95"/>
  <c r="K22" i="95"/>
  <c r="Z41" i="95"/>
  <c r="X41" i="95" s="1"/>
  <c r="Z42" i="95"/>
  <c r="X42" i="95" s="1"/>
  <c r="G48" i="95"/>
  <c r="E48" i="95" s="1"/>
  <c r="Z57" i="95"/>
  <c r="X57" i="95" s="1"/>
  <c r="W11" i="96"/>
  <c r="AB31" i="89"/>
  <c r="AA139" i="89"/>
  <c r="U11" i="90"/>
  <c r="K20" i="90"/>
  <c r="C22" i="90"/>
  <c r="C49" i="90" s="1"/>
  <c r="C50" i="90" s="1"/>
  <c r="AB18" i="92"/>
  <c r="Q29" i="92"/>
  <c r="Q28" i="92" s="1"/>
  <c r="G16" i="94"/>
  <c r="M17" i="94"/>
  <c r="AA27" i="94"/>
  <c r="AC27" i="94" s="1"/>
  <c r="Z27" i="94"/>
  <c r="Z12" i="95"/>
  <c r="AF16" i="95"/>
  <c r="V16" i="95"/>
  <c r="R22" i="95"/>
  <c r="Z50" i="95"/>
  <c r="X50" i="95" s="1"/>
  <c r="G52" i="95"/>
  <c r="E52" i="95" s="1"/>
  <c r="N53" i="95"/>
  <c r="L53" i="95" s="1"/>
  <c r="G60" i="95"/>
  <c r="E60" i="95" s="1"/>
  <c r="Z11" i="96"/>
  <c r="AF44" i="96"/>
  <c r="E55" i="96"/>
  <c r="E58" i="96"/>
  <c r="T18" i="97"/>
  <c r="U23" i="97"/>
  <c r="F27" i="97"/>
  <c r="U27" i="97"/>
  <c r="F31" i="97"/>
  <c r="E11" i="98"/>
  <c r="F31" i="98"/>
  <c r="T40" i="100"/>
  <c r="D12" i="99"/>
  <c r="C14" i="99"/>
  <c r="G15" i="99"/>
  <c r="U37" i="96"/>
  <c r="U41" i="96"/>
  <c r="AA45" i="96"/>
  <c r="Q47" i="96"/>
  <c r="I48" i="96"/>
  <c r="L6" i="98"/>
  <c r="C9" i="100"/>
  <c r="S35" i="100"/>
  <c r="O36" i="100"/>
  <c r="I40" i="100"/>
  <c r="S42" i="100"/>
  <c r="F19" i="99"/>
  <c r="L31" i="99"/>
  <c r="O36" i="99"/>
  <c r="K35" i="96"/>
  <c r="L35" i="96" s="1"/>
  <c r="I36" i="96"/>
  <c r="AA39" i="96"/>
  <c r="E43" i="96"/>
  <c r="F43" i="96" s="1"/>
  <c r="P10" i="97"/>
  <c r="F11" i="97"/>
  <c r="P14" i="97"/>
  <c r="K21" i="97"/>
  <c r="C24" i="97"/>
  <c r="P28" i="97"/>
  <c r="C39" i="97"/>
  <c r="F5" i="98"/>
  <c r="O20" i="100"/>
  <c r="F26" i="100"/>
  <c r="O30" i="100"/>
  <c r="L37" i="100"/>
  <c r="P39" i="99"/>
  <c r="K55" i="96"/>
  <c r="L55" i="96" s="1"/>
  <c r="N18" i="97"/>
  <c r="N15" i="97" s="1"/>
  <c r="U28" i="97"/>
  <c r="P29" i="97"/>
  <c r="E35" i="97"/>
  <c r="S38" i="100"/>
  <c r="G39" i="100"/>
  <c r="F39" i="100" s="1"/>
  <c r="D32" i="99"/>
  <c r="M32" i="99"/>
  <c r="S30" i="99"/>
  <c r="T34" i="99"/>
  <c r="I41" i="96"/>
  <c r="E46" i="96"/>
  <c r="F46" i="96" s="1"/>
  <c r="W47" i="96"/>
  <c r="AC57" i="96"/>
  <c r="F13" i="97"/>
  <c r="U20" i="97"/>
  <c r="Y35" i="97"/>
  <c r="H7" i="98"/>
  <c r="C8" i="100"/>
  <c r="F33" i="100"/>
  <c r="O9" i="99"/>
  <c r="I14" i="99"/>
  <c r="I19" i="99"/>
  <c r="O24" i="99"/>
  <c r="S27" i="99"/>
  <c r="T33" i="99"/>
  <c r="L34" i="99"/>
  <c r="F38" i="99"/>
  <c r="G39" i="99"/>
  <c r="F39" i="99" s="1"/>
  <c r="U43" i="96"/>
  <c r="O44" i="96"/>
  <c r="AF59" i="96"/>
  <c r="C27" i="97"/>
  <c r="H33" i="98"/>
  <c r="AE8" i="100"/>
  <c r="L29" i="100"/>
  <c r="S30" i="100"/>
  <c r="F29" i="99"/>
  <c r="O33" i="99"/>
  <c r="O37" i="99"/>
  <c r="R37" i="99" s="1"/>
  <c r="C43" i="99"/>
  <c r="Q37" i="96"/>
  <c r="R37" i="96" s="1"/>
  <c r="AC40" i="96"/>
  <c r="AA47" i="96"/>
  <c r="E13" i="99"/>
  <c r="D44" i="99" s="1"/>
  <c r="D6" i="99" s="1"/>
  <c r="O47" i="96"/>
  <c r="K10" i="97"/>
  <c r="N50" i="97" s="1"/>
  <c r="C23" i="97"/>
  <c r="K26" i="97"/>
  <c r="U33" i="97"/>
  <c r="P34" i="97"/>
  <c r="C36" i="97"/>
  <c r="V8" i="100"/>
  <c r="T43" i="100"/>
  <c r="M12" i="99"/>
  <c r="H52" i="99"/>
  <c r="S11" i="99"/>
  <c r="C27" i="99"/>
  <c r="C30" i="99"/>
  <c r="I31" i="99"/>
  <c r="F43" i="99"/>
  <c r="P18" i="99"/>
  <c r="S18" i="99" s="1"/>
  <c r="L18" i="99"/>
  <c r="H15" i="99"/>
  <c r="H13" i="99" s="1"/>
  <c r="H6" i="99"/>
  <c r="F8" i="99"/>
  <c r="V8" i="99"/>
  <c r="V10" i="99"/>
  <c r="C24" i="99"/>
  <c r="S24" i="99"/>
  <c r="I25" i="99"/>
  <c r="L27" i="99"/>
  <c r="S29" i="99"/>
  <c r="S31" i="99"/>
  <c r="T37" i="99"/>
  <c r="T38" i="99"/>
  <c r="I40" i="99"/>
  <c r="G51" i="99"/>
  <c r="W8" i="99"/>
  <c r="I9" i="99"/>
  <c r="AE10" i="99"/>
  <c r="I11" i="99"/>
  <c r="S19" i="99"/>
  <c r="T24" i="99"/>
  <c r="J32" i="99"/>
  <c r="H51" i="99"/>
  <c r="P51" i="99"/>
  <c r="AF8" i="99"/>
  <c r="I26" i="99"/>
  <c r="Y10" i="99"/>
  <c r="M14" i="99"/>
  <c r="M62" i="99" s="1"/>
  <c r="N16" i="99"/>
  <c r="L16" i="99" s="1"/>
  <c r="S20" i="99"/>
  <c r="J51" i="99"/>
  <c r="Z8" i="99"/>
  <c r="J12" i="99"/>
  <c r="N14" i="99"/>
  <c r="C8" i="99"/>
  <c r="S10" i="99"/>
  <c r="P52" i="99"/>
  <c r="P14" i="99"/>
  <c r="I16" i="99"/>
  <c r="M51" i="99"/>
  <c r="V10" i="100"/>
  <c r="S10" i="100"/>
  <c r="I14" i="100"/>
  <c r="S8" i="100"/>
  <c r="Y8" i="100"/>
  <c r="I8" i="100"/>
  <c r="D32" i="100"/>
  <c r="M32" i="100"/>
  <c r="I19" i="100"/>
  <c r="F30" i="100"/>
  <c r="M39" i="100"/>
  <c r="L39" i="100" s="1"/>
  <c r="L8" i="100"/>
  <c r="F9" i="100"/>
  <c r="S29" i="100"/>
  <c r="M12" i="100"/>
  <c r="J15" i="100"/>
  <c r="G11" i="98"/>
  <c r="F9" i="98"/>
  <c r="C28" i="97"/>
  <c r="S35" i="97"/>
  <c r="P16" i="97"/>
  <c r="R16" i="97" s="1"/>
  <c r="F10" i="97"/>
  <c r="N60" i="97"/>
  <c r="U19" i="97"/>
  <c r="K25" i="97"/>
  <c r="C16" i="97"/>
  <c r="F34" i="97"/>
  <c r="X19" i="96"/>
  <c r="W17" i="96"/>
  <c r="E13" i="96"/>
  <c r="X13" i="96"/>
  <c r="X11" i="96" s="1"/>
  <c r="K14" i="96"/>
  <c r="L14" i="96" s="1"/>
  <c r="AC14" i="96"/>
  <c r="D16" i="96"/>
  <c r="D11" i="96" s="1"/>
  <c r="D9" i="96" s="1"/>
  <c r="F18" i="96"/>
  <c r="AC23" i="96"/>
  <c r="R24" i="96"/>
  <c r="AF25" i="96"/>
  <c r="W31" i="96"/>
  <c r="X31" i="96" s="1"/>
  <c r="W38" i="96"/>
  <c r="X38" i="96" s="1"/>
  <c r="X53" i="96"/>
  <c r="G30" i="96"/>
  <c r="E30" i="96"/>
  <c r="J38" i="96"/>
  <c r="K38" i="96" s="1"/>
  <c r="L38" i="96" s="1"/>
  <c r="I38" i="96"/>
  <c r="K40" i="96"/>
  <c r="L40" i="96" s="1"/>
  <c r="R48" i="96"/>
  <c r="Q48" i="96" s="1"/>
  <c r="O48" i="96"/>
  <c r="AC53" i="96"/>
  <c r="L48" i="96"/>
  <c r="K48" i="96"/>
  <c r="K30" i="96"/>
  <c r="R32" i="96"/>
  <c r="Q43" i="96"/>
  <c r="R43" i="96" s="1"/>
  <c r="AF56" i="96"/>
  <c r="H69" i="96"/>
  <c r="J16" i="96"/>
  <c r="J11" i="96" s="1"/>
  <c r="M34" i="96"/>
  <c r="I34" i="96"/>
  <c r="AF34" i="96"/>
  <c r="AC37" i="96"/>
  <c r="N82" i="96"/>
  <c r="N83" i="96" s="1"/>
  <c r="N84" i="96" s="1"/>
  <c r="N85" i="96" s="1"/>
  <c r="N86" i="96" s="1"/>
  <c r="U38" i="96"/>
  <c r="AF40" i="96"/>
  <c r="M47" i="96"/>
  <c r="U48" i="96"/>
  <c r="R18" i="96"/>
  <c r="K24" i="96"/>
  <c r="AD23" i="96"/>
  <c r="AC36" i="96"/>
  <c r="AD36" i="96" s="1"/>
  <c r="F41" i="96"/>
  <c r="E41" i="96"/>
  <c r="AD48" i="96"/>
  <c r="AC48" i="96" s="1"/>
  <c r="AA48" i="96"/>
  <c r="P16" i="96"/>
  <c r="P11" i="96" s="1"/>
  <c r="T17" i="96"/>
  <c r="AF24" i="96"/>
  <c r="J28" i="96"/>
  <c r="M30" i="96"/>
  <c r="K34" i="96"/>
  <c r="AF38" i="96"/>
  <c r="X39" i="96"/>
  <c r="W39" i="96" s="1"/>
  <c r="AF48" i="96"/>
  <c r="AD55" i="96"/>
  <c r="AC58" i="96"/>
  <c r="AF41" i="96"/>
  <c r="I43" i="96"/>
  <c r="AF46" i="96"/>
  <c r="C49" i="96"/>
  <c r="V49" i="96"/>
  <c r="P51" i="96"/>
  <c r="O51" i="96"/>
  <c r="Q34" i="96"/>
  <c r="Y34" i="96"/>
  <c r="X34" i="96" s="1"/>
  <c r="AF36" i="96"/>
  <c r="AC47" i="96"/>
  <c r="T58" i="96"/>
  <c r="N75" i="96"/>
  <c r="U47" i="96"/>
  <c r="AF50" i="96"/>
  <c r="AF33" i="96"/>
  <c r="AF35" i="96"/>
  <c r="O41" i="96"/>
  <c r="H49" i="96"/>
  <c r="J49" i="96" s="1"/>
  <c r="K49" i="96" s="1"/>
  <c r="L49" i="96" s="1"/>
  <c r="AA49" i="96"/>
  <c r="Z58" i="96"/>
  <c r="C9" i="95"/>
  <c r="C7" i="95"/>
  <c r="R33" i="95"/>
  <c r="Q33" i="95"/>
  <c r="K25" i="95"/>
  <c r="Q25" i="95"/>
  <c r="N32" i="95"/>
  <c r="AC11" i="95"/>
  <c r="AD11" i="95"/>
  <c r="AE36" i="95"/>
  <c r="AD36" i="95"/>
  <c r="AC36" i="95"/>
  <c r="Q10" i="95"/>
  <c r="AC10" i="95"/>
  <c r="AE25" i="95"/>
  <c r="R10" i="95"/>
  <c r="AD10" i="95"/>
  <c r="Q11" i="95"/>
  <c r="W19" i="95"/>
  <c r="AE10" i="95"/>
  <c r="V18" i="95"/>
  <c r="U18" i="95" s="1"/>
  <c r="Z18" i="95"/>
  <c r="R25" i="95"/>
  <c r="V23" i="95"/>
  <c r="U23" i="95" s="1"/>
  <c r="Z23" i="95"/>
  <c r="AF24" i="95"/>
  <c r="AE24" i="95"/>
  <c r="AD24" i="95"/>
  <c r="AC24" i="95"/>
  <c r="AD14" i="95"/>
  <c r="AC17" i="95"/>
  <c r="R20" i="95"/>
  <c r="AC20" i="95"/>
  <c r="AF21" i="95"/>
  <c r="AC22" i="95"/>
  <c r="K18" i="95"/>
  <c r="K20" i="95"/>
  <c r="W22" i="95"/>
  <c r="U22" i="95" s="1"/>
  <c r="AF25" i="95"/>
  <c r="Q26" i="95"/>
  <c r="AD26" i="95"/>
  <c r="AE13" i="95"/>
  <c r="AE26" i="95"/>
  <c r="F31" i="95"/>
  <c r="F28" i="95" s="1"/>
  <c r="AF13" i="95"/>
  <c r="AB31" i="95"/>
  <c r="AB28" i="95" s="1"/>
  <c r="AC21" i="95"/>
  <c r="Q22" i="95"/>
  <c r="Q24" i="95"/>
  <c r="H31" i="95"/>
  <c r="H28" i="95" s="1"/>
  <c r="N35" i="95"/>
  <c r="L35" i="95" s="1"/>
  <c r="AD21" i="95"/>
  <c r="C7" i="94"/>
  <c r="J9" i="94"/>
  <c r="AI8" i="94"/>
  <c r="AJ8" i="94" s="1"/>
  <c r="X14" i="94"/>
  <c r="AA16" i="94"/>
  <c r="AC16" i="94" s="1"/>
  <c r="Z24" i="94"/>
  <c r="K10" i="94"/>
  <c r="AI10" i="94"/>
  <c r="AJ10" i="94" s="1"/>
  <c r="M11" i="94"/>
  <c r="AA13" i="94"/>
  <c r="AC13" i="94" s="1"/>
  <c r="AB22" i="94"/>
  <c r="P24" i="94"/>
  <c r="Y18" i="94"/>
  <c r="M26" i="94"/>
  <c r="Z23" i="94"/>
  <c r="K25" i="94"/>
  <c r="P26" i="94"/>
  <c r="X16" i="94"/>
  <c r="M23" i="94"/>
  <c r="G27" i="93"/>
  <c r="G28" i="93" s="1"/>
  <c r="G49" i="93"/>
  <c r="G78" i="93"/>
  <c r="G96" i="93"/>
  <c r="G152" i="93"/>
  <c r="G146" i="93" s="1"/>
  <c r="K146" i="93" s="1"/>
  <c r="D12" i="93"/>
  <c r="E60" i="93"/>
  <c r="E93" i="93"/>
  <c r="E179" i="93"/>
  <c r="E173" i="93" s="1"/>
  <c r="G70" i="93"/>
  <c r="G68" i="93" s="1"/>
  <c r="E113" i="93"/>
  <c r="AC23" i="92"/>
  <c r="AB22" i="92"/>
  <c r="AB21" i="92" s="1"/>
  <c r="AJ26" i="92"/>
  <c r="AK26" i="92"/>
  <c r="AK34" i="92"/>
  <c r="AJ34" i="92"/>
  <c r="AC18" i="92"/>
  <c r="AD19" i="92"/>
  <c r="AE19" i="92" s="1"/>
  <c r="AJ30" i="92"/>
  <c r="AH28" i="92"/>
  <c r="C10" i="92"/>
  <c r="K10" i="92"/>
  <c r="K9" i="92" s="1"/>
  <c r="H13" i="92"/>
  <c r="AH14" i="92"/>
  <c r="Y15" i="92"/>
  <c r="T19" i="92"/>
  <c r="T18" i="92" s="1"/>
  <c r="AC25" i="92"/>
  <c r="AD25" i="92" s="1"/>
  <c r="AE25" i="92" s="1"/>
  <c r="AF25" i="92" s="1"/>
  <c r="AG25" i="92" s="1"/>
  <c r="AH25" i="92" s="1"/>
  <c r="AG28" i="92"/>
  <c r="H29" i="92"/>
  <c r="H28" i="92" s="1"/>
  <c r="L12" i="92"/>
  <c r="H16" i="92"/>
  <c r="H15" i="92" s="1"/>
  <c r="E34" i="92"/>
  <c r="K19" i="92"/>
  <c r="K18" i="92" s="1"/>
  <c r="S22" i="92"/>
  <c r="S21" i="92" s="1"/>
  <c r="H25" i="92"/>
  <c r="I28" i="92"/>
  <c r="O9" i="92"/>
  <c r="O8" i="92" s="1"/>
  <c r="F12" i="92"/>
  <c r="G12" i="92"/>
  <c r="H27" i="92"/>
  <c r="S18" i="92"/>
  <c r="M13" i="91"/>
  <c r="O8" i="91"/>
  <c r="V15" i="91"/>
  <c r="I19" i="91"/>
  <c r="F13" i="91"/>
  <c r="Q11" i="91"/>
  <c r="M15" i="91"/>
  <c r="U16" i="91"/>
  <c r="Q19" i="91"/>
  <c r="T19" i="91" s="1"/>
  <c r="Q10" i="91"/>
  <c r="T10" i="91" s="1"/>
  <c r="P14" i="91"/>
  <c r="O17" i="91"/>
  <c r="I10" i="91"/>
  <c r="G14" i="91"/>
  <c r="J14" i="91" s="1"/>
  <c r="G15" i="91"/>
  <c r="J15" i="91" s="1"/>
  <c r="P32" i="90"/>
  <c r="F11" i="90"/>
  <c r="Q9" i="90"/>
  <c r="I11" i="90"/>
  <c r="S22" i="90"/>
  <c r="O15" i="90"/>
  <c r="C9" i="90"/>
  <c r="S9" i="90"/>
  <c r="C11" i="90"/>
  <c r="J11" i="90"/>
  <c r="R11" i="90"/>
  <c r="D9" i="90"/>
  <c r="D8" i="90" s="1"/>
  <c r="L9" i="90"/>
  <c r="L8" i="90" s="1"/>
  <c r="T9" i="90"/>
  <c r="T8" i="90" s="1"/>
  <c r="D11" i="90"/>
  <c r="T11" i="90"/>
  <c r="Q22" i="90"/>
  <c r="E120" i="89"/>
  <c r="E126" i="89" s="1"/>
  <c r="E108" i="89"/>
  <c r="E109" i="89" s="1"/>
  <c r="C111" i="89"/>
  <c r="C61" i="89"/>
  <c r="C66" i="89" s="1"/>
  <c r="T17" i="89"/>
  <c r="I20" i="89"/>
  <c r="W23" i="89"/>
  <c r="AI90" i="89"/>
  <c r="AF99" i="89"/>
  <c r="AF102" i="89"/>
  <c r="F120" i="89"/>
  <c r="F123" i="89" s="1"/>
  <c r="F108" i="89"/>
  <c r="O120" i="89"/>
  <c r="O123" i="89" s="1"/>
  <c r="O108" i="89"/>
  <c r="Y125" i="89"/>
  <c r="AI125" i="89"/>
  <c r="D111" i="89"/>
  <c r="D61" i="89"/>
  <c r="D79" i="89" s="1"/>
  <c r="D58" i="89"/>
  <c r="D54" i="89"/>
  <c r="D56" i="89"/>
  <c r="M111" i="89"/>
  <c r="M56" i="89"/>
  <c r="AF77" i="89"/>
  <c r="AH87" i="89"/>
  <c r="AJ41" i="89"/>
  <c r="G120" i="89"/>
  <c r="G123" i="89" s="1"/>
  <c r="G108" i="89"/>
  <c r="AI122" i="89"/>
  <c r="AA188" i="89"/>
  <c r="AA124" i="89"/>
  <c r="AF125" i="89" s="1"/>
  <c r="AJ13" i="89"/>
  <c r="Q128" i="89"/>
  <c r="T127" i="89"/>
  <c r="AB14" i="89"/>
  <c r="AA15" i="89"/>
  <c r="E16" i="89"/>
  <c r="AF64" i="89"/>
  <c r="AA87" i="89"/>
  <c r="AB86" i="89"/>
  <c r="AH99" i="89"/>
  <c r="Y102" i="89"/>
  <c r="T35" i="89"/>
  <c r="Y37" i="89"/>
  <c r="Y36" i="89" s="1"/>
  <c r="H120" i="89"/>
  <c r="H129" i="89" s="1"/>
  <c r="H108" i="89"/>
  <c r="Q125" i="89"/>
  <c r="AB13" i="89"/>
  <c r="S128" i="89"/>
  <c r="F111" i="89"/>
  <c r="F58" i="89"/>
  <c r="F54" i="89"/>
  <c r="F56" i="89"/>
  <c r="F91" i="89"/>
  <c r="O58" i="89"/>
  <c r="O111" i="89"/>
  <c r="AA68" i="89"/>
  <c r="AB67" i="89"/>
  <c r="AB19" i="89"/>
  <c r="AJ19" i="89"/>
  <c r="AN19" i="89" s="1"/>
  <c r="D74" i="89"/>
  <c r="AH77" i="89"/>
  <c r="AB23" i="89"/>
  <c r="AJ23" i="89"/>
  <c r="AN23" i="89" s="1"/>
  <c r="AH96" i="89"/>
  <c r="AA81" i="89"/>
  <c r="AA99" i="89"/>
  <c r="AI99" i="89"/>
  <c r="AB101" i="89"/>
  <c r="AI102" i="89"/>
  <c r="T32" i="89"/>
  <c r="Q121" i="89"/>
  <c r="S125" i="89"/>
  <c r="Y64" i="89"/>
  <c r="AH64" i="89"/>
  <c r="AA58" i="89"/>
  <c r="AI77" i="89"/>
  <c r="F10" i="89"/>
  <c r="T13" i="89"/>
  <c r="W13" i="89" s="1"/>
  <c r="AF128" i="89"/>
  <c r="H111" i="89"/>
  <c r="H56" i="89"/>
  <c r="H54" i="89"/>
  <c r="H61" i="89"/>
  <c r="H58" i="89"/>
  <c r="AA61" i="89"/>
  <c r="AA111" i="89"/>
  <c r="I64" i="89"/>
  <c r="AA56" i="89"/>
  <c r="AA64" i="89"/>
  <c r="AI64" i="89"/>
  <c r="F74" i="89"/>
  <c r="AB22" i="89"/>
  <c r="AH93" i="89"/>
  <c r="S102" i="89"/>
  <c r="AJ33" i="89"/>
  <c r="AX33" i="89" s="1"/>
  <c r="Q38" i="89"/>
  <c r="Q36" i="89" s="1"/>
  <c r="AN44" i="89"/>
  <c r="C120" i="89"/>
  <c r="C129" i="89" s="1"/>
  <c r="C108" i="89"/>
  <c r="L108" i="89"/>
  <c r="L120" i="89"/>
  <c r="L129" i="89" s="1"/>
  <c r="T12" i="89"/>
  <c r="W12" i="89" s="1"/>
  <c r="AB17" i="89"/>
  <c r="AJ17" i="89"/>
  <c r="AN17" i="89" s="1"/>
  <c r="AA84" i="89"/>
  <c r="AB83" i="89"/>
  <c r="AB92" i="89"/>
  <c r="AA93" i="89"/>
  <c r="AI93" i="89"/>
  <c r="T28" i="89"/>
  <c r="W28" i="89" s="1"/>
  <c r="T29" i="89"/>
  <c r="AB114" i="89"/>
  <c r="D120" i="89"/>
  <c r="D126" i="89" s="1"/>
  <c r="D108" i="89"/>
  <c r="I59" i="89"/>
  <c r="M120" i="89"/>
  <c r="M123" i="89" s="1"/>
  <c r="M126" i="89"/>
  <c r="M108" i="89"/>
  <c r="S15" i="89"/>
  <c r="T15" i="89" s="1"/>
  <c r="S64" i="89"/>
  <c r="AF71" i="89"/>
  <c r="AB21" i="89"/>
  <c r="AJ21" i="89"/>
  <c r="AN21" i="89" s="1"/>
  <c r="AF87" i="89"/>
  <c r="AH90" i="89"/>
  <c r="AB25" i="89"/>
  <c r="AJ25" i="89"/>
  <c r="AN25" i="89" s="1"/>
  <c r="T27" i="89"/>
  <c r="AB32" i="89"/>
  <c r="AN46" i="89"/>
  <c r="D71" i="89"/>
  <c r="L81" i="89"/>
  <c r="L90" i="89"/>
  <c r="T89" i="89"/>
  <c r="Y96" i="89"/>
  <c r="H65" i="89"/>
  <c r="M68" i="89"/>
  <c r="O71" i="89"/>
  <c r="D93" i="89"/>
  <c r="I92" i="89"/>
  <c r="Q93" i="89"/>
  <c r="E71" i="89"/>
  <c r="L84" i="89"/>
  <c r="T83" i="89"/>
  <c r="E93" i="89"/>
  <c r="S93" i="89"/>
  <c r="Y93" i="89"/>
  <c r="L53" i="89"/>
  <c r="F71" i="89"/>
  <c r="Q81" i="89"/>
  <c r="D90" i="89"/>
  <c r="J90" i="89" s="1"/>
  <c r="I89" i="89"/>
  <c r="Q90" i="89"/>
  <c r="F93" i="89"/>
  <c r="L102" i="89"/>
  <c r="T101" i="89"/>
  <c r="AN115" i="89"/>
  <c r="AB50" i="89"/>
  <c r="E68" i="89"/>
  <c r="I67" i="89"/>
  <c r="Q68" i="89"/>
  <c r="G71" i="89"/>
  <c r="H78" i="89"/>
  <c r="Y78" i="89"/>
  <c r="D78" i="89"/>
  <c r="I86" i="89"/>
  <c r="D87" i="89"/>
  <c r="O87" i="89"/>
  <c r="E90" i="89"/>
  <c r="S90" i="89"/>
  <c r="M102" i="89"/>
  <c r="D52" i="89"/>
  <c r="E53" i="89"/>
  <c r="O65" i="89"/>
  <c r="Q65" i="89"/>
  <c r="Y68" i="89"/>
  <c r="I70" i="89"/>
  <c r="H71" i="89"/>
  <c r="I77" i="89"/>
  <c r="E87" i="89"/>
  <c r="F90" i="89"/>
  <c r="O96" i="89"/>
  <c r="U96" i="89" s="1"/>
  <c r="Q96" i="89"/>
  <c r="I48" i="89"/>
  <c r="E51" i="89"/>
  <c r="J51" i="89"/>
  <c r="T67" i="89"/>
  <c r="L78" i="89"/>
  <c r="I80" i="89"/>
  <c r="Q87" i="89"/>
  <c r="E49" i="89"/>
  <c r="J49" i="89" s="1"/>
  <c r="AA53" i="89"/>
  <c r="AB53" i="89" s="1"/>
  <c r="H68" i="89"/>
  <c r="T70" i="89"/>
  <c r="M71" i="89"/>
  <c r="E78" i="89"/>
  <c r="Q78" i="89"/>
  <c r="M96" i="89"/>
  <c r="T95" i="89"/>
  <c r="L96" i="89"/>
  <c r="I101" i="89"/>
  <c r="D102" i="89"/>
  <c r="E122" i="89"/>
  <c r="I121" i="89"/>
  <c r="M81" i="89"/>
  <c r="G93" i="89"/>
  <c r="F99" i="89"/>
  <c r="F102" i="89"/>
  <c r="E102" i="89"/>
  <c r="G81" i="89"/>
  <c r="M84" i="89"/>
  <c r="L87" i="89"/>
  <c r="T86" i="89"/>
  <c r="M90" i="89"/>
  <c r="M93" i="89"/>
  <c r="T92" i="89"/>
  <c r="I95" i="89"/>
  <c r="I114" i="89"/>
  <c r="I127" i="89"/>
  <c r="F128" i="89"/>
  <c r="O84" i="89"/>
  <c r="M87" i="89"/>
  <c r="AJ86" i="89"/>
  <c r="O90" i="89"/>
  <c r="O93" i="89"/>
  <c r="E96" i="89"/>
  <c r="I98" i="89"/>
  <c r="Q99" i="89"/>
  <c r="G128" i="89"/>
  <c r="G84" i="89"/>
  <c r="L93" i="89"/>
  <c r="F96" i="89"/>
  <c r="F103" i="89"/>
  <c r="Q139" i="89"/>
  <c r="T147" i="89"/>
  <c r="L99" i="89"/>
  <c r="H139" i="89"/>
  <c r="H151" i="89"/>
  <c r="J151" i="89" s="1"/>
  <c r="AJ92" i="89"/>
  <c r="I150" i="89"/>
  <c r="M125" i="89"/>
  <c r="O125" i="89"/>
  <c r="L151" i="89"/>
  <c r="M151" i="89"/>
  <c r="F122" i="89"/>
  <c r="C126" i="89"/>
  <c r="I124" i="89"/>
  <c r="D125" i="89"/>
  <c r="H122" i="89"/>
  <c r="E125" i="89"/>
  <c r="AN132" i="89"/>
  <c r="AN133" i="89"/>
  <c r="Y130" i="89"/>
  <c r="AA130" i="89" s="1"/>
  <c r="V137" i="89"/>
  <c r="V132" i="89"/>
  <c r="V130" i="89"/>
  <c r="V135" i="89"/>
  <c r="AN135" i="89"/>
  <c r="AN136" i="89"/>
  <c r="F125" i="89"/>
  <c r="J125" i="89" s="1"/>
  <c r="AN131" i="89"/>
  <c r="O151" i="89"/>
  <c r="L122" i="89"/>
  <c r="G148" i="89"/>
  <c r="I147" i="89"/>
  <c r="H148" i="89"/>
  <c r="Q151" i="89"/>
  <c r="AF151" i="89"/>
  <c r="C123" i="89"/>
  <c r="M122" i="89"/>
  <c r="G125" i="89"/>
  <c r="V133" i="89"/>
  <c r="AN137" i="89"/>
  <c r="L148" i="89"/>
  <c r="AH151" i="89"/>
  <c r="D128" i="89"/>
  <c r="O128" i="89"/>
  <c r="T124" i="89"/>
  <c r="F145" i="89"/>
  <c r="I153" i="89"/>
  <c r="O122" i="89"/>
  <c r="M139" i="89"/>
  <c r="Y164" i="89"/>
  <c r="Y165" i="89"/>
  <c r="Y166" i="89"/>
  <c r="Y167" i="89"/>
  <c r="Y168" i="89"/>
  <c r="Y169" i="89"/>
  <c r="Y170" i="89"/>
  <c r="Y171" i="89"/>
  <c r="BH32" i="88"/>
  <c r="K75" i="88"/>
  <c r="M159" i="88"/>
  <c r="M160" i="88" s="1"/>
  <c r="M75" i="88"/>
  <c r="M67" i="88"/>
  <c r="N159" i="88"/>
  <c r="N160" i="88" s="1"/>
  <c r="N75" i="88"/>
  <c r="AH216" i="88"/>
  <c r="AH141" i="88"/>
  <c r="T101" i="88"/>
  <c r="T112" i="88" s="1"/>
  <c r="T85" i="88"/>
  <c r="T97" i="88"/>
  <c r="F71" i="88"/>
  <c r="O158" i="88"/>
  <c r="O157" i="88"/>
  <c r="O71" i="88"/>
  <c r="X157" i="88"/>
  <c r="X74" i="88"/>
  <c r="AF203" i="88"/>
  <c r="AF158" i="88"/>
  <c r="AF157" i="88"/>
  <c r="AF74" i="88"/>
  <c r="AF71" i="88"/>
  <c r="AQ210" i="88"/>
  <c r="AO210" i="88"/>
  <c r="AQ207" i="88"/>
  <c r="AR210" i="88"/>
  <c r="AQ208" i="88"/>
  <c r="AR87" i="88"/>
  <c r="AR107" i="88"/>
  <c r="AZ107" i="88"/>
  <c r="AZ87" i="88"/>
  <c r="AH211" i="88"/>
  <c r="AH110" i="88"/>
  <c r="AH88" i="88"/>
  <c r="BC128" i="88"/>
  <c r="BC129" i="88" s="1"/>
  <c r="BC92" i="88"/>
  <c r="AR213" i="88"/>
  <c r="AQ213" i="88"/>
  <c r="AO213" i="88"/>
  <c r="AR113" i="88"/>
  <c r="AZ114" i="88" s="1"/>
  <c r="AQ214" i="88"/>
  <c r="AR135" i="88"/>
  <c r="AZ136" i="88" s="1"/>
  <c r="AD15" i="88"/>
  <c r="AW15" i="88"/>
  <c r="AD16" i="88"/>
  <c r="AZ119" i="88"/>
  <c r="C122" i="88"/>
  <c r="C90" i="88"/>
  <c r="AH227" i="88"/>
  <c r="AH122" i="88"/>
  <c r="AH90" i="88"/>
  <c r="BM27" i="88"/>
  <c r="BN27" i="88" s="1"/>
  <c r="BO27" i="88" s="1"/>
  <c r="AL27" i="88"/>
  <c r="AK27" i="88"/>
  <c r="AW27" i="88"/>
  <c r="AO163" i="88"/>
  <c r="AO125" i="88"/>
  <c r="AO79" i="88"/>
  <c r="AQ80" i="88" s="1"/>
  <c r="F181" i="88"/>
  <c r="F64" i="88"/>
  <c r="G64" i="88"/>
  <c r="V80" i="88"/>
  <c r="T80" i="88"/>
  <c r="AA87" i="88"/>
  <c r="V86" i="88"/>
  <c r="X98" i="88" s="1"/>
  <c r="BA107" i="88"/>
  <c r="BB108" i="88" s="1"/>
  <c r="D138" i="88"/>
  <c r="I17" i="88"/>
  <c r="M7" i="88"/>
  <c r="V7" i="88"/>
  <c r="H157" i="88"/>
  <c r="H71" i="88"/>
  <c r="Z158" i="88"/>
  <c r="Z203" i="88"/>
  <c r="Z157" i="88"/>
  <c r="Z74" i="88"/>
  <c r="Z71" i="88"/>
  <c r="AL10" i="88"/>
  <c r="BB107" i="88"/>
  <c r="BB87" i="88"/>
  <c r="BM10" i="88"/>
  <c r="AQ211" i="88"/>
  <c r="AR207" i="88"/>
  <c r="AR110" i="88"/>
  <c r="AR104" i="88" s="1"/>
  <c r="AZ88" i="88"/>
  <c r="C128" i="88"/>
  <c r="C92" i="88"/>
  <c r="AO92" i="88"/>
  <c r="AL13" i="88"/>
  <c r="BM13" i="88"/>
  <c r="BN13" i="88" s="1"/>
  <c r="BO13" i="88" s="1"/>
  <c r="AL14" i="88"/>
  <c r="BM14" i="88"/>
  <c r="BN14" i="88" s="1"/>
  <c r="BO14" i="88" s="1"/>
  <c r="AI15" i="88"/>
  <c r="AI16" i="88"/>
  <c r="AV19" i="88"/>
  <c r="AY19" i="88" s="1"/>
  <c r="AR220" i="88"/>
  <c r="AQ220" i="88"/>
  <c r="AO220" i="88"/>
  <c r="AR119" i="88"/>
  <c r="AD23" i="88"/>
  <c r="BF23" i="88"/>
  <c r="BE23" i="88"/>
  <c r="AV26" i="88"/>
  <c r="AY26" i="88" s="1"/>
  <c r="P122" i="88"/>
  <c r="P90" i="88"/>
  <c r="AN27" i="88"/>
  <c r="AQ163" i="88"/>
  <c r="AQ125" i="88"/>
  <c r="AS28" i="88"/>
  <c r="BA114" i="88"/>
  <c r="S157" i="88"/>
  <c r="S71" i="88"/>
  <c r="AA8" i="88"/>
  <c r="BC107" i="88"/>
  <c r="BC87" i="88"/>
  <c r="AS11" i="88"/>
  <c r="BA110" i="88"/>
  <c r="BA88" i="88"/>
  <c r="AH212" i="88"/>
  <c r="AH128" i="88"/>
  <c r="AH92" i="88"/>
  <c r="AO215" i="88"/>
  <c r="AR215" i="88"/>
  <c r="AQ215" i="88"/>
  <c r="AR216" i="88"/>
  <c r="AQ216" i="88"/>
  <c r="AO216" i="88"/>
  <c r="AR141" i="88"/>
  <c r="AD17" i="88"/>
  <c r="AQ89" i="88"/>
  <c r="AU18" i="88"/>
  <c r="BA116" i="88"/>
  <c r="BA89" i="88"/>
  <c r="AD21" i="88"/>
  <c r="AQ150" i="88"/>
  <c r="AS25" i="88"/>
  <c r="AH226" i="88"/>
  <c r="BM26" i="88"/>
  <c r="BN26" i="88" s="1"/>
  <c r="BO26" i="88" s="1"/>
  <c r="AL26" i="88"/>
  <c r="AK26" i="88"/>
  <c r="AO90" i="88"/>
  <c r="AH35" i="88"/>
  <c r="AH33" i="88" s="1"/>
  <c r="AH31" i="88" s="1"/>
  <c r="Q64" i="88"/>
  <c r="T68" i="88"/>
  <c r="T81" i="88" s="1"/>
  <c r="BA92" i="88"/>
  <c r="Z101" i="88"/>
  <c r="Z149" i="88" s="1"/>
  <c r="Z121" i="88"/>
  <c r="C116" i="88"/>
  <c r="C89" i="88"/>
  <c r="O7" i="88"/>
  <c r="S97" i="88" s="1"/>
  <c r="X7" i="88"/>
  <c r="Z66" i="88" s="1"/>
  <c r="AF7" i="88"/>
  <c r="K157" i="88"/>
  <c r="K158" i="88"/>
  <c r="K71" i="88"/>
  <c r="T157" i="88"/>
  <c r="T71" i="88"/>
  <c r="AB8" i="88"/>
  <c r="AR8" i="88"/>
  <c r="AR71" i="88" s="1"/>
  <c r="O9" i="88"/>
  <c r="P9" i="88" s="1"/>
  <c r="X9" i="88"/>
  <c r="AF9" i="88"/>
  <c r="AN10" i="88"/>
  <c r="AL11" i="88"/>
  <c r="BB110" i="88"/>
  <c r="BB88" i="88"/>
  <c r="P128" i="88"/>
  <c r="AD128" i="88" s="1"/>
  <c r="P92" i="88"/>
  <c r="AI12" i="88"/>
  <c r="AQ128" i="88"/>
  <c r="AQ92" i="88"/>
  <c r="AN13" i="88"/>
  <c r="AN14" i="88"/>
  <c r="BD136" i="88"/>
  <c r="AK15" i="88"/>
  <c r="AS15" i="88"/>
  <c r="BM15" i="88"/>
  <c r="BN15" i="88" s="1"/>
  <c r="BO15" i="88" s="1"/>
  <c r="AK16" i="88"/>
  <c r="BA142" i="88"/>
  <c r="AQ218" i="88"/>
  <c r="AO218" i="88"/>
  <c r="AR218" i="88"/>
  <c r="AR116" i="88"/>
  <c r="AR89" i="88"/>
  <c r="BB116" i="88"/>
  <c r="BB89" i="88"/>
  <c r="BD120" i="88"/>
  <c r="AQ147" i="88"/>
  <c r="BB153" i="88"/>
  <c r="AU27" i="88"/>
  <c r="BD125" i="88"/>
  <c r="BD79" i="88"/>
  <c r="P110" i="88"/>
  <c r="P88" i="88"/>
  <c r="AQ119" i="88"/>
  <c r="AQ120" i="88" s="1"/>
  <c r="AU20" i="88"/>
  <c r="Y7" i="88"/>
  <c r="AG7" i="88"/>
  <c r="C8" i="88"/>
  <c r="C9" i="88" s="1"/>
  <c r="C75" i="88" s="1"/>
  <c r="L157" i="88"/>
  <c r="L158" i="88"/>
  <c r="L71" i="88"/>
  <c r="C87" i="88"/>
  <c r="C107" i="88"/>
  <c r="C104" i="88" s="1"/>
  <c r="AO107" i="88"/>
  <c r="BE10" i="88"/>
  <c r="BH10" i="88" s="1"/>
  <c r="AU11" i="88"/>
  <c r="BC110" i="88"/>
  <c r="BC88" i="88"/>
  <c r="AR212" i="88"/>
  <c r="AQ212" i="88"/>
  <c r="AO212" i="88"/>
  <c r="AR92" i="88"/>
  <c r="AZ128" i="88"/>
  <c r="AZ92" i="88"/>
  <c r="BE14" i="88"/>
  <c r="BQ14" i="88"/>
  <c r="BQ16" i="88" s="1"/>
  <c r="AL15" i="88"/>
  <c r="AL16" i="88"/>
  <c r="BM16" i="88"/>
  <c r="BN16" i="88" s="1"/>
  <c r="BO16" i="88" s="1"/>
  <c r="AZ138" i="88"/>
  <c r="BF17" i="88"/>
  <c r="AZ144" i="88"/>
  <c r="BA145" i="88" s="1"/>
  <c r="BF19" i="88"/>
  <c r="AV20" i="88"/>
  <c r="AY20" i="88" s="1"/>
  <c r="AQ221" i="88"/>
  <c r="AO221" i="88"/>
  <c r="AR221" i="88"/>
  <c r="AR147" i="88"/>
  <c r="BC153" i="88"/>
  <c r="AQ122" i="88"/>
  <c r="AQ90" i="88"/>
  <c r="AS27" i="88"/>
  <c r="C125" i="88"/>
  <c r="C163" i="88"/>
  <c r="C79" i="88"/>
  <c r="AH163" i="88"/>
  <c r="AH164" i="88" s="1"/>
  <c r="AH125" i="88"/>
  <c r="AH126" i="88" s="1"/>
  <c r="AH79" i="88"/>
  <c r="AH80" i="88" s="1"/>
  <c r="AK28" i="88"/>
  <c r="K32" i="88"/>
  <c r="AC32" i="88"/>
  <c r="X71" i="88"/>
  <c r="X100" i="88"/>
  <c r="AA92" i="88"/>
  <c r="AQ110" i="88"/>
  <c r="L101" i="88"/>
  <c r="L152" i="88" s="1"/>
  <c r="L85" i="88"/>
  <c r="L94" i="88" s="1"/>
  <c r="L65" i="88"/>
  <c r="L68" i="88"/>
  <c r="BL55" i="88"/>
  <c r="BL56" i="88" s="1"/>
  <c r="H101" i="88"/>
  <c r="Z65" i="88"/>
  <c r="Z85" i="88"/>
  <c r="Z96" i="88" s="1"/>
  <c r="Z50" i="88"/>
  <c r="Z68" i="88"/>
  <c r="D8" i="88"/>
  <c r="M158" i="88"/>
  <c r="M157" i="88"/>
  <c r="M71" i="88"/>
  <c r="V157" i="88"/>
  <c r="V71" i="88"/>
  <c r="V72" i="88" s="1"/>
  <c r="AH210" i="88"/>
  <c r="AH107" i="88"/>
  <c r="AH87" i="88"/>
  <c r="BF10" i="88"/>
  <c r="AV11" i="88"/>
  <c r="AY11" i="88" s="1"/>
  <c r="AS12" i="88"/>
  <c r="AH213" i="88"/>
  <c r="AH113" i="88"/>
  <c r="AO114" i="88" s="1"/>
  <c r="AH214" i="88"/>
  <c r="AH135" i="88"/>
  <c r="AH136" i="88" s="1"/>
  <c r="BF14" i="88"/>
  <c r="AR217" i="88"/>
  <c r="AQ217" i="88"/>
  <c r="AO217" i="88"/>
  <c r="AR138" i="88"/>
  <c r="AQ144" i="88"/>
  <c r="AU19" i="88"/>
  <c r="AW20" i="88"/>
  <c r="AR223" i="88"/>
  <c r="AQ223" i="88"/>
  <c r="AO223" i="88"/>
  <c r="AR153" i="88"/>
  <c r="AH225" i="88"/>
  <c r="AH150" i="88"/>
  <c r="AH151" i="88" s="1"/>
  <c r="BM25" i="88"/>
  <c r="BN25" i="88" s="1"/>
  <c r="BO25" i="88" s="1"/>
  <c r="AL25" i="88"/>
  <c r="AK25" i="88"/>
  <c r="AW25" i="88"/>
  <c r="BE25" i="88"/>
  <c r="AQ116" i="88"/>
  <c r="L159" i="88"/>
  <c r="L160" i="88" s="1"/>
  <c r="L75" i="88"/>
  <c r="L77" i="88" s="1"/>
  <c r="BD92" i="88"/>
  <c r="AO116" i="88"/>
  <c r="S101" i="88"/>
  <c r="S112" i="88" s="1"/>
  <c r="S65" i="88"/>
  <c r="N158" i="88"/>
  <c r="N157" i="88"/>
  <c r="N71" i="88"/>
  <c r="BC8" i="88"/>
  <c r="BC7" i="88" s="1"/>
  <c r="BC170" i="88" s="1"/>
  <c r="S9" i="88"/>
  <c r="P107" i="88"/>
  <c r="P87" i="88"/>
  <c r="AI10" i="88"/>
  <c r="AQ107" i="88"/>
  <c r="AQ87" i="88"/>
  <c r="C110" i="88"/>
  <c r="C88" i="88"/>
  <c r="AD11" i="88"/>
  <c r="AO88" i="88"/>
  <c r="AO110" i="88"/>
  <c r="AW11" i="88"/>
  <c r="BE11" i="88"/>
  <c r="AL12" i="88"/>
  <c r="BB128" i="88"/>
  <c r="BB92" i="88"/>
  <c r="BM12" i="88"/>
  <c r="BN12" i="88" s="1"/>
  <c r="BO12" i="88" s="1"/>
  <c r="AI13" i="88"/>
  <c r="AQ114" i="88"/>
  <c r="AI14" i="88"/>
  <c r="AN15" i="88"/>
  <c r="AV15" i="88"/>
  <c r="AN16" i="88"/>
  <c r="AV16" i="88"/>
  <c r="AV18" i="88"/>
  <c r="BE18" i="88"/>
  <c r="AR219" i="88"/>
  <c r="AQ219" i="88"/>
  <c r="AO219" i="88"/>
  <c r="AR144" i="88"/>
  <c r="AQ222" i="88"/>
  <c r="AO222" i="88"/>
  <c r="AS23" i="88"/>
  <c r="AI25" i="88"/>
  <c r="BF25" i="88"/>
  <c r="AU26" i="88"/>
  <c r="AD27" i="88"/>
  <c r="AV27" i="88"/>
  <c r="AY27" i="88" s="1"/>
  <c r="BD122" i="88"/>
  <c r="BD90" i="88"/>
  <c r="P125" i="88"/>
  <c r="AD125" i="88" s="1"/>
  <c r="T65" i="88"/>
  <c r="S80" i="88"/>
  <c r="AA79" i="88"/>
  <c r="BD88" i="88"/>
  <c r="S111" i="88"/>
  <c r="AA110" i="88"/>
  <c r="AD110" i="88" s="1"/>
  <c r="P116" i="88"/>
  <c r="BC116" i="88"/>
  <c r="BC89" i="88"/>
  <c r="BC145" i="88"/>
  <c r="BC120" i="88"/>
  <c r="AR225" i="88"/>
  <c r="AQ225" i="88"/>
  <c r="AO225" i="88"/>
  <c r="AR150" i="88"/>
  <c r="AZ151" i="88" s="1"/>
  <c r="AR226" i="88"/>
  <c r="AQ226" i="88"/>
  <c r="AO226" i="88"/>
  <c r="AQ227" i="88"/>
  <c r="AO227" i="88"/>
  <c r="AR227" i="88"/>
  <c r="AR122" i="88"/>
  <c r="AR90" i="88"/>
  <c r="AZ122" i="88"/>
  <c r="AZ90" i="88"/>
  <c r="AR228" i="88"/>
  <c r="AO228" i="88"/>
  <c r="AR163" i="88"/>
  <c r="AR125" i="88"/>
  <c r="AR79" i="88"/>
  <c r="AF86" i="88"/>
  <c r="L98" i="88"/>
  <c r="Z98" i="88"/>
  <c r="N100" i="88"/>
  <c r="Z100" i="88"/>
  <c r="BA151" i="88"/>
  <c r="BA122" i="88"/>
  <c r="BB123" i="88" s="1"/>
  <c r="BA90" i="88"/>
  <c r="BA125" i="88"/>
  <c r="BA126" i="88" s="1"/>
  <c r="BA79" i="88"/>
  <c r="BA80" i="88" s="1"/>
  <c r="Z34" i="88"/>
  <c r="AC34" i="88" s="1"/>
  <c r="Q92" i="88"/>
  <c r="O100" i="88"/>
  <c r="O120" i="88"/>
  <c r="N120" i="88"/>
  <c r="AH119" i="88"/>
  <c r="AF123" i="88"/>
  <c r="AH223" i="88"/>
  <c r="AH153" i="88"/>
  <c r="AH154" i="88" s="1"/>
  <c r="AQ224" i="88"/>
  <c r="AO224" i="88"/>
  <c r="AR224" i="88"/>
  <c r="BB151" i="88"/>
  <c r="BB125" i="88"/>
  <c r="BB79" i="88"/>
  <c r="AX35" i="88"/>
  <c r="BB35" i="88" s="1"/>
  <c r="AV35" i="88"/>
  <c r="AU35" i="88"/>
  <c r="AU33" i="88" s="1"/>
  <c r="AH217" i="88"/>
  <c r="AH138" i="88"/>
  <c r="AH218" i="88"/>
  <c r="AH167" i="88"/>
  <c r="AH178" i="88" s="1"/>
  <c r="AH116" i="88"/>
  <c r="AH117" i="88" s="1"/>
  <c r="AH89" i="88"/>
  <c r="AH219" i="88"/>
  <c r="AH144" i="88"/>
  <c r="AH145" i="88" s="1"/>
  <c r="AH221" i="88"/>
  <c r="AH147" i="88"/>
  <c r="P153" i="88"/>
  <c r="AQ153" i="88"/>
  <c r="AK24" i="88"/>
  <c r="BC151" i="88"/>
  <c r="BC122" i="88"/>
  <c r="BC90" i="88"/>
  <c r="BC125" i="88"/>
  <c r="BC79" i="88"/>
  <c r="AP33" i="88"/>
  <c r="AP31" i="88" s="1"/>
  <c r="AE50" i="88"/>
  <c r="K114" i="88"/>
  <c r="M108" i="88"/>
  <c r="M104" i="88"/>
  <c r="Z172" i="88"/>
  <c r="Z166" i="88" s="1"/>
  <c r="Z165" i="88" s="1"/>
  <c r="Z171" i="88"/>
  <c r="H33" i="88"/>
  <c r="K33" i="88"/>
  <c r="L33" i="88" s="1"/>
  <c r="K35" i="88"/>
  <c r="L35" i="88" s="1"/>
  <c r="AV58" i="88"/>
  <c r="AY58" i="88"/>
  <c r="AV61" i="88"/>
  <c r="AY61" i="88" s="1"/>
  <c r="P82" i="88"/>
  <c r="M98" i="88"/>
  <c r="N108" i="88"/>
  <c r="AF104" i="88"/>
  <c r="Q89" i="88"/>
  <c r="L118" i="88"/>
  <c r="L117" i="88"/>
  <c r="Q117" i="88" s="1"/>
  <c r="V117" i="88"/>
  <c r="BD168" i="88"/>
  <c r="BE167" i="88"/>
  <c r="BD49" i="88"/>
  <c r="BD166" i="88"/>
  <c r="BD165" i="88" s="1"/>
  <c r="BD193" i="88" s="1"/>
  <c r="AF80" i="88"/>
  <c r="O86" i="88"/>
  <c r="S98" i="88" s="1"/>
  <c r="AB98" i="88" s="1"/>
  <c r="Q88" i="88"/>
  <c r="AA89" i="88"/>
  <c r="AD89" i="88" s="1"/>
  <c r="S86" i="88"/>
  <c r="L111" i="88"/>
  <c r="L104" i="88"/>
  <c r="L131" i="88" s="1"/>
  <c r="M111" i="88"/>
  <c r="AF111" i="88"/>
  <c r="Z111" i="88"/>
  <c r="AY60" i="88"/>
  <c r="BL63" i="88"/>
  <c r="BL64" i="88" s="1"/>
  <c r="Z64" i="88"/>
  <c r="AB64" i="88" s="1"/>
  <c r="AA88" i="88"/>
  <c r="V114" i="88"/>
  <c r="X114" i="88"/>
  <c r="AF117" i="88"/>
  <c r="D181" i="88"/>
  <c r="P79" i="88"/>
  <c r="S104" i="88"/>
  <c r="T105" i="88" s="1"/>
  <c r="O108" i="88"/>
  <c r="O104" i="88"/>
  <c r="N111" i="88"/>
  <c r="Z120" i="88"/>
  <c r="N126" i="88"/>
  <c r="O126" i="88"/>
  <c r="AF126" i="88"/>
  <c r="K129" i="88"/>
  <c r="AF148" i="88"/>
  <c r="S108" i="88"/>
  <c r="AA113" i="88"/>
  <c r="M120" i="88"/>
  <c r="L137" i="88"/>
  <c r="S100" i="88"/>
  <c r="T111" i="88"/>
  <c r="V111" i="88"/>
  <c r="O114" i="88"/>
  <c r="T120" i="88"/>
  <c r="Z139" i="88"/>
  <c r="AA138" i="88"/>
  <c r="AD138" i="88" s="1"/>
  <c r="AF139" i="88"/>
  <c r="T100" i="88"/>
  <c r="S114" i="88"/>
  <c r="S120" i="88"/>
  <c r="AA119" i="88"/>
  <c r="O123" i="88"/>
  <c r="Z108" i="88"/>
  <c r="S123" i="88"/>
  <c r="AA122" i="88"/>
  <c r="AD122" i="88" s="1"/>
  <c r="V145" i="88"/>
  <c r="Z151" i="88"/>
  <c r="AG165" i="88"/>
  <c r="AG193" i="88" s="1"/>
  <c r="AG195" i="88"/>
  <c r="BA171" i="88"/>
  <c r="BA172" i="88"/>
  <c r="BE172" i="88" s="1"/>
  <c r="AA116" i="88"/>
  <c r="Z126" i="88"/>
  <c r="T129" i="88"/>
  <c r="AA128" i="88"/>
  <c r="X117" i="88"/>
  <c r="M129" i="88"/>
  <c r="L129" i="88"/>
  <c r="AF129" i="88"/>
  <c r="X108" i="88"/>
  <c r="AF114" i="88"/>
  <c r="S126" i="88"/>
  <c r="T126" i="88"/>
  <c r="Z129" i="88"/>
  <c r="L142" i="88"/>
  <c r="V129" i="88"/>
  <c r="V142" i="88"/>
  <c r="AA141" i="88"/>
  <c r="L108" i="88"/>
  <c r="L123" i="88"/>
  <c r="Q123" i="88" s="1"/>
  <c r="N139" i="88"/>
  <c r="O139" i="88"/>
  <c r="AF142" i="88"/>
  <c r="L145" i="88"/>
  <c r="O148" i="88"/>
  <c r="X123" i="88"/>
  <c r="Z123" i="88"/>
  <c r="N129" i="88"/>
  <c r="N136" i="88"/>
  <c r="S148" i="88"/>
  <c r="T148" i="88"/>
  <c r="L136" i="88"/>
  <c r="X136" i="88"/>
  <c r="K142" i="88"/>
  <c r="T142" i="88"/>
  <c r="X145" i="88"/>
  <c r="N145" i="88"/>
  <c r="L154" i="88"/>
  <c r="Q154" i="88" s="1"/>
  <c r="L155" i="88"/>
  <c r="S180" i="88"/>
  <c r="L126" i="88"/>
  <c r="X126" i="88"/>
  <c r="S129" i="88"/>
  <c r="O136" i="88"/>
  <c r="AF136" i="88"/>
  <c r="AF145" i="88"/>
  <c r="Z145" i="88"/>
  <c r="M126" i="88"/>
  <c r="O142" i="88"/>
  <c r="M142" i="88"/>
  <c r="X148" i="88"/>
  <c r="Z204" i="88"/>
  <c r="Z200" i="88"/>
  <c r="Z178" i="88"/>
  <c r="Z169" i="88"/>
  <c r="AF168" i="88"/>
  <c r="Z170" i="88"/>
  <c r="Z168" i="88"/>
  <c r="AA167" i="88"/>
  <c r="AR178" i="88"/>
  <c r="AR180" i="88" s="1"/>
  <c r="AR168" i="88"/>
  <c r="AR169" i="88"/>
  <c r="AZ168" i="88"/>
  <c r="S136" i="88"/>
  <c r="AA144" i="88"/>
  <c r="T145" i="88"/>
  <c r="M148" i="88"/>
  <c r="M154" i="88"/>
  <c r="N164" i="88"/>
  <c r="AQ178" i="88"/>
  <c r="AQ180" i="88" s="1"/>
  <c r="AQ169" i="88"/>
  <c r="AV177" i="88"/>
  <c r="AR185" i="88"/>
  <c r="AR188" i="88" s="1"/>
  <c r="K189" i="88"/>
  <c r="K190" i="88"/>
  <c r="P176" i="88"/>
  <c r="E190" i="88"/>
  <c r="O190" i="88"/>
  <c r="O189" i="88"/>
  <c r="AF188" i="88"/>
  <c r="AA153" i="88"/>
  <c r="AV161" i="88"/>
  <c r="P163" i="88"/>
  <c r="K164" i="88"/>
  <c r="Y166" i="88"/>
  <c r="Q168" i="88"/>
  <c r="X168" i="88"/>
  <c r="X170" i="88"/>
  <c r="H171" i="88"/>
  <c r="O173" i="88"/>
  <c r="O172" i="88"/>
  <c r="O171" i="88" s="1"/>
  <c r="W199" i="88"/>
  <c r="AV175" i="88"/>
  <c r="F190" i="88"/>
  <c r="S190" i="88"/>
  <c r="AE204" i="88"/>
  <c r="AZ166" i="88"/>
  <c r="AZ165" i="88" s="1"/>
  <c r="AZ193" i="88" s="1"/>
  <c r="AQ172" i="88"/>
  <c r="AQ166" i="88" s="1"/>
  <c r="AQ165" i="88" s="1"/>
  <c r="AQ193" i="88" s="1"/>
  <c r="AQ171" i="88"/>
  <c r="BE175" i="88"/>
  <c r="BH175" i="88" s="1"/>
  <c r="AV176" i="88"/>
  <c r="G190" i="88"/>
  <c r="T189" i="88"/>
  <c r="T190" i="88"/>
  <c r="W197" i="88"/>
  <c r="AE165" i="88"/>
  <c r="AE193" i="88" s="1"/>
  <c r="P169" i="88"/>
  <c r="AF170" i="88"/>
  <c r="AV173" i="88"/>
  <c r="V189" i="88"/>
  <c r="V190" i="88"/>
  <c r="O145" i="88"/>
  <c r="L148" i="88"/>
  <c r="X204" i="88"/>
  <c r="X205" i="88" s="1"/>
  <c r="X200" i="88"/>
  <c r="X178" i="88"/>
  <c r="X180" i="88" s="1"/>
  <c r="M172" i="88"/>
  <c r="S172" i="88"/>
  <c r="S171" i="88"/>
  <c r="AA175" i="88"/>
  <c r="Z148" i="88"/>
  <c r="AF151" i="88"/>
  <c r="AQ168" i="88"/>
  <c r="BE173" i="88"/>
  <c r="AF166" i="88"/>
  <c r="AF165" i="88" s="1"/>
  <c r="AR171" i="88"/>
  <c r="AR172" i="88"/>
  <c r="X174" i="88"/>
  <c r="AA174" i="88" s="1"/>
  <c r="AA182" i="88"/>
  <c r="AQ185" i="88"/>
  <c r="AQ188" i="88" s="1"/>
  <c r="AF178" i="88"/>
  <c r="M180" i="88"/>
  <c r="AF200" i="88"/>
  <c r="N180" i="88"/>
  <c r="AA185" i="88"/>
  <c r="AF204" i="88"/>
  <c r="AO185" i="88"/>
  <c r="AO188" i="88" s="1"/>
  <c r="F15" i="87"/>
  <c r="M21" i="87"/>
  <c r="J9" i="87"/>
  <c r="J8" i="87" s="1"/>
  <c r="J7" i="87" s="1"/>
  <c r="X9" i="87"/>
  <c r="H21" i="87"/>
  <c r="Y9" i="87"/>
  <c r="AM10" i="87"/>
  <c r="AE10" i="87"/>
  <c r="AH9" i="87"/>
  <c r="N72" i="87"/>
  <c r="N73" i="87" s="1"/>
  <c r="N45" i="87"/>
  <c r="K45" i="87" s="1"/>
  <c r="N68" i="87"/>
  <c r="K10" i="87"/>
  <c r="N9" i="87"/>
  <c r="P12" i="87"/>
  <c r="AC9" i="87"/>
  <c r="S48" i="87"/>
  <c r="P11" i="87"/>
  <c r="S9" i="87"/>
  <c r="S49" i="87"/>
  <c r="T48" i="87"/>
  <c r="S53" i="87"/>
  <c r="N17" i="87"/>
  <c r="N14" i="87" s="1"/>
  <c r="AD17" i="87"/>
  <c r="AD14" i="87" s="1"/>
  <c r="S55" i="87"/>
  <c r="H19" i="87"/>
  <c r="P19" i="87"/>
  <c r="R19" i="87" s="1"/>
  <c r="AN19" i="87"/>
  <c r="AS19" i="87" s="1"/>
  <c r="AM21" i="87"/>
  <c r="AR21" i="87" s="1"/>
  <c r="AS30" i="87"/>
  <c r="AX30" i="87" s="1"/>
  <c r="BC30" i="87" s="1"/>
  <c r="AJ30" i="87"/>
  <c r="AL30" i="87" s="1"/>
  <c r="X47" i="87"/>
  <c r="H24" i="87"/>
  <c r="AM20" i="87"/>
  <c r="AR20" i="87" s="1"/>
  <c r="AW20" i="87" s="1"/>
  <c r="BB20" i="87" s="1"/>
  <c r="AE20" i="87"/>
  <c r="H26" i="87"/>
  <c r="AE16" i="87"/>
  <c r="AH17" i="87"/>
  <c r="AH14" i="87" s="1"/>
  <c r="AE18" i="87"/>
  <c r="S17" i="87"/>
  <c r="S14" i="87" s="1"/>
  <c r="AI17" i="87"/>
  <c r="AI14" i="87" s="1"/>
  <c r="P18" i="87"/>
  <c r="S59" i="87"/>
  <c r="P22" i="87"/>
  <c r="R22" i="87" s="1"/>
  <c r="K47" i="87"/>
  <c r="AR29" i="87"/>
  <c r="K49" i="87"/>
  <c r="S58" i="87"/>
  <c r="P21" i="87"/>
  <c r="R21" i="87" s="1"/>
  <c r="AE24" i="87"/>
  <c r="H29" i="87"/>
  <c r="S34" i="87"/>
  <c r="U36" i="87"/>
  <c r="AE36" i="87"/>
  <c r="AJ36" i="87" s="1"/>
  <c r="AM36" i="87" s="1"/>
  <c r="X50" i="87"/>
  <c r="S65" i="87"/>
  <c r="S72" i="87"/>
  <c r="T34" i="87"/>
  <c r="T69" i="87" s="1"/>
  <c r="Y49" i="87"/>
  <c r="N62" i="87"/>
  <c r="U108" i="87"/>
  <c r="AE30" i="87"/>
  <c r="AW30" i="87"/>
  <c r="S62" i="87"/>
  <c r="AE25" i="87"/>
  <c r="U35" i="87"/>
  <c r="AE35" i="87"/>
  <c r="P36" i="87"/>
  <c r="N63" i="87"/>
  <c r="S68" i="87"/>
  <c r="U116" i="87"/>
  <c r="AE28" i="87"/>
  <c r="C107" i="87"/>
  <c r="AE29" i="87"/>
  <c r="AI12" i="86"/>
  <c r="AJ12" i="86" s="1"/>
  <c r="AU12" i="86"/>
  <c r="AV12" i="86"/>
  <c r="E16" i="86"/>
  <c r="F16" i="86" s="1"/>
  <c r="D11" i="86"/>
  <c r="D9" i="86" s="1"/>
  <c r="BA13" i="86"/>
  <c r="AX11" i="86"/>
  <c r="BB13" i="86"/>
  <c r="BB11" i="86" s="1"/>
  <c r="F18" i="86"/>
  <c r="F17" i="86" s="1"/>
  <c r="R38" i="86"/>
  <c r="BH14" i="86"/>
  <c r="BG14" i="86"/>
  <c r="BG11" i="86" s="1"/>
  <c r="W15" i="86"/>
  <c r="L17" i="86"/>
  <c r="AJ19" i="86"/>
  <c r="AJ17" i="86" s="1"/>
  <c r="AI17" i="86"/>
  <c r="BN28" i="86"/>
  <c r="X12" i="86"/>
  <c r="X18" i="86"/>
  <c r="AP13" i="86"/>
  <c r="AL11" i="86"/>
  <c r="BN13" i="86"/>
  <c r="L15" i="86"/>
  <c r="AO23" i="86"/>
  <c r="L73" i="86"/>
  <c r="C11" i="86"/>
  <c r="I11" i="86" s="1"/>
  <c r="E12" i="86"/>
  <c r="W13" i="86"/>
  <c r="X13" i="86" s="1"/>
  <c r="AD17" i="86"/>
  <c r="AJ26" i="86"/>
  <c r="AJ23" i="86" s="1"/>
  <c r="AX17" i="86"/>
  <c r="BM18" i="86"/>
  <c r="BM17" i="86" s="1"/>
  <c r="BN19" i="86"/>
  <c r="U20" i="86"/>
  <c r="K24" i="86"/>
  <c r="K23" i="86" s="1"/>
  <c r="AP24" i="86"/>
  <c r="BG24" i="86"/>
  <c r="AP25" i="86"/>
  <c r="BG25" i="86"/>
  <c r="BG23" i="86" s="1"/>
  <c r="AX28" i="86"/>
  <c r="BO29" i="86"/>
  <c r="BO28" i="86" s="1"/>
  <c r="Y30" i="86"/>
  <c r="BA30" i="86"/>
  <c r="U32" i="86"/>
  <c r="AC33" i="86"/>
  <c r="AD33" i="86" s="1"/>
  <c r="O34" i="86"/>
  <c r="W34" i="86"/>
  <c r="AM34" i="86"/>
  <c r="AY34" i="86"/>
  <c r="BI34" i="86"/>
  <c r="BH34" i="86" s="1"/>
  <c r="AX50" i="86"/>
  <c r="AZ50" i="86" s="1"/>
  <c r="AT50" i="86"/>
  <c r="C17" i="86"/>
  <c r="I17" i="86" s="1"/>
  <c r="K17" i="86"/>
  <c r="BN18" i="86"/>
  <c r="BD23" i="86"/>
  <c r="AK29" i="86"/>
  <c r="W48" i="86"/>
  <c r="X70" i="86"/>
  <c r="T53" i="86"/>
  <c r="AC30" i="86"/>
  <c r="AD30" i="86" s="1"/>
  <c r="AO30" i="86"/>
  <c r="Q34" i="86"/>
  <c r="Y34" i="86"/>
  <c r="X34" i="86" s="1"/>
  <c r="AG34" i="86"/>
  <c r="AA38" i="86"/>
  <c r="AT38" i="86"/>
  <c r="AU38" i="86" s="1"/>
  <c r="AV38" i="86" s="1"/>
  <c r="BE39" i="86"/>
  <c r="BK41" i="86"/>
  <c r="BO41" i="86"/>
  <c r="AA44" i="86"/>
  <c r="AC44" i="86"/>
  <c r="AD44" i="86" s="1"/>
  <c r="AJ53" i="86"/>
  <c r="AO19" i="86"/>
  <c r="U21" i="86"/>
  <c r="BA21" i="86"/>
  <c r="AV24" i="86"/>
  <c r="AV23" i="86" s="1"/>
  <c r="BM24" i="86"/>
  <c r="BM25" i="86"/>
  <c r="E28" i="86"/>
  <c r="AC29" i="86"/>
  <c r="AO29" i="86"/>
  <c r="S36" i="86"/>
  <c r="R36" i="86" s="1"/>
  <c r="AB38" i="86"/>
  <c r="AB9" i="86" s="1"/>
  <c r="X39" i="86"/>
  <c r="W39" i="86" s="1"/>
  <c r="AS39" i="86"/>
  <c r="BM41" i="86"/>
  <c r="AA42" i="86"/>
  <c r="AG43" i="86"/>
  <c r="AH43" i="86" s="1"/>
  <c r="AI43" i="86" s="1"/>
  <c r="AJ43" i="86" s="1"/>
  <c r="U58" i="86"/>
  <c r="N88" i="86"/>
  <c r="AL17" i="86"/>
  <c r="BN24" i="86"/>
  <c r="BN23" i="86" s="1"/>
  <c r="BJ28" i="86"/>
  <c r="S34" i="86"/>
  <c r="AA34" i="86"/>
  <c r="AI34" i="86"/>
  <c r="AJ34" i="86" s="1"/>
  <c r="AA41" i="86"/>
  <c r="AE41" i="86"/>
  <c r="AC41" i="86"/>
  <c r="T23" i="86"/>
  <c r="U38" i="86"/>
  <c r="AA39" i="86"/>
  <c r="AO43" i="86"/>
  <c r="AS37" i="86"/>
  <c r="O40" i="86"/>
  <c r="N77" i="86"/>
  <c r="AM40" i="86"/>
  <c r="AS40" i="86"/>
  <c r="AW40" i="86" s="1"/>
  <c r="AX56" i="86"/>
  <c r="BB56" i="86" s="1"/>
  <c r="AV56" i="86"/>
  <c r="Q17" i="86"/>
  <c r="AL23" i="86"/>
  <c r="AD39" i="86"/>
  <c r="AC39" i="86" s="1"/>
  <c r="Q40" i="86"/>
  <c r="R40" i="86" s="1"/>
  <c r="L53" i="86"/>
  <c r="L52" i="86" s="1"/>
  <c r="BE41" i="86"/>
  <c r="AO44" i="86"/>
  <c r="AP44" i="86" s="1"/>
  <c r="BA44" i="86"/>
  <c r="BB44" i="86" s="1"/>
  <c r="BM44" i="86"/>
  <c r="BN44" i="86" s="1"/>
  <c r="AC46" i="86"/>
  <c r="AD46" i="86" s="1"/>
  <c r="BE47" i="86"/>
  <c r="I49" i="86"/>
  <c r="AL49" i="86"/>
  <c r="H52" i="86"/>
  <c r="I52" i="86" s="1"/>
  <c r="AP53" i="86"/>
  <c r="AQ54" i="86"/>
  <c r="AQ52" i="86" s="1"/>
  <c r="K55" i="86"/>
  <c r="L55" i="86" s="1"/>
  <c r="R56" i="86"/>
  <c r="AW41" i="86"/>
  <c r="O45" i="86"/>
  <c r="AA45" i="86"/>
  <c r="AM45" i="86"/>
  <c r="AY45" i="86"/>
  <c r="BK45" i="86"/>
  <c r="AC47" i="86"/>
  <c r="AM47" i="86"/>
  <c r="AD48" i="86"/>
  <c r="AC48" i="86" s="1"/>
  <c r="AP48" i="86"/>
  <c r="AO48" i="86" s="1"/>
  <c r="BB48" i="86"/>
  <c r="BA48" i="86" s="1"/>
  <c r="BN48" i="86"/>
  <c r="BM48" i="86" s="1"/>
  <c r="T49" i="86"/>
  <c r="O51" i="86"/>
  <c r="Y54" i="86"/>
  <c r="Y52" i="86" s="1"/>
  <c r="U41" i="86"/>
  <c r="AO45" i="86"/>
  <c r="AP45" i="86" s="1"/>
  <c r="BA45" i="86"/>
  <c r="BB45" i="86" s="1"/>
  <c r="U47" i="86"/>
  <c r="AE47" i="86"/>
  <c r="Q53" i="86"/>
  <c r="U43" i="86"/>
  <c r="AS43" i="86"/>
  <c r="AT43" i="86" s="1"/>
  <c r="U44" i="86"/>
  <c r="U46" i="86"/>
  <c r="AO47" i="86"/>
  <c r="AY47" i="86"/>
  <c r="U48" i="86"/>
  <c r="AG48" i="86"/>
  <c r="AN50" i="86"/>
  <c r="U51" i="86"/>
  <c r="AK54" i="86"/>
  <c r="AK52" i="86" s="1"/>
  <c r="AC55" i="86"/>
  <c r="Z55" i="86" s="1"/>
  <c r="W47" i="86"/>
  <c r="AG47" i="86"/>
  <c r="I48" i="86"/>
  <c r="U50" i="86"/>
  <c r="AT51" i="86"/>
  <c r="T54" i="86"/>
  <c r="AI41" i="86"/>
  <c r="AM43" i="86"/>
  <c r="AQ43" i="86" s="1"/>
  <c r="BK43" i="86"/>
  <c r="K44" i="86"/>
  <c r="L44" i="86" s="1"/>
  <c r="K48" i="86"/>
  <c r="W16" i="92"/>
  <c r="W15" i="92" s="1"/>
  <c r="W12" i="97"/>
  <c r="AF42" i="95"/>
  <c r="AJ89" i="89"/>
  <c r="U49" i="90"/>
  <c r="U50" i="90" s="1"/>
  <c r="O10" i="89"/>
  <c r="O57" i="89" s="1"/>
  <c r="O56" i="89"/>
  <c r="O61" i="89"/>
  <c r="O82" i="89" s="1"/>
  <c r="K98" i="88"/>
  <c r="L166" i="88"/>
  <c r="L165" i="88" s="1"/>
  <c r="G116" i="93"/>
  <c r="G115" i="93" s="1"/>
  <c r="N105" i="88"/>
  <c r="AE61" i="95"/>
  <c r="F129" i="89"/>
  <c r="G38" i="93"/>
  <c r="G37" i="93" s="1"/>
  <c r="H37" i="93" s="1"/>
  <c r="J86" i="88"/>
  <c r="N98" i="88"/>
  <c r="W195" i="88"/>
  <c r="T155" i="88"/>
  <c r="E38" i="93"/>
  <c r="H57" i="89"/>
  <c r="H104" i="89"/>
  <c r="H105" i="89"/>
  <c r="H117" i="89" s="1"/>
  <c r="H119" i="89" s="1"/>
  <c r="C105" i="89"/>
  <c r="C8" i="89"/>
  <c r="H13" i="91"/>
  <c r="S146" i="88"/>
  <c r="S130" i="88"/>
  <c r="S156" i="88"/>
  <c r="AF50" i="89"/>
  <c r="AH50" i="89" s="1"/>
  <c r="I8" i="91"/>
  <c r="S109" i="88"/>
  <c r="T159" i="88"/>
  <c r="E89" i="93"/>
  <c r="L109" i="88"/>
  <c r="S155" i="88"/>
  <c r="T75" i="88"/>
  <c r="V67" i="88"/>
  <c r="L123" i="89"/>
  <c r="F88" i="89"/>
  <c r="AB52" i="89"/>
  <c r="R49" i="90"/>
  <c r="R50" i="90" s="1"/>
  <c r="E137" i="93"/>
  <c r="V160" i="88"/>
  <c r="T143" i="88"/>
  <c r="L143" i="88"/>
  <c r="T130" i="88"/>
  <c r="T106" i="88"/>
  <c r="R57" i="90"/>
  <c r="H8" i="89"/>
  <c r="H154" i="89" s="1"/>
  <c r="X189" i="88"/>
  <c r="S66" i="88"/>
  <c r="J78" i="89"/>
  <c r="H17" i="97"/>
  <c r="AC49" i="95"/>
  <c r="AJ16" i="92"/>
  <c r="AJ15" i="92" s="1"/>
  <c r="T158" i="88"/>
  <c r="Z52" i="88"/>
  <c r="F100" i="89"/>
  <c r="M16" i="87"/>
  <c r="S121" i="88"/>
  <c r="D91" i="89"/>
  <c r="Q120" i="89"/>
  <c r="W23" i="97"/>
  <c r="E115" i="93"/>
  <c r="F82" i="89"/>
  <c r="AD88" i="88"/>
  <c r="Z97" i="88"/>
  <c r="D100" i="89"/>
  <c r="F66" i="89"/>
  <c r="D97" i="89"/>
  <c r="AF90" i="89"/>
  <c r="F75" i="89"/>
  <c r="O39" i="99"/>
  <c r="T67" i="88"/>
  <c r="F94" i="89"/>
  <c r="E146" i="93"/>
  <c r="O126" i="89"/>
  <c r="E128" i="93"/>
  <c r="AH15" i="92"/>
  <c r="AB12" i="87"/>
  <c r="AG15" i="92"/>
  <c r="R18" i="99"/>
  <c r="X29" i="86"/>
  <c r="W27" i="97"/>
  <c r="AB37" i="92"/>
  <c r="Q13" i="90"/>
  <c r="AC29" i="95"/>
  <c r="J57" i="90"/>
  <c r="U57" i="90"/>
  <c r="W23" i="90"/>
  <c r="AC8" i="92"/>
  <c r="AU23" i="86"/>
  <c r="AX55" i="86"/>
  <c r="AR54" i="86"/>
  <c r="D27" i="92"/>
  <c r="Q9" i="92"/>
  <c r="R50" i="95"/>
  <c r="H30" i="97"/>
  <c r="R59" i="95"/>
  <c r="S14" i="99"/>
  <c r="O49" i="90"/>
  <c r="O50" i="90" s="1"/>
  <c r="AD33" i="92"/>
  <c r="AE33" i="92" s="1"/>
  <c r="H27" i="97"/>
  <c r="AV12" i="87"/>
  <c r="W26" i="90"/>
  <c r="AJ10" i="92"/>
  <c r="Q12" i="92"/>
  <c r="J52" i="90"/>
  <c r="H24" i="97"/>
  <c r="AC50" i="95"/>
  <c r="W29" i="97"/>
  <c r="O57" i="90"/>
  <c r="AX24" i="89"/>
  <c r="O7" i="94"/>
  <c r="U8" i="90"/>
  <c r="AF41" i="95"/>
  <c r="AA72" i="89"/>
  <c r="M57" i="90"/>
  <c r="AF50" i="95"/>
  <c r="K16" i="96"/>
  <c r="W49" i="96"/>
  <c r="X49" i="96" s="1"/>
  <c r="S11" i="89"/>
  <c r="S120" i="89" s="1"/>
  <c r="AP41" i="86"/>
  <c r="L18" i="96"/>
  <c r="L5" i="98"/>
  <c r="C57" i="90"/>
  <c r="Q14" i="99"/>
  <c r="O14" i="99" s="1"/>
  <c r="J50" i="99"/>
  <c r="J62" i="99"/>
  <c r="L14" i="99"/>
  <c r="V14" i="100"/>
  <c r="V21" i="100" s="1"/>
  <c r="J13" i="100"/>
  <c r="J5" i="100" s="1"/>
  <c r="L24" i="96"/>
  <c r="I49" i="96"/>
  <c r="AF49" i="96"/>
  <c r="O49" i="96"/>
  <c r="AD53" i="96"/>
  <c r="L32" i="95"/>
  <c r="N31" i="95"/>
  <c r="R35" i="95"/>
  <c r="AI9" i="94"/>
  <c r="AJ9" i="94" s="1"/>
  <c r="AI7" i="94"/>
  <c r="AJ7" i="94" s="1"/>
  <c r="G79" i="93"/>
  <c r="G72" i="93" s="1"/>
  <c r="AD18" i="92"/>
  <c r="AD8" i="92" s="1"/>
  <c r="I18" i="91"/>
  <c r="Q52" i="90"/>
  <c r="S8" i="90"/>
  <c r="C8" i="90"/>
  <c r="H149" i="89"/>
  <c r="H138" i="89"/>
  <c r="M109" i="89"/>
  <c r="L109" i="89"/>
  <c r="O112" i="89"/>
  <c r="W70" i="89"/>
  <c r="S65" i="89"/>
  <c r="T64" i="89"/>
  <c r="AA125" i="89"/>
  <c r="AB125" i="89" s="1"/>
  <c r="AB124" i="89"/>
  <c r="AN92" i="89"/>
  <c r="W147" i="89"/>
  <c r="AI65" i="89"/>
  <c r="O104" i="89"/>
  <c r="AH65" i="89"/>
  <c r="E111" i="89"/>
  <c r="E112" i="89" s="1"/>
  <c r="E54" i="89"/>
  <c r="E58" i="89"/>
  <c r="E56" i="89"/>
  <c r="E61" i="89"/>
  <c r="E10" i="89"/>
  <c r="E8" i="89" s="1"/>
  <c r="AF78" i="89"/>
  <c r="D69" i="89"/>
  <c r="D62" i="89"/>
  <c r="AI126" i="89"/>
  <c r="J148" i="89"/>
  <c r="L145" i="89"/>
  <c r="D109" i="89"/>
  <c r="F105" i="89"/>
  <c r="F104" i="89"/>
  <c r="F57" i="89"/>
  <c r="F8" i="89"/>
  <c r="O100" i="89"/>
  <c r="O94" i="89"/>
  <c r="AA11" i="89"/>
  <c r="AA120" i="89" s="1"/>
  <c r="AI123" i="89"/>
  <c r="D112" i="89"/>
  <c r="O109" i="89"/>
  <c r="E129" i="89"/>
  <c r="E123" i="89"/>
  <c r="D103" i="89"/>
  <c r="D66" i="89"/>
  <c r="D88" i="89"/>
  <c r="AH52" i="89"/>
  <c r="D72" i="89"/>
  <c r="D129" i="89"/>
  <c r="H85" i="89"/>
  <c r="F97" i="89"/>
  <c r="F63" i="89"/>
  <c r="F85" i="89"/>
  <c r="F79" i="89"/>
  <c r="F69" i="89"/>
  <c r="F72" i="89"/>
  <c r="J71" i="89"/>
  <c r="AA78" i="89"/>
  <c r="AB77" i="89"/>
  <c r="Y65" i="89"/>
  <c r="Q122" i="89"/>
  <c r="D75" i="89"/>
  <c r="H109" i="89"/>
  <c r="AJ124" i="89"/>
  <c r="H146" i="89"/>
  <c r="D94" i="89"/>
  <c r="H155" i="89"/>
  <c r="I155" i="89" s="1"/>
  <c r="I52" i="89"/>
  <c r="W52" i="89" s="1"/>
  <c r="W48" i="89"/>
  <c r="W29" i="89"/>
  <c r="W27" i="89"/>
  <c r="L126" i="89"/>
  <c r="I55" i="89"/>
  <c r="W17" i="89"/>
  <c r="AN27" i="89"/>
  <c r="AA86" i="88"/>
  <c r="Y39" i="88"/>
  <c r="Y85" i="88"/>
  <c r="Y50" i="88"/>
  <c r="AR120" i="88"/>
  <c r="AB126" i="88"/>
  <c r="AD116" i="88"/>
  <c r="L76" i="88"/>
  <c r="AD32" i="88"/>
  <c r="BC111" i="88"/>
  <c r="AF66" i="88"/>
  <c r="AF68" i="88"/>
  <c r="AF81" i="88" s="1"/>
  <c r="AF51" i="88"/>
  <c r="Z143" i="88"/>
  <c r="Z146" i="88"/>
  <c r="Z137" i="88"/>
  <c r="Z124" i="88"/>
  <c r="Z118" i="88"/>
  <c r="AD153" i="88"/>
  <c r="T140" i="88"/>
  <c r="S152" i="88"/>
  <c r="L127" i="88"/>
  <c r="S127" i="88"/>
  <c r="Z152" i="88"/>
  <c r="S124" i="88"/>
  <c r="S105" i="88"/>
  <c r="BE49" i="88"/>
  <c r="S160" i="88"/>
  <c r="S159" i="88"/>
  <c r="S158" i="88"/>
  <c r="S75" i="88"/>
  <c r="S67" i="88"/>
  <c r="BD111" i="88"/>
  <c r="Z70" i="88"/>
  <c r="L72" i="88"/>
  <c r="L73" i="88"/>
  <c r="AR7" i="88"/>
  <c r="AR50" i="88" s="1"/>
  <c r="X156" i="88"/>
  <c r="X97" i="88"/>
  <c r="X65" i="88"/>
  <c r="X68" i="88"/>
  <c r="X66" i="88"/>
  <c r="X85" i="88"/>
  <c r="X101" i="88"/>
  <c r="X121" i="88" s="1"/>
  <c r="BA100" i="88"/>
  <c r="T94" i="88"/>
  <c r="AF180" i="88"/>
  <c r="O166" i="88"/>
  <c r="O165" i="88"/>
  <c r="P104" i="88"/>
  <c r="AZ108" i="88"/>
  <c r="AZ104" i="88"/>
  <c r="Q142" i="88"/>
  <c r="T146" i="88"/>
  <c r="T152" i="88"/>
  <c r="T149" i="88"/>
  <c r="T137" i="88"/>
  <c r="T118" i="88"/>
  <c r="T131" i="88"/>
  <c r="T124" i="88"/>
  <c r="T127" i="88"/>
  <c r="T109" i="88"/>
  <c r="T102" i="88"/>
  <c r="T115" i="88"/>
  <c r="AF205" i="88"/>
  <c r="S166" i="88"/>
  <c r="S165" i="88" s="1"/>
  <c r="AD144" i="88"/>
  <c r="AD167" i="88"/>
  <c r="AD166" i="88" s="1"/>
  <c r="Z205" i="88"/>
  <c r="T121" i="88"/>
  <c r="Q86" i="88"/>
  <c r="O98" i="88"/>
  <c r="BC126" i="88"/>
  <c r="Z33" i="88"/>
  <c r="Z31" i="88" s="1"/>
  <c r="Z39" i="88" s="1"/>
  <c r="BA123" i="88"/>
  <c r="BB129" i="88"/>
  <c r="BC9" i="88"/>
  <c r="BC159" i="88" s="1"/>
  <c r="H31" i="88"/>
  <c r="I31" i="88" s="1"/>
  <c r="O101" i="88"/>
  <c r="O115" i="88" s="1"/>
  <c r="O68" i="88"/>
  <c r="O85" i="88"/>
  <c r="O65" i="88"/>
  <c r="T160" i="88"/>
  <c r="T98" i="88"/>
  <c r="BB111" i="88"/>
  <c r="P173" i="88"/>
  <c r="P172" i="88" s="1"/>
  <c r="AD113" i="88"/>
  <c r="Q129" i="88"/>
  <c r="N72" i="88"/>
  <c r="M72" i="88"/>
  <c r="L140" i="88"/>
  <c r="L103" i="88"/>
  <c r="L121" i="88"/>
  <c r="L115" i="88"/>
  <c r="L32" i="88"/>
  <c r="L31" i="88" s="1"/>
  <c r="K31" i="88"/>
  <c r="T73" i="88"/>
  <c r="AQ126" i="88"/>
  <c r="AD119" i="88"/>
  <c r="AV32" i="88"/>
  <c r="AU31" i="88"/>
  <c r="C71" i="88"/>
  <c r="AF159" i="88"/>
  <c r="AF75" i="88"/>
  <c r="AF77" i="88" s="1"/>
  <c r="BL9" i="88"/>
  <c r="AH111" i="88"/>
  <c r="M166" i="88"/>
  <c r="M165" i="88" s="1"/>
  <c r="M171" i="88"/>
  <c r="AF189" i="88"/>
  <c r="Y195" i="88"/>
  <c r="Y165" i="88"/>
  <c r="Y193" i="88" s="1"/>
  <c r="AB120" i="88"/>
  <c r="L81" i="88"/>
  <c r="AR80" i="88"/>
  <c r="S143" i="88"/>
  <c r="S118" i="88"/>
  <c r="S140" i="88"/>
  <c r="S115" i="88"/>
  <c r="BD126" i="88"/>
  <c r="X158" i="88"/>
  <c r="P71" i="88"/>
  <c r="K72" i="88"/>
  <c r="V98" i="88"/>
  <c r="L106" i="88"/>
  <c r="O105" i="88"/>
  <c r="M105" i="88"/>
  <c r="AY18" i="88"/>
  <c r="D157" i="88"/>
  <c r="D71" i="88"/>
  <c r="D9" i="88"/>
  <c r="D159" i="88" s="1"/>
  <c r="D7" i="88"/>
  <c r="D65" i="88" s="1"/>
  <c r="AD92" i="88"/>
  <c r="AG85" i="88"/>
  <c r="AG91" i="88" s="1"/>
  <c r="O159" i="88"/>
  <c r="O160" i="88"/>
  <c r="O75" i="88"/>
  <c r="O77" i="88" s="1"/>
  <c r="Q158" i="88"/>
  <c r="V156" i="88"/>
  <c r="V101" i="88"/>
  <c r="V149" i="88" s="1"/>
  <c r="V85" i="88"/>
  <c r="V91" i="88" s="1"/>
  <c r="V66" i="88"/>
  <c r="V97" i="88"/>
  <c r="V68" i="88"/>
  <c r="V65" i="88"/>
  <c r="AD87" i="88"/>
  <c r="O72" i="88"/>
  <c r="T91" i="88"/>
  <c r="T95" i="88" s="1"/>
  <c r="T96" i="88"/>
  <c r="T93" i="88"/>
  <c r="AF98" i="88"/>
  <c r="Z81" i="88"/>
  <c r="BB26" i="87"/>
  <c r="H15" i="87"/>
  <c r="AW28" i="87"/>
  <c r="BB28" i="87" s="1"/>
  <c r="AW16" i="87"/>
  <c r="BB16" i="87" s="1"/>
  <c r="AU43" i="86"/>
  <c r="V49" i="86"/>
  <c r="U49" i="86"/>
  <c r="N53" i="86"/>
  <c r="AR53" i="86" s="1"/>
  <c r="AS23" i="86"/>
  <c r="Q87" i="86"/>
  <c r="F12" i="86"/>
  <c r="F11" i="86"/>
  <c r="E11" i="86"/>
  <c r="E9" i="86" s="1"/>
  <c r="T52" i="86"/>
  <c r="L24" i="86"/>
  <c r="L23" i="86" s="1"/>
  <c r="C9" i="86"/>
  <c r="C113" i="89"/>
  <c r="K8" i="91"/>
  <c r="K9" i="91"/>
  <c r="C154" i="89"/>
  <c r="C138" i="89"/>
  <c r="T77" i="88"/>
  <c r="K10" i="91"/>
  <c r="Q123" i="89"/>
  <c r="AF19" i="92"/>
  <c r="AE18" i="92"/>
  <c r="AE8" i="92" s="1"/>
  <c r="AI184" i="89"/>
  <c r="F116" i="89"/>
  <c r="AF130" i="89"/>
  <c r="AH130" i="89" s="1"/>
  <c r="AB130" i="89"/>
  <c r="W64" i="89"/>
  <c r="E105" i="89"/>
  <c r="E113" i="89"/>
  <c r="E104" i="89"/>
  <c r="E57" i="89"/>
  <c r="AI50" i="89"/>
  <c r="AI51" i="89" s="1"/>
  <c r="AJ51" i="89" s="1"/>
  <c r="AN51" i="89" s="1"/>
  <c r="AH51" i="89"/>
  <c r="F113" i="89"/>
  <c r="X152" i="88"/>
  <c r="X115" i="88"/>
  <c r="X143" i="88"/>
  <c r="X137" i="88"/>
  <c r="X140" i="88"/>
  <c r="X118" i="88"/>
  <c r="X155" i="88"/>
  <c r="X127" i="88"/>
  <c r="V127" i="88"/>
  <c r="V130" i="88"/>
  <c r="O76" i="88"/>
  <c r="T133" i="88"/>
  <c r="BC101" i="88"/>
  <c r="BC149" i="88" s="1"/>
  <c r="BC85" i="88"/>
  <c r="BC96" i="88" s="1"/>
  <c r="BC68" i="88"/>
  <c r="BC50" i="88"/>
  <c r="V96" i="88"/>
  <c r="O103" i="88"/>
  <c r="O118" i="88"/>
  <c r="O140" i="88"/>
  <c r="L133" i="88"/>
  <c r="X81" i="88"/>
  <c r="Y93" i="88"/>
  <c r="Y91" i="88"/>
  <c r="S76" i="88"/>
  <c r="C8" i="86"/>
  <c r="C60" i="86" s="1"/>
  <c r="C10" i="86"/>
  <c r="Q88" i="86"/>
  <c r="Q89" i="86" s="1"/>
  <c r="Q90" i="86" s="1"/>
  <c r="Z53" i="86"/>
  <c r="E116" i="89"/>
  <c r="I65" i="86"/>
  <c r="BZ16" i="48"/>
  <c r="BZ23" i="48"/>
  <c r="BZ33" i="48"/>
  <c r="BY42" i="48"/>
  <c r="BZ17" i="48"/>
  <c r="S62" i="13"/>
  <c r="S62" i="60" s="1"/>
  <c r="C38" i="65"/>
  <c r="C38" i="149"/>
  <c r="CA32" i="47"/>
  <c r="CA29" i="47"/>
  <c r="CA19" i="47"/>
  <c r="CC35" i="47"/>
  <c r="U33" i="14" s="1"/>
  <c r="U33" i="62" s="1"/>
  <c r="W33" i="62" s="1"/>
  <c r="CC34" i="47"/>
  <c r="CC32" i="47"/>
  <c r="U30" i="14" s="1"/>
  <c r="U30" i="62" s="1"/>
  <c r="CC29" i="47"/>
  <c r="U27" i="14" s="1"/>
  <c r="U27" i="62" s="1"/>
  <c r="C28" i="78" s="1"/>
  <c r="CC26" i="47"/>
  <c r="U24" i="14" s="1"/>
  <c r="U24" i="62" s="1"/>
  <c r="CC15" i="47"/>
  <c r="U13" i="14" s="1"/>
  <c r="U13" i="62" s="1"/>
  <c r="C14" i="78" s="1"/>
  <c r="CC14" i="47"/>
  <c r="U12" i="14" s="1"/>
  <c r="U12" i="62" s="1"/>
  <c r="U25" i="47"/>
  <c r="AL16" i="48"/>
  <c r="AL23" i="48"/>
  <c r="AL50" i="48"/>
  <c r="AD23" i="48"/>
  <c r="F21" i="50"/>
  <c r="V16" i="48"/>
  <c r="BB23" i="48"/>
  <c r="BB17" i="48"/>
  <c r="CS23" i="48"/>
  <c r="CP17" i="48"/>
  <c r="CX23" i="48"/>
  <c r="EK25" i="47"/>
  <c r="EK26" i="47" s="1"/>
  <c r="AJ24" i="14" s="1"/>
  <c r="AJ24" i="62" s="1"/>
  <c r="C25" i="83" s="1"/>
  <c r="DY26" i="47"/>
  <c r="AG24" i="14" s="1"/>
  <c r="AG24" i="62" s="1"/>
  <c r="CO35" i="47"/>
  <c r="CI26" i="47"/>
  <c r="CO26" i="47"/>
  <c r="X24" i="14" s="1"/>
  <c r="X24" i="62" s="1"/>
  <c r="AG19" i="47"/>
  <c r="I17" i="14" s="1"/>
  <c r="I17" i="62" s="1"/>
  <c r="I15" i="62" s="1"/>
  <c r="AE35" i="47"/>
  <c r="AE36" i="47" s="1"/>
  <c r="AF36" i="47" s="1"/>
  <c r="AE34" i="47"/>
  <c r="AE19" i="47"/>
  <c r="AE12" i="47"/>
  <c r="AF12" i="47" s="1"/>
  <c r="BE36" i="47"/>
  <c r="O34" i="14" s="1"/>
  <c r="O34" i="62" s="1"/>
  <c r="BE19" i="47"/>
  <c r="O17" i="14" s="1"/>
  <c r="O17" i="62" s="1"/>
  <c r="O15" i="62" s="1"/>
  <c r="CG22" i="48"/>
  <c r="AC42" i="48"/>
  <c r="E21" i="50"/>
  <c r="AC73" i="13"/>
  <c r="AS32" i="47"/>
  <c r="L30" i="14" s="1"/>
  <c r="L30" i="62" s="1"/>
  <c r="L28" i="62" s="1"/>
  <c r="AF31" i="48"/>
  <c r="F12" i="15" s="1"/>
  <c r="G21" i="50"/>
  <c r="T37" i="47"/>
  <c r="AG15" i="47"/>
  <c r="AG14" i="47"/>
  <c r="I12" i="14" s="1"/>
  <c r="I12" i="62" s="1"/>
  <c r="CO32" i="47"/>
  <c r="X30" i="14" s="1"/>
  <c r="X30" i="62" s="1"/>
  <c r="BE32" i="47"/>
  <c r="O30" i="14" s="1"/>
  <c r="O30" i="62" s="1"/>
  <c r="C31" i="76" s="1"/>
  <c r="C29" i="76" s="1"/>
  <c r="BE26" i="47"/>
  <c r="O24" i="14" s="1"/>
  <c r="O24" i="62" s="1"/>
  <c r="BE15" i="47"/>
  <c r="O13" i="14" s="1"/>
  <c r="O13" i="62" s="1"/>
  <c r="BE14" i="47"/>
  <c r="O12" i="14" s="1"/>
  <c r="O12" i="62" s="1"/>
  <c r="BC35" i="47"/>
  <c r="BC34" i="47"/>
  <c r="BC36" i="47" s="1"/>
  <c r="BC15" i="47"/>
  <c r="BC14" i="47"/>
  <c r="BC13" i="47"/>
  <c r="BC12" i="47"/>
  <c r="BD12" i="47" s="1"/>
  <c r="AC73" i="60"/>
  <c r="AE32" i="48"/>
  <c r="CA36" i="47"/>
  <c r="CC19" i="47"/>
  <c r="BO36" i="47"/>
  <c r="BO15" i="47"/>
  <c r="BO14" i="47"/>
  <c r="BQ19" i="47"/>
  <c r="R17" i="14" s="1"/>
  <c r="R17" i="62" s="1"/>
  <c r="BQ14" i="47"/>
  <c r="R12" i="14" s="1"/>
  <c r="R12" i="62" s="1"/>
  <c r="BQ15" i="47"/>
  <c r="AF37" i="47"/>
  <c r="AF22" i="47"/>
  <c r="AE24" i="47"/>
  <c r="AF19" i="47"/>
  <c r="AE13" i="47"/>
  <c r="AF13" i="47" s="1"/>
  <c r="AG26" i="47"/>
  <c r="I24" i="14" s="1"/>
  <c r="I24" i="62" s="1"/>
  <c r="CP33" i="48"/>
  <c r="CR31" i="48"/>
  <c r="N12" i="15" s="1"/>
  <c r="CP27" i="48"/>
  <c r="P21" i="50"/>
  <c r="CX27" i="48"/>
  <c r="AS36" i="47"/>
  <c r="L34" i="14" s="1"/>
  <c r="L34" i="62" s="1"/>
  <c r="C35" i="75" s="1"/>
  <c r="AS26" i="47"/>
  <c r="L24" i="14" s="1"/>
  <c r="L24" i="62" s="1"/>
  <c r="AS19" i="47"/>
  <c r="L17" i="14" s="1"/>
  <c r="L17" i="62" s="1"/>
  <c r="N17" i="62" s="1"/>
  <c r="N15" i="62" s="1"/>
  <c r="AQ26" i="47"/>
  <c r="AQ19" i="47"/>
  <c r="AQ15" i="47"/>
  <c r="AQ13" i="47"/>
  <c r="E20" i="50"/>
  <c r="U34" i="47"/>
  <c r="CW19" i="48"/>
  <c r="CW17" i="48"/>
  <c r="CX17" i="48" s="1"/>
  <c r="CW16" i="48"/>
  <c r="CW15" i="48"/>
  <c r="CW14" i="48"/>
  <c r="AC71" i="60"/>
  <c r="AC67" i="60"/>
  <c r="AC68" i="60"/>
  <c r="AC70" i="60"/>
  <c r="S61" i="13"/>
  <c r="AJ59" i="13"/>
  <c r="AI59" i="13"/>
  <c r="AH59" i="13"/>
  <c r="AG59" i="13"/>
  <c r="AF59" i="13"/>
  <c r="AE59" i="13"/>
  <c r="AD59" i="13"/>
  <c r="AC59" i="13"/>
  <c r="AB59" i="13"/>
  <c r="AA59" i="13"/>
  <c r="Z59" i="13"/>
  <c r="X59" i="13"/>
  <c r="W59" i="13"/>
  <c r="V59" i="13"/>
  <c r="U59" i="13"/>
  <c r="T59" i="13"/>
  <c r="R59" i="13"/>
  <c r="Q59" i="13"/>
  <c r="S29" i="47"/>
  <c r="S25" i="47"/>
  <c r="S26" i="47" s="1"/>
  <c r="T26" i="47" s="1"/>
  <c r="T23" i="47" s="1"/>
  <c r="S24" i="47"/>
  <c r="T22" i="47"/>
  <c r="V20" i="47"/>
  <c r="T20" i="47"/>
  <c r="U19" i="47"/>
  <c r="F17" i="14" s="1"/>
  <c r="F17" i="62" s="1"/>
  <c r="C18" i="73" s="1"/>
  <c r="S19" i="47"/>
  <c r="T19" i="47" s="1"/>
  <c r="U13" i="47"/>
  <c r="F11" i="14" s="1"/>
  <c r="F11" i="62" s="1"/>
  <c r="C12" i="73" s="1"/>
  <c r="X12" i="47"/>
  <c r="S13" i="47"/>
  <c r="T13" i="47" s="1"/>
  <c r="T12" i="47"/>
  <c r="CO14" i="47"/>
  <c r="X12" i="14" s="1"/>
  <c r="X12" i="62" s="1"/>
  <c r="CO19" i="47"/>
  <c r="X17" i="14"/>
  <c r="X17" i="62" s="1"/>
  <c r="CM36" i="47"/>
  <c r="CM19" i="47"/>
  <c r="CM14" i="47"/>
  <c r="DA19" i="47"/>
  <c r="AA17" i="14" s="1"/>
  <c r="AA17" i="62" s="1"/>
  <c r="DA26" i="47"/>
  <c r="AA24" i="14" s="1"/>
  <c r="AA24" i="62" s="1"/>
  <c r="DA32" i="47"/>
  <c r="AA30" i="14" s="1"/>
  <c r="AA30" i="62" s="1"/>
  <c r="DA36" i="47"/>
  <c r="AA34" i="14" s="1"/>
  <c r="AA34" i="62" s="1"/>
  <c r="CY35" i="47"/>
  <c r="CY34" i="47"/>
  <c r="CY36" i="47" s="1"/>
  <c r="CY19" i="47"/>
  <c r="CY17" i="47" s="1"/>
  <c r="CY15" i="47"/>
  <c r="CY14" i="47"/>
  <c r="DM15" i="47"/>
  <c r="AD13" i="14" s="1"/>
  <c r="AD13" i="62" s="1"/>
  <c r="DM14" i="47"/>
  <c r="AD12" i="14" s="1"/>
  <c r="AD12" i="62" s="1"/>
  <c r="DM19" i="47"/>
  <c r="AD17" i="14"/>
  <c r="AD17" i="62" s="1"/>
  <c r="DM26" i="47"/>
  <c r="AD24" i="14" s="1"/>
  <c r="AD24" i="62" s="1"/>
  <c r="DM32" i="47"/>
  <c r="AD30" i="14" s="1"/>
  <c r="AD30" i="62" s="1"/>
  <c r="DM35" i="47"/>
  <c r="AD33" i="14"/>
  <c r="AD33" i="62" s="1"/>
  <c r="DK35" i="47"/>
  <c r="DK36" i="47" s="1"/>
  <c r="DK34" i="47"/>
  <c r="DK29" i="47"/>
  <c r="DK24" i="47"/>
  <c r="DK19" i="47"/>
  <c r="DL19" i="47" s="1"/>
  <c r="DL17" i="47" s="1"/>
  <c r="DK15" i="47"/>
  <c r="DK14" i="47"/>
  <c r="DK12" i="47"/>
  <c r="DR12" i="47" s="1"/>
  <c r="DY32" i="47"/>
  <c r="AG30" i="14" s="1"/>
  <c r="AG30" i="62" s="1"/>
  <c r="DY19" i="47"/>
  <c r="AG17" i="14" s="1"/>
  <c r="AG17" i="62" s="1"/>
  <c r="DY15" i="47"/>
  <c r="AG13" i="14" s="1"/>
  <c r="AG13" i="62" s="1"/>
  <c r="C14" i="82" s="1"/>
  <c r="DY14" i="47"/>
  <c r="AG12" i="14" s="1"/>
  <c r="AG12" i="62" s="1"/>
  <c r="DW36" i="47"/>
  <c r="DW29" i="47"/>
  <c r="DW27" i="47" s="1"/>
  <c r="DW26" i="47"/>
  <c r="DW19" i="47"/>
  <c r="DW15" i="47"/>
  <c r="DW14" i="47"/>
  <c r="DW12" i="47"/>
  <c r="EK19" i="47"/>
  <c r="AJ17" i="14" s="1"/>
  <c r="AJ17" i="62" s="1"/>
  <c r="EK15" i="47"/>
  <c r="AJ13" i="14" s="1"/>
  <c r="AJ13" i="62" s="1"/>
  <c r="EK14" i="47"/>
  <c r="AJ12" i="14" s="1"/>
  <c r="AJ12" i="62" s="1"/>
  <c r="AL12" i="62" s="1"/>
  <c r="C13" i="83"/>
  <c r="EI35" i="47"/>
  <c r="EP35" i="47" s="1"/>
  <c r="EI34" i="47"/>
  <c r="EI32" i="47"/>
  <c r="EI25" i="47"/>
  <c r="EI26" i="47" s="1"/>
  <c r="EI24" i="47"/>
  <c r="EI19" i="47"/>
  <c r="EI15" i="47"/>
  <c r="EI14" i="47"/>
  <c r="EW36" i="47"/>
  <c r="AM34" i="14" s="1"/>
  <c r="AM34" i="62" s="1"/>
  <c r="C35" i="84" s="1"/>
  <c r="EW32" i="47"/>
  <c r="AM30" i="14" s="1"/>
  <c r="AM30" i="62" s="1"/>
  <c r="C31" i="84" s="1"/>
  <c r="EW29" i="47"/>
  <c r="AM27" i="14" s="1"/>
  <c r="AM27" i="62" s="1"/>
  <c r="EW26" i="47"/>
  <c r="AM24" i="14" s="1"/>
  <c r="AM24" i="62" s="1"/>
  <c r="EW19" i="47"/>
  <c r="AM17" i="14" s="1"/>
  <c r="AM17" i="62" s="1"/>
  <c r="EW14" i="47"/>
  <c r="AM12" i="14" s="1"/>
  <c r="AM12" i="62" s="1"/>
  <c r="EU36" i="47"/>
  <c r="EU29" i="47"/>
  <c r="EU26" i="47"/>
  <c r="EU19" i="47"/>
  <c r="EU16" i="47"/>
  <c r="EU15" i="47"/>
  <c r="EU14" i="47"/>
  <c r="EU12" i="47"/>
  <c r="DM36" i="47"/>
  <c r="AD34" i="14" s="1"/>
  <c r="AD34" i="62" s="1"/>
  <c r="V12" i="47"/>
  <c r="I13" i="47"/>
  <c r="A1" i="61"/>
  <c r="AB100" i="13"/>
  <c r="AA100" i="13"/>
  <c r="W100" i="13"/>
  <c r="V100" i="13"/>
  <c r="U100" i="13"/>
  <c r="T100" i="13"/>
  <c r="S100" i="13"/>
  <c r="R100" i="13"/>
  <c r="Q100" i="13"/>
  <c r="A104" i="60"/>
  <c r="E101" i="60"/>
  <c r="B99" i="60"/>
  <c r="P102" i="13"/>
  <c r="C102" i="13" s="1"/>
  <c r="E102" i="60"/>
  <c r="H102" i="60"/>
  <c r="K102" i="60"/>
  <c r="O102" i="60"/>
  <c r="E103" i="60"/>
  <c r="H103" i="60"/>
  <c r="K103" i="60"/>
  <c r="O103" i="60"/>
  <c r="E104" i="60"/>
  <c r="H104" i="60"/>
  <c r="K104" i="60"/>
  <c r="O104" i="60"/>
  <c r="H101" i="60"/>
  <c r="K101" i="60"/>
  <c r="O101" i="60"/>
  <c r="P104" i="13"/>
  <c r="P103" i="13"/>
  <c r="C103" i="13" s="1"/>
  <c r="P101" i="13"/>
  <c r="C101" i="13" s="1"/>
  <c r="D85" i="60"/>
  <c r="A102" i="60"/>
  <c r="A103" i="60"/>
  <c r="A101" i="60"/>
  <c r="AJ120" i="60"/>
  <c r="AI120" i="60"/>
  <c r="AC120" i="60"/>
  <c r="AB120" i="60"/>
  <c r="AA120" i="60"/>
  <c r="Z120" i="60"/>
  <c r="Y120" i="60"/>
  <c r="X120" i="60"/>
  <c r="W120" i="60"/>
  <c r="V120" i="60"/>
  <c r="U120" i="60"/>
  <c r="T120" i="60"/>
  <c r="S120" i="60"/>
  <c r="R120" i="60"/>
  <c r="Q120" i="60"/>
  <c r="F120" i="60"/>
  <c r="H120" i="60"/>
  <c r="K120" i="60"/>
  <c r="O120" i="60"/>
  <c r="E120" i="60"/>
  <c r="AH77" i="13"/>
  <c r="AH76" i="13"/>
  <c r="AH75" i="13"/>
  <c r="AH74" i="13"/>
  <c r="AH73" i="13"/>
  <c r="AH72" i="13"/>
  <c r="AH71" i="13"/>
  <c r="AH70" i="13"/>
  <c r="AH69" i="13"/>
  <c r="AH68" i="13"/>
  <c r="AH67" i="13"/>
  <c r="AH65" i="13"/>
  <c r="AH64" i="13"/>
  <c r="AI61" i="60"/>
  <c r="AJ61" i="60"/>
  <c r="AI62" i="60"/>
  <c r="AJ62" i="60"/>
  <c r="AJ60" i="60"/>
  <c r="AI60" i="60"/>
  <c r="T59" i="60"/>
  <c r="AB59" i="60"/>
  <c r="AO61" i="60" s="1"/>
  <c r="AD59" i="60"/>
  <c r="AG59" i="60"/>
  <c r="AI53" i="60"/>
  <c r="AJ53" i="60"/>
  <c r="AI54" i="60"/>
  <c r="AJ54" i="60"/>
  <c r="AI55" i="60"/>
  <c r="AI56" i="60"/>
  <c r="AJ56" i="60"/>
  <c r="AI57" i="60"/>
  <c r="AJ57" i="60"/>
  <c r="AI58" i="60"/>
  <c r="AJ58" i="60"/>
  <c r="AJ52" i="60"/>
  <c r="AI52" i="60"/>
  <c r="AI47" i="60"/>
  <c r="AJ47" i="60"/>
  <c r="AI48" i="60"/>
  <c r="AJ48" i="60"/>
  <c r="AI49" i="60"/>
  <c r="AH49" i="60" s="1"/>
  <c r="AI50" i="60"/>
  <c r="AJ46" i="60"/>
  <c r="AI46" i="60"/>
  <c r="S14" i="60"/>
  <c r="AI14" i="60"/>
  <c r="AJ14" i="60"/>
  <c r="S15" i="60"/>
  <c r="AI15" i="60"/>
  <c r="AJ15" i="60"/>
  <c r="S16" i="60"/>
  <c r="AI16" i="60"/>
  <c r="AJ16" i="60"/>
  <c r="S17" i="60"/>
  <c r="AI17" i="60"/>
  <c r="AJ17" i="60"/>
  <c r="S18" i="60"/>
  <c r="AI18" i="60"/>
  <c r="AJ18" i="60"/>
  <c r="S19" i="60"/>
  <c r="AI19" i="60"/>
  <c r="AJ19" i="60"/>
  <c r="S20" i="60"/>
  <c r="AI20" i="60"/>
  <c r="AJ20" i="60"/>
  <c r="S21" i="60"/>
  <c r="AI21" i="60"/>
  <c r="AJ21" i="60"/>
  <c r="S22" i="60"/>
  <c r="AI22" i="60"/>
  <c r="AJ22" i="60"/>
  <c r="S23" i="60"/>
  <c r="AI23" i="60"/>
  <c r="AJ23" i="60"/>
  <c r="S24" i="60"/>
  <c r="AI24" i="60"/>
  <c r="AJ24" i="60"/>
  <c r="S25" i="60"/>
  <c r="AI25" i="60"/>
  <c r="AJ25" i="60"/>
  <c r="S26" i="60"/>
  <c r="AI26" i="60"/>
  <c r="AJ26" i="60"/>
  <c r="S27" i="60"/>
  <c r="AI27" i="60"/>
  <c r="AJ27" i="60"/>
  <c r="S28" i="60"/>
  <c r="AI28" i="60"/>
  <c r="AJ28" i="60"/>
  <c r="S29" i="60"/>
  <c r="AI29" i="60"/>
  <c r="AJ29" i="60"/>
  <c r="S30" i="60"/>
  <c r="AI30" i="60"/>
  <c r="AJ30" i="60"/>
  <c r="S31" i="60"/>
  <c r="AI31" i="60"/>
  <c r="AJ31" i="60"/>
  <c r="S32" i="60"/>
  <c r="AI32" i="60"/>
  <c r="AJ32" i="60"/>
  <c r="S33" i="60"/>
  <c r="AI33" i="60"/>
  <c r="AJ33" i="60"/>
  <c r="S34" i="60"/>
  <c r="AI34" i="60"/>
  <c r="AJ34" i="60"/>
  <c r="S35" i="60"/>
  <c r="AI35" i="60"/>
  <c r="AJ35" i="60"/>
  <c r="S36" i="60"/>
  <c r="AI36" i="60"/>
  <c r="AJ36" i="60"/>
  <c r="S37" i="60"/>
  <c r="AI37" i="60"/>
  <c r="AJ37" i="60"/>
  <c r="S38" i="60"/>
  <c r="AI38" i="60"/>
  <c r="S41" i="60"/>
  <c r="AI41" i="60"/>
  <c r="AJ41" i="60"/>
  <c r="S42" i="60"/>
  <c r="AI42" i="60"/>
  <c r="AJ42" i="60"/>
  <c r="Q43" i="60"/>
  <c r="R43" i="60"/>
  <c r="S43" i="60"/>
  <c r="T43" i="60"/>
  <c r="U43" i="60"/>
  <c r="V43" i="60"/>
  <c r="W43" i="60"/>
  <c r="X43" i="60"/>
  <c r="Y43" i="60"/>
  <c r="Z43" i="60"/>
  <c r="AA43" i="60"/>
  <c r="AB43" i="60"/>
  <c r="AC43" i="60"/>
  <c r="AI43" i="60"/>
  <c r="AJ43" i="60"/>
  <c r="AJ13" i="60"/>
  <c r="AI13" i="60"/>
  <c r="AI65" i="60"/>
  <c r="AJ65" i="60"/>
  <c r="AI66" i="60"/>
  <c r="AI67" i="60"/>
  <c r="AJ67" i="60"/>
  <c r="AI68" i="60"/>
  <c r="AJ68" i="60"/>
  <c r="AI69" i="60"/>
  <c r="AJ69" i="60"/>
  <c r="AI70" i="60"/>
  <c r="AJ70" i="60"/>
  <c r="AI71" i="60"/>
  <c r="AJ71" i="60"/>
  <c r="AI72" i="60"/>
  <c r="AJ72" i="60"/>
  <c r="AI73" i="60"/>
  <c r="AJ73" i="60"/>
  <c r="AI74" i="60"/>
  <c r="AJ74" i="60"/>
  <c r="AI75" i="60"/>
  <c r="AJ75" i="60"/>
  <c r="AI76" i="60"/>
  <c r="AJ76" i="60"/>
  <c r="AI77" i="60"/>
  <c r="AJ77" i="60"/>
  <c r="AI64" i="60"/>
  <c r="AJ64" i="60"/>
  <c r="AC66" i="13"/>
  <c r="U64" i="60"/>
  <c r="AC66" i="60"/>
  <c r="V45" i="60"/>
  <c r="AF45" i="60"/>
  <c r="AG51" i="60"/>
  <c r="AG63" i="60"/>
  <c r="AF63" i="60"/>
  <c r="AE63" i="60"/>
  <c r="AG45" i="60"/>
  <c r="BI44" i="43"/>
  <c r="BJ30" i="43"/>
  <c r="BM25" i="43"/>
  <c r="BI28" i="43"/>
  <c r="BI29" i="43"/>
  <c r="BJ19" i="43"/>
  <c r="BI22" i="43"/>
  <c r="BI24" i="43"/>
  <c r="BM19" i="43"/>
  <c r="BJ15" i="43"/>
  <c r="BM15" i="43"/>
  <c r="BJ16" i="43"/>
  <c r="BM16" i="43"/>
  <c r="BJ17" i="43"/>
  <c r="BM17" i="43"/>
  <c r="BJ18" i="43"/>
  <c r="BM18" i="43"/>
  <c r="BJ25" i="43"/>
  <c r="BQ50" i="43"/>
  <c r="BR50" i="43" s="1"/>
  <c r="BQ44" i="43"/>
  <c r="BR44" i="43" s="1"/>
  <c r="BQ37" i="43"/>
  <c r="J25" i="43"/>
  <c r="FQ18" i="51"/>
  <c r="FR18" i="51" s="1"/>
  <c r="FW18" i="51" s="1"/>
  <c r="FQ17" i="51"/>
  <c r="FQ15" i="51"/>
  <c r="FQ14" i="51"/>
  <c r="FR14" i="51" s="1"/>
  <c r="FW14" i="51" s="1"/>
  <c r="FQ13" i="51"/>
  <c r="FR13" i="51" s="1"/>
  <c r="FC18" i="51"/>
  <c r="FD18" i="51" s="1"/>
  <c r="FI18" i="51" s="1"/>
  <c r="FC17" i="51"/>
  <c r="FC15" i="51"/>
  <c r="FD15" i="51" s="1"/>
  <c r="FI15" i="51" s="1"/>
  <c r="FC14" i="51"/>
  <c r="FC13" i="51"/>
  <c r="FD13" i="51" s="1"/>
  <c r="FI13" i="51" s="1"/>
  <c r="EO18" i="51"/>
  <c r="EO17" i="51"/>
  <c r="EP17" i="51" s="1"/>
  <c r="EU17" i="51" s="1"/>
  <c r="EO15" i="51"/>
  <c r="EO14" i="51"/>
  <c r="EP14" i="51"/>
  <c r="EO13" i="51"/>
  <c r="EP13" i="51" s="1"/>
  <c r="EA18" i="51"/>
  <c r="EB18" i="51"/>
  <c r="EG18" i="51" s="1"/>
  <c r="EA17" i="51"/>
  <c r="EB17" i="51" s="1"/>
  <c r="EG17" i="51" s="1"/>
  <c r="EA15" i="51"/>
  <c r="EA14" i="51"/>
  <c r="EB14" i="51" s="1"/>
  <c r="EA13" i="51"/>
  <c r="EB13" i="51" s="1"/>
  <c r="DM18" i="51"/>
  <c r="DN18" i="51" s="1"/>
  <c r="DS18" i="51" s="1"/>
  <c r="DM17" i="51"/>
  <c r="DM15" i="51"/>
  <c r="DN15" i="51" s="1"/>
  <c r="DM14" i="51"/>
  <c r="DN14" i="51" s="1"/>
  <c r="DS14" i="51" s="1"/>
  <c r="DM13" i="51"/>
  <c r="CY18" i="51"/>
  <c r="CZ18" i="51" s="1"/>
  <c r="DE18" i="51" s="1"/>
  <c r="CY17" i="51"/>
  <c r="CZ17" i="51" s="1"/>
  <c r="CY15" i="51"/>
  <c r="CZ15" i="51" s="1"/>
  <c r="DE15" i="51" s="1"/>
  <c r="CY14" i="51"/>
  <c r="CZ14" i="51" s="1"/>
  <c r="DE14" i="51" s="1"/>
  <c r="CY13" i="51"/>
  <c r="CU18" i="51"/>
  <c r="CU17" i="51"/>
  <c r="CU15" i="51"/>
  <c r="CU14" i="51"/>
  <c r="CU13" i="51"/>
  <c r="C136" i="78" s="1"/>
  <c r="CK18" i="51"/>
  <c r="CL18" i="51" s="1"/>
  <c r="CK17" i="51"/>
  <c r="CK15" i="51"/>
  <c r="CL15" i="51" s="1"/>
  <c r="CQ15" i="51" s="1"/>
  <c r="CK14" i="51"/>
  <c r="CL14" i="51" s="1"/>
  <c r="CQ14" i="51" s="1"/>
  <c r="CK13" i="51"/>
  <c r="CL13" i="51" s="1"/>
  <c r="Q3" i="51"/>
  <c r="AE3" i="51" s="1"/>
  <c r="AS3" i="51" s="1"/>
  <c r="BG3" i="51" s="1"/>
  <c r="BU3" i="51" s="1"/>
  <c r="BW18" i="51"/>
  <c r="BX18" i="51" s="1"/>
  <c r="BX16" i="51" s="1"/>
  <c r="BW17" i="51"/>
  <c r="BX17" i="51" s="1"/>
  <c r="BW15" i="51"/>
  <c r="BX15" i="51" s="1"/>
  <c r="CC15" i="51" s="1"/>
  <c r="BW14" i="51"/>
  <c r="BX14" i="51" s="1"/>
  <c r="CC14" i="51" s="1"/>
  <c r="BW13" i="51"/>
  <c r="BS18" i="51"/>
  <c r="C138" i="76" s="1"/>
  <c r="BS17" i="51"/>
  <c r="C137" i="76" s="1"/>
  <c r="BS15" i="51"/>
  <c r="C136" i="76" s="1"/>
  <c r="BS14" i="51"/>
  <c r="BS19" i="51"/>
  <c r="BS13" i="51"/>
  <c r="C134" i="76"/>
  <c r="BI18" i="51"/>
  <c r="BI17" i="51"/>
  <c r="BJ17" i="51" s="1"/>
  <c r="BO17" i="51" s="1"/>
  <c r="BI15" i="51"/>
  <c r="BJ15" i="51" s="1"/>
  <c r="BO15" i="51" s="1"/>
  <c r="BI14" i="51"/>
  <c r="BI13" i="51"/>
  <c r="BJ13" i="51" s="1"/>
  <c r="BO13" i="51" s="1"/>
  <c r="AU18" i="51"/>
  <c r="AV18" i="51" s="1"/>
  <c r="BA18" i="51" s="1"/>
  <c r="AU17" i="51"/>
  <c r="AU15" i="51"/>
  <c r="AV15" i="51" s="1"/>
  <c r="BA15" i="51" s="1"/>
  <c r="AU14" i="51"/>
  <c r="AV14" i="51" s="1"/>
  <c r="BA14" i="51" s="1"/>
  <c r="AU13" i="51"/>
  <c r="AV13" i="51" s="1"/>
  <c r="BA13" i="51" s="1"/>
  <c r="AQ17" i="51"/>
  <c r="AQ18" i="51"/>
  <c r="AQ13" i="51"/>
  <c r="C129" i="74" s="1"/>
  <c r="AQ14" i="51"/>
  <c r="C130" i="74" s="1"/>
  <c r="AQ15" i="51"/>
  <c r="C131" i="74" s="1"/>
  <c r="AL16" i="51"/>
  <c r="AK16" i="51"/>
  <c r="AJ16" i="51"/>
  <c r="AI16" i="51"/>
  <c r="AG18" i="51"/>
  <c r="AH18" i="51" s="1"/>
  <c r="AG17" i="51"/>
  <c r="AH17" i="51" s="1"/>
  <c r="AH16" i="51" s="1"/>
  <c r="AG15" i="51"/>
  <c r="AH15" i="51" s="1"/>
  <c r="AG14" i="51"/>
  <c r="AH14" i="51" s="1"/>
  <c r="AG13" i="51"/>
  <c r="AH13" i="51" s="1"/>
  <c r="AM13" i="51" s="1"/>
  <c r="AC14" i="51"/>
  <c r="AC19" i="51" s="1"/>
  <c r="AC18" i="51"/>
  <c r="AC15" i="51"/>
  <c r="C139" i="73" s="1"/>
  <c r="AC13" i="51"/>
  <c r="Y18" i="51"/>
  <c r="Y17" i="51"/>
  <c r="Y15" i="51"/>
  <c r="Y14" i="51"/>
  <c r="Y13" i="51"/>
  <c r="W16" i="51"/>
  <c r="V16" i="51"/>
  <c r="U16" i="51"/>
  <c r="U12" i="51"/>
  <c r="V12" i="51"/>
  <c r="S18" i="51"/>
  <c r="T18" i="51" s="1"/>
  <c r="S17" i="51"/>
  <c r="T17" i="51"/>
  <c r="S15" i="51"/>
  <c r="T15" i="51" s="1"/>
  <c r="S14" i="51"/>
  <c r="S13" i="51"/>
  <c r="T13" i="51" s="1"/>
  <c r="C140" i="73"/>
  <c r="A95" i="84"/>
  <c r="B80" i="84"/>
  <c r="B79" i="84"/>
  <c r="B78" i="84"/>
  <c r="B77" i="84"/>
  <c r="B76" i="84"/>
  <c r="B75" i="84"/>
  <c r="B74" i="84"/>
  <c r="B73" i="84"/>
  <c r="B72" i="84"/>
  <c r="B71" i="84"/>
  <c r="B70" i="84"/>
  <c r="B69" i="84"/>
  <c r="C68" i="84"/>
  <c r="B68" i="84"/>
  <c r="C67" i="84"/>
  <c r="C126" i="84" s="1"/>
  <c r="A64" i="84"/>
  <c r="A123" i="84" s="1"/>
  <c r="C38" i="84"/>
  <c r="A97" i="83"/>
  <c r="B82" i="83"/>
  <c r="B81" i="83"/>
  <c r="B80" i="83"/>
  <c r="B79" i="83"/>
  <c r="B78" i="83"/>
  <c r="B77" i="83"/>
  <c r="B76" i="83"/>
  <c r="B75" i="83"/>
  <c r="B74" i="83"/>
  <c r="B73" i="83"/>
  <c r="B72" i="83"/>
  <c r="B71" i="83"/>
  <c r="C70" i="83"/>
  <c r="B70" i="83"/>
  <c r="C69" i="83"/>
  <c r="C126" i="83" s="1"/>
  <c r="A66" i="83"/>
  <c r="A123" i="83"/>
  <c r="C38" i="83"/>
  <c r="A97" i="82"/>
  <c r="B82" i="82"/>
  <c r="B81" i="82"/>
  <c r="B80" i="82"/>
  <c r="B79" i="82"/>
  <c r="B78" i="82"/>
  <c r="B77" i="82"/>
  <c r="B76" i="82"/>
  <c r="B75" i="82"/>
  <c r="B74" i="82"/>
  <c r="B73" i="82"/>
  <c r="B72" i="82"/>
  <c r="B71" i="82"/>
  <c r="C70" i="82"/>
  <c r="C127" i="82" s="1"/>
  <c r="B70" i="82"/>
  <c r="C69" i="82"/>
  <c r="C126" i="82" s="1"/>
  <c r="A66" i="82"/>
  <c r="A123" i="82" s="1"/>
  <c r="C36" i="82"/>
  <c r="A97" i="81"/>
  <c r="B82" i="81"/>
  <c r="B81" i="81"/>
  <c r="B80" i="81"/>
  <c r="B79" i="81"/>
  <c r="B78" i="81"/>
  <c r="B77" i="81"/>
  <c r="B76" i="81"/>
  <c r="B75" i="81"/>
  <c r="B74" i="81"/>
  <c r="B73" i="81"/>
  <c r="B72" i="81"/>
  <c r="B71" i="81"/>
  <c r="C70" i="81"/>
  <c r="C128" i="81" s="1"/>
  <c r="B70" i="81"/>
  <c r="C69" i="81"/>
  <c r="C127" i="81"/>
  <c r="A66" i="81"/>
  <c r="A124" i="81" s="1"/>
  <c r="A98" i="80"/>
  <c r="B83" i="80"/>
  <c r="B82" i="80"/>
  <c r="B81" i="80"/>
  <c r="B80" i="80"/>
  <c r="B79" i="80"/>
  <c r="B78" i="80"/>
  <c r="B77" i="80"/>
  <c r="B76" i="80"/>
  <c r="B75" i="80"/>
  <c r="B74" i="80"/>
  <c r="B73" i="80"/>
  <c r="B72" i="80"/>
  <c r="C71" i="80"/>
  <c r="C131" i="80"/>
  <c r="B71" i="80"/>
  <c r="C70" i="80"/>
  <c r="C130" i="80" s="1"/>
  <c r="A67" i="80"/>
  <c r="A127" i="80"/>
  <c r="A99" i="79"/>
  <c r="B84" i="79"/>
  <c r="B83" i="79"/>
  <c r="B82" i="79"/>
  <c r="B81" i="79"/>
  <c r="B80" i="79"/>
  <c r="B79" i="79"/>
  <c r="B78" i="79"/>
  <c r="B77" i="79"/>
  <c r="B76" i="79"/>
  <c r="B75" i="79"/>
  <c r="B74" i="79"/>
  <c r="B73" i="79"/>
  <c r="C72" i="79"/>
  <c r="C129" i="79" s="1"/>
  <c r="B72" i="79"/>
  <c r="C71" i="79"/>
  <c r="C128" i="79" s="1"/>
  <c r="A68" i="79"/>
  <c r="A125" i="79" s="1"/>
  <c r="A98" i="78"/>
  <c r="B83" i="78"/>
  <c r="B82" i="78"/>
  <c r="B81" i="78"/>
  <c r="B80" i="78"/>
  <c r="B79" i="78"/>
  <c r="B78" i="78"/>
  <c r="B77" i="78"/>
  <c r="B76" i="78"/>
  <c r="B75" i="78"/>
  <c r="B74" i="78"/>
  <c r="B73" i="78"/>
  <c r="B72" i="78"/>
  <c r="C71" i="78"/>
  <c r="C131" i="78" s="1"/>
  <c r="B71" i="78"/>
  <c r="C70" i="78"/>
  <c r="C130" i="78" s="1"/>
  <c r="A67" i="78"/>
  <c r="A127" i="78" s="1"/>
  <c r="A99" i="77"/>
  <c r="B84" i="77"/>
  <c r="B83" i="77"/>
  <c r="B82" i="77"/>
  <c r="B81" i="77"/>
  <c r="B80" i="77"/>
  <c r="B79" i="77"/>
  <c r="B78" i="77"/>
  <c r="B77" i="77"/>
  <c r="B76" i="77"/>
  <c r="B75" i="77"/>
  <c r="B74" i="77"/>
  <c r="B73" i="77"/>
  <c r="C72" i="77"/>
  <c r="C135" i="77" s="1"/>
  <c r="C71" i="77"/>
  <c r="C134" i="77" s="1"/>
  <c r="A68" i="77"/>
  <c r="A131" i="77"/>
  <c r="A98" i="76"/>
  <c r="B83" i="76"/>
  <c r="B82" i="76"/>
  <c r="B81" i="76"/>
  <c r="B80" i="76"/>
  <c r="B79" i="76"/>
  <c r="B78" i="76"/>
  <c r="B77" i="76"/>
  <c r="B76" i="76"/>
  <c r="B75" i="76"/>
  <c r="B74" i="76"/>
  <c r="B73" i="76"/>
  <c r="B72" i="76"/>
  <c r="C71" i="76"/>
  <c r="C129" i="76" s="1"/>
  <c r="B71" i="76"/>
  <c r="C70" i="76"/>
  <c r="C128" i="76" s="1"/>
  <c r="A67" i="76"/>
  <c r="A125" i="76" s="1"/>
  <c r="A97" i="75"/>
  <c r="B82" i="75"/>
  <c r="B81" i="75"/>
  <c r="B80" i="75"/>
  <c r="B79" i="75"/>
  <c r="B78" i="75"/>
  <c r="B77" i="75"/>
  <c r="B76" i="75"/>
  <c r="B75" i="75"/>
  <c r="B74" i="75"/>
  <c r="B73" i="75"/>
  <c r="B72" i="75"/>
  <c r="B71" i="75"/>
  <c r="B70" i="75"/>
  <c r="C69" i="75"/>
  <c r="C132" i="75" s="1"/>
  <c r="A66" i="75"/>
  <c r="A129" i="75" s="1"/>
  <c r="A94" i="74"/>
  <c r="B79" i="74"/>
  <c r="B78" i="74"/>
  <c r="B77" i="74"/>
  <c r="B76" i="74"/>
  <c r="B75" i="74"/>
  <c r="B74" i="74"/>
  <c r="B73" i="74"/>
  <c r="B72" i="74"/>
  <c r="B71" i="74"/>
  <c r="B70" i="74"/>
  <c r="B69" i="74"/>
  <c r="B68" i="74"/>
  <c r="C67" i="74"/>
  <c r="C124" i="74"/>
  <c r="B67" i="74"/>
  <c r="C66" i="74"/>
  <c r="C123" i="74" s="1"/>
  <c r="A63" i="74"/>
  <c r="A120" i="74" s="1"/>
  <c r="A99" i="73"/>
  <c r="B86" i="73"/>
  <c r="B81" i="74" s="1"/>
  <c r="B84" i="75" s="1"/>
  <c r="B85" i="76" s="1"/>
  <c r="B86" i="77" s="1"/>
  <c r="B85" i="78" s="1"/>
  <c r="B86" i="79" s="1"/>
  <c r="B85" i="80" s="1"/>
  <c r="B84" i="81" s="1"/>
  <c r="B84" i="82" s="1"/>
  <c r="B84" i="83" s="1"/>
  <c r="B82" i="84" s="1"/>
  <c r="B85" i="73"/>
  <c r="B80" i="74" s="1"/>
  <c r="B83" i="75" s="1"/>
  <c r="B84" i="76" s="1"/>
  <c r="B85" i="77" s="1"/>
  <c r="B84" i="78" s="1"/>
  <c r="B85" i="79" s="1"/>
  <c r="B84" i="80" s="1"/>
  <c r="B83" i="81" s="1"/>
  <c r="B83" i="82" s="1"/>
  <c r="B83" i="83" s="1"/>
  <c r="B81" i="84" s="1"/>
  <c r="B84" i="73"/>
  <c r="B83" i="73"/>
  <c r="B82" i="73"/>
  <c r="B81" i="73"/>
  <c r="B80" i="73"/>
  <c r="B79" i="73"/>
  <c r="B78" i="73"/>
  <c r="B77" i="73"/>
  <c r="B76" i="73"/>
  <c r="B75" i="73"/>
  <c r="B74" i="73"/>
  <c r="B73" i="73"/>
  <c r="C72" i="73"/>
  <c r="C132" i="73" s="1"/>
  <c r="C71" i="73"/>
  <c r="C131" i="73" s="1"/>
  <c r="A68" i="73"/>
  <c r="A128" i="73" s="1"/>
  <c r="A69" i="73"/>
  <c r="A129" i="73" s="1"/>
  <c r="B84" i="72"/>
  <c r="B83" i="72"/>
  <c r="C69" i="72"/>
  <c r="C128" i="72" s="1"/>
  <c r="A67" i="72"/>
  <c r="A126" i="72"/>
  <c r="A66" i="72"/>
  <c r="A125" i="72" s="1"/>
  <c r="C26" i="83"/>
  <c r="C26" i="76"/>
  <c r="C26" i="80"/>
  <c r="C26" i="75"/>
  <c r="C32" i="75"/>
  <c r="C29" i="77"/>
  <c r="C26" i="79"/>
  <c r="C10" i="80"/>
  <c r="C29" i="73"/>
  <c r="AL73" i="3"/>
  <c r="Z22" i="51"/>
  <c r="AN22" i="51" s="1"/>
  <c r="BB22" i="51" s="1"/>
  <c r="BP22" i="51" s="1"/>
  <c r="CD22" i="51" s="1"/>
  <c r="CR22" i="51" s="1"/>
  <c r="DF22" i="51" s="1"/>
  <c r="DT22" i="51" s="1"/>
  <c r="EH22" i="51" s="1"/>
  <c r="EV22" i="51" s="1"/>
  <c r="FJ22" i="51" s="1"/>
  <c r="FX22" i="51" s="1"/>
  <c r="AW8" i="51"/>
  <c r="AC8" i="51"/>
  <c r="AQ8" i="51" s="1"/>
  <c r="BE8" i="51" s="1"/>
  <c r="BS8" i="51" s="1"/>
  <c r="CG8" i="51" s="1"/>
  <c r="CU8" i="51" s="1"/>
  <c r="DI8" i="51" s="1"/>
  <c r="DW8" i="51" s="1"/>
  <c r="EK8" i="51" s="1"/>
  <c r="EY8" i="51" s="1"/>
  <c r="FM8" i="51" s="1"/>
  <c r="GA8" i="51" s="1"/>
  <c r="AB8" i="51"/>
  <c r="AP8" i="51" s="1"/>
  <c r="BD8" i="51" s="1"/>
  <c r="BR8" i="51" s="1"/>
  <c r="CF8" i="51" s="1"/>
  <c r="CT8" i="51" s="1"/>
  <c r="DH8" i="51" s="1"/>
  <c r="DV8" i="51" s="1"/>
  <c r="EJ8" i="51" s="1"/>
  <c r="EX8" i="51" s="1"/>
  <c r="FL8" i="51" s="1"/>
  <c r="FZ8" i="51" s="1"/>
  <c r="X8" i="51"/>
  <c r="AL8" i="51" s="1"/>
  <c r="AZ8" i="51" s="1"/>
  <c r="BN8" i="51" s="1"/>
  <c r="CB8" i="51" s="1"/>
  <c r="CP8" i="51" s="1"/>
  <c r="DD8" i="51" s="1"/>
  <c r="DR8" i="51" s="1"/>
  <c r="EF8" i="51" s="1"/>
  <c r="ET8" i="51" s="1"/>
  <c r="FH8" i="51" s="1"/>
  <c r="FV8" i="51" s="1"/>
  <c r="W8" i="51"/>
  <c r="AK8" i="51" s="1"/>
  <c r="AY8" i="51" s="1"/>
  <c r="BM8" i="51" s="1"/>
  <c r="CA8" i="51" s="1"/>
  <c r="CO8" i="51" s="1"/>
  <c r="DC8" i="51" s="1"/>
  <c r="DQ8" i="51" s="1"/>
  <c r="EE8" i="51" s="1"/>
  <c r="ES8" i="51" s="1"/>
  <c r="FG8" i="51" s="1"/>
  <c r="FU8" i="51" s="1"/>
  <c r="T8" i="51"/>
  <c r="AH8" i="51" s="1"/>
  <c r="AV8" i="51" s="1"/>
  <c r="BJ8" i="51" s="1"/>
  <c r="BX8" i="51" s="1"/>
  <c r="CL8" i="51" s="1"/>
  <c r="CZ8" i="51" s="1"/>
  <c r="DN8" i="51" s="1"/>
  <c r="EB8" i="51" s="1"/>
  <c r="EP8" i="51" s="1"/>
  <c r="FD8" i="51" s="1"/>
  <c r="FR8" i="51" s="1"/>
  <c r="Z7" i="51"/>
  <c r="AN7" i="51" s="1"/>
  <c r="BB7" i="51" s="1"/>
  <c r="BP7" i="51" s="1"/>
  <c r="CD7" i="51" s="1"/>
  <c r="CR7" i="51" s="1"/>
  <c r="DF7" i="51" s="1"/>
  <c r="DT7" i="51" s="1"/>
  <c r="EH7" i="51" s="1"/>
  <c r="EV7" i="51" s="1"/>
  <c r="FJ7" i="51" s="1"/>
  <c r="FX7" i="51" s="1"/>
  <c r="U7" i="51"/>
  <c r="AI7" i="51" s="1"/>
  <c r="AW7" i="51"/>
  <c r="BK7" i="51" s="1"/>
  <c r="BY7" i="51" s="1"/>
  <c r="CM7" i="51" s="1"/>
  <c r="DA7" i="51" s="1"/>
  <c r="DO7" i="51" s="1"/>
  <c r="EC7" i="51" s="1"/>
  <c r="EQ7" i="51" s="1"/>
  <c r="FE7" i="51" s="1"/>
  <c r="FS7" i="51" s="1"/>
  <c r="Q7" i="51"/>
  <c r="AE7" i="51" s="1"/>
  <c r="AS7" i="51" s="1"/>
  <c r="BG7" i="51" s="1"/>
  <c r="BU7" i="51" s="1"/>
  <c r="CI7" i="51" s="1"/>
  <c r="CW7" i="51" s="1"/>
  <c r="DK7" i="51" s="1"/>
  <c r="DY7" i="51" s="1"/>
  <c r="EM7" i="51" s="1"/>
  <c r="FA7" i="51" s="1"/>
  <c r="FO7" i="51" s="1"/>
  <c r="B77" i="43"/>
  <c r="B76" i="43"/>
  <c r="CM35" i="48"/>
  <c r="ER32" i="47"/>
  <c r="CU10" i="48" s="1"/>
  <c r="ER29" i="47"/>
  <c r="EQ26" i="47"/>
  <c r="EE36" i="47"/>
  <c r="EF32" i="47"/>
  <c r="CM10" i="48" s="1"/>
  <c r="CM29" i="48" s="1"/>
  <c r="EF29" i="47"/>
  <c r="DW17" i="47"/>
  <c r="DS36" i="47"/>
  <c r="DS26" i="47"/>
  <c r="DT29" i="47"/>
  <c r="DT32" i="47"/>
  <c r="CE10" i="48" s="1"/>
  <c r="CE29" i="48" s="1"/>
  <c r="DG36" i="47"/>
  <c r="DG26" i="47"/>
  <c r="DG23" i="47" s="1"/>
  <c r="DH32" i="47"/>
  <c r="BW10" i="48"/>
  <c r="BW29" i="48" s="1"/>
  <c r="DH29" i="47"/>
  <c r="DL3" i="47"/>
  <c r="CZ29" i="47"/>
  <c r="CU36" i="47"/>
  <c r="M37" i="71"/>
  <c r="E37" i="71"/>
  <c r="E38" i="71" s="1"/>
  <c r="E39" i="71" s="1"/>
  <c r="M36" i="71"/>
  <c r="M33" i="71"/>
  <c r="D24" i="71"/>
  <c r="G20" i="71"/>
  <c r="F20" i="71"/>
  <c r="I19" i="71"/>
  <c r="J19" i="71" s="1"/>
  <c r="D19" i="71" s="1"/>
  <c r="H19" i="71"/>
  <c r="E19" i="71" s="1"/>
  <c r="I18" i="71"/>
  <c r="J18" i="71" s="1"/>
  <c r="D18" i="71" s="1"/>
  <c r="H18" i="71"/>
  <c r="E18" i="71" s="1"/>
  <c r="I17" i="71"/>
  <c r="J17" i="71" s="1"/>
  <c r="D17" i="71" s="1"/>
  <c r="H17" i="71"/>
  <c r="E17" i="71" s="1"/>
  <c r="I16" i="71"/>
  <c r="J16" i="71" s="1"/>
  <c r="D16" i="71" s="1"/>
  <c r="H16" i="71"/>
  <c r="E16" i="71" s="1"/>
  <c r="I15" i="71"/>
  <c r="J15" i="71" s="1"/>
  <c r="D15" i="71" s="1"/>
  <c r="H15" i="71"/>
  <c r="E15" i="71" s="1"/>
  <c r="I14" i="71"/>
  <c r="J14" i="71" s="1"/>
  <c r="D14" i="71" s="1"/>
  <c r="H14" i="71"/>
  <c r="E14" i="71"/>
  <c r="I13" i="71"/>
  <c r="J13" i="71" s="1"/>
  <c r="D13" i="71" s="1"/>
  <c r="H13" i="71"/>
  <c r="E13" i="71" s="1"/>
  <c r="I12" i="71"/>
  <c r="J12" i="71" s="1"/>
  <c r="D12" i="71" s="1"/>
  <c r="H12" i="71"/>
  <c r="E12" i="71" s="1"/>
  <c r="I11" i="71"/>
  <c r="J11" i="71" s="1"/>
  <c r="D11" i="71" s="1"/>
  <c r="H11" i="71"/>
  <c r="E11" i="71" s="1"/>
  <c r="I10" i="71"/>
  <c r="J10" i="71" s="1"/>
  <c r="D10" i="71" s="1"/>
  <c r="H10" i="71"/>
  <c r="E10" i="71" s="1"/>
  <c r="I9" i="71"/>
  <c r="J9" i="71" s="1"/>
  <c r="D9" i="71" s="1"/>
  <c r="H9" i="71"/>
  <c r="E9" i="71" s="1"/>
  <c r="I8" i="71"/>
  <c r="H8" i="71"/>
  <c r="K10" i="48"/>
  <c r="K29" i="48" s="1"/>
  <c r="R29" i="48" s="1"/>
  <c r="CV32" i="47"/>
  <c r="BO10" i="48" s="1"/>
  <c r="BO29" i="48" s="1"/>
  <c r="CV29" i="47"/>
  <c r="CI36" i="47"/>
  <c r="CJ32" i="47"/>
  <c r="BG10" i="48" s="1"/>
  <c r="BG29" i="48" s="1"/>
  <c r="CJ29" i="47"/>
  <c r="CN29" i="47"/>
  <c r="CN27" i="47" s="1"/>
  <c r="BD29" i="47"/>
  <c r="AR29" i="47"/>
  <c r="AF29" i="47"/>
  <c r="AB32" i="47"/>
  <c r="S10" i="48" s="1"/>
  <c r="AB29" i="47"/>
  <c r="T29" i="47"/>
  <c r="P32" i="47"/>
  <c r="P29" i="47"/>
  <c r="CD37" i="47"/>
  <c r="CB29" i="47"/>
  <c r="CB32" i="47"/>
  <c r="BW36" i="47"/>
  <c r="BX32" i="47"/>
  <c r="AY10" i="48" s="1"/>
  <c r="AY29" i="48" s="1"/>
  <c r="BX29" i="47"/>
  <c r="BX27" i="47" s="1"/>
  <c r="BP29" i="47"/>
  <c r="BK36" i="47"/>
  <c r="BL32" i="47"/>
  <c r="AQ10" i="48"/>
  <c r="AQ29" i="48" s="1"/>
  <c r="AQ26" i="48" s="1"/>
  <c r="BL29" i="47"/>
  <c r="BK26" i="47"/>
  <c r="AZ32" i="47"/>
  <c r="AI10" i="48"/>
  <c r="AI29" i="48" s="1"/>
  <c r="AZ29" i="47"/>
  <c r="AH22" i="47"/>
  <c r="AH21" i="47"/>
  <c r="AH20" i="47"/>
  <c r="AH19" i="47"/>
  <c r="AH17" i="47" s="1"/>
  <c r="AH16" i="47"/>
  <c r="AH13" i="47"/>
  <c r="AH12" i="47"/>
  <c r="AP12" i="47"/>
  <c r="AR12" i="47"/>
  <c r="AT12" i="47"/>
  <c r="AT11" i="47" s="1"/>
  <c r="AP13" i="47"/>
  <c r="AR13" i="47"/>
  <c r="AR11" i="47" s="1"/>
  <c r="AT13" i="47"/>
  <c r="AP16" i="47"/>
  <c r="AR16" i="47"/>
  <c r="AT16" i="47"/>
  <c r="AP19" i="47"/>
  <c r="AR19" i="47"/>
  <c r="AN32" i="47"/>
  <c r="AA10" i="48" s="1"/>
  <c r="AA29" i="48" s="1"/>
  <c r="AN29" i="47"/>
  <c r="AM23" i="47"/>
  <c r="V32" i="47"/>
  <c r="N10" i="48" s="1"/>
  <c r="N29" i="48" s="1"/>
  <c r="P29" i="48" s="1"/>
  <c r="E34" i="70"/>
  <c r="E32" i="70"/>
  <c r="C34" i="70"/>
  <c r="C32" i="70" s="1"/>
  <c r="D32" i="70"/>
  <c r="E29" i="70"/>
  <c r="D31" i="70"/>
  <c r="D29" i="70" s="1"/>
  <c r="I29" i="70"/>
  <c r="I31" i="70" s="1"/>
  <c r="E28" i="70"/>
  <c r="C28" i="70"/>
  <c r="D25" i="70"/>
  <c r="E24" i="70"/>
  <c r="E22" i="70" s="1"/>
  <c r="C24" i="70"/>
  <c r="D22" i="70"/>
  <c r="B15" i="70"/>
  <c r="B14" i="70"/>
  <c r="B10" i="70"/>
  <c r="B9" i="70"/>
  <c r="B8" i="70"/>
  <c r="D39" i="69"/>
  <c r="C39" i="69" s="1"/>
  <c r="D38" i="69"/>
  <c r="D37" i="69"/>
  <c r="D36" i="69"/>
  <c r="C36" i="69" s="1"/>
  <c r="D35" i="69"/>
  <c r="C35" i="69" s="1"/>
  <c r="D34" i="69"/>
  <c r="C34" i="69" s="1"/>
  <c r="D33" i="69"/>
  <c r="B29" i="69"/>
  <c r="E27" i="69"/>
  <c r="E19" i="69" s="1"/>
  <c r="D27" i="69"/>
  <c r="D19" i="69" s="1"/>
  <c r="B27" i="69"/>
  <c r="A27" i="69"/>
  <c r="B26" i="69"/>
  <c r="A26" i="69"/>
  <c r="E25" i="69"/>
  <c r="D25" i="69"/>
  <c r="C25" i="69" s="1"/>
  <c r="B25" i="69"/>
  <c r="A25" i="69"/>
  <c r="E24" i="69"/>
  <c r="D24" i="69"/>
  <c r="B24" i="69"/>
  <c r="A24" i="69"/>
  <c r="E23" i="69"/>
  <c r="D23" i="69"/>
  <c r="C23" i="69" s="1"/>
  <c r="B23" i="69"/>
  <c r="A23" i="69"/>
  <c r="E22" i="69"/>
  <c r="D22" i="69"/>
  <c r="B22" i="69"/>
  <c r="A22" i="69"/>
  <c r="E21" i="69"/>
  <c r="D21" i="69"/>
  <c r="C21" i="69" s="1"/>
  <c r="B21" i="69"/>
  <c r="A21" i="69"/>
  <c r="B20" i="69"/>
  <c r="A20" i="69"/>
  <c r="B19" i="69"/>
  <c r="A19" i="69"/>
  <c r="E18" i="69"/>
  <c r="B18" i="69"/>
  <c r="A18" i="69"/>
  <c r="E17" i="69"/>
  <c r="B17" i="69"/>
  <c r="A17" i="69"/>
  <c r="E16" i="69"/>
  <c r="D16" i="69"/>
  <c r="B16" i="69"/>
  <c r="E15" i="69"/>
  <c r="C15" i="69" s="1"/>
  <c r="B15" i="69"/>
  <c r="A15" i="69"/>
  <c r="B14" i="69"/>
  <c r="B13" i="69"/>
  <c r="A13" i="69"/>
  <c r="B12" i="69"/>
  <c r="A12" i="69"/>
  <c r="C11" i="69"/>
  <c r="B11" i="69"/>
  <c r="B10" i="69"/>
  <c r="B9" i="69"/>
  <c r="A9" i="69"/>
  <c r="B8" i="69"/>
  <c r="A8" i="69"/>
  <c r="B7" i="69"/>
  <c r="B44" i="68"/>
  <c r="B29" i="68"/>
  <c r="B28" i="68"/>
  <c r="B27" i="68"/>
  <c r="B17" i="68"/>
  <c r="A17" i="68"/>
  <c r="B15" i="68"/>
  <c r="A15" i="68"/>
  <c r="B14" i="68"/>
  <c r="A14" i="68"/>
  <c r="B13" i="68"/>
  <c r="B11" i="68"/>
  <c r="B39" i="67"/>
  <c r="B38" i="67"/>
  <c r="B34" i="67"/>
  <c r="B33" i="67"/>
  <c r="B32" i="67"/>
  <c r="B31" i="67"/>
  <c r="B49" i="66"/>
  <c r="B48" i="66"/>
  <c r="B47" i="66"/>
  <c r="B46" i="66"/>
  <c r="B45" i="66"/>
  <c r="B44" i="66"/>
  <c r="B43" i="66"/>
  <c r="B42" i="66"/>
  <c r="B41" i="66"/>
  <c r="B40" i="66"/>
  <c r="C34" i="66"/>
  <c r="E14" i="70" s="1"/>
  <c r="E14" i="110" s="1"/>
  <c r="B34" i="66"/>
  <c r="B32" i="66"/>
  <c r="B30" i="66"/>
  <c r="B29" i="66"/>
  <c r="B28" i="66"/>
  <c r="B27" i="66"/>
  <c r="B26" i="66"/>
  <c r="B25" i="66"/>
  <c r="B24" i="66"/>
  <c r="B20" i="66"/>
  <c r="B19" i="66"/>
  <c r="B18" i="66"/>
  <c r="B17" i="66"/>
  <c r="B16" i="66"/>
  <c r="B14" i="66"/>
  <c r="B13" i="66"/>
  <c r="B12" i="66"/>
  <c r="B11" i="66"/>
  <c r="B10" i="66"/>
  <c r="B9" i="66"/>
  <c r="C25" i="70"/>
  <c r="C33" i="68"/>
  <c r="C37" i="68"/>
  <c r="C30" i="68"/>
  <c r="C34" i="68"/>
  <c r="C38" i="68"/>
  <c r="C36" i="68"/>
  <c r="C32" i="68"/>
  <c r="C35" i="68"/>
  <c r="C26" i="69"/>
  <c r="C29" i="70"/>
  <c r="X2" i="62"/>
  <c r="A5" i="57"/>
  <c r="A5" i="58" s="1"/>
  <c r="A4" i="149" s="1"/>
  <c r="B19" i="63"/>
  <c r="B18" i="63"/>
  <c r="B10" i="63"/>
  <c r="B9" i="63"/>
  <c r="C8" i="63"/>
  <c r="AL40" i="62"/>
  <c r="Q40" i="62"/>
  <c r="AO35" i="62"/>
  <c r="AL35" i="62"/>
  <c r="AI35" i="62"/>
  <c r="AF35" i="62"/>
  <c r="AC35" i="62"/>
  <c r="Z35" i="62"/>
  <c r="T35" i="62"/>
  <c r="Q35" i="62"/>
  <c r="N35" i="62"/>
  <c r="K35" i="62"/>
  <c r="H35" i="62"/>
  <c r="D35" i="62"/>
  <c r="AL34" i="62"/>
  <c r="T34" i="62"/>
  <c r="N34" i="62"/>
  <c r="D34" i="62"/>
  <c r="AO33" i="62"/>
  <c r="AL33" i="62"/>
  <c r="AC33" i="62"/>
  <c r="T33" i="62"/>
  <c r="Q33" i="62"/>
  <c r="N33" i="62"/>
  <c r="K33" i="62"/>
  <c r="H33" i="62"/>
  <c r="D33" i="62"/>
  <c r="AO32" i="62"/>
  <c r="AI32" i="62"/>
  <c r="AC32" i="62"/>
  <c r="Q32" i="62"/>
  <c r="N32" i="62"/>
  <c r="N31" i="62" s="1"/>
  <c r="K32" i="62"/>
  <c r="D32" i="62"/>
  <c r="G30" i="62"/>
  <c r="AO29" i="62"/>
  <c r="AI29" i="62"/>
  <c r="AF29" i="62"/>
  <c r="AC29" i="62"/>
  <c r="W29" i="62"/>
  <c r="T29" i="62"/>
  <c r="Q29" i="62"/>
  <c r="H29" i="62"/>
  <c r="D29" i="62"/>
  <c r="G27" i="62"/>
  <c r="J27" i="62" s="1"/>
  <c r="AO26" i="62"/>
  <c r="AL26" i="62"/>
  <c r="AI26" i="62"/>
  <c r="Q26" i="62"/>
  <c r="D26" i="62"/>
  <c r="AL24" i="62"/>
  <c r="AC24" i="62"/>
  <c r="T24" i="62"/>
  <c r="T21" i="62" s="1"/>
  <c r="D24" i="62"/>
  <c r="AI23" i="62"/>
  <c r="AF23" i="62"/>
  <c r="AC23" i="62"/>
  <c r="W23" i="62"/>
  <c r="T23" i="62"/>
  <c r="Q23" i="62"/>
  <c r="K23" i="62"/>
  <c r="D23" i="62"/>
  <c r="AO22" i="62"/>
  <c r="AL22" i="62"/>
  <c r="AI22" i="62"/>
  <c r="AF22" i="62"/>
  <c r="Z22" i="62"/>
  <c r="W22" i="62"/>
  <c r="T22" i="62"/>
  <c r="Q22" i="62"/>
  <c r="N22" i="62"/>
  <c r="D22" i="62"/>
  <c r="AO20" i="62"/>
  <c r="AF20" i="62"/>
  <c r="AC20" i="62"/>
  <c r="W20" i="62"/>
  <c r="T20" i="62"/>
  <c r="Q20" i="62"/>
  <c r="K20" i="62"/>
  <c r="H20" i="62"/>
  <c r="D20" i="62"/>
  <c r="AO19" i="62"/>
  <c r="AL19" i="62"/>
  <c r="AI19" i="62"/>
  <c r="AF19" i="62"/>
  <c r="AC19" i="62"/>
  <c r="Z19" i="62"/>
  <c r="W19" i="62"/>
  <c r="T19" i="62"/>
  <c r="N19" i="62"/>
  <c r="K19" i="62"/>
  <c r="H19" i="62"/>
  <c r="D19" i="62"/>
  <c r="AO18" i="62"/>
  <c r="AI18" i="62"/>
  <c r="AF18" i="62"/>
  <c r="AC18" i="62"/>
  <c r="Z18" i="62"/>
  <c r="T18" i="62"/>
  <c r="Q18" i="62"/>
  <c r="N18" i="62"/>
  <c r="K18" i="62"/>
  <c r="H18" i="62"/>
  <c r="D18" i="62"/>
  <c r="Z17" i="62"/>
  <c r="Z15" i="62" s="1"/>
  <c r="H17" i="62"/>
  <c r="E16" i="62"/>
  <c r="D16" i="62" s="1"/>
  <c r="D15" i="62"/>
  <c r="AO14" i="62"/>
  <c r="AL14" i="62"/>
  <c r="AI14" i="62"/>
  <c r="AF14" i="62"/>
  <c r="AC14" i="62"/>
  <c r="Z14" i="62"/>
  <c r="W14" i="62"/>
  <c r="T14" i="62"/>
  <c r="Q14" i="62"/>
  <c r="N14" i="62"/>
  <c r="K14" i="62"/>
  <c r="AO13" i="62"/>
  <c r="AC13" i="62"/>
  <c r="Z13" i="62"/>
  <c r="N13" i="62"/>
  <c r="H13" i="62"/>
  <c r="D13" i="62"/>
  <c r="AC12" i="62"/>
  <c r="N12" i="62"/>
  <c r="H12" i="62"/>
  <c r="D12" i="62"/>
  <c r="AO11" i="62"/>
  <c r="AL11" i="62"/>
  <c r="AI11" i="62"/>
  <c r="AC11" i="62"/>
  <c r="Z11" i="62"/>
  <c r="W11" i="62"/>
  <c r="Q11" i="62"/>
  <c r="N11" i="62"/>
  <c r="K11" i="62"/>
  <c r="D11" i="62"/>
  <c r="AL10" i="62"/>
  <c r="AF10" i="62"/>
  <c r="AC10" i="62"/>
  <c r="W10" i="62"/>
  <c r="T10" i="62"/>
  <c r="Q10" i="62"/>
  <c r="N10" i="62"/>
  <c r="K10" i="62"/>
  <c r="H10" i="62"/>
  <c r="D10" i="62"/>
  <c r="AL4" i="62"/>
  <c r="X1" i="62"/>
  <c r="C36" i="61"/>
  <c r="C35" i="61"/>
  <c r="C34" i="61"/>
  <c r="C33" i="61"/>
  <c r="C32" i="61"/>
  <c r="C31" i="61"/>
  <c r="C30" i="61"/>
  <c r="A30" i="61"/>
  <c r="A30" i="69" s="1"/>
  <c r="E27" i="61"/>
  <c r="C27" i="61" s="1"/>
  <c r="B27" i="61"/>
  <c r="A27" i="61"/>
  <c r="B26" i="61"/>
  <c r="A26" i="61"/>
  <c r="D25" i="61"/>
  <c r="C25" i="61" s="1"/>
  <c r="B25" i="61"/>
  <c r="A25" i="61"/>
  <c r="D24" i="61"/>
  <c r="C24" i="61" s="1"/>
  <c r="B24" i="61"/>
  <c r="A24" i="61"/>
  <c r="D23" i="61"/>
  <c r="C23" i="61" s="1"/>
  <c r="B23" i="61"/>
  <c r="A23" i="61"/>
  <c r="D22" i="61"/>
  <c r="C22" i="61" s="1"/>
  <c r="B22" i="61"/>
  <c r="A22" i="61"/>
  <c r="D21" i="61"/>
  <c r="C21" i="61" s="1"/>
  <c r="B21" i="61"/>
  <c r="A21" i="61"/>
  <c r="B20" i="61"/>
  <c r="A20" i="61"/>
  <c r="B19" i="61"/>
  <c r="A19" i="61"/>
  <c r="B18" i="61"/>
  <c r="A18" i="61"/>
  <c r="E17" i="61"/>
  <c r="C17" i="61" s="1"/>
  <c r="B17" i="61"/>
  <c r="A17" i="61"/>
  <c r="E16" i="61"/>
  <c r="D16" i="61"/>
  <c r="B16" i="61"/>
  <c r="E15" i="61"/>
  <c r="C15" i="61" s="1"/>
  <c r="B15" i="61"/>
  <c r="A15" i="61"/>
  <c r="B14" i="61"/>
  <c r="B13" i="61"/>
  <c r="A13" i="61"/>
  <c r="B12" i="61"/>
  <c r="A12" i="61"/>
  <c r="C11" i="61"/>
  <c r="B11" i="61"/>
  <c r="B10" i="61"/>
  <c r="E9" i="61"/>
  <c r="E9" i="69" s="1"/>
  <c r="C9" i="69" s="1"/>
  <c r="B9" i="61"/>
  <c r="A9" i="61"/>
  <c r="B8" i="61"/>
  <c r="A8" i="61"/>
  <c r="B7" i="61"/>
  <c r="D127" i="60"/>
  <c r="AH124" i="60"/>
  <c r="D124" i="60"/>
  <c r="D123" i="60"/>
  <c r="D122" i="60"/>
  <c r="AH121" i="60"/>
  <c r="K121" i="60"/>
  <c r="D121" i="60" s="1"/>
  <c r="AH119" i="60"/>
  <c r="AH118" i="60"/>
  <c r="E118" i="60"/>
  <c r="AH117" i="60"/>
  <c r="C117" i="60" s="1"/>
  <c r="AH115" i="60"/>
  <c r="AH114" i="60"/>
  <c r="AH113" i="60"/>
  <c r="AH112" i="60"/>
  <c r="D112" i="60"/>
  <c r="AH111" i="60"/>
  <c r="D111" i="60"/>
  <c r="D110" i="60"/>
  <c r="AH106" i="60"/>
  <c r="D106" i="60"/>
  <c r="D100" i="60"/>
  <c r="AH90" i="60"/>
  <c r="AH89" i="60" s="1"/>
  <c r="AJ89" i="60"/>
  <c r="AI89" i="60"/>
  <c r="AI80" i="60" s="1"/>
  <c r="AG89" i="60"/>
  <c r="AF89" i="60"/>
  <c r="AD89" i="60"/>
  <c r="AC89" i="60"/>
  <c r="AB89" i="60"/>
  <c r="AA89" i="60"/>
  <c r="Z89" i="60"/>
  <c r="Y89" i="60"/>
  <c r="X89" i="60"/>
  <c r="T80" i="60"/>
  <c r="R87" i="60"/>
  <c r="P87" i="60" s="1"/>
  <c r="C87" i="60" s="1"/>
  <c r="D86" i="60"/>
  <c r="D84" i="60"/>
  <c r="D83" i="60"/>
  <c r="AH82" i="60"/>
  <c r="AH81" i="60" s="1"/>
  <c r="D82" i="60"/>
  <c r="AL80" i="60"/>
  <c r="D77" i="60"/>
  <c r="D76" i="60"/>
  <c r="D75" i="60"/>
  <c r="D74" i="60"/>
  <c r="D73" i="60"/>
  <c r="D72" i="60"/>
  <c r="D71" i="60"/>
  <c r="D70" i="60"/>
  <c r="D69" i="60"/>
  <c r="D68" i="60"/>
  <c r="D67" i="60"/>
  <c r="D66" i="60"/>
  <c r="D65" i="60"/>
  <c r="D64" i="60"/>
  <c r="O63" i="60"/>
  <c r="K63" i="60"/>
  <c r="H63" i="60"/>
  <c r="E63" i="60"/>
  <c r="D62" i="60"/>
  <c r="D61" i="60"/>
  <c r="D59" i="60" s="1"/>
  <c r="D60" i="60"/>
  <c r="K59" i="60"/>
  <c r="H59" i="60"/>
  <c r="E59" i="60"/>
  <c r="D58" i="60"/>
  <c r="D57" i="60"/>
  <c r="D56" i="60"/>
  <c r="D55" i="60"/>
  <c r="D54" i="60"/>
  <c r="D53" i="60"/>
  <c r="D52" i="60"/>
  <c r="K51" i="60"/>
  <c r="H51" i="60"/>
  <c r="E51" i="60"/>
  <c r="D50" i="60"/>
  <c r="D49" i="60"/>
  <c r="D48" i="60"/>
  <c r="D47" i="60"/>
  <c r="D46" i="60"/>
  <c r="A46" i="60"/>
  <c r="A47" i="60"/>
  <c r="A48" i="60" s="1"/>
  <c r="A49" i="60" s="1"/>
  <c r="A50" i="60" s="1"/>
  <c r="K45" i="60"/>
  <c r="K44" i="60" s="1"/>
  <c r="H45" i="60"/>
  <c r="E45" i="60"/>
  <c r="E44" i="60" s="1"/>
  <c r="D43" i="60"/>
  <c r="D42" i="60"/>
  <c r="D41" i="60"/>
  <c r="D38" i="60"/>
  <c r="D37" i="60"/>
  <c r="D36" i="60"/>
  <c r="D35" i="60"/>
  <c r="D34" i="60"/>
  <c r="D33" i="60"/>
  <c r="D32" i="60"/>
  <c r="D31" i="60"/>
  <c r="D30" i="60"/>
  <c r="D29" i="60"/>
  <c r="D28" i="60"/>
  <c r="D27" i="60"/>
  <c r="D26" i="60"/>
  <c r="D25" i="60"/>
  <c r="D24" i="60"/>
  <c r="D23" i="60"/>
  <c r="D22" i="60"/>
  <c r="D21" i="60"/>
  <c r="D20" i="60"/>
  <c r="D19" i="60"/>
  <c r="D18" i="60"/>
  <c r="D17" i="60"/>
  <c r="D16" i="60"/>
  <c r="D15" i="60"/>
  <c r="D14" i="60"/>
  <c r="D13" i="60"/>
  <c r="K12" i="60"/>
  <c r="H12" i="60"/>
  <c r="E12" i="60"/>
  <c r="E11" i="60" s="1"/>
  <c r="H8" i="60"/>
  <c r="F8" i="60"/>
  <c r="E8" i="60"/>
  <c r="E44" i="58"/>
  <c r="E54" i="68" s="1"/>
  <c r="D44" i="58"/>
  <c r="C30" i="57"/>
  <c r="C34" i="54"/>
  <c r="AJ31" i="62"/>
  <c r="AM15" i="62"/>
  <c r="C20" i="69"/>
  <c r="H44" i="60"/>
  <c r="C19" i="58"/>
  <c r="C26" i="61"/>
  <c r="C19" i="62"/>
  <c r="F15" i="62"/>
  <c r="AL32" i="62"/>
  <c r="C19" i="63"/>
  <c r="L9" i="62"/>
  <c r="X25" i="62"/>
  <c r="L31" i="62"/>
  <c r="Z32" i="62"/>
  <c r="AJ25" i="62"/>
  <c r="R28" i="62"/>
  <c r="K29" i="62"/>
  <c r="C18" i="63"/>
  <c r="O25" i="62"/>
  <c r="AC22" i="62"/>
  <c r="C35" i="62"/>
  <c r="C16" i="62"/>
  <c r="N26" i="62"/>
  <c r="L25" i="62"/>
  <c r="AI13" i="62"/>
  <c r="AA9" i="62"/>
  <c r="Z20" i="62"/>
  <c r="Z23" i="62"/>
  <c r="AF32" i="62"/>
  <c r="AF11" i="62"/>
  <c r="W13" i="62"/>
  <c r="U9" i="62"/>
  <c r="W18" i="62"/>
  <c r="C18" i="62"/>
  <c r="N20" i="62"/>
  <c r="C20" i="62"/>
  <c r="N23" i="62"/>
  <c r="AA25" i="62"/>
  <c r="AL29" i="62"/>
  <c r="AI34" i="62"/>
  <c r="AG31" i="62"/>
  <c r="H14" i="62"/>
  <c r="C14" i="62"/>
  <c r="Z29" i="62"/>
  <c r="AM28" i="62"/>
  <c r="AL20" i="62"/>
  <c r="N29" i="62"/>
  <c r="C29" i="62"/>
  <c r="T11" i="62"/>
  <c r="AF26" i="62"/>
  <c r="AD25" i="62"/>
  <c r="O28" i="62"/>
  <c r="R25" i="62"/>
  <c r="F28" i="62"/>
  <c r="C20" i="61"/>
  <c r="D19" i="61"/>
  <c r="S40" i="43"/>
  <c r="S40" i="150" s="1"/>
  <c r="S11" i="150" s="1"/>
  <c r="I19" i="55"/>
  <c r="I18" i="55"/>
  <c r="I17" i="55"/>
  <c r="I16" i="55"/>
  <c r="I15" i="55"/>
  <c r="I14" i="55"/>
  <c r="I13" i="55"/>
  <c r="I11" i="55"/>
  <c r="I6" i="55" s="1"/>
  <c r="I10" i="55"/>
  <c r="I9" i="55"/>
  <c r="I8" i="55"/>
  <c r="I7" i="55"/>
  <c r="F19" i="55"/>
  <c r="F18" i="55"/>
  <c r="F17" i="55"/>
  <c r="F16" i="55"/>
  <c r="F15" i="55"/>
  <c r="F14" i="55"/>
  <c r="F13" i="55"/>
  <c r="F11" i="55"/>
  <c r="F10" i="55"/>
  <c r="F9" i="55"/>
  <c r="F8" i="55"/>
  <c r="F7" i="55"/>
  <c r="F6" i="55" s="1"/>
  <c r="F5" i="55" s="1"/>
  <c r="C19" i="55"/>
  <c r="C18" i="55"/>
  <c r="C17" i="55"/>
  <c r="C16" i="55"/>
  <c r="C15" i="55"/>
  <c r="C14" i="55"/>
  <c r="C13" i="55"/>
  <c r="C11" i="55"/>
  <c r="C6" i="55" s="1"/>
  <c r="C5" i="55" s="1"/>
  <c r="C10" i="55"/>
  <c r="C9" i="55"/>
  <c r="C8" i="55"/>
  <c r="C7" i="55"/>
  <c r="K12" i="55"/>
  <c r="J12" i="55"/>
  <c r="H12" i="55"/>
  <c r="G12" i="55"/>
  <c r="G5" i="55" s="1"/>
  <c r="E12" i="55"/>
  <c r="D12" i="55"/>
  <c r="K6" i="55"/>
  <c r="J6" i="55"/>
  <c r="H6" i="55"/>
  <c r="G6" i="55"/>
  <c r="E6" i="55"/>
  <c r="D6" i="55"/>
  <c r="D5" i="55" s="1"/>
  <c r="B11" i="55"/>
  <c r="B10" i="55"/>
  <c r="B9" i="55"/>
  <c r="B8" i="55"/>
  <c r="B7" i="55"/>
  <c r="C37" i="53"/>
  <c r="I36" i="53"/>
  <c r="I39" i="53" s="1"/>
  <c r="C35" i="53"/>
  <c r="C33" i="53"/>
  <c r="C31" i="53"/>
  <c r="C27" i="53"/>
  <c r="C26" i="53"/>
  <c r="G25" i="53"/>
  <c r="C24" i="53"/>
  <c r="C23" i="53"/>
  <c r="C22" i="53"/>
  <c r="C21" i="53"/>
  <c r="C20" i="53"/>
  <c r="C16" i="53"/>
  <c r="C15" i="53"/>
  <c r="C14" i="53"/>
  <c r="C8" i="53"/>
  <c r="I19" i="52"/>
  <c r="E19" i="52"/>
  <c r="N19" i="52" s="1"/>
  <c r="P19" i="52" s="1"/>
  <c r="D19" i="52"/>
  <c r="I18" i="52"/>
  <c r="I17" i="52"/>
  <c r="E17" i="52"/>
  <c r="N17" i="52" s="1"/>
  <c r="P17" i="52" s="1"/>
  <c r="D17" i="52"/>
  <c r="I16" i="52"/>
  <c r="E16" i="52"/>
  <c r="N16" i="52"/>
  <c r="P16" i="52" s="1"/>
  <c r="D16" i="52"/>
  <c r="J16" i="52" s="1"/>
  <c r="I15" i="52"/>
  <c r="E15" i="52"/>
  <c r="N15" i="52" s="1"/>
  <c r="P15" i="52" s="1"/>
  <c r="D15" i="52"/>
  <c r="I14" i="52"/>
  <c r="E14" i="52"/>
  <c r="N14" i="52" s="1"/>
  <c r="D14" i="52"/>
  <c r="I13" i="52"/>
  <c r="E13" i="52"/>
  <c r="I12" i="52"/>
  <c r="E12" i="52"/>
  <c r="N12" i="52"/>
  <c r="P12" i="52"/>
  <c r="D12" i="52"/>
  <c r="I11" i="52"/>
  <c r="E11" i="52"/>
  <c r="N11" i="52" s="1"/>
  <c r="P11" i="52" s="1"/>
  <c r="D11" i="52"/>
  <c r="I10" i="52"/>
  <c r="E10" i="52"/>
  <c r="N10" i="52"/>
  <c r="P10" i="52" s="1"/>
  <c r="D10" i="52"/>
  <c r="I9" i="52"/>
  <c r="E9" i="52"/>
  <c r="N9" i="52" s="1"/>
  <c r="P9" i="52" s="1"/>
  <c r="D9" i="52"/>
  <c r="A2" i="52"/>
  <c r="GA18" i="51"/>
  <c r="C136" i="84"/>
  <c r="FM18" i="51"/>
  <c r="EY18" i="51"/>
  <c r="C136" i="82"/>
  <c r="DW18" i="51"/>
  <c r="DW19" i="51" s="1"/>
  <c r="C18" i="51"/>
  <c r="CG18" i="51"/>
  <c r="H18" i="51"/>
  <c r="BE18" i="51"/>
  <c r="BE19" i="51"/>
  <c r="AQ19" i="51"/>
  <c r="AM18" i="51"/>
  <c r="N18" i="51"/>
  <c r="N16" i="51" s="1"/>
  <c r="P18" i="51"/>
  <c r="L18" i="51"/>
  <c r="J18" i="51"/>
  <c r="I18" i="51"/>
  <c r="D18" i="51"/>
  <c r="GA17" i="51"/>
  <c r="FM17" i="51"/>
  <c r="C135" i="83" s="1"/>
  <c r="EY17" i="51"/>
  <c r="C135" i="82" s="1"/>
  <c r="EK17" i="51"/>
  <c r="DW17" i="51"/>
  <c r="DI16" i="51"/>
  <c r="C17" i="51"/>
  <c r="CG17" i="51"/>
  <c r="BE17" i="51"/>
  <c r="P17" i="51"/>
  <c r="P16" i="51" s="1"/>
  <c r="N17" i="51"/>
  <c r="L17" i="51"/>
  <c r="L16" i="51" s="1"/>
  <c r="J17" i="51"/>
  <c r="I17" i="51"/>
  <c r="H17" i="51"/>
  <c r="G17" i="51"/>
  <c r="GB16" i="51"/>
  <c r="FN16" i="51"/>
  <c r="EZ16" i="51"/>
  <c r="EL16" i="51"/>
  <c r="EA16" i="51"/>
  <c r="DJ16" i="51"/>
  <c r="CY16" i="51"/>
  <c r="CV16" i="51"/>
  <c r="CH16" i="51"/>
  <c r="BW16" i="51"/>
  <c r="BT16" i="51"/>
  <c r="BF16" i="51"/>
  <c r="AR16" i="51"/>
  <c r="AD16" i="51"/>
  <c r="S16" i="51"/>
  <c r="R16" i="51"/>
  <c r="Q16" i="51"/>
  <c r="GA15" i="51"/>
  <c r="C134" i="84" s="1"/>
  <c r="FM15" i="51"/>
  <c r="C134" i="83" s="1"/>
  <c r="EY15" i="51"/>
  <c r="EK15" i="51"/>
  <c r="C135" i="81" s="1"/>
  <c r="DS15" i="51"/>
  <c r="DI15" i="51"/>
  <c r="C136" i="79"/>
  <c r="CG15" i="51"/>
  <c r="C142" i="77" s="1"/>
  <c r="BE15" i="51"/>
  <c r="C140" i="75" s="1"/>
  <c r="N15" i="51"/>
  <c r="P15" i="51"/>
  <c r="M15" i="51"/>
  <c r="L15" i="51"/>
  <c r="J15" i="51"/>
  <c r="I15" i="51"/>
  <c r="H15" i="51"/>
  <c r="G15" i="51"/>
  <c r="D15" i="51"/>
  <c r="C15" i="51"/>
  <c r="GA14" i="51"/>
  <c r="FM14" i="51"/>
  <c r="EY14" i="51"/>
  <c r="EU14" i="51"/>
  <c r="EK14" i="51"/>
  <c r="EG14" i="51"/>
  <c r="DW14" i="51"/>
  <c r="L14" i="51"/>
  <c r="DP12" i="51"/>
  <c r="DI14" i="51"/>
  <c r="C137" i="79" s="1"/>
  <c r="CG14" i="51"/>
  <c r="BE14" i="51"/>
  <c r="C139" i="75" s="1"/>
  <c r="C135" i="72" s="1"/>
  <c r="AM14" i="51"/>
  <c r="N14" i="51"/>
  <c r="P14" i="51"/>
  <c r="M14" i="51"/>
  <c r="J14" i="51"/>
  <c r="I14" i="51"/>
  <c r="D14" i="51"/>
  <c r="C14" i="51"/>
  <c r="GA13" i="51"/>
  <c r="FM13" i="51"/>
  <c r="EY13" i="51"/>
  <c r="EV12" i="51"/>
  <c r="EU13" i="51"/>
  <c r="EK13" i="51"/>
  <c r="EH12" i="51"/>
  <c r="EH11" i="51" s="1"/>
  <c r="EH10" i="51" s="1"/>
  <c r="DW13" i="51"/>
  <c r="C136" i="80" s="1"/>
  <c r="C13" i="51"/>
  <c r="M13" i="51"/>
  <c r="CR12" i="51"/>
  <c r="CR11" i="51" s="1"/>
  <c r="CR10" i="51" s="1"/>
  <c r="CQ13" i="51"/>
  <c r="CG13" i="51"/>
  <c r="CD12" i="51"/>
  <c r="CD11" i="51" s="1"/>
  <c r="CD10" i="51" s="1"/>
  <c r="H13" i="51"/>
  <c r="BE13" i="51"/>
  <c r="C138" i="75" s="1"/>
  <c r="P13" i="51"/>
  <c r="J13" i="51"/>
  <c r="I13" i="51"/>
  <c r="G13" i="51"/>
  <c r="D13" i="51"/>
  <c r="GB12" i="51"/>
  <c r="FZ12" i="51"/>
  <c r="FZ11" i="51" s="1"/>
  <c r="FZ10" i="51" s="1"/>
  <c r="FY12" i="51"/>
  <c r="FY11" i="51" s="1"/>
  <c r="FY10" i="51" s="1"/>
  <c r="FX12" i="51"/>
  <c r="FX11" i="51"/>
  <c r="FX10" i="51" s="1"/>
  <c r="FV12" i="51"/>
  <c r="FV11" i="51" s="1"/>
  <c r="FV10" i="51" s="1"/>
  <c r="FU12" i="51"/>
  <c r="FU11" i="51" s="1"/>
  <c r="FU10" i="51" s="1"/>
  <c r="FT12" i="51"/>
  <c r="FT11" i="51" s="1"/>
  <c r="FT10" i="51" s="1"/>
  <c r="FS12" i="51"/>
  <c r="FS11" i="51" s="1"/>
  <c r="FS10" i="51" s="1"/>
  <c r="FP12" i="51"/>
  <c r="FP11" i="51" s="1"/>
  <c r="FP10" i="51" s="1"/>
  <c r="FO12" i="51"/>
  <c r="FO11" i="51" s="1"/>
  <c r="FO10" i="51" s="1"/>
  <c r="FN12" i="51"/>
  <c r="FL12" i="51"/>
  <c r="FL11" i="51" s="1"/>
  <c r="FL10" i="51" s="1"/>
  <c r="FK12" i="51"/>
  <c r="FK11" i="51" s="1"/>
  <c r="FK10" i="51" s="1"/>
  <c r="FJ12" i="51"/>
  <c r="FJ11" i="51" s="1"/>
  <c r="FJ10" i="51" s="1"/>
  <c r="FH12" i="51"/>
  <c r="FH11" i="51" s="1"/>
  <c r="FH10" i="51" s="1"/>
  <c r="FG12" i="51"/>
  <c r="FG11" i="51" s="1"/>
  <c r="FG10" i="51" s="1"/>
  <c r="FF12" i="51"/>
  <c r="FF11" i="51"/>
  <c r="FF10" i="51" s="1"/>
  <c r="FB12" i="51"/>
  <c r="FB11" i="51" s="1"/>
  <c r="FB10" i="51" s="1"/>
  <c r="FA12" i="51"/>
  <c r="FA11" i="51" s="1"/>
  <c r="FA10" i="51" s="1"/>
  <c r="EZ12" i="51"/>
  <c r="EX12" i="51"/>
  <c r="EX11" i="51" s="1"/>
  <c r="EX10" i="51" s="1"/>
  <c r="EW12" i="51"/>
  <c r="EW11" i="51" s="1"/>
  <c r="EW10" i="51" s="1"/>
  <c r="ET12" i="51"/>
  <c r="ET11" i="51" s="1"/>
  <c r="ET10" i="51" s="1"/>
  <c r="ES12" i="51"/>
  <c r="ES11" i="51" s="1"/>
  <c r="ES10" i="51" s="1"/>
  <c r="ER12" i="51"/>
  <c r="ER11" i="51" s="1"/>
  <c r="ER10" i="51" s="1"/>
  <c r="EQ12" i="51"/>
  <c r="EQ11" i="51" s="1"/>
  <c r="EQ10" i="51" s="1"/>
  <c r="EN12" i="51"/>
  <c r="EN11" i="51"/>
  <c r="EN10" i="51" s="1"/>
  <c r="EM12" i="51"/>
  <c r="EM11" i="51" s="1"/>
  <c r="EM10" i="51" s="1"/>
  <c r="EL12" i="51"/>
  <c r="EL11" i="51" s="1"/>
  <c r="EL10" i="51" s="1"/>
  <c r="EJ12" i="51"/>
  <c r="EJ11" i="51"/>
  <c r="EJ10" i="51" s="1"/>
  <c r="EI12" i="51"/>
  <c r="EF12" i="51"/>
  <c r="EF11" i="51" s="1"/>
  <c r="EF10" i="51" s="1"/>
  <c r="EE12" i="51"/>
  <c r="EE11" i="51" s="1"/>
  <c r="EE10" i="51" s="1"/>
  <c r="ED12" i="51"/>
  <c r="ED11" i="51" s="1"/>
  <c r="ED10" i="51" s="1"/>
  <c r="EC12" i="51"/>
  <c r="EC11" i="51" s="1"/>
  <c r="EC10" i="51" s="1"/>
  <c r="DZ12" i="51"/>
  <c r="DZ11" i="51" s="1"/>
  <c r="DZ10" i="51" s="1"/>
  <c r="DY12" i="51"/>
  <c r="DY11" i="51" s="1"/>
  <c r="DY10" i="51" s="1"/>
  <c r="DX12" i="51"/>
  <c r="DV12" i="51"/>
  <c r="DV11" i="51"/>
  <c r="DV10" i="51" s="1"/>
  <c r="DU12" i="51"/>
  <c r="DU11" i="51" s="1"/>
  <c r="DU10" i="51" s="1"/>
  <c r="DR12" i="51"/>
  <c r="DR11" i="51" s="1"/>
  <c r="DR10" i="51" s="1"/>
  <c r="DQ12" i="51"/>
  <c r="DQ11" i="51"/>
  <c r="DQ10" i="51" s="1"/>
  <c r="DO12" i="51"/>
  <c r="DO11" i="51"/>
  <c r="DO10" i="51" s="1"/>
  <c r="DL12" i="51"/>
  <c r="DL11" i="51"/>
  <c r="DL10" i="51" s="1"/>
  <c r="DK12" i="51"/>
  <c r="DK11" i="51" s="1"/>
  <c r="DK10" i="51" s="1"/>
  <c r="DJ12" i="51"/>
  <c r="DH12" i="51"/>
  <c r="DH11" i="51"/>
  <c r="DH10" i="51" s="1"/>
  <c r="DG11" i="51"/>
  <c r="DG10" i="51" s="1"/>
  <c r="DF12" i="51"/>
  <c r="DF11" i="51" s="1"/>
  <c r="DF10" i="51" s="1"/>
  <c r="DD12" i="51"/>
  <c r="DD11" i="51"/>
  <c r="DD10" i="51" s="1"/>
  <c r="DC12" i="51"/>
  <c r="DC11" i="51" s="1"/>
  <c r="DC10" i="51" s="1"/>
  <c r="DA12" i="51"/>
  <c r="DA11" i="51" s="1"/>
  <c r="DA10" i="51" s="1"/>
  <c r="CX12" i="51"/>
  <c r="CX11" i="51" s="1"/>
  <c r="CX10" i="51" s="1"/>
  <c r="CW12" i="51"/>
  <c r="CW11" i="51"/>
  <c r="CW10" i="51" s="1"/>
  <c r="CV12" i="51"/>
  <c r="CT12" i="51"/>
  <c r="CT11" i="51" s="1"/>
  <c r="CT10" i="51" s="1"/>
  <c r="CS12" i="51"/>
  <c r="CS11" i="51" s="1"/>
  <c r="CS10" i="51" s="1"/>
  <c r="CP12" i="51"/>
  <c r="CP11" i="51" s="1"/>
  <c r="CP10" i="51" s="1"/>
  <c r="CO12" i="51"/>
  <c r="CO11" i="51" s="1"/>
  <c r="CO10" i="51" s="1"/>
  <c r="CN12" i="51"/>
  <c r="CN11" i="51" s="1"/>
  <c r="CN10" i="51" s="1"/>
  <c r="CM12" i="51"/>
  <c r="CM11" i="51" s="1"/>
  <c r="CM10" i="51" s="1"/>
  <c r="CK12" i="51"/>
  <c r="CJ12" i="51"/>
  <c r="CJ11" i="51" s="1"/>
  <c r="CJ10" i="51" s="1"/>
  <c r="CI12" i="51"/>
  <c r="CI11" i="51" s="1"/>
  <c r="CI10" i="51" s="1"/>
  <c r="CH12" i="51"/>
  <c r="CF12" i="51"/>
  <c r="CF11" i="51"/>
  <c r="CF10" i="51" s="1"/>
  <c r="CE12" i="51"/>
  <c r="CE11" i="51"/>
  <c r="CE10" i="51" s="1"/>
  <c r="CB12" i="51"/>
  <c r="CB11" i="51"/>
  <c r="CB10" i="51" s="1"/>
  <c r="CA12" i="51"/>
  <c r="CA11" i="51" s="1"/>
  <c r="CA10" i="51" s="1"/>
  <c r="BZ12" i="51"/>
  <c r="BZ11" i="51" s="1"/>
  <c r="BZ10" i="51" s="1"/>
  <c r="BY12" i="51"/>
  <c r="BY11" i="51" s="1"/>
  <c r="BY10" i="51" s="1"/>
  <c r="BV12" i="51"/>
  <c r="BU12" i="51"/>
  <c r="BU11" i="51"/>
  <c r="BU10" i="51" s="1"/>
  <c r="BT12" i="51"/>
  <c r="BS12" i="51"/>
  <c r="BR12" i="51"/>
  <c r="BR11" i="51" s="1"/>
  <c r="BR10" i="51" s="1"/>
  <c r="BQ12" i="51"/>
  <c r="BQ11" i="51" s="1"/>
  <c r="BQ10" i="51" s="1"/>
  <c r="BP12" i="51"/>
  <c r="BP11" i="51" s="1"/>
  <c r="BP10" i="51" s="1"/>
  <c r="BN12" i="51"/>
  <c r="BN11" i="51" s="1"/>
  <c r="BN10" i="51" s="1"/>
  <c r="BM12" i="51"/>
  <c r="BM11" i="51" s="1"/>
  <c r="BM10" i="51" s="1"/>
  <c r="BK12" i="51"/>
  <c r="BK11" i="51" s="1"/>
  <c r="BK10" i="51" s="1"/>
  <c r="BH12" i="51"/>
  <c r="BH11" i="51" s="1"/>
  <c r="BH10" i="51" s="1"/>
  <c r="BG12" i="51"/>
  <c r="BG11" i="51" s="1"/>
  <c r="BG10" i="51" s="1"/>
  <c r="BF12" i="51"/>
  <c r="BF11" i="51" s="1"/>
  <c r="BD12" i="51"/>
  <c r="BD11" i="51" s="1"/>
  <c r="BD10" i="51" s="1"/>
  <c r="BC12" i="51"/>
  <c r="BC11" i="51" s="1"/>
  <c r="BC10" i="51" s="1"/>
  <c r="BB12" i="51"/>
  <c r="BB11" i="51" s="1"/>
  <c r="BB10" i="51" s="1"/>
  <c r="AZ12" i="51"/>
  <c r="AZ11" i="51" s="1"/>
  <c r="AZ10" i="51" s="1"/>
  <c r="AY12" i="51"/>
  <c r="AY11" i="51" s="1"/>
  <c r="AY10" i="51" s="1"/>
  <c r="AX12" i="51"/>
  <c r="AX11" i="51" s="1"/>
  <c r="AX10" i="51" s="1"/>
  <c r="AW12" i="51"/>
  <c r="AW11" i="51" s="1"/>
  <c r="AW10" i="51" s="1"/>
  <c r="AT12" i="51"/>
  <c r="AT11" i="51" s="1"/>
  <c r="AT10" i="51" s="1"/>
  <c r="AS12" i="51"/>
  <c r="AS11" i="51"/>
  <c r="AS10" i="51" s="1"/>
  <c r="AR12" i="51"/>
  <c r="AR11" i="51" s="1"/>
  <c r="AR10" i="51" s="1"/>
  <c r="AP12" i="51"/>
  <c r="AP11" i="51" s="1"/>
  <c r="AP10" i="51" s="1"/>
  <c r="AO12" i="51"/>
  <c r="AL12" i="51"/>
  <c r="AL11" i="51" s="1"/>
  <c r="AL10" i="51" s="1"/>
  <c r="AK12" i="51"/>
  <c r="AK11" i="51"/>
  <c r="AK10" i="51" s="1"/>
  <c r="AJ12" i="51"/>
  <c r="AJ11" i="51"/>
  <c r="AJ10" i="51" s="1"/>
  <c r="AI12" i="51"/>
  <c r="AI11" i="51" s="1"/>
  <c r="AI10" i="51" s="1"/>
  <c r="AG12" i="51"/>
  <c r="AF12" i="51"/>
  <c r="AF11" i="51" s="1"/>
  <c r="AF10" i="51" s="1"/>
  <c r="AE12" i="51"/>
  <c r="AE11" i="51" s="1"/>
  <c r="AE10" i="51"/>
  <c r="AD12" i="51"/>
  <c r="AA12" i="51"/>
  <c r="AA11" i="51" s="1"/>
  <c r="AA10" i="51" s="1"/>
  <c r="Z12" i="51"/>
  <c r="Z11" i="51"/>
  <c r="Z10" i="51" s="1"/>
  <c r="X12" i="51"/>
  <c r="X11" i="51" s="1"/>
  <c r="X10" i="51" s="1"/>
  <c r="W12" i="51"/>
  <c r="W11" i="51" s="1"/>
  <c r="W10" i="51" s="1"/>
  <c r="V11" i="51"/>
  <c r="V10" i="51" s="1"/>
  <c r="R12" i="51"/>
  <c r="Q12" i="51"/>
  <c r="D42" i="50"/>
  <c r="D41" i="50"/>
  <c r="D40" i="50"/>
  <c r="D39" i="50"/>
  <c r="D38" i="50"/>
  <c r="D37" i="50"/>
  <c r="D36" i="50"/>
  <c r="D35" i="50"/>
  <c r="P34" i="50"/>
  <c r="O34" i="50"/>
  <c r="N34" i="50"/>
  <c r="M34" i="50"/>
  <c r="L34" i="50"/>
  <c r="K34" i="50"/>
  <c r="J34" i="50"/>
  <c r="I34" i="50"/>
  <c r="H34" i="50"/>
  <c r="G34" i="50"/>
  <c r="F34" i="50"/>
  <c r="E34" i="50"/>
  <c r="D30" i="50"/>
  <c r="D29" i="50"/>
  <c r="D28" i="50"/>
  <c r="D27" i="50"/>
  <c r="P25" i="50"/>
  <c r="P23" i="50" s="1"/>
  <c r="O25" i="50"/>
  <c r="O23" i="50" s="1"/>
  <c r="N25" i="50"/>
  <c r="N23" i="50" s="1"/>
  <c r="M25" i="50"/>
  <c r="M23" i="50"/>
  <c r="L25" i="50"/>
  <c r="L23" i="50" s="1"/>
  <c r="K25" i="50"/>
  <c r="K23" i="50"/>
  <c r="J25" i="50"/>
  <c r="I25" i="50"/>
  <c r="I23" i="50" s="1"/>
  <c r="H25" i="50"/>
  <c r="H23" i="50" s="1"/>
  <c r="G25" i="50"/>
  <c r="G23" i="50" s="1"/>
  <c r="F25" i="50"/>
  <c r="F23" i="50" s="1"/>
  <c r="E23" i="50"/>
  <c r="D24" i="50"/>
  <c r="D22" i="50"/>
  <c r="D21" i="50"/>
  <c r="P20" i="50"/>
  <c r="O20" i="50"/>
  <c r="N20" i="50"/>
  <c r="M20" i="50"/>
  <c r="L20" i="50"/>
  <c r="K20" i="50"/>
  <c r="D20" i="50" s="1"/>
  <c r="J20" i="50"/>
  <c r="I20" i="50"/>
  <c r="H20" i="50"/>
  <c r="G20" i="50"/>
  <c r="P17" i="50"/>
  <c r="O17" i="50"/>
  <c r="N17" i="50"/>
  <c r="M17" i="50"/>
  <c r="L17" i="50"/>
  <c r="K17" i="50"/>
  <c r="J17" i="50"/>
  <c r="I17" i="50"/>
  <c r="H17" i="50"/>
  <c r="G17" i="50"/>
  <c r="F17" i="50"/>
  <c r="E17" i="50"/>
  <c r="D16" i="50"/>
  <c r="D15" i="50"/>
  <c r="D14" i="50"/>
  <c r="D12" i="50"/>
  <c r="D11" i="50"/>
  <c r="D10" i="50"/>
  <c r="P9" i="50"/>
  <c r="P7" i="50"/>
  <c r="O9" i="50"/>
  <c r="N9" i="50"/>
  <c r="N7" i="50" s="1"/>
  <c r="M9" i="50"/>
  <c r="M7" i="50" s="1"/>
  <c r="L9" i="50"/>
  <c r="L7" i="50" s="1"/>
  <c r="K9" i="50"/>
  <c r="K7" i="50" s="1"/>
  <c r="J9" i="50"/>
  <c r="J7" i="50" s="1"/>
  <c r="I9" i="50"/>
  <c r="I7" i="50" s="1"/>
  <c r="H9" i="50"/>
  <c r="H7" i="50" s="1"/>
  <c r="G9" i="50"/>
  <c r="G7" i="50" s="1"/>
  <c r="F9" i="50"/>
  <c r="F7" i="50" s="1"/>
  <c r="E9" i="50"/>
  <c r="D8" i="50"/>
  <c r="H19" i="49"/>
  <c r="G19" i="49"/>
  <c r="F19" i="49"/>
  <c r="D19" i="49"/>
  <c r="H18" i="49"/>
  <c r="G18" i="49"/>
  <c r="F18" i="49"/>
  <c r="D18" i="49"/>
  <c r="H17" i="49"/>
  <c r="G17" i="49"/>
  <c r="F17" i="49"/>
  <c r="D17" i="49"/>
  <c r="H16" i="49"/>
  <c r="G16" i="49"/>
  <c r="F16" i="49"/>
  <c r="D16" i="49"/>
  <c r="H15" i="49"/>
  <c r="G15" i="49"/>
  <c r="F15" i="49"/>
  <c r="D15" i="49"/>
  <c r="H14" i="49"/>
  <c r="G14" i="49"/>
  <c r="F14" i="49"/>
  <c r="D14" i="49"/>
  <c r="H13" i="49"/>
  <c r="G13" i="49"/>
  <c r="F13" i="49"/>
  <c r="D13" i="49"/>
  <c r="H12" i="49"/>
  <c r="G12" i="49"/>
  <c r="F12" i="49"/>
  <c r="D12" i="49"/>
  <c r="H11" i="49"/>
  <c r="G11" i="49"/>
  <c r="F11" i="49"/>
  <c r="D11" i="49"/>
  <c r="H10" i="49"/>
  <c r="G10" i="49"/>
  <c r="F10" i="49"/>
  <c r="D10" i="49"/>
  <c r="H9" i="49"/>
  <c r="G9" i="49"/>
  <c r="F9" i="49"/>
  <c r="D9" i="49"/>
  <c r="H8" i="49"/>
  <c r="G8" i="49"/>
  <c r="F8" i="49"/>
  <c r="D8" i="49"/>
  <c r="AV56" i="48"/>
  <c r="CW35" i="48"/>
  <c r="CO35" i="48"/>
  <c r="CJ35" i="48"/>
  <c r="M15" i="15" s="1"/>
  <c r="CG35" i="48"/>
  <c r="CB35" i="48"/>
  <c r="L15" i="15" s="1"/>
  <c r="L16" i="63" s="1"/>
  <c r="C81" i="81" s="1"/>
  <c r="BY35" i="48"/>
  <c r="BT35" i="48"/>
  <c r="K15" i="15" s="1"/>
  <c r="K16" i="63" s="1"/>
  <c r="C82" i="80" s="1"/>
  <c r="BQ35" i="48"/>
  <c r="BI35" i="48"/>
  <c r="BA35" i="48"/>
  <c r="AV35" i="48"/>
  <c r="H15" i="15" s="1"/>
  <c r="H16" i="63" s="1"/>
  <c r="C83" i="77" s="1"/>
  <c r="AS35" i="48"/>
  <c r="AN35" i="48"/>
  <c r="G15" i="15" s="1"/>
  <c r="G16" i="63" s="1"/>
  <c r="C82" i="76" s="1"/>
  <c r="AK35" i="48"/>
  <c r="AC35" i="48"/>
  <c r="U35" i="48"/>
  <c r="M35" i="48"/>
  <c r="G35" i="48"/>
  <c r="C35" i="48"/>
  <c r="BL34" i="48"/>
  <c r="AV34" i="48"/>
  <c r="AN34" i="48"/>
  <c r="AF34" i="48"/>
  <c r="X34" i="48"/>
  <c r="F34" i="48"/>
  <c r="H34" i="48" s="1"/>
  <c r="CW33" i="48"/>
  <c r="CO33" i="48"/>
  <c r="CG33" i="48"/>
  <c r="BQ33" i="48"/>
  <c r="BI33" i="48"/>
  <c r="BA33" i="48"/>
  <c r="AK33" i="48"/>
  <c r="AC33" i="48"/>
  <c r="U33" i="48"/>
  <c r="G33" i="48"/>
  <c r="CV31" i="48"/>
  <c r="CW31" i="48" s="1"/>
  <c r="CO31" i="48"/>
  <c r="CF31" i="48"/>
  <c r="CG31" i="48" s="1"/>
  <c r="BX31" i="48"/>
  <c r="BY31" i="48" s="1"/>
  <c r="BP31" i="48"/>
  <c r="BQ31" i="48" s="1"/>
  <c r="BH31" i="48"/>
  <c r="BI31" i="48" s="1"/>
  <c r="E31" i="48" s="1"/>
  <c r="AZ31" i="48"/>
  <c r="BA31" i="48" s="1"/>
  <c r="AR31" i="48"/>
  <c r="AS31" i="48" s="1"/>
  <c r="AJ31" i="48"/>
  <c r="AK31" i="48" s="1"/>
  <c r="AB31" i="48"/>
  <c r="AC31" i="48" s="1"/>
  <c r="U31" i="48"/>
  <c r="L31" i="48"/>
  <c r="M31" i="48"/>
  <c r="C31" i="48"/>
  <c r="CQ32" i="48"/>
  <c r="D30" i="48"/>
  <c r="D25" i="48" s="1"/>
  <c r="CO29" i="48"/>
  <c r="CG29" i="48"/>
  <c r="BY29" i="48"/>
  <c r="BQ29" i="48"/>
  <c r="BI29" i="48"/>
  <c r="BA29" i="48"/>
  <c r="AS29" i="48"/>
  <c r="AK29" i="48"/>
  <c r="AC29" i="48"/>
  <c r="U29" i="48"/>
  <c r="CO27" i="48"/>
  <c r="CE27" i="48"/>
  <c r="CG27" i="48"/>
  <c r="BY27" i="48"/>
  <c r="BI27" i="48"/>
  <c r="BA27" i="48"/>
  <c r="AS27" i="48"/>
  <c r="AI27" i="48"/>
  <c r="AC27" i="48"/>
  <c r="S27" i="48"/>
  <c r="K27" i="48"/>
  <c r="C27" i="48" s="1"/>
  <c r="G11" i="44" s="1"/>
  <c r="BG26" i="48"/>
  <c r="CV25" i="48"/>
  <c r="CN25" i="48"/>
  <c r="CF25" i="48"/>
  <c r="BP25" i="48"/>
  <c r="BH25" i="48"/>
  <c r="AR25" i="48"/>
  <c r="AJ25" i="48"/>
  <c r="T25" i="48"/>
  <c r="CR24" i="48"/>
  <c r="BD24" i="48"/>
  <c r="AF24" i="48"/>
  <c r="P24" i="48"/>
  <c r="F24" i="48"/>
  <c r="H24" i="48" s="1"/>
  <c r="DA23" i="48"/>
  <c r="CW23" i="48"/>
  <c r="CO23" i="48"/>
  <c r="CH23" i="48"/>
  <c r="CK23" i="48" s="1"/>
  <c r="CG23" i="48"/>
  <c r="BY23" i="48"/>
  <c r="BR23" i="48"/>
  <c r="BU23" i="48" s="1"/>
  <c r="BQ23" i="48"/>
  <c r="BI23" i="48"/>
  <c r="BA23" i="48"/>
  <c r="AT23" i="48"/>
  <c r="AW23" i="48" s="1"/>
  <c r="AS23" i="48"/>
  <c r="AO23" i="48"/>
  <c r="AK23" i="48"/>
  <c r="AC23" i="48"/>
  <c r="V23" i="48"/>
  <c r="U23" i="48"/>
  <c r="M23" i="48"/>
  <c r="G23" i="48"/>
  <c r="C23" i="48"/>
  <c r="E31" i="46" s="1"/>
  <c r="C31" i="46" s="1"/>
  <c r="CW22" i="48"/>
  <c r="CO22" i="48"/>
  <c r="BY22" i="48"/>
  <c r="BQ22" i="48"/>
  <c r="BI22" i="48"/>
  <c r="BA22" i="48"/>
  <c r="AS22" i="48"/>
  <c r="AK22" i="48"/>
  <c r="AC22" i="48"/>
  <c r="U22" i="48"/>
  <c r="M22" i="48"/>
  <c r="C22" i="48"/>
  <c r="DA21" i="48"/>
  <c r="CZ21" i="48"/>
  <c r="CW21" i="48"/>
  <c r="CS21" i="48"/>
  <c r="CR21" i="48"/>
  <c r="CO21" i="48"/>
  <c r="CK21" i="48"/>
  <c r="CJ21" i="48"/>
  <c r="CG21" i="48"/>
  <c r="CC21" i="48"/>
  <c r="BY21" i="48"/>
  <c r="BU21" i="48"/>
  <c r="BT21" i="48"/>
  <c r="BQ21" i="48"/>
  <c r="BM21" i="48"/>
  <c r="BL21" i="48"/>
  <c r="BI21" i="48"/>
  <c r="BE21" i="48"/>
  <c r="BD21" i="48"/>
  <c r="C142" i="78" s="1"/>
  <c r="BA21" i="48"/>
  <c r="AS21" i="48"/>
  <c r="AO21" i="48"/>
  <c r="AK21" i="48"/>
  <c r="AG21" i="48"/>
  <c r="AF21" i="48"/>
  <c r="AC21" i="48"/>
  <c r="Y21" i="48"/>
  <c r="X21" i="48"/>
  <c r="U21" i="48"/>
  <c r="Q21" i="48"/>
  <c r="P21" i="48"/>
  <c r="C143" i="73" s="1"/>
  <c r="M21" i="48"/>
  <c r="F21" i="48"/>
  <c r="C21" i="48"/>
  <c r="I21" i="48" s="1"/>
  <c r="CX20" i="48"/>
  <c r="DA20" i="48" s="1"/>
  <c r="CW20" i="48"/>
  <c r="CP20" i="48"/>
  <c r="CO20" i="48"/>
  <c r="CH20" i="48"/>
  <c r="CK20" i="48" s="1"/>
  <c r="CG20" i="48"/>
  <c r="BZ20" i="48"/>
  <c r="BY20" i="48"/>
  <c r="BR20" i="48"/>
  <c r="BU20" i="48" s="1"/>
  <c r="BQ20" i="48"/>
  <c r="BJ20" i="48"/>
  <c r="BM20" i="48" s="1"/>
  <c r="BI20" i="48"/>
  <c r="BB20" i="48"/>
  <c r="BA20" i="48"/>
  <c r="AT20" i="48"/>
  <c r="AW20" i="48" s="1"/>
  <c r="AS20" i="48"/>
  <c r="AL20" i="48"/>
  <c r="AK20" i="48"/>
  <c r="AD20" i="48"/>
  <c r="AC20" i="48"/>
  <c r="V20" i="48"/>
  <c r="Y20" i="48" s="1"/>
  <c r="U20" i="48"/>
  <c r="N20" i="48"/>
  <c r="M20" i="48"/>
  <c r="C20" i="48"/>
  <c r="CZ19" i="48"/>
  <c r="CP19" i="48"/>
  <c r="CR19" i="48" s="1"/>
  <c r="CO19" i="48"/>
  <c r="CJ19" i="48"/>
  <c r="CG19" i="48"/>
  <c r="CB19" i="48"/>
  <c r="BY19" i="48"/>
  <c r="BR19" i="48"/>
  <c r="BT19" i="48" s="1"/>
  <c r="BQ19" i="48"/>
  <c r="BJ19" i="48"/>
  <c r="BL19" i="48" s="1"/>
  <c r="BI19" i="48"/>
  <c r="BB19" i="48"/>
  <c r="BD19" i="48" s="1"/>
  <c r="BA19" i="48"/>
  <c r="AT19" i="48"/>
  <c r="AS19" i="48"/>
  <c r="AL19" i="48"/>
  <c r="AN19" i="48" s="1"/>
  <c r="AK19" i="48"/>
  <c r="AD19" i="48"/>
  <c r="AF19" i="48" s="1"/>
  <c r="AC19" i="48"/>
  <c r="X19" i="48"/>
  <c r="U19" i="48"/>
  <c r="N19" i="48"/>
  <c r="M19" i="48"/>
  <c r="C19" i="48"/>
  <c r="CO17" i="48"/>
  <c r="CG17" i="48"/>
  <c r="BY17" i="48"/>
  <c r="BQ17" i="48"/>
  <c r="BA17" i="48"/>
  <c r="AS17" i="48"/>
  <c r="AC17" i="48"/>
  <c r="M17" i="48"/>
  <c r="CO16" i="48"/>
  <c r="CG16" i="48"/>
  <c r="BY16" i="48"/>
  <c r="BQ16" i="48"/>
  <c r="BI16" i="48"/>
  <c r="BA16" i="48"/>
  <c r="AS16" i="48"/>
  <c r="AK16" i="48"/>
  <c r="AC16" i="48"/>
  <c r="U16" i="48"/>
  <c r="M16" i="48"/>
  <c r="C16" i="48"/>
  <c r="CX15" i="48"/>
  <c r="CZ15" i="48" s="1"/>
  <c r="C130" i="84" s="1"/>
  <c r="CP15" i="48"/>
  <c r="CR15" i="48" s="1"/>
  <c r="C130" i="83" s="1"/>
  <c r="CO15" i="48"/>
  <c r="CH15" i="48"/>
  <c r="CJ15" i="48" s="1"/>
  <c r="CG15" i="48"/>
  <c r="BY15" i="48"/>
  <c r="BZ15" i="48" s="1"/>
  <c r="BR15" i="48"/>
  <c r="BT15" i="48" s="1"/>
  <c r="BQ15" i="48"/>
  <c r="BJ15" i="48"/>
  <c r="BL15" i="48" s="1"/>
  <c r="C132" i="79" s="1"/>
  <c r="BI15" i="48"/>
  <c r="BB15" i="48"/>
  <c r="BD15" i="48" s="1"/>
  <c r="BA15" i="48"/>
  <c r="AT15" i="48"/>
  <c r="AV15" i="48" s="1"/>
  <c r="AS15" i="48"/>
  <c r="AL15" i="48"/>
  <c r="AN15" i="48" s="1"/>
  <c r="AK15" i="48"/>
  <c r="AD15" i="48"/>
  <c r="AF15" i="48" s="1"/>
  <c r="AC15" i="48"/>
  <c r="V15" i="48"/>
  <c r="X15" i="48" s="1"/>
  <c r="U15" i="48"/>
  <c r="M15" i="48"/>
  <c r="N15" i="48" s="1"/>
  <c r="P15" i="48" s="1"/>
  <c r="C15" i="48"/>
  <c r="CX14" i="48"/>
  <c r="CZ14" i="48" s="1"/>
  <c r="CP14" i="48"/>
  <c r="CR14" i="48" s="1"/>
  <c r="CO14" i="48"/>
  <c r="CH14" i="48"/>
  <c r="CJ14" i="48" s="1"/>
  <c r="D17" i="138" s="1"/>
  <c r="CG14" i="48"/>
  <c r="BY14" i="48"/>
  <c r="BZ14" i="48" s="1"/>
  <c r="CB14" i="48" s="1"/>
  <c r="BR14" i="48"/>
  <c r="BT14" i="48" s="1"/>
  <c r="C133" i="80" s="1"/>
  <c r="BQ14" i="48"/>
  <c r="BG14" i="48"/>
  <c r="BB14" i="48"/>
  <c r="BD14" i="48" s="1"/>
  <c r="BA14" i="48"/>
  <c r="AT14" i="48"/>
  <c r="AV14" i="48" s="1"/>
  <c r="AS14" i="48"/>
  <c r="AL14" i="48"/>
  <c r="AN14" i="48" s="1"/>
  <c r="AK14" i="48"/>
  <c r="AD14" i="48"/>
  <c r="AC14" i="48"/>
  <c r="V14" i="48"/>
  <c r="X14" i="48" s="1"/>
  <c r="U14" i="48"/>
  <c r="M14" i="48"/>
  <c r="N14" i="48" s="1"/>
  <c r="P14" i="48" s="1"/>
  <c r="CY13" i="48"/>
  <c r="CY8" i="48" s="1"/>
  <c r="CV13" i="48"/>
  <c r="CV8" i="48" s="1"/>
  <c r="CQ13" i="48"/>
  <c r="CQ8" i="48" s="1"/>
  <c r="CN13" i="48"/>
  <c r="CN8" i="48" s="1"/>
  <c r="CM13" i="48"/>
  <c r="CI13" i="48"/>
  <c r="CI8" i="48"/>
  <c r="CF13" i="48"/>
  <c r="CF8" i="48" s="1"/>
  <c r="CE13" i="48"/>
  <c r="CA13" i="48"/>
  <c r="CA8" i="48" s="1"/>
  <c r="BX13" i="48"/>
  <c r="BX8" i="48" s="1"/>
  <c r="BW13" i="48"/>
  <c r="BS13" i="48"/>
  <c r="BS8" i="48"/>
  <c r="BP13" i="48"/>
  <c r="BP8" i="48" s="1"/>
  <c r="BO13" i="48"/>
  <c r="BK13" i="48"/>
  <c r="BK8" i="48" s="1"/>
  <c r="BH13" i="48"/>
  <c r="BH8" i="48" s="1"/>
  <c r="BC13" i="48"/>
  <c r="BC8" i="48"/>
  <c r="AZ13" i="48"/>
  <c r="AZ8" i="48" s="1"/>
  <c r="AY13" i="48"/>
  <c r="AU13" i="48"/>
  <c r="AU8" i="48" s="1"/>
  <c r="AR13" i="48"/>
  <c r="AR8" i="48" s="1"/>
  <c r="AQ13" i="48"/>
  <c r="AM13" i="48"/>
  <c r="AM8" i="48" s="1"/>
  <c r="AJ13" i="48"/>
  <c r="AJ8" i="48" s="1"/>
  <c r="AE13" i="48"/>
  <c r="AE8" i="48"/>
  <c r="AB13" i="48"/>
  <c r="AB8" i="48" s="1"/>
  <c r="AA13" i="48"/>
  <c r="W13" i="48"/>
  <c r="T13" i="48"/>
  <c r="T8" i="48" s="1"/>
  <c r="O13" i="48"/>
  <c r="O8" i="48" s="1"/>
  <c r="L13" i="48"/>
  <c r="L8" i="48" s="1"/>
  <c r="K13" i="48"/>
  <c r="CU11" i="48"/>
  <c r="CX11" i="48" s="1"/>
  <c r="CZ11" i="48" s="1"/>
  <c r="CM11" i="48"/>
  <c r="CP11" i="48" s="1"/>
  <c r="CR11" i="48" s="1"/>
  <c r="CE11" i="48"/>
  <c r="CH11" i="48" s="1"/>
  <c r="CJ11" i="48" s="1"/>
  <c r="BZ11" i="48"/>
  <c r="CB11" i="48" s="1"/>
  <c r="BY11" i="48"/>
  <c r="BO11" i="48"/>
  <c r="BG11" i="48"/>
  <c r="BI11" i="48" s="1"/>
  <c r="BJ11" i="48" s="1"/>
  <c r="BL11" i="48" s="1"/>
  <c r="BB11" i="48"/>
  <c r="BD11" i="48" s="1"/>
  <c r="BA11" i="48"/>
  <c r="AQ11" i="48"/>
  <c r="AS11" i="48" s="1"/>
  <c r="AL11" i="48"/>
  <c r="AN11" i="48" s="1"/>
  <c r="AK11" i="48"/>
  <c r="AD11" i="48"/>
  <c r="AF11" i="48" s="1"/>
  <c r="AC11" i="48"/>
  <c r="V11" i="48"/>
  <c r="F11" i="48" s="1"/>
  <c r="U11" i="48"/>
  <c r="M11" i="48"/>
  <c r="N11" i="48" s="1"/>
  <c r="P11" i="48" s="1"/>
  <c r="G11" i="48"/>
  <c r="CG10" i="48"/>
  <c r="BQ10" i="48"/>
  <c r="BI10" i="48"/>
  <c r="AS10" i="48"/>
  <c r="AK10" i="48"/>
  <c r="AC10" i="48"/>
  <c r="CG9" i="48"/>
  <c r="BQ9" i="48"/>
  <c r="BI9" i="48"/>
  <c r="AS9" i="48"/>
  <c r="AK9" i="48"/>
  <c r="AC9" i="48"/>
  <c r="G9" i="48"/>
  <c r="CV7" i="48"/>
  <c r="CN7" i="48"/>
  <c r="CF7" i="48"/>
  <c r="BX7" i="48"/>
  <c r="BP7" i="48"/>
  <c r="BH7" i="48"/>
  <c r="AZ7" i="48"/>
  <c r="AR7" i="48"/>
  <c r="AJ7" i="48"/>
  <c r="AB7" i="48"/>
  <c r="T7" i="48"/>
  <c r="L7" i="48"/>
  <c r="D7" i="48"/>
  <c r="P6" i="48"/>
  <c r="X6" i="48" s="1"/>
  <c r="AF6" i="48" s="1"/>
  <c r="AN6" i="48" s="1"/>
  <c r="AV6" i="48" s="1"/>
  <c r="BD6" i="48" s="1"/>
  <c r="BL6" i="48" s="1"/>
  <c r="BT6" i="48" s="1"/>
  <c r="CB6" i="48" s="1"/>
  <c r="CJ6" i="48" s="1"/>
  <c r="CR6" i="48" s="1"/>
  <c r="CZ6" i="48" s="1"/>
  <c r="O6" i="48"/>
  <c r="W6" i="48" s="1"/>
  <c r="AE6" i="48" s="1"/>
  <c r="AM6" i="48" s="1"/>
  <c r="AU6" i="48" s="1"/>
  <c r="BC6" i="48" s="1"/>
  <c r="BK6" i="48" s="1"/>
  <c r="BS6" i="48" s="1"/>
  <c r="CA6" i="48" s="1"/>
  <c r="CI6" i="48" s="1"/>
  <c r="CQ6" i="48" s="1"/>
  <c r="CY6" i="48" s="1"/>
  <c r="N6" i="48"/>
  <c r="V6" i="48" s="1"/>
  <c r="AD6" i="48" s="1"/>
  <c r="AL6" i="48" s="1"/>
  <c r="AT6" i="48" s="1"/>
  <c r="BB6" i="48" s="1"/>
  <c r="BJ6" i="48" s="1"/>
  <c r="BR6" i="48" s="1"/>
  <c r="BZ6" i="48" s="1"/>
  <c r="CH6" i="48" s="1"/>
  <c r="CP6" i="48" s="1"/>
  <c r="CX6" i="48" s="1"/>
  <c r="M6" i="48"/>
  <c r="U6" i="48" s="1"/>
  <c r="AC6" i="48" s="1"/>
  <c r="AK6" i="48" s="1"/>
  <c r="AS6" i="48" s="1"/>
  <c r="BA6" i="48" s="1"/>
  <c r="BI6" i="48" s="1"/>
  <c r="BQ6" i="48" s="1"/>
  <c r="BY6" i="48" s="1"/>
  <c r="CG6" i="48" s="1"/>
  <c r="CO6" i="48" s="1"/>
  <c r="CW6" i="48" s="1"/>
  <c r="L6" i="48"/>
  <c r="T6" i="48" s="1"/>
  <c r="AB6" i="48" s="1"/>
  <c r="AJ6" i="48" s="1"/>
  <c r="AR6" i="48" s="1"/>
  <c r="AZ6" i="48" s="1"/>
  <c r="BH6" i="48" s="1"/>
  <c r="BP6" i="48" s="1"/>
  <c r="BX6" i="48" s="1"/>
  <c r="CF6" i="48" s="1"/>
  <c r="CN6" i="48" s="1"/>
  <c r="CV6" i="48" s="1"/>
  <c r="K6" i="48"/>
  <c r="S6" i="48" s="1"/>
  <c r="AA6" i="48" s="1"/>
  <c r="AI6" i="48" s="1"/>
  <c r="AQ6" i="48" s="1"/>
  <c r="AY6" i="48" s="1"/>
  <c r="BG6" i="48" s="1"/>
  <c r="BO6" i="48" s="1"/>
  <c r="BW6" i="48" s="1"/>
  <c r="CE6" i="48" s="1"/>
  <c r="CM6" i="48" s="1"/>
  <c r="CU6" i="48" s="1"/>
  <c r="R5" i="48"/>
  <c r="Z5" i="48" s="1"/>
  <c r="AH5" i="48"/>
  <c r="AP5" i="48" s="1"/>
  <c r="AX5" i="48" s="1"/>
  <c r="BF5" i="48" s="1"/>
  <c r="BN5" i="48" s="1"/>
  <c r="BV5" i="48" s="1"/>
  <c r="CD5" i="48" s="1"/>
  <c r="CL5" i="48" s="1"/>
  <c r="CT5" i="48" s="1"/>
  <c r="DB5" i="48" s="1"/>
  <c r="Q5" i="48"/>
  <c r="Y5" i="48" s="1"/>
  <c r="AG5" i="48" s="1"/>
  <c r="AO5" i="48" s="1"/>
  <c r="AW5" i="48" s="1"/>
  <c r="BE5" i="48" s="1"/>
  <c r="BM5" i="48" s="1"/>
  <c r="BU5" i="48" s="1"/>
  <c r="CC5" i="48" s="1"/>
  <c r="CK5" i="48" s="1"/>
  <c r="CS5" i="48" s="1"/>
  <c r="DA5" i="48" s="1"/>
  <c r="N5" i="48"/>
  <c r="V5" i="48" s="1"/>
  <c r="AD5" i="48" s="1"/>
  <c r="AL5" i="48" s="1"/>
  <c r="AT5" i="48" s="1"/>
  <c r="BB5" i="48" s="1"/>
  <c r="BJ5" i="48" s="1"/>
  <c r="BR5" i="48" s="1"/>
  <c r="BZ5" i="48" s="1"/>
  <c r="CH5" i="48" s="1"/>
  <c r="CP5" i="48" s="1"/>
  <c r="CX5" i="48" s="1"/>
  <c r="K5" i="48"/>
  <c r="S5" i="48" s="1"/>
  <c r="AA5" i="48" s="1"/>
  <c r="AI5" i="48" s="1"/>
  <c r="AQ5" i="48" s="1"/>
  <c r="AY5" i="48" s="1"/>
  <c r="BG5" i="48" s="1"/>
  <c r="BO5" i="48" s="1"/>
  <c r="BW5" i="48" s="1"/>
  <c r="CE5" i="48" s="1"/>
  <c r="CM5" i="48" s="1"/>
  <c r="CU5" i="48" s="1"/>
  <c r="K1" i="48"/>
  <c r="S1" i="48" s="1"/>
  <c r="AA1" i="48" s="1"/>
  <c r="AI1" i="48" s="1"/>
  <c r="AQ1" i="48" s="1"/>
  <c r="AY1" i="48" s="1"/>
  <c r="BG1" i="48" s="1"/>
  <c r="BO1" i="48" s="1"/>
  <c r="BW1" i="48" s="1"/>
  <c r="CE1" i="48" s="1"/>
  <c r="CM1" i="48" s="1"/>
  <c r="CU1" i="48" s="1"/>
  <c r="AT87" i="47"/>
  <c r="FA37" i="47"/>
  <c r="EY37" i="47"/>
  <c r="EX37" i="47"/>
  <c r="EV37" i="47"/>
  <c r="ET37" i="47"/>
  <c r="ER37" i="47"/>
  <c r="EO37" i="47"/>
  <c r="EM37" i="47"/>
  <c r="EL37" i="47"/>
  <c r="EJ37" i="47"/>
  <c r="EH37" i="47"/>
  <c r="EF37" i="47"/>
  <c r="EC37" i="47"/>
  <c r="EA37" i="47"/>
  <c r="DZ37" i="47"/>
  <c r="DX37" i="47"/>
  <c r="DV37" i="47"/>
  <c r="DT37" i="47"/>
  <c r="DQ37" i="47"/>
  <c r="DO37" i="47"/>
  <c r="DN37" i="47"/>
  <c r="J37" i="47" s="1"/>
  <c r="DL37" i="47"/>
  <c r="DJ37" i="47"/>
  <c r="DH37" i="47"/>
  <c r="DE37" i="47"/>
  <c r="DC37" i="47"/>
  <c r="DB37" i="47"/>
  <c r="CZ37" i="47"/>
  <c r="CX37" i="47"/>
  <c r="F37" i="47" s="1"/>
  <c r="CV37" i="47"/>
  <c r="CS37" i="47"/>
  <c r="CQ37" i="47"/>
  <c r="CP37" i="47"/>
  <c r="CN37" i="47"/>
  <c r="CL37" i="47"/>
  <c r="CJ37" i="47"/>
  <c r="CG37" i="47"/>
  <c r="CE37" i="47"/>
  <c r="CB37" i="47"/>
  <c r="BZ37" i="47"/>
  <c r="BX37" i="47"/>
  <c r="BU37" i="47"/>
  <c r="BS37" i="47"/>
  <c r="BR37" i="47"/>
  <c r="BP37" i="47"/>
  <c r="BN37" i="47"/>
  <c r="BL37" i="47"/>
  <c r="BI37" i="47"/>
  <c r="BG37" i="47"/>
  <c r="BF37" i="47"/>
  <c r="BD37" i="47"/>
  <c r="BB37" i="47"/>
  <c r="AZ37" i="47"/>
  <c r="AW37" i="47"/>
  <c r="AU37" i="47"/>
  <c r="AT37" i="47"/>
  <c r="AR37" i="47"/>
  <c r="AP37" i="47"/>
  <c r="AN37" i="47"/>
  <c r="AK37" i="47"/>
  <c r="AI37" i="47"/>
  <c r="AH37" i="47"/>
  <c r="AB37" i="47"/>
  <c r="Y37" i="47"/>
  <c r="V37" i="47"/>
  <c r="R37" i="47"/>
  <c r="P37" i="47"/>
  <c r="I37" i="47"/>
  <c r="G37" i="47"/>
  <c r="M37" i="47" s="1"/>
  <c r="E37" i="47"/>
  <c r="C37" i="47"/>
  <c r="EX36" i="47"/>
  <c r="EX33" i="47" s="1"/>
  <c r="EQ36" i="47"/>
  <c r="EQ33" i="47"/>
  <c r="EE33" i="47"/>
  <c r="DT36" i="47"/>
  <c r="DT33" i="47" s="1"/>
  <c r="DN36" i="47"/>
  <c r="DN33" i="47" s="1"/>
  <c r="DH36" i="47"/>
  <c r="DH33" i="47" s="1"/>
  <c r="CU33" i="47"/>
  <c r="CJ36" i="47"/>
  <c r="CJ33" i="47" s="1"/>
  <c r="BX36" i="47"/>
  <c r="BX33" i="47" s="1"/>
  <c r="BN36" i="47"/>
  <c r="BN33" i="47" s="1"/>
  <c r="AM36" i="47"/>
  <c r="AN36" i="47" s="1"/>
  <c r="AN33" i="47" s="1"/>
  <c r="AB36" i="47"/>
  <c r="AB33" i="47" s="1"/>
  <c r="P36" i="47"/>
  <c r="P33" i="47" s="1"/>
  <c r="FB35" i="47"/>
  <c r="EC35" i="47"/>
  <c r="DF35" i="47"/>
  <c r="BV35" i="47"/>
  <c r="AQ35" i="47"/>
  <c r="AW35" i="47" s="1"/>
  <c r="AL35" i="47"/>
  <c r="S35" i="47"/>
  <c r="G35" i="47" s="1"/>
  <c r="J35" i="47"/>
  <c r="H35" i="47"/>
  <c r="F35" i="47"/>
  <c r="D35" i="47"/>
  <c r="C35" i="47"/>
  <c r="EZ34" i="47"/>
  <c r="DJ36" i="47"/>
  <c r="DJ33" i="47" s="1"/>
  <c r="BR36" i="47"/>
  <c r="BR33" i="47" s="1"/>
  <c r="BF36" i="47"/>
  <c r="BF33" i="47" s="1"/>
  <c r="BG34" i="47"/>
  <c r="AL34" i="47"/>
  <c r="J34" i="47"/>
  <c r="H34" i="47"/>
  <c r="F34" i="47"/>
  <c r="D34" i="47"/>
  <c r="DS33" i="47"/>
  <c r="DI33" i="47"/>
  <c r="CI33" i="47"/>
  <c r="BW33" i="47"/>
  <c r="BM33" i="47"/>
  <c r="EO32" i="47"/>
  <c r="EP32" i="47"/>
  <c r="DY30" i="47"/>
  <c r="EB30" i="47" s="1"/>
  <c r="DV32" i="47"/>
  <c r="DV30" i="47" s="1"/>
  <c r="DM30" i="47"/>
  <c r="DI30" i="47"/>
  <c r="DH30" i="47"/>
  <c r="DH40" i="47" s="1"/>
  <c r="CX32" i="47"/>
  <c r="CX30" i="47" s="1"/>
  <c r="CV30" i="47"/>
  <c r="CV40" i="47" s="1"/>
  <c r="CK30" i="47"/>
  <c r="CJ30" i="47"/>
  <c r="CJ40" i="47" s="1"/>
  <c r="BZ32" i="47"/>
  <c r="BZ30" i="47" s="1"/>
  <c r="BN32" i="47"/>
  <c r="BN30" i="47"/>
  <c r="BL30" i="47"/>
  <c r="BL40" i="47" s="1"/>
  <c r="BB32" i="47"/>
  <c r="BB30" i="47" s="1"/>
  <c r="AZ30" i="47"/>
  <c r="AZ40" i="47" s="1"/>
  <c r="AP32" i="47"/>
  <c r="AP30" i="47" s="1"/>
  <c r="AN30" i="47"/>
  <c r="AN40" i="47" s="1"/>
  <c r="AG30" i="47"/>
  <c r="AD30" i="47"/>
  <c r="C32" i="47"/>
  <c r="EU31" i="47"/>
  <c r="EP31" i="47"/>
  <c r="EO31" i="47"/>
  <c r="EH32" i="47"/>
  <c r="EH30" i="47" s="1"/>
  <c r="DW31" i="47"/>
  <c r="DW32" i="47" s="1"/>
  <c r="DK31" i="47"/>
  <c r="DP31" i="47" s="1"/>
  <c r="CY31" i="47"/>
  <c r="CY32" i="47" s="1"/>
  <c r="CM31" i="47"/>
  <c r="CH31" i="47"/>
  <c r="CF31" i="47"/>
  <c r="CE31" i="47"/>
  <c r="CG31" i="47"/>
  <c r="BO31" i="47"/>
  <c r="BV31" i="47" s="1"/>
  <c r="BP32" i="47"/>
  <c r="BP30" i="47" s="1"/>
  <c r="BP40" i="47" s="1"/>
  <c r="BC31" i="47"/>
  <c r="BJ31" i="47" s="1"/>
  <c r="AQ31" i="47"/>
  <c r="AE31" i="47"/>
  <c r="AE32" i="47" s="1"/>
  <c r="AF32" i="47" s="1"/>
  <c r="S31" i="47"/>
  <c r="Y31" i="47" s="1"/>
  <c r="J31" i="47"/>
  <c r="H31" i="47"/>
  <c r="F31" i="47"/>
  <c r="E31" i="47"/>
  <c r="D31" i="47"/>
  <c r="C31" i="47"/>
  <c r="ER30" i="47"/>
  <c r="ER40" i="47" s="1"/>
  <c r="EQ30" i="47"/>
  <c r="EE30" i="47"/>
  <c r="DU30" i="47"/>
  <c r="DT30" i="47"/>
  <c r="DT40" i="47" s="1"/>
  <c r="DS30" i="47"/>
  <c r="DG30" i="47"/>
  <c r="DR30" i="47" s="1"/>
  <c r="CW30" i="47"/>
  <c r="CU30" i="47"/>
  <c r="CO30" i="47"/>
  <c r="CI30" i="47"/>
  <c r="CA30" i="47"/>
  <c r="BY30" i="47"/>
  <c r="BX30" i="47"/>
  <c r="BX40" i="47" s="1"/>
  <c r="BW30" i="47"/>
  <c r="BM30" i="47"/>
  <c r="BK30" i="47"/>
  <c r="BA30" i="47"/>
  <c r="AY30" i="47"/>
  <c r="AS30" i="47"/>
  <c r="AO30" i="47"/>
  <c r="AM30" i="47"/>
  <c r="AC30" i="47"/>
  <c r="AB30" i="47"/>
  <c r="AB40" i="47" s="1"/>
  <c r="AA30" i="47"/>
  <c r="U30" i="47"/>
  <c r="P30" i="47"/>
  <c r="O30" i="47"/>
  <c r="FB29" i="47"/>
  <c r="FA29" i="47"/>
  <c r="EU27" i="47"/>
  <c r="EZ27" i="47" s="1"/>
  <c r="ET29" i="47"/>
  <c r="ET27" i="47" s="1"/>
  <c r="EO29" i="47"/>
  <c r="EF27" i="47"/>
  <c r="EB29" i="47"/>
  <c r="DT27" i="47"/>
  <c r="DK27" i="47"/>
  <c r="DH27" i="47"/>
  <c r="DF29" i="47"/>
  <c r="DE29" i="47"/>
  <c r="DD29" i="47"/>
  <c r="DC29" i="47"/>
  <c r="CZ27" i="47"/>
  <c r="CT29" i="47"/>
  <c r="CS29" i="47"/>
  <c r="CR29" i="47"/>
  <c r="CQ29" i="47"/>
  <c r="CJ27" i="47"/>
  <c r="CF29" i="47"/>
  <c r="CB27" i="47"/>
  <c r="CG29" i="47"/>
  <c r="BU29" i="47"/>
  <c r="BQ27" i="47"/>
  <c r="BP27" i="47"/>
  <c r="BV29" i="47"/>
  <c r="BJ29" i="47"/>
  <c r="BI29" i="47"/>
  <c r="BH29" i="47"/>
  <c r="BD27" i="47"/>
  <c r="AZ27" i="47"/>
  <c r="AX29" i="47"/>
  <c r="AW29" i="47"/>
  <c r="AW27" i="47" s="1"/>
  <c r="AU29" i="47"/>
  <c r="AJ29" i="47"/>
  <c r="AK29" i="47"/>
  <c r="R29" i="47"/>
  <c r="R27" i="47"/>
  <c r="P27" i="47"/>
  <c r="C29" i="47"/>
  <c r="FB28" i="47"/>
  <c r="FA28" i="47"/>
  <c r="FA27" i="47" s="1"/>
  <c r="EZ28" i="47"/>
  <c r="EY28" i="47"/>
  <c r="EP28" i="47"/>
  <c r="EO28" i="47"/>
  <c r="EN28" i="47"/>
  <c r="EM28" i="47"/>
  <c r="ED28" i="47"/>
  <c r="EC28" i="47"/>
  <c r="EB28" i="47"/>
  <c r="EA28" i="47"/>
  <c r="DR28" i="47"/>
  <c r="DQ28" i="47"/>
  <c r="DP28" i="47"/>
  <c r="DO28" i="47"/>
  <c r="DF28" i="47"/>
  <c r="DE28" i="47"/>
  <c r="DD28" i="47"/>
  <c r="DC28" i="47"/>
  <c r="DC27" i="47" s="1"/>
  <c r="CW27" i="47"/>
  <c r="CT28" i="47"/>
  <c r="CS28" i="47"/>
  <c r="CR28" i="47"/>
  <c r="CQ28" i="47"/>
  <c r="CQ27" i="47" s="1"/>
  <c r="CH28" i="47"/>
  <c r="CG28" i="47"/>
  <c r="CF28" i="47"/>
  <c r="CE28" i="47"/>
  <c r="BV28" i="47"/>
  <c r="BU28" i="47"/>
  <c r="BU27" i="47" s="1"/>
  <c r="BT28" i="47"/>
  <c r="BS28" i="47"/>
  <c r="BJ28" i="47"/>
  <c r="BI28" i="47"/>
  <c r="BI27" i="47" s="1"/>
  <c r="BH28" i="47"/>
  <c r="BG28" i="47"/>
  <c r="BA27" i="47"/>
  <c r="AX28" i="47"/>
  <c r="AW28" i="47"/>
  <c r="AV28" i="47"/>
  <c r="AU28" i="47"/>
  <c r="AP29" i="47"/>
  <c r="AL28" i="47"/>
  <c r="AK28" i="47"/>
  <c r="AJ28" i="47"/>
  <c r="AI28" i="47"/>
  <c r="Z28" i="47"/>
  <c r="Y28" i="47"/>
  <c r="J28" i="47"/>
  <c r="H28" i="47"/>
  <c r="G28" i="47"/>
  <c r="F28" i="47"/>
  <c r="D28" i="47"/>
  <c r="C28" i="47"/>
  <c r="EW27" i="47"/>
  <c r="ES27" i="47"/>
  <c r="ER27" i="47"/>
  <c r="EQ27" i="47"/>
  <c r="EI27" i="47"/>
  <c r="EE27" i="47"/>
  <c r="DY27" i="47"/>
  <c r="DS27" i="47"/>
  <c r="ED27" i="47" s="1"/>
  <c r="DM27" i="47"/>
  <c r="DG27" i="47"/>
  <c r="DR27" i="47" s="1"/>
  <c r="DA27" i="47"/>
  <c r="CY27" i="47"/>
  <c r="CU27" i="47"/>
  <c r="CO27" i="47"/>
  <c r="CM27" i="47"/>
  <c r="CI27" i="47"/>
  <c r="CC27" i="47"/>
  <c r="CA27" i="47"/>
  <c r="BW27" i="47"/>
  <c r="BO27" i="47"/>
  <c r="BL27" i="47"/>
  <c r="BK27" i="47"/>
  <c r="BE27" i="47"/>
  <c r="BC27" i="47"/>
  <c r="BJ27" i="47" s="1"/>
  <c r="AY27" i="47"/>
  <c r="AR27" i="47"/>
  <c r="AQ27" i="47"/>
  <c r="AN27" i="47"/>
  <c r="AM27" i="47"/>
  <c r="AB27" i="47"/>
  <c r="AA27" i="47"/>
  <c r="O27" i="47"/>
  <c r="EK23" i="47"/>
  <c r="EH26" i="47"/>
  <c r="EH23" i="47" s="1"/>
  <c r="EE26" i="47"/>
  <c r="DI23" i="47"/>
  <c r="CV26" i="47"/>
  <c r="CV23" i="47" s="1"/>
  <c r="CO23" i="47"/>
  <c r="CI23" i="47"/>
  <c r="CC23" i="47"/>
  <c r="BZ26" i="47"/>
  <c r="BZ23" i="47" s="1"/>
  <c r="BW26" i="47"/>
  <c r="BX26" i="47" s="1"/>
  <c r="BX23" i="47" s="1"/>
  <c r="BK23" i="47"/>
  <c r="BF26" i="47"/>
  <c r="BF23" i="47" s="1"/>
  <c r="BE23" i="47"/>
  <c r="AY26" i="47"/>
  <c r="AT26" i="47"/>
  <c r="AT23" i="47" s="1"/>
  <c r="AN26" i="47"/>
  <c r="AN23" i="47" s="1"/>
  <c r="AD23" i="47"/>
  <c r="AB26" i="47"/>
  <c r="AB23" i="47" s="1"/>
  <c r="P26" i="47"/>
  <c r="FB25" i="47"/>
  <c r="EO25" i="47"/>
  <c r="EB25" i="47"/>
  <c r="DK25" i="47"/>
  <c r="DR25" i="47" s="1"/>
  <c r="CY25" i="47"/>
  <c r="DD25" i="47" s="1"/>
  <c r="CM25" i="47"/>
  <c r="CT25" i="47" s="1"/>
  <c r="CA25" i="47"/>
  <c r="CA26" i="47" s="1"/>
  <c r="BC25" i="47"/>
  <c r="BC26" i="47" s="1"/>
  <c r="AX25" i="47"/>
  <c r="AW25" i="47"/>
  <c r="AU25" i="47"/>
  <c r="AE25" i="47"/>
  <c r="Z25" i="47"/>
  <c r="J25" i="47"/>
  <c r="H25" i="47"/>
  <c r="F25" i="47"/>
  <c r="D25" i="47"/>
  <c r="C25" i="47"/>
  <c r="ER26" i="47"/>
  <c r="ER23" i="47" s="1"/>
  <c r="EN24" i="47"/>
  <c r="DT26" i="47"/>
  <c r="DT23" i="47" s="1"/>
  <c r="DA23" i="47"/>
  <c r="DE24" i="47"/>
  <c r="CH24" i="47"/>
  <c r="BS24" i="47"/>
  <c r="AX24" i="47"/>
  <c r="AL24" i="47"/>
  <c r="W24" i="47"/>
  <c r="Y24" i="47"/>
  <c r="R26" i="47"/>
  <c r="R23" i="47" s="1"/>
  <c r="J24" i="47"/>
  <c r="H24" i="47"/>
  <c r="F24" i="47"/>
  <c r="D24" i="47"/>
  <c r="EG23" i="47"/>
  <c r="BY23" i="47"/>
  <c r="AC23" i="47"/>
  <c r="AC9" i="47" s="1"/>
  <c r="AC10" i="47" s="1"/>
  <c r="Q23" i="47"/>
  <c r="O23" i="47"/>
  <c r="FA22" i="47"/>
  <c r="EV22" i="47"/>
  <c r="ET22" i="47"/>
  <c r="ER22" i="47"/>
  <c r="EO22" i="47"/>
  <c r="EN22" i="47"/>
  <c r="EM22" i="47"/>
  <c r="EL22" i="47"/>
  <c r="EJ22" i="47"/>
  <c r="EH22" i="47"/>
  <c r="EF22" i="47"/>
  <c r="EC22" i="47"/>
  <c r="EB22" i="47"/>
  <c r="EA22" i="47"/>
  <c r="DZ22" i="47"/>
  <c r="DX22" i="47"/>
  <c r="DV22" i="47"/>
  <c r="DT22" i="47"/>
  <c r="DQ22" i="47"/>
  <c r="DP22" i="47"/>
  <c r="DO22" i="47"/>
  <c r="DN22" i="47"/>
  <c r="DL22" i="47"/>
  <c r="DJ22" i="47"/>
  <c r="DH22" i="47"/>
  <c r="DE22" i="47"/>
  <c r="DD22" i="47"/>
  <c r="DC22" i="47"/>
  <c r="DB22" i="47"/>
  <c r="CZ22" i="47"/>
  <c r="CX22" i="47"/>
  <c r="CV22" i="47"/>
  <c r="CS22" i="47"/>
  <c r="CR22" i="47"/>
  <c r="CQ22" i="47"/>
  <c r="CP22" i="47"/>
  <c r="CN22" i="47"/>
  <c r="CL22" i="47"/>
  <c r="CJ22" i="47"/>
  <c r="CF22" i="47"/>
  <c r="CD22" i="47"/>
  <c r="CE22" i="47"/>
  <c r="BZ22" i="47"/>
  <c r="BX22" i="47"/>
  <c r="BU22" i="47"/>
  <c r="BT22" i="47"/>
  <c r="BS22" i="47"/>
  <c r="BR22" i="47"/>
  <c r="BP22" i="47"/>
  <c r="BN22" i="47"/>
  <c r="BL22" i="47"/>
  <c r="BI22" i="47"/>
  <c r="BH22" i="47"/>
  <c r="BG22" i="47"/>
  <c r="BF22" i="47"/>
  <c r="BD22" i="47"/>
  <c r="BB22" i="47"/>
  <c r="AZ22" i="47"/>
  <c r="AW22" i="47"/>
  <c r="AV22" i="47"/>
  <c r="AU22" i="47"/>
  <c r="AT22" i="47"/>
  <c r="AR22" i="47"/>
  <c r="AP22" i="47"/>
  <c r="AN22" i="47"/>
  <c r="AK22" i="47"/>
  <c r="AJ22" i="47"/>
  <c r="AI22" i="47"/>
  <c r="AB22" i="47"/>
  <c r="Y22" i="47"/>
  <c r="R22" i="47"/>
  <c r="P22" i="47"/>
  <c r="C22" i="47"/>
  <c r="FA21" i="47"/>
  <c r="EY21" i="47"/>
  <c r="EX21" i="47"/>
  <c r="EV21" i="47"/>
  <c r="ET21" i="47"/>
  <c r="ER21" i="47"/>
  <c r="EO21" i="47"/>
  <c r="EM21" i="47"/>
  <c r="EL21" i="47"/>
  <c r="EJ21" i="47"/>
  <c r="EH21" i="47"/>
  <c r="EF21" i="47"/>
  <c r="EC21" i="47"/>
  <c r="EA21" i="47"/>
  <c r="DZ21" i="47"/>
  <c r="DX21" i="47"/>
  <c r="DV21" i="47"/>
  <c r="DT21" i="47"/>
  <c r="DQ21" i="47"/>
  <c r="DO21" i="47"/>
  <c r="DN21" i="47"/>
  <c r="DL21" i="47"/>
  <c r="DJ21" i="47"/>
  <c r="DH21" i="47"/>
  <c r="DE21" i="47"/>
  <c r="DC21" i="47"/>
  <c r="DB21" i="47"/>
  <c r="CZ21" i="47"/>
  <c r="CX21" i="47"/>
  <c r="CV21" i="47"/>
  <c r="CS21" i="47"/>
  <c r="CQ21" i="47"/>
  <c r="CP21" i="47"/>
  <c r="CN21" i="47"/>
  <c r="CL21" i="47"/>
  <c r="CJ21" i="47"/>
  <c r="CG21" i="47"/>
  <c r="CE21" i="47"/>
  <c r="CD21" i="47"/>
  <c r="CB21" i="47"/>
  <c r="BZ21" i="47"/>
  <c r="BX21" i="47"/>
  <c r="BU21" i="47"/>
  <c r="BS21" i="47"/>
  <c r="BR21" i="47"/>
  <c r="BP21" i="47"/>
  <c r="BN21" i="47"/>
  <c r="BL21" i="47"/>
  <c r="BF21" i="47"/>
  <c r="BI21" i="47"/>
  <c r="BB21" i="47"/>
  <c r="AZ21" i="47"/>
  <c r="AW21" i="47"/>
  <c r="AU21" i="47"/>
  <c r="AT21" i="47"/>
  <c r="AR21" i="47"/>
  <c r="AP21" i="47"/>
  <c r="AN21" i="47"/>
  <c r="D21" i="47" s="1"/>
  <c r="AK21" i="47"/>
  <c r="AI21" i="47"/>
  <c r="AF21" i="47"/>
  <c r="AD21" i="47"/>
  <c r="AB21" i="47"/>
  <c r="Y21" i="47"/>
  <c r="W21" i="47"/>
  <c r="R21" i="47"/>
  <c r="P21" i="47"/>
  <c r="I21" i="47"/>
  <c r="E21" i="47"/>
  <c r="C21" i="47"/>
  <c r="FB20" i="47"/>
  <c r="FA20" i="47"/>
  <c r="EZ20" i="47"/>
  <c r="EY20" i="47"/>
  <c r="EX20" i="47"/>
  <c r="EV20" i="47"/>
  <c r="ET20" i="47"/>
  <c r="ER20" i="47"/>
  <c r="EP20" i="47"/>
  <c r="EO20" i="47"/>
  <c r="EN20" i="47"/>
  <c r="EM20" i="47"/>
  <c r="EL20" i="47"/>
  <c r="EJ20" i="47"/>
  <c r="EH20" i="47"/>
  <c r="EF20" i="47"/>
  <c r="ED20" i="47"/>
  <c r="EC20" i="47"/>
  <c r="EB20" i="47"/>
  <c r="EA20" i="47"/>
  <c r="DZ20" i="47"/>
  <c r="DX20" i="47"/>
  <c r="DV20" i="47"/>
  <c r="DT20" i="47"/>
  <c r="DR20" i="47"/>
  <c r="DQ20" i="47"/>
  <c r="DP20" i="47"/>
  <c r="DO20" i="47"/>
  <c r="DN20" i="47"/>
  <c r="DL20" i="47"/>
  <c r="DJ20" i="47"/>
  <c r="DH20" i="47"/>
  <c r="DF20" i="47"/>
  <c r="DE20" i="47"/>
  <c r="DD20" i="47"/>
  <c r="DC20" i="47"/>
  <c r="DB20" i="47"/>
  <c r="CZ20" i="47"/>
  <c r="CX20" i="47"/>
  <c r="CV20" i="47"/>
  <c r="CT20" i="47"/>
  <c r="CS20" i="47"/>
  <c r="CR20" i="47"/>
  <c r="CQ20" i="47"/>
  <c r="CP20" i="47"/>
  <c r="CN20" i="47"/>
  <c r="CL20" i="47"/>
  <c r="CJ20" i="47"/>
  <c r="CH20" i="47"/>
  <c r="CG20" i="47"/>
  <c r="CF20" i="47"/>
  <c r="CE20" i="47"/>
  <c r="CD20" i="47"/>
  <c r="CB20" i="47"/>
  <c r="BZ20" i="47"/>
  <c r="BX20" i="47"/>
  <c r="BV20" i="47"/>
  <c r="BU20" i="47"/>
  <c r="BT20" i="47"/>
  <c r="BS20" i="47"/>
  <c r="BR20" i="47"/>
  <c r="BP20" i="47"/>
  <c r="BN20" i="47"/>
  <c r="BL20" i="47"/>
  <c r="BJ20" i="47"/>
  <c r="BI20" i="47"/>
  <c r="BH20" i="47"/>
  <c r="BF20" i="47"/>
  <c r="J20" i="47" s="1"/>
  <c r="BD20" i="47"/>
  <c r="BG20" i="47"/>
  <c r="BB20" i="47"/>
  <c r="AZ20" i="47"/>
  <c r="AX20" i="47"/>
  <c r="AW20" i="47"/>
  <c r="AV20" i="47"/>
  <c r="AU20" i="47"/>
  <c r="AT20" i="47"/>
  <c r="AR20" i="47"/>
  <c r="AP20" i="47"/>
  <c r="AN20" i="47"/>
  <c r="AL20" i="47"/>
  <c r="AJ20" i="47"/>
  <c r="AI20" i="47"/>
  <c r="AB20" i="47"/>
  <c r="D20" i="47" s="1"/>
  <c r="Z20" i="47"/>
  <c r="Y20" i="47"/>
  <c r="X20" i="47"/>
  <c r="R20" i="47"/>
  <c r="P20" i="47"/>
  <c r="I20" i="47"/>
  <c r="C20" i="47"/>
  <c r="FB19" i="47"/>
  <c r="ER19" i="47"/>
  <c r="ER17" i="47"/>
  <c r="EP19" i="47"/>
  <c r="EO19" i="47"/>
  <c r="EN19" i="47"/>
  <c r="EM19" i="47"/>
  <c r="EL19" i="47"/>
  <c r="EL17" i="47"/>
  <c r="EJ19" i="47"/>
  <c r="EJ17" i="47"/>
  <c r="EG17" i="47"/>
  <c r="EF19" i="47"/>
  <c r="EF17" i="47" s="1"/>
  <c r="ED19" i="47"/>
  <c r="DX19" i="47"/>
  <c r="DX17" i="47" s="1"/>
  <c r="EC19" i="47"/>
  <c r="DU17" i="47"/>
  <c r="DT19" i="47"/>
  <c r="DT17" i="47" s="1"/>
  <c r="DH19" i="47"/>
  <c r="DH17" i="47" s="1"/>
  <c r="DF19" i="47"/>
  <c r="DB19" i="47"/>
  <c r="DB17" i="47" s="1"/>
  <c r="CV19" i="47"/>
  <c r="CV17" i="47" s="1"/>
  <c r="CO17" i="47"/>
  <c r="CN19" i="47"/>
  <c r="CN17" i="47" s="1"/>
  <c r="CJ19" i="47"/>
  <c r="CJ17" i="47"/>
  <c r="CH19" i="47"/>
  <c r="BX19" i="47"/>
  <c r="BX17" i="47" s="1"/>
  <c r="BN19" i="47"/>
  <c r="BN17" i="47" s="1"/>
  <c r="BL19" i="47"/>
  <c r="BL17" i="47" s="1"/>
  <c r="BG19" i="47"/>
  <c r="BF19" i="47"/>
  <c r="BF17" i="47" s="1"/>
  <c r="BH19" i="47"/>
  <c r="BJ19" i="47"/>
  <c r="AZ19" i="47"/>
  <c r="AZ17" i="47" s="1"/>
  <c r="AX19" i="47"/>
  <c r="AW19" i="47"/>
  <c r="AP17" i="47"/>
  <c r="AN19" i="47"/>
  <c r="AL19" i="47"/>
  <c r="AK19" i="47"/>
  <c r="AB19" i="47"/>
  <c r="AB17" i="47" s="1"/>
  <c r="P19" i="47"/>
  <c r="P17" i="47" s="1"/>
  <c r="C19" i="47"/>
  <c r="EZ18" i="47"/>
  <c r="EY18" i="47"/>
  <c r="EQ18" i="47"/>
  <c r="EN18" i="47"/>
  <c r="EM18" i="47"/>
  <c r="EE18" i="47"/>
  <c r="EO18" i="47" s="1"/>
  <c r="EB18" i="47"/>
  <c r="EA18" i="47"/>
  <c r="DS18" i="47"/>
  <c r="EC18" i="47" s="1"/>
  <c r="DP18" i="47"/>
  <c r="DO18" i="47"/>
  <c r="DG18" i="47"/>
  <c r="DR18" i="47" s="1"/>
  <c r="DD18" i="47"/>
  <c r="DC18" i="47"/>
  <c r="CX19" i="47"/>
  <c r="CX17" i="47" s="1"/>
  <c r="CU18" i="47"/>
  <c r="CU17" i="47"/>
  <c r="DF17" i="47" s="1"/>
  <c r="CR18" i="47"/>
  <c r="CQ18" i="47"/>
  <c r="CL19" i="47"/>
  <c r="CL17" i="47" s="1"/>
  <c r="CI18" i="47"/>
  <c r="CF18" i="47"/>
  <c r="CE18" i="47"/>
  <c r="BZ19" i="47"/>
  <c r="BZ17" i="47" s="1"/>
  <c r="BW18" i="47"/>
  <c r="CH18" i="47" s="1"/>
  <c r="BT18" i="47"/>
  <c r="BS18" i="47"/>
  <c r="BK18" i="47"/>
  <c r="BU18" i="47" s="1"/>
  <c r="BJ18" i="47"/>
  <c r="BI18" i="47"/>
  <c r="BH18" i="47"/>
  <c r="BG18" i="47"/>
  <c r="BB19" i="47"/>
  <c r="BB17" i="47" s="1"/>
  <c r="AV18" i="47"/>
  <c r="AU18" i="47"/>
  <c r="AM18" i="47"/>
  <c r="AX18" i="47" s="1"/>
  <c r="AJ18" i="47"/>
  <c r="AI18" i="47"/>
  <c r="AA18" i="47"/>
  <c r="X18" i="47"/>
  <c r="W18" i="47"/>
  <c r="O18" i="47"/>
  <c r="J18" i="47"/>
  <c r="I18" i="47"/>
  <c r="H18" i="47"/>
  <c r="G18" i="47"/>
  <c r="F18" i="47"/>
  <c r="D18" i="47"/>
  <c r="EU17" i="47"/>
  <c r="EK17" i="47"/>
  <c r="EI17" i="47"/>
  <c r="DM17" i="47"/>
  <c r="DK17" i="47"/>
  <c r="DA17" i="47"/>
  <c r="CM17" i="47"/>
  <c r="CK17" i="47"/>
  <c r="BQ17" i="47"/>
  <c r="BE17" i="47"/>
  <c r="BC17" i="47"/>
  <c r="AY17" i="47"/>
  <c r="AQ17" i="47"/>
  <c r="AO17" i="47"/>
  <c r="AN17" i="47"/>
  <c r="AE17" i="47"/>
  <c r="AD17" i="47"/>
  <c r="Q17" i="47"/>
  <c r="EX16" i="47"/>
  <c r="FA16" i="47"/>
  <c r="ET16" i="47"/>
  <c r="ER16" i="47"/>
  <c r="EM16" i="47"/>
  <c r="EL16" i="47"/>
  <c r="EL11" i="47" s="1"/>
  <c r="EO16" i="47"/>
  <c r="EH16" i="47"/>
  <c r="EF16" i="47"/>
  <c r="EC16" i="47"/>
  <c r="EA16" i="47"/>
  <c r="DZ16" i="47"/>
  <c r="DX16" i="47"/>
  <c r="DV16" i="47"/>
  <c r="DV11" i="47" s="1"/>
  <c r="DT16" i="47"/>
  <c r="DQ16" i="47"/>
  <c r="DO16" i="47"/>
  <c r="DN16" i="47"/>
  <c r="DL16" i="47"/>
  <c r="DJ16" i="47"/>
  <c r="DH16" i="47"/>
  <c r="DE16" i="47"/>
  <c r="DC16" i="47"/>
  <c r="DB16" i="47"/>
  <c r="CZ16" i="47"/>
  <c r="CX16" i="47"/>
  <c r="CV16" i="47"/>
  <c r="CS16" i="47"/>
  <c r="CQ16" i="47"/>
  <c r="CP16" i="47"/>
  <c r="CP11" i="47" s="1"/>
  <c r="CN16" i="47"/>
  <c r="CL16" i="47"/>
  <c r="CJ16" i="47"/>
  <c r="CG16" i="47"/>
  <c r="CE16" i="47"/>
  <c r="CD16" i="47"/>
  <c r="CB16" i="47"/>
  <c r="BZ16" i="47"/>
  <c r="BX16" i="47"/>
  <c r="BU16" i="47"/>
  <c r="BS16" i="47"/>
  <c r="BR16" i="47"/>
  <c r="BP16" i="47"/>
  <c r="BN16" i="47"/>
  <c r="BL16" i="47"/>
  <c r="BI16" i="47"/>
  <c r="BG16" i="47"/>
  <c r="BF16" i="47"/>
  <c r="BD16" i="47"/>
  <c r="BB16" i="47"/>
  <c r="AZ16" i="47"/>
  <c r="AW16" i="47"/>
  <c r="AU16" i="47"/>
  <c r="AN16" i="47"/>
  <c r="AK16" i="47"/>
  <c r="AI16" i="47"/>
  <c r="Y16" i="47"/>
  <c r="W16" i="47"/>
  <c r="R16" i="47"/>
  <c r="P16" i="47"/>
  <c r="I16" i="47"/>
  <c r="E16" i="47"/>
  <c r="C16" i="47"/>
  <c r="FA15" i="47"/>
  <c r="EY15" i="47"/>
  <c r="EO15" i="47"/>
  <c r="EC15" i="47"/>
  <c r="EA15" i="47"/>
  <c r="DQ15" i="47"/>
  <c r="DO15" i="47"/>
  <c r="DC15" i="47"/>
  <c r="DE15" i="47"/>
  <c r="G15" i="47"/>
  <c r="BI34" i="43"/>
  <c r="CG15" i="47"/>
  <c r="CE15" i="47"/>
  <c r="BU15" i="47"/>
  <c r="BS15" i="47"/>
  <c r="BI15" i="47"/>
  <c r="BG15" i="47"/>
  <c r="AW15" i="47"/>
  <c r="AU15" i="47"/>
  <c r="AK15" i="47"/>
  <c r="AI15" i="47"/>
  <c r="Y15" i="47"/>
  <c r="W15" i="47"/>
  <c r="J15" i="47"/>
  <c r="H15" i="47"/>
  <c r="F15" i="47"/>
  <c r="E15" i="47"/>
  <c r="D15" i="47"/>
  <c r="C15" i="47"/>
  <c r="EY14" i="47"/>
  <c r="FA14" i="47"/>
  <c r="EC14" i="47"/>
  <c r="EA14" i="47"/>
  <c r="DQ14" i="47"/>
  <c r="DO14" i="47"/>
  <c r="DC14" i="47"/>
  <c r="DE14" i="47"/>
  <c r="CS14" i="47"/>
  <c r="CQ14" i="47"/>
  <c r="CG14" i="47"/>
  <c r="CE14" i="47"/>
  <c r="BU14" i="47"/>
  <c r="BI14" i="47"/>
  <c r="BG14" i="47"/>
  <c r="AW14" i="47"/>
  <c r="AU14" i="47"/>
  <c r="AK14" i="47"/>
  <c r="AI14" i="47"/>
  <c r="Y14" i="47"/>
  <c r="W14" i="47"/>
  <c r="J14" i="47"/>
  <c r="H14" i="47"/>
  <c r="BI33" i="43"/>
  <c r="F14" i="47"/>
  <c r="E14" i="47"/>
  <c r="D14" i="47"/>
  <c r="C14" i="47"/>
  <c r="FB13" i="47"/>
  <c r="FA13" i="47"/>
  <c r="EZ13" i="47"/>
  <c r="EY13" i="47"/>
  <c r="EX13" i="47"/>
  <c r="EV13" i="47"/>
  <c r="EV11" i="47" s="1"/>
  <c r="ET13" i="47"/>
  <c r="ER13" i="47"/>
  <c r="EO13" i="47"/>
  <c r="EN13" i="47"/>
  <c r="EL13" i="47"/>
  <c r="EM13" i="47"/>
  <c r="EH13" i="47"/>
  <c r="EF13" i="47"/>
  <c r="ED13" i="47"/>
  <c r="EC13" i="47"/>
  <c r="EB13" i="47"/>
  <c r="EA13" i="47"/>
  <c r="DZ13" i="47"/>
  <c r="DX13" i="47"/>
  <c r="DV13" i="47"/>
  <c r="DT13" i="47"/>
  <c r="DR13" i="47"/>
  <c r="DQ13" i="47"/>
  <c r="DP13" i="47"/>
  <c r="DO13" i="47"/>
  <c r="DN13" i="47"/>
  <c r="DL13" i="47"/>
  <c r="DJ13" i="47"/>
  <c r="DH13" i="47"/>
  <c r="E13" i="47"/>
  <c r="CV13" i="47"/>
  <c r="CT13" i="47"/>
  <c r="CN13" i="47"/>
  <c r="CS13" i="47"/>
  <c r="CL13" i="47"/>
  <c r="CJ13" i="47"/>
  <c r="CH13" i="47"/>
  <c r="CF13" i="47"/>
  <c r="CD13" i="47"/>
  <c r="CB13" i="47"/>
  <c r="CG13" i="47"/>
  <c r="BZ13" i="47"/>
  <c r="BX13" i="47"/>
  <c r="BV13" i="47"/>
  <c r="BU13" i="47"/>
  <c r="BN13" i="47"/>
  <c r="BL13" i="47"/>
  <c r="BI13" i="47"/>
  <c r="BH13" i="47"/>
  <c r="BG13" i="47"/>
  <c r="BF13" i="47"/>
  <c r="BB13" i="47"/>
  <c r="AZ13" i="47"/>
  <c r="AX13" i="47"/>
  <c r="AW13" i="47"/>
  <c r="AV13" i="47"/>
  <c r="AU13" i="47"/>
  <c r="AN13" i="47"/>
  <c r="AL13" i="47"/>
  <c r="AK13" i="47"/>
  <c r="AJ13" i="47"/>
  <c r="AI13" i="47"/>
  <c r="AD11" i="47"/>
  <c r="AB13" i="47"/>
  <c r="W13" i="47"/>
  <c r="Z13" i="47"/>
  <c r="R13" i="47"/>
  <c r="P13" i="47"/>
  <c r="C13" i="47"/>
  <c r="FB12" i="47"/>
  <c r="FA12" i="47"/>
  <c r="EZ12" i="47"/>
  <c r="EY12" i="47"/>
  <c r="EX12" i="47"/>
  <c r="EV12" i="47"/>
  <c r="ET12" i="47"/>
  <c r="ER12" i="47"/>
  <c r="EP12" i="47"/>
  <c r="EO12" i="47"/>
  <c r="EN12" i="47"/>
  <c r="EM12" i="47"/>
  <c r="EL12" i="47"/>
  <c r="EJ12" i="47"/>
  <c r="EH12" i="47"/>
  <c r="EH11" i="47" s="1"/>
  <c r="EF12" i="47"/>
  <c r="ED12" i="47"/>
  <c r="EC12" i="47"/>
  <c r="EB12" i="47"/>
  <c r="EA12" i="47"/>
  <c r="DZ12" i="47"/>
  <c r="DZ11" i="47" s="1"/>
  <c r="DX12" i="47"/>
  <c r="DV12" i="47"/>
  <c r="DT12" i="47"/>
  <c r="DT11" i="47" s="1"/>
  <c r="DN12" i="47"/>
  <c r="DJ12" i="47"/>
  <c r="DH12" i="47"/>
  <c r="DE12" i="47"/>
  <c r="DB12" i="47"/>
  <c r="CV12" i="47"/>
  <c r="CL12" i="47"/>
  <c r="CL11" i="47" s="1"/>
  <c r="CJ12" i="47"/>
  <c r="CH12" i="47"/>
  <c r="CG12" i="47"/>
  <c r="CF12" i="47"/>
  <c r="CE12" i="47"/>
  <c r="CD12" i="47"/>
  <c r="CD11" i="47" s="1"/>
  <c r="CB12" i="47"/>
  <c r="BZ12" i="47"/>
  <c r="BX12" i="47"/>
  <c r="BV12" i="47"/>
  <c r="BU12" i="47"/>
  <c r="BT12" i="47"/>
  <c r="BS12" i="47"/>
  <c r="BR12" i="47"/>
  <c r="BP12" i="47"/>
  <c r="BN12" i="47"/>
  <c r="BL12" i="47"/>
  <c r="BJ12" i="47"/>
  <c r="BI12" i="47"/>
  <c r="BH12" i="47"/>
  <c r="BG12" i="47"/>
  <c r="BF12" i="47"/>
  <c r="BB12" i="47"/>
  <c r="BB11" i="47" s="1"/>
  <c r="AZ12" i="47"/>
  <c r="AX12" i="47"/>
  <c r="AW12" i="47"/>
  <c r="AV12" i="47"/>
  <c r="AU12" i="47"/>
  <c r="AN12" i="47"/>
  <c r="AL12" i="47"/>
  <c r="AK12" i="47"/>
  <c r="AI12" i="47"/>
  <c r="AB12" i="47"/>
  <c r="Z12" i="47"/>
  <c r="Y12" i="47"/>
  <c r="W12" i="47"/>
  <c r="P12" i="47"/>
  <c r="C12" i="47"/>
  <c r="EU11" i="47"/>
  <c r="ES11" i="47"/>
  <c r="EQ11" i="47"/>
  <c r="EG11" i="47"/>
  <c r="EE11" i="47"/>
  <c r="EO11" i="47" s="1"/>
  <c r="DY11" i="47"/>
  <c r="DW11" i="47"/>
  <c r="DU11" i="47"/>
  <c r="DS11" i="47"/>
  <c r="DM11" i="47"/>
  <c r="DI11" i="47"/>
  <c r="DG11" i="47"/>
  <c r="DG9" i="47" s="1"/>
  <c r="CU11" i="47"/>
  <c r="CK11" i="47"/>
  <c r="CI11" i="47"/>
  <c r="CC11" i="47"/>
  <c r="CA11" i="47"/>
  <c r="BY11" i="47"/>
  <c r="BW11" i="47"/>
  <c r="BK11" i="47"/>
  <c r="BE11" i="47"/>
  <c r="BC11" i="47"/>
  <c r="BA11" i="47"/>
  <c r="AY11" i="47"/>
  <c r="BI11" i="47" s="1"/>
  <c r="AS11" i="47"/>
  <c r="AQ11" i="47"/>
  <c r="AO11" i="47"/>
  <c r="AM11" i="47"/>
  <c r="AG11" i="47"/>
  <c r="AF11" i="47"/>
  <c r="AE11" i="47"/>
  <c r="AC11" i="47"/>
  <c r="AA11" i="47"/>
  <c r="U11" i="47"/>
  <c r="O11" i="47"/>
  <c r="Z11" i="47" s="1"/>
  <c r="Y6" i="47"/>
  <c r="AK6" i="47" s="1"/>
  <c r="AW6" i="47" s="1"/>
  <c r="BI6" i="47" s="1"/>
  <c r="BU6" i="47" s="1"/>
  <c r="CG6" i="47" s="1"/>
  <c r="CS6" i="47" s="1"/>
  <c r="DE6" i="47" s="1"/>
  <c r="DQ6" i="47" s="1"/>
  <c r="EC6" i="47" s="1"/>
  <c r="EO6" i="47" s="1"/>
  <c r="FA6" i="47" s="1"/>
  <c r="W6" i="47"/>
  <c r="AI6" i="47" s="1"/>
  <c r="AU6" i="47" s="1"/>
  <c r="BG6" i="47" s="1"/>
  <c r="BS6" i="47" s="1"/>
  <c r="CE6" i="47" s="1"/>
  <c r="CQ6" i="47" s="1"/>
  <c r="DC6" i="47" s="1"/>
  <c r="DO6" i="47" s="1"/>
  <c r="EA6" i="47" s="1"/>
  <c r="EM6" i="47" s="1"/>
  <c r="EY6" i="47" s="1"/>
  <c r="U5" i="47"/>
  <c r="AG5" i="47" s="1"/>
  <c r="AS5" i="47" s="1"/>
  <c r="BE5" i="47" s="1"/>
  <c r="BQ5" i="47" s="1"/>
  <c r="CC5" i="47" s="1"/>
  <c r="CO5" i="47" s="1"/>
  <c r="DA5" i="47" s="1"/>
  <c r="DM5" i="47" s="1"/>
  <c r="DY5" i="47" s="1"/>
  <c r="EK5" i="47" s="1"/>
  <c r="EW5" i="47" s="1"/>
  <c r="S5" i="47"/>
  <c r="AE5" i="47" s="1"/>
  <c r="AQ5" i="47" s="1"/>
  <c r="BC5" i="47"/>
  <c r="BO5" i="47" s="1"/>
  <c r="CA5" i="47" s="1"/>
  <c r="CM5" i="47" s="1"/>
  <c r="CY5" i="47" s="1"/>
  <c r="DK5" i="47" s="1"/>
  <c r="DW5" i="47" s="1"/>
  <c r="EI5" i="47" s="1"/>
  <c r="EU5" i="47" s="1"/>
  <c r="Q5" i="47"/>
  <c r="AC5" i="47" s="1"/>
  <c r="AO5" i="47" s="1"/>
  <c r="BA5" i="47" s="1"/>
  <c r="BM5" i="47" s="1"/>
  <c r="BY5" i="47" s="1"/>
  <c r="CK5" i="47" s="1"/>
  <c r="CW5" i="47" s="1"/>
  <c r="DI5" i="47" s="1"/>
  <c r="DU5" i="47" s="1"/>
  <c r="EG5" i="47" s="1"/>
  <c r="ES5" i="47" s="1"/>
  <c r="O5" i="47"/>
  <c r="AA5" i="47" s="1"/>
  <c r="AM5" i="47" s="1"/>
  <c r="AY5" i="47" s="1"/>
  <c r="BK5" i="47" s="1"/>
  <c r="BW5" i="47" s="1"/>
  <c r="CI5" i="47" s="1"/>
  <c r="CU5" i="47" s="1"/>
  <c r="DG5" i="47" s="1"/>
  <c r="DS5" i="47" s="1"/>
  <c r="EE5" i="47" s="1"/>
  <c r="EQ5" i="47" s="1"/>
  <c r="AH3" i="47"/>
  <c r="AH29" i="47" s="1"/>
  <c r="P17" i="13"/>
  <c r="Z93" i="46"/>
  <c r="W93" i="46"/>
  <c r="Z91" i="46"/>
  <c r="W91" i="46"/>
  <c r="B85" i="46"/>
  <c r="B84" i="46"/>
  <c r="B83" i="46"/>
  <c r="B82" i="46"/>
  <c r="B81" i="46"/>
  <c r="R68" i="46"/>
  <c r="O68" i="46"/>
  <c r="J68" i="46"/>
  <c r="I68" i="46" s="1"/>
  <c r="F68" i="46"/>
  <c r="C68" i="46"/>
  <c r="C67" i="46"/>
  <c r="I66" i="46"/>
  <c r="C66" i="46"/>
  <c r="E65" i="46"/>
  <c r="E62" i="46"/>
  <c r="Z59" i="46"/>
  <c r="W59" i="46"/>
  <c r="T59" i="46"/>
  <c r="N59" i="46"/>
  <c r="K59" i="46"/>
  <c r="C56" i="46"/>
  <c r="F54" i="46"/>
  <c r="C54" i="46"/>
  <c r="D53" i="46"/>
  <c r="C50" i="46"/>
  <c r="O48" i="46"/>
  <c r="W42" i="46"/>
  <c r="Z41" i="46"/>
  <c r="W41" i="46"/>
  <c r="U41" i="46" s="1"/>
  <c r="I41" i="46"/>
  <c r="L32" i="46"/>
  <c r="K32" i="46"/>
  <c r="J32" i="46"/>
  <c r="K26" i="46"/>
  <c r="N26" i="46" s="1"/>
  <c r="Z22" i="46"/>
  <c r="W22" i="46"/>
  <c r="T22" i="46"/>
  <c r="Q22" i="46"/>
  <c r="N22" i="46"/>
  <c r="K22" i="46"/>
  <c r="H19" i="46"/>
  <c r="W16" i="46"/>
  <c r="A3" i="46"/>
  <c r="S68" i="45"/>
  <c r="R68" i="45" s="1"/>
  <c r="O68" i="45"/>
  <c r="I68" i="45"/>
  <c r="F68" i="45"/>
  <c r="C68" i="45"/>
  <c r="E65" i="45"/>
  <c r="Z59" i="45"/>
  <c r="W59" i="45"/>
  <c r="T59" i="45"/>
  <c r="E59" i="45"/>
  <c r="F54" i="45"/>
  <c r="C54" i="45"/>
  <c r="N50" i="45"/>
  <c r="C50" i="45"/>
  <c r="O48" i="45"/>
  <c r="R41" i="45"/>
  <c r="T39" i="45"/>
  <c r="X32" i="45"/>
  <c r="U32" i="45"/>
  <c r="R32" i="45"/>
  <c r="L32" i="45"/>
  <c r="G31" i="45"/>
  <c r="F31" i="45" s="1"/>
  <c r="Z22" i="45"/>
  <c r="W22" i="45"/>
  <c r="T22" i="45"/>
  <c r="Q22" i="45"/>
  <c r="K22" i="45"/>
  <c r="E22" i="45"/>
  <c r="T83" i="45"/>
  <c r="W82" i="45"/>
  <c r="N15" i="45"/>
  <c r="Q82" i="45" s="1"/>
  <c r="H111" i="44"/>
  <c r="H110" i="44"/>
  <c r="H109" i="44"/>
  <c r="H108" i="44"/>
  <c r="H107" i="44"/>
  <c r="H106" i="44"/>
  <c r="H105" i="44"/>
  <c r="H104" i="44" s="1"/>
  <c r="XFD104" i="44"/>
  <c r="L104" i="44"/>
  <c r="K104" i="44"/>
  <c r="H103" i="44"/>
  <c r="H102" i="44"/>
  <c r="H101" i="44"/>
  <c r="H100" i="44"/>
  <c r="H99" i="44"/>
  <c r="L98" i="44"/>
  <c r="K98" i="44"/>
  <c r="K112" i="44" s="1"/>
  <c r="H97" i="44"/>
  <c r="AL94" i="44"/>
  <c r="AG94" i="44"/>
  <c r="AB94" i="44"/>
  <c r="AL93" i="44"/>
  <c r="AG93" i="44"/>
  <c r="AB93" i="44"/>
  <c r="AO92" i="44"/>
  <c r="AG92" i="44"/>
  <c r="AB92" i="44"/>
  <c r="AL68" i="44"/>
  <c r="AG68" i="44"/>
  <c r="AB68" i="44"/>
  <c r="W68" i="44"/>
  <c r="AL67" i="44"/>
  <c r="AG67" i="44"/>
  <c r="AB67" i="44"/>
  <c r="Z67" i="44"/>
  <c r="U67" i="44"/>
  <c r="AL66" i="44"/>
  <c r="AG66" i="44"/>
  <c r="AB66" i="44"/>
  <c r="W66" i="44"/>
  <c r="D53" i="44"/>
  <c r="J53" i="44" s="1"/>
  <c r="D51" i="44"/>
  <c r="AJ50" i="44"/>
  <c r="AB50" i="44"/>
  <c r="W50" i="44"/>
  <c r="G66" i="154" s="1"/>
  <c r="U50" i="44"/>
  <c r="M50" i="44"/>
  <c r="D50" i="44"/>
  <c r="J50" i="44" s="1"/>
  <c r="L49" i="44"/>
  <c r="D49" i="44"/>
  <c r="C49" i="44"/>
  <c r="U48" i="44"/>
  <c r="M66" i="45" s="1"/>
  <c r="L66" i="45" s="1"/>
  <c r="L48" i="44"/>
  <c r="K48" i="44"/>
  <c r="D48" i="44"/>
  <c r="C48" i="44"/>
  <c r="G47" i="44"/>
  <c r="F47" i="44"/>
  <c r="L46" i="44"/>
  <c r="H64" i="45" s="1"/>
  <c r="L45" i="44"/>
  <c r="G44" i="44"/>
  <c r="L43" i="44"/>
  <c r="L42" i="44"/>
  <c r="AP41" i="44"/>
  <c r="AK41" i="44"/>
  <c r="AF41" i="44"/>
  <c r="AA41" i="44"/>
  <c r="V41" i="44"/>
  <c r="Q41" i="44"/>
  <c r="G41" i="44"/>
  <c r="K39" i="44"/>
  <c r="G53" i="45" s="1"/>
  <c r="F53" i="45" s="1"/>
  <c r="G39" i="44"/>
  <c r="L38" i="44"/>
  <c r="K38" i="44"/>
  <c r="D38" i="44"/>
  <c r="AA37" i="44"/>
  <c r="Z37" i="44"/>
  <c r="R37" i="44"/>
  <c r="F53" i="154" s="1"/>
  <c r="L37" i="44"/>
  <c r="K37" i="44"/>
  <c r="D37" i="44"/>
  <c r="AA36" i="44"/>
  <c r="AE36" i="44"/>
  <c r="AB36" i="44"/>
  <c r="R36" i="44"/>
  <c r="F55" i="154" s="1"/>
  <c r="L36" i="44"/>
  <c r="K36" i="44"/>
  <c r="D36" i="44"/>
  <c r="C36" i="44"/>
  <c r="C37" i="151" s="1"/>
  <c r="D35" i="44"/>
  <c r="D36" i="151" s="1"/>
  <c r="D34" i="44"/>
  <c r="D35" i="151" s="1"/>
  <c r="D33" i="44"/>
  <c r="D34" i="151" s="1"/>
  <c r="D32" i="44"/>
  <c r="D33" i="151" s="1"/>
  <c r="D31" i="44"/>
  <c r="D32" i="151" s="1"/>
  <c r="D30" i="44"/>
  <c r="D31" i="151" s="1"/>
  <c r="D29" i="44"/>
  <c r="D30" i="151" s="1"/>
  <c r="D28" i="44"/>
  <c r="D29" i="151" s="1"/>
  <c r="Q27" i="44"/>
  <c r="Q28" i="151" s="1"/>
  <c r="D27" i="44"/>
  <c r="D28" i="151" s="1"/>
  <c r="Q24" i="44"/>
  <c r="D24" i="44"/>
  <c r="F23" i="44"/>
  <c r="AP17" i="44"/>
  <c r="Z42" i="45" s="1"/>
  <c r="AL16" i="44"/>
  <c r="AG16" i="44"/>
  <c r="AB16" i="44"/>
  <c r="R16" i="44"/>
  <c r="F39" i="154" s="1"/>
  <c r="L16" i="44"/>
  <c r="L14" i="44"/>
  <c r="A4" i="65"/>
  <c r="A2" i="13" s="1"/>
  <c r="A2" i="53" s="1"/>
  <c r="A2" i="15" s="1"/>
  <c r="J121" i="43"/>
  <c r="P114" i="43"/>
  <c r="O114" i="43"/>
  <c r="I114" i="43"/>
  <c r="P112" i="43"/>
  <c r="O112" i="43"/>
  <c r="AX72" i="43"/>
  <c r="AU72" i="43" s="1"/>
  <c r="AR72" i="43"/>
  <c r="AO72" i="43" s="1"/>
  <c r="AL72" i="43"/>
  <c r="AI72" i="43" s="1"/>
  <c r="AF72" i="43"/>
  <c r="AC72" i="43" s="1"/>
  <c r="AC72" i="150" s="1"/>
  <c r="Z72" i="43"/>
  <c r="W72" i="43" s="1"/>
  <c r="W72" i="150" s="1"/>
  <c r="T72" i="43"/>
  <c r="P72" i="43"/>
  <c r="G72" i="43"/>
  <c r="J72" i="43" s="1"/>
  <c r="H31" i="46"/>
  <c r="G71" i="43"/>
  <c r="D71" i="43" s="1"/>
  <c r="J70" i="43"/>
  <c r="D69" i="43"/>
  <c r="D68" i="43" s="1"/>
  <c r="AZ68" i="43"/>
  <c r="AT68" i="43"/>
  <c r="AN68" i="43"/>
  <c r="AH68" i="43"/>
  <c r="AB68" i="43"/>
  <c r="V68" i="43"/>
  <c r="P68" i="43"/>
  <c r="I68" i="43"/>
  <c r="F68" i="43"/>
  <c r="F61" i="43" s="1"/>
  <c r="F57" i="43" s="1"/>
  <c r="C68" i="43"/>
  <c r="C66" i="43"/>
  <c r="AZ65" i="43"/>
  <c r="AT65" i="43"/>
  <c r="AN65" i="43"/>
  <c r="AH65" i="43"/>
  <c r="AB65" i="43"/>
  <c r="V65" i="43"/>
  <c r="P65" i="43"/>
  <c r="I65" i="43"/>
  <c r="C64" i="43"/>
  <c r="AZ62" i="43"/>
  <c r="AT62" i="43"/>
  <c r="AN62" i="43"/>
  <c r="AH62" i="43"/>
  <c r="AB62" i="43"/>
  <c r="V62" i="43"/>
  <c r="P62" i="43"/>
  <c r="AS59" i="43"/>
  <c r="AR59" i="43" s="1"/>
  <c r="AM59" i="43"/>
  <c r="AL59" i="43" s="1"/>
  <c r="AG59" i="43"/>
  <c r="AF59" i="43" s="1"/>
  <c r="AA59" i="43"/>
  <c r="Z59" i="43" s="1"/>
  <c r="C59" i="43"/>
  <c r="C59" i="150" s="1"/>
  <c r="AW54" i="43"/>
  <c r="AY54" i="43" s="1"/>
  <c r="AX54" i="43" s="1"/>
  <c r="AE54" i="43"/>
  <c r="AD54" i="43"/>
  <c r="Y54" i="43"/>
  <c r="AA54" i="43" s="1"/>
  <c r="Z54" i="43" s="1"/>
  <c r="X54" i="43"/>
  <c r="F54" i="43"/>
  <c r="F54" i="150" s="1"/>
  <c r="AE53" i="43"/>
  <c r="AD53" i="43"/>
  <c r="Y53" i="43"/>
  <c r="AA53" i="43" s="1"/>
  <c r="Z53" i="43" s="1"/>
  <c r="X53" i="43"/>
  <c r="R53" i="43"/>
  <c r="AE52" i="43"/>
  <c r="AE52" i="150" s="1"/>
  <c r="AD52" i="43"/>
  <c r="Y52" i="43"/>
  <c r="X52" i="43"/>
  <c r="K52" i="43"/>
  <c r="R52" i="43"/>
  <c r="AZ51" i="43"/>
  <c r="AT51" i="43"/>
  <c r="AN51" i="43"/>
  <c r="AH51" i="43"/>
  <c r="AH51" i="150" s="1"/>
  <c r="AC51" i="43"/>
  <c r="AB51" i="43"/>
  <c r="AB51" i="150" s="1"/>
  <c r="W51" i="43"/>
  <c r="V51" i="43"/>
  <c r="V51" i="150" s="1"/>
  <c r="I51" i="43"/>
  <c r="I51" i="150" s="1"/>
  <c r="G51" i="43"/>
  <c r="AY50" i="43"/>
  <c r="AV50" i="43"/>
  <c r="AS50" i="43"/>
  <c r="AP50" i="43"/>
  <c r="AM50" i="43"/>
  <c r="AJ50" i="43"/>
  <c r="AG50" i="43"/>
  <c r="AD50" i="43"/>
  <c r="AA50" i="43"/>
  <c r="X50" i="43"/>
  <c r="U50" i="43"/>
  <c r="R50" i="43"/>
  <c r="C50" i="43"/>
  <c r="C50" i="150" s="1"/>
  <c r="D50" i="43"/>
  <c r="AZ49" i="43"/>
  <c r="AY49" i="43" s="1"/>
  <c r="AX49" i="43" s="1"/>
  <c r="AV49" i="43"/>
  <c r="AT49" i="43"/>
  <c r="AS49" i="43" s="1"/>
  <c r="AR49" i="43" s="1"/>
  <c r="AP49" i="43"/>
  <c r="AN49" i="43"/>
  <c r="AM49" i="43" s="1"/>
  <c r="AL49" i="43" s="1"/>
  <c r="AJ49" i="43"/>
  <c r="AH49" i="43"/>
  <c r="AD49" i="43"/>
  <c r="AB49" i="43"/>
  <c r="K49" i="43"/>
  <c r="I49" i="43"/>
  <c r="D49" i="43"/>
  <c r="D48" i="43"/>
  <c r="D48" i="150" s="1"/>
  <c r="AU47" i="43"/>
  <c r="AO47" i="43"/>
  <c r="AS47" i="43" s="1"/>
  <c r="AI47" i="43"/>
  <c r="AM47" i="43" s="1"/>
  <c r="AG47" i="43"/>
  <c r="AD47" i="43"/>
  <c r="AA47" i="43"/>
  <c r="X47" i="43"/>
  <c r="C47" i="43"/>
  <c r="C47" i="150" s="1"/>
  <c r="AV46" i="43"/>
  <c r="AP46" i="43"/>
  <c r="AJ46" i="43"/>
  <c r="AD46" i="43"/>
  <c r="X46" i="43"/>
  <c r="Y46" i="43" s="1"/>
  <c r="R46" i="43"/>
  <c r="K46" i="43"/>
  <c r="F46" i="43"/>
  <c r="F46" i="150" s="1"/>
  <c r="D46" i="43"/>
  <c r="AV45" i="43"/>
  <c r="AI45" i="43"/>
  <c r="AD45" i="43"/>
  <c r="X45" i="43"/>
  <c r="Y45" i="43" s="1"/>
  <c r="Y45" i="150" s="1"/>
  <c r="R45" i="43"/>
  <c r="K45" i="43"/>
  <c r="I45" i="43"/>
  <c r="I45" i="150" s="1"/>
  <c r="D45" i="43"/>
  <c r="AY44" i="43"/>
  <c r="AX44" i="43" s="1"/>
  <c r="AV44" i="43"/>
  <c r="AS44" i="43"/>
  <c r="AR44" i="43" s="1"/>
  <c r="AP44" i="43"/>
  <c r="AM44" i="43"/>
  <c r="AL44" i="43"/>
  <c r="AJ44" i="43"/>
  <c r="AG44" i="43"/>
  <c r="AD44" i="43"/>
  <c r="AA44" i="43"/>
  <c r="X44" i="43"/>
  <c r="U44" i="43"/>
  <c r="U44" i="150" s="1"/>
  <c r="T44" i="150" s="1"/>
  <c r="R44" i="43"/>
  <c r="H44" i="43"/>
  <c r="G44" i="43" s="1"/>
  <c r="AV43" i="43"/>
  <c r="AP43" i="43"/>
  <c r="AJ43" i="43"/>
  <c r="AD43" i="43"/>
  <c r="K43" i="43"/>
  <c r="I43" i="43"/>
  <c r="I43" i="150" s="1"/>
  <c r="D43" i="43"/>
  <c r="AZ42" i="43"/>
  <c r="AU42" i="43"/>
  <c r="AT42" i="43"/>
  <c r="AP42" i="43"/>
  <c r="AN42" i="43"/>
  <c r="AJ42" i="43"/>
  <c r="AG42" i="43"/>
  <c r="AD42" i="43"/>
  <c r="AA42" i="43"/>
  <c r="M14" i="46" s="1"/>
  <c r="I42" i="43"/>
  <c r="E14" i="45" s="1"/>
  <c r="C42" i="43"/>
  <c r="C42" i="150" s="1"/>
  <c r="AU41" i="43"/>
  <c r="AI41" i="43"/>
  <c r="AD41" i="43"/>
  <c r="X41" i="43"/>
  <c r="Y41" i="43" s="1"/>
  <c r="Y41" i="150" s="1"/>
  <c r="R41" i="43"/>
  <c r="K41" i="43"/>
  <c r="I41" i="43"/>
  <c r="I41" i="150" s="1"/>
  <c r="D41" i="43"/>
  <c r="AU40" i="43"/>
  <c r="AV40" i="43" s="1"/>
  <c r="AQ40" i="43"/>
  <c r="AS40" i="43" s="1"/>
  <c r="AR40" i="43" s="1"/>
  <c r="AI40" i="43"/>
  <c r="AK40" i="43" s="1"/>
  <c r="AJ40" i="43"/>
  <c r="AE40" i="43"/>
  <c r="AE40" i="150" s="1"/>
  <c r="AD40" i="43"/>
  <c r="Y40" i="43"/>
  <c r="X40" i="43"/>
  <c r="C40" i="43"/>
  <c r="C40" i="150" s="1"/>
  <c r="AV39" i="43"/>
  <c r="AP39" i="43"/>
  <c r="AJ39" i="43"/>
  <c r="AD39" i="43"/>
  <c r="X39" i="43"/>
  <c r="R39" i="43"/>
  <c r="C39" i="43"/>
  <c r="C39" i="150" s="1"/>
  <c r="AZ38" i="43"/>
  <c r="AY38" i="43" s="1"/>
  <c r="AX38" i="43" s="1"/>
  <c r="AV38" i="43"/>
  <c r="AT38" i="43"/>
  <c r="AS38" i="43" s="1"/>
  <c r="AR38" i="43" s="1"/>
  <c r="AP38" i="43"/>
  <c r="AN38" i="43"/>
  <c r="AM38" i="43" s="1"/>
  <c r="AL38" i="43" s="1"/>
  <c r="AJ38" i="43"/>
  <c r="AH38" i="43"/>
  <c r="AD38" i="43"/>
  <c r="AB38" i="43"/>
  <c r="I38" i="43"/>
  <c r="I38" i="150" s="1"/>
  <c r="D38" i="43"/>
  <c r="AY37" i="43"/>
  <c r="AX37" i="43" s="1"/>
  <c r="AV37" i="43"/>
  <c r="AS37" i="43"/>
  <c r="AR37" i="43" s="1"/>
  <c r="AP37" i="43"/>
  <c r="AM37" i="43"/>
  <c r="AL37" i="43" s="1"/>
  <c r="AJ37" i="43"/>
  <c r="AG37" i="43"/>
  <c r="AD37" i="43"/>
  <c r="AA37" i="43"/>
  <c r="I37" i="43"/>
  <c r="I37" i="150" s="1"/>
  <c r="D37" i="43"/>
  <c r="AZ36" i="43"/>
  <c r="AY36" i="43" s="1"/>
  <c r="AX36" i="43" s="1"/>
  <c r="AV36" i="43"/>
  <c r="AT36" i="43"/>
  <c r="AS36" i="43" s="1"/>
  <c r="AR36" i="43" s="1"/>
  <c r="AP36" i="43"/>
  <c r="AN36" i="43"/>
  <c r="AM36" i="43" s="1"/>
  <c r="AL36" i="43" s="1"/>
  <c r="AJ36" i="43"/>
  <c r="AH36" i="43"/>
  <c r="AD36" i="43"/>
  <c r="AB36" i="43"/>
  <c r="I36" i="43"/>
  <c r="I36" i="150" s="1"/>
  <c r="D36" i="43"/>
  <c r="AY35" i="43"/>
  <c r="AS35" i="43"/>
  <c r="AR35" i="43" s="1"/>
  <c r="AM35" i="43"/>
  <c r="AL35" i="43" s="1"/>
  <c r="AG35" i="43"/>
  <c r="AA35" i="43"/>
  <c r="H35" i="43"/>
  <c r="AY34" i="43"/>
  <c r="AX34" i="43" s="1"/>
  <c r="AS34" i="43"/>
  <c r="AR34" i="43" s="1"/>
  <c r="AM34" i="43"/>
  <c r="AL34" i="43" s="1"/>
  <c r="AG34" i="43"/>
  <c r="AA34" i="43"/>
  <c r="H34" i="43"/>
  <c r="H34" i="150" s="1"/>
  <c r="G34" i="150" s="1"/>
  <c r="AY33" i="43"/>
  <c r="AX33" i="43" s="1"/>
  <c r="AS33" i="43"/>
  <c r="AR33" i="43" s="1"/>
  <c r="AM33" i="43"/>
  <c r="AL33" i="43" s="1"/>
  <c r="AG33" i="43"/>
  <c r="AA33" i="43"/>
  <c r="AA33" i="150" s="1"/>
  <c r="Z33" i="150" s="1"/>
  <c r="H33" i="43"/>
  <c r="C33" i="43"/>
  <c r="C33" i="150" s="1"/>
  <c r="AZ32" i="43"/>
  <c r="AY32" i="43" s="1"/>
  <c r="AX32" i="43" s="1"/>
  <c r="AT32" i="43"/>
  <c r="AS32" i="43" s="1"/>
  <c r="AR32" i="43" s="1"/>
  <c r="AN32" i="43"/>
  <c r="AH32" i="43"/>
  <c r="AH32" i="150" s="1"/>
  <c r="AB32" i="43"/>
  <c r="I32" i="43"/>
  <c r="AZ31" i="43"/>
  <c r="AT31" i="43"/>
  <c r="AS31" i="43" s="1"/>
  <c r="AN31" i="43"/>
  <c r="AM31" i="43" s="1"/>
  <c r="AL31" i="43" s="1"/>
  <c r="AH31" i="43"/>
  <c r="AB31" i="43"/>
  <c r="I31" i="43"/>
  <c r="C31" i="43"/>
  <c r="C31" i="150" s="1"/>
  <c r="AW30" i="43"/>
  <c r="AU30" i="43"/>
  <c r="AQ30" i="43"/>
  <c r="AO30" i="43"/>
  <c r="AK30" i="43"/>
  <c r="AI30" i="43"/>
  <c r="AE30" i="43"/>
  <c r="AC30" i="43"/>
  <c r="Y30" i="43"/>
  <c r="W30" i="43"/>
  <c r="S30" i="43"/>
  <c r="M30" i="43"/>
  <c r="F30" i="43"/>
  <c r="AY29" i="43"/>
  <c r="AX29" i="43" s="1"/>
  <c r="AS29" i="43"/>
  <c r="AM29" i="43"/>
  <c r="AL29" i="43" s="1"/>
  <c r="AG29" i="43"/>
  <c r="AA29" i="43"/>
  <c r="AA29" i="150" s="1"/>
  <c r="Z29" i="150" s="1"/>
  <c r="O29" i="43"/>
  <c r="H29" i="43"/>
  <c r="H29" i="150" s="1"/>
  <c r="G29" i="150" s="1"/>
  <c r="AY28" i="43"/>
  <c r="AX28" i="43" s="1"/>
  <c r="AS28" i="43"/>
  <c r="AR28" i="43" s="1"/>
  <c r="AM28" i="43"/>
  <c r="AL28" i="43" s="1"/>
  <c r="AG28" i="43"/>
  <c r="AA28" i="43"/>
  <c r="AA28" i="150" s="1"/>
  <c r="Z28" i="150" s="1"/>
  <c r="O28" i="43"/>
  <c r="O28" i="150" s="1"/>
  <c r="H28" i="43"/>
  <c r="AY27" i="43"/>
  <c r="AX27" i="43" s="1"/>
  <c r="AS27" i="43"/>
  <c r="AR27" i="43" s="1"/>
  <c r="AN27" i="43"/>
  <c r="AM27" i="43" s="1"/>
  <c r="AL27" i="43" s="1"/>
  <c r="AG27" i="43"/>
  <c r="AG27" i="150" s="1"/>
  <c r="AF27" i="150" s="1"/>
  <c r="AA27" i="43"/>
  <c r="O27" i="43"/>
  <c r="O27" i="150" s="1"/>
  <c r="AY26" i="43"/>
  <c r="AX26" i="43" s="1"/>
  <c r="AS26" i="43"/>
  <c r="AR26" i="43" s="1"/>
  <c r="AN26" i="43"/>
  <c r="AG26" i="43"/>
  <c r="AG26" i="150" s="1"/>
  <c r="AA26" i="43"/>
  <c r="O26" i="43"/>
  <c r="O26" i="150" s="1"/>
  <c r="BI26" i="43"/>
  <c r="AZ25" i="43"/>
  <c r="AW25" i="43"/>
  <c r="AU25" i="43"/>
  <c r="AT25" i="43"/>
  <c r="AQ25" i="43"/>
  <c r="AO25" i="43"/>
  <c r="AK25" i="43"/>
  <c r="AI25" i="43"/>
  <c r="AH25" i="43"/>
  <c r="AE25" i="43"/>
  <c r="AC25" i="43"/>
  <c r="AB25" i="43"/>
  <c r="Y25" i="43"/>
  <c r="W25" i="43"/>
  <c r="V25" i="43"/>
  <c r="S25" i="43"/>
  <c r="P25" i="43"/>
  <c r="M25" i="43"/>
  <c r="I25" i="43"/>
  <c r="F25" i="43"/>
  <c r="C25" i="43"/>
  <c r="AY24" i="43"/>
  <c r="AX24" i="43" s="1"/>
  <c r="AS24" i="43"/>
  <c r="AR24" i="43" s="1"/>
  <c r="AM24" i="43"/>
  <c r="AL24" i="43" s="1"/>
  <c r="AG24" i="43"/>
  <c r="AA24" i="43"/>
  <c r="O24" i="43"/>
  <c r="H24" i="43"/>
  <c r="AY23" i="43"/>
  <c r="AX23" i="43" s="1"/>
  <c r="AS23" i="43"/>
  <c r="AR23" i="43" s="1"/>
  <c r="AM23" i="43"/>
  <c r="AL23" i="43" s="1"/>
  <c r="AG23" i="43"/>
  <c r="AA23" i="43"/>
  <c r="O23" i="43"/>
  <c r="O23" i="150" s="1"/>
  <c r="C23" i="43"/>
  <c r="AY22" i="43"/>
  <c r="AX22" i="43" s="1"/>
  <c r="AS22" i="43"/>
  <c r="AR22" i="43" s="1"/>
  <c r="AM22" i="43"/>
  <c r="AL22" i="43" s="1"/>
  <c r="AG22" i="43"/>
  <c r="AA22" i="43"/>
  <c r="O22" i="43"/>
  <c r="O22" i="150" s="1"/>
  <c r="H22" i="43"/>
  <c r="H22" i="150" s="1"/>
  <c r="G22" i="150" s="1"/>
  <c r="AY21" i="43"/>
  <c r="AX21" i="43" s="1"/>
  <c r="AS21" i="43"/>
  <c r="AR21" i="43" s="1"/>
  <c r="AM21" i="43"/>
  <c r="AL21" i="43" s="1"/>
  <c r="AG21" i="43"/>
  <c r="AA21" i="43"/>
  <c r="O21" i="43"/>
  <c r="O21" i="150" s="1"/>
  <c r="C21" i="43"/>
  <c r="AY20" i="43"/>
  <c r="AX20" i="43" s="1"/>
  <c r="AS20" i="43"/>
  <c r="AM20" i="43"/>
  <c r="AG20" i="43"/>
  <c r="AA20" i="43"/>
  <c r="AA20" i="150" s="1"/>
  <c r="C13" i="57"/>
  <c r="C13" i="67" s="1"/>
  <c r="C20" i="43"/>
  <c r="C20" i="150" s="1"/>
  <c r="AZ19" i="43"/>
  <c r="AW19" i="43"/>
  <c r="AU19" i="43"/>
  <c r="AT19" i="43"/>
  <c r="AQ19" i="43"/>
  <c r="AO19" i="43"/>
  <c r="AN19" i="43"/>
  <c r="AK19" i="43"/>
  <c r="AI19" i="43"/>
  <c r="AH19" i="43"/>
  <c r="AE19" i="43"/>
  <c r="AC19" i="43"/>
  <c r="AB19" i="43"/>
  <c r="Y19" i="43"/>
  <c r="W19" i="43"/>
  <c r="V19" i="43"/>
  <c r="S19" i="43"/>
  <c r="P19" i="43"/>
  <c r="M19" i="43"/>
  <c r="I19" i="43"/>
  <c r="F19" i="43"/>
  <c r="AY18" i="43"/>
  <c r="AS18" i="43"/>
  <c r="AM18" i="43"/>
  <c r="AG18" i="43"/>
  <c r="AG18" i="150" s="1"/>
  <c r="AF18" i="150" s="1"/>
  <c r="AA18" i="43"/>
  <c r="AA18" i="150" s="1"/>
  <c r="Z18" i="150" s="1"/>
  <c r="U18" i="43"/>
  <c r="U18" i="150" s="1"/>
  <c r="T18" i="150" s="1"/>
  <c r="O18" i="43"/>
  <c r="O18" i="150" s="1"/>
  <c r="N18" i="150" s="1"/>
  <c r="H18" i="43"/>
  <c r="H18" i="150" s="1"/>
  <c r="AY17" i="43"/>
  <c r="AS17" i="43"/>
  <c r="AM17" i="43"/>
  <c r="AG17" i="43"/>
  <c r="AA17" i="43"/>
  <c r="O17" i="43"/>
  <c r="H17" i="43"/>
  <c r="AY16" i="43"/>
  <c r="AX16" i="43" s="1"/>
  <c r="AS16" i="43"/>
  <c r="AM16" i="43"/>
  <c r="AL16" i="43" s="1"/>
  <c r="AG16" i="43"/>
  <c r="AA16" i="43"/>
  <c r="O16" i="43"/>
  <c r="O16" i="150" s="1"/>
  <c r="C16" i="43"/>
  <c r="C13" i="43"/>
  <c r="AY15" i="43"/>
  <c r="AX15" i="43" s="1"/>
  <c r="AS15" i="43"/>
  <c r="AR15" i="43" s="1"/>
  <c r="AM15" i="43"/>
  <c r="AL15" i="43" s="1"/>
  <c r="AG15" i="43"/>
  <c r="AA15" i="43"/>
  <c r="O15" i="43"/>
  <c r="H15" i="43"/>
  <c r="AY14" i="43"/>
  <c r="AX14" i="43" s="1"/>
  <c r="AS14" i="43"/>
  <c r="AR14" i="43" s="1"/>
  <c r="AM14" i="43"/>
  <c r="AL14" i="43" s="1"/>
  <c r="AG14" i="43"/>
  <c r="AG14" i="150" s="1"/>
  <c r="AA14" i="43"/>
  <c r="AA13" i="43" s="1"/>
  <c r="O14" i="43"/>
  <c r="O14" i="150" s="1"/>
  <c r="AZ13" i="43"/>
  <c r="AW13" i="43"/>
  <c r="AU13" i="43"/>
  <c r="AT13" i="43"/>
  <c r="AQ13" i="43"/>
  <c r="AO13" i="43"/>
  <c r="AN13" i="43"/>
  <c r="AK13" i="43"/>
  <c r="AI13" i="43"/>
  <c r="AH13" i="43"/>
  <c r="AE13" i="43"/>
  <c r="AC13" i="43"/>
  <c r="AB13" i="43"/>
  <c r="Y13" i="43"/>
  <c r="W13" i="43"/>
  <c r="V13" i="43"/>
  <c r="S13" i="43"/>
  <c r="P13" i="43"/>
  <c r="M13" i="43"/>
  <c r="J13" i="43"/>
  <c r="I13" i="43"/>
  <c r="F13" i="43"/>
  <c r="R50" i="44"/>
  <c r="F66" i="154" s="1"/>
  <c r="M68" i="45"/>
  <c r="M68" i="46"/>
  <c r="M15" i="46"/>
  <c r="AF50" i="43"/>
  <c r="P15" i="45"/>
  <c r="Z14" i="44"/>
  <c r="P15" i="46"/>
  <c r="AF42" i="43"/>
  <c r="Z12" i="44"/>
  <c r="AF47" i="43"/>
  <c r="P16" i="46"/>
  <c r="P16" i="45"/>
  <c r="C65" i="43"/>
  <c r="AE46" i="43"/>
  <c r="AE46" i="150" s="1"/>
  <c r="AK46" i="150" s="1"/>
  <c r="AV41" i="43"/>
  <c r="BD41" i="43"/>
  <c r="AP54" i="43"/>
  <c r="E28" i="58"/>
  <c r="E28" i="68" s="1"/>
  <c r="AI31" i="47"/>
  <c r="C129" i="84"/>
  <c r="C132" i="82"/>
  <c r="C141" i="75"/>
  <c r="GA16" i="51"/>
  <c r="C135" i="84"/>
  <c r="DJ11" i="51"/>
  <c r="DJ10" i="51" s="1"/>
  <c r="O33" i="43"/>
  <c r="C131" i="76"/>
  <c r="C143" i="77"/>
  <c r="C132" i="76"/>
  <c r="BW23" i="47"/>
  <c r="C134" i="78"/>
  <c r="U13" i="17"/>
  <c r="ED18" i="47"/>
  <c r="H16" i="51"/>
  <c r="O34" i="43"/>
  <c r="DS17" i="47"/>
  <c r="ED17" i="47" s="1"/>
  <c r="AR52" i="43"/>
  <c r="DR31" i="47"/>
  <c r="H34" i="44"/>
  <c r="BB29" i="5" s="1"/>
  <c r="AM33" i="47"/>
  <c r="K50" i="46"/>
  <c r="K88" i="46" s="1"/>
  <c r="K50" i="45"/>
  <c r="AM40" i="43"/>
  <c r="AL40" i="43" s="1"/>
  <c r="G36" i="46"/>
  <c r="G36" i="45"/>
  <c r="G50" i="46"/>
  <c r="G50" i="45"/>
  <c r="BF10" i="51"/>
  <c r="AW15" i="48"/>
  <c r="H50" i="45"/>
  <c r="H50" i="46"/>
  <c r="GB11" i="51"/>
  <c r="GB10" i="51" s="1"/>
  <c r="S51" i="43"/>
  <c r="S51" i="150" s="1"/>
  <c r="X32" i="46"/>
  <c r="R11" i="51"/>
  <c r="R10" i="51"/>
  <c r="K50" i="43"/>
  <c r="F52" i="43"/>
  <c r="AV53" i="43"/>
  <c r="G56" i="46"/>
  <c r="EY19" i="51"/>
  <c r="L39" i="44"/>
  <c r="E53" i="45"/>
  <c r="H41" i="45"/>
  <c r="G55" i="46"/>
  <c r="G55" i="45"/>
  <c r="EY16" i="51"/>
  <c r="K111" i="43"/>
  <c r="D59" i="43"/>
  <c r="C58" i="43"/>
  <c r="C58" i="150" s="1"/>
  <c r="H49" i="46"/>
  <c r="H49" i="45"/>
  <c r="H55" i="46"/>
  <c r="AV19" i="48"/>
  <c r="AW19" i="48"/>
  <c r="J15" i="46"/>
  <c r="N71" i="43"/>
  <c r="H67" i="46"/>
  <c r="H67" i="45"/>
  <c r="R32" i="46"/>
  <c r="AT11" i="48"/>
  <c r="AV11" i="48" s="1"/>
  <c r="E5" i="55"/>
  <c r="C12" i="55"/>
  <c r="I12" i="55"/>
  <c r="O41" i="46"/>
  <c r="O32" i="46"/>
  <c r="N84" i="46"/>
  <c r="W85" i="46"/>
  <c r="L41" i="45"/>
  <c r="N91" i="46"/>
  <c r="I41" i="45"/>
  <c r="C56" i="45"/>
  <c r="X41" i="45"/>
  <c r="AN16" i="44"/>
  <c r="D13" i="52"/>
  <c r="N13" i="52"/>
  <c r="P13" i="52" s="1"/>
  <c r="P14" i="52"/>
  <c r="T50" i="43"/>
  <c r="V26" i="94"/>
  <c r="W67" i="44"/>
  <c r="G22" i="44"/>
  <c r="E47" i="45" s="1"/>
  <c r="H32" i="44"/>
  <c r="AG50" i="44"/>
  <c r="Y16" i="44"/>
  <c r="AJ36" i="44"/>
  <c r="G19" i="53"/>
  <c r="G26" i="53" s="1"/>
  <c r="C36" i="53"/>
  <c r="C28" i="53"/>
  <c r="C42" i="46"/>
  <c r="AW40" i="43"/>
  <c r="AY40" i="43" s="1"/>
  <c r="AX40" i="43" s="1"/>
  <c r="V84" i="46"/>
  <c r="DF31" i="47"/>
  <c r="F12" i="55"/>
  <c r="Q84" i="46"/>
  <c r="U27" i="48"/>
  <c r="FM12" i="51"/>
  <c r="AR53" i="43"/>
  <c r="U41" i="45"/>
  <c r="DI12" i="51"/>
  <c r="DI11" i="51" s="1"/>
  <c r="DI10" i="51" s="1"/>
  <c r="EY12" i="51"/>
  <c r="AO51" i="43"/>
  <c r="D16" i="47"/>
  <c r="EK12" i="51"/>
  <c r="D25" i="44"/>
  <c r="D26" i="151" s="1"/>
  <c r="DC31" i="47"/>
  <c r="L52" i="43"/>
  <c r="P52" i="43" s="1"/>
  <c r="L22" i="44"/>
  <c r="H47" i="45" s="1"/>
  <c r="H27" i="44"/>
  <c r="BB22" i="5" s="1"/>
  <c r="H33" i="44"/>
  <c r="BB28" i="5" s="1"/>
  <c r="C47" i="44"/>
  <c r="C55" i="45"/>
  <c r="C57" i="45"/>
  <c r="U32" i="46"/>
  <c r="CJ26" i="47"/>
  <c r="CJ23" i="47" s="1"/>
  <c r="AD11" i="51"/>
  <c r="AD10" i="51" s="1"/>
  <c r="BJ17" i="47"/>
  <c r="AZ26" i="47"/>
  <c r="AZ23" i="47" s="1"/>
  <c r="AY23" i="47"/>
  <c r="AY9" i="47" s="1"/>
  <c r="AY10" i="47" s="1"/>
  <c r="N18" i="43"/>
  <c r="AL53" i="43"/>
  <c r="AJ53" i="43"/>
  <c r="BJ25" i="47"/>
  <c r="BC23" i="47"/>
  <c r="D12" i="53"/>
  <c r="C17" i="53"/>
  <c r="H5" i="55"/>
  <c r="L43" i="43"/>
  <c r="H31" i="44"/>
  <c r="BB26" i="5" s="1"/>
  <c r="K82" i="45"/>
  <c r="N26" i="43"/>
  <c r="I66" i="45"/>
  <c r="N93" i="46"/>
  <c r="K93" i="46"/>
  <c r="AV47" i="43"/>
  <c r="AY47" i="43"/>
  <c r="AX47" i="43"/>
  <c r="AL54" i="43"/>
  <c r="AJ54" i="43"/>
  <c r="DX11" i="47"/>
  <c r="H27" i="43"/>
  <c r="H27" i="150" s="1"/>
  <c r="G27" i="150" s="1"/>
  <c r="BI27" i="43"/>
  <c r="H45" i="43"/>
  <c r="H45" i="150" s="1"/>
  <c r="G45" i="150" s="1"/>
  <c r="L54" i="43"/>
  <c r="K54" i="43"/>
  <c r="L46" i="43"/>
  <c r="M46" i="43" s="1"/>
  <c r="D47" i="43"/>
  <c r="S32" i="47"/>
  <c r="Z32" i="47" s="1"/>
  <c r="AO20" i="48"/>
  <c r="AW31" i="47"/>
  <c r="C25" i="53"/>
  <c r="H25" i="53"/>
  <c r="N27" i="43"/>
  <c r="H37" i="44"/>
  <c r="N83" i="45"/>
  <c r="BI48" i="43"/>
  <c r="BR48" i="43"/>
  <c r="H20" i="48"/>
  <c r="H79" i="48" s="1"/>
  <c r="AG20" i="48"/>
  <c r="T84" i="46"/>
  <c r="CS31" i="47"/>
  <c r="CM32" i="47"/>
  <c r="CM30" i="47" s="1"/>
  <c r="CT30" i="47" s="1"/>
  <c r="CQ31" i="47"/>
  <c r="H41" i="43"/>
  <c r="H41" i="150" s="1"/>
  <c r="G41" i="150" s="1"/>
  <c r="BI41" i="43"/>
  <c r="O48" i="43"/>
  <c r="O48" i="150" s="1"/>
  <c r="AD51" i="43"/>
  <c r="AK51" i="43"/>
  <c r="AP53" i="43"/>
  <c r="H30" i="44"/>
  <c r="I32" i="45"/>
  <c r="AU27" i="47"/>
  <c r="C57" i="46"/>
  <c r="M42" i="48"/>
  <c r="Q83" i="45"/>
  <c r="K13" i="52"/>
  <c r="DX11" i="51"/>
  <c r="DX10" i="51" s="1"/>
  <c r="CT18" i="47"/>
  <c r="CI17" i="47"/>
  <c r="CS18" i="47"/>
  <c r="EY31" i="47"/>
  <c r="EY30" i="47" s="1"/>
  <c r="EU32" i="47"/>
  <c r="EZ32" i="47" s="1"/>
  <c r="EZ31" i="47"/>
  <c r="P12" i="51"/>
  <c r="K18" i="52"/>
  <c r="W84" i="46"/>
  <c r="DJ11" i="47"/>
  <c r="O17" i="47"/>
  <c r="DO31" i="47"/>
  <c r="DK32" i="47"/>
  <c r="DQ31" i="47"/>
  <c r="CS20" i="48"/>
  <c r="R41" i="46"/>
  <c r="CH25" i="47"/>
  <c r="BI31" i="47"/>
  <c r="BC32" i="47"/>
  <c r="BD32" i="47" s="1"/>
  <c r="BD30" i="47" s="1"/>
  <c r="BD40" i="47" s="1"/>
  <c r="F19" i="48"/>
  <c r="I19" i="48" s="1"/>
  <c r="CH11" i="51"/>
  <c r="CH10" i="51"/>
  <c r="Q11" i="51"/>
  <c r="Q10" i="51" s="1"/>
  <c r="FM19" i="51"/>
  <c r="K5" i="55"/>
  <c r="GA12" i="51"/>
  <c r="GA11" i="51" s="1"/>
  <c r="GA10" i="51" s="1"/>
  <c r="GA20" i="51" s="1"/>
  <c r="GA21" i="51" s="1"/>
  <c r="GA19" i="51"/>
  <c r="BT11" i="51"/>
  <c r="BT10" i="51" s="1"/>
  <c r="DI19" i="51"/>
  <c r="K91" i="46"/>
  <c r="EB31" i="47"/>
  <c r="BJ14" i="48"/>
  <c r="D47" i="50"/>
  <c r="D83" i="50"/>
  <c r="D82" i="50"/>
  <c r="AC26" i="48"/>
  <c r="EB16" i="51"/>
  <c r="EG13" i="51"/>
  <c r="DW12" i="51"/>
  <c r="CU12" i="51"/>
  <c r="CL12" i="51"/>
  <c r="J16" i="51"/>
  <c r="C12" i="51"/>
  <c r="BE16" i="51"/>
  <c r="AQ12" i="51"/>
  <c r="M12" i="51"/>
  <c r="J12" i="51"/>
  <c r="I12" i="51"/>
  <c r="I11" i="51" s="1"/>
  <c r="I10" i="51" s="1"/>
  <c r="N13" i="51"/>
  <c r="I16" i="51"/>
  <c r="C16" i="51"/>
  <c r="D65" i="50"/>
  <c r="O32" i="48"/>
  <c r="AM32" i="48"/>
  <c r="BM23" i="48"/>
  <c r="BE23" i="48"/>
  <c r="AG23" i="48"/>
  <c r="CO26" i="48"/>
  <c r="W32" i="48"/>
  <c r="Y23" i="48"/>
  <c r="CC23" i="48"/>
  <c r="AJ47" i="43"/>
  <c r="U47" i="43"/>
  <c r="H14" i="43"/>
  <c r="CC20" i="48"/>
  <c r="Q20" i="48"/>
  <c r="EY35" i="47"/>
  <c r="FA35" i="47"/>
  <c r="EY25" i="47"/>
  <c r="EZ25" i="47"/>
  <c r="EQ23" i="47"/>
  <c r="EP25" i="47"/>
  <c r="EM24" i="47"/>
  <c r="EH19" i="47"/>
  <c r="EH17" i="47" s="1"/>
  <c r="EF36" i="47"/>
  <c r="EF33" i="47" s="1"/>
  <c r="EO30" i="47"/>
  <c r="EB27" i="47"/>
  <c r="EA35" i="47"/>
  <c r="EB35" i="47"/>
  <c r="EC25" i="47"/>
  <c r="DV19" i="47"/>
  <c r="DV17" i="47" s="1"/>
  <c r="DS23" i="47"/>
  <c r="DP34" i="47"/>
  <c r="DJ26" i="47"/>
  <c r="DJ23" i="47" s="1"/>
  <c r="DO24" i="47"/>
  <c r="DG33" i="47"/>
  <c r="DR33" i="47" s="1"/>
  <c r="DD35" i="47"/>
  <c r="DE35" i="47"/>
  <c r="CX29" i="47"/>
  <c r="CX27" i="47" s="1"/>
  <c r="DC24" i="47"/>
  <c r="DD24" i="47"/>
  <c r="CW17" i="47"/>
  <c r="CV36" i="47"/>
  <c r="CV33" i="47" s="1"/>
  <c r="DF27" i="47"/>
  <c r="CS27" i="47"/>
  <c r="CD26" i="47"/>
  <c r="CD23" i="47" s="1"/>
  <c r="CG24" i="47"/>
  <c r="CG23" i="47" s="1"/>
  <c r="BS35" i="47"/>
  <c r="BN11" i="47"/>
  <c r="BL26" i="47"/>
  <c r="BL23" i="47" s="1"/>
  <c r="BA17" i="47"/>
  <c r="AU35" i="47"/>
  <c r="AV11" i="47"/>
  <c r="AI35" i="47"/>
  <c r="AJ35" i="47"/>
  <c r="AK35" i="47"/>
  <c r="AJ34" i="47"/>
  <c r="AK34" i="47"/>
  <c r="AK33" i="47" s="1"/>
  <c r="AI24" i="47"/>
  <c r="AA33" i="47"/>
  <c r="X25" i="47"/>
  <c r="D56" i="50"/>
  <c r="D54" i="50" s="1"/>
  <c r="D61" i="50"/>
  <c r="D60" i="50"/>
  <c r="D64" i="50"/>
  <c r="D63" i="50" s="1"/>
  <c r="D55" i="50"/>
  <c r="D59" i="50"/>
  <c r="D18" i="53"/>
  <c r="H19" i="53"/>
  <c r="I37" i="53"/>
  <c r="I38" i="53"/>
  <c r="J9" i="52"/>
  <c r="J10" i="52"/>
  <c r="J11" i="52"/>
  <c r="J12" i="52"/>
  <c r="J14" i="52"/>
  <c r="J15" i="52"/>
  <c r="J17" i="52"/>
  <c r="J19" i="52"/>
  <c r="F20" i="52"/>
  <c r="K10" i="52"/>
  <c r="K12" i="52"/>
  <c r="K14" i="52"/>
  <c r="K15" i="52"/>
  <c r="K16" i="52"/>
  <c r="K17" i="52"/>
  <c r="EI11" i="51"/>
  <c r="EI10" i="51" s="1"/>
  <c r="AO11" i="51"/>
  <c r="AO10" i="51" s="1"/>
  <c r="EV11" i="51"/>
  <c r="EV10" i="51" s="1"/>
  <c r="L13" i="51"/>
  <c r="L12" i="51" s="1"/>
  <c r="AN12" i="51"/>
  <c r="AN11" i="51" s="1"/>
  <c r="AN10" i="51" s="1"/>
  <c r="FE12" i="51"/>
  <c r="FE11" i="51"/>
  <c r="FE10" i="51" s="1"/>
  <c r="G14" i="51"/>
  <c r="G12" i="51" s="1"/>
  <c r="DT12" i="51"/>
  <c r="DT11" i="51" s="1"/>
  <c r="DT10" i="51" s="1"/>
  <c r="DB12" i="51"/>
  <c r="DB11" i="51" s="1"/>
  <c r="DB10" i="51" s="1"/>
  <c r="H14" i="51"/>
  <c r="T16" i="51"/>
  <c r="M17" i="51"/>
  <c r="CG16" i="51"/>
  <c r="M18" i="51"/>
  <c r="CQ18" i="51"/>
  <c r="EK18" i="51"/>
  <c r="EK19" i="51" s="1"/>
  <c r="AB12" i="51"/>
  <c r="AB11" i="51" s="1"/>
  <c r="AB10" i="51" s="1"/>
  <c r="DP11" i="51"/>
  <c r="DP10" i="51" s="1"/>
  <c r="G18" i="51"/>
  <c r="G16" i="51" s="1"/>
  <c r="BL12" i="51"/>
  <c r="BL11" i="51" s="1"/>
  <c r="BL10" i="51" s="1"/>
  <c r="D17" i="51"/>
  <c r="D16" i="51" s="1"/>
  <c r="BV11" i="51"/>
  <c r="BV10" i="51" s="1"/>
  <c r="AG16" i="51"/>
  <c r="AG11" i="51" s="1"/>
  <c r="AG10" i="51" s="1"/>
  <c r="J23" i="50"/>
  <c r="D58" i="50"/>
  <c r="D67" i="50"/>
  <c r="D66" i="50"/>
  <c r="E7" i="50"/>
  <c r="CO11" i="48"/>
  <c r="BR11" i="48"/>
  <c r="C11" i="48"/>
  <c r="E19" i="152" s="1"/>
  <c r="H19" i="152" s="1"/>
  <c r="K19" i="152" s="1"/>
  <c r="N19" i="152" s="1"/>
  <c r="BQ11" i="48"/>
  <c r="S29" i="48"/>
  <c r="S26" i="48" s="1"/>
  <c r="D9" i="15"/>
  <c r="D10" i="63" s="1"/>
  <c r="Q29" i="48"/>
  <c r="Q39" i="48" s="1"/>
  <c r="AA26" i="48"/>
  <c r="CG11" i="48"/>
  <c r="P10" i="48"/>
  <c r="BW26" i="48"/>
  <c r="CW27" i="48"/>
  <c r="Q10" i="48"/>
  <c r="P19" i="48"/>
  <c r="AK27" i="48"/>
  <c r="BQ27" i="48"/>
  <c r="BO26" i="48"/>
  <c r="C33" i="48"/>
  <c r="M33" i="48"/>
  <c r="AS33" i="48"/>
  <c r="BY33" i="48"/>
  <c r="CE13" i="47"/>
  <c r="EZ19" i="47"/>
  <c r="EY19" i="47"/>
  <c r="EX19" i="47"/>
  <c r="EX17" i="47" s="1"/>
  <c r="EW17" i="47"/>
  <c r="C24" i="47"/>
  <c r="DR24" i="47"/>
  <c r="EF26" i="47"/>
  <c r="EF23" i="47" s="1"/>
  <c r="EE23" i="47"/>
  <c r="CD19" i="47"/>
  <c r="E25" i="47"/>
  <c r="DV36" i="47"/>
  <c r="DV33" i="47" s="1"/>
  <c r="EB34" i="47"/>
  <c r="DD12" i="47"/>
  <c r="Z19" i="47"/>
  <c r="Y19" i="47"/>
  <c r="T17" i="47"/>
  <c r="S17" i="47"/>
  <c r="DC13" i="47"/>
  <c r="DF13" i="47"/>
  <c r="DE13" i="47"/>
  <c r="BM11" i="47"/>
  <c r="CY11" i="47"/>
  <c r="DD13" i="47"/>
  <c r="DN19" i="47"/>
  <c r="DN17" i="47" s="1"/>
  <c r="DP19" i="47"/>
  <c r="DO19" i="47"/>
  <c r="AP26" i="47"/>
  <c r="AP23" i="47" s="1"/>
  <c r="AO23" i="47"/>
  <c r="BN29" i="47"/>
  <c r="BN27" i="47" s="1"/>
  <c r="BM27" i="47"/>
  <c r="E32" i="47"/>
  <c r="Q30" i="47"/>
  <c r="R32" i="47"/>
  <c r="R30" i="47" s="1"/>
  <c r="Y35" i="47"/>
  <c r="CS12" i="47"/>
  <c r="CN12" i="47"/>
  <c r="CM11" i="47"/>
  <c r="CQ11" i="47" s="1"/>
  <c r="AP11" i="47"/>
  <c r="DR29" i="47"/>
  <c r="DQ29" i="47"/>
  <c r="DQ27" i="47" s="1"/>
  <c r="BS13" i="47"/>
  <c r="DC25" i="47"/>
  <c r="DO29" i="47"/>
  <c r="DO27" i="47" s="1"/>
  <c r="AJ12" i="47"/>
  <c r="CT12" i="47"/>
  <c r="BT13" i="47"/>
  <c r="BR13" i="47"/>
  <c r="EK11" i="47"/>
  <c r="CS15" i="47"/>
  <c r="AW18" i="47"/>
  <c r="AW17" i="47" s="1"/>
  <c r="AM17" i="47"/>
  <c r="BC30" i="47"/>
  <c r="BJ30" i="47" s="1"/>
  <c r="ES30" i="47"/>
  <c r="ET32" i="47"/>
  <c r="ET30" i="47"/>
  <c r="EI11" i="47"/>
  <c r="EP11" i="47"/>
  <c r="DF12" i="47"/>
  <c r="BL11" i="47"/>
  <c r="AS17" i="47"/>
  <c r="AV17" i="47" s="1"/>
  <c r="CB19" i="47"/>
  <c r="CB17" i="47"/>
  <c r="EV19" i="47"/>
  <c r="EV17" i="47" s="1"/>
  <c r="G20" i="47"/>
  <c r="K20" i="47" s="1"/>
  <c r="AK20" i="47"/>
  <c r="G21" i="47"/>
  <c r="CG22" i="47"/>
  <c r="X24" i="47"/>
  <c r="E24" i="47"/>
  <c r="CE24" i="47"/>
  <c r="W25" i="47"/>
  <c r="EA25" i="47"/>
  <c r="DM23" i="47"/>
  <c r="Q27" i="47"/>
  <c r="CH27" i="47"/>
  <c r="AK27" i="47"/>
  <c r="AF27" i="47"/>
  <c r="BG29" i="47"/>
  <c r="BG27" i="47" s="1"/>
  <c r="BS29" i="47"/>
  <c r="EA29" i="47"/>
  <c r="EA27" i="47" s="1"/>
  <c r="EI30" i="47"/>
  <c r="EP30" i="47" s="1"/>
  <c r="BG31" i="47"/>
  <c r="CL32" i="47"/>
  <c r="CL30" i="47" s="1"/>
  <c r="O33" i="47"/>
  <c r="BH34" i="47"/>
  <c r="BT35" i="47"/>
  <c r="EZ35" i="47"/>
  <c r="ER36" i="47"/>
  <c r="ER33" i="47" s="1"/>
  <c r="EM15" i="47"/>
  <c r="CA17" i="47"/>
  <c r="AJ24" i="47"/>
  <c r="Y25" i="47"/>
  <c r="ED25" i="47"/>
  <c r="CL29" i="47"/>
  <c r="CL27" i="47" s="1"/>
  <c r="EP29" i="47"/>
  <c r="ED35" i="47"/>
  <c r="ER11" i="47"/>
  <c r="EN17" i="47"/>
  <c r="AL29" i="47"/>
  <c r="E12" i="47"/>
  <c r="CW11" i="47"/>
  <c r="EP13" i="47"/>
  <c r="U17" i="47"/>
  <c r="X17" i="47" s="1"/>
  <c r="DG17" i="47"/>
  <c r="DR17" i="47"/>
  <c r="W19" i="47"/>
  <c r="BD19" i="47"/>
  <c r="BD17" i="47" s="1"/>
  <c r="DQ19" i="47"/>
  <c r="AF20" i="47"/>
  <c r="H20" i="47" s="1"/>
  <c r="AS23" i="47"/>
  <c r="BT24" i="47"/>
  <c r="EO24" i="47"/>
  <c r="EO23" i="47" s="1"/>
  <c r="EM25" i="47"/>
  <c r="AE27" i="47"/>
  <c r="AL27" i="47" s="1"/>
  <c r="BB29" i="47"/>
  <c r="BB27" i="47" s="1"/>
  <c r="CE29" i="47"/>
  <c r="CE27" i="47" s="1"/>
  <c r="EC29" i="47"/>
  <c r="CT31" i="47"/>
  <c r="FA31" i="47"/>
  <c r="DJ32" i="47"/>
  <c r="DJ30" i="47"/>
  <c r="BE33" i="47"/>
  <c r="BT34" i="47"/>
  <c r="EW11" i="47"/>
  <c r="BM17" i="47"/>
  <c r="X19" i="47"/>
  <c r="CG19" i="47"/>
  <c r="FA19" i="47"/>
  <c r="CU23" i="47"/>
  <c r="AK24" i="47"/>
  <c r="BU24" i="47"/>
  <c r="EP24" i="47"/>
  <c r="EN25" i="47"/>
  <c r="BB26" i="47"/>
  <c r="DD27" i="47"/>
  <c r="FB31" i="47"/>
  <c r="EM35" i="47"/>
  <c r="AV19" i="47"/>
  <c r="BV24" i="47"/>
  <c r="CG11" i="47"/>
  <c r="CO11" i="47"/>
  <c r="CR12" i="47"/>
  <c r="CQ12" i="47"/>
  <c r="I12" i="47"/>
  <c r="CP12" i="47"/>
  <c r="CR13" i="47"/>
  <c r="CQ13" i="47"/>
  <c r="CP13" i="47"/>
  <c r="W28" i="47"/>
  <c r="I28" i="47"/>
  <c r="K28" i="47" s="1"/>
  <c r="X28" i="47"/>
  <c r="BH11" i="47"/>
  <c r="AC17" i="47"/>
  <c r="ET19" i="47"/>
  <c r="ET17" i="47" s="1"/>
  <c r="ES17" i="47"/>
  <c r="ET26" i="47"/>
  <c r="ET23" i="47" s="1"/>
  <c r="ES23" i="47"/>
  <c r="CX12" i="47"/>
  <c r="CX13" i="47"/>
  <c r="CQ15" i="47"/>
  <c r="EA11" i="47"/>
  <c r="BJ24" i="47"/>
  <c r="BI24" i="47"/>
  <c r="BH24" i="47"/>
  <c r="BG24" i="47"/>
  <c r="AT3" i="47"/>
  <c r="AT29" i="47"/>
  <c r="AT27" i="47" s="1"/>
  <c r="AW11" i="47"/>
  <c r="DA11" i="47"/>
  <c r="E18" i="47"/>
  <c r="AF17" i="47"/>
  <c r="Y13" i="47"/>
  <c r="G13" i="47"/>
  <c r="X13" i="47"/>
  <c r="S11" i="47"/>
  <c r="BY17" i="47"/>
  <c r="AJ19" i="47"/>
  <c r="AI19" i="47"/>
  <c r="AG17" i="47"/>
  <c r="DJ19" i="47"/>
  <c r="DJ17" i="47" s="1"/>
  <c r="EP18" i="47"/>
  <c r="EO17" i="47"/>
  <c r="EE17" i="47"/>
  <c r="CR19" i="47"/>
  <c r="CQ19" i="47"/>
  <c r="CQ17" i="47"/>
  <c r="EZ22" i="47"/>
  <c r="EY22" i="47"/>
  <c r="DW23" i="47"/>
  <c r="ED24" i="47"/>
  <c r="Q11" i="47"/>
  <c r="R12" i="47"/>
  <c r="CZ12" i="47"/>
  <c r="CZ13" i="47"/>
  <c r="CP19" i="47"/>
  <c r="CP17" i="47" s="1"/>
  <c r="EX22" i="47"/>
  <c r="EU23" i="47"/>
  <c r="FB24" i="47"/>
  <c r="FA24" i="47"/>
  <c r="C26" i="47"/>
  <c r="Z29" i="47"/>
  <c r="Y29" i="47"/>
  <c r="S27" i="47"/>
  <c r="G29" i="47"/>
  <c r="M29" i="47" s="1"/>
  <c r="AH11" i="47"/>
  <c r="BP13" i="47"/>
  <c r="EY16" i="47"/>
  <c r="CL26" i="47"/>
  <c r="CL23" i="47" s="1"/>
  <c r="CK23" i="47"/>
  <c r="EB24" i="47"/>
  <c r="CL36" i="47"/>
  <c r="CL33" i="47" s="1"/>
  <c r="CK33" i="47"/>
  <c r="DB13" i="47"/>
  <c r="EJ13" i="47"/>
  <c r="EJ11" i="47" s="1"/>
  <c r="BV18" i="47"/>
  <c r="DY17" i="47"/>
  <c r="DY9" i="47" s="1"/>
  <c r="DY10" i="47" s="1"/>
  <c r="EB19" i="47"/>
  <c r="EA19" i="47"/>
  <c r="EA17" i="47" s="1"/>
  <c r="DZ19" i="47"/>
  <c r="DZ17" i="47" s="1"/>
  <c r="Y26" i="47"/>
  <c r="EC24" i="47"/>
  <c r="DV29" i="47"/>
  <c r="DV27" i="47" s="1"/>
  <c r="DU27" i="47"/>
  <c r="DC12" i="47"/>
  <c r="Y18" i="47"/>
  <c r="DE19" i="47"/>
  <c r="DD19" i="47"/>
  <c r="CZ19" i="47"/>
  <c r="CZ17" i="47" s="1"/>
  <c r="E20" i="47"/>
  <c r="EH29" i="47"/>
  <c r="EH27" i="47" s="1"/>
  <c r="CV27" i="47"/>
  <c r="D29" i="47"/>
  <c r="DJ29" i="47"/>
  <c r="DJ27" i="47" s="1"/>
  <c r="DI27" i="47"/>
  <c r="G16" i="47"/>
  <c r="DC19" i="47"/>
  <c r="DC17" i="47" s="1"/>
  <c r="I22" i="47"/>
  <c r="X22" i="47"/>
  <c r="W22" i="47"/>
  <c r="AA23" i="47"/>
  <c r="C23" i="47" s="1"/>
  <c r="CX26" i="47"/>
  <c r="CX23" i="47"/>
  <c r="CW23" i="47"/>
  <c r="AI29" i="47"/>
  <c r="AI27" i="47" s="1"/>
  <c r="AH27" i="47"/>
  <c r="AG27" i="47"/>
  <c r="AL32" i="47"/>
  <c r="AJ32" i="47"/>
  <c r="AE30" i="47"/>
  <c r="EX26" i="47"/>
  <c r="EX23" i="47" s="1"/>
  <c r="BR26" i="47"/>
  <c r="BR23" i="47" s="1"/>
  <c r="BS32" i="47"/>
  <c r="BQ30" i="47"/>
  <c r="DQ18" i="47"/>
  <c r="R19" i="47"/>
  <c r="AR17" i="47"/>
  <c r="BI19" i="47"/>
  <c r="BI17" i="47" s="1"/>
  <c r="BR19" i="47"/>
  <c r="BR17" i="47" s="1"/>
  <c r="DR19" i="47"/>
  <c r="BD21" i="47"/>
  <c r="E22" i="47"/>
  <c r="BQ23" i="47"/>
  <c r="Z24" i="47"/>
  <c r="AU24" i="47"/>
  <c r="DF24" i="47"/>
  <c r="EY24" i="47"/>
  <c r="BG25" i="47"/>
  <c r="BG23" i="47" s="1"/>
  <c r="AU26" i="47"/>
  <c r="EP27" i="47"/>
  <c r="BZ29" i="47"/>
  <c r="BZ27" i="47" s="1"/>
  <c r="BY27" i="47"/>
  <c r="CQ34" i="47"/>
  <c r="CR34" i="47"/>
  <c r="CS19" i="47"/>
  <c r="CS17" i="47" s="1"/>
  <c r="W20" i="47"/>
  <c r="AV24" i="47"/>
  <c r="EZ24" i="47"/>
  <c r="BH25" i="47"/>
  <c r="CF25" i="47"/>
  <c r="CE25" i="47"/>
  <c r="DV26" i="47"/>
  <c r="DV23" i="47" s="1"/>
  <c r="EM26" i="47"/>
  <c r="N28" i="47"/>
  <c r="M28" i="47"/>
  <c r="EM29" i="47"/>
  <c r="EM27" i="47" s="1"/>
  <c r="EK27" i="47"/>
  <c r="EN27" i="47" s="1"/>
  <c r="EZ29" i="47"/>
  <c r="I31" i="47"/>
  <c r="EM31" i="47"/>
  <c r="EN31" i="47"/>
  <c r="V30" i="47"/>
  <c r="DO32" i="47"/>
  <c r="DY33" i="47"/>
  <c r="EA34" i="47"/>
  <c r="EA33" i="47" s="1"/>
  <c r="CT19" i="47"/>
  <c r="BG21" i="47"/>
  <c r="G22" i="47"/>
  <c r="K38" i="43"/>
  <c r="CB22" i="47"/>
  <c r="AG23" i="47"/>
  <c r="AW24" i="47"/>
  <c r="AW23" i="47" s="1"/>
  <c r="CF24" i="47"/>
  <c r="I25" i="47"/>
  <c r="BI25" i="47"/>
  <c r="BI23" i="47" s="1"/>
  <c r="CG25" i="47"/>
  <c r="EL26" i="47"/>
  <c r="EL23" i="47" s="1"/>
  <c r="E28" i="47"/>
  <c r="AC27" i="47"/>
  <c r="EN29" i="47"/>
  <c r="EY29" i="47"/>
  <c r="EY27" i="47"/>
  <c r="DA30" i="47"/>
  <c r="I34" i="47"/>
  <c r="AU19" i="47"/>
  <c r="DZ26" i="47"/>
  <c r="DZ23" i="47" s="1"/>
  <c r="DQ25" i="47"/>
  <c r="DP25" i="47"/>
  <c r="CP26" i="47"/>
  <c r="CP23" i="47" s="1"/>
  <c r="AO27" i="47"/>
  <c r="BJ35" i="47"/>
  <c r="BI35" i="47"/>
  <c r="DY23" i="47"/>
  <c r="EW23" i="47"/>
  <c r="I24" i="47"/>
  <c r="DB26" i="47"/>
  <c r="DB23" i="47" s="1"/>
  <c r="EA24" i="47"/>
  <c r="AV25" i="47"/>
  <c r="CQ25" i="47"/>
  <c r="DO25" i="47"/>
  <c r="AX27" i="47"/>
  <c r="AV29" i="47"/>
  <c r="AS27" i="47"/>
  <c r="AV27" i="47" s="1"/>
  <c r="BT32" i="47"/>
  <c r="BU31" i="47"/>
  <c r="BS31" i="47"/>
  <c r="BT31" i="47"/>
  <c r="CG32" i="47"/>
  <c r="CH32" i="47"/>
  <c r="CB30" i="47"/>
  <c r="CB40" i="47" s="1"/>
  <c r="CH34" i="47"/>
  <c r="CG34" i="47"/>
  <c r="CE34" i="47"/>
  <c r="DQ34" i="47"/>
  <c r="DK33" i="47"/>
  <c r="DR34" i="47"/>
  <c r="DO34" i="47"/>
  <c r="DR35" i="47"/>
  <c r="DQ35" i="47"/>
  <c r="DQ33" i="47" s="1"/>
  <c r="X31" i="47"/>
  <c r="W31" i="47"/>
  <c r="BZ36" i="47"/>
  <c r="BZ33" i="47" s="1"/>
  <c r="DC34" i="47"/>
  <c r="CX36" i="47"/>
  <c r="CX33" i="47" s="1"/>
  <c r="FB34" i="47"/>
  <c r="EY34" i="47"/>
  <c r="EY33" i="47" s="1"/>
  <c r="FA34" i="47"/>
  <c r="FA25" i="47"/>
  <c r="CH29" i="47"/>
  <c r="ED29" i="47"/>
  <c r="Z31" i="47"/>
  <c r="BE30" i="47"/>
  <c r="AQ34" i="47"/>
  <c r="AQ36" i="47" s="1"/>
  <c r="AR36" i="47" s="1"/>
  <c r="CT35" i="47"/>
  <c r="CS35" i="47"/>
  <c r="AT36" i="47"/>
  <c r="AT33" i="47" s="1"/>
  <c r="AS33" i="47"/>
  <c r="AL31" i="47"/>
  <c r="AJ31" i="47"/>
  <c r="DE31" i="47"/>
  <c r="ED31" i="47"/>
  <c r="EC31" i="47"/>
  <c r="EA31" i="47"/>
  <c r="EW30" i="47"/>
  <c r="Q33" i="47"/>
  <c r="W34" i="47"/>
  <c r="E34" i="47"/>
  <c r="BL36" i="47"/>
  <c r="BL33" i="47" s="1"/>
  <c r="BT27" i="47"/>
  <c r="CR27" i="47"/>
  <c r="BT29" i="47"/>
  <c r="DP29" i="47"/>
  <c r="AK31" i="47"/>
  <c r="DD31" i="47"/>
  <c r="EG30" i="47"/>
  <c r="CM33" i="47"/>
  <c r="CT33" i="47"/>
  <c r="CS34" i="47"/>
  <c r="CT34" i="47"/>
  <c r="BI34" i="47"/>
  <c r="BH36" i="47"/>
  <c r="BJ34" i="47"/>
  <c r="BU34" i="47"/>
  <c r="BG35" i="47"/>
  <c r="BG33" i="47" s="1"/>
  <c r="E35" i="47"/>
  <c r="DO35" i="47"/>
  <c r="DM33" i="47"/>
  <c r="DP33" i="47" s="1"/>
  <c r="BH35" i="47"/>
  <c r="DP35" i="47"/>
  <c r="EN35" i="47"/>
  <c r="BB36" i="47"/>
  <c r="BB33" i="47" s="1"/>
  <c r="BA33" i="47"/>
  <c r="BH31" i="47"/>
  <c r="CR31" i="47"/>
  <c r="C34" i="47"/>
  <c r="AZ36" i="47"/>
  <c r="BV34" i="47"/>
  <c r="BU35" i="47"/>
  <c r="EO35" i="47"/>
  <c r="AD33" i="47"/>
  <c r="AC33" i="47"/>
  <c r="DU33" i="47"/>
  <c r="ET36" i="47"/>
  <c r="ET33" i="47" s="1"/>
  <c r="ES33" i="47"/>
  <c r="AI34" i="47"/>
  <c r="AI33" i="47" s="1"/>
  <c r="BS34" i="47"/>
  <c r="BQ33" i="47"/>
  <c r="X35" i="47"/>
  <c r="AV35" i="47"/>
  <c r="AX35" i="47"/>
  <c r="DC35" i="47"/>
  <c r="CF34" i="47"/>
  <c r="BT36" i="47"/>
  <c r="N19" i="46"/>
  <c r="L55" i="46"/>
  <c r="N29" i="46"/>
  <c r="T29" i="46" s="1"/>
  <c r="C55" i="46"/>
  <c r="K84" i="46"/>
  <c r="M84" i="46"/>
  <c r="L41" i="46"/>
  <c r="K83" i="46"/>
  <c r="P84" i="46"/>
  <c r="S84" i="46"/>
  <c r="R84" i="46" s="1"/>
  <c r="T82" i="45"/>
  <c r="Z82" i="45"/>
  <c r="K83" i="45"/>
  <c r="N82" i="45"/>
  <c r="AD16" i="44"/>
  <c r="H28" i="44"/>
  <c r="BB23" i="5" s="1"/>
  <c r="H35" i="44"/>
  <c r="BB30" i="5" s="1"/>
  <c r="T16" i="44"/>
  <c r="AI16" i="44"/>
  <c r="H24" i="44"/>
  <c r="D48" i="154" s="1"/>
  <c r="H29" i="44"/>
  <c r="BB24" i="5" s="1"/>
  <c r="I56" i="44"/>
  <c r="D39" i="44"/>
  <c r="W36" i="44"/>
  <c r="G55" i="154" s="1"/>
  <c r="U25" i="43"/>
  <c r="V11" i="94" s="1"/>
  <c r="U11" i="94" s="1"/>
  <c r="AP45" i="43"/>
  <c r="AJ45" i="43"/>
  <c r="O20" i="43"/>
  <c r="O20" i="150" s="1"/>
  <c r="R19" i="43"/>
  <c r="F53" i="43"/>
  <c r="F51" i="43" s="1"/>
  <c r="F51" i="150" s="1"/>
  <c r="N28" i="43"/>
  <c r="H43" i="43"/>
  <c r="H43" i="150" s="1"/>
  <c r="G43" i="150" s="1"/>
  <c r="X51" i="43"/>
  <c r="H26" i="43"/>
  <c r="F40" i="43"/>
  <c r="F40" i="150" s="1"/>
  <c r="F11" i="150" s="1"/>
  <c r="D40" i="43"/>
  <c r="R54" i="43"/>
  <c r="D39" i="43"/>
  <c r="AW52" i="43"/>
  <c r="AV52" i="43"/>
  <c r="AU51" i="43"/>
  <c r="AI51" i="43"/>
  <c r="AP52" i="43"/>
  <c r="AJ52" i="43"/>
  <c r="AP47" i="43"/>
  <c r="AW53" i="43"/>
  <c r="AY53" i="43" s="1"/>
  <c r="AX53" i="43" s="1"/>
  <c r="C62" i="43"/>
  <c r="H46" i="43"/>
  <c r="AR47" i="43"/>
  <c r="AR54" i="43"/>
  <c r="AA52" i="43"/>
  <c r="Z52" i="43" s="1"/>
  <c r="Y51" i="43"/>
  <c r="Y51" i="150" s="1"/>
  <c r="AP40" i="43"/>
  <c r="AQ51" i="43"/>
  <c r="L53" i="43"/>
  <c r="P53" i="43" s="1"/>
  <c r="K53" i="43"/>
  <c r="AV54" i="43"/>
  <c r="P39" i="45"/>
  <c r="P39" i="46"/>
  <c r="L84" i="46"/>
  <c r="C136" i="81"/>
  <c r="X32" i="47"/>
  <c r="M16" i="51"/>
  <c r="M11" i="51" s="1"/>
  <c r="M10" i="51" s="1"/>
  <c r="D16" i="138"/>
  <c r="C12" i="53"/>
  <c r="Q63" i="43"/>
  <c r="C77" i="73"/>
  <c r="M21" i="47"/>
  <c r="BY10" i="48"/>
  <c r="D18" i="138"/>
  <c r="H53" i="45"/>
  <c r="H53" i="46"/>
  <c r="K36" i="43"/>
  <c r="O38" i="43"/>
  <c r="H47" i="46"/>
  <c r="BI31" i="43"/>
  <c r="P31" i="43"/>
  <c r="EK16" i="51"/>
  <c r="EK11" i="51" s="1"/>
  <c r="EK10" i="51" s="1"/>
  <c r="L20" i="47"/>
  <c r="E18" i="53"/>
  <c r="Q67" i="150" s="1"/>
  <c r="U67" i="150" s="1"/>
  <c r="T67" i="150" s="1"/>
  <c r="C19" i="53"/>
  <c r="C18" i="53" s="1"/>
  <c r="H26" i="53"/>
  <c r="CT17" i="47"/>
  <c r="O84" i="46"/>
  <c r="DR32" i="47"/>
  <c r="EU30" i="47"/>
  <c r="EY23" i="47"/>
  <c r="EM23" i="47"/>
  <c r="CZ11" i="47"/>
  <c r="EY32" i="47"/>
  <c r="FA32" i="47"/>
  <c r="FB32" i="47"/>
  <c r="T32" i="47"/>
  <c r="M10" i="48" s="1"/>
  <c r="CS32" i="47"/>
  <c r="CS30" i="47" s="1"/>
  <c r="S30" i="47"/>
  <c r="DG10" i="47"/>
  <c r="DL32" i="47"/>
  <c r="DL30" i="47" s="1"/>
  <c r="DL40" i="47" s="1"/>
  <c r="DK30" i="47"/>
  <c r="BU33" i="47"/>
  <c r="DC23" i="47"/>
  <c r="D57" i="50"/>
  <c r="L11" i="51"/>
  <c r="L10" i="51" s="1"/>
  <c r="O18" i="51"/>
  <c r="AC16" i="51"/>
  <c r="ED34" i="47"/>
  <c r="EC34" i="47"/>
  <c r="EC33" i="47" s="1"/>
  <c r="EB26" i="47"/>
  <c r="DN26" i="47"/>
  <c r="DN23" i="47" s="1"/>
  <c r="DC33" i="47"/>
  <c r="DD34" i="47"/>
  <c r="CE35" i="47"/>
  <c r="BP26" i="47"/>
  <c r="BP23" i="47" s="1"/>
  <c r="BK33" i="47"/>
  <c r="BA23" i="47"/>
  <c r="Y17" i="47"/>
  <c r="D52" i="50"/>
  <c r="H20" i="52"/>
  <c r="G20" i="52"/>
  <c r="O15" i="51"/>
  <c r="Y16" i="51"/>
  <c r="FW13" i="51"/>
  <c r="CC17" i="51"/>
  <c r="Y12" i="51"/>
  <c r="Y11" i="51" s="1"/>
  <c r="Y10" i="51" s="1"/>
  <c r="AQ16" i="51"/>
  <c r="AQ11" i="51" s="1"/>
  <c r="AQ10" i="51" s="1"/>
  <c r="BU42" i="48"/>
  <c r="BT11" i="48"/>
  <c r="BG36" i="47"/>
  <c r="K21" i="47"/>
  <c r="CX11" i="47"/>
  <c r="BU25" i="47"/>
  <c r="BU23" i="47" s="1"/>
  <c r="BU26" i="47"/>
  <c r="AX17" i="47"/>
  <c r="CW33" i="47"/>
  <c r="BT26" i="47"/>
  <c r="E26" i="47"/>
  <c r="BV25" i="47"/>
  <c r="BV26" i="47"/>
  <c r="EN11" i="47"/>
  <c r="BS26" i="47"/>
  <c r="EG27" i="47"/>
  <c r="S23" i="47"/>
  <c r="Z23" i="47" s="1"/>
  <c r="CK27" i="47"/>
  <c r="BT25" i="47"/>
  <c r="BO23" i="47"/>
  <c r="BT23" i="47" s="1"/>
  <c r="BV23" i="47"/>
  <c r="BS25" i="47"/>
  <c r="BS23" i="47" s="1"/>
  <c r="Z26" i="47"/>
  <c r="FA23" i="47"/>
  <c r="CS36" i="47"/>
  <c r="CN36" i="47"/>
  <c r="CN33" i="47" s="1"/>
  <c r="CT36" i="47"/>
  <c r="DF34" i="47"/>
  <c r="DE34" i="47"/>
  <c r="DE33" i="47" s="1"/>
  <c r="CY33" i="47"/>
  <c r="DF33" i="47" s="1"/>
  <c r="EA26" i="47"/>
  <c r="EJ26" i="47"/>
  <c r="EJ23" i="47" s="1"/>
  <c r="EP26" i="47"/>
  <c r="EO26" i="47"/>
  <c r="EN26" i="47"/>
  <c r="EI23" i="47"/>
  <c r="EP23" i="47" s="1"/>
  <c r="AR26" i="47"/>
  <c r="AR23" i="47" s="1"/>
  <c r="AX26" i="47"/>
  <c r="AW26" i="47"/>
  <c r="AV26" i="47"/>
  <c r="AQ23" i="47"/>
  <c r="AX23" i="47" s="1"/>
  <c r="DU23" i="47"/>
  <c r="M13" i="47"/>
  <c r="BJ26" i="47"/>
  <c r="BH26" i="47"/>
  <c r="BI26" i="47"/>
  <c r="BG26" i="47"/>
  <c r="BD26" i="47"/>
  <c r="BD23" i="47" s="1"/>
  <c r="AL36" i="47"/>
  <c r="AK36" i="47"/>
  <c r="AF33" i="47"/>
  <c r="AE33" i="47"/>
  <c r="AL33" i="47" s="1"/>
  <c r="DC36" i="47"/>
  <c r="DB36" i="47"/>
  <c r="DB33" i="47" s="1"/>
  <c r="DA33" i="47"/>
  <c r="EO34" i="47"/>
  <c r="EO33" i="47" s="1"/>
  <c r="EP34" i="47"/>
  <c r="BH30" i="47"/>
  <c r="FB36" i="47"/>
  <c r="EY36" i="47"/>
  <c r="EV36" i="47"/>
  <c r="EV33" i="47" s="1"/>
  <c r="FA36" i="47"/>
  <c r="EZ36" i="47"/>
  <c r="EU33" i="47"/>
  <c r="FB33" i="47" s="1"/>
  <c r="EH36" i="47"/>
  <c r="EH33" i="47" s="1"/>
  <c r="EH9" i="47" s="1"/>
  <c r="EH10" i="47" s="1"/>
  <c r="EG33" i="47"/>
  <c r="EM34" i="47"/>
  <c r="EM33" i="47" s="1"/>
  <c r="Z34" i="47"/>
  <c r="G34" i="47"/>
  <c r="Y34" i="47"/>
  <c r="BY33" i="47"/>
  <c r="BY9" i="47"/>
  <c r="BY10" i="47" s="1"/>
  <c r="E19" i="47"/>
  <c r="T27" i="47"/>
  <c r="DI17" i="47"/>
  <c r="EL36" i="47"/>
  <c r="EL33" i="47" s="1"/>
  <c r="R36" i="47"/>
  <c r="E36" i="47"/>
  <c r="DE32" i="47"/>
  <c r="FE22" i="47"/>
  <c r="FC22" i="47"/>
  <c r="FB26" i="47"/>
  <c r="FA26" i="47"/>
  <c r="EV26" i="47"/>
  <c r="EV23" i="47"/>
  <c r="AT32" i="47"/>
  <c r="AD10" i="48"/>
  <c r="AG10" i="48" s="1"/>
  <c r="BF3" i="47"/>
  <c r="AY33" i="47"/>
  <c r="C36" i="47"/>
  <c r="BJ36" i="47"/>
  <c r="BD36" i="47"/>
  <c r="BD33" i="47"/>
  <c r="BI36" i="47"/>
  <c r="BC33" i="47"/>
  <c r="EK33" i="47"/>
  <c r="AV34" i="47"/>
  <c r="ED36" i="47"/>
  <c r="DX36" i="47"/>
  <c r="DX33" i="47"/>
  <c r="EC36" i="47"/>
  <c r="DW33" i="47"/>
  <c r="EA36" i="47"/>
  <c r="DZ36" i="47"/>
  <c r="DZ33" i="47" s="1"/>
  <c r="EB36" i="47"/>
  <c r="EZ26" i="47"/>
  <c r="EN34" i="47"/>
  <c r="AP36" i="47"/>
  <c r="AP33" i="47"/>
  <c r="AO33" i="47"/>
  <c r="DO33" i="47"/>
  <c r="E29" i="47"/>
  <c r="BN26" i="47"/>
  <c r="BN23" i="47" s="1"/>
  <c r="BM23" i="47"/>
  <c r="BM9" i="47" s="1"/>
  <c r="BM10" i="47" s="1"/>
  <c r="T11" i="47"/>
  <c r="CR11" i="47"/>
  <c r="BU32" i="47"/>
  <c r="BV32" i="47"/>
  <c r="BO30" i="47"/>
  <c r="BT30" i="47" s="1"/>
  <c r="X34" i="47"/>
  <c r="N29" i="47"/>
  <c r="AJ17" i="47"/>
  <c r="X11" i="47"/>
  <c r="W11" i="47"/>
  <c r="BU36" i="47"/>
  <c r="BP36" i="47"/>
  <c r="BP33" i="47" s="1"/>
  <c r="BV36" i="47"/>
  <c r="BS36" i="47"/>
  <c r="BO33" i="47"/>
  <c r="CH35" i="47"/>
  <c r="CG35" i="47"/>
  <c r="CG33" i="47" s="1"/>
  <c r="CF35" i="47"/>
  <c r="CS33" i="47"/>
  <c r="DW30" i="47"/>
  <c r="ED30" i="47" s="1"/>
  <c r="ED32" i="47"/>
  <c r="DQ36" i="47"/>
  <c r="DL36" i="47"/>
  <c r="DL33" i="47" s="1"/>
  <c r="DR36" i="47"/>
  <c r="DO36" i="47"/>
  <c r="DP36" i="47"/>
  <c r="EY26" i="47"/>
  <c r="AL30" i="47"/>
  <c r="AJ30" i="47"/>
  <c r="FC20" i="47"/>
  <c r="CT24" i="47"/>
  <c r="CS24" i="47"/>
  <c r="CR24" i="47"/>
  <c r="CQ24" i="47"/>
  <c r="CQ23" i="47" s="1"/>
  <c r="ED26" i="47"/>
  <c r="EC26" i="47"/>
  <c r="DX26" i="47"/>
  <c r="DX23" i="47" s="1"/>
  <c r="T19" i="46"/>
  <c r="N29" i="45"/>
  <c r="J28" i="44"/>
  <c r="J35" i="44"/>
  <c r="Y17" i="44"/>
  <c r="J29" i="44"/>
  <c r="AL52" i="43"/>
  <c r="AM51" i="43"/>
  <c r="U46" i="43"/>
  <c r="H40" i="43"/>
  <c r="H40" i="150" s="1"/>
  <c r="G40" i="150" s="1"/>
  <c r="N20" i="43"/>
  <c r="AS51" i="43"/>
  <c r="O43" i="43"/>
  <c r="T30" i="47"/>
  <c r="T40" i="47" s="1"/>
  <c r="P32" i="43"/>
  <c r="P32" i="150" s="1"/>
  <c r="BI32" i="43"/>
  <c r="BR37" i="43"/>
  <c r="O37" i="43"/>
  <c r="O37" i="150" s="1"/>
  <c r="K37" i="43"/>
  <c r="L37" i="43"/>
  <c r="BI37" i="43"/>
  <c r="BI35" i="43"/>
  <c r="O35" i="43"/>
  <c r="O35" i="150" s="1"/>
  <c r="DP30" i="47"/>
  <c r="Z30" i="47"/>
  <c r="M29" i="48"/>
  <c r="AH10" i="48"/>
  <c r="DD33" i="47"/>
  <c r="EN23" i="47"/>
  <c r="BJ33" i="47"/>
  <c r="BT33" i="47"/>
  <c r="DF36" i="47"/>
  <c r="DE36" i="47"/>
  <c r="CZ36" i="47"/>
  <c r="CZ33" i="47" s="1"/>
  <c r="R33" i="47"/>
  <c r="AD27" i="47"/>
  <c r="AR33" i="47"/>
  <c r="BF29" i="47"/>
  <c r="BF27" i="47" s="1"/>
  <c r="BR3" i="47"/>
  <c r="BF32" i="47"/>
  <c r="AT30" i="47"/>
  <c r="AT40" i="47" s="1"/>
  <c r="DD36" i="47"/>
  <c r="W19" i="46"/>
  <c r="O40" i="43"/>
  <c r="D9" i="42"/>
  <c r="E9" i="42" s="1"/>
  <c r="C9" i="42"/>
  <c r="E8" i="42"/>
  <c r="D7" i="42"/>
  <c r="C7" i="42"/>
  <c r="L30" i="43"/>
  <c r="N37" i="43"/>
  <c r="N27" i="48"/>
  <c r="DA42" i="48"/>
  <c r="V19" i="37"/>
  <c r="V22" i="37"/>
  <c r="U31" i="37"/>
  <c r="V31" i="37"/>
  <c r="R31" i="37" s="1"/>
  <c r="U32" i="37"/>
  <c r="V32" i="37"/>
  <c r="Q31" i="37"/>
  <c r="Q32" i="37"/>
  <c r="P31" i="48"/>
  <c r="D12" i="15" s="1"/>
  <c r="R31" i="48"/>
  <c r="CS31" i="48"/>
  <c r="CT31" i="48"/>
  <c r="DB33" i="48"/>
  <c r="DA33" i="48"/>
  <c r="CZ33" i="48"/>
  <c r="DH33" i="48" s="1"/>
  <c r="DA31" i="48"/>
  <c r="DB31" i="48"/>
  <c r="CT27" i="48"/>
  <c r="CS27" i="48"/>
  <c r="CR27" i="48"/>
  <c r="N8" i="15" s="1"/>
  <c r="DB27" i="48"/>
  <c r="DA27" i="48"/>
  <c r="CZ27" i="48"/>
  <c r="O8" i="15" s="1"/>
  <c r="CT33" i="48"/>
  <c r="CS33" i="48"/>
  <c r="CR33" i="48"/>
  <c r="N14" i="15" s="1"/>
  <c r="AI87" i="47"/>
  <c r="BT85" i="41"/>
  <c r="BS85" i="41"/>
  <c r="BF85" i="41"/>
  <c r="BE85" i="41"/>
  <c r="BT84" i="41"/>
  <c r="BS84" i="41"/>
  <c r="BF84" i="41"/>
  <c r="BE84" i="41"/>
  <c r="AQ84" i="41"/>
  <c r="AN84" i="41"/>
  <c r="AR84" i="41" s="1"/>
  <c r="BT83" i="41"/>
  <c r="BS83" i="41"/>
  <c r="BE83" i="41"/>
  <c r="AZ83" i="41"/>
  <c r="AZ75" i="41" s="1"/>
  <c r="AX83" i="41"/>
  <c r="AR83" i="41"/>
  <c r="AG83" i="41"/>
  <c r="AQ83" i="41" s="1"/>
  <c r="BT82" i="41"/>
  <c r="BS82" i="41"/>
  <c r="BF82" i="41"/>
  <c r="AH82" i="41"/>
  <c r="AR82" i="41" s="1"/>
  <c r="AG82" i="41"/>
  <c r="AQ82" i="41" s="1"/>
  <c r="BT81" i="41"/>
  <c r="BS81" i="41"/>
  <c r="BF81" i="41"/>
  <c r="BE81" i="41"/>
  <c r="AH81" i="41"/>
  <c r="AR81" i="41" s="1"/>
  <c r="AG81" i="41"/>
  <c r="AQ81" i="41" s="1"/>
  <c r="BT80" i="41"/>
  <c r="BS80" i="41"/>
  <c r="AY80" i="41"/>
  <c r="AZ80" i="41" s="1"/>
  <c r="AW80" i="41"/>
  <c r="AX80" i="41" s="1"/>
  <c r="AU80" i="41"/>
  <c r="AV80" i="41" s="1"/>
  <c r="AM80" i="41"/>
  <c r="AL80" i="41"/>
  <c r="AK80" i="41"/>
  <c r="AJ80" i="41"/>
  <c r="AI80" i="41"/>
  <c r="AG80" i="41"/>
  <c r="AB80" i="41"/>
  <c r="AX78" i="41"/>
  <c r="AV78" i="41"/>
  <c r="AU78" i="41"/>
  <c r="AU77" i="41" s="1"/>
  <c r="AN78" i="41"/>
  <c r="AM78" i="41"/>
  <c r="AM77" i="41" s="1"/>
  <c r="AK78" i="41"/>
  <c r="AK77" i="41" s="1"/>
  <c r="AJ78" i="41"/>
  <c r="AI78" i="41"/>
  <c r="AI77" i="41" s="1"/>
  <c r="AG78" i="41"/>
  <c r="AY75" i="41"/>
  <c r="AV75" i="41"/>
  <c r="AP75" i="41"/>
  <c r="AT75" i="41" s="1"/>
  <c r="AL75" i="41"/>
  <c r="AJ75" i="41"/>
  <c r="AH75" i="41"/>
  <c r="AG75" i="41"/>
  <c r="AZ71" i="41"/>
  <c r="AY71" i="41"/>
  <c r="AV71" i="41"/>
  <c r="AT71" i="41"/>
  <c r="AR71" i="41"/>
  <c r="AO71" i="41"/>
  <c r="AQ71" i="41" s="1"/>
  <c r="AX70" i="41"/>
  <c r="AV70" i="41"/>
  <c r="AO70" i="41"/>
  <c r="AN70" i="41"/>
  <c r="AH70" i="41"/>
  <c r="AH80" i="41" s="1"/>
  <c r="BY69" i="41"/>
  <c r="BZ69" i="41" s="1"/>
  <c r="BQ69" i="41"/>
  <c r="BR69" i="41" s="1"/>
  <c r="BO69" i="41"/>
  <c r="BP69" i="41" s="1"/>
  <c r="BM69" i="41"/>
  <c r="BN69" i="41" s="1"/>
  <c r="BC69" i="41"/>
  <c r="AO69" i="41"/>
  <c r="AP69" i="41"/>
  <c r="AP67" i="41" s="1"/>
  <c r="AM69" i="41"/>
  <c r="AM67" i="41" s="1"/>
  <c r="AN69" i="41"/>
  <c r="AK69" i="41"/>
  <c r="AJ69" i="41"/>
  <c r="AJ67" i="41"/>
  <c r="AH69" i="41"/>
  <c r="AV68" i="41"/>
  <c r="AV67" i="41"/>
  <c r="AQ68" i="41"/>
  <c r="AP68" i="41"/>
  <c r="AN68" i="41"/>
  <c r="AL68" i="41"/>
  <c r="AH68" i="41"/>
  <c r="AZ67" i="41"/>
  <c r="AY67" i="41"/>
  <c r="AX67" i="41"/>
  <c r="AW67" i="41"/>
  <c r="AU67" i="41"/>
  <c r="AO67" i="41"/>
  <c r="AI67" i="41"/>
  <c r="AG67" i="41"/>
  <c r="AD67" i="41"/>
  <c r="AB67" i="41"/>
  <c r="AY66" i="41"/>
  <c r="AO66" i="41"/>
  <c r="AM66" i="41"/>
  <c r="AN66" i="41" s="1"/>
  <c r="AN64" i="41"/>
  <c r="AL66" i="41"/>
  <c r="AI66" i="41"/>
  <c r="AG66" i="41"/>
  <c r="AG64" i="41" s="1"/>
  <c r="AY65" i="41"/>
  <c r="AZ65" i="41" s="1"/>
  <c r="AX65" i="41"/>
  <c r="AX64" i="41" s="1"/>
  <c r="AU65" i="41"/>
  <c r="AU64" i="41" s="1"/>
  <c r="AQ65" i="41"/>
  <c r="AP65" i="41"/>
  <c r="AP64" i="41" s="1"/>
  <c r="AL65" i="41"/>
  <c r="AJ65" i="41"/>
  <c r="AW64" i="41"/>
  <c r="AK64" i="41"/>
  <c r="AD64" i="41"/>
  <c r="AB64" i="41"/>
  <c r="AY63" i="41"/>
  <c r="AZ63" i="41" s="1"/>
  <c r="AZ61" i="41" s="1"/>
  <c r="AO63" i="41"/>
  <c r="AP63" i="41" s="1"/>
  <c r="AM63" i="41"/>
  <c r="AN63" i="41" s="1"/>
  <c r="AL63" i="41"/>
  <c r="AI63" i="41"/>
  <c r="AJ63" i="41" s="1"/>
  <c r="AG63" i="41"/>
  <c r="AH63" i="41" s="1"/>
  <c r="AY62" i="41"/>
  <c r="AZ62" i="41" s="1"/>
  <c r="AW62" i="41"/>
  <c r="AX62" i="41" s="1"/>
  <c r="AX61" i="41" s="1"/>
  <c r="AU62" i="41"/>
  <c r="AO62" i="41"/>
  <c r="AM62" i="41"/>
  <c r="AN62" i="41"/>
  <c r="AK62" i="41"/>
  <c r="AL62" i="41" s="1"/>
  <c r="AL61" i="41" s="1"/>
  <c r="AI62" i="41"/>
  <c r="AJ62" i="41"/>
  <c r="AH62" i="41"/>
  <c r="AK61" i="41"/>
  <c r="AD61" i="41"/>
  <c r="AB61" i="41"/>
  <c r="BQ59" i="41"/>
  <c r="BR59" i="41" s="1"/>
  <c r="BO59" i="41"/>
  <c r="BP59" i="41"/>
  <c r="BM59" i="41"/>
  <c r="BK59" i="41"/>
  <c r="BL59" i="41" s="1"/>
  <c r="BI59" i="41"/>
  <c r="BJ59" i="41" s="1"/>
  <c r="BC59" i="41"/>
  <c r="BD59" i="41" s="1"/>
  <c r="AO59" i="41"/>
  <c r="AO58" i="41" s="1"/>
  <c r="AY58" i="41"/>
  <c r="AZ58" i="41" s="1"/>
  <c r="AX58" i="41"/>
  <c r="AV58" i="41"/>
  <c r="AM58" i="41"/>
  <c r="AL58" i="41"/>
  <c r="AK58" i="41"/>
  <c r="AJ58" i="41"/>
  <c r="AI58" i="41"/>
  <c r="AH58" i="41"/>
  <c r="AG58" i="41"/>
  <c r="AB58" i="41"/>
  <c r="BK54" i="41"/>
  <c r="BI54" i="41"/>
  <c r="BJ54" i="41" s="1"/>
  <c r="AQ54" i="41"/>
  <c r="AN54" i="41"/>
  <c r="AH54" i="41"/>
  <c r="AR54" i="41" s="1"/>
  <c r="BK53" i="41"/>
  <c r="BL53" i="41"/>
  <c r="BI53" i="41"/>
  <c r="AQ53" i="41"/>
  <c r="AN53" i="41"/>
  <c r="AH53" i="41"/>
  <c r="BK52" i="41"/>
  <c r="BI52" i="41"/>
  <c r="BJ52" i="41" s="1"/>
  <c r="AQ52" i="41"/>
  <c r="AP52" i="41"/>
  <c r="AP51" i="41"/>
  <c r="AN52" i="41"/>
  <c r="AH52" i="41"/>
  <c r="AO51" i="41"/>
  <c r="AM51" i="41"/>
  <c r="AL51" i="41"/>
  <c r="AK51" i="41"/>
  <c r="AJ51" i="41"/>
  <c r="AI51" i="41"/>
  <c r="AG51" i="41"/>
  <c r="AD51" i="41"/>
  <c r="AB51" i="41"/>
  <c r="D51" i="41"/>
  <c r="BQ50" i="41"/>
  <c r="BO50" i="41"/>
  <c r="BP50" i="41" s="1"/>
  <c r="BM50" i="41"/>
  <c r="BN50" i="41" s="1"/>
  <c r="BK50" i="41"/>
  <c r="BL50" i="41" s="1"/>
  <c r="BI50" i="41"/>
  <c r="BJ50" i="41" s="1"/>
  <c r="AO50" i="41"/>
  <c r="AQ50" i="41" s="1"/>
  <c r="AH50" i="41"/>
  <c r="AR50" i="41" s="1"/>
  <c r="BQ49" i="41"/>
  <c r="BR49" i="41"/>
  <c r="BO49" i="41"/>
  <c r="BP49" i="41" s="1"/>
  <c r="BM49" i="41"/>
  <c r="BN49" i="41"/>
  <c r="BK49" i="41"/>
  <c r="BL49" i="41" s="1"/>
  <c r="BI49" i="41"/>
  <c r="BJ49" i="41" s="1"/>
  <c r="AZ49" i="41"/>
  <c r="AV49" i="41"/>
  <c r="AP49" i="41"/>
  <c r="AO49" i="41"/>
  <c r="AQ49" i="41" s="1"/>
  <c r="AH49" i="41"/>
  <c r="BQ48" i="41"/>
  <c r="BR48" i="41" s="1"/>
  <c r="BO48" i="41"/>
  <c r="BP48" i="41" s="1"/>
  <c r="BM48" i="41"/>
  <c r="BN48" i="41" s="1"/>
  <c r="BT48" i="41" s="1"/>
  <c r="BK48" i="41"/>
  <c r="BL48" i="41" s="1"/>
  <c r="BI48" i="41"/>
  <c r="BJ48" i="41" s="1"/>
  <c r="BD48" i="41"/>
  <c r="AX48" i="41"/>
  <c r="AT48" i="41"/>
  <c r="BK47" i="41"/>
  <c r="BL47" i="41" s="1"/>
  <c r="BI47" i="41"/>
  <c r="BJ47" i="41"/>
  <c r="AZ47" i="41"/>
  <c r="AY47" i="41"/>
  <c r="AX47" i="41"/>
  <c r="AW47" i="41"/>
  <c r="AV47" i="41"/>
  <c r="AP47" i="41"/>
  <c r="AL47" i="41"/>
  <c r="AT47" i="41" s="1"/>
  <c r="AK47" i="41"/>
  <c r="AQ47" i="41" s="1"/>
  <c r="BQ46" i="41"/>
  <c r="BR46" i="41" s="1"/>
  <c r="BO46" i="41"/>
  <c r="BP46" i="41"/>
  <c r="BM46" i="41"/>
  <c r="BN46" i="41" s="1"/>
  <c r="BK46" i="41"/>
  <c r="BL46" i="41" s="1"/>
  <c r="BI46" i="41"/>
  <c r="BJ46" i="41" s="1"/>
  <c r="BD46" i="41"/>
  <c r="AZ46" i="41"/>
  <c r="BY46" i="41" s="1"/>
  <c r="BZ46" i="41" s="1"/>
  <c r="AT46" i="41"/>
  <c r="AR46" i="41"/>
  <c r="AQ46" i="41"/>
  <c r="BO45" i="41"/>
  <c r="BP45" i="41" s="1"/>
  <c r="BK45" i="41"/>
  <c r="BL45" i="41" s="1"/>
  <c r="BI45" i="41"/>
  <c r="BJ45" i="41" s="1"/>
  <c r="BD45" i="41"/>
  <c r="AZ45" i="41"/>
  <c r="BY45" i="41" s="1"/>
  <c r="BZ45" i="41" s="1"/>
  <c r="AY45" i="41"/>
  <c r="AW45" i="41"/>
  <c r="AQ45" i="41"/>
  <c r="AP45" i="41"/>
  <c r="AH45" i="41"/>
  <c r="BQ44" i="41"/>
  <c r="BR44" i="41" s="1"/>
  <c r="BO44" i="41"/>
  <c r="BP44" i="41" s="1"/>
  <c r="BM44" i="41"/>
  <c r="BN44" i="41" s="1"/>
  <c r="BK44" i="41"/>
  <c r="BL44" i="41"/>
  <c r="BI44" i="41"/>
  <c r="BD44" i="41"/>
  <c r="BF44" i="41" s="1"/>
  <c r="BY44" i="41"/>
  <c r="BZ44" i="41" s="1"/>
  <c r="AQ44" i="41"/>
  <c r="AN44" i="41"/>
  <c r="AR44" i="41" s="1"/>
  <c r="AH44" i="41"/>
  <c r="BQ43" i="41"/>
  <c r="BR43" i="41"/>
  <c r="BO43" i="41"/>
  <c r="BP43" i="41" s="1"/>
  <c r="BM43" i="41"/>
  <c r="BN43" i="41" s="1"/>
  <c r="BK43" i="41"/>
  <c r="BL43" i="41" s="1"/>
  <c r="BI43" i="41"/>
  <c r="BJ43" i="41" s="1"/>
  <c r="AZ43" i="41"/>
  <c r="BY43" i="41" s="1"/>
  <c r="BZ43" i="41" s="1"/>
  <c r="AQ43" i="41"/>
  <c r="AH43" i="41"/>
  <c r="AR43" i="41" s="1"/>
  <c r="BO42" i="41"/>
  <c r="BP42" i="41" s="1"/>
  <c r="BM42" i="41"/>
  <c r="BN42" i="41" s="1"/>
  <c r="BK42" i="41"/>
  <c r="BL42" i="41" s="1"/>
  <c r="BI42" i="41"/>
  <c r="BJ42" i="41" s="1"/>
  <c r="AZ42" i="41"/>
  <c r="BY42" i="41" s="1"/>
  <c r="BZ42" i="41" s="1"/>
  <c r="AY42" i="41"/>
  <c r="AP42" i="41"/>
  <c r="AO42" i="41"/>
  <c r="AQ42" i="41" s="1"/>
  <c r="AH42" i="41"/>
  <c r="BO41" i="41"/>
  <c r="BP41" i="41"/>
  <c r="BK41" i="41"/>
  <c r="BL41" i="41" s="1"/>
  <c r="BI41" i="41"/>
  <c r="BJ41" i="41" s="1"/>
  <c r="BD41" i="41"/>
  <c r="AZ41" i="41"/>
  <c r="BY41" i="41" s="1"/>
  <c r="BZ41" i="41" s="1"/>
  <c r="AQ41" i="41"/>
  <c r="AH41" i="41"/>
  <c r="BO40" i="41"/>
  <c r="BP40" i="41" s="1"/>
  <c r="BK40" i="41"/>
  <c r="BL40" i="41" s="1"/>
  <c r="BI40" i="41"/>
  <c r="BJ40" i="41" s="1"/>
  <c r="AZ40" i="41"/>
  <c r="BY40" i="41" s="1"/>
  <c r="BZ40" i="41" s="1"/>
  <c r="AY40" i="41"/>
  <c r="AP40" i="41"/>
  <c r="AP78" i="41" s="1"/>
  <c r="AO40" i="41"/>
  <c r="AH40" i="41"/>
  <c r="BQ39" i="41"/>
  <c r="BR39" i="41" s="1"/>
  <c r="BO39" i="41"/>
  <c r="BP39" i="41" s="1"/>
  <c r="BM39" i="41"/>
  <c r="BN39" i="41"/>
  <c r="BK39" i="41"/>
  <c r="BL39" i="41" s="1"/>
  <c r="BI39" i="41"/>
  <c r="BD39" i="41"/>
  <c r="AZ39" i="41"/>
  <c r="AY39" i="41"/>
  <c r="AQ39" i="41"/>
  <c r="AH39" i="41"/>
  <c r="BQ38" i="41"/>
  <c r="BR38" i="41" s="1"/>
  <c r="BO38" i="41"/>
  <c r="BP38" i="41" s="1"/>
  <c r="BM38" i="41"/>
  <c r="BN38" i="41" s="1"/>
  <c r="BK38" i="41"/>
  <c r="BL38" i="41" s="1"/>
  <c r="BI38" i="41"/>
  <c r="AZ38" i="41"/>
  <c r="AY38" i="41"/>
  <c r="AQ38" i="41"/>
  <c r="AH38" i="41"/>
  <c r="AT38" i="41" s="1"/>
  <c r="BQ37" i="41"/>
  <c r="BR37" i="41"/>
  <c r="BO37" i="41"/>
  <c r="BP37" i="41" s="1"/>
  <c r="BM37" i="41"/>
  <c r="BN37" i="41" s="1"/>
  <c r="BK37" i="41"/>
  <c r="BL37" i="41" s="1"/>
  <c r="BI37" i="41"/>
  <c r="AQ37" i="41"/>
  <c r="AH37" i="41"/>
  <c r="BQ36" i="41"/>
  <c r="BR36" i="41" s="1"/>
  <c r="BO36" i="41"/>
  <c r="BP36" i="41" s="1"/>
  <c r="BM36" i="41"/>
  <c r="BN36" i="41" s="1"/>
  <c r="BK36" i="41"/>
  <c r="BL36" i="41" s="1"/>
  <c r="BI36" i="41"/>
  <c r="AZ36" i="41"/>
  <c r="BY36" i="41" s="1"/>
  <c r="BZ36" i="41" s="1"/>
  <c r="AX36" i="41"/>
  <c r="AV36" i="41"/>
  <c r="AQ36" i="41"/>
  <c r="AH36" i="41"/>
  <c r="AR36" i="41" s="1"/>
  <c r="BQ35" i="41"/>
  <c r="BR35" i="41" s="1"/>
  <c r="BO35" i="41"/>
  <c r="BP35" i="41"/>
  <c r="BM35" i="41"/>
  <c r="BN35" i="41" s="1"/>
  <c r="BK35" i="41"/>
  <c r="BL35" i="41"/>
  <c r="BI35" i="41"/>
  <c r="AJ35" i="41"/>
  <c r="AJ30" i="41" s="1"/>
  <c r="AH35" i="41"/>
  <c r="AG35" i="41"/>
  <c r="AQ35" i="41" s="1"/>
  <c r="BQ34" i="41"/>
  <c r="BR34" i="41" s="1"/>
  <c r="BO34" i="41"/>
  <c r="BP34" i="41" s="1"/>
  <c r="BM34" i="41"/>
  <c r="BN34" i="41" s="1"/>
  <c r="BK34" i="41"/>
  <c r="BI34" i="41"/>
  <c r="BJ34" i="41" s="1"/>
  <c r="AZ34" i="41"/>
  <c r="BY34" i="41" s="1"/>
  <c r="BZ34" i="41" s="1"/>
  <c r="AQ34" i="41"/>
  <c r="AH34" i="41"/>
  <c r="AR34" i="41" s="1"/>
  <c r="BQ33" i="41"/>
  <c r="BR33" i="41" s="1"/>
  <c r="BO33" i="41"/>
  <c r="BP33" i="41" s="1"/>
  <c r="BM33" i="41"/>
  <c r="BN33" i="41" s="1"/>
  <c r="BK33" i="41"/>
  <c r="BL33" i="41" s="1"/>
  <c r="BI33" i="41"/>
  <c r="AQ33" i="41"/>
  <c r="AH33" i="41"/>
  <c r="AR33" i="41" s="1"/>
  <c r="BQ32" i="41"/>
  <c r="BR32" i="41" s="1"/>
  <c r="BO32" i="41"/>
  <c r="BP32" i="41" s="1"/>
  <c r="BM32" i="41"/>
  <c r="BN32" i="41" s="1"/>
  <c r="BK32" i="41"/>
  <c r="BL32" i="41" s="1"/>
  <c r="BI32" i="41"/>
  <c r="AZ32" i="41"/>
  <c r="AQ32" i="41"/>
  <c r="AH32" i="41"/>
  <c r="AR32" i="41" s="1"/>
  <c r="BQ31" i="41"/>
  <c r="BR31" i="41" s="1"/>
  <c r="BO31" i="41"/>
  <c r="BP31" i="41" s="1"/>
  <c r="BM31" i="41"/>
  <c r="BN31" i="41" s="1"/>
  <c r="BK31" i="41"/>
  <c r="BI31" i="41"/>
  <c r="BJ31" i="41" s="1"/>
  <c r="AY31" i="41"/>
  <c r="AY30" i="41" s="1"/>
  <c r="AQ31" i="41"/>
  <c r="AH31" i="41"/>
  <c r="AX30" i="41"/>
  <c r="AW30" i="41"/>
  <c r="AV30" i="41"/>
  <c r="AU30" i="41"/>
  <c r="AU11" i="41" s="1"/>
  <c r="AU12" i="41" s="1"/>
  <c r="AP30" i="41"/>
  <c r="AO30" i="41"/>
  <c r="AN30" i="41"/>
  <c r="AM30" i="41"/>
  <c r="AL30" i="41"/>
  <c r="AK30" i="41"/>
  <c r="AI30" i="41"/>
  <c r="AG30" i="41"/>
  <c r="AD30" i="41"/>
  <c r="AB30" i="41"/>
  <c r="AA30" i="41"/>
  <c r="BQ29" i="41"/>
  <c r="BR29" i="41" s="1"/>
  <c r="BO29" i="41"/>
  <c r="BP29" i="41"/>
  <c r="BM29" i="41"/>
  <c r="BN29" i="41" s="1"/>
  <c r="BK29" i="41"/>
  <c r="BL29" i="41" s="1"/>
  <c r="BI29" i="41"/>
  <c r="BY29" i="41"/>
  <c r="BZ29" i="41" s="1"/>
  <c r="AH29" i="41"/>
  <c r="AR29" i="41" s="1"/>
  <c r="AG29" i="41"/>
  <c r="AG25" i="41" s="1"/>
  <c r="AQ29" i="41"/>
  <c r="BQ28" i="41"/>
  <c r="BR28" i="41" s="1"/>
  <c r="BO28" i="41"/>
  <c r="BP28" i="41" s="1"/>
  <c r="BM28" i="41"/>
  <c r="BK28" i="41"/>
  <c r="BL28" i="41" s="1"/>
  <c r="BI28" i="41"/>
  <c r="BY28" i="41"/>
  <c r="BZ28" i="41" s="1"/>
  <c r="AQ28" i="41"/>
  <c r="AH28" i="41"/>
  <c r="AR28" i="41" s="1"/>
  <c r="BQ27" i="41"/>
  <c r="BR27" i="41" s="1"/>
  <c r="BO27" i="41"/>
  <c r="BP27" i="41" s="1"/>
  <c r="BM27" i="41"/>
  <c r="BN27" i="41" s="1"/>
  <c r="BK27" i="41"/>
  <c r="BL27" i="41" s="1"/>
  <c r="BI27" i="41"/>
  <c r="BJ27" i="41" s="1"/>
  <c r="AQ27" i="41"/>
  <c r="AH27" i="41"/>
  <c r="AR27" i="41" s="1"/>
  <c r="BQ26" i="41"/>
  <c r="BR26" i="41" s="1"/>
  <c r="BO26" i="41"/>
  <c r="BP26" i="41" s="1"/>
  <c r="BM26" i="41"/>
  <c r="BK26" i="41"/>
  <c r="BI26" i="41"/>
  <c r="AQ26" i="41"/>
  <c r="AH26" i="41"/>
  <c r="AR26" i="41" s="1"/>
  <c r="AZ25" i="41"/>
  <c r="AY25" i="41"/>
  <c r="AX25" i="41"/>
  <c r="AW25" i="41"/>
  <c r="AV25" i="41"/>
  <c r="AU25" i="41"/>
  <c r="AP25" i="41"/>
  <c r="AO25" i="41"/>
  <c r="AN25" i="41"/>
  <c r="AM25" i="41"/>
  <c r="AL25" i="41"/>
  <c r="AK25" i="41"/>
  <c r="AJ25" i="41"/>
  <c r="AI25" i="41"/>
  <c r="AD25" i="41"/>
  <c r="AB25" i="41"/>
  <c r="AA25" i="41"/>
  <c r="BQ24" i="41"/>
  <c r="BR24" i="41" s="1"/>
  <c r="BO24" i="41"/>
  <c r="BP24" i="41" s="1"/>
  <c r="BM24" i="41"/>
  <c r="BN24" i="41" s="1"/>
  <c r="BK24" i="41"/>
  <c r="BL24" i="41" s="1"/>
  <c r="BI24" i="41"/>
  <c r="BY24" i="41"/>
  <c r="BZ24" i="41" s="1"/>
  <c r="AJ24" i="41"/>
  <c r="AJ19" i="41" s="1"/>
  <c r="AH24" i="41"/>
  <c r="AG24" i="41"/>
  <c r="BQ23" i="41"/>
  <c r="BR23" i="41"/>
  <c r="BO23" i="41"/>
  <c r="BP23" i="41" s="1"/>
  <c r="BM23" i="41"/>
  <c r="BK23" i="41"/>
  <c r="BL23" i="41" s="1"/>
  <c r="BI23" i="41"/>
  <c r="BJ23" i="41"/>
  <c r="BY23" i="41"/>
  <c r="BZ23" i="41" s="1"/>
  <c r="AY23" i="41"/>
  <c r="AY19" i="41" s="1"/>
  <c r="AQ23" i="41"/>
  <c r="AH23" i="41"/>
  <c r="AR23" i="41"/>
  <c r="BQ22" i="41"/>
  <c r="BR22" i="41" s="1"/>
  <c r="BO22" i="41"/>
  <c r="BP22" i="41"/>
  <c r="BM22" i="41"/>
  <c r="BK22" i="41"/>
  <c r="BL22" i="41" s="1"/>
  <c r="BI22" i="41"/>
  <c r="BY22" i="41"/>
  <c r="BZ22" i="41" s="1"/>
  <c r="AQ22" i="41"/>
  <c r="AH22" i="41"/>
  <c r="AR22" i="41"/>
  <c r="BQ21" i="41"/>
  <c r="BR21" i="41" s="1"/>
  <c r="BO21" i="41"/>
  <c r="BP21" i="41" s="1"/>
  <c r="BM21" i="41"/>
  <c r="BN21" i="41" s="1"/>
  <c r="BK21" i="41"/>
  <c r="BI21" i="41"/>
  <c r="BI19" i="41" s="1"/>
  <c r="AQ21" i="41"/>
  <c r="AH21" i="41"/>
  <c r="AR21" i="41" s="1"/>
  <c r="BQ20" i="41"/>
  <c r="BO20" i="41"/>
  <c r="BM20" i="41"/>
  <c r="BK20" i="41"/>
  <c r="BL20" i="41" s="1"/>
  <c r="BI20" i="41"/>
  <c r="AZ20" i="41"/>
  <c r="AZ19" i="41" s="1"/>
  <c r="AW20" i="41"/>
  <c r="AQ20" i="41"/>
  <c r="AH20" i="41"/>
  <c r="AX19" i="41"/>
  <c r="AV19" i="41"/>
  <c r="AU19" i="41"/>
  <c r="AP19" i="41"/>
  <c r="AO19" i="41"/>
  <c r="AN19" i="41"/>
  <c r="AM19" i="41"/>
  <c r="AL19" i="41"/>
  <c r="AK19" i="41"/>
  <c r="AI19" i="41"/>
  <c r="AD19" i="41"/>
  <c r="AB19" i="41"/>
  <c r="AA19" i="41"/>
  <c r="BQ18" i="41"/>
  <c r="BR18" i="41"/>
  <c r="BO18" i="41"/>
  <c r="BP18" i="41" s="1"/>
  <c r="BM18" i="41"/>
  <c r="BN18" i="41" s="1"/>
  <c r="BK18" i="41"/>
  <c r="BL18" i="41" s="1"/>
  <c r="BI18" i="41"/>
  <c r="AH18" i="41"/>
  <c r="AR18" i="41" s="1"/>
  <c r="AG18" i="41"/>
  <c r="AG13" i="41" s="1"/>
  <c r="AQ18" i="41"/>
  <c r="BQ17" i="41"/>
  <c r="BR17" i="41" s="1"/>
  <c r="BO17" i="41"/>
  <c r="BP17" i="41"/>
  <c r="BM17" i="41"/>
  <c r="BK17" i="41"/>
  <c r="BL17" i="41"/>
  <c r="BI17" i="41"/>
  <c r="BJ17" i="41" s="1"/>
  <c r="BY17" i="41"/>
  <c r="BZ17" i="41" s="1"/>
  <c r="AQ17" i="41"/>
  <c r="AH17" i="41"/>
  <c r="AR17" i="41" s="1"/>
  <c r="BQ16" i="41"/>
  <c r="BR16" i="41" s="1"/>
  <c r="BO16" i="41"/>
  <c r="BP16" i="41"/>
  <c r="BM16" i="41"/>
  <c r="BN16" i="41"/>
  <c r="BK16" i="41"/>
  <c r="BL16" i="41" s="1"/>
  <c r="BI16" i="41"/>
  <c r="AQ16" i="41"/>
  <c r="AH16" i="41"/>
  <c r="AR16" i="41"/>
  <c r="BQ15" i="41"/>
  <c r="BR15" i="41" s="1"/>
  <c r="BO15" i="41"/>
  <c r="BP15" i="41" s="1"/>
  <c r="BM15" i="41"/>
  <c r="BN15" i="41"/>
  <c r="BK15" i="41"/>
  <c r="BL15" i="41" s="1"/>
  <c r="BI15" i="41"/>
  <c r="BJ15" i="41" s="1"/>
  <c r="AQ15" i="41"/>
  <c r="AH15" i="41"/>
  <c r="AR15" i="41" s="1"/>
  <c r="BQ14" i="41"/>
  <c r="BR14" i="41" s="1"/>
  <c r="BO14" i="41"/>
  <c r="BP14" i="41" s="1"/>
  <c r="BM14" i="41"/>
  <c r="BK14" i="41"/>
  <c r="BL14" i="41" s="1"/>
  <c r="BI14" i="41"/>
  <c r="BJ14" i="41" s="1"/>
  <c r="AW14" i="41"/>
  <c r="AQ14" i="41"/>
  <c r="AL14" i="41"/>
  <c r="AL13" i="41" s="1"/>
  <c r="AL78" i="41"/>
  <c r="AL77" i="41" s="1"/>
  <c r="AH14" i="41"/>
  <c r="AZ13" i="41"/>
  <c r="AY13" i="41"/>
  <c r="AX13" i="41"/>
  <c r="AV13" i="41"/>
  <c r="AU13" i="41"/>
  <c r="AP13" i="41"/>
  <c r="AO13" i="41"/>
  <c r="AN13" i="41"/>
  <c r="AM13" i="41"/>
  <c r="AK13" i="41"/>
  <c r="AJ13" i="41"/>
  <c r="AI13" i="41"/>
  <c r="AI11" i="41" s="1"/>
  <c r="AI12" i="41" s="1"/>
  <c r="AD13" i="41"/>
  <c r="AB13" i="41"/>
  <c r="AA13" i="41"/>
  <c r="D11" i="41"/>
  <c r="D10" i="41" s="1"/>
  <c r="C11" i="41"/>
  <c r="C10" i="41" s="1"/>
  <c r="AW61" i="41"/>
  <c r="AR47" i="41"/>
  <c r="BY37" i="41"/>
  <c r="BZ37" i="41" s="1"/>
  <c r="BE44" i="41"/>
  <c r="BY18" i="41"/>
  <c r="BZ18" i="41" s="1"/>
  <c r="AN51" i="41"/>
  <c r="AT50" i="41"/>
  <c r="BY38" i="41"/>
  <c r="BZ38" i="41" s="1"/>
  <c r="AX75" i="41"/>
  <c r="AJ77" i="41"/>
  <c r="BJ22" i="41"/>
  <c r="BN28" i="41"/>
  <c r="AI5" i="41"/>
  <c r="BJ33" i="41"/>
  <c r="BY14" i="41"/>
  <c r="BZ14" i="41" s="1"/>
  <c r="BR20" i="41"/>
  <c r="AM61" i="41"/>
  <c r="AR38" i="41"/>
  <c r="AW19" i="41"/>
  <c r="AR65" i="41"/>
  <c r="AN75" i="41"/>
  <c r="BJ20" i="41"/>
  <c r="AR24" i="41"/>
  <c r="AT43" i="41"/>
  <c r="AT44" i="41"/>
  <c r="AM64" i="41"/>
  <c r="AJ11" i="41"/>
  <c r="AJ10" i="41" s="1"/>
  <c r="BY16" i="41"/>
  <c r="BZ16" i="41" s="1"/>
  <c r="BJ36" i="41"/>
  <c r="AQ24" i="41"/>
  <c r="AG19" i="41"/>
  <c r="AG11" i="41" s="1"/>
  <c r="AG12" i="41" s="1"/>
  <c r="BO30" i="41"/>
  <c r="BY15" i="41"/>
  <c r="BZ15" i="41" s="1"/>
  <c r="BY31" i="41"/>
  <c r="BZ31" i="41" s="1"/>
  <c r="BJ37" i="41"/>
  <c r="BN14" i="41"/>
  <c r="BJ21" i="41"/>
  <c r="BL52" i="41"/>
  <c r="BY26" i="41"/>
  <c r="BZ26" i="41" s="1"/>
  <c r="BY39" i="41"/>
  <c r="BZ39" i="41" s="1"/>
  <c r="BJ16" i="41"/>
  <c r="BM30" i="41"/>
  <c r="BJ26" i="41"/>
  <c r="AT41" i="41"/>
  <c r="AR41" i="41"/>
  <c r="AY78" i="41"/>
  <c r="AO64" i="41"/>
  <c r="AP66" i="41"/>
  <c r="AV65" i="41"/>
  <c r="AV64" i="41" s="1"/>
  <c r="AH67" i="41"/>
  <c r="AH66" i="41"/>
  <c r="AH64" i="41" s="1"/>
  <c r="AO80" i="41"/>
  <c r="AP80" i="41" s="1"/>
  <c r="AQ75" i="41"/>
  <c r="AV77" i="41"/>
  <c r="AR75" i="41"/>
  <c r="M25" i="40"/>
  <c r="M24" i="40" s="1"/>
  <c r="M23" i="40" s="1"/>
  <c r="L51" i="40"/>
  <c r="M51" i="40"/>
  <c r="L43" i="40"/>
  <c r="M43" i="40"/>
  <c r="L40" i="40"/>
  <c r="M40" i="40"/>
  <c r="M39" i="40" s="1"/>
  <c r="M37" i="40"/>
  <c r="L37" i="40"/>
  <c r="L25" i="40"/>
  <c r="K28" i="40"/>
  <c r="L17" i="40"/>
  <c r="L14" i="40" s="1"/>
  <c r="M14" i="40"/>
  <c r="I58" i="40"/>
  <c r="J32" i="40"/>
  <c r="X58" i="40"/>
  <c r="O58" i="40"/>
  <c r="H58" i="40"/>
  <c r="G58" i="40"/>
  <c r="F58" i="40"/>
  <c r="E58" i="40"/>
  <c r="D58" i="40"/>
  <c r="C58" i="40"/>
  <c r="AA57" i="40"/>
  <c r="AA56" i="40"/>
  <c r="K55" i="40"/>
  <c r="K51" i="40" s="1"/>
  <c r="D55" i="40"/>
  <c r="AA55" i="40" s="1"/>
  <c r="C55" i="40"/>
  <c r="B55" i="40"/>
  <c r="D54" i="40"/>
  <c r="AA54" i="40"/>
  <c r="C54" i="40"/>
  <c r="B54" i="40"/>
  <c r="D53" i="40"/>
  <c r="AA53" i="40" s="1"/>
  <c r="C53" i="40"/>
  <c r="B53" i="40"/>
  <c r="AA52" i="40"/>
  <c r="B52" i="40"/>
  <c r="AE51" i="40"/>
  <c r="AD51" i="40"/>
  <c r="AC51" i="40"/>
  <c r="AB51" i="40"/>
  <c r="Z51" i="40"/>
  <c r="Y51" i="40"/>
  <c r="X51" i="40"/>
  <c r="W51" i="40"/>
  <c r="V51" i="40"/>
  <c r="U51" i="40"/>
  <c r="T51" i="40"/>
  <c r="S51" i="40"/>
  <c r="R51" i="40"/>
  <c r="Q51" i="40"/>
  <c r="P51" i="40"/>
  <c r="O51" i="40"/>
  <c r="O49" i="40" s="1"/>
  <c r="J51" i="40"/>
  <c r="I51" i="40"/>
  <c r="H51" i="40"/>
  <c r="G51" i="40"/>
  <c r="F51" i="40"/>
  <c r="F49" i="40" s="1"/>
  <c r="E51" i="40"/>
  <c r="AA48" i="40"/>
  <c r="Q47" i="40"/>
  <c r="Q43" i="40" s="1"/>
  <c r="K47" i="40"/>
  <c r="K43" i="40" s="1"/>
  <c r="J47" i="40"/>
  <c r="AA47" i="40" s="1"/>
  <c r="AA46" i="40"/>
  <c r="AA45" i="40"/>
  <c r="AA44" i="40"/>
  <c r="AE43" i="40"/>
  <c r="AD43" i="40"/>
  <c r="AC43" i="40"/>
  <c r="AC39" i="40" s="1"/>
  <c r="AB43" i="40"/>
  <c r="Z43" i="40"/>
  <c r="Y43" i="40"/>
  <c r="X43" i="40"/>
  <c r="W43" i="40"/>
  <c r="V43" i="40"/>
  <c r="U43" i="40"/>
  <c r="T43" i="40"/>
  <c r="S43" i="40"/>
  <c r="R43" i="40"/>
  <c r="P43" i="40"/>
  <c r="O43" i="40"/>
  <c r="I43" i="40"/>
  <c r="I39" i="40" s="1"/>
  <c r="H43" i="40"/>
  <c r="G43" i="40"/>
  <c r="F43" i="40"/>
  <c r="E43" i="40"/>
  <c r="D43" i="40"/>
  <c r="C43" i="40"/>
  <c r="AE40" i="40"/>
  <c r="AD40" i="40"/>
  <c r="AD39" i="40" s="1"/>
  <c r="AC40" i="40"/>
  <c r="AB40" i="40"/>
  <c r="AB39" i="40" s="1"/>
  <c r="AA40" i="40"/>
  <c r="Z40" i="40"/>
  <c r="Y40" i="40"/>
  <c r="X40" i="40"/>
  <c r="X39" i="40" s="1"/>
  <c r="W40" i="40"/>
  <c r="W39" i="40" s="1"/>
  <c r="V40" i="40"/>
  <c r="V39" i="40" s="1"/>
  <c r="U40" i="40"/>
  <c r="U39" i="40" s="1"/>
  <c r="T40" i="40"/>
  <c r="S40" i="40"/>
  <c r="R40" i="40"/>
  <c r="Q40" i="40"/>
  <c r="P40" i="40"/>
  <c r="O40" i="40"/>
  <c r="K40" i="40"/>
  <c r="K39" i="40" s="1"/>
  <c r="J40" i="40"/>
  <c r="H40" i="40"/>
  <c r="G40" i="40"/>
  <c r="F40" i="40"/>
  <c r="F39" i="40" s="1"/>
  <c r="E40" i="40"/>
  <c r="D40" i="40"/>
  <c r="C40" i="40"/>
  <c r="AA38" i="40"/>
  <c r="V37" i="40"/>
  <c r="V34" i="40"/>
  <c r="T37" i="40"/>
  <c r="T34" i="40"/>
  <c r="P37" i="40"/>
  <c r="P34" i="40" s="1"/>
  <c r="K37" i="40"/>
  <c r="O37" i="40" s="1"/>
  <c r="AA37" i="40" s="1"/>
  <c r="H37" i="40"/>
  <c r="G37" i="40"/>
  <c r="AA35" i="40"/>
  <c r="AE34" i="40"/>
  <c r="AD34" i="40"/>
  <c r="AC34" i="40"/>
  <c r="AB34" i="40"/>
  <c r="Z34" i="40"/>
  <c r="Y34" i="40"/>
  <c r="X34" i="40"/>
  <c r="J34" i="40"/>
  <c r="I34" i="40"/>
  <c r="F34" i="40"/>
  <c r="E34" i="40"/>
  <c r="D34" i="40"/>
  <c r="C34" i="40"/>
  <c r="Y32" i="40"/>
  <c r="Z32" i="40" s="1"/>
  <c r="Z58" i="40" s="1"/>
  <c r="W32" i="40"/>
  <c r="W37" i="40" s="1"/>
  <c r="W34" i="40" s="1"/>
  <c r="U32" i="40"/>
  <c r="U37" i="40" s="1"/>
  <c r="U34" i="40" s="1"/>
  <c r="Q32" i="40"/>
  <c r="AA31" i="40"/>
  <c r="AA30" i="40"/>
  <c r="AA29" i="40"/>
  <c r="Q29" i="40"/>
  <c r="Q25" i="40" s="1"/>
  <c r="Q24" i="40" s="1"/>
  <c r="Q23" i="40" s="1"/>
  <c r="K29" i="40"/>
  <c r="O28" i="40"/>
  <c r="AA28" i="40" s="1"/>
  <c r="O27" i="40"/>
  <c r="K27" i="40"/>
  <c r="AE25" i="40"/>
  <c r="AD25" i="40"/>
  <c r="AC25" i="40"/>
  <c r="AB25" i="40"/>
  <c r="Z25" i="40"/>
  <c r="Y25" i="40"/>
  <c r="X25" i="40"/>
  <c r="X24" i="40" s="1"/>
  <c r="X23" i="40" s="1"/>
  <c r="W25" i="40"/>
  <c r="W24" i="40" s="1"/>
  <c r="W23" i="40" s="1"/>
  <c r="V25" i="40"/>
  <c r="V24" i="40" s="1"/>
  <c r="V23" i="40" s="1"/>
  <c r="U25" i="40"/>
  <c r="T25" i="40"/>
  <c r="T24" i="40" s="1"/>
  <c r="T23" i="40" s="1"/>
  <c r="S25" i="40"/>
  <c r="R25" i="40"/>
  <c r="P25" i="40"/>
  <c r="P24" i="40" s="1"/>
  <c r="P23" i="40" s="1"/>
  <c r="J25" i="40"/>
  <c r="J24" i="40" s="1"/>
  <c r="J23" i="40" s="1"/>
  <c r="I25" i="40"/>
  <c r="I24" i="40" s="1"/>
  <c r="I23" i="40" s="1"/>
  <c r="H25" i="40"/>
  <c r="G25" i="40"/>
  <c r="G36" i="40" s="1"/>
  <c r="G34" i="40" s="1"/>
  <c r="F25" i="40"/>
  <c r="F24" i="40" s="1"/>
  <c r="F23" i="40" s="1"/>
  <c r="E25" i="40"/>
  <c r="E24" i="40" s="1"/>
  <c r="E23" i="40" s="1"/>
  <c r="D25" i="40"/>
  <c r="D24" i="40" s="1"/>
  <c r="D23" i="40"/>
  <c r="C25" i="40"/>
  <c r="C24" i="40" s="1"/>
  <c r="C23" i="40" s="1"/>
  <c r="AA18" i="40"/>
  <c r="Q18" i="40"/>
  <c r="K17" i="40"/>
  <c r="O17" i="40" s="1"/>
  <c r="AA16" i="40"/>
  <c r="AE14" i="40"/>
  <c r="AE12" i="40" s="1"/>
  <c r="AE63" i="40" s="1"/>
  <c r="AD14" i="40"/>
  <c r="AD12" i="40" s="1"/>
  <c r="AD63" i="40" s="1"/>
  <c r="AC14" i="40"/>
  <c r="AC12" i="40" s="1"/>
  <c r="AC63" i="40" s="1"/>
  <c r="AB14" i="40"/>
  <c r="AB12" i="40" s="1"/>
  <c r="AB63" i="40" s="1"/>
  <c r="Z14" i="40"/>
  <c r="Z12" i="40"/>
  <c r="Y14" i="40"/>
  <c r="Y12" i="40"/>
  <c r="X14" i="40"/>
  <c r="X12" i="40" s="1"/>
  <c r="W14" i="40"/>
  <c r="V14" i="40"/>
  <c r="U14" i="40"/>
  <c r="T14" i="40"/>
  <c r="S14" i="40"/>
  <c r="R14" i="40"/>
  <c r="Q14" i="40"/>
  <c r="P14" i="40"/>
  <c r="J14" i="40"/>
  <c r="I14" i="40"/>
  <c r="I12" i="40" s="1"/>
  <c r="H14" i="40"/>
  <c r="H12" i="40" s="1"/>
  <c r="G14" i="40"/>
  <c r="G12" i="40"/>
  <c r="F14" i="40"/>
  <c r="F12" i="40"/>
  <c r="E14" i="40"/>
  <c r="E12" i="40" s="1"/>
  <c r="D14" i="40"/>
  <c r="D12" i="40" s="1"/>
  <c r="C14" i="40"/>
  <c r="C12" i="40" s="1"/>
  <c r="H11" i="40"/>
  <c r="G11" i="40"/>
  <c r="E8" i="40"/>
  <c r="E9" i="40" s="1"/>
  <c r="C8" i="40"/>
  <c r="C9" i="40" s="1"/>
  <c r="S39" i="40"/>
  <c r="O25" i="40"/>
  <c r="O24" i="40"/>
  <c r="O23" i="40" s="1"/>
  <c r="V13" i="48"/>
  <c r="I49" i="40"/>
  <c r="R39" i="40"/>
  <c r="Z39" i="40"/>
  <c r="AU10" i="41"/>
  <c r="AM60" i="41"/>
  <c r="G49" i="40"/>
  <c r="Y39" i="40"/>
  <c r="CP50" i="48"/>
  <c r="CX50" i="48"/>
  <c r="CX51" i="48" s="1"/>
  <c r="AU88" i="47"/>
  <c r="AG10" i="41"/>
  <c r="D39" i="40"/>
  <c r="K14" i="40"/>
  <c r="P39" i="40"/>
  <c r="AA32" i="40"/>
  <c r="AB32" i="40" s="1"/>
  <c r="AC32" i="40" s="1"/>
  <c r="AC24" i="40" s="1"/>
  <c r="AC23" i="40" s="1"/>
  <c r="O14" i="40"/>
  <c r="O12" i="40" s="1"/>
  <c r="AA17" i="40"/>
  <c r="Q37" i="40"/>
  <c r="R32" i="40"/>
  <c r="AA27" i="40"/>
  <c r="J43" i="40"/>
  <c r="J39" i="40" s="1"/>
  <c r="K19" i="71"/>
  <c r="L19" i="71" s="1"/>
  <c r="C19" i="71" s="1"/>
  <c r="Y33" i="48"/>
  <c r="X33" i="48"/>
  <c r="E14" i="15" s="1"/>
  <c r="E15" i="63" s="1"/>
  <c r="C77" i="74" s="1"/>
  <c r="Z33" i="48"/>
  <c r="Z31" i="48"/>
  <c r="Y31" i="48"/>
  <c r="X31" i="48"/>
  <c r="E12" i="15" s="1"/>
  <c r="AL33" i="48"/>
  <c r="AP33" i="48" s="1"/>
  <c r="AL27" i="48"/>
  <c r="BE12" i="5"/>
  <c r="BE45" i="5"/>
  <c r="BE44" i="5"/>
  <c r="BE43" i="5"/>
  <c r="BE19" i="5"/>
  <c r="BE22" i="5"/>
  <c r="BE23" i="5"/>
  <c r="BE24" i="5"/>
  <c r="BE25" i="5"/>
  <c r="BE26" i="5"/>
  <c r="BE27" i="5"/>
  <c r="BE28" i="5"/>
  <c r="BE29" i="5"/>
  <c r="BE30" i="5"/>
  <c r="BE32" i="5"/>
  <c r="BE34" i="5"/>
  <c r="BE18" i="5"/>
  <c r="BE13" i="5"/>
  <c r="BE14" i="5"/>
  <c r="BE15" i="5"/>
  <c r="BE16" i="5"/>
  <c r="BB45" i="5"/>
  <c r="D16" i="4"/>
  <c r="C50" i="4"/>
  <c r="J67" i="1"/>
  <c r="O67" i="1" s="1"/>
  <c r="BY67" i="3"/>
  <c r="BZ67" i="3" s="1"/>
  <c r="N90" i="23"/>
  <c r="L90" i="23"/>
  <c r="G90" i="23"/>
  <c r="E90" i="23"/>
  <c r="C90" i="23" s="1"/>
  <c r="I90" i="23" s="1"/>
  <c r="N89" i="23"/>
  <c r="L89" i="23"/>
  <c r="G89" i="23"/>
  <c r="E89" i="23"/>
  <c r="N88" i="23"/>
  <c r="L88" i="23"/>
  <c r="G88" i="23"/>
  <c r="E88" i="23"/>
  <c r="N87" i="23"/>
  <c r="L87" i="23"/>
  <c r="J87" i="23" s="1"/>
  <c r="P87" i="23" s="1"/>
  <c r="G87" i="23"/>
  <c r="E87" i="23"/>
  <c r="N86" i="23"/>
  <c r="L86" i="23"/>
  <c r="G86" i="23"/>
  <c r="C86" i="23" s="1"/>
  <c r="I86" i="23" s="1"/>
  <c r="N85" i="23"/>
  <c r="L85" i="23"/>
  <c r="G85" i="23"/>
  <c r="C85" i="23" s="1"/>
  <c r="I85" i="23" s="1"/>
  <c r="J84" i="23"/>
  <c r="C84" i="23"/>
  <c r="I84" i="23"/>
  <c r="N83" i="23"/>
  <c r="L83" i="23"/>
  <c r="J83" i="23"/>
  <c r="G83" i="23"/>
  <c r="E83" i="23"/>
  <c r="C83" i="23" s="1"/>
  <c r="I83" i="23" s="1"/>
  <c r="N82" i="23"/>
  <c r="L82" i="23"/>
  <c r="J82" i="23" s="1"/>
  <c r="G82" i="23"/>
  <c r="D82" i="23"/>
  <c r="D78" i="23"/>
  <c r="N81" i="23"/>
  <c r="L81" i="23"/>
  <c r="G81" i="23"/>
  <c r="E81" i="23"/>
  <c r="N80" i="23"/>
  <c r="L80" i="23"/>
  <c r="G80" i="23"/>
  <c r="E80" i="23"/>
  <c r="N79" i="23"/>
  <c r="L79" i="23"/>
  <c r="G79" i="23"/>
  <c r="E79" i="23"/>
  <c r="M78" i="23"/>
  <c r="K78" i="23"/>
  <c r="H78" i="23"/>
  <c r="F78" i="23"/>
  <c r="J76" i="23"/>
  <c r="P76" i="23" s="1"/>
  <c r="G76" i="23"/>
  <c r="E76" i="23"/>
  <c r="N75" i="23"/>
  <c r="N74" i="23" s="1"/>
  <c r="L75" i="23"/>
  <c r="G75" i="23"/>
  <c r="G74" i="23" s="1"/>
  <c r="E75" i="23"/>
  <c r="M74" i="23"/>
  <c r="K74" i="23"/>
  <c r="H74" i="23"/>
  <c r="F74" i="23"/>
  <c r="D74" i="23"/>
  <c r="N72" i="23"/>
  <c r="L72" i="23"/>
  <c r="C72" i="23"/>
  <c r="I72" i="23" s="1"/>
  <c r="N71" i="23"/>
  <c r="L71" i="23"/>
  <c r="J71" i="23" s="1"/>
  <c r="G71" i="23"/>
  <c r="E71" i="23"/>
  <c r="N70" i="23"/>
  <c r="L70" i="23"/>
  <c r="G70" i="23"/>
  <c r="G64" i="23" s="1"/>
  <c r="E70" i="23"/>
  <c r="J69" i="23"/>
  <c r="C69" i="23"/>
  <c r="I69" i="23" s="1"/>
  <c r="N68" i="23"/>
  <c r="L68" i="23"/>
  <c r="C68" i="23"/>
  <c r="I68" i="23" s="1"/>
  <c r="J67" i="23"/>
  <c r="C67" i="23"/>
  <c r="I67" i="23" s="1"/>
  <c r="J66" i="23"/>
  <c r="G66" i="23"/>
  <c r="E66" i="23"/>
  <c r="E64" i="23" s="1"/>
  <c r="L65" i="23"/>
  <c r="J65" i="23" s="1"/>
  <c r="E65" i="23"/>
  <c r="C65" i="23" s="1"/>
  <c r="I65" i="23" s="1"/>
  <c r="M64" i="23"/>
  <c r="K64" i="23"/>
  <c r="H64" i="23"/>
  <c r="F64" i="23"/>
  <c r="D64" i="23"/>
  <c r="N63" i="23"/>
  <c r="L63" i="23"/>
  <c r="G63" i="23"/>
  <c r="F63" i="23"/>
  <c r="F60" i="23"/>
  <c r="F59" i="23" s="1"/>
  <c r="E63" i="23"/>
  <c r="D63" i="23"/>
  <c r="D60" i="23"/>
  <c r="D59" i="23" s="1"/>
  <c r="N62" i="23"/>
  <c r="J62" i="23" s="1"/>
  <c r="P62" i="23" s="1"/>
  <c r="L62" i="23"/>
  <c r="G62" i="23"/>
  <c r="E62" i="23"/>
  <c r="C62" i="23" s="1"/>
  <c r="I62" i="23" s="1"/>
  <c r="N61" i="23"/>
  <c r="L61" i="23"/>
  <c r="C61" i="23"/>
  <c r="M60" i="23"/>
  <c r="K60" i="23"/>
  <c r="H60" i="23"/>
  <c r="J57" i="23"/>
  <c r="G57" i="23"/>
  <c r="E57" i="23"/>
  <c r="C57" i="23" s="1"/>
  <c r="I57" i="23" s="1"/>
  <c r="N56" i="23"/>
  <c r="J56" i="23" s="1"/>
  <c r="L56" i="23"/>
  <c r="G56" i="23"/>
  <c r="E56" i="23"/>
  <c r="C56" i="23" s="1"/>
  <c r="I56" i="23" s="1"/>
  <c r="R56" i="23" s="1"/>
  <c r="N55" i="23"/>
  <c r="L55" i="23"/>
  <c r="G55" i="23"/>
  <c r="E55" i="23"/>
  <c r="N54" i="23"/>
  <c r="J54" i="23" s="1"/>
  <c r="L54" i="23"/>
  <c r="G54" i="23"/>
  <c r="E54" i="23"/>
  <c r="N53" i="23"/>
  <c r="L53" i="23"/>
  <c r="C53" i="23"/>
  <c r="I53" i="23" s="1"/>
  <c r="R53" i="23" s="1"/>
  <c r="N52" i="23"/>
  <c r="L52" i="23"/>
  <c r="J52" i="23" s="1"/>
  <c r="G52" i="23"/>
  <c r="E52" i="23"/>
  <c r="C52" i="23" s="1"/>
  <c r="I52" i="23" s="1"/>
  <c r="N51" i="23"/>
  <c r="L51" i="23"/>
  <c r="G51" i="23"/>
  <c r="E51" i="23"/>
  <c r="J50" i="23"/>
  <c r="G50" i="23"/>
  <c r="E50" i="23"/>
  <c r="M49" i="23"/>
  <c r="K49" i="23"/>
  <c r="H49" i="23"/>
  <c r="F49" i="23"/>
  <c r="D49" i="23"/>
  <c r="N48" i="23"/>
  <c r="M48" i="23"/>
  <c r="L48" i="23"/>
  <c r="K48" i="23"/>
  <c r="G48" i="23"/>
  <c r="F48" i="23"/>
  <c r="E48" i="23"/>
  <c r="D48" i="23"/>
  <c r="N47" i="23"/>
  <c r="L47" i="23"/>
  <c r="G47" i="23"/>
  <c r="E47" i="23"/>
  <c r="N46" i="23"/>
  <c r="J46" i="23" s="1"/>
  <c r="L46" i="23"/>
  <c r="G46" i="23"/>
  <c r="E46" i="23"/>
  <c r="N45" i="23"/>
  <c r="M45" i="23"/>
  <c r="L45" i="23"/>
  <c r="K45" i="23"/>
  <c r="G45" i="23"/>
  <c r="C45" i="23" s="1"/>
  <c r="I45" i="23" s="1"/>
  <c r="R45" i="23" s="1"/>
  <c r="F45" i="23"/>
  <c r="E45" i="23"/>
  <c r="D45" i="23"/>
  <c r="N44" i="23"/>
  <c r="J44" i="23" s="1"/>
  <c r="M44" i="23"/>
  <c r="L44" i="23"/>
  <c r="K44" i="23"/>
  <c r="G44" i="23"/>
  <c r="C44" i="23" s="1"/>
  <c r="I44" i="23" s="1"/>
  <c r="F44" i="23"/>
  <c r="E44" i="23"/>
  <c r="D44" i="23"/>
  <c r="N43" i="23"/>
  <c r="L43" i="23"/>
  <c r="G43" i="23"/>
  <c r="C43" i="23" s="1"/>
  <c r="I43" i="23"/>
  <c r="C42" i="23"/>
  <c r="I42" i="23" s="1"/>
  <c r="R42" i="23" s="1"/>
  <c r="N41" i="23"/>
  <c r="L41" i="23"/>
  <c r="J41" i="23" s="1"/>
  <c r="G41" i="23"/>
  <c r="E41" i="23"/>
  <c r="N40" i="23"/>
  <c r="M40" i="23"/>
  <c r="L40" i="23"/>
  <c r="K40" i="23"/>
  <c r="G40" i="23"/>
  <c r="F40" i="23"/>
  <c r="E40" i="23"/>
  <c r="D40" i="23"/>
  <c r="N39" i="23"/>
  <c r="L39" i="23"/>
  <c r="G39" i="23"/>
  <c r="E39" i="23"/>
  <c r="N38" i="23"/>
  <c r="M38" i="23"/>
  <c r="L38" i="23"/>
  <c r="K38" i="23"/>
  <c r="G38" i="23"/>
  <c r="F38" i="23"/>
  <c r="E38" i="23"/>
  <c r="D38" i="23"/>
  <c r="N37" i="23"/>
  <c r="M37" i="23"/>
  <c r="L37" i="23"/>
  <c r="K37" i="23"/>
  <c r="G37" i="23"/>
  <c r="F37" i="23"/>
  <c r="E37" i="23"/>
  <c r="D37" i="23"/>
  <c r="D36" i="23" s="1"/>
  <c r="D30" i="23" s="1"/>
  <c r="H36" i="23"/>
  <c r="J35" i="23"/>
  <c r="G35" i="23"/>
  <c r="E35" i="23"/>
  <c r="N34" i="23"/>
  <c r="L34" i="23"/>
  <c r="G34" i="23"/>
  <c r="E34" i="23"/>
  <c r="N33" i="23"/>
  <c r="L33" i="23"/>
  <c r="C33" i="23"/>
  <c r="I33" i="23" s="1"/>
  <c r="N32" i="23"/>
  <c r="J32" i="23" s="1"/>
  <c r="P32" i="23" s="1"/>
  <c r="L32" i="23"/>
  <c r="G32" i="23"/>
  <c r="E32" i="23"/>
  <c r="M31" i="23"/>
  <c r="K31" i="23"/>
  <c r="H31" i="23"/>
  <c r="F31" i="23"/>
  <c r="D31" i="23"/>
  <c r="N28" i="23"/>
  <c r="L28" i="23"/>
  <c r="C28" i="23"/>
  <c r="I28" i="23" s="1"/>
  <c r="N27" i="23"/>
  <c r="L27" i="23"/>
  <c r="J27" i="23" s="1"/>
  <c r="G27" i="23"/>
  <c r="E27" i="23"/>
  <c r="N26" i="23"/>
  <c r="L26" i="23"/>
  <c r="C26" i="23"/>
  <c r="I26" i="23" s="1"/>
  <c r="N25" i="23"/>
  <c r="L25" i="23"/>
  <c r="C25" i="23"/>
  <c r="I25" i="23" s="1"/>
  <c r="N24" i="23"/>
  <c r="L24" i="23"/>
  <c r="J24" i="23" s="1"/>
  <c r="P24" i="23" s="1"/>
  <c r="G24" i="23"/>
  <c r="E24" i="23"/>
  <c r="C24" i="23" s="1"/>
  <c r="I24" i="23" s="1"/>
  <c r="N23" i="23"/>
  <c r="L23" i="23"/>
  <c r="G23" i="23"/>
  <c r="E23" i="23"/>
  <c r="N22" i="23"/>
  <c r="L22" i="23"/>
  <c r="J22" i="23" s="1"/>
  <c r="P22" i="23" s="1"/>
  <c r="G22" i="23"/>
  <c r="E22" i="23"/>
  <c r="N21" i="23"/>
  <c r="L21" i="23"/>
  <c r="J21" i="23" s="1"/>
  <c r="P21" i="23" s="1"/>
  <c r="G21" i="23"/>
  <c r="E21" i="23"/>
  <c r="N20" i="23"/>
  <c r="L20" i="23"/>
  <c r="G20" i="23"/>
  <c r="E20" i="23"/>
  <c r="N19" i="23"/>
  <c r="L19" i="23"/>
  <c r="C19" i="23"/>
  <c r="I19" i="23" s="1"/>
  <c r="N18" i="23"/>
  <c r="L18" i="23"/>
  <c r="C18" i="23"/>
  <c r="I18" i="23" s="1"/>
  <c r="N17" i="23"/>
  <c r="L17" i="23"/>
  <c r="J17" i="23" s="1"/>
  <c r="G17" i="23"/>
  <c r="E17" i="23"/>
  <c r="M16" i="23"/>
  <c r="K16" i="23"/>
  <c r="H16" i="23"/>
  <c r="F16" i="23"/>
  <c r="D16" i="23"/>
  <c r="J15" i="23"/>
  <c r="G15" i="23"/>
  <c r="G14" i="23" s="1"/>
  <c r="E15" i="23"/>
  <c r="N14" i="23"/>
  <c r="M14" i="23"/>
  <c r="M13" i="23" s="1"/>
  <c r="L14" i="23"/>
  <c r="K14" i="23"/>
  <c r="H14" i="23"/>
  <c r="F14" i="23"/>
  <c r="F13" i="23" s="1"/>
  <c r="D14" i="23"/>
  <c r="C80" i="23"/>
  <c r="I80" i="23" s="1"/>
  <c r="J48" i="23"/>
  <c r="C89" i="23"/>
  <c r="I89" i="23" s="1"/>
  <c r="G60" i="23"/>
  <c r="C87" i="23"/>
  <c r="I87" i="23" s="1"/>
  <c r="J55" i="23"/>
  <c r="C81" i="23"/>
  <c r="I81" i="23" s="1"/>
  <c r="N64" i="23"/>
  <c r="C46" i="23"/>
  <c r="I46" i="23" s="1"/>
  <c r="H59" i="23"/>
  <c r="E74" i="23"/>
  <c r="F73" i="23"/>
  <c r="C71" i="23"/>
  <c r="I71" i="23" s="1"/>
  <c r="C47" i="23"/>
  <c r="I47" i="23" s="1"/>
  <c r="J88" i="23"/>
  <c r="P88" i="23" s="1"/>
  <c r="AP31" i="48"/>
  <c r="AO31" i="48"/>
  <c r="AO27" i="48"/>
  <c r="V50" i="48"/>
  <c r="AH27" i="48"/>
  <c r="AG27" i="48"/>
  <c r="AF27" i="48"/>
  <c r="F8" i="15" s="1"/>
  <c r="AG31" i="48"/>
  <c r="AH31" i="48"/>
  <c r="C20" i="23"/>
  <c r="I20" i="23" s="1"/>
  <c r="I61" i="23"/>
  <c r="BF31" i="48"/>
  <c r="BE31" i="48"/>
  <c r="BD31" i="48"/>
  <c r="I12" i="15" s="1"/>
  <c r="BF33" i="48"/>
  <c r="BE33" i="48"/>
  <c r="BD33" i="48"/>
  <c r="I14" i="15" s="1"/>
  <c r="T15" i="17" s="1"/>
  <c r="AT33" i="48"/>
  <c r="AX33" i="48" s="1"/>
  <c r="AW42" i="48"/>
  <c r="AX27" i="48"/>
  <c r="AW27" i="48"/>
  <c r="AV27" i="48"/>
  <c r="H8" i="15" s="1"/>
  <c r="AX31" i="48"/>
  <c r="AV31" i="48"/>
  <c r="H12" i="15" s="1"/>
  <c r="AW31" i="48"/>
  <c r="I30" i="30"/>
  <c r="J30" i="30"/>
  <c r="K30" i="30"/>
  <c r="L30" i="30"/>
  <c r="M30" i="30"/>
  <c r="N30" i="30"/>
  <c r="P28" i="4"/>
  <c r="M28" i="4" s="1"/>
  <c r="O28" i="4" s="1"/>
  <c r="J66" i="1"/>
  <c r="Q28" i="4"/>
  <c r="Q28" i="37" s="1"/>
  <c r="Q66" i="1"/>
  <c r="BC68" i="41" s="1"/>
  <c r="L28" i="4"/>
  <c r="K28" i="4"/>
  <c r="S111" i="1"/>
  <c r="Q110" i="1"/>
  <c r="S110" i="1" s="1"/>
  <c r="AL51" i="48"/>
  <c r="K11" i="71"/>
  <c r="L11" i="71" s="1"/>
  <c r="C11" i="71" s="1"/>
  <c r="BR33" i="48"/>
  <c r="BJ33" i="48"/>
  <c r="BM42" i="48"/>
  <c r="BJ27" i="48"/>
  <c r="P46" i="39"/>
  <c r="T62" i="38"/>
  <c r="T61" i="38"/>
  <c r="R9" i="38"/>
  <c r="S9" i="38"/>
  <c r="T9" i="38"/>
  <c r="R13" i="38"/>
  <c r="S13" i="38"/>
  <c r="T13" i="38"/>
  <c r="T22" i="38"/>
  <c r="T23" i="38"/>
  <c r="T26" i="38"/>
  <c r="S41" i="38"/>
  <c r="T41" i="38"/>
  <c r="R45" i="38"/>
  <c r="S45" i="38"/>
  <c r="T45" i="38"/>
  <c r="R47" i="38"/>
  <c r="S47" i="38"/>
  <c r="T47" i="38"/>
  <c r="T53" i="38"/>
  <c r="T54" i="38"/>
  <c r="T56" i="38"/>
  <c r="T57" i="38"/>
  <c r="T59" i="38"/>
  <c r="T60" i="38"/>
  <c r="S41" i="39"/>
  <c r="T41" i="39"/>
  <c r="S45" i="39"/>
  <c r="T45" i="39"/>
  <c r="S47" i="39"/>
  <c r="T47" i="39"/>
  <c r="T53" i="39"/>
  <c r="T54" i="39"/>
  <c r="T56" i="39"/>
  <c r="T57" i="39"/>
  <c r="T59" i="39"/>
  <c r="T60" i="39"/>
  <c r="T61" i="39"/>
  <c r="S62" i="39"/>
  <c r="T62" i="39"/>
  <c r="S13" i="39"/>
  <c r="T13" i="39"/>
  <c r="T22" i="39"/>
  <c r="T23" i="39"/>
  <c r="T26" i="39"/>
  <c r="R63" i="38"/>
  <c r="A1" i="39"/>
  <c r="AC84" i="39"/>
  <c r="Z84" i="39"/>
  <c r="AC82" i="39"/>
  <c r="Z82" i="39"/>
  <c r="B76" i="39"/>
  <c r="B75" i="39"/>
  <c r="B74" i="39"/>
  <c r="B73" i="39"/>
  <c r="B72" i="39"/>
  <c r="I62" i="39"/>
  <c r="V61" i="39"/>
  <c r="U61" i="39" s="1"/>
  <c r="P61" i="39"/>
  <c r="O61" i="39" s="1"/>
  <c r="J61" i="39"/>
  <c r="I61" i="39" s="1"/>
  <c r="F61" i="39"/>
  <c r="C61" i="39"/>
  <c r="C60" i="39"/>
  <c r="J59" i="39"/>
  <c r="I59" i="39" s="1"/>
  <c r="C59" i="39"/>
  <c r="AC58" i="39"/>
  <c r="Z58" i="39"/>
  <c r="W58" i="39"/>
  <c r="Q58" i="39"/>
  <c r="N58" i="39"/>
  <c r="T58" i="39" s="1"/>
  <c r="K58" i="39"/>
  <c r="E58" i="39"/>
  <c r="D58" i="39"/>
  <c r="C58" i="39" s="1"/>
  <c r="AC55" i="39"/>
  <c r="Z55" i="39"/>
  <c r="W55" i="39"/>
  <c r="Q55" i="39"/>
  <c r="N55" i="39"/>
  <c r="T55" i="39" s="1"/>
  <c r="K55" i="39"/>
  <c r="E55" i="39"/>
  <c r="AC52" i="39"/>
  <c r="AC51" i="39" s="1"/>
  <c r="Z52" i="39"/>
  <c r="W52" i="39"/>
  <c r="Q52" i="39"/>
  <c r="N52" i="39"/>
  <c r="K52" i="39"/>
  <c r="K51" i="39" s="1"/>
  <c r="E52" i="39"/>
  <c r="N50" i="39"/>
  <c r="M50" i="39"/>
  <c r="L50" i="39" s="1"/>
  <c r="K50" i="39"/>
  <c r="E50" i="39"/>
  <c r="D50" i="39"/>
  <c r="E49" i="39"/>
  <c r="D49" i="39"/>
  <c r="C49" i="39" s="1"/>
  <c r="N48" i="39"/>
  <c r="M48" i="39"/>
  <c r="K48" i="39"/>
  <c r="E48" i="39"/>
  <c r="D48" i="39"/>
  <c r="F47" i="39"/>
  <c r="C47" i="39"/>
  <c r="Q46" i="39"/>
  <c r="N46" i="39"/>
  <c r="M46" i="39"/>
  <c r="J46" i="39"/>
  <c r="M81" i="39" s="1"/>
  <c r="D46" i="39"/>
  <c r="N43" i="39"/>
  <c r="E43" i="39"/>
  <c r="D43" i="39"/>
  <c r="C43" i="39"/>
  <c r="E42" i="39"/>
  <c r="O41" i="39"/>
  <c r="Z39" i="39"/>
  <c r="Z76" i="39" s="1"/>
  <c r="W39" i="39"/>
  <c r="Q39" i="39"/>
  <c r="N39" i="39"/>
  <c r="Q76" i="39" s="1"/>
  <c r="E39" i="39"/>
  <c r="D39" i="39"/>
  <c r="AC38" i="39"/>
  <c r="AB38" i="39"/>
  <c r="Z38" i="39"/>
  <c r="X38" i="39" s="1"/>
  <c r="Y38" i="39"/>
  <c r="W38" i="39"/>
  <c r="V38" i="39"/>
  <c r="Q38" i="39"/>
  <c r="P38" i="39"/>
  <c r="N38" i="39"/>
  <c r="M38" i="39"/>
  <c r="K38" i="39"/>
  <c r="J38" i="39"/>
  <c r="E38" i="39"/>
  <c r="AC37" i="39"/>
  <c r="W37" i="39"/>
  <c r="Q37" i="39"/>
  <c r="N37" i="39"/>
  <c r="K37" i="39"/>
  <c r="E37" i="39"/>
  <c r="E35" i="39"/>
  <c r="C35" i="39" s="1"/>
  <c r="D35" i="39"/>
  <c r="AC31" i="39"/>
  <c r="AB31" i="39"/>
  <c r="Z31" i="39"/>
  <c r="X31" i="39" s="1"/>
  <c r="Y31" i="39"/>
  <c r="W31" i="39"/>
  <c r="V31" i="39"/>
  <c r="U31" i="39" s="1"/>
  <c r="Q31" i="39"/>
  <c r="P31" i="39"/>
  <c r="M31" i="39"/>
  <c r="L31" i="39" s="1"/>
  <c r="K31" i="39"/>
  <c r="J31" i="39"/>
  <c r="I31" i="39" s="1"/>
  <c r="E31" i="39"/>
  <c r="D31" i="39"/>
  <c r="Q30" i="39"/>
  <c r="P30" i="39"/>
  <c r="N30" i="39"/>
  <c r="M30" i="39"/>
  <c r="K30" i="39"/>
  <c r="G30" i="39"/>
  <c r="E30" i="39"/>
  <c r="D30" i="39"/>
  <c r="H29" i="39"/>
  <c r="D29" i="39"/>
  <c r="C29" i="39"/>
  <c r="H28" i="39"/>
  <c r="E27" i="39"/>
  <c r="H25" i="39"/>
  <c r="E24" i="39"/>
  <c r="AC21" i="39"/>
  <c r="Z21" i="39"/>
  <c r="W21" i="39"/>
  <c r="Q21" i="39"/>
  <c r="N21" i="39"/>
  <c r="K21" i="39"/>
  <c r="H21" i="39"/>
  <c r="E21" i="39"/>
  <c r="H19" i="39"/>
  <c r="K19" i="39" s="1"/>
  <c r="AC16" i="39"/>
  <c r="Z16" i="39"/>
  <c r="W16" i="39"/>
  <c r="Q16" i="39"/>
  <c r="N16" i="39"/>
  <c r="K16" i="39"/>
  <c r="E16" i="39"/>
  <c r="AC15" i="39"/>
  <c r="Z15" i="39"/>
  <c r="W15" i="39"/>
  <c r="Q15" i="39"/>
  <c r="N15" i="39"/>
  <c r="K15" i="39"/>
  <c r="E15" i="39"/>
  <c r="G87" i="38"/>
  <c r="G89" i="38" s="1"/>
  <c r="G90" i="38" s="1"/>
  <c r="V61" i="38"/>
  <c r="U61" i="38" s="1"/>
  <c r="P61" i="38"/>
  <c r="O61" i="38" s="1"/>
  <c r="J61" i="38"/>
  <c r="I61" i="38" s="1"/>
  <c r="F61" i="38"/>
  <c r="C61" i="38"/>
  <c r="C60" i="38"/>
  <c r="J59" i="38"/>
  <c r="C59" i="38"/>
  <c r="AC58" i="38"/>
  <c r="Z58" i="38"/>
  <c r="W58" i="38"/>
  <c r="Q58" i="38"/>
  <c r="N58" i="38"/>
  <c r="K58" i="38"/>
  <c r="E58" i="38"/>
  <c r="D58" i="38"/>
  <c r="AC55" i="38"/>
  <c r="AC51" i="38" s="1"/>
  <c r="Z55" i="38"/>
  <c r="W55" i="38"/>
  <c r="Q55" i="38"/>
  <c r="N55" i="38"/>
  <c r="K55" i="38"/>
  <c r="E55" i="38"/>
  <c r="AC52" i="38"/>
  <c r="Z52" i="38"/>
  <c r="Z51" i="38" s="1"/>
  <c r="W52" i="38"/>
  <c r="Q52" i="38"/>
  <c r="N52" i="38"/>
  <c r="K52" i="38"/>
  <c r="E52" i="38"/>
  <c r="E51" i="38" s="1"/>
  <c r="N50" i="38"/>
  <c r="M50" i="38"/>
  <c r="K50" i="38"/>
  <c r="E50" i="38"/>
  <c r="C50" i="38" s="1"/>
  <c r="D50" i="38"/>
  <c r="E49" i="38"/>
  <c r="D49" i="38"/>
  <c r="N48" i="38"/>
  <c r="L48" i="38" s="1"/>
  <c r="M48" i="38"/>
  <c r="K48" i="38"/>
  <c r="E48" i="38"/>
  <c r="C48" i="38" s="1"/>
  <c r="D48" i="38"/>
  <c r="F47" i="38"/>
  <c r="C47" i="38"/>
  <c r="Q46" i="38"/>
  <c r="P46" i="38"/>
  <c r="S46" i="38" s="1"/>
  <c r="N46" i="38"/>
  <c r="M46" i="38"/>
  <c r="J46" i="38"/>
  <c r="D46" i="38"/>
  <c r="N43" i="38"/>
  <c r="E43" i="38"/>
  <c r="D43" i="38"/>
  <c r="E42" i="38"/>
  <c r="O41" i="38"/>
  <c r="R41" i="38" s="1"/>
  <c r="Z39" i="38"/>
  <c r="W39" i="38"/>
  <c r="Q39" i="38"/>
  <c r="N39" i="38"/>
  <c r="E39" i="38"/>
  <c r="D39" i="38"/>
  <c r="AC38" i="38"/>
  <c r="AB38" i="38"/>
  <c r="Z38" i="38"/>
  <c r="Y38" i="38"/>
  <c r="W38" i="38"/>
  <c r="V38" i="38"/>
  <c r="Q38" i="38"/>
  <c r="P38" i="38"/>
  <c r="S38" i="38" s="1"/>
  <c r="N38" i="38"/>
  <c r="M38" i="38"/>
  <c r="K38" i="38"/>
  <c r="I38" i="38" s="1"/>
  <c r="J38" i="38"/>
  <c r="E38" i="38"/>
  <c r="AC37" i="38"/>
  <c r="W37" i="38"/>
  <c r="Q37" i="38"/>
  <c r="T37" i="38" s="1"/>
  <c r="N37" i="38"/>
  <c r="K37" i="38"/>
  <c r="E37" i="38"/>
  <c r="E35" i="38"/>
  <c r="D35" i="38"/>
  <c r="AB31" i="38"/>
  <c r="AA31" i="38" s="1"/>
  <c r="Y31" i="38"/>
  <c r="X31" i="38" s="1"/>
  <c r="V31" i="38"/>
  <c r="U31" i="38" s="1"/>
  <c r="P31" i="38"/>
  <c r="M31" i="38"/>
  <c r="L31" i="38"/>
  <c r="K31" i="38"/>
  <c r="T31" i="38" s="1"/>
  <c r="J31" i="38"/>
  <c r="I31" i="38" s="1"/>
  <c r="E31" i="38"/>
  <c r="D31" i="38"/>
  <c r="Q30" i="38"/>
  <c r="P30" i="38"/>
  <c r="N30" i="38"/>
  <c r="M30" i="38"/>
  <c r="L30" i="38" s="1"/>
  <c r="K30" i="38"/>
  <c r="G30" i="38"/>
  <c r="E30" i="38"/>
  <c r="D30" i="38"/>
  <c r="E29" i="38"/>
  <c r="H29" i="38" s="1"/>
  <c r="K29" i="38" s="1"/>
  <c r="D29" i="38"/>
  <c r="E28" i="38"/>
  <c r="K28" i="38" s="1"/>
  <c r="E25" i="38"/>
  <c r="H25" i="38" s="1"/>
  <c r="AC21" i="38"/>
  <c r="Z21" i="38"/>
  <c r="W21" i="38"/>
  <c r="Q21" i="38"/>
  <c r="N21" i="38"/>
  <c r="T21" i="38" s="1"/>
  <c r="K21" i="38"/>
  <c r="H21" i="38"/>
  <c r="E21" i="38"/>
  <c r="E19" i="38"/>
  <c r="H19" i="38" s="1"/>
  <c r="K19" i="38" s="1"/>
  <c r="AC16" i="38"/>
  <c r="Z16" i="38"/>
  <c r="AC74" i="38" s="1"/>
  <c r="W16" i="38"/>
  <c r="Q16" i="38"/>
  <c r="W74" i="38" s="1"/>
  <c r="N16" i="38"/>
  <c r="K16" i="38"/>
  <c r="E16" i="38"/>
  <c r="K74" i="38" s="1"/>
  <c r="AC15" i="38"/>
  <c r="Z15" i="38"/>
  <c r="W15" i="38"/>
  <c r="Z73" i="38" s="1"/>
  <c r="Q15" i="38"/>
  <c r="N15" i="38"/>
  <c r="K15" i="38"/>
  <c r="E15" i="38"/>
  <c r="AU44" i="37"/>
  <c r="AU42" i="37" s="1"/>
  <c r="AU43" i="37"/>
  <c r="AU41" i="37"/>
  <c r="AU40" i="37"/>
  <c r="AU38" i="37"/>
  <c r="AU37" i="37"/>
  <c r="AU36" i="37" s="1"/>
  <c r="AT34" i="37"/>
  <c r="AU14" i="37"/>
  <c r="AT15" i="37"/>
  <c r="AQ15" i="37" s="1"/>
  <c r="AU15" i="37"/>
  <c r="AQ45" i="37"/>
  <c r="Q82" i="37"/>
  <c r="M82" i="37" s="1"/>
  <c r="H82" i="37"/>
  <c r="Q81" i="37"/>
  <c r="M81" i="37" s="1"/>
  <c r="H81" i="37"/>
  <c r="M80" i="37"/>
  <c r="H80" i="37"/>
  <c r="M79" i="37"/>
  <c r="H79" i="37"/>
  <c r="M78" i="37"/>
  <c r="H78" i="37"/>
  <c r="P77" i="37"/>
  <c r="H77" i="37"/>
  <c r="P76" i="37"/>
  <c r="M76" i="37"/>
  <c r="H76" i="37"/>
  <c r="XFD75" i="37"/>
  <c r="Q75" i="37"/>
  <c r="L75" i="37"/>
  <c r="K75" i="37"/>
  <c r="M74" i="37"/>
  <c r="H74" i="37"/>
  <c r="M73" i="37"/>
  <c r="H73" i="37"/>
  <c r="Q72" i="37"/>
  <c r="P72" i="37"/>
  <c r="H72" i="37"/>
  <c r="Q71" i="37"/>
  <c r="M71" i="37" s="1"/>
  <c r="P71" i="37"/>
  <c r="H71" i="37"/>
  <c r="M70" i="37"/>
  <c r="H70" i="37"/>
  <c r="L69" i="37"/>
  <c r="K69" i="37"/>
  <c r="M68" i="37"/>
  <c r="H68" i="37"/>
  <c r="AL65" i="37"/>
  <c r="AG65" i="37"/>
  <c r="AB65" i="37"/>
  <c r="W65" i="37"/>
  <c r="R65" i="37"/>
  <c r="M65" i="37"/>
  <c r="AL64" i="37"/>
  <c r="AG64" i="37"/>
  <c r="AB64" i="37"/>
  <c r="W64" i="37"/>
  <c r="R64" i="37"/>
  <c r="M64" i="37"/>
  <c r="AO63" i="37"/>
  <c r="AO59" i="37" s="1"/>
  <c r="AO16" i="37" s="1"/>
  <c r="AG63" i="37"/>
  <c r="AB63" i="37"/>
  <c r="W63" i="37"/>
  <c r="R63" i="37"/>
  <c r="M63" i="37"/>
  <c r="AL62" i="37"/>
  <c r="AG62" i="37"/>
  <c r="AB62" i="37"/>
  <c r="W62" i="37"/>
  <c r="R62" i="37"/>
  <c r="M62" i="37"/>
  <c r="AL61" i="37"/>
  <c r="AG61" i="37"/>
  <c r="AB61" i="37"/>
  <c r="AB59" i="37" s="1"/>
  <c r="Z61" i="37"/>
  <c r="Z59" i="37" s="1"/>
  <c r="U61" i="37"/>
  <c r="P61" i="37"/>
  <c r="M61" i="37" s="1"/>
  <c r="AL60" i="37"/>
  <c r="AG60" i="37"/>
  <c r="AG59" i="37" s="1"/>
  <c r="AB60" i="37"/>
  <c r="W60" i="37"/>
  <c r="R60" i="37"/>
  <c r="M60" i="37"/>
  <c r="AJ59" i="37"/>
  <c r="AJ16" i="37" s="1"/>
  <c r="AG16" i="37" s="1"/>
  <c r="AE59" i="37"/>
  <c r="AE16" i="37" s="1"/>
  <c r="AB16" i="37" s="1"/>
  <c r="AA59" i="37"/>
  <c r="V59" i="37"/>
  <c r="Q59" i="37"/>
  <c r="Q16" i="37" s="1"/>
  <c r="AU16" i="37" s="1"/>
  <c r="AA50" i="37"/>
  <c r="Z50" i="37"/>
  <c r="D47" i="37"/>
  <c r="J47" i="37" s="1"/>
  <c r="D46" i="37"/>
  <c r="J46" i="37" s="1"/>
  <c r="AJ45" i="37"/>
  <c r="AG45" i="37" s="1"/>
  <c r="AB45" i="37"/>
  <c r="W45" i="37"/>
  <c r="U45" i="37"/>
  <c r="R45" i="37" s="1"/>
  <c r="M45" i="37"/>
  <c r="D45" i="37"/>
  <c r="J45" i="37" s="1"/>
  <c r="L44" i="37"/>
  <c r="D44" i="37"/>
  <c r="C44" i="37"/>
  <c r="U43" i="37"/>
  <c r="Z43" i="37" s="1"/>
  <c r="AT43" i="37" s="1"/>
  <c r="AQ43" i="37" s="1"/>
  <c r="M43" i="37"/>
  <c r="L43" i="37"/>
  <c r="K43" i="37"/>
  <c r="D43" i="37"/>
  <c r="D42" i="37" s="1"/>
  <c r="C43" i="37"/>
  <c r="AP42" i="37"/>
  <c r="AK42" i="37"/>
  <c r="AF42" i="37"/>
  <c r="AA42" i="37"/>
  <c r="V42" i="37"/>
  <c r="Q42" i="37"/>
  <c r="G42" i="37"/>
  <c r="F42" i="37"/>
  <c r="L41" i="37"/>
  <c r="L39" i="37" s="1"/>
  <c r="L40" i="37"/>
  <c r="AP39" i="37"/>
  <c r="AK39" i="37"/>
  <c r="AF39" i="37"/>
  <c r="AA39" i="37"/>
  <c r="V39" i="37"/>
  <c r="V35" i="37" s="1"/>
  <c r="Q39" i="37"/>
  <c r="G39" i="37"/>
  <c r="L38" i="37"/>
  <c r="L37" i="37"/>
  <c r="AP36" i="37"/>
  <c r="AP35" i="37" s="1"/>
  <c r="AK36" i="37"/>
  <c r="AF36" i="37"/>
  <c r="AA36" i="37"/>
  <c r="V36" i="37"/>
  <c r="Q36" i="37"/>
  <c r="G36" i="37"/>
  <c r="W34" i="37"/>
  <c r="R34" i="37"/>
  <c r="Q34" i="37"/>
  <c r="AU34" i="37" s="1"/>
  <c r="K34" i="37"/>
  <c r="G34" i="37"/>
  <c r="L33" i="37"/>
  <c r="K33" i="37"/>
  <c r="D33" i="37"/>
  <c r="L32" i="37"/>
  <c r="K32" i="37"/>
  <c r="H32" i="37" s="1"/>
  <c r="J32" i="37" s="1"/>
  <c r="D32" i="37"/>
  <c r="L31" i="37"/>
  <c r="K31" i="37"/>
  <c r="D31" i="37"/>
  <c r="C31" i="37"/>
  <c r="L30" i="37"/>
  <c r="H30" i="37" s="1"/>
  <c r="K30" i="37"/>
  <c r="D30" i="37"/>
  <c r="L29" i="37"/>
  <c r="K29" i="37"/>
  <c r="H29" i="37" s="1"/>
  <c r="D29" i="37"/>
  <c r="J29" i="37" s="1"/>
  <c r="L28" i="37"/>
  <c r="K28" i="37"/>
  <c r="D28" i="37"/>
  <c r="L27" i="37"/>
  <c r="K27" i="37"/>
  <c r="H27" i="37" s="1"/>
  <c r="J27" i="37" s="1"/>
  <c r="D27" i="37"/>
  <c r="L26" i="37"/>
  <c r="K26" i="37"/>
  <c r="H26" i="37" s="1"/>
  <c r="J26" i="37" s="1"/>
  <c r="D26" i="37"/>
  <c r="L25" i="37"/>
  <c r="K25" i="37"/>
  <c r="D25" i="37"/>
  <c r="L24" i="37"/>
  <c r="H24" i="37" s="1"/>
  <c r="J24" i="37" s="1"/>
  <c r="K24" i="37"/>
  <c r="D24" i="37"/>
  <c r="L23" i="37"/>
  <c r="K23" i="37"/>
  <c r="D23" i="37"/>
  <c r="L22" i="37"/>
  <c r="K22" i="37"/>
  <c r="D22" i="37"/>
  <c r="J22" i="37" s="1"/>
  <c r="L21" i="37"/>
  <c r="K21" i="37"/>
  <c r="D21" i="37"/>
  <c r="G20" i="37"/>
  <c r="F20" i="37"/>
  <c r="L19" i="37"/>
  <c r="K19" i="37"/>
  <c r="D19" i="37"/>
  <c r="L18" i="37"/>
  <c r="F18" i="37"/>
  <c r="K18" i="37"/>
  <c r="AP16" i="37"/>
  <c r="L16" i="37"/>
  <c r="K16" i="37"/>
  <c r="D16" i="37"/>
  <c r="AL15" i="37"/>
  <c r="AG15" i="37"/>
  <c r="AB15" i="37"/>
  <c r="W15" i="37"/>
  <c r="R15" i="37"/>
  <c r="M15" i="37"/>
  <c r="T15" i="37" s="1"/>
  <c r="L15" i="37"/>
  <c r="AK14" i="37"/>
  <c r="L14" i="37"/>
  <c r="Q12" i="37"/>
  <c r="V12" i="37" s="1"/>
  <c r="P12" i="37"/>
  <c r="L12" i="37"/>
  <c r="H12" i="37" s="1"/>
  <c r="K12" i="37"/>
  <c r="D12" i="37"/>
  <c r="A3" i="37"/>
  <c r="AJ50" i="36"/>
  <c r="AJ49" i="36"/>
  <c r="AJ46" i="36"/>
  <c r="AJ45" i="36"/>
  <c r="AJ43" i="36"/>
  <c r="AJ41" i="36"/>
  <c r="AJ40" i="36"/>
  <c r="AJ39" i="36"/>
  <c r="AJ38" i="36"/>
  <c r="AJ37" i="36"/>
  <c r="AJ36" i="36"/>
  <c r="AJ44" i="36"/>
  <c r="AN69" i="36"/>
  <c r="AL69" i="36" s="1"/>
  <c r="AM69" i="36"/>
  <c r="AN67" i="36"/>
  <c r="AN66" i="36"/>
  <c r="AN64" i="36"/>
  <c r="AN63" i="36"/>
  <c r="AN62" i="36" s="1"/>
  <c r="AN61" i="36"/>
  <c r="AN60" i="36"/>
  <c r="AN57" i="36"/>
  <c r="AN56" i="36"/>
  <c r="AN54" i="36"/>
  <c r="AN53" i="36"/>
  <c r="AN52" i="36"/>
  <c r="AN50" i="36"/>
  <c r="AN48" i="36"/>
  <c r="AM48" i="36"/>
  <c r="AN47" i="36"/>
  <c r="AN46" i="36"/>
  <c r="AN44" i="36"/>
  <c r="AN40" i="36"/>
  <c r="AN37" i="36"/>
  <c r="AN35" i="36"/>
  <c r="AN34" i="36"/>
  <c r="AN33" i="36"/>
  <c r="AN29" i="36"/>
  <c r="AN28" i="36"/>
  <c r="AN27" i="36"/>
  <c r="AN26" i="36"/>
  <c r="AN24" i="36"/>
  <c r="AN23" i="36"/>
  <c r="AN22" i="36"/>
  <c r="AN21" i="36"/>
  <c r="AN20" i="36"/>
  <c r="AN15" i="36"/>
  <c r="AN16" i="36"/>
  <c r="AN17" i="36"/>
  <c r="AN18" i="36"/>
  <c r="AK56" i="36"/>
  <c r="AK55" i="36" s="1"/>
  <c r="AK50" i="36"/>
  <c r="AK49" i="36"/>
  <c r="AK48" i="36"/>
  <c r="AK47" i="36"/>
  <c r="AK44" i="36"/>
  <c r="AK43" i="36"/>
  <c r="AK42" i="36"/>
  <c r="AK39" i="36"/>
  <c r="AK38" i="36"/>
  <c r="AK37" i="36"/>
  <c r="AK36" i="36"/>
  <c r="AK35" i="36"/>
  <c r="AK34" i="36"/>
  <c r="AK33" i="36"/>
  <c r="AK32" i="36"/>
  <c r="AK30" i="36" s="1"/>
  <c r="AK31" i="36"/>
  <c r="AK29" i="36"/>
  <c r="AK28" i="36"/>
  <c r="AK27" i="36"/>
  <c r="AK26" i="36"/>
  <c r="AK24" i="36"/>
  <c r="AK23" i="36"/>
  <c r="AK22" i="36"/>
  <c r="AK19" i="36" s="1"/>
  <c r="AK21" i="36"/>
  <c r="AK20" i="36"/>
  <c r="AK15" i="36"/>
  <c r="AK16" i="36"/>
  <c r="AK17" i="36"/>
  <c r="AK18" i="36"/>
  <c r="AN14" i="36"/>
  <c r="AK14" i="36"/>
  <c r="AI57" i="36"/>
  <c r="AI54" i="36"/>
  <c r="AI53" i="36"/>
  <c r="AI51" i="36" s="1"/>
  <c r="AI52" i="36"/>
  <c r="AI50" i="36"/>
  <c r="AI49" i="36"/>
  <c r="AI48" i="36"/>
  <c r="AI46" i="36"/>
  <c r="AI45" i="36"/>
  <c r="AI44" i="36"/>
  <c r="AI43" i="36"/>
  <c r="AI42" i="36"/>
  <c r="AI41" i="36"/>
  <c r="AI40" i="36"/>
  <c r="AI39" i="36"/>
  <c r="AI38" i="36"/>
  <c r="AI37" i="36"/>
  <c r="AI36" i="36"/>
  <c r="AI35" i="36"/>
  <c r="AI34" i="36"/>
  <c r="AI33" i="36"/>
  <c r="AI32" i="36"/>
  <c r="AI31" i="36"/>
  <c r="AI29" i="36"/>
  <c r="AI28" i="36"/>
  <c r="AI24" i="36"/>
  <c r="AI23" i="36"/>
  <c r="AI22" i="36"/>
  <c r="AI21" i="36"/>
  <c r="AI18" i="36"/>
  <c r="AI17" i="36"/>
  <c r="AI16" i="36"/>
  <c r="AI15" i="36"/>
  <c r="J89" i="36"/>
  <c r="P82" i="36"/>
  <c r="O82" i="36"/>
  <c r="I82" i="36"/>
  <c r="P80" i="36"/>
  <c r="O80" i="36"/>
  <c r="V76" i="36"/>
  <c r="S76" i="36"/>
  <c r="R76" i="36"/>
  <c r="BD69" i="36"/>
  <c r="BA69" i="36" s="1"/>
  <c r="AX69" i="36"/>
  <c r="AU69" i="36" s="1"/>
  <c r="AR69" i="36"/>
  <c r="AO69" i="36" s="1"/>
  <c r="AF69" i="36"/>
  <c r="AC69" i="36" s="1"/>
  <c r="Z69" i="36"/>
  <c r="W69" i="36" s="1"/>
  <c r="T69" i="36"/>
  <c r="Q69" i="36" s="1"/>
  <c r="P69" i="36"/>
  <c r="G69" i="36"/>
  <c r="J69" i="36" s="1"/>
  <c r="AT68" i="36"/>
  <c r="AS68" i="36"/>
  <c r="AG68" i="36"/>
  <c r="AF68" i="36" s="1"/>
  <c r="AC68" i="36" s="1"/>
  <c r="AA68" i="36"/>
  <c r="P68" i="36"/>
  <c r="K79" i="36"/>
  <c r="G68" i="36"/>
  <c r="D68" i="36"/>
  <c r="BE67" i="36"/>
  <c r="BD67" i="36" s="1"/>
  <c r="AY67" i="36"/>
  <c r="AX67" i="36" s="1"/>
  <c r="AS67" i="36"/>
  <c r="AR67" i="36"/>
  <c r="U67" i="36"/>
  <c r="J67" i="36"/>
  <c r="O67" i="36" s="1"/>
  <c r="N67" i="36" s="1"/>
  <c r="Q66" i="36"/>
  <c r="Q65" i="36" s="1"/>
  <c r="D66" i="36"/>
  <c r="BF65" i="36"/>
  <c r="AZ65" i="36"/>
  <c r="AT65" i="36"/>
  <c r="AH65" i="36"/>
  <c r="AB65" i="36"/>
  <c r="V65" i="36"/>
  <c r="P65" i="36"/>
  <c r="P58" i="36" s="1"/>
  <c r="P55" i="36" s="1"/>
  <c r="I65" i="36"/>
  <c r="F65" i="36"/>
  <c r="F58" i="36" s="1"/>
  <c r="F55" i="36" s="1"/>
  <c r="C65" i="36"/>
  <c r="Q64" i="36"/>
  <c r="U64" i="36" s="1"/>
  <c r="T64" i="36" s="1"/>
  <c r="C64" i="36"/>
  <c r="D64" i="36" s="1"/>
  <c r="H64" i="36" s="1"/>
  <c r="C63" i="36"/>
  <c r="BF62" i="36"/>
  <c r="AZ62" i="36"/>
  <c r="AT62" i="36"/>
  <c r="AH62" i="36"/>
  <c r="AB62" i="36"/>
  <c r="V62" i="36"/>
  <c r="V58" i="36" s="1"/>
  <c r="V55" i="36" s="1"/>
  <c r="P62" i="36"/>
  <c r="I62" i="36"/>
  <c r="Q61" i="36"/>
  <c r="U61" i="36" s="1"/>
  <c r="C61" i="36"/>
  <c r="D61" i="36" s="1"/>
  <c r="H61" i="36" s="1"/>
  <c r="Q60" i="36"/>
  <c r="U60" i="36" s="1"/>
  <c r="C60" i="36"/>
  <c r="D60" i="36"/>
  <c r="BF59" i="36"/>
  <c r="AZ59" i="36"/>
  <c r="AT59" i="36"/>
  <c r="AT58" i="36" s="1"/>
  <c r="AT55" i="36" s="1"/>
  <c r="AH59" i="36"/>
  <c r="AB59" i="36"/>
  <c r="AB58" i="36" s="1"/>
  <c r="AB55" i="36" s="1"/>
  <c r="V59" i="36"/>
  <c r="P59" i="36"/>
  <c r="BE57" i="36"/>
  <c r="BD57" i="36"/>
  <c r="BD56" i="36" s="1"/>
  <c r="AY57" i="36"/>
  <c r="AX57" i="36" s="1"/>
  <c r="AX56" i="36"/>
  <c r="AS57" i="36"/>
  <c r="AG57" i="36"/>
  <c r="AA57" i="36"/>
  <c r="Z57" i="36" s="1"/>
  <c r="Z56" i="36" s="1"/>
  <c r="U57" i="36"/>
  <c r="T57" i="36"/>
  <c r="T56" i="36" s="1"/>
  <c r="C57" i="36"/>
  <c r="C56" i="36" s="1"/>
  <c r="D57" i="36"/>
  <c r="BA56" i="36"/>
  <c r="AU56" i="36"/>
  <c r="AO56" i="36"/>
  <c r="AC56" i="36"/>
  <c r="W56" i="36"/>
  <c r="Q56" i="36"/>
  <c r="AI56" i="36" s="1"/>
  <c r="BA54" i="36"/>
  <c r="AW54" i="36"/>
  <c r="AU54" i="36"/>
  <c r="AQ54" i="36"/>
  <c r="AO54" i="36"/>
  <c r="AP54" i="36" s="1"/>
  <c r="AE54" i="36"/>
  <c r="AG54" i="36" s="1"/>
  <c r="AD54" i="36"/>
  <c r="Y54" i="36"/>
  <c r="AA54" i="36" s="1"/>
  <c r="AM54" i="36" s="1"/>
  <c r="AL54" i="36" s="1"/>
  <c r="X54" i="36"/>
  <c r="S54" i="36"/>
  <c r="U54" i="36" s="1"/>
  <c r="T54" i="36"/>
  <c r="J54" i="36"/>
  <c r="F54" i="36"/>
  <c r="H54" i="36" s="1"/>
  <c r="BA53" i="36"/>
  <c r="AW53" i="36"/>
  <c r="AU53" i="36"/>
  <c r="AQ53" i="36"/>
  <c r="AO53" i="36"/>
  <c r="AE53" i="36"/>
  <c r="AD53" i="36"/>
  <c r="Y53" i="36"/>
  <c r="X53" i="36"/>
  <c r="S53" i="36"/>
  <c r="J53" i="36"/>
  <c r="D53" i="36"/>
  <c r="BA52" i="36"/>
  <c r="BC52" i="36" s="1"/>
  <c r="AW52" i="36"/>
  <c r="AU52" i="36"/>
  <c r="AQ52" i="36"/>
  <c r="AO52" i="36"/>
  <c r="AE52" i="36"/>
  <c r="AD52" i="36"/>
  <c r="Y52" i="36"/>
  <c r="AA52" i="36" s="1"/>
  <c r="Z52" i="36" s="1"/>
  <c r="X52" i="36"/>
  <c r="S52" i="36"/>
  <c r="U52" i="36" s="1"/>
  <c r="J52" i="36"/>
  <c r="D52" i="36"/>
  <c r="BF51" i="36"/>
  <c r="AZ51" i="36"/>
  <c r="AT51" i="36"/>
  <c r="AH51" i="36"/>
  <c r="AC51" i="36"/>
  <c r="AD51" i="36" s="1"/>
  <c r="AB51" i="36"/>
  <c r="W51" i="36"/>
  <c r="V51" i="36"/>
  <c r="Q51" i="36"/>
  <c r="I51" i="36"/>
  <c r="G51" i="36"/>
  <c r="C51" i="36"/>
  <c r="BE50" i="36"/>
  <c r="BD50" i="36" s="1"/>
  <c r="BB50" i="36"/>
  <c r="AY50" i="36"/>
  <c r="AX50" i="36" s="1"/>
  <c r="AV50" i="36"/>
  <c r="AS50" i="36"/>
  <c r="AR50" i="36" s="1"/>
  <c r="AP50" i="36"/>
  <c r="AG50" i="36"/>
  <c r="AF50" i="36" s="1"/>
  <c r="AD50" i="36"/>
  <c r="AA50" i="36"/>
  <c r="Z50" i="36" s="1"/>
  <c r="X50" i="36"/>
  <c r="U50" i="36"/>
  <c r="T50" i="36" s="1"/>
  <c r="R50" i="36"/>
  <c r="C50" i="36"/>
  <c r="BK49" i="36"/>
  <c r="BF49" i="36"/>
  <c r="BE49" i="36" s="1"/>
  <c r="BD49" i="36" s="1"/>
  <c r="BB49" i="36"/>
  <c r="AZ49" i="36"/>
  <c r="AY49" i="36" s="1"/>
  <c r="AX49" i="36" s="1"/>
  <c r="AV49" i="36"/>
  <c r="AT49" i="36"/>
  <c r="AS49" i="36" s="1"/>
  <c r="AR49" i="36" s="1"/>
  <c r="AP49" i="36"/>
  <c r="AH49" i="36"/>
  <c r="AG49" i="36" s="1"/>
  <c r="AD49" i="36"/>
  <c r="AB49" i="36"/>
  <c r="AA49" i="36" s="1"/>
  <c r="X49" i="36"/>
  <c r="V49" i="36"/>
  <c r="U49" i="36" s="1"/>
  <c r="T49" i="36" s="1"/>
  <c r="R49" i="36"/>
  <c r="K49" i="36"/>
  <c r="I49" i="36"/>
  <c r="H49" i="36" s="1"/>
  <c r="G49" i="36" s="1"/>
  <c r="D49" i="36"/>
  <c r="BL49" i="36" s="1"/>
  <c r="J48" i="36"/>
  <c r="AJ48" i="36" s="1"/>
  <c r="D48" i="36"/>
  <c r="BA47" i="36"/>
  <c r="BE47" i="36" s="1"/>
  <c r="BD47" i="36" s="1"/>
  <c r="AU47" i="36"/>
  <c r="AO47" i="36"/>
  <c r="AS47" i="36" s="1"/>
  <c r="AR47" i="36" s="1"/>
  <c r="AG47" i="36"/>
  <c r="AD47" i="36"/>
  <c r="AA47" i="36"/>
  <c r="Z47" i="36" s="1"/>
  <c r="Q47" i="36"/>
  <c r="C47" i="36"/>
  <c r="BK46" i="36"/>
  <c r="BB46" i="36"/>
  <c r="AV46" i="36"/>
  <c r="AP46" i="36"/>
  <c r="AD46" i="36"/>
  <c r="X46" i="36"/>
  <c r="R46" i="36"/>
  <c r="S46" i="36" s="1"/>
  <c r="Y46" i="36" s="1"/>
  <c r="K46" i="36"/>
  <c r="F46" i="36"/>
  <c r="D46" i="36"/>
  <c r="BK45" i="36"/>
  <c r="BA45" i="36"/>
  <c r="BB45" i="36" s="1"/>
  <c r="AO45" i="36"/>
  <c r="AD45" i="36"/>
  <c r="X45" i="36"/>
  <c r="R45" i="36"/>
  <c r="K45" i="36"/>
  <c r="I45" i="36"/>
  <c r="D45" i="36"/>
  <c r="BL45" i="36"/>
  <c r="BL44" i="36"/>
  <c r="BK44" i="36"/>
  <c r="BE44" i="36"/>
  <c r="BD44" i="36" s="1"/>
  <c r="BB44" i="36"/>
  <c r="AY44" i="36"/>
  <c r="AX44" i="36" s="1"/>
  <c r="AV44" i="36"/>
  <c r="AS44" i="36"/>
  <c r="AR44" i="36" s="1"/>
  <c r="AP44" i="36"/>
  <c r="AG44" i="36"/>
  <c r="AD44" i="36"/>
  <c r="AA44" i="36"/>
  <c r="Z44" i="36" s="1"/>
  <c r="X44" i="36"/>
  <c r="U44" i="36"/>
  <c r="T44" i="36" s="1"/>
  <c r="R44" i="36"/>
  <c r="H44" i="36"/>
  <c r="G44" i="36" s="1"/>
  <c r="BN44" i="36" s="1"/>
  <c r="BK43" i="36"/>
  <c r="BB43" i="36"/>
  <c r="AV43" i="36"/>
  <c r="AP43" i="36"/>
  <c r="AD43" i="36"/>
  <c r="X43" i="36"/>
  <c r="R43" i="36"/>
  <c r="K43" i="36"/>
  <c r="I43" i="36"/>
  <c r="D43" i="36"/>
  <c r="BF42" i="36"/>
  <c r="BA42" i="36"/>
  <c r="BB42" i="36" s="1"/>
  <c r="AZ42" i="36"/>
  <c r="AY42" i="36" s="1"/>
  <c r="AX42" i="36" s="1"/>
  <c r="AV42" i="36"/>
  <c r="AT42" i="36"/>
  <c r="AS42" i="36" s="1"/>
  <c r="AR42" i="36" s="1"/>
  <c r="AP42" i="36"/>
  <c r="AH42" i="36"/>
  <c r="AD42" i="36"/>
  <c r="AB42" i="36"/>
  <c r="AA42" i="36" s="1"/>
  <c r="Z42" i="36" s="1"/>
  <c r="X42" i="36"/>
  <c r="V42" i="36"/>
  <c r="U42" i="36" s="1"/>
  <c r="T42" i="36" s="1"/>
  <c r="J42" i="36"/>
  <c r="I42" i="36"/>
  <c r="C42" i="36"/>
  <c r="D42" i="36"/>
  <c r="BK41" i="36"/>
  <c r="BA41" i="36"/>
  <c r="BB41" i="36" s="1"/>
  <c r="AO41" i="36"/>
  <c r="AD41" i="36"/>
  <c r="X41" i="36"/>
  <c r="R41" i="36"/>
  <c r="K41" i="36"/>
  <c r="I41" i="36"/>
  <c r="V41" i="36" s="1"/>
  <c r="AB41" i="36" s="1"/>
  <c r="AH41" i="36" s="1"/>
  <c r="AN41" i="36" s="1"/>
  <c r="D41" i="36"/>
  <c r="BA40" i="36"/>
  <c r="AW40" i="36"/>
  <c r="AO40" i="36"/>
  <c r="AP40" i="36" s="1"/>
  <c r="AE40" i="36"/>
  <c r="AD40" i="36"/>
  <c r="Y40" i="36"/>
  <c r="AA40" i="36" s="1"/>
  <c r="Z40" i="36" s="1"/>
  <c r="X40" i="36"/>
  <c r="S40" i="36"/>
  <c r="U40" i="36" s="1"/>
  <c r="T40" i="36" s="1"/>
  <c r="R40" i="36"/>
  <c r="C40" i="36"/>
  <c r="K40" i="36"/>
  <c r="BB39" i="36"/>
  <c r="AV39" i="36"/>
  <c r="AP39" i="36"/>
  <c r="AD39" i="36"/>
  <c r="X39" i="36"/>
  <c r="R39" i="36"/>
  <c r="C39" i="36"/>
  <c r="BK38" i="36"/>
  <c r="BF38" i="36"/>
  <c r="BE38" i="36" s="1"/>
  <c r="BD38" i="36" s="1"/>
  <c r="BB38" i="36"/>
  <c r="AZ38" i="36"/>
  <c r="AY38" i="36" s="1"/>
  <c r="AX38" i="36" s="1"/>
  <c r="AV38" i="36"/>
  <c r="AT38" i="36"/>
  <c r="AS38" i="36"/>
  <c r="AR38" i="36" s="1"/>
  <c r="AP38" i="36"/>
  <c r="AH38" i="36"/>
  <c r="AG38" i="36" s="1"/>
  <c r="AF38" i="36" s="1"/>
  <c r="AD38" i="36"/>
  <c r="AB38" i="36"/>
  <c r="AA38" i="36"/>
  <c r="X38" i="36"/>
  <c r="V38" i="36"/>
  <c r="R38" i="36"/>
  <c r="P38" i="36"/>
  <c r="O38" i="36" s="1"/>
  <c r="N38" i="36" s="1"/>
  <c r="K38" i="36"/>
  <c r="I38" i="36"/>
  <c r="D38" i="36"/>
  <c r="BK37" i="36"/>
  <c r="BE37" i="36"/>
  <c r="BD37" i="36" s="1"/>
  <c r="BB37" i="36"/>
  <c r="AY37" i="36"/>
  <c r="AX37" i="36" s="1"/>
  <c r="AV37" i="36"/>
  <c r="AS37" i="36"/>
  <c r="AR37" i="36" s="1"/>
  <c r="AP37" i="36"/>
  <c r="AG37" i="36"/>
  <c r="AD37" i="36"/>
  <c r="AA37" i="36"/>
  <c r="Z37" i="36" s="1"/>
  <c r="X37" i="36"/>
  <c r="U37" i="36"/>
  <c r="T37" i="36" s="1"/>
  <c r="R37" i="36"/>
  <c r="P37" i="36"/>
  <c r="O37" i="36"/>
  <c r="N37" i="36" s="1"/>
  <c r="K37" i="36"/>
  <c r="I37" i="36"/>
  <c r="D37" i="36"/>
  <c r="BK36" i="36"/>
  <c r="BF36" i="36"/>
  <c r="BE36" i="36" s="1"/>
  <c r="BD36" i="36" s="1"/>
  <c r="BB36" i="36"/>
  <c r="AZ36" i="36"/>
  <c r="AY36" i="36" s="1"/>
  <c r="AX36" i="36" s="1"/>
  <c r="AV36" i="36"/>
  <c r="AT36" i="36"/>
  <c r="AS36" i="36"/>
  <c r="AR36" i="36" s="1"/>
  <c r="AP36" i="36"/>
  <c r="AH36" i="36"/>
  <c r="AG36" i="36" s="1"/>
  <c r="AM36" i="36" s="1"/>
  <c r="AD36" i="36"/>
  <c r="AB36" i="36"/>
  <c r="AA36" i="36"/>
  <c r="Z36" i="36" s="1"/>
  <c r="X36" i="36"/>
  <c r="V36" i="36"/>
  <c r="U36" i="36"/>
  <c r="T36" i="36" s="1"/>
  <c r="R36" i="36"/>
  <c r="P36" i="36"/>
  <c r="O36" i="36" s="1"/>
  <c r="N36" i="36" s="1"/>
  <c r="K36" i="36"/>
  <c r="I36" i="36"/>
  <c r="D36" i="36"/>
  <c r="BL36" i="36" s="1"/>
  <c r="BL35" i="36"/>
  <c r="BK35" i="36"/>
  <c r="BE35" i="36"/>
  <c r="BD35" i="36" s="1"/>
  <c r="AY35" i="36"/>
  <c r="AS35" i="36"/>
  <c r="AG35" i="36"/>
  <c r="AF35" i="36" s="1"/>
  <c r="AA35" i="36"/>
  <c r="U35" i="36"/>
  <c r="T35" i="36" s="1"/>
  <c r="O35" i="36"/>
  <c r="N35" i="36" s="1"/>
  <c r="H35" i="36"/>
  <c r="G35" i="36" s="1"/>
  <c r="BL34" i="36"/>
  <c r="BK34" i="36"/>
  <c r="BE34" i="36"/>
  <c r="BD34" i="36" s="1"/>
  <c r="AY34" i="36"/>
  <c r="AX34" i="36" s="1"/>
  <c r="AS34" i="36"/>
  <c r="AR34" i="36" s="1"/>
  <c r="AG34" i="36"/>
  <c r="AF34" i="36" s="1"/>
  <c r="AA34" i="36"/>
  <c r="Z34" i="36" s="1"/>
  <c r="U34" i="36"/>
  <c r="T34" i="36" s="1"/>
  <c r="O34" i="36"/>
  <c r="H34" i="36"/>
  <c r="G34" i="36" s="1"/>
  <c r="BL33" i="36"/>
  <c r="BE33" i="36"/>
  <c r="BD33" i="36" s="1"/>
  <c r="AY33" i="36"/>
  <c r="AX33" i="36"/>
  <c r="AS33" i="36"/>
  <c r="AR33" i="36"/>
  <c r="AG33" i="36"/>
  <c r="AA33" i="36"/>
  <c r="Z33" i="36" s="1"/>
  <c r="U33" i="36"/>
  <c r="T33" i="36" s="1"/>
  <c r="O33" i="36"/>
  <c r="N33" i="36" s="1"/>
  <c r="BN33" i="36" s="1"/>
  <c r="H33" i="36"/>
  <c r="G33" i="36" s="1"/>
  <c r="C33" i="36"/>
  <c r="BK33" i="36" s="1"/>
  <c r="BL32" i="36"/>
  <c r="BK32" i="36"/>
  <c r="BF32" i="36"/>
  <c r="BE32" i="36"/>
  <c r="BD32" i="36" s="1"/>
  <c r="AZ32" i="36"/>
  <c r="AY32" i="36" s="1"/>
  <c r="AX32" i="36" s="1"/>
  <c r="AT32" i="36"/>
  <c r="AS32" i="36" s="1"/>
  <c r="AR32" i="36" s="1"/>
  <c r="AH32" i="36"/>
  <c r="AG32" i="36" s="1"/>
  <c r="AF32" i="36" s="1"/>
  <c r="AB32" i="36"/>
  <c r="AA32" i="36" s="1"/>
  <c r="Z32" i="36" s="1"/>
  <c r="V32" i="36"/>
  <c r="P32" i="36"/>
  <c r="O32" i="36"/>
  <c r="N32" i="36" s="1"/>
  <c r="I32" i="36"/>
  <c r="BL31" i="36"/>
  <c r="BF31" i="36"/>
  <c r="BE31" i="36" s="1"/>
  <c r="AZ31" i="36"/>
  <c r="AY31" i="36" s="1"/>
  <c r="AX31" i="36" s="1"/>
  <c r="AT31" i="36"/>
  <c r="AH31" i="36"/>
  <c r="AB31" i="36"/>
  <c r="AA31" i="36" s="1"/>
  <c r="Z31" i="36" s="1"/>
  <c r="V31" i="36"/>
  <c r="P31" i="36"/>
  <c r="P30" i="36" s="1"/>
  <c r="I31" i="36"/>
  <c r="H31" i="36"/>
  <c r="C31" i="36"/>
  <c r="C30" i="36" s="1"/>
  <c r="BK31" i="36"/>
  <c r="BC30" i="36"/>
  <c r="BA30" i="36"/>
  <c r="AW30" i="36"/>
  <c r="AU30" i="36"/>
  <c r="AQ30" i="36"/>
  <c r="AO30" i="36"/>
  <c r="AE30" i="36"/>
  <c r="AC30" i="36"/>
  <c r="Y30" i="36"/>
  <c r="W30" i="36"/>
  <c r="S30" i="36"/>
  <c r="Q30" i="36"/>
  <c r="M30" i="36"/>
  <c r="J30" i="36"/>
  <c r="F30" i="36"/>
  <c r="D30" i="36"/>
  <c r="BL29" i="36"/>
  <c r="BK29" i="36"/>
  <c r="BE29" i="36"/>
  <c r="BD29" i="36" s="1"/>
  <c r="BD25" i="36" s="1"/>
  <c r="AY29" i="36"/>
  <c r="AX29" i="36" s="1"/>
  <c r="AS29" i="36"/>
  <c r="AR29" i="36"/>
  <c r="AG29" i="36"/>
  <c r="AA29" i="36"/>
  <c r="U29" i="36"/>
  <c r="T29" i="36" s="1"/>
  <c r="O29" i="36"/>
  <c r="N29" i="36" s="1"/>
  <c r="H29" i="36"/>
  <c r="G29" i="36" s="1"/>
  <c r="BL28" i="36"/>
  <c r="BK28" i="36"/>
  <c r="BE28" i="36"/>
  <c r="BD28" i="36" s="1"/>
  <c r="AY28" i="36"/>
  <c r="AX28" i="36" s="1"/>
  <c r="AS28" i="36"/>
  <c r="AR28" i="36" s="1"/>
  <c r="AG28" i="36"/>
  <c r="AF28" i="36" s="1"/>
  <c r="AA28" i="36"/>
  <c r="Z28" i="36" s="1"/>
  <c r="U28" i="36"/>
  <c r="O28" i="36"/>
  <c r="N28" i="36" s="1"/>
  <c r="H28" i="36"/>
  <c r="G28" i="36" s="1"/>
  <c r="BK27" i="36"/>
  <c r="BE27" i="36"/>
  <c r="BD27" i="36" s="1"/>
  <c r="AY27" i="36"/>
  <c r="AX27" i="36" s="1"/>
  <c r="AT27" i="36"/>
  <c r="AG27" i="36"/>
  <c r="AF27" i="36" s="1"/>
  <c r="AA27" i="36"/>
  <c r="Z27" i="36" s="1"/>
  <c r="Q27" i="36"/>
  <c r="U27" i="36" s="1"/>
  <c r="O27" i="36"/>
  <c r="N27" i="36" s="1"/>
  <c r="D27" i="36"/>
  <c r="H27" i="36" s="1"/>
  <c r="G27" i="36"/>
  <c r="BK26" i="36"/>
  <c r="BE26" i="36"/>
  <c r="BD26" i="36" s="1"/>
  <c r="AY26" i="36"/>
  <c r="AT26" i="36"/>
  <c r="AG26" i="36"/>
  <c r="AF26" i="36" s="1"/>
  <c r="AA26" i="36"/>
  <c r="Q26" i="36"/>
  <c r="O26" i="36"/>
  <c r="D26" i="36"/>
  <c r="H26" i="36" s="1"/>
  <c r="BF25" i="36"/>
  <c r="BC25" i="36"/>
  <c r="BA25" i="36"/>
  <c r="AZ25" i="36"/>
  <c r="AW25" i="36"/>
  <c r="AU25" i="36"/>
  <c r="AQ25" i="36"/>
  <c r="AO25" i="36"/>
  <c r="AH25" i="36"/>
  <c r="AE25" i="36"/>
  <c r="AC25" i="36"/>
  <c r="AB25" i="36"/>
  <c r="Y25" i="36"/>
  <c r="W25" i="36"/>
  <c r="V25" i="36"/>
  <c r="S25" i="36"/>
  <c r="P25" i="36"/>
  <c r="M25" i="36"/>
  <c r="J25" i="36"/>
  <c r="I25" i="36"/>
  <c r="F25" i="36"/>
  <c r="C25" i="36"/>
  <c r="BL24" i="36"/>
  <c r="BK24" i="36"/>
  <c r="BE24" i="36"/>
  <c r="BD24" i="36"/>
  <c r="AY24" i="36"/>
  <c r="AX24" i="36" s="1"/>
  <c r="AS24" i="36"/>
  <c r="AR24" i="36" s="1"/>
  <c r="AG24" i="36"/>
  <c r="AA24" i="36"/>
  <c r="Z24" i="36" s="1"/>
  <c r="U24" i="36"/>
  <c r="O24" i="36"/>
  <c r="N24" i="36" s="1"/>
  <c r="H24" i="36"/>
  <c r="G24" i="36" s="1"/>
  <c r="BE23" i="36"/>
  <c r="BD23" i="36" s="1"/>
  <c r="AY23" i="36"/>
  <c r="AX23" i="36" s="1"/>
  <c r="AS23" i="36"/>
  <c r="AR23" i="36" s="1"/>
  <c r="AG23" i="36"/>
  <c r="AA23" i="36"/>
  <c r="Z23" i="36" s="1"/>
  <c r="U23" i="36"/>
  <c r="T23" i="36" s="1"/>
  <c r="O23" i="36"/>
  <c r="N23" i="36" s="1"/>
  <c r="C23" i="36"/>
  <c r="BK23" i="36" s="1"/>
  <c r="BL22" i="36"/>
  <c r="BK22" i="36"/>
  <c r="BE22" i="36"/>
  <c r="BD22" i="36" s="1"/>
  <c r="AY22" i="36"/>
  <c r="AX22" i="36" s="1"/>
  <c r="AS22" i="36"/>
  <c r="AG22" i="36"/>
  <c r="AF22" i="36"/>
  <c r="AA22" i="36"/>
  <c r="U22" i="36"/>
  <c r="O22" i="36"/>
  <c r="N22" i="36" s="1"/>
  <c r="H22" i="36"/>
  <c r="G22" i="36"/>
  <c r="BE21" i="36"/>
  <c r="BD21" i="36"/>
  <c r="AY21" i="36"/>
  <c r="AX21" i="36" s="1"/>
  <c r="AS21" i="36"/>
  <c r="AR21" i="36" s="1"/>
  <c r="AG21" i="36"/>
  <c r="AA21" i="36"/>
  <c r="U21" i="36"/>
  <c r="T21" i="36" s="1"/>
  <c r="O21" i="36"/>
  <c r="N21" i="36" s="1"/>
  <c r="C21" i="36"/>
  <c r="BK21" i="36" s="1"/>
  <c r="BE20" i="36"/>
  <c r="BD20" i="36" s="1"/>
  <c r="AY20" i="36"/>
  <c r="AS20" i="36"/>
  <c r="AR20" i="36" s="1"/>
  <c r="AG20" i="36"/>
  <c r="AF20" i="36" s="1"/>
  <c r="AA20" i="36"/>
  <c r="Z20" i="36"/>
  <c r="Q20" i="36"/>
  <c r="Q19" i="36" s="1"/>
  <c r="J20" i="36"/>
  <c r="O20" i="36"/>
  <c r="C20" i="36"/>
  <c r="BF19" i="36"/>
  <c r="BC19" i="36"/>
  <c r="BA19" i="36"/>
  <c r="AZ19" i="36"/>
  <c r="AW19" i="36"/>
  <c r="AU19" i="36"/>
  <c r="AT19" i="36"/>
  <c r="AQ19" i="36"/>
  <c r="AO19" i="36"/>
  <c r="AH19" i="36"/>
  <c r="AE19" i="36"/>
  <c r="AC19" i="36"/>
  <c r="AB19" i="36"/>
  <c r="Y19" i="36"/>
  <c r="W19" i="36"/>
  <c r="V19" i="36"/>
  <c r="S19" i="36"/>
  <c r="P19" i="36"/>
  <c r="M19" i="36"/>
  <c r="I19" i="36"/>
  <c r="F19" i="36"/>
  <c r="BL18" i="36"/>
  <c r="BK18" i="36"/>
  <c r="BE18" i="36"/>
  <c r="AY18" i="36"/>
  <c r="AS18" i="36"/>
  <c r="AG18" i="36"/>
  <c r="AA18" i="36"/>
  <c r="U18" i="36"/>
  <c r="O18" i="36"/>
  <c r="N18" i="36"/>
  <c r="H18" i="36"/>
  <c r="G18" i="36"/>
  <c r="BL17" i="36"/>
  <c r="BK17" i="36"/>
  <c r="BE17" i="36"/>
  <c r="AY17" i="36"/>
  <c r="AS17" i="36"/>
  <c r="AG17" i="36"/>
  <c r="AA17" i="36"/>
  <c r="U17" i="36"/>
  <c r="T17" i="36" s="1"/>
  <c r="O17" i="36"/>
  <c r="N17" i="36" s="1"/>
  <c r="H17" i="36"/>
  <c r="G17" i="36" s="1"/>
  <c r="BE16" i="36"/>
  <c r="BD16" i="36" s="1"/>
  <c r="AY16" i="36"/>
  <c r="AX16" i="36" s="1"/>
  <c r="AS16" i="36"/>
  <c r="AR16" i="36" s="1"/>
  <c r="AG16" i="36"/>
  <c r="AF16" i="36" s="1"/>
  <c r="AA16" i="36"/>
  <c r="Z16" i="36" s="1"/>
  <c r="U16" i="36"/>
  <c r="T16" i="36" s="1"/>
  <c r="O16" i="36"/>
  <c r="N16" i="36" s="1"/>
  <c r="C16" i="36"/>
  <c r="BK16" i="36" s="1"/>
  <c r="BL15" i="36"/>
  <c r="BK15" i="36"/>
  <c r="BE15" i="36"/>
  <c r="AY15" i="36"/>
  <c r="AX15" i="36" s="1"/>
  <c r="AS15" i="36"/>
  <c r="AR15" i="36" s="1"/>
  <c r="AG15" i="36"/>
  <c r="AF15" i="36" s="1"/>
  <c r="AA15" i="36"/>
  <c r="Z15" i="36" s="1"/>
  <c r="U15" i="36"/>
  <c r="O15" i="36"/>
  <c r="N15" i="36" s="1"/>
  <c r="H15" i="36"/>
  <c r="BK14" i="36"/>
  <c r="BE14" i="36"/>
  <c r="AY14" i="36"/>
  <c r="AX14" i="36" s="1"/>
  <c r="AS14" i="36"/>
  <c r="AR14" i="36" s="1"/>
  <c r="AG14" i="36"/>
  <c r="AF14" i="36"/>
  <c r="AA14" i="36"/>
  <c r="Q14" i="36"/>
  <c r="O14" i="36"/>
  <c r="D14" i="36"/>
  <c r="BL14" i="36" s="1"/>
  <c r="BF13" i="36"/>
  <c r="BC13" i="36"/>
  <c r="BA13" i="36"/>
  <c r="AZ13" i="36"/>
  <c r="AW13" i="36"/>
  <c r="AU13" i="36"/>
  <c r="AT13" i="36"/>
  <c r="AQ13" i="36"/>
  <c r="AO13" i="36"/>
  <c r="AH13" i="36"/>
  <c r="AE13" i="36"/>
  <c r="AC13" i="36"/>
  <c r="AB13" i="36"/>
  <c r="Y13" i="36"/>
  <c r="W13" i="36"/>
  <c r="V13" i="36"/>
  <c r="S13" i="36"/>
  <c r="P13" i="36"/>
  <c r="M13" i="36"/>
  <c r="J13" i="36"/>
  <c r="BK13" i="36" s="1"/>
  <c r="I13" i="36"/>
  <c r="F13" i="36"/>
  <c r="AA50" i="4"/>
  <c r="Z50" i="4"/>
  <c r="P27" i="4"/>
  <c r="P27" i="37" s="1"/>
  <c r="Q18" i="4"/>
  <c r="P23" i="4"/>
  <c r="P23" i="37"/>
  <c r="P22" i="4"/>
  <c r="P22" i="37" s="1"/>
  <c r="P21" i="4"/>
  <c r="P21" i="37" s="1"/>
  <c r="P19" i="4"/>
  <c r="J43" i="38" s="1"/>
  <c r="V28" i="4"/>
  <c r="K83" i="37"/>
  <c r="H28" i="37"/>
  <c r="J28" i="37" s="1"/>
  <c r="L83" i="37"/>
  <c r="Q59" i="36"/>
  <c r="H19" i="37"/>
  <c r="H22" i="37"/>
  <c r="L48" i="39"/>
  <c r="R43" i="37"/>
  <c r="H75" i="37"/>
  <c r="Z16" i="37"/>
  <c r="C39" i="38"/>
  <c r="X30" i="36"/>
  <c r="AZ30" i="36"/>
  <c r="AN15" i="37"/>
  <c r="H33" i="37"/>
  <c r="J33" i="37" s="1"/>
  <c r="AO45" i="37"/>
  <c r="AL45" i="37"/>
  <c r="I58" i="36"/>
  <c r="I55" i="36" s="1"/>
  <c r="AL48" i="36"/>
  <c r="AN59" i="36"/>
  <c r="K20" i="37"/>
  <c r="BZ43" i="48"/>
  <c r="BZ41" i="48" s="1"/>
  <c r="O48" i="36"/>
  <c r="N48" i="36" s="1"/>
  <c r="C49" i="38"/>
  <c r="AR68" i="36"/>
  <c r="AO68" i="36" s="1"/>
  <c r="BK40" i="36"/>
  <c r="F40" i="36"/>
  <c r="F11" i="36" s="1"/>
  <c r="AQ40" i="36"/>
  <c r="AS40" i="36" s="1"/>
  <c r="AR40" i="36" s="1"/>
  <c r="AI27" i="36"/>
  <c r="C31" i="38"/>
  <c r="S31" i="39"/>
  <c r="W75" i="39"/>
  <c r="U56" i="36"/>
  <c r="O31" i="39"/>
  <c r="N68" i="36"/>
  <c r="J68" i="36" s="1"/>
  <c r="M34" i="37"/>
  <c r="L50" i="38"/>
  <c r="E20" i="39"/>
  <c r="E18" i="39" s="1"/>
  <c r="R52" i="36"/>
  <c r="K52" i="36"/>
  <c r="U14" i="36"/>
  <c r="U13" i="36" s="1"/>
  <c r="AI14" i="36"/>
  <c r="O31" i="36"/>
  <c r="N31" i="36" s="1"/>
  <c r="BL37" i="36"/>
  <c r="L37" i="36"/>
  <c r="AG42" i="36"/>
  <c r="AS54" i="36"/>
  <c r="AR54" i="36" s="1"/>
  <c r="AA56" i="36"/>
  <c r="C13" i="36"/>
  <c r="D16" i="36"/>
  <c r="AP53" i="36"/>
  <c r="Q13" i="36"/>
  <c r="U27" i="4"/>
  <c r="U27" i="37" s="1"/>
  <c r="D21" i="36"/>
  <c r="J47" i="36"/>
  <c r="P19" i="37"/>
  <c r="J43" i="39"/>
  <c r="J79" i="39" s="1"/>
  <c r="BD15" i="36"/>
  <c r="D51" i="36"/>
  <c r="M12" i="37"/>
  <c r="AL16" i="37"/>
  <c r="L36" i="37"/>
  <c r="L46" i="38"/>
  <c r="C31" i="39"/>
  <c r="BV27" i="48"/>
  <c r="BU27" i="48"/>
  <c r="BT27" i="48"/>
  <c r="CH33" i="48"/>
  <c r="CL33" i="48" s="1"/>
  <c r="U12" i="37"/>
  <c r="C30" i="38"/>
  <c r="AA38" i="38"/>
  <c r="Y75" i="39"/>
  <c r="CH27" i="48"/>
  <c r="BT33" i="48"/>
  <c r="K14" i="15" s="1"/>
  <c r="K15" i="63" s="1"/>
  <c r="C81" i="80" s="1"/>
  <c r="BV33" i="48"/>
  <c r="BU33" i="48"/>
  <c r="AM50" i="36"/>
  <c r="AL50" i="36" s="1"/>
  <c r="T52" i="39"/>
  <c r="BK25" i="36"/>
  <c r="BB25" i="36"/>
  <c r="BB47" i="36"/>
  <c r="Q51" i="38"/>
  <c r="C50" i="39"/>
  <c r="C35" i="38"/>
  <c r="H21" i="37"/>
  <c r="G35" i="37"/>
  <c r="AU39" i="37"/>
  <c r="C58" i="38"/>
  <c r="T31" i="39"/>
  <c r="BN27" i="48"/>
  <c r="BM33" i="48"/>
  <c r="BL33" i="48"/>
  <c r="J14" i="15" s="1"/>
  <c r="BN33" i="48"/>
  <c r="BN31" i="48"/>
  <c r="BL31" i="48"/>
  <c r="J12" i="15" s="1"/>
  <c r="BM31" i="48"/>
  <c r="AT50" i="48"/>
  <c r="K12" i="71" s="1"/>
  <c r="L12" i="71" s="1"/>
  <c r="C12" i="71" s="1"/>
  <c r="AZ58" i="36"/>
  <c r="AZ55" i="36" s="1"/>
  <c r="Q51" i="39"/>
  <c r="W51" i="39"/>
  <c r="Z51" i="39"/>
  <c r="W51" i="38"/>
  <c r="AC73" i="38"/>
  <c r="L38" i="38"/>
  <c r="C43" i="38"/>
  <c r="X38" i="38"/>
  <c r="AA31" i="39"/>
  <c r="C39" i="39"/>
  <c r="Q75" i="39"/>
  <c r="K84" i="39"/>
  <c r="AB75" i="39"/>
  <c r="W76" i="39"/>
  <c r="U38" i="39"/>
  <c r="L46" i="39"/>
  <c r="K28" i="39"/>
  <c r="N28" i="39" s="1"/>
  <c r="P81" i="39"/>
  <c r="O46" i="39"/>
  <c r="L30" i="39"/>
  <c r="W73" i="38"/>
  <c r="U38" i="38"/>
  <c r="E24" i="38"/>
  <c r="N51" i="38"/>
  <c r="I59" i="38"/>
  <c r="L42" i="37"/>
  <c r="Q35" i="37"/>
  <c r="AF35" i="37"/>
  <c r="D18" i="37"/>
  <c r="R61" i="37"/>
  <c r="U59" i="37"/>
  <c r="U16" i="37"/>
  <c r="R16" i="37" s="1"/>
  <c r="H25" i="37"/>
  <c r="J25" i="37" s="1"/>
  <c r="P69" i="37"/>
  <c r="P59" i="37"/>
  <c r="P16" i="37" s="1"/>
  <c r="M16" i="37" s="1"/>
  <c r="H43" i="37"/>
  <c r="J43" i="37" s="1"/>
  <c r="BF58" i="36"/>
  <c r="BF55" i="36" s="1"/>
  <c r="BE56" i="36"/>
  <c r="AG52" i="36"/>
  <c r="AF52" i="36" s="1"/>
  <c r="AV30" i="36"/>
  <c r="AB30" i="36"/>
  <c r="AM34" i="36"/>
  <c r="AL34" i="36" s="1"/>
  <c r="BL26" i="36"/>
  <c r="K25" i="36"/>
  <c r="D25" i="36"/>
  <c r="T22" i="36"/>
  <c r="H14" i="36"/>
  <c r="G14" i="36" s="1"/>
  <c r="AM15" i="36"/>
  <c r="AL15" i="36"/>
  <c r="AU11" i="36"/>
  <c r="AU12" i="36" s="1"/>
  <c r="BF30" i="36"/>
  <c r="AY47" i="36"/>
  <c r="AX47" i="36" s="1"/>
  <c r="BL27" i="36"/>
  <c r="AA53" i="36"/>
  <c r="BB19" i="36"/>
  <c r="T15" i="36"/>
  <c r="AP25" i="36"/>
  <c r="Z26" i="36"/>
  <c r="BL41" i="36"/>
  <c r="H37" i="36"/>
  <c r="G37" i="36" s="1"/>
  <c r="L45" i="36"/>
  <c r="M45" i="36" s="1"/>
  <c r="AP47" i="36"/>
  <c r="BB30" i="36"/>
  <c r="X51" i="36"/>
  <c r="W60" i="36"/>
  <c r="AA60" i="36"/>
  <c r="Z60" i="36" s="1"/>
  <c r="W64" i="36"/>
  <c r="AA64" i="36" s="1"/>
  <c r="AC64" i="36" s="1"/>
  <c r="BN17" i="36"/>
  <c r="BN27" i="36"/>
  <c r="L49" i="36"/>
  <c r="M49" i="36" s="1"/>
  <c r="AP52" i="36"/>
  <c r="AO51" i="36"/>
  <c r="AV19" i="36"/>
  <c r="L38" i="36"/>
  <c r="BL38" i="36"/>
  <c r="AV13" i="36"/>
  <c r="D20" i="36"/>
  <c r="AG19" i="36"/>
  <c r="D23" i="36"/>
  <c r="BL23" i="36" s="1"/>
  <c r="Q25" i="36"/>
  <c r="AS27" i="36"/>
  <c r="AR27" i="36" s="1"/>
  <c r="L41" i="36"/>
  <c r="BK20" i="36"/>
  <c r="J19" i="36"/>
  <c r="BK39" i="36"/>
  <c r="D39" i="36"/>
  <c r="AV47" i="36"/>
  <c r="BE52" i="36"/>
  <c r="BD52" i="36" s="1"/>
  <c r="W67" i="36"/>
  <c r="AA67" i="36" s="1"/>
  <c r="Z67" i="36" s="1"/>
  <c r="T67" i="36"/>
  <c r="R54" i="36"/>
  <c r="L54" i="36"/>
  <c r="P54" i="36" s="1"/>
  <c r="K54" i="36"/>
  <c r="R30" i="36"/>
  <c r="K39" i="36"/>
  <c r="D40" i="36"/>
  <c r="AV45" i="36"/>
  <c r="AP45" i="36"/>
  <c r="F52" i="36"/>
  <c r="AY56" i="36"/>
  <c r="T60" i="36"/>
  <c r="L52" i="36"/>
  <c r="P52" i="36" s="1"/>
  <c r="F53" i="36"/>
  <c r="H53" i="36" s="1"/>
  <c r="K8" i="15"/>
  <c r="K9" i="63" s="1"/>
  <c r="C75" i="80" s="1"/>
  <c r="P49" i="36"/>
  <c r="Z49" i="36"/>
  <c r="BZ27" i="48"/>
  <c r="CB27" i="48" s="1"/>
  <c r="L8" i="15" s="1"/>
  <c r="CL31" i="48"/>
  <c r="CK31" i="48"/>
  <c r="F16" i="48"/>
  <c r="I16" i="48" s="1"/>
  <c r="CX13" i="48"/>
  <c r="AT51" i="48"/>
  <c r="AF54" i="36"/>
  <c r="H20" i="36"/>
  <c r="G20" i="36" s="1"/>
  <c r="BL20" i="36"/>
  <c r="H52" i="36"/>
  <c r="L40" i="36"/>
  <c r="BL40" i="36"/>
  <c r="L39" i="36"/>
  <c r="P39" i="36" s="1"/>
  <c r="AC67" i="36"/>
  <c r="AG67" i="36" s="1"/>
  <c r="Q26" i="4"/>
  <c r="V26" i="4" s="1"/>
  <c r="V26" i="37" s="1"/>
  <c r="Q30" i="4"/>
  <c r="V30" i="4" s="1"/>
  <c r="P33" i="4"/>
  <c r="P12" i="4"/>
  <c r="P12" i="33" s="1"/>
  <c r="Q34" i="4"/>
  <c r="K46" i="39" s="1"/>
  <c r="N81" i="39" s="1"/>
  <c r="K34" i="4"/>
  <c r="U68" i="36" s="1"/>
  <c r="L27" i="4"/>
  <c r="O17" i="17"/>
  <c r="K46" i="38"/>
  <c r="T46" i="38" s="1"/>
  <c r="P33" i="37"/>
  <c r="J49" i="38"/>
  <c r="CB33" i="48"/>
  <c r="L14" i="15"/>
  <c r="L15" i="63" s="1"/>
  <c r="C80" i="81" s="1"/>
  <c r="CC33" i="48"/>
  <c r="CD33" i="48"/>
  <c r="G46" i="38"/>
  <c r="CC27" i="48"/>
  <c r="CD31" i="48"/>
  <c r="CC31" i="48"/>
  <c r="CB31" i="48"/>
  <c r="L12" i="15" s="1"/>
  <c r="L13" i="63" s="1"/>
  <c r="C78" i="81" s="1"/>
  <c r="Q28" i="39"/>
  <c r="K27" i="4"/>
  <c r="P68" i="1"/>
  <c r="H30" i="38" s="1"/>
  <c r="F30" i="38" s="1"/>
  <c r="T68" i="36"/>
  <c r="Q68" i="36" s="1"/>
  <c r="AM68" i="36"/>
  <c r="F31" i="46"/>
  <c r="H30" i="39"/>
  <c r="CP13" i="48"/>
  <c r="BJ50" i="48"/>
  <c r="BJ51" i="48" s="1"/>
  <c r="K14" i="71"/>
  <c r="L14" i="71" s="1"/>
  <c r="C14" i="71" s="1"/>
  <c r="I82" i="1"/>
  <c r="AG122" i="60"/>
  <c r="Q76" i="36"/>
  <c r="BZ50" i="48"/>
  <c r="K46" i="7"/>
  <c r="Q33" i="4"/>
  <c r="V33" i="4" s="1"/>
  <c r="Q29" i="4"/>
  <c r="Q29" i="37" s="1"/>
  <c r="Q27" i="4"/>
  <c r="V27" i="4" s="1"/>
  <c r="Q25" i="4"/>
  <c r="Q25" i="37" s="1"/>
  <c r="Q24" i="4"/>
  <c r="Q23" i="4"/>
  <c r="Q21" i="4"/>
  <c r="K33" i="4"/>
  <c r="R76" i="1"/>
  <c r="S76" i="1"/>
  <c r="V76" i="1"/>
  <c r="K26" i="4"/>
  <c r="G45" i="35" s="1"/>
  <c r="G34" i="4"/>
  <c r="AG10" i="13"/>
  <c r="P39" i="44" s="1"/>
  <c r="BZ51" i="48"/>
  <c r="K16" i="71"/>
  <c r="L16" i="71" s="1"/>
  <c r="C16" i="71" s="1"/>
  <c r="Q24" i="37"/>
  <c r="V24" i="4"/>
  <c r="V24" i="37" s="1"/>
  <c r="E53" i="46"/>
  <c r="C53" i="46" s="1"/>
  <c r="Q27" i="37"/>
  <c r="V25" i="4"/>
  <c r="C53" i="45"/>
  <c r="J89" i="1"/>
  <c r="G87" i="7"/>
  <c r="G89" i="7" s="1"/>
  <c r="G90" i="7" s="1"/>
  <c r="P26" i="4"/>
  <c r="P26" i="37" s="1"/>
  <c r="K19" i="4"/>
  <c r="J48" i="1"/>
  <c r="D48" i="1"/>
  <c r="BF48" i="1" s="1"/>
  <c r="K24" i="4"/>
  <c r="K23" i="4"/>
  <c r="K25" i="4"/>
  <c r="K30" i="4"/>
  <c r="K22" i="4"/>
  <c r="G44" i="34" s="1"/>
  <c r="K29" i="4"/>
  <c r="K21" i="4"/>
  <c r="BE14" i="1"/>
  <c r="BE15" i="1"/>
  <c r="BF15" i="1"/>
  <c r="BE17" i="1"/>
  <c r="BF17" i="1"/>
  <c r="BE18" i="1"/>
  <c r="BF18" i="1"/>
  <c r="BE22" i="1"/>
  <c r="BF22" i="1"/>
  <c r="BE24" i="1"/>
  <c r="BF24" i="1"/>
  <c r="BE26" i="1"/>
  <c r="BE27" i="1"/>
  <c r="BE28" i="1"/>
  <c r="BF28" i="1"/>
  <c r="BE29" i="1"/>
  <c r="BF29" i="1"/>
  <c r="BF31" i="1"/>
  <c r="BE32" i="1"/>
  <c r="BF32" i="1"/>
  <c r="BF33" i="1"/>
  <c r="BE34" i="1"/>
  <c r="BF34" i="1"/>
  <c r="BE35" i="1"/>
  <c r="BF35" i="1"/>
  <c r="BE36" i="1"/>
  <c r="BE37" i="1"/>
  <c r="BE38" i="1"/>
  <c r="BE41" i="1"/>
  <c r="BE43" i="1"/>
  <c r="BE44" i="1"/>
  <c r="BF44" i="1"/>
  <c r="BE45" i="1"/>
  <c r="BE46" i="1"/>
  <c r="BE48" i="1"/>
  <c r="BE49" i="1"/>
  <c r="E19" i="31"/>
  <c r="K19" i="31"/>
  <c r="L19" i="31"/>
  <c r="M19" i="31"/>
  <c r="R19" i="31"/>
  <c r="S19" i="31"/>
  <c r="K45" i="35"/>
  <c r="E45" i="35"/>
  <c r="C45" i="35" s="1"/>
  <c r="D45" i="35"/>
  <c r="G44" i="35"/>
  <c r="E44" i="35"/>
  <c r="D44" i="35"/>
  <c r="C44" i="35"/>
  <c r="E43" i="35"/>
  <c r="D43" i="35"/>
  <c r="E42" i="35"/>
  <c r="G45" i="34"/>
  <c r="E42" i="34"/>
  <c r="E43" i="34"/>
  <c r="C43" i="34" s="1"/>
  <c r="E44" i="34"/>
  <c r="E45" i="34"/>
  <c r="D45" i="34"/>
  <c r="D44" i="34"/>
  <c r="I64" i="35"/>
  <c r="J63" i="35"/>
  <c r="I63" i="35" s="1"/>
  <c r="F63" i="35"/>
  <c r="C63" i="35"/>
  <c r="C62" i="35"/>
  <c r="J61" i="35"/>
  <c r="I61" i="35" s="1"/>
  <c r="C61" i="35"/>
  <c r="K60" i="35"/>
  <c r="E60" i="35"/>
  <c r="C60" i="35" s="1"/>
  <c r="D60" i="35"/>
  <c r="K57" i="35"/>
  <c r="E57" i="35"/>
  <c r="E53" i="35" s="1"/>
  <c r="K54" i="35"/>
  <c r="E54" i="35"/>
  <c r="K52" i="35"/>
  <c r="E52" i="35"/>
  <c r="D52" i="35"/>
  <c r="E51" i="35"/>
  <c r="D51" i="35"/>
  <c r="C51" i="35"/>
  <c r="K50" i="35"/>
  <c r="E50" i="35"/>
  <c r="D50" i="35"/>
  <c r="F49" i="35"/>
  <c r="C49" i="35"/>
  <c r="J48" i="35"/>
  <c r="G48" i="35"/>
  <c r="D48" i="35"/>
  <c r="E39" i="35"/>
  <c r="D39" i="35"/>
  <c r="C39" i="35" s="1"/>
  <c r="K38" i="35"/>
  <c r="J38" i="35"/>
  <c r="E38" i="35"/>
  <c r="K37" i="35"/>
  <c r="E37" i="35"/>
  <c r="J35" i="35"/>
  <c r="E35" i="35"/>
  <c r="D35" i="35"/>
  <c r="K31" i="35"/>
  <c r="J31" i="35"/>
  <c r="E31" i="35"/>
  <c r="D31" i="35"/>
  <c r="K30" i="35"/>
  <c r="H30" i="35"/>
  <c r="F30" i="35" s="1"/>
  <c r="G30" i="35"/>
  <c r="E30" i="35"/>
  <c r="D30" i="35"/>
  <c r="H29" i="35"/>
  <c r="D29" i="35"/>
  <c r="C29" i="35" s="1"/>
  <c r="H28" i="35"/>
  <c r="E27" i="35"/>
  <c r="H25" i="35"/>
  <c r="H24" i="35" s="1"/>
  <c r="E24" i="35"/>
  <c r="K21" i="35"/>
  <c r="H21" i="35"/>
  <c r="E21" i="35"/>
  <c r="E20" i="35" s="1"/>
  <c r="E18" i="35" s="1"/>
  <c r="H19" i="35"/>
  <c r="K16" i="35"/>
  <c r="E16" i="35"/>
  <c r="K15" i="35"/>
  <c r="E15" i="35"/>
  <c r="J63" i="34"/>
  <c r="I63" i="34" s="1"/>
  <c r="F63" i="34"/>
  <c r="C63" i="34"/>
  <c r="C62" i="34"/>
  <c r="J61" i="34"/>
  <c r="I61" i="34" s="1"/>
  <c r="C61" i="34"/>
  <c r="K60" i="34"/>
  <c r="E60" i="34"/>
  <c r="D60" i="34"/>
  <c r="K57" i="34"/>
  <c r="K53" i="34" s="1"/>
  <c r="E57" i="34"/>
  <c r="K54" i="34"/>
  <c r="E54" i="34"/>
  <c r="E53" i="34" s="1"/>
  <c r="K52" i="34"/>
  <c r="E52" i="34"/>
  <c r="D52" i="34"/>
  <c r="E51" i="34"/>
  <c r="D51" i="34"/>
  <c r="C51" i="34" s="1"/>
  <c r="K50" i="34"/>
  <c r="E50" i="34"/>
  <c r="D50" i="34"/>
  <c r="C50" i="34" s="1"/>
  <c r="F49" i="34"/>
  <c r="C49" i="34"/>
  <c r="J48" i="34"/>
  <c r="D48" i="34"/>
  <c r="D43" i="34"/>
  <c r="E39" i="34"/>
  <c r="D39" i="34"/>
  <c r="C39" i="34" s="1"/>
  <c r="K38" i="34"/>
  <c r="J38" i="34"/>
  <c r="E38" i="34"/>
  <c r="K37" i="34"/>
  <c r="E37" i="34"/>
  <c r="E35" i="34"/>
  <c r="D35" i="34"/>
  <c r="C35" i="34" s="1"/>
  <c r="K31" i="34"/>
  <c r="J31" i="34"/>
  <c r="E31" i="34"/>
  <c r="D31" i="34"/>
  <c r="C31" i="34" s="1"/>
  <c r="K30" i="34"/>
  <c r="H30" i="34"/>
  <c r="G30" i="34"/>
  <c r="E30" i="34"/>
  <c r="D30" i="34"/>
  <c r="E29" i="34"/>
  <c r="H29" i="34" s="1"/>
  <c r="D29" i="34"/>
  <c r="E28" i="34"/>
  <c r="E25" i="34"/>
  <c r="H25" i="34" s="1"/>
  <c r="K21" i="34"/>
  <c r="H21" i="34"/>
  <c r="E21" i="34"/>
  <c r="E19" i="34"/>
  <c r="H19" i="34" s="1"/>
  <c r="K19" i="34" s="1"/>
  <c r="K16" i="34"/>
  <c r="E16" i="34"/>
  <c r="K15" i="34"/>
  <c r="E15" i="34"/>
  <c r="F12" i="33"/>
  <c r="G12" i="33"/>
  <c r="G14" i="33"/>
  <c r="Q14" i="33"/>
  <c r="G15" i="33"/>
  <c r="P15" i="33"/>
  <c r="Q15" i="33"/>
  <c r="D16" i="33"/>
  <c r="F16" i="33"/>
  <c r="G16" i="33"/>
  <c r="G19" i="33"/>
  <c r="F20" i="33"/>
  <c r="G20" i="33"/>
  <c r="F21" i="33"/>
  <c r="G21" i="33"/>
  <c r="K21" i="33"/>
  <c r="F22" i="33"/>
  <c r="G22" i="33"/>
  <c r="K22" i="33"/>
  <c r="P22" i="33"/>
  <c r="Q22" i="33"/>
  <c r="F23" i="33"/>
  <c r="G23" i="33"/>
  <c r="Q23" i="33"/>
  <c r="F24" i="33"/>
  <c r="G24" i="33"/>
  <c r="Q24" i="33"/>
  <c r="F25" i="33"/>
  <c r="G25" i="33"/>
  <c r="F26" i="33"/>
  <c r="K26" i="33"/>
  <c r="P26" i="33"/>
  <c r="O28" i="33"/>
  <c r="G29" i="33"/>
  <c r="I29" i="33"/>
  <c r="N29" i="33"/>
  <c r="O29" i="33"/>
  <c r="Q29" i="33"/>
  <c r="G30" i="33"/>
  <c r="I30" i="33"/>
  <c r="N30" i="33"/>
  <c r="O30" i="33"/>
  <c r="Q30" i="33"/>
  <c r="O31" i="33"/>
  <c r="G32" i="33"/>
  <c r="I32" i="33"/>
  <c r="N32" i="33"/>
  <c r="O32" i="33"/>
  <c r="Q32" i="33"/>
  <c r="G33" i="33"/>
  <c r="I33" i="33"/>
  <c r="N33" i="33"/>
  <c r="O33" i="33"/>
  <c r="Q33" i="33"/>
  <c r="E34" i="33"/>
  <c r="O34" i="33"/>
  <c r="E35" i="33"/>
  <c r="F35" i="33"/>
  <c r="G35" i="33"/>
  <c r="I35" i="33"/>
  <c r="N35" i="33"/>
  <c r="O35" i="33"/>
  <c r="P35" i="33"/>
  <c r="Q35" i="33"/>
  <c r="E36" i="33"/>
  <c r="F36" i="33"/>
  <c r="G36" i="33"/>
  <c r="I36" i="33"/>
  <c r="N36" i="33"/>
  <c r="O36" i="33"/>
  <c r="Q36" i="33"/>
  <c r="E37" i="33"/>
  <c r="F37" i="33"/>
  <c r="G37" i="33"/>
  <c r="H37" i="33"/>
  <c r="I37" i="33"/>
  <c r="K37" i="33"/>
  <c r="L37" i="33"/>
  <c r="N37" i="33"/>
  <c r="O37" i="33"/>
  <c r="P37" i="33"/>
  <c r="Q37" i="33"/>
  <c r="E38" i="33"/>
  <c r="F38" i="33"/>
  <c r="G38" i="33"/>
  <c r="H38" i="33"/>
  <c r="I38" i="33"/>
  <c r="K38" i="33"/>
  <c r="L38" i="33"/>
  <c r="M38" i="33"/>
  <c r="N38" i="33"/>
  <c r="O38" i="33"/>
  <c r="P38" i="33"/>
  <c r="Q38" i="33"/>
  <c r="E39" i="33"/>
  <c r="F39" i="33"/>
  <c r="G39" i="33"/>
  <c r="H39" i="33"/>
  <c r="I39" i="33"/>
  <c r="K39" i="33"/>
  <c r="L39" i="33"/>
  <c r="M39" i="33"/>
  <c r="N39" i="33"/>
  <c r="O39" i="33"/>
  <c r="P39" i="33"/>
  <c r="Q39" i="33"/>
  <c r="C37" i="33"/>
  <c r="C38" i="33"/>
  <c r="C39" i="33"/>
  <c r="C26" i="33"/>
  <c r="B26" i="33"/>
  <c r="C25" i="33"/>
  <c r="C24" i="33"/>
  <c r="C22" i="33"/>
  <c r="C21" i="33"/>
  <c r="C20" i="33"/>
  <c r="C19" i="33"/>
  <c r="C17" i="33"/>
  <c r="C14" i="33"/>
  <c r="C15" i="33"/>
  <c r="C16" i="33"/>
  <c r="C12" i="33"/>
  <c r="A3" i="33"/>
  <c r="A3" i="34" s="1"/>
  <c r="A3" i="35" s="1"/>
  <c r="A2" i="33"/>
  <c r="A1" i="33"/>
  <c r="D47" i="4"/>
  <c r="J47" i="4"/>
  <c r="J39" i="33" s="1"/>
  <c r="D46" i="4"/>
  <c r="J46" i="4" s="1"/>
  <c r="J38" i="33" s="1"/>
  <c r="D45" i="4"/>
  <c r="D37" i="33" s="1"/>
  <c r="D44" i="4"/>
  <c r="D43" i="4"/>
  <c r="D35" i="33" s="1"/>
  <c r="D33" i="4"/>
  <c r="D25" i="33" s="1"/>
  <c r="D32" i="4"/>
  <c r="D24" i="33" s="1"/>
  <c r="D31" i="4"/>
  <c r="D23" i="33" s="1"/>
  <c r="D30" i="4"/>
  <c r="D29" i="4"/>
  <c r="D28" i="4"/>
  <c r="D27" i="4"/>
  <c r="D26" i="4"/>
  <c r="D22" i="33" s="1"/>
  <c r="D25" i="4"/>
  <c r="D24" i="4"/>
  <c r="D23" i="4"/>
  <c r="D22" i="4"/>
  <c r="D21" i="33" s="1"/>
  <c r="D21" i="4"/>
  <c r="D19" i="4"/>
  <c r="D20" i="33" s="1"/>
  <c r="D12" i="4"/>
  <c r="D12" i="33" s="1"/>
  <c r="A3" i="4"/>
  <c r="A3" i="30" s="1"/>
  <c r="T5" i="31"/>
  <c r="A2" i="31"/>
  <c r="A1" i="31"/>
  <c r="E20" i="31"/>
  <c r="F20" i="31"/>
  <c r="I20" i="31"/>
  <c r="K20" i="31"/>
  <c r="L20" i="31"/>
  <c r="M20" i="31"/>
  <c r="P20" i="31"/>
  <c r="R20" i="31"/>
  <c r="S20" i="31"/>
  <c r="V20" i="31"/>
  <c r="E21" i="31"/>
  <c r="F21" i="31"/>
  <c r="I21" i="31"/>
  <c r="K21" i="31"/>
  <c r="L21" i="31"/>
  <c r="M21" i="31"/>
  <c r="P21" i="31"/>
  <c r="Q21" i="31"/>
  <c r="R21" i="31"/>
  <c r="S21" i="31"/>
  <c r="V21" i="31"/>
  <c r="E22" i="31"/>
  <c r="K22" i="31"/>
  <c r="L22" i="31"/>
  <c r="M22" i="31"/>
  <c r="R22" i="31"/>
  <c r="S22" i="31"/>
  <c r="E23" i="31"/>
  <c r="F23" i="31"/>
  <c r="I23" i="31"/>
  <c r="K23" i="31"/>
  <c r="L23" i="31"/>
  <c r="M23" i="31"/>
  <c r="R23" i="31"/>
  <c r="S23" i="31"/>
  <c r="E24" i="31"/>
  <c r="F24" i="31"/>
  <c r="I24" i="31"/>
  <c r="K24" i="31"/>
  <c r="L24" i="31"/>
  <c r="M24" i="31"/>
  <c r="P24" i="31"/>
  <c r="R24" i="31"/>
  <c r="S24" i="31"/>
  <c r="V24" i="31"/>
  <c r="E25" i="31"/>
  <c r="F25" i="31"/>
  <c r="I25" i="31"/>
  <c r="K25" i="31"/>
  <c r="L25" i="31"/>
  <c r="M25" i="31"/>
  <c r="P25" i="31"/>
  <c r="R25" i="31"/>
  <c r="S25" i="31"/>
  <c r="V25" i="31"/>
  <c r="E26" i="31"/>
  <c r="F26" i="31"/>
  <c r="K26" i="31"/>
  <c r="L26" i="31"/>
  <c r="M26" i="31"/>
  <c r="R26" i="31"/>
  <c r="S26" i="31"/>
  <c r="E27" i="31"/>
  <c r="F27" i="31"/>
  <c r="I27" i="31"/>
  <c r="K27" i="31"/>
  <c r="L27" i="31"/>
  <c r="M27" i="31"/>
  <c r="P27" i="31"/>
  <c r="R27" i="31"/>
  <c r="S27" i="31"/>
  <c r="V27" i="31"/>
  <c r="E28" i="31"/>
  <c r="F28" i="31"/>
  <c r="I28" i="31"/>
  <c r="K28" i="31"/>
  <c r="L28" i="31"/>
  <c r="M28" i="31"/>
  <c r="P28" i="31"/>
  <c r="R28" i="31"/>
  <c r="S28" i="31"/>
  <c r="V28" i="31"/>
  <c r="E29" i="31"/>
  <c r="K29" i="31"/>
  <c r="L29" i="31"/>
  <c r="M29" i="31"/>
  <c r="R29" i="31"/>
  <c r="S29" i="31"/>
  <c r="E30" i="31"/>
  <c r="F30" i="31"/>
  <c r="I30" i="31"/>
  <c r="K30" i="31"/>
  <c r="L30" i="31"/>
  <c r="M30" i="31"/>
  <c r="P30" i="31"/>
  <c r="Q30" i="31"/>
  <c r="R30" i="31"/>
  <c r="S30" i="31"/>
  <c r="V30" i="31"/>
  <c r="D31" i="31"/>
  <c r="E31" i="31"/>
  <c r="F31" i="31"/>
  <c r="G31" i="31"/>
  <c r="H31" i="31"/>
  <c r="I31" i="31"/>
  <c r="K31" i="31"/>
  <c r="L31" i="31"/>
  <c r="M31" i="31"/>
  <c r="P31" i="31"/>
  <c r="Q31" i="31"/>
  <c r="R31" i="31"/>
  <c r="S31" i="31"/>
  <c r="V31" i="31"/>
  <c r="E32" i="31"/>
  <c r="F32" i="31"/>
  <c r="H32" i="31"/>
  <c r="I32" i="31"/>
  <c r="K32" i="31"/>
  <c r="L32" i="31"/>
  <c r="M32" i="31"/>
  <c r="O32" i="31"/>
  <c r="P32" i="31"/>
  <c r="R32" i="31"/>
  <c r="S32" i="31"/>
  <c r="D33" i="31"/>
  <c r="E33" i="31"/>
  <c r="F33" i="31"/>
  <c r="H33" i="31"/>
  <c r="I33" i="31"/>
  <c r="K33" i="31"/>
  <c r="L33" i="31"/>
  <c r="M33" i="31"/>
  <c r="R33" i="31"/>
  <c r="S33" i="31"/>
  <c r="U33" i="31"/>
  <c r="V33" i="31"/>
  <c r="E34" i="31"/>
  <c r="K34" i="31"/>
  <c r="L34" i="31"/>
  <c r="R34" i="31"/>
  <c r="C33" i="31"/>
  <c r="C32" i="31"/>
  <c r="C31" i="31"/>
  <c r="C30" i="31"/>
  <c r="E18" i="31"/>
  <c r="E17" i="31"/>
  <c r="F17" i="31"/>
  <c r="I17" i="31"/>
  <c r="J17" i="31"/>
  <c r="Q17" i="31"/>
  <c r="S17" i="31"/>
  <c r="V17" i="31"/>
  <c r="E16" i="31"/>
  <c r="F16" i="31"/>
  <c r="M16" i="31"/>
  <c r="Q16" i="31"/>
  <c r="S16" i="31"/>
  <c r="E15" i="31"/>
  <c r="I15" i="31"/>
  <c r="J15" i="31"/>
  <c r="P15" i="31"/>
  <c r="Q15" i="31"/>
  <c r="V15" i="31"/>
  <c r="E14" i="31"/>
  <c r="E12" i="31"/>
  <c r="E11" i="31"/>
  <c r="E10" i="31"/>
  <c r="AA31" i="4"/>
  <c r="Q50" i="39" s="1"/>
  <c r="AA32" i="4"/>
  <c r="AA32" i="37" s="1"/>
  <c r="AU32" i="37" s="1"/>
  <c r="J43" i="35"/>
  <c r="D38" i="33"/>
  <c r="I38" i="35"/>
  <c r="C52" i="34"/>
  <c r="J45" i="4"/>
  <c r="J37" i="33" s="1"/>
  <c r="C43" i="35"/>
  <c r="C60" i="34"/>
  <c r="C52" i="35"/>
  <c r="D39" i="33"/>
  <c r="C45" i="34"/>
  <c r="P20" i="33"/>
  <c r="J43" i="34"/>
  <c r="H27" i="35"/>
  <c r="I31" i="35"/>
  <c r="C30" i="35"/>
  <c r="C35" i="35"/>
  <c r="K28" i="35"/>
  <c r="K29" i="35"/>
  <c r="K19" i="35"/>
  <c r="F30" i="34"/>
  <c r="Q47" i="1"/>
  <c r="Q20" i="1"/>
  <c r="Q14" i="1"/>
  <c r="J47" i="1"/>
  <c r="J42" i="1"/>
  <c r="J20" i="1"/>
  <c r="H20" i="35"/>
  <c r="H18" i="35" s="1"/>
  <c r="G64" i="35" s="1"/>
  <c r="F64" i="35" s="1"/>
  <c r="J16" i="31"/>
  <c r="P96" i="30"/>
  <c r="Q19" i="4"/>
  <c r="Q19" i="37" s="1"/>
  <c r="M19" i="37" s="1"/>
  <c r="O19" i="37" s="1"/>
  <c r="P32" i="4"/>
  <c r="P31" i="4"/>
  <c r="J50" i="38" s="1"/>
  <c r="P30" i="4"/>
  <c r="U30" i="4" s="1"/>
  <c r="U30" i="37" s="1"/>
  <c r="P29" i="4"/>
  <c r="P25" i="4"/>
  <c r="P25" i="37" s="1"/>
  <c r="P24" i="4"/>
  <c r="P24" i="37"/>
  <c r="M24" i="37" s="1"/>
  <c r="O24" i="37" s="1"/>
  <c r="U66" i="1"/>
  <c r="J28" i="7" s="1"/>
  <c r="J50" i="39"/>
  <c r="J28" i="39"/>
  <c r="J44" i="34"/>
  <c r="I44" i="34" s="1"/>
  <c r="J44" i="35"/>
  <c r="I44" i="35" s="1"/>
  <c r="P21" i="33"/>
  <c r="U30" i="31"/>
  <c r="J28" i="35"/>
  <c r="I28" i="35" s="1"/>
  <c r="G38" i="30"/>
  <c r="G34" i="30"/>
  <c r="H34" i="30" s="1"/>
  <c r="H30" i="30" s="1"/>
  <c r="E34" i="30"/>
  <c r="F34" i="30" s="1"/>
  <c r="F30" i="30" s="1"/>
  <c r="C33" i="30"/>
  <c r="D33" i="30" s="1"/>
  <c r="D32" i="30"/>
  <c r="D31" i="30"/>
  <c r="D28" i="30"/>
  <c r="D27" i="30"/>
  <c r="D26" i="30"/>
  <c r="G25" i="30"/>
  <c r="C25" i="30"/>
  <c r="C35" i="30" s="1"/>
  <c r="I24" i="30"/>
  <c r="F10" i="30" s="1"/>
  <c r="D22" i="30"/>
  <c r="F19" i="30"/>
  <c r="D19" i="30"/>
  <c r="D18" i="30"/>
  <c r="J17" i="30"/>
  <c r="L18" i="30" s="1"/>
  <c r="C17" i="30"/>
  <c r="D17" i="30" s="1"/>
  <c r="H16" i="30"/>
  <c r="F21" i="30" s="1"/>
  <c r="K15" i="30"/>
  <c r="H14" i="30"/>
  <c r="G14" i="30"/>
  <c r="F14" i="30" s="1"/>
  <c r="D14" i="30"/>
  <c r="V14" i="30" s="1"/>
  <c r="D13" i="30"/>
  <c r="P10" i="30"/>
  <c r="Q10" i="30" s="1"/>
  <c r="I10" i="30"/>
  <c r="G10" i="30"/>
  <c r="N88" i="46"/>
  <c r="D34" i="30"/>
  <c r="D24" i="30"/>
  <c r="N68" i="1"/>
  <c r="N32" i="31" s="1"/>
  <c r="J31" i="31"/>
  <c r="L33" i="4"/>
  <c r="Q12" i="4"/>
  <c r="Z61" i="4"/>
  <c r="AH42" i="1"/>
  <c r="U61" i="4"/>
  <c r="AB42" i="1"/>
  <c r="N14" i="39" s="1"/>
  <c r="F18" i="4"/>
  <c r="F19" i="33" s="1"/>
  <c r="D42" i="38"/>
  <c r="D42" i="35"/>
  <c r="C42" i="35" s="1"/>
  <c r="D42" i="34"/>
  <c r="C42" i="34" s="1"/>
  <c r="D18" i="4"/>
  <c r="D19" i="33" s="1"/>
  <c r="H51" i="35"/>
  <c r="J68" i="1"/>
  <c r="D89" i="22"/>
  <c r="D88" i="22"/>
  <c r="AG90" i="22"/>
  <c r="AG88" i="22"/>
  <c r="Q30" i="1"/>
  <c r="Q14" i="31" s="1"/>
  <c r="Q51" i="1"/>
  <c r="Q18" i="31" s="1"/>
  <c r="Q60" i="1"/>
  <c r="Q64" i="1"/>
  <c r="Q28" i="31" s="1"/>
  <c r="Q61" i="1"/>
  <c r="G29" i="39"/>
  <c r="F29" i="39" s="1"/>
  <c r="O31" i="31"/>
  <c r="W63" i="22"/>
  <c r="W67" i="22"/>
  <c r="L67" i="22"/>
  <c r="X69" i="22"/>
  <c r="X70" i="22" s="1"/>
  <c r="M69" i="22"/>
  <c r="M70" i="22" s="1"/>
  <c r="Y75" i="22"/>
  <c r="Y74" i="22"/>
  <c r="Y73" i="22"/>
  <c r="W75" i="22"/>
  <c r="W74" i="22"/>
  <c r="W73" i="22"/>
  <c r="N75" i="22"/>
  <c r="N74" i="22"/>
  <c r="L75" i="22"/>
  <c r="L74" i="22"/>
  <c r="N73" i="22"/>
  <c r="L73" i="22"/>
  <c r="Q21" i="22"/>
  <c r="P19" i="22"/>
  <c r="R75" i="22"/>
  <c r="Q75" i="22" s="1"/>
  <c r="S75" i="22" s="1"/>
  <c r="R74" i="22"/>
  <c r="R73" i="22"/>
  <c r="Q73" i="22" s="1"/>
  <c r="R67" i="22"/>
  <c r="Q67" i="22" s="1"/>
  <c r="R66" i="22"/>
  <c r="Q66" i="22" s="1"/>
  <c r="R61" i="22"/>
  <c r="R60" i="22"/>
  <c r="Q60" i="22" s="1"/>
  <c r="Q24" i="22"/>
  <c r="R14" i="22"/>
  <c r="I14" i="29"/>
  <c r="I13" i="29"/>
  <c r="P12" i="29"/>
  <c r="I12" i="29"/>
  <c r="M11" i="29"/>
  <c r="L11" i="29"/>
  <c r="K11" i="29"/>
  <c r="J11" i="29"/>
  <c r="F11" i="29"/>
  <c r="E11" i="29"/>
  <c r="D11" i="29"/>
  <c r="H11" i="29" s="1"/>
  <c r="C11" i="29"/>
  <c r="A1" i="29"/>
  <c r="AC21" i="28"/>
  <c r="U21" i="28"/>
  <c r="F21" i="28"/>
  <c r="O21" i="28" s="1"/>
  <c r="AC20" i="28"/>
  <c r="U20" i="28"/>
  <c r="F20" i="28"/>
  <c r="O20" i="28" s="1"/>
  <c r="AC19" i="28"/>
  <c r="U19" i="28"/>
  <c r="R19" i="28" s="1"/>
  <c r="F19" i="28"/>
  <c r="C19" i="28" s="1"/>
  <c r="N19" i="28" s="1"/>
  <c r="AC18" i="28"/>
  <c r="U18" i="28"/>
  <c r="F18" i="28"/>
  <c r="AC17" i="28"/>
  <c r="U17" i="28"/>
  <c r="AD17" i="28" s="1"/>
  <c r="F17" i="28"/>
  <c r="O17" i="28" s="1"/>
  <c r="AC16" i="28"/>
  <c r="U16" i="28"/>
  <c r="F16" i="28"/>
  <c r="C16" i="28"/>
  <c r="N16" i="28" s="1"/>
  <c r="AC15" i="28"/>
  <c r="U15" i="28"/>
  <c r="F15" i="28"/>
  <c r="O15" i="28" s="1"/>
  <c r="AC14" i="28"/>
  <c r="U14" i="28"/>
  <c r="R14" i="28" s="1"/>
  <c r="F14" i="28"/>
  <c r="O14" i="28" s="1"/>
  <c r="AC13" i="28"/>
  <c r="U13" i="28"/>
  <c r="F13" i="28"/>
  <c r="O13" i="28" s="1"/>
  <c r="C13" i="28"/>
  <c r="N13" i="28" s="1"/>
  <c r="AC12" i="28"/>
  <c r="U12" i="28"/>
  <c r="R12" i="28" s="1"/>
  <c r="F12" i="28"/>
  <c r="O12" i="28"/>
  <c r="AC11" i="28"/>
  <c r="U11" i="28"/>
  <c r="F11" i="28"/>
  <c r="C11" i="28" s="1"/>
  <c r="N11" i="28" s="1"/>
  <c r="AC10" i="28"/>
  <c r="U10" i="28"/>
  <c r="F10" i="28"/>
  <c r="AE9" i="28"/>
  <c r="AA9" i="28"/>
  <c r="Z9" i="28"/>
  <c r="Y9" i="28"/>
  <c r="X9" i="28"/>
  <c r="W9" i="28"/>
  <c r="V9" i="28"/>
  <c r="T9" i="28"/>
  <c r="S9" i="28"/>
  <c r="W69" i="22" s="1"/>
  <c r="L9" i="28"/>
  <c r="K9" i="28"/>
  <c r="J9" i="28"/>
  <c r="I9" i="28"/>
  <c r="H9" i="28"/>
  <c r="G9" i="28"/>
  <c r="L70" i="22" s="1"/>
  <c r="E9" i="28"/>
  <c r="D9" i="28"/>
  <c r="L69" i="22" s="1"/>
  <c r="L68" i="22" s="1"/>
  <c r="A1" i="28"/>
  <c r="F58" i="27"/>
  <c r="E57" i="27"/>
  <c r="D57" i="27"/>
  <c r="H56" i="27"/>
  <c r="F56" i="27"/>
  <c r="D56" i="27"/>
  <c r="F54" i="27"/>
  <c r="D54" i="27"/>
  <c r="D55" i="27" s="1"/>
  <c r="E55" i="27" s="1"/>
  <c r="H29" i="27"/>
  <c r="K28" i="27"/>
  <c r="J28" i="27"/>
  <c r="I28" i="27"/>
  <c r="E28" i="27"/>
  <c r="D28" i="27"/>
  <c r="H28" i="27" s="1"/>
  <c r="C28" i="27"/>
  <c r="L58" i="22" s="1"/>
  <c r="L27" i="27"/>
  <c r="K27" i="27"/>
  <c r="J27" i="27"/>
  <c r="I27" i="27"/>
  <c r="E27" i="27"/>
  <c r="L52" i="22" s="1"/>
  <c r="C27" i="27"/>
  <c r="L26" i="27"/>
  <c r="L24" i="27"/>
  <c r="L23" i="27" s="1"/>
  <c r="J26" i="27"/>
  <c r="I26" i="27"/>
  <c r="I24" i="27" s="1"/>
  <c r="F26" i="27"/>
  <c r="F24" i="27" s="1"/>
  <c r="D26" i="27"/>
  <c r="C26" i="27"/>
  <c r="H25" i="27"/>
  <c r="M24" i="27"/>
  <c r="M23" i="27" s="1"/>
  <c r="K24" i="27"/>
  <c r="G24" i="27"/>
  <c r="G23" i="27" s="1"/>
  <c r="E24" i="27"/>
  <c r="E23" i="27" s="1"/>
  <c r="L22" i="27"/>
  <c r="J22" i="27"/>
  <c r="F22" i="27"/>
  <c r="D22" i="27"/>
  <c r="C22" i="27"/>
  <c r="L63" i="22"/>
  <c r="L21" i="27"/>
  <c r="Y62" i="22" s="1"/>
  <c r="K21" i="27"/>
  <c r="J21" i="27"/>
  <c r="I21" i="27"/>
  <c r="F21" i="27"/>
  <c r="E21" i="27"/>
  <c r="D21" i="27"/>
  <c r="C21" i="27"/>
  <c r="H20" i="27"/>
  <c r="L19" i="27"/>
  <c r="N19" i="27" s="1"/>
  <c r="K19" i="27"/>
  <c r="J19" i="27"/>
  <c r="I19" i="27"/>
  <c r="W59" i="22" s="1"/>
  <c r="F19" i="27"/>
  <c r="E19" i="27"/>
  <c r="D19" i="27"/>
  <c r="C19" i="27"/>
  <c r="L59" i="22" s="1"/>
  <c r="L18" i="27"/>
  <c r="K18" i="27"/>
  <c r="J18" i="27"/>
  <c r="I18" i="27"/>
  <c r="W50" i="22" s="1"/>
  <c r="F18" i="27"/>
  <c r="E18" i="27"/>
  <c r="D18" i="27"/>
  <c r="C18" i="27"/>
  <c r="L50" i="22" s="1"/>
  <c r="L17" i="27"/>
  <c r="K17" i="27"/>
  <c r="J17" i="27"/>
  <c r="I17" i="27"/>
  <c r="I12" i="27" s="1"/>
  <c r="F17" i="27"/>
  <c r="E17" i="27"/>
  <c r="D17" i="27"/>
  <c r="C17" i="27"/>
  <c r="H16" i="27"/>
  <c r="L15" i="27"/>
  <c r="K15" i="27"/>
  <c r="K14" i="27" s="1"/>
  <c r="J15" i="27"/>
  <c r="I15" i="27"/>
  <c r="I14" i="27" s="1"/>
  <c r="F15" i="27"/>
  <c r="F14" i="27" s="1"/>
  <c r="E15" i="27"/>
  <c r="E14" i="27" s="1"/>
  <c r="D15" i="27"/>
  <c r="C15" i="27"/>
  <c r="C14" i="27" s="1"/>
  <c r="M14" i="27"/>
  <c r="M12" i="27" s="1"/>
  <c r="G14" i="27"/>
  <c r="G12" i="27" s="1"/>
  <c r="L13" i="27"/>
  <c r="K13" i="27"/>
  <c r="J13" i="27"/>
  <c r="I13" i="27"/>
  <c r="W49" i="22" s="1"/>
  <c r="F13" i="27"/>
  <c r="N49" i="22" s="1"/>
  <c r="E13" i="27"/>
  <c r="D13" i="27"/>
  <c r="C13" i="27"/>
  <c r="A1" i="27"/>
  <c r="Q82" i="26"/>
  <c r="R82" i="26" s="1"/>
  <c r="Y67" i="22" s="1"/>
  <c r="I82" i="26"/>
  <c r="J82" i="26" s="1"/>
  <c r="F82" i="26"/>
  <c r="G82" i="26" s="1"/>
  <c r="R81" i="26"/>
  <c r="K81" i="26"/>
  <c r="R80" i="26"/>
  <c r="K80" i="26"/>
  <c r="R79" i="26"/>
  <c r="K79" i="26"/>
  <c r="H79" i="26"/>
  <c r="R78" i="26"/>
  <c r="H78" i="26"/>
  <c r="I78" i="26" s="1"/>
  <c r="J78" i="26" s="1"/>
  <c r="F78" i="26"/>
  <c r="G78" i="26" s="1"/>
  <c r="K78" i="26" s="1"/>
  <c r="R77" i="26"/>
  <c r="H77" i="26"/>
  <c r="I77" i="26"/>
  <c r="J77" i="26" s="1"/>
  <c r="F77" i="26"/>
  <c r="G77" i="26" s="1"/>
  <c r="N76" i="26"/>
  <c r="K76" i="26"/>
  <c r="H75" i="26"/>
  <c r="I75" i="26"/>
  <c r="J75" i="26" s="1"/>
  <c r="K75" i="26" s="1"/>
  <c r="F75" i="26"/>
  <c r="G75" i="26" s="1"/>
  <c r="R74" i="26"/>
  <c r="H74" i="26"/>
  <c r="I74" i="26" s="1"/>
  <c r="J74" i="26" s="1"/>
  <c r="F74" i="26"/>
  <c r="G74" i="26" s="1"/>
  <c r="R73" i="26"/>
  <c r="I73" i="26"/>
  <c r="J73" i="26" s="1"/>
  <c r="F73" i="26"/>
  <c r="G73" i="26" s="1"/>
  <c r="N72" i="26"/>
  <c r="C72" i="26"/>
  <c r="H71" i="26"/>
  <c r="I71" i="26" s="1"/>
  <c r="J71" i="26"/>
  <c r="F71" i="26"/>
  <c r="G71" i="26" s="1"/>
  <c r="H70" i="26"/>
  <c r="I70" i="26"/>
  <c r="J70" i="26" s="1"/>
  <c r="J69" i="26" s="1"/>
  <c r="F70" i="26"/>
  <c r="G70" i="26" s="1"/>
  <c r="N69" i="26"/>
  <c r="C69" i="26"/>
  <c r="C68" i="26" s="1"/>
  <c r="C67" i="26" s="1"/>
  <c r="Q68" i="26"/>
  <c r="P68" i="26"/>
  <c r="O68" i="26"/>
  <c r="I68" i="26"/>
  <c r="H68" i="26"/>
  <c r="F68" i="26"/>
  <c r="E68" i="26"/>
  <c r="D68" i="26"/>
  <c r="R66" i="26"/>
  <c r="I66" i="26"/>
  <c r="J66" i="26" s="1"/>
  <c r="R65" i="26"/>
  <c r="I65" i="26"/>
  <c r="J65" i="26" s="1"/>
  <c r="R64" i="26"/>
  <c r="H64" i="26"/>
  <c r="I64" i="26" s="1"/>
  <c r="J64" i="26" s="1"/>
  <c r="R63" i="26"/>
  <c r="H63" i="26"/>
  <c r="I63" i="26" s="1"/>
  <c r="J63" i="26" s="1"/>
  <c r="R62" i="26"/>
  <c r="K62" i="26"/>
  <c r="R61" i="26"/>
  <c r="H61" i="26"/>
  <c r="I61" i="26" s="1"/>
  <c r="J61" i="26" s="1"/>
  <c r="F61" i="26"/>
  <c r="G61" i="26" s="1"/>
  <c r="I60" i="26"/>
  <c r="J60" i="26" s="1"/>
  <c r="F60" i="26"/>
  <c r="G60" i="26" s="1"/>
  <c r="N59" i="26"/>
  <c r="N55" i="26" s="1"/>
  <c r="L59" i="26"/>
  <c r="C59" i="26"/>
  <c r="C55" i="26" s="1"/>
  <c r="C47" i="26" s="1"/>
  <c r="R58" i="26"/>
  <c r="H58" i="26"/>
  <c r="I58" i="26"/>
  <c r="J58" i="26" s="1"/>
  <c r="R57" i="26"/>
  <c r="H57" i="26"/>
  <c r="I57" i="26" s="1"/>
  <c r="J57" i="26" s="1"/>
  <c r="R56" i="26"/>
  <c r="K56" i="26"/>
  <c r="Q55" i="26"/>
  <c r="P55" i="26"/>
  <c r="O55" i="26"/>
  <c r="I55" i="26"/>
  <c r="H55" i="26"/>
  <c r="F55" i="26"/>
  <c r="E55" i="26"/>
  <c r="D55" i="26"/>
  <c r="R54" i="26"/>
  <c r="H54" i="26"/>
  <c r="I54" i="26" s="1"/>
  <c r="J54" i="26" s="1"/>
  <c r="R53" i="26"/>
  <c r="K53" i="26"/>
  <c r="R52" i="26"/>
  <c r="H52" i="26"/>
  <c r="I52" i="26" s="1"/>
  <c r="J52" i="26" s="1"/>
  <c r="R51" i="26"/>
  <c r="H51" i="26"/>
  <c r="I51" i="26" s="1"/>
  <c r="J51" i="26" s="1"/>
  <c r="N50" i="26"/>
  <c r="N48" i="26" s="1"/>
  <c r="K50" i="26"/>
  <c r="R49" i="26"/>
  <c r="I49" i="26"/>
  <c r="J49" i="26" s="1"/>
  <c r="F49" i="26"/>
  <c r="G49" i="26" s="1"/>
  <c r="K48" i="26"/>
  <c r="K46" i="26"/>
  <c r="H46" i="26"/>
  <c r="I46" i="26" s="1"/>
  <c r="H45" i="26"/>
  <c r="I45" i="26" s="1"/>
  <c r="J45" i="26"/>
  <c r="H44" i="26"/>
  <c r="I44" i="26" s="1"/>
  <c r="J44" i="26" s="1"/>
  <c r="H43" i="26"/>
  <c r="I43" i="26" s="1"/>
  <c r="J43" i="26" s="1"/>
  <c r="N42" i="26"/>
  <c r="C42" i="26"/>
  <c r="H41" i="26"/>
  <c r="I41" i="26" s="1"/>
  <c r="J41" i="26" s="1"/>
  <c r="H40" i="26"/>
  <c r="I40" i="26" s="1"/>
  <c r="J40" i="26" s="1"/>
  <c r="H39" i="26"/>
  <c r="I39" i="26"/>
  <c r="J39" i="26" s="1"/>
  <c r="N38" i="26"/>
  <c r="C38" i="26"/>
  <c r="Q37" i="26"/>
  <c r="P37" i="26"/>
  <c r="O37" i="26"/>
  <c r="I37" i="26"/>
  <c r="H37" i="26"/>
  <c r="F37" i="26"/>
  <c r="E37" i="26"/>
  <c r="D37" i="26"/>
  <c r="I36" i="26"/>
  <c r="J36" i="26" s="1"/>
  <c r="F36" i="26"/>
  <c r="G36" i="26" s="1"/>
  <c r="I35" i="26"/>
  <c r="J35" i="26" s="1"/>
  <c r="F35" i="26"/>
  <c r="G35" i="26" s="1"/>
  <c r="I34" i="26"/>
  <c r="J34" i="26"/>
  <c r="H33" i="26"/>
  <c r="I33" i="26" s="1"/>
  <c r="J33" i="26" s="1"/>
  <c r="H32" i="26"/>
  <c r="I32" i="26" s="1"/>
  <c r="J32" i="26" s="1"/>
  <c r="N31" i="26"/>
  <c r="N30" i="26" s="1"/>
  <c r="C31" i="26"/>
  <c r="C30" i="26" s="1"/>
  <c r="O29" i="26"/>
  <c r="H29" i="26"/>
  <c r="D29" i="26"/>
  <c r="O28" i="26"/>
  <c r="D28" i="26"/>
  <c r="I28" i="26" s="1"/>
  <c r="J28" i="26" s="1"/>
  <c r="I27" i="26"/>
  <c r="J27" i="26" s="1"/>
  <c r="I26" i="26"/>
  <c r="J26" i="26" s="1"/>
  <c r="H25" i="26"/>
  <c r="I25" i="26" s="1"/>
  <c r="J25" i="26" s="1"/>
  <c r="H24" i="26"/>
  <c r="I24" i="26" s="1"/>
  <c r="J24" i="26" s="1"/>
  <c r="N23" i="26"/>
  <c r="C23" i="26"/>
  <c r="H22" i="26"/>
  <c r="I22" i="26" s="1"/>
  <c r="J22" i="26" s="1"/>
  <c r="H21" i="26"/>
  <c r="I21" i="26" s="1"/>
  <c r="J21" i="26" s="1"/>
  <c r="H20" i="26"/>
  <c r="I20" i="26"/>
  <c r="J20" i="26" s="1"/>
  <c r="N19" i="26"/>
  <c r="C19" i="26"/>
  <c r="R18" i="26"/>
  <c r="I18" i="26"/>
  <c r="J18" i="26" s="1"/>
  <c r="J17" i="26" s="1"/>
  <c r="P17" i="26"/>
  <c r="Q17" i="26" s="1"/>
  <c r="R17" i="26" s="1"/>
  <c r="C17" i="26"/>
  <c r="P16" i="26"/>
  <c r="H16" i="26"/>
  <c r="I16" i="26" s="1"/>
  <c r="J16" i="26" s="1"/>
  <c r="E16" i="26"/>
  <c r="F16" i="26" s="1"/>
  <c r="G16" i="26" s="1"/>
  <c r="E18" i="26"/>
  <c r="Q15" i="26"/>
  <c r="R15" i="26" s="1"/>
  <c r="I15" i="26"/>
  <c r="J15" i="26" s="1"/>
  <c r="F15" i="26"/>
  <c r="G15" i="26"/>
  <c r="N14" i="26"/>
  <c r="C14" i="26"/>
  <c r="T13" i="26"/>
  <c r="S13" i="26"/>
  <c r="Q12" i="26"/>
  <c r="P12" i="26"/>
  <c r="O12" i="26"/>
  <c r="I12" i="26"/>
  <c r="H12" i="26"/>
  <c r="F12" i="26"/>
  <c r="E12" i="26"/>
  <c r="D12" i="26"/>
  <c r="A1" i="26"/>
  <c r="U26" i="25"/>
  <c r="S26" i="25" s="1"/>
  <c r="T26" i="25"/>
  <c r="Q26" i="25"/>
  <c r="O26" i="25" s="1"/>
  <c r="V26" i="25" s="1"/>
  <c r="P26" i="25"/>
  <c r="J26" i="25"/>
  <c r="I26" i="25"/>
  <c r="F26" i="25"/>
  <c r="D26" i="25" s="1"/>
  <c r="E26" i="25"/>
  <c r="U25" i="25"/>
  <c r="S25" i="25" s="1"/>
  <c r="T25" i="25"/>
  <c r="Q25" i="25"/>
  <c r="P25" i="25"/>
  <c r="J25" i="25"/>
  <c r="I25" i="25"/>
  <c r="F25" i="25"/>
  <c r="D25" i="25" s="1"/>
  <c r="E25" i="25"/>
  <c r="U24" i="25"/>
  <c r="S24" i="25" s="1"/>
  <c r="T24" i="25"/>
  <c r="Q24" i="25"/>
  <c r="O24" i="25" s="1"/>
  <c r="V24" i="25" s="1"/>
  <c r="P24" i="25"/>
  <c r="J24" i="25"/>
  <c r="I24" i="25"/>
  <c r="F24" i="25"/>
  <c r="D24" i="25" s="1"/>
  <c r="E24" i="25"/>
  <c r="U23" i="25"/>
  <c r="T23" i="25"/>
  <c r="Q23" i="25"/>
  <c r="O23" i="25" s="1"/>
  <c r="P23" i="25"/>
  <c r="J23" i="25"/>
  <c r="I23" i="25"/>
  <c r="F23" i="25"/>
  <c r="D23" i="25" s="1"/>
  <c r="E23" i="25"/>
  <c r="V22" i="25"/>
  <c r="F22" i="25"/>
  <c r="E22" i="25"/>
  <c r="D22" i="25" s="1"/>
  <c r="K22" i="25" s="1"/>
  <c r="M22" i="25" s="1"/>
  <c r="U21" i="25"/>
  <c r="T21" i="25"/>
  <c r="Q21" i="25"/>
  <c r="P21" i="25"/>
  <c r="O21" i="25" s="1"/>
  <c r="V21" i="25" s="1"/>
  <c r="J21" i="25"/>
  <c r="I21" i="25"/>
  <c r="F21" i="25"/>
  <c r="E21" i="25"/>
  <c r="D21" i="25" s="1"/>
  <c r="U20" i="25"/>
  <c r="T20" i="25"/>
  <c r="Q20" i="25"/>
  <c r="P20" i="25"/>
  <c r="O20" i="25" s="1"/>
  <c r="J20" i="25"/>
  <c r="I20" i="25"/>
  <c r="F20" i="25"/>
  <c r="E20" i="25"/>
  <c r="D20" i="25" s="1"/>
  <c r="U19" i="25"/>
  <c r="T19" i="25"/>
  <c r="Q19" i="25"/>
  <c r="P19" i="25"/>
  <c r="O19" i="25" s="1"/>
  <c r="J19" i="25"/>
  <c r="I19" i="25"/>
  <c r="H19" i="25" s="1"/>
  <c r="F19" i="25"/>
  <c r="E19" i="25"/>
  <c r="D19" i="25" s="1"/>
  <c r="K19" i="25" s="1"/>
  <c r="M19" i="25" s="1"/>
  <c r="U18" i="25"/>
  <c r="T18" i="25"/>
  <c r="S18" i="25" s="1"/>
  <c r="Q18" i="25"/>
  <c r="P18" i="25"/>
  <c r="O18" i="25" s="1"/>
  <c r="V18" i="25" s="1"/>
  <c r="J18" i="25"/>
  <c r="I18" i="25"/>
  <c r="F18" i="25"/>
  <c r="E18" i="25"/>
  <c r="U17" i="25"/>
  <c r="T17" i="25"/>
  <c r="S17" i="25" s="1"/>
  <c r="Q17" i="25"/>
  <c r="P17" i="25"/>
  <c r="O17" i="25" s="1"/>
  <c r="J17" i="25"/>
  <c r="I17" i="25"/>
  <c r="H17" i="25" s="1"/>
  <c r="F17" i="25"/>
  <c r="E17" i="25"/>
  <c r="U16" i="25"/>
  <c r="T16" i="25"/>
  <c r="S16" i="25" s="1"/>
  <c r="Q16" i="25"/>
  <c r="P16" i="25"/>
  <c r="O16" i="25" s="1"/>
  <c r="V16" i="25" s="1"/>
  <c r="J16" i="25"/>
  <c r="I16" i="25"/>
  <c r="H16" i="25" s="1"/>
  <c r="F16" i="25"/>
  <c r="E16" i="25"/>
  <c r="U15" i="25"/>
  <c r="T15" i="25"/>
  <c r="S15" i="25" s="1"/>
  <c r="Q15" i="25"/>
  <c r="P15" i="25"/>
  <c r="J15" i="25"/>
  <c r="J14" i="25" s="1"/>
  <c r="I15" i="25"/>
  <c r="F15" i="25"/>
  <c r="E15" i="25"/>
  <c r="D15" i="25" s="1"/>
  <c r="R14" i="25"/>
  <c r="N14" i="25"/>
  <c r="L14" i="25"/>
  <c r="L11" i="25" s="1"/>
  <c r="G14" i="25"/>
  <c r="C14" i="25"/>
  <c r="U13" i="25"/>
  <c r="U12" i="25" s="1"/>
  <c r="T13" i="25"/>
  <c r="Q13" i="25"/>
  <c r="Q12" i="25" s="1"/>
  <c r="P13" i="25"/>
  <c r="J13" i="25"/>
  <c r="J12" i="25" s="1"/>
  <c r="I13" i="25"/>
  <c r="H13" i="25" s="1"/>
  <c r="I12" i="25"/>
  <c r="F13" i="25"/>
  <c r="F12" i="25"/>
  <c r="E13" i="25"/>
  <c r="E12" i="25"/>
  <c r="X12" i="25"/>
  <c r="X11" i="25" s="1"/>
  <c r="W12" i="25"/>
  <c r="W11" i="25" s="1"/>
  <c r="R12" i="25"/>
  <c r="R11" i="25" s="1"/>
  <c r="N12" i="25"/>
  <c r="N11" i="25" s="1"/>
  <c r="L12" i="25"/>
  <c r="G12" i="25"/>
  <c r="C12" i="25"/>
  <c r="A1" i="25"/>
  <c r="AA25" i="24"/>
  <c r="Z25" i="24"/>
  <c r="X25" i="24"/>
  <c r="T25" i="24"/>
  <c r="M25" i="24"/>
  <c r="J25" i="24"/>
  <c r="F25" i="24"/>
  <c r="AA24" i="24"/>
  <c r="Z24" i="24"/>
  <c r="X24" i="24"/>
  <c r="T24" i="24"/>
  <c r="M24" i="24"/>
  <c r="J24" i="24"/>
  <c r="F24" i="24"/>
  <c r="AA23" i="24"/>
  <c r="Z23" i="24"/>
  <c r="X23" i="24"/>
  <c r="T23" i="24"/>
  <c r="M23" i="24"/>
  <c r="N23" i="24" s="1"/>
  <c r="P23" i="24" s="1"/>
  <c r="AA22" i="24"/>
  <c r="Z22" i="24"/>
  <c r="X22" i="24"/>
  <c r="T22" i="24"/>
  <c r="M22" i="24"/>
  <c r="J22" i="24"/>
  <c r="F22" i="24"/>
  <c r="AA21" i="24"/>
  <c r="Z21" i="24"/>
  <c r="X21" i="24"/>
  <c r="T21" i="24"/>
  <c r="M21" i="24"/>
  <c r="J21" i="24"/>
  <c r="F21" i="24"/>
  <c r="AA20" i="24"/>
  <c r="Z20" i="24"/>
  <c r="X20" i="24"/>
  <c r="T20" i="24"/>
  <c r="M20" i="24"/>
  <c r="J20" i="24"/>
  <c r="F20" i="24"/>
  <c r="AA19" i="24"/>
  <c r="Z19" i="24"/>
  <c r="X19" i="24"/>
  <c r="T19" i="24"/>
  <c r="M19" i="24"/>
  <c r="J19" i="24"/>
  <c r="F19" i="24"/>
  <c r="AA18" i="24"/>
  <c r="Z18" i="24"/>
  <c r="X18" i="24"/>
  <c r="T18" i="24"/>
  <c r="M18" i="24"/>
  <c r="J18" i="24"/>
  <c r="F18" i="24"/>
  <c r="AA17" i="24"/>
  <c r="Z17" i="24"/>
  <c r="X17" i="24"/>
  <c r="T17" i="24"/>
  <c r="M17" i="24"/>
  <c r="J17" i="24"/>
  <c r="F17" i="24"/>
  <c r="AA16" i="24"/>
  <c r="Z16" i="24"/>
  <c r="X16" i="24"/>
  <c r="T16" i="24"/>
  <c r="M16" i="24"/>
  <c r="J16" i="24"/>
  <c r="F16" i="24"/>
  <c r="AA15" i="24"/>
  <c r="Z15" i="24"/>
  <c r="X15" i="24"/>
  <c r="T15" i="24"/>
  <c r="M15" i="24"/>
  <c r="J15" i="24"/>
  <c r="F15" i="24"/>
  <c r="AA14" i="24"/>
  <c r="Z14" i="24"/>
  <c r="X14" i="24"/>
  <c r="T14" i="24"/>
  <c r="M14" i="24"/>
  <c r="J14" i="24"/>
  <c r="F14" i="24"/>
  <c r="AC13" i="24"/>
  <c r="Y13" i="24"/>
  <c r="Y10" i="24" s="1"/>
  <c r="W13" i="24"/>
  <c r="W10" i="24" s="1"/>
  <c r="V13" i="24"/>
  <c r="V10" i="24" s="1"/>
  <c r="U13" i="24"/>
  <c r="U10" i="24" s="1"/>
  <c r="S13" i="24"/>
  <c r="S10" i="24" s="1"/>
  <c r="R13" i="24"/>
  <c r="R10" i="24" s="1"/>
  <c r="Q13" i="24"/>
  <c r="Q10" i="24" s="1"/>
  <c r="W20" i="22" s="1"/>
  <c r="W19" i="22" s="1"/>
  <c r="O13" i="24"/>
  <c r="O10" i="24"/>
  <c r="L13" i="24"/>
  <c r="L10" i="24"/>
  <c r="K13" i="24"/>
  <c r="K10" i="24" s="1"/>
  <c r="I13" i="24"/>
  <c r="I10" i="24" s="1"/>
  <c r="H13" i="24"/>
  <c r="H10" i="24" s="1"/>
  <c r="G13" i="24"/>
  <c r="G10" i="24" s="1"/>
  <c r="L20" i="22" s="1"/>
  <c r="L19" i="22" s="1"/>
  <c r="E13" i="24"/>
  <c r="E10" i="24" s="1"/>
  <c r="D13" i="24"/>
  <c r="D10" i="24" s="1"/>
  <c r="C13" i="24"/>
  <c r="C10" i="24" s="1"/>
  <c r="Z11" i="24"/>
  <c r="M11" i="24"/>
  <c r="A1" i="24"/>
  <c r="P84" i="23"/>
  <c r="P83" i="23"/>
  <c r="P82" i="23"/>
  <c r="O78" i="23"/>
  <c r="O74" i="23"/>
  <c r="P64" i="23"/>
  <c r="O64" i="23"/>
  <c r="O60" i="23"/>
  <c r="P59" i="23"/>
  <c r="P58" i="23" s="1"/>
  <c r="O59" i="23"/>
  <c r="O58" i="23" s="1"/>
  <c r="S57" i="23"/>
  <c r="P57" i="23"/>
  <c r="R57" i="23"/>
  <c r="S55" i="23"/>
  <c r="R52" i="23"/>
  <c r="S50" i="23"/>
  <c r="P49" i="23"/>
  <c r="O49" i="23"/>
  <c r="R47" i="23"/>
  <c r="S42" i="23"/>
  <c r="P42" i="23"/>
  <c r="O36" i="23"/>
  <c r="O31" i="23"/>
  <c r="P27" i="23"/>
  <c r="P17" i="23"/>
  <c r="O16" i="23"/>
  <c r="P14" i="23"/>
  <c r="P13" i="23" s="1"/>
  <c r="P12" i="23" s="1"/>
  <c r="O14" i="23"/>
  <c r="O13" i="23" s="1"/>
  <c r="O12" i="23"/>
  <c r="B10" i="23"/>
  <c r="A1" i="23"/>
  <c r="AB77" i="22"/>
  <c r="AD77" i="22"/>
  <c r="H77" i="22"/>
  <c r="K77" i="22" s="1"/>
  <c r="R77" i="22" s="1"/>
  <c r="Q77" i="22" s="1"/>
  <c r="S77" i="22" s="1"/>
  <c r="AB76" i="22"/>
  <c r="AD76" i="22" s="1"/>
  <c r="H76" i="22"/>
  <c r="K76" i="22" s="1"/>
  <c r="R76" i="22" s="1"/>
  <c r="Q76" i="22" s="1"/>
  <c r="S76" i="22" s="1"/>
  <c r="AB75" i="22"/>
  <c r="AB74" i="22"/>
  <c r="Q74" i="22"/>
  <c r="AB73" i="22"/>
  <c r="AB72" i="22" s="1"/>
  <c r="AF72" i="22"/>
  <c r="AF64" i="22" s="1"/>
  <c r="AE72" i="22"/>
  <c r="AC72" i="22"/>
  <c r="AA72" i="22"/>
  <c r="X72" i="22"/>
  <c r="X64" i="22" s="1"/>
  <c r="V72" i="22"/>
  <c r="U72" i="22"/>
  <c r="T72" i="22"/>
  <c r="P72" i="22"/>
  <c r="Q72" i="22" s="1"/>
  <c r="M72" i="22"/>
  <c r="H72" i="22"/>
  <c r="K72" i="22" s="1"/>
  <c r="R72" i="22" s="1"/>
  <c r="AB71" i="22"/>
  <c r="AD71" i="22" s="1"/>
  <c r="Q71" i="22"/>
  <c r="S71" i="22" s="1"/>
  <c r="AB70" i="22"/>
  <c r="H70" i="22"/>
  <c r="AB69" i="22"/>
  <c r="H69" i="22"/>
  <c r="AF68" i="22"/>
  <c r="AE68" i="22"/>
  <c r="AC68" i="22"/>
  <c r="AA68" i="22"/>
  <c r="Z68" i="22"/>
  <c r="Z64" i="22" s="1"/>
  <c r="V68" i="22"/>
  <c r="U68" i="22"/>
  <c r="U64" i="22" s="1"/>
  <c r="T68" i="22"/>
  <c r="P68" i="22"/>
  <c r="O68" i="22"/>
  <c r="O64" i="22" s="1"/>
  <c r="J68" i="22"/>
  <c r="I68" i="22"/>
  <c r="G68" i="22"/>
  <c r="F68" i="22"/>
  <c r="F64" i="22" s="1"/>
  <c r="E68" i="22"/>
  <c r="D68" i="22"/>
  <c r="C68" i="22"/>
  <c r="AB67" i="22"/>
  <c r="AB66" i="22"/>
  <c r="AB65" i="22" s="1"/>
  <c r="AF65" i="22"/>
  <c r="AE65" i="22"/>
  <c r="AC65" i="22"/>
  <c r="AC64" i="22" s="1"/>
  <c r="AA65" i="22"/>
  <c r="AA64" i="22" s="1"/>
  <c r="X65" i="22"/>
  <c r="V65" i="22"/>
  <c r="U65" i="22"/>
  <c r="T65" i="22"/>
  <c r="P65" i="22"/>
  <c r="M65" i="22"/>
  <c r="J65" i="22"/>
  <c r="J64" i="22" s="1"/>
  <c r="I65" i="22"/>
  <c r="I64" i="22" s="1"/>
  <c r="G65" i="22"/>
  <c r="E65" i="22"/>
  <c r="D65" i="22"/>
  <c r="C65" i="22"/>
  <c r="AB63" i="22"/>
  <c r="H63" i="22"/>
  <c r="K63" i="22"/>
  <c r="R63" i="22" s="1"/>
  <c r="Q63" i="22" s="1"/>
  <c r="AB62" i="22"/>
  <c r="H62" i="22"/>
  <c r="K62" i="22"/>
  <c r="R62" i="22" s="1"/>
  <c r="Q62" i="22" s="1"/>
  <c r="AB61" i="22"/>
  <c r="AD61" i="22"/>
  <c r="Q61" i="22"/>
  <c r="S61" i="22"/>
  <c r="AB60" i="22"/>
  <c r="AD60" i="22" s="1"/>
  <c r="S60" i="22"/>
  <c r="AB59" i="22"/>
  <c r="H59" i="22"/>
  <c r="K59" i="22" s="1"/>
  <c r="R59" i="22"/>
  <c r="Q59" i="22" s="1"/>
  <c r="AB58" i="22"/>
  <c r="H58" i="22"/>
  <c r="K58" i="22" s="1"/>
  <c r="R58" i="22" s="1"/>
  <c r="Q58" i="22" s="1"/>
  <c r="AB57" i="22"/>
  <c r="H57" i="22"/>
  <c r="K57" i="22" s="1"/>
  <c r="R57" i="22" s="1"/>
  <c r="Q57" i="22" s="1"/>
  <c r="AB56" i="22"/>
  <c r="H56" i="22"/>
  <c r="K56" i="22" s="1"/>
  <c r="AF55" i="22"/>
  <c r="AF54" i="22" s="1"/>
  <c r="AF48" i="22" s="1"/>
  <c r="AF90" i="22" s="1"/>
  <c r="AE55" i="22"/>
  <c r="AE54" i="22" s="1"/>
  <c r="AE88" i="22" s="1"/>
  <c r="AC55" i="22"/>
  <c r="AC54" i="22" s="1"/>
  <c r="AA55" i="22"/>
  <c r="AA54" i="22" s="1"/>
  <c r="Z55" i="22"/>
  <c r="Z54" i="22" s="1"/>
  <c r="Z88" i="22" s="1"/>
  <c r="X55" i="22"/>
  <c r="X54" i="22" s="1"/>
  <c r="X88" i="22" s="1"/>
  <c r="V55" i="22"/>
  <c r="V54" i="22" s="1"/>
  <c r="U55" i="22"/>
  <c r="U54" i="22" s="1"/>
  <c r="U88" i="22" s="1"/>
  <c r="T55" i="22"/>
  <c r="T54" i="22" s="1"/>
  <c r="P55" i="22"/>
  <c r="P54" i="22" s="1"/>
  <c r="P48" i="22" s="1"/>
  <c r="O55" i="22"/>
  <c r="O54" i="22"/>
  <c r="M55" i="22"/>
  <c r="M54" i="22" s="1"/>
  <c r="M48" i="22" s="1"/>
  <c r="M90" i="22" s="1"/>
  <c r="J55" i="22"/>
  <c r="J54" i="22" s="1"/>
  <c r="I55" i="22"/>
  <c r="I54" i="22" s="1"/>
  <c r="I88" i="22" s="1"/>
  <c r="G55" i="22"/>
  <c r="G54" i="22" s="1"/>
  <c r="F55" i="22"/>
  <c r="F54" i="22" s="1"/>
  <c r="F88" i="22" s="1"/>
  <c r="E55" i="22"/>
  <c r="E54" i="22" s="1"/>
  <c r="E48" i="22" s="1"/>
  <c r="D55" i="22"/>
  <c r="D54" i="22" s="1"/>
  <c r="D48" i="22" s="1"/>
  <c r="C55" i="22"/>
  <c r="C54" i="22"/>
  <c r="C48" i="22" s="1"/>
  <c r="AB53" i="22"/>
  <c r="H53" i="22"/>
  <c r="K53" i="22" s="1"/>
  <c r="AB52" i="22"/>
  <c r="H52" i="22"/>
  <c r="K52" i="22" s="1"/>
  <c r="AB51" i="22"/>
  <c r="H51" i="22"/>
  <c r="K51" i="22" s="1"/>
  <c r="R51" i="22" s="1"/>
  <c r="Q51" i="22" s="1"/>
  <c r="AB50" i="22"/>
  <c r="H50" i="22"/>
  <c r="R50" i="22"/>
  <c r="Q50" i="22" s="1"/>
  <c r="AB49" i="22"/>
  <c r="H49" i="22"/>
  <c r="K49" i="22" s="1"/>
  <c r="AD47" i="22"/>
  <c r="S47" i="22"/>
  <c r="AD46" i="22"/>
  <c r="S46" i="22"/>
  <c r="AD45" i="22"/>
  <c r="S45" i="22"/>
  <c r="AD44" i="22"/>
  <c r="S44" i="22"/>
  <c r="AD43" i="22"/>
  <c r="S43" i="22"/>
  <c r="AD42" i="22"/>
  <c r="S42" i="22"/>
  <c r="AB41" i="22"/>
  <c r="AD41" i="22" s="1"/>
  <c r="H41" i="22"/>
  <c r="K41" i="22" s="1"/>
  <c r="R41" i="22" s="1"/>
  <c r="Q41" i="22" s="1"/>
  <c r="S41" i="22" s="1"/>
  <c r="AB40" i="22"/>
  <c r="AD40" i="22"/>
  <c r="Q40" i="22"/>
  <c r="S40" i="22" s="1"/>
  <c r="AB39" i="22"/>
  <c r="AD39" i="22"/>
  <c r="Q39" i="22"/>
  <c r="S39" i="22"/>
  <c r="AB38" i="22"/>
  <c r="AD38" i="22"/>
  <c r="Q38" i="22"/>
  <c r="S38" i="22" s="1"/>
  <c r="AB37" i="22"/>
  <c r="AD37" i="22"/>
  <c r="Q37" i="22"/>
  <c r="S37" i="22"/>
  <c r="AB36" i="22"/>
  <c r="AD36" i="22"/>
  <c r="Q36" i="22"/>
  <c r="S36" i="22" s="1"/>
  <c r="AB35" i="22"/>
  <c r="AD35" i="22"/>
  <c r="Q35" i="22"/>
  <c r="S35" i="22"/>
  <c r="AB34" i="22"/>
  <c r="AD34" i="22"/>
  <c r="Q34" i="22"/>
  <c r="S34" i="22" s="1"/>
  <c r="AB33" i="22"/>
  <c r="AD33" i="22"/>
  <c r="Q33" i="22"/>
  <c r="S33" i="22"/>
  <c r="AB32" i="22"/>
  <c r="AD32" i="22"/>
  <c r="Q32" i="22"/>
  <c r="S32" i="22" s="1"/>
  <c r="AB31" i="22"/>
  <c r="AD31" i="22"/>
  <c r="Q31" i="22"/>
  <c r="S31" i="22"/>
  <c r="AB30" i="22"/>
  <c r="AD30" i="22"/>
  <c r="Q30" i="22"/>
  <c r="S30" i="22" s="1"/>
  <c r="AB29" i="22"/>
  <c r="AD29" i="22"/>
  <c r="Q29" i="22"/>
  <c r="S29" i="22"/>
  <c r="AB28" i="22"/>
  <c r="AD28" i="22"/>
  <c r="Q28" i="22"/>
  <c r="S28" i="22" s="1"/>
  <c r="AB27" i="22"/>
  <c r="AD27" i="22"/>
  <c r="Q27" i="22"/>
  <c r="S27" i="22"/>
  <c r="AB26" i="22"/>
  <c r="AD26" i="22"/>
  <c r="Q26" i="22"/>
  <c r="S26" i="22" s="1"/>
  <c r="AB25" i="22"/>
  <c r="AB24" i="22"/>
  <c r="AB23" i="22" s="1"/>
  <c r="AF23" i="22"/>
  <c r="AE23" i="22"/>
  <c r="AC23" i="22"/>
  <c r="AA23" i="22"/>
  <c r="X23" i="22"/>
  <c r="V23" i="22"/>
  <c r="U23" i="22"/>
  <c r="T23" i="22"/>
  <c r="M23" i="22"/>
  <c r="J23" i="22"/>
  <c r="I23" i="22"/>
  <c r="E23" i="22"/>
  <c r="H23" i="22" s="1"/>
  <c r="K23" i="22" s="1"/>
  <c r="R23" i="22" s="1"/>
  <c r="Q23" i="22" s="1"/>
  <c r="D23" i="22"/>
  <c r="C23" i="22"/>
  <c r="AB22" i="22"/>
  <c r="Y22" i="22"/>
  <c r="Q22" i="22"/>
  <c r="N22" i="22"/>
  <c r="AB21" i="22"/>
  <c r="Y21" i="22"/>
  <c r="N21" i="22"/>
  <c r="S21" i="22" s="1"/>
  <c r="AB20" i="22"/>
  <c r="H20" i="22"/>
  <c r="H19" i="22" s="1"/>
  <c r="AF19" i="22"/>
  <c r="AE19" i="22"/>
  <c r="AC19" i="22"/>
  <c r="AA19" i="22"/>
  <c r="Z19" i="22"/>
  <c r="X19" i="22"/>
  <c r="V19" i="22"/>
  <c r="U19" i="22"/>
  <c r="T19" i="22"/>
  <c r="O19" i="22"/>
  <c r="M19" i="22"/>
  <c r="M12" i="22" s="1"/>
  <c r="J19" i="22"/>
  <c r="I19" i="22"/>
  <c r="G19" i="22"/>
  <c r="G12" i="22" s="1"/>
  <c r="F19" i="22"/>
  <c r="F12" i="22"/>
  <c r="E19" i="22"/>
  <c r="D19" i="22"/>
  <c r="C19" i="22"/>
  <c r="AB18" i="22"/>
  <c r="V18" i="22"/>
  <c r="Q18" i="22"/>
  <c r="AB17" i="22"/>
  <c r="Q17" i="22"/>
  <c r="AB16" i="22"/>
  <c r="V16" i="22"/>
  <c r="Q16" i="22"/>
  <c r="AB15" i="22"/>
  <c r="AB14" i="22" s="1"/>
  <c r="AB13" i="22" s="1"/>
  <c r="V15" i="22"/>
  <c r="Q15" i="22"/>
  <c r="AF14" i="22"/>
  <c r="AF13" i="22"/>
  <c r="AF12" i="22" s="1"/>
  <c r="AE14" i="22"/>
  <c r="AE13" i="22"/>
  <c r="AE12" i="22" s="1"/>
  <c r="AC14" i="22"/>
  <c r="AC13" i="22"/>
  <c r="AA14" i="22"/>
  <c r="AA13" i="22" s="1"/>
  <c r="Z14" i="22"/>
  <c r="Z13" i="22"/>
  <c r="X14" i="22"/>
  <c r="X13" i="22"/>
  <c r="U14" i="22"/>
  <c r="U13" i="22"/>
  <c r="T14" i="22"/>
  <c r="T13" i="22" s="1"/>
  <c r="T12" i="22" s="1"/>
  <c r="P14" i="22"/>
  <c r="P13" i="22"/>
  <c r="O14" i="22"/>
  <c r="O13" i="22"/>
  <c r="O12" i="22" s="1"/>
  <c r="M14" i="22"/>
  <c r="M13" i="22"/>
  <c r="K14" i="22"/>
  <c r="J14" i="22"/>
  <c r="I14" i="22"/>
  <c r="H14" i="22"/>
  <c r="G14" i="22"/>
  <c r="F14" i="22"/>
  <c r="E14" i="22"/>
  <c r="E13" i="22"/>
  <c r="H13" i="22" s="1"/>
  <c r="D14" i="22"/>
  <c r="D13" i="22" s="1"/>
  <c r="C14" i="22"/>
  <c r="C13" i="22" s="1"/>
  <c r="C12" i="22" s="1"/>
  <c r="AG9" i="22"/>
  <c r="U9" i="22"/>
  <c r="V9" i="22" s="1"/>
  <c r="W9" i="22" s="1"/>
  <c r="X9" i="22" s="1"/>
  <c r="Y9" i="22" s="1"/>
  <c r="Z9" i="22" s="1"/>
  <c r="M9" i="22"/>
  <c r="N9" i="22" s="1"/>
  <c r="O9" i="22" s="1"/>
  <c r="P9" i="22" s="1"/>
  <c r="AD14" i="28"/>
  <c r="S19" i="25"/>
  <c r="D13" i="25"/>
  <c r="D12" i="25" s="1"/>
  <c r="Y63" i="22"/>
  <c r="AD63" i="22" s="1"/>
  <c r="S21" i="25"/>
  <c r="S23" i="25"/>
  <c r="L53" i="22"/>
  <c r="M64" i="22"/>
  <c r="R17" i="28"/>
  <c r="H18" i="25"/>
  <c r="Z12" i="22"/>
  <c r="G64" i="22"/>
  <c r="C14" i="28"/>
  <c r="N14" i="28" s="1"/>
  <c r="M14" i="28" s="1"/>
  <c r="M13" i="28"/>
  <c r="H21" i="25"/>
  <c r="AD19" i="28"/>
  <c r="O16" i="28"/>
  <c r="U48" i="22"/>
  <c r="U90" i="22" s="1"/>
  <c r="W57" i="22"/>
  <c r="W55" i="22" s="1"/>
  <c r="N21" i="27"/>
  <c r="N22" i="27"/>
  <c r="P90" i="22"/>
  <c r="P88" i="22"/>
  <c r="S20" i="25"/>
  <c r="H24" i="25"/>
  <c r="R49" i="22"/>
  <c r="T14" i="25"/>
  <c r="AF88" i="22"/>
  <c r="W53" i="22"/>
  <c r="X48" i="22"/>
  <c r="X90" i="22" s="1"/>
  <c r="J24" i="27"/>
  <c r="U14" i="25"/>
  <c r="AE48" i="22"/>
  <c r="AE90" i="22" s="1"/>
  <c r="C24" i="27"/>
  <c r="L57" i="22"/>
  <c r="L55" i="22" s="1"/>
  <c r="H20" i="25"/>
  <c r="K23" i="27"/>
  <c r="C12" i="28"/>
  <c r="N12" i="28"/>
  <c r="C15" i="28"/>
  <c r="N15" i="28" s="1"/>
  <c r="C20" i="28"/>
  <c r="N20" i="28" s="1"/>
  <c r="L16" i="22"/>
  <c r="N18" i="24"/>
  <c r="P18" i="24" s="1"/>
  <c r="N14" i="24"/>
  <c r="P14" i="24" s="1"/>
  <c r="E24" i="26"/>
  <c r="F24" i="26" s="1"/>
  <c r="G24" i="26" s="1"/>
  <c r="E26" i="26"/>
  <c r="F26" i="26" s="1"/>
  <c r="G26" i="26" s="1"/>
  <c r="K26" i="26" s="1"/>
  <c r="E64" i="26"/>
  <c r="F64" i="26" s="1"/>
  <c r="G64" i="26" s="1"/>
  <c r="K64" i="26" s="1"/>
  <c r="E44" i="26"/>
  <c r="F44" i="26" s="1"/>
  <c r="G44" i="26" s="1"/>
  <c r="N68" i="26"/>
  <c r="N67" i="26" s="1"/>
  <c r="C17" i="28"/>
  <c r="N17" i="28" s="1"/>
  <c r="M17" i="28" s="1"/>
  <c r="O11" i="28"/>
  <c r="AD12" i="28"/>
  <c r="O19" i="28"/>
  <c r="M19" i="28" s="1"/>
  <c r="L14" i="27"/>
  <c r="K15" i="26"/>
  <c r="K35" i="26"/>
  <c r="E45" i="26"/>
  <c r="F45" i="26" s="1"/>
  <c r="G45" i="26" s="1"/>
  <c r="K45" i="26" s="1"/>
  <c r="E34" i="26"/>
  <c r="F34" i="26" s="1"/>
  <c r="G34" i="26" s="1"/>
  <c r="K34" i="26" s="1"/>
  <c r="E41" i="26"/>
  <c r="F41" i="26" s="1"/>
  <c r="G41" i="26" s="1"/>
  <c r="E43" i="26"/>
  <c r="F43" i="26" s="1"/>
  <c r="G43" i="26" s="1"/>
  <c r="W23" i="22"/>
  <c r="AD74" i="22"/>
  <c r="K70" i="22"/>
  <c r="R70" i="22" s="1"/>
  <c r="Q70" i="22" s="1"/>
  <c r="L23" i="22"/>
  <c r="U12" i="22"/>
  <c r="K50" i="22"/>
  <c r="P48" i="23"/>
  <c r="S41" i="23"/>
  <c r="P41" i="23"/>
  <c r="P50" i="23"/>
  <c r="P55" i="23"/>
  <c r="E12" i="22"/>
  <c r="R52" i="22"/>
  <c r="H9" i="21"/>
  <c r="G8" i="21"/>
  <c r="F8" i="21"/>
  <c r="H10" i="21"/>
  <c r="I10" i="21" s="1"/>
  <c r="H14" i="21"/>
  <c r="E14" i="21"/>
  <c r="E11" i="21" s="1"/>
  <c r="G11" i="21"/>
  <c r="F11" i="21"/>
  <c r="E9" i="21"/>
  <c r="L29" i="9"/>
  <c r="K29" i="9"/>
  <c r="L28" i="9"/>
  <c r="K28" i="9"/>
  <c r="R50" i="1"/>
  <c r="R17" i="31" s="1"/>
  <c r="E8" i="21"/>
  <c r="E16" i="21" s="1"/>
  <c r="P80" i="1"/>
  <c r="O80" i="1"/>
  <c r="N80" i="1" s="1"/>
  <c r="P82" i="1"/>
  <c r="O82" i="1"/>
  <c r="AX48" i="3"/>
  <c r="S40" i="1"/>
  <c r="S15" i="31" s="1"/>
  <c r="R46" i="1"/>
  <c r="R47" i="1"/>
  <c r="Q27" i="1"/>
  <c r="Q26" i="1"/>
  <c r="Q13" i="1"/>
  <c r="C31" i="4"/>
  <c r="C23" i="33" s="1"/>
  <c r="C43" i="4"/>
  <c r="C44" i="4"/>
  <c r="C35" i="33"/>
  <c r="P61" i="4"/>
  <c r="Q82" i="4"/>
  <c r="M82" i="4" s="1"/>
  <c r="Q81" i="4"/>
  <c r="M81" i="4" s="1"/>
  <c r="M80" i="4"/>
  <c r="M78" i="4"/>
  <c r="P77" i="4"/>
  <c r="M77" i="4" s="1"/>
  <c r="P76" i="4"/>
  <c r="Q72" i="4"/>
  <c r="P72" i="4"/>
  <c r="Q71" i="4"/>
  <c r="P71" i="4"/>
  <c r="M71" i="4" s="1"/>
  <c r="M73" i="4"/>
  <c r="H70" i="4"/>
  <c r="H82" i="4"/>
  <c r="H81" i="4"/>
  <c r="H80" i="4"/>
  <c r="H79" i="4"/>
  <c r="H78" i="4"/>
  <c r="H77" i="4"/>
  <c r="H76" i="4"/>
  <c r="H75" i="4" s="1"/>
  <c r="L75" i="4"/>
  <c r="L83" i="4" s="1"/>
  <c r="XFD75" i="4"/>
  <c r="K75" i="4"/>
  <c r="H74" i="4"/>
  <c r="H73" i="4"/>
  <c r="H72" i="4"/>
  <c r="H71" i="4"/>
  <c r="L69" i="4"/>
  <c r="Q75" i="4"/>
  <c r="M74" i="4"/>
  <c r="M79" i="4"/>
  <c r="M68" i="4"/>
  <c r="K69" i="4"/>
  <c r="M70" i="4"/>
  <c r="H68" i="4"/>
  <c r="AE54" i="1"/>
  <c r="AE53" i="1"/>
  <c r="AE52" i="1"/>
  <c r="Y54" i="1"/>
  <c r="Y53" i="1"/>
  <c r="Y52" i="1"/>
  <c r="S54" i="1"/>
  <c r="S53" i="1"/>
  <c r="S51" i="1" s="1"/>
  <c r="S18" i="31" s="1"/>
  <c r="S52" i="1"/>
  <c r="J53" i="1"/>
  <c r="J54" i="1"/>
  <c r="J52" i="1"/>
  <c r="B143" i="20"/>
  <c r="C141" i="20"/>
  <c r="C140" i="20"/>
  <c r="C139" i="20"/>
  <c r="C138" i="20"/>
  <c r="C137" i="20"/>
  <c r="C136" i="20"/>
  <c r="C135" i="20"/>
  <c r="C134" i="20"/>
  <c r="C133" i="20"/>
  <c r="C132" i="20"/>
  <c r="C131" i="20"/>
  <c r="C130" i="20"/>
  <c r="C129" i="20"/>
  <c r="AB68" i="20"/>
  <c r="AB67" i="20"/>
  <c r="AA67" i="20"/>
  <c r="AD65" i="20"/>
  <c r="AB65" i="20"/>
  <c r="K26" i="20"/>
  <c r="K33" i="20" s="1"/>
  <c r="J26" i="20"/>
  <c r="I26" i="20"/>
  <c r="H26" i="20"/>
  <c r="G26" i="20"/>
  <c r="G32" i="20"/>
  <c r="F26" i="20"/>
  <c r="E26" i="20"/>
  <c r="D26" i="20"/>
  <c r="D33" i="20" s="1"/>
  <c r="AR21" i="20"/>
  <c r="AP21" i="20"/>
  <c r="AN21" i="20"/>
  <c r="AJ21" i="20"/>
  <c r="AH21" i="20"/>
  <c r="J21" i="20"/>
  <c r="I21" i="20"/>
  <c r="H21" i="20"/>
  <c r="G21" i="20"/>
  <c r="D21" i="20"/>
  <c r="AR19" i="20"/>
  <c r="AP19" i="20"/>
  <c r="AN19" i="20"/>
  <c r="AJ19" i="20"/>
  <c r="AH19" i="20"/>
  <c r="J19" i="20"/>
  <c r="I19" i="20"/>
  <c r="H19" i="20"/>
  <c r="G19" i="20"/>
  <c r="F19" i="20"/>
  <c r="D18" i="20"/>
  <c r="D19" i="20" s="1"/>
  <c r="AA16" i="20"/>
  <c r="E16" i="20"/>
  <c r="AR11" i="20"/>
  <c r="AP11" i="20"/>
  <c r="AN11" i="20"/>
  <c r="AJ11" i="20"/>
  <c r="AH11" i="20"/>
  <c r="E9" i="20"/>
  <c r="AA8" i="20"/>
  <c r="E8" i="20"/>
  <c r="AA7" i="20"/>
  <c r="Z7" i="20"/>
  <c r="K7" i="20"/>
  <c r="J7" i="20"/>
  <c r="J5" i="20" s="1"/>
  <c r="J13" i="20" s="1"/>
  <c r="I7" i="20"/>
  <c r="H7" i="20"/>
  <c r="H5" i="20" s="1"/>
  <c r="G7" i="20"/>
  <c r="F7" i="20"/>
  <c r="F5" i="20" s="1"/>
  <c r="F12" i="20" s="1"/>
  <c r="D7" i="20"/>
  <c r="AA6" i="20"/>
  <c r="E6" i="20"/>
  <c r="AR5" i="20"/>
  <c r="AP5" i="20"/>
  <c r="AN5" i="20"/>
  <c r="AJ5" i="20"/>
  <c r="AH5" i="20"/>
  <c r="AG5" i="20"/>
  <c r="AG14" i="20" s="1"/>
  <c r="AF5" i="20"/>
  <c r="AE5" i="20"/>
  <c r="AE19" i="20" s="1"/>
  <c r="AE12" i="20"/>
  <c r="AD5" i="20"/>
  <c r="AC5" i="20"/>
  <c r="AB5" i="20"/>
  <c r="AB12" i="20" s="1"/>
  <c r="AC12" i="20"/>
  <c r="C143" i="20"/>
  <c r="AB13" i="20"/>
  <c r="G31" i="20"/>
  <c r="G33" i="20"/>
  <c r="AE21" i="20"/>
  <c r="G30" i="20"/>
  <c r="AB24" i="20"/>
  <c r="AB21" i="20"/>
  <c r="D5" i="20"/>
  <c r="AE14" i="20"/>
  <c r="K5" i="20"/>
  <c r="K26" i="11"/>
  <c r="J26" i="11"/>
  <c r="I26" i="11"/>
  <c r="I31" i="11" s="1"/>
  <c r="H26" i="11"/>
  <c r="H31" i="11" s="1"/>
  <c r="G26" i="11"/>
  <c r="F26" i="11"/>
  <c r="E26" i="11"/>
  <c r="D26" i="11"/>
  <c r="D32" i="11" s="1"/>
  <c r="H32" i="11"/>
  <c r="K31" i="11"/>
  <c r="K14" i="20"/>
  <c r="J11" i="20"/>
  <c r="D21" i="11"/>
  <c r="J21" i="11"/>
  <c r="I21" i="11"/>
  <c r="H21" i="11"/>
  <c r="J19" i="11"/>
  <c r="I19" i="11"/>
  <c r="H19" i="11"/>
  <c r="G21" i="11"/>
  <c r="G19" i="11"/>
  <c r="F19" i="11"/>
  <c r="D18" i="11"/>
  <c r="D19" i="11" s="1"/>
  <c r="E16" i="11"/>
  <c r="E9" i="11"/>
  <c r="E8" i="11"/>
  <c r="E6" i="11"/>
  <c r="D7" i="11"/>
  <c r="D5" i="11" s="1"/>
  <c r="D14" i="11" s="1"/>
  <c r="K7" i="11"/>
  <c r="K5" i="11" s="1"/>
  <c r="K17" i="11"/>
  <c r="Z7" i="11"/>
  <c r="J7" i="11"/>
  <c r="J5" i="11" s="1"/>
  <c r="I7" i="11"/>
  <c r="H7" i="11"/>
  <c r="H5" i="11" s="1"/>
  <c r="H14" i="11" s="1"/>
  <c r="G7" i="11"/>
  <c r="F7" i="11"/>
  <c r="F5" i="11" s="1"/>
  <c r="D17" i="11"/>
  <c r="K14" i="11"/>
  <c r="M25" i="19"/>
  <c r="K28" i="19"/>
  <c r="L28" i="19" s="1"/>
  <c r="I28" i="19"/>
  <c r="J28" i="19" s="1"/>
  <c r="I25" i="19"/>
  <c r="J25" i="19" s="1"/>
  <c r="G28" i="19"/>
  <c r="H28" i="19" s="1"/>
  <c r="G25" i="19"/>
  <c r="H25" i="19" s="1"/>
  <c r="E28" i="19"/>
  <c r="F28" i="19" s="1"/>
  <c r="E25" i="19"/>
  <c r="F25" i="19" s="1"/>
  <c r="D26" i="19"/>
  <c r="C26" i="19"/>
  <c r="D23" i="19"/>
  <c r="C23" i="19"/>
  <c r="D20" i="19"/>
  <c r="C20" i="19"/>
  <c r="D17" i="19"/>
  <c r="C17" i="19"/>
  <c r="D13" i="19"/>
  <c r="D12" i="19"/>
  <c r="C13" i="19"/>
  <c r="C12" i="19"/>
  <c r="D7" i="18"/>
  <c r="E20" i="16"/>
  <c r="F20" i="16" s="1"/>
  <c r="AO63" i="4"/>
  <c r="AQ66" i="3"/>
  <c r="C20" i="16" s="1"/>
  <c r="AQ34" i="5"/>
  <c r="C29" i="16" s="1"/>
  <c r="AG65" i="3"/>
  <c r="AB30" i="16"/>
  <c r="AD30" i="16" s="1"/>
  <c r="AA30" i="16"/>
  <c r="L33" i="16"/>
  <c r="K33" i="16"/>
  <c r="K31" i="16"/>
  <c r="K29" i="16"/>
  <c r="K28" i="16"/>
  <c r="K27" i="16"/>
  <c r="J33" i="16"/>
  <c r="J29" i="16"/>
  <c r="J27" i="16"/>
  <c r="J31" i="16"/>
  <c r="AY31" i="5"/>
  <c r="BE31" i="5" s="1"/>
  <c r="I33" i="16"/>
  <c r="I29" i="16"/>
  <c r="I27" i="16"/>
  <c r="P30" i="16"/>
  <c r="AE30" i="16" s="1"/>
  <c r="O30" i="16"/>
  <c r="L22" i="16"/>
  <c r="K22" i="16"/>
  <c r="J21" i="16"/>
  <c r="I21" i="16"/>
  <c r="H33" i="16"/>
  <c r="G33" i="16"/>
  <c r="H31" i="16"/>
  <c r="G31" i="16"/>
  <c r="G28" i="16"/>
  <c r="H27" i="16"/>
  <c r="G27" i="16"/>
  <c r="G21" i="16"/>
  <c r="H22" i="16"/>
  <c r="G22" i="16"/>
  <c r="G17" i="16"/>
  <c r="AV68" i="3"/>
  <c r="F21" i="16"/>
  <c r="F33" i="16"/>
  <c r="E33" i="16"/>
  <c r="F31" i="16"/>
  <c r="E31" i="16"/>
  <c r="E29" i="16"/>
  <c r="E28" i="16"/>
  <c r="F27" i="16"/>
  <c r="E27" i="16"/>
  <c r="E22" i="16"/>
  <c r="E21" i="16"/>
  <c r="E17" i="16"/>
  <c r="AJ76" i="3"/>
  <c r="AI76" i="3"/>
  <c r="AI5" i="3" s="1"/>
  <c r="AK76" i="3"/>
  <c r="AN76" i="3"/>
  <c r="AM76" i="3"/>
  <c r="AM75" i="3" s="1"/>
  <c r="AX76" i="3"/>
  <c r="H15" i="16" s="1"/>
  <c r="AV76" i="3"/>
  <c r="F15" i="16" s="1"/>
  <c r="AU76" i="3"/>
  <c r="C19" i="15"/>
  <c r="C18" i="15"/>
  <c r="C17" i="15"/>
  <c r="C7" i="15"/>
  <c r="AO40" i="14"/>
  <c r="AO50" i="62" s="1"/>
  <c r="AL40" i="14"/>
  <c r="L20" i="17" s="1"/>
  <c r="AC40" i="14"/>
  <c r="AC50" i="62" s="1"/>
  <c r="Z40" i="14"/>
  <c r="W40" i="14"/>
  <c r="Q40" i="14"/>
  <c r="AM37" i="14"/>
  <c r="AJ37" i="14"/>
  <c r="AG37" i="14"/>
  <c r="AG37" i="62" s="1"/>
  <c r="C40" i="82" s="1"/>
  <c r="AD37" i="14"/>
  <c r="AD37" i="62" s="1"/>
  <c r="AF37" i="62" s="1"/>
  <c r="AA37" i="14"/>
  <c r="AC37" i="14" s="1"/>
  <c r="I17" i="17" s="1"/>
  <c r="X37" i="14"/>
  <c r="X37" i="62" s="1"/>
  <c r="U37" i="14"/>
  <c r="U37" i="62" s="1"/>
  <c r="R37" i="14"/>
  <c r="R37" i="62" s="1"/>
  <c r="O37" i="14"/>
  <c r="L37" i="14"/>
  <c r="N37" i="14" s="1"/>
  <c r="I12" i="17" s="1"/>
  <c r="F37" i="14"/>
  <c r="AO35" i="14"/>
  <c r="AL35" i="14"/>
  <c r="AI35" i="14"/>
  <c r="AF35" i="14"/>
  <c r="AC35" i="14"/>
  <c r="Z35" i="14"/>
  <c r="W35" i="14"/>
  <c r="T35" i="14"/>
  <c r="Q35" i="14"/>
  <c r="N35" i="14"/>
  <c r="K35" i="14"/>
  <c r="H35" i="14"/>
  <c r="AO34" i="14"/>
  <c r="AL34" i="14"/>
  <c r="AI34" i="14"/>
  <c r="AF34" i="14"/>
  <c r="AC34" i="14"/>
  <c r="T34" i="14"/>
  <c r="Q34" i="14"/>
  <c r="N34" i="14"/>
  <c r="AO33" i="14"/>
  <c r="AL33" i="14"/>
  <c r="AI33" i="14"/>
  <c r="AF33" i="14"/>
  <c r="AC33" i="14"/>
  <c r="W33" i="14"/>
  <c r="T33" i="14"/>
  <c r="Q33" i="14"/>
  <c r="N33" i="14"/>
  <c r="K33" i="14"/>
  <c r="H33" i="14"/>
  <c r="AL32" i="14"/>
  <c r="AI32" i="14"/>
  <c r="Z32" i="14"/>
  <c r="Q32" i="14"/>
  <c r="N32" i="14"/>
  <c r="K32" i="14"/>
  <c r="J30" i="14"/>
  <c r="M30" i="14" s="1"/>
  <c r="N30" i="14" s="1"/>
  <c r="H30" i="14"/>
  <c r="H52" i="62" s="1"/>
  <c r="AL29" i="14"/>
  <c r="AI29" i="14"/>
  <c r="Z29" i="14"/>
  <c r="W29" i="14"/>
  <c r="Q29" i="14"/>
  <c r="N29" i="14"/>
  <c r="K29" i="14"/>
  <c r="J27" i="14"/>
  <c r="AO26" i="14"/>
  <c r="AL26" i="14"/>
  <c r="AI26" i="14"/>
  <c r="AF26" i="14"/>
  <c r="Q26" i="14"/>
  <c r="N26" i="14"/>
  <c r="AO24" i="14"/>
  <c r="AL24" i="14"/>
  <c r="AI24" i="14"/>
  <c r="AF24" i="14"/>
  <c r="AC24" i="14"/>
  <c r="Z24" i="14"/>
  <c r="W24" i="14"/>
  <c r="T24" i="14"/>
  <c r="Q24" i="14"/>
  <c r="N24" i="14"/>
  <c r="K24" i="14"/>
  <c r="AO23" i="14"/>
  <c r="AF23" i="14"/>
  <c r="AC23" i="14"/>
  <c r="Z23" i="14"/>
  <c r="T23" i="14"/>
  <c r="Q23" i="14"/>
  <c r="N23" i="14"/>
  <c r="AO22" i="14"/>
  <c r="AL22" i="14"/>
  <c r="AI22" i="14"/>
  <c r="AC22" i="14"/>
  <c r="Z22" i="14"/>
  <c r="W22" i="14"/>
  <c r="Q22" i="14"/>
  <c r="Q21" i="14" s="1"/>
  <c r="N22" i="14"/>
  <c r="K22"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O15" i="14"/>
  <c r="AL17" i="14"/>
  <c r="AL15" i="14" s="1"/>
  <c r="AI17" i="14"/>
  <c r="AI15" i="14" s="1"/>
  <c r="AF17" i="14"/>
  <c r="AF15" i="14" s="1"/>
  <c r="AC17" i="14"/>
  <c r="AC15" i="14" s="1"/>
  <c r="Z17" i="14"/>
  <c r="Z15" i="14" s="1"/>
  <c r="T17" i="14"/>
  <c r="T15" i="14" s="1"/>
  <c r="Q17" i="14"/>
  <c r="Q15" i="14"/>
  <c r="N17" i="14"/>
  <c r="N15" i="14" s="1"/>
  <c r="K17" i="14"/>
  <c r="K15" i="14" s="1"/>
  <c r="E16" i="14"/>
  <c r="AO14" i="14"/>
  <c r="AL14" i="14"/>
  <c r="AI14" i="14"/>
  <c r="AF14" i="14"/>
  <c r="AC14" i="14"/>
  <c r="Z14" i="14"/>
  <c r="W14" i="14"/>
  <c r="T14" i="14"/>
  <c r="Q14" i="14"/>
  <c r="N14" i="14"/>
  <c r="K14" i="14"/>
  <c r="H14" i="14"/>
  <c r="AO13" i="14"/>
  <c r="AL13" i="14"/>
  <c r="AI13" i="14"/>
  <c r="AF13" i="14"/>
  <c r="AC13" i="14"/>
  <c r="Z13" i="14"/>
  <c r="W13" i="14"/>
  <c r="Q13" i="14"/>
  <c r="N13" i="14"/>
  <c r="H13" i="14"/>
  <c r="AO12" i="14"/>
  <c r="AL12" i="14"/>
  <c r="AF12" i="14"/>
  <c r="AC12" i="14"/>
  <c r="Z12" i="14"/>
  <c r="Z9" i="14" s="1"/>
  <c r="W12" i="14"/>
  <c r="T12" i="14"/>
  <c r="Q12" i="14"/>
  <c r="N12" i="14"/>
  <c r="H12" i="14"/>
  <c r="AL11" i="14"/>
  <c r="AI11" i="14"/>
  <c r="AF11" i="14"/>
  <c r="Z11" i="14"/>
  <c r="W11" i="14"/>
  <c r="T11" i="14"/>
  <c r="N11" i="14"/>
  <c r="N9" i="14" s="1"/>
  <c r="K11" i="14"/>
  <c r="H11" i="14"/>
  <c r="AO10" i="14"/>
  <c r="AL10" i="14"/>
  <c r="AI10" i="14"/>
  <c r="AC10" i="14"/>
  <c r="Z10" i="14"/>
  <c r="W10" i="14"/>
  <c r="Q10" i="14"/>
  <c r="N10" i="14"/>
  <c r="K10" i="14"/>
  <c r="AN8" i="14"/>
  <c r="AK8" i="14"/>
  <c r="AH8" i="14"/>
  <c r="AE8" i="14"/>
  <c r="AB8" i="14"/>
  <c r="Y8" i="14"/>
  <c r="V8" i="14"/>
  <c r="S8" i="14"/>
  <c r="P8" i="14"/>
  <c r="M8" i="14"/>
  <c r="J8" i="14"/>
  <c r="G8" i="14"/>
  <c r="D8" i="14"/>
  <c r="C95" i="13"/>
  <c r="C93" i="13"/>
  <c r="P77" i="13"/>
  <c r="P75" i="13"/>
  <c r="P74" i="13"/>
  <c r="P73" i="13"/>
  <c r="P72" i="13"/>
  <c r="P71" i="13"/>
  <c r="P70" i="13"/>
  <c r="P69" i="13"/>
  <c r="P68" i="13"/>
  <c r="P67" i="13"/>
  <c r="P66" i="13"/>
  <c r="P65" i="13"/>
  <c r="P64" i="13"/>
  <c r="P62" i="13"/>
  <c r="P61" i="13"/>
  <c r="P60" i="13"/>
  <c r="P56" i="13"/>
  <c r="P54" i="13"/>
  <c r="P53" i="13"/>
  <c r="P52" i="13"/>
  <c r="P50" i="13"/>
  <c r="P47" i="13"/>
  <c r="P48" i="13"/>
  <c r="P49" i="13"/>
  <c r="P46" i="13"/>
  <c r="P14" i="13"/>
  <c r="P15" i="13"/>
  <c r="P16" i="13"/>
  <c r="P19" i="13"/>
  <c r="P20" i="13"/>
  <c r="P22" i="13"/>
  <c r="P23" i="13"/>
  <c r="P24" i="13"/>
  <c r="P25" i="13"/>
  <c r="P26" i="13"/>
  <c r="P27" i="13"/>
  <c r="P28" i="13"/>
  <c r="P29" i="13"/>
  <c r="P30" i="13"/>
  <c r="P31" i="13"/>
  <c r="P32" i="13"/>
  <c r="P33" i="13"/>
  <c r="P34" i="13"/>
  <c r="P35" i="13"/>
  <c r="P36" i="13"/>
  <c r="P37" i="13"/>
  <c r="P41" i="13"/>
  <c r="P42" i="13"/>
  <c r="P43" i="13"/>
  <c r="D82" i="13"/>
  <c r="D77" i="13"/>
  <c r="C77" i="13" s="1"/>
  <c r="D76" i="13"/>
  <c r="C76" i="13" s="1"/>
  <c r="D75" i="13"/>
  <c r="D74" i="13"/>
  <c r="D73" i="13"/>
  <c r="D72" i="13"/>
  <c r="D71" i="13"/>
  <c r="D70" i="13"/>
  <c r="D69" i="13"/>
  <c r="C69" i="13" s="1"/>
  <c r="D68" i="13"/>
  <c r="D67" i="13"/>
  <c r="D66" i="13"/>
  <c r="D65" i="13"/>
  <c r="D64" i="13"/>
  <c r="D62" i="13"/>
  <c r="C62" i="13" s="1"/>
  <c r="D61" i="13"/>
  <c r="D60" i="13"/>
  <c r="C60" i="13" s="1"/>
  <c r="D53" i="13"/>
  <c r="D54" i="13"/>
  <c r="D55" i="13"/>
  <c r="D56" i="13"/>
  <c r="D52" i="13"/>
  <c r="D47" i="13"/>
  <c r="D48" i="13"/>
  <c r="D49" i="13"/>
  <c r="D50" i="13"/>
  <c r="D46" i="13"/>
  <c r="D14" i="13"/>
  <c r="D15" i="13"/>
  <c r="D16" i="13"/>
  <c r="D17" i="13"/>
  <c r="C17" i="13" s="1"/>
  <c r="D18" i="13"/>
  <c r="D19" i="13"/>
  <c r="D20" i="13"/>
  <c r="D21" i="13"/>
  <c r="C21" i="13" s="1"/>
  <c r="D22" i="13"/>
  <c r="D23" i="13"/>
  <c r="D24" i="13"/>
  <c r="D25" i="13"/>
  <c r="C25" i="13" s="1"/>
  <c r="D26" i="13"/>
  <c r="D27" i="13"/>
  <c r="D28" i="13"/>
  <c r="D29" i="13"/>
  <c r="D30" i="13"/>
  <c r="D31" i="13"/>
  <c r="D32" i="13"/>
  <c r="D33" i="13"/>
  <c r="C33" i="13" s="1"/>
  <c r="D34" i="13"/>
  <c r="D35" i="13"/>
  <c r="D36" i="13"/>
  <c r="D37" i="13"/>
  <c r="D38" i="13"/>
  <c r="D41" i="13"/>
  <c r="D42" i="13"/>
  <c r="C42" i="13" s="1"/>
  <c r="D43" i="13"/>
  <c r="D13" i="13"/>
  <c r="D113" i="13"/>
  <c r="Z82" i="6"/>
  <c r="Z84" i="6"/>
  <c r="W82" i="6"/>
  <c r="W84" i="6"/>
  <c r="B73" i="6"/>
  <c r="B74" i="6"/>
  <c r="B75" i="6"/>
  <c r="B76" i="6"/>
  <c r="B72" i="6"/>
  <c r="D127" i="13"/>
  <c r="AH124" i="13"/>
  <c r="C124" i="13" s="1"/>
  <c r="C122" i="13"/>
  <c r="AH121" i="13"/>
  <c r="J121" i="13"/>
  <c r="AH120" i="13"/>
  <c r="C120" i="13" s="1"/>
  <c r="AH119" i="13"/>
  <c r="C119" i="13" s="1"/>
  <c r="AH118" i="13"/>
  <c r="AH117" i="13"/>
  <c r="AH115" i="13"/>
  <c r="AE10" i="13"/>
  <c r="AH114" i="13"/>
  <c r="AH113" i="13"/>
  <c r="AH111" i="13"/>
  <c r="D111" i="13"/>
  <c r="D108" i="13"/>
  <c r="AH104" i="13"/>
  <c r="D104" i="13"/>
  <c r="D100" i="13"/>
  <c r="AH99" i="13"/>
  <c r="D99" i="13"/>
  <c r="AH88" i="13"/>
  <c r="AH87" i="13" s="1"/>
  <c r="AJ87" i="13"/>
  <c r="AI87" i="13"/>
  <c r="AI80" i="13" s="1"/>
  <c r="AG87" i="13"/>
  <c r="AG80" i="13" s="1"/>
  <c r="AF87" i="13"/>
  <c r="AF80" i="13" s="1"/>
  <c r="AE87" i="13"/>
  <c r="AE80" i="13" s="1"/>
  <c r="AD87" i="13"/>
  <c r="AD80" i="13" s="1"/>
  <c r="V87" i="13"/>
  <c r="D84" i="13"/>
  <c r="D83" i="13"/>
  <c r="AL80" i="13"/>
  <c r="K80" i="13"/>
  <c r="J80" i="13"/>
  <c r="H80" i="13"/>
  <c r="F80" i="13"/>
  <c r="E80" i="13"/>
  <c r="J59" i="13"/>
  <c r="H59" i="13"/>
  <c r="F59" i="13"/>
  <c r="E59" i="13"/>
  <c r="P58" i="13"/>
  <c r="D58" i="13"/>
  <c r="P57" i="13"/>
  <c r="D57" i="13"/>
  <c r="J51" i="13"/>
  <c r="H51" i="13"/>
  <c r="F51" i="13"/>
  <c r="E51" i="13"/>
  <c r="A46" i="13"/>
  <c r="A47" i="13" s="1"/>
  <c r="A48" i="13" s="1"/>
  <c r="A49" i="13" s="1"/>
  <c r="A50" i="13" s="1"/>
  <c r="J45" i="13"/>
  <c r="H45" i="13"/>
  <c r="F45" i="13"/>
  <c r="E45" i="13"/>
  <c r="L15" i="17"/>
  <c r="W50" i="62"/>
  <c r="A2" i="138" a="1"/>
  <c r="AA28" i="14"/>
  <c r="AA25" i="14"/>
  <c r="I25" i="14"/>
  <c r="AD28" i="14"/>
  <c r="AM31" i="14"/>
  <c r="O25" i="14"/>
  <c r="AJ25" i="14"/>
  <c r="AG28" i="14"/>
  <c r="U25" i="14"/>
  <c r="O9" i="14"/>
  <c r="AA15" i="14"/>
  <c r="AJ15" i="14"/>
  <c r="AM15" i="14"/>
  <c r="I21" i="14"/>
  <c r="AD25" i="14"/>
  <c r="I15" i="14"/>
  <c r="AM28" i="14"/>
  <c r="AO29" i="14"/>
  <c r="U28" i="14"/>
  <c r="O15" i="14"/>
  <c r="AC21" i="14"/>
  <c r="AM25" i="14"/>
  <c r="AA9" i="14"/>
  <c r="C11" i="14"/>
  <c r="Q32" i="43" s="1"/>
  <c r="AD21" i="14"/>
  <c r="O28" i="14"/>
  <c r="AG15" i="14"/>
  <c r="AG31" i="14"/>
  <c r="AD15" i="14"/>
  <c r="X25" i="14"/>
  <c r="L15" i="14"/>
  <c r="X9" i="14"/>
  <c r="AG9" i="14"/>
  <c r="R15" i="14"/>
  <c r="AC29" i="14"/>
  <c r="AJ9" i="14"/>
  <c r="O21" i="14"/>
  <c r="AA31" i="14"/>
  <c r="C10" i="14"/>
  <c r="Q31" i="43" s="1"/>
  <c r="X15" i="14"/>
  <c r="C18" i="14"/>
  <c r="Q36" i="43" s="1"/>
  <c r="AA21" i="14"/>
  <c r="R21" i="14"/>
  <c r="L25" i="14"/>
  <c r="AC32" i="14"/>
  <c r="AC31" i="14" s="1"/>
  <c r="AM9" i="14"/>
  <c r="R28" i="14"/>
  <c r="AD31" i="14"/>
  <c r="AD9" i="14"/>
  <c r="C16" i="14"/>
  <c r="AG21" i="14"/>
  <c r="O31" i="14"/>
  <c r="AM21" i="14"/>
  <c r="C14" i="14"/>
  <c r="Q35" i="43"/>
  <c r="C29" i="14"/>
  <c r="Q31" i="14"/>
  <c r="L9" i="14"/>
  <c r="R25" i="14"/>
  <c r="AO32" i="14"/>
  <c r="AO31" i="14" s="1"/>
  <c r="AO21" i="14"/>
  <c r="AL31" i="14"/>
  <c r="T10" i="14"/>
  <c r="K12" i="14"/>
  <c r="F15" i="14"/>
  <c r="C20" i="14"/>
  <c r="Q38" i="43"/>
  <c r="H22" i="14"/>
  <c r="T22" i="14"/>
  <c r="AF22" i="14"/>
  <c r="L28" i="14"/>
  <c r="X28" i="14"/>
  <c r="H29" i="14"/>
  <c r="T29" i="14"/>
  <c r="E29" i="14" s="1"/>
  <c r="AF29" i="14"/>
  <c r="C35" i="14"/>
  <c r="Q49" i="43" s="1"/>
  <c r="AI12" i="14"/>
  <c r="U9" i="14"/>
  <c r="D16" i="14"/>
  <c r="L21" i="14"/>
  <c r="X21" i="14"/>
  <c r="L31" i="14"/>
  <c r="AJ31" i="14"/>
  <c r="AF32" i="14"/>
  <c r="H17" i="14"/>
  <c r="H15" i="14" s="1"/>
  <c r="Q11" i="14"/>
  <c r="AC11" i="14"/>
  <c r="AO11" i="14"/>
  <c r="AO9" i="14" s="1"/>
  <c r="K23" i="14"/>
  <c r="W23" i="14"/>
  <c r="W21" i="14" s="1"/>
  <c r="AI23" i="14"/>
  <c r="F28" i="14"/>
  <c r="K26" i="14"/>
  <c r="C12" i="14"/>
  <c r="Q33" i="43" s="1"/>
  <c r="C19" i="14"/>
  <c r="Q37" i="43" s="1"/>
  <c r="Q37" i="150" s="1"/>
  <c r="AF10" i="14"/>
  <c r="H10" i="14"/>
  <c r="F9" i="14"/>
  <c r="U21" i="14"/>
  <c r="AG25" i="14"/>
  <c r="AF10" i="13"/>
  <c r="N28" i="14"/>
  <c r="N52" i="62"/>
  <c r="C16" i="57"/>
  <c r="C16" i="67" s="1"/>
  <c r="H9" i="14"/>
  <c r="T85" i="13"/>
  <c r="T80" i="13" s="1"/>
  <c r="U87" i="13"/>
  <c r="P88" i="13"/>
  <c r="Z97" i="13"/>
  <c r="E118" i="13"/>
  <c r="J33" i="9"/>
  <c r="X58" i="9"/>
  <c r="X57" i="9"/>
  <c r="X53" i="9"/>
  <c r="X49" i="9"/>
  <c r="X47" i="9"/>
  <c r="X46" i="9"/>
  <c r="X45" i="9"/>
  <c r="X39" i="9"/>
  <c r="X36" i="9"/>
  <c r="X29" i="9"/>
  <c r="X30" i="9"/>
  <c r="X31" i="9"/>
  <c r="X32" i="9"/>
  <c r="X19" i="9"/>
  <c r="X17" i="9"/>
  <c r="AB52" i="9"/>
  <c r="AA52" i="9"/>
  <c r="Z52" i="9"/>
  <c r="Y52" i="9"/>
  <c r="W52" i="9"/>
  <c r="AB44" i="9"/>
  <c r="AA44" i="9"/>
  <c r="Z44" i="9"/>
  <c r="Y44" i="9"/>
  <c r="W44" i="9"/>
  <c r="AB41" i="9"/>
  <c r="AA41" i="9"/>
  <c r="Z41" i="9"/>
  <c r="Y41" i="9"/>
  <c r="X41" i="9"/>
  <c r="W41" i="9"/>
  <c r="W40" i="9" s="1"/>
  <c r="AB35" i="9"/>
  <c r="AA35" i="9"/>
  <c r="Z35" i="9"/>
  <c r="Y35" i="9"/>
  <c r="W35" i="9"/>
  <c r="AB26" i="9"/>
  <c r="AA26" i="9"/>
  <c r="Z26" i="9"/>
  <c r="Y26" i="9"/>
  <c r="W26" i="9"/>
  <c r="AB15" i="9"/>
  <c r="AB13" i="9" s="1"/>
  <c r="AA15" i="9"/>
  <c r="AA13" i="9" s="1"/>
  <c r="AA64" i="9" s="1"/>
  <c r="Z15" i="9"/>
  <c r="Z13" i="9" s="1"/>
  <c r="Z64" i="9" s="1"/>
  <c r="Y15" i="9"/>
  <c r="Y13" i="9" s="1"/>
  <c r="Y64" i="9" s="1"/>
  <c r="M26" i="9"/>
  <c r="M25" i="9" s="1"/>
  <c r="M24" i="9"/>
  <c r="O26" i="9"/>
  <c r="P26" i="9"/>
  <c r="Q26" i="9"/>
  <c r="Q25" i="9" s="1"/>
  <c r="Q24" i="9" s="1"/>
  <c r="R26" i="9"/>
  <c r="S26" i="9"/>
  <c r="S25" i="9" s="1"/>
  <c r="S24" i="9" s="1"/>
  <c r="T26" i="9"/>
  <c r="T25" i="9" s="1"/>
  <c r="T24" i="9" s="1"/>
  <c r="U26" i="9"/>
  <c r="U25" i="9"/>
  <c r="U24" i="9" s="1"/>
  <c r="V26" i="9"/>
  <c r="V25" i="9" s="1"/>
  <c r="V24" i="9" s="1"/>
  <c r="V35" i="9"/>
  <c r="U35" i="9"/>
  <c r="S38" i="9"/>
  <c r="S35" i="9" s="1"/>
  <c r="Q38" i="9"/>
  <c r="Q35" i="9" s="1"/>
  <c r="M52" i="9"/>
  <c r="N52" i="9"/>
  <c r="O52" i="9"/>
  <c r="P52" i="9"/>
  <c r="Q52" i="9"/>
  <c r="R52" i="9"/>
  <c r="S52" i="9"/>
  <c r="T52" i="9"/>
  <c r="U52" i="9"/>
  <c r="U50" i="9" s="1"/>
  <c r="V52" i="9"/>
  <c r="V50" i="9" s="1"/>
  <c r="U59" i="9"/>
  <c r="V44" i="9"/>
  <c r="U44" i="9"/>
  <c r="T44" i="9"/>
  <c r="S44" i="9"/>
  <c r="R44" i="9"/>
  <c r="R40" i="9" s="1"/>
  <c r="Q44" i="9"/>
  <c r="Q40" i="9" s="1"/>
  <c r="P44" i="9"/>
  <c r="O44" i="9"/>
  <c r="M44" i="9"/>
  <c r="L44" i="9"/>
  <c r="V41" i="9"/>
  <c r="U41" i="9"/>
  <c r="T41" i="9"/>
  <c r="S41" i="9"/>
  <c r="S40" i="9" s="1"/>
  <c r="R41" i="9"/>
  <c r="Q41" i="9"/>
  <c r="P41" i="9"/>
  <c r="P40" i="9" s="1"/>
  <c r="O41" i="9"/>
  <c r="O40" i="9" s="1"/>
  <c r="N41" i="9"/>
  <c r="M41" i="9"/>
  <c r="L41" i="9"/>
  <c r="L40" i="9" s="1"/>
  <c r="M38" i="9"/>
  <c r="M35" i="9" s="1"/>
  <c r="V33" i="9"/>
  <c r="V59" i="9" s="1"/>
  <c r="W33" i="9"/>
  <c r="W59" i="9" s="1"/>
  <c r="W50" i="9" s="1"/>
  <c r="T33" i="9"/>
  <c r="T38" i="9" s="1"/>
  <c r="T35" i="9" s="1"/>
  <c r="R33" i="9"/>
  <c r="R38" i="9" s="1"/>
  <c r="R35" i="9" s="1"/>
  <c r="N33" i="9"/>
  <c r="N38" i="9" s="1"/>
  <c r="O33" i="9"/>
  <c r="O38" i="9" s="1"/>
  <c r="O35" i="9" s="1"/>
  <c r="V15" i="9"/>
  <c r="V13" i="9" s="1"/>
  <c r="U15" i="9"/>
  <c r="U13" i="9" s="1"/>
  <c r="T15" i="9"/>
  <c r="S15" i="9"/>
  <c r="R15" i="9"/>
  <c r="Q15" i="9"/>
  <c r="P15" i="9"/>
  <c r="O15" i="9"/>
  <c r="M15" i="9"/>
  <c r="L59" i="9"/>
  <c r="L52" i="9"/>
  <c r="I52" i="9"/>
  <c r="I50" i="9" s="1"/>
  <c r="K18" i="9"/>
  <c r="I59" i="9"/>
  <c r="I44" i="9"/>
  <c r="I40" i="9" s="1"/>
  <c r="I35" i="9"/>
  <c r="I26" i="9"/>
  <c r="I25" i="9" s="1"/>
  <c r="I24" i="9" s="1"/>
  <c r="J15" i="9"/>
  <c r="I15" i="9"/>
  <c r="I13" i="9" s="1"/>
  <c r="H59" i="9"/>
  <c r="G59" i="9"/>
  <c r="F59" i="9"/>
  <c r="E59" i="9"/>
  <c r="G38" i="9"/>
  <c r="AA40" i="9"/>
  <c r="W15" i="9"/>
  <c r="W13" i="9" s="1"/>
  <c r="D59" i="9"/>
  <c r="C59" i="9"/>
  <c r="D56" i="9"/>
  <c r="X56" i="9"/>
  <c r="D55" i="9"/>
  <c r="X55" i="9" s="1"/>
  <c r="D54" i="9"/>
  <c r="X54" i="9" s="1"/>
  <c r="C56" i="9"/>
  <c r="C55" i="9"/>
  <c r="C54" i="9"/>
  <c r="D16" i="8"/>
  <c r="D9" i="8" s="1"/>
  <c r="D37" i="8"/>
  <c r="AH19" i="11"/>
  <c r="AH5" i="11"/>
  <c r="AG5" i="11"/>
  <c r="AG13" i="11" s="1"/>
  <c r="AF5" i="11"/>
  <c r="AE5" i="11"/>
  <c r="AE21" i="11" s="1"/>
  <c r="AB5" i="11"/>
  <c r="AB14" i="11" s="1"/>
  <c r="AC5" i="11"/>
  <c r="AD5" i="11"/>
  <c r="AD12" i="11" s="1"/>
  <c r="AA16" i="11"/>
  <c r="AA8" i="11"/>
  <c r="AA7" i="11"/>
  <c r="AA6" i="11"/>
  <c r="AC21" i="11"/>
  <c r="AG14" i="11"/>
  <c r="AB68" i="11"/>
  <c r="AB67" i="11"/>
  <c r="AA67" i="11"/>
  <c r="AD65" i="11"/>
  <c r="AB65" i="11"/>
  <c r="AR21" i="11"/>
  <c r="AP21" i="11"/>
  <c r="AN21" i="11"/>
  <c r="AJ21" i="11"/>
  <c r="AH21" i="11"/>
  <c r="AR19" i="11"/>
  <c r="AP19" i="11"/>
  <c r="AN19" i="11"/>
  <c r="AJ19" i="11"/>
  <c r="AR11" i="11"/>
  <c r="AP11" i="11"/>
  <c r="AN11" i="11"/>
  <c r="AJ11" i="11"/>
  <c r="AH11" i="11"/>
  <c r="AR5" i="11"/>
  <c r="AP5" i="11"/>
  <c r="AP10" i="11" s="1"/>
  <c r="AN5" i="11"/>
  <c r="AJ5" i="11"/>
  <c r="AJ10" i="11" s="1"/>
  <c r="B143" i="11"/>
  <c r="C143" i="11"/>
  <c r="C144" i="11" s="1"/>
  <c r="C141" i="11"/>
  <c r="C140" i="11"/>
  <c r="C139" i="11"/>
  <c r="C138" i="11"/>
  <c r="C137" i="11"/>
  <c r="C136" i="11"/>
  <c r="C135" i="11"/>
  <c r="C134" i="11"/>
  <c r="C133" i="11"/>
  <c r="C132" i="11"/>
  <c r="C131" i="11"/>
  <c r="C130" i="11"/>
  <c r="C129" i="11"/>
  <c r="S25" i="10"/>
  <c r="S23" i="10" s="1"/>
  <c r="N25" i="10"/>
  <c r="T25" i="10"/>
  <c r="M25" i="10"/>
  <c r="S24" i="10"/>
  <c r="N24" i="10"/>
  <c r="T24" i="10" s="1"/>
  <c r="M24" i="10"/>
  <c r="R23" i="10"/>
  <c r="R8" i="10"/>
  <c r="Q23" i="10"/>
  <c r="Q8" i="10"/>
  <c r="P23" i="10"/>
  <c r="P8" i="10" s="1"/>
  <c r="O23" i="10"/>
  <c r="O8" i="10" s="1"/>
  <c r="L23" i="10"/>
  <c r="L8" i="10" s="1"/>
  <c r="K23" i="10"/>
  <c r="K8" i="10" s="1"/>
  <c r="J23" i="10"/>
  <c r="I23" i="10"/>
  <c r="H23" i="10"/>
  <c r="G23" i="10"/>
  <c r="G8" i="10" s="1"/>
  <c r="F23" i="10"/>
  <c r="E23" i="10"/>
  <c r="E8" i="10" s="1"/>
  <c r="D23" i="10"/>
  <c r="D8" i="10"/>
  <c r="C23" i="10"/>
  <c r="C8" i="10" s="1"/>
  <c r="S22" i="10"/>
  <c r="N22" i="10"/>
  <c r="T22" i="10" s="1"/>
  <c r="M22" i="10"/>
  <c r="S21" i="10"/>
  <c r="N21" i="10"/>
  <c r="T21" i="10"/>
  <c r="M21" i="10"/>
  <c r="S20" i="10"/>
  <c r="N20" i="10"/>
  <c r="T20" i="10" s="1"/>
  <c r="M20" i="10"/>
  <c r="S19" i="10"/>
  <c r="N19" i="10"/>
  <c r="T19" i="10"/>
  <c r="M19" i="10"/>
  <c r="H19" i="10"/>
  <c r="S18" i="10"/>
  <c r="N18" i="10"/>
  <c r="T18" i="10" s="1"/>
  <c r="M18" i="10"/>
  <c r="H18" i="10"/>
  <c r="S17" i="10"/>
  <c r="N17" i="10"/>
  <c r="T17" i="10" s="1"/>
  <c r="M17" i="10"/>
  <c r="H17" i="10"/>
  <c r="S16" i="10"/>
  <c r="N16" i="10"/>
  <c r="T16" i="10"/>
  <c r="M16" i="10"/>
  <c r="H16" i="10"/>
  <c r="S15" i="10"/>
  <c r="N15" i="10"/>
  <c r="T15" i="10" s="1"/>
  <c r="M15" i="10"/>
  <c r="H15" i="10"/>
  <c r="S14" i="10"/>
  <c r="N14" i="10"/>
  <c r="T14" i="10" s="1"/>
  <c r="M14" i="10"/>
  <c r="H14" i="10"/>
  <c r="S13" i="10"/>
  <c r="N13" i="10"/>
  <c r="T13" i="10" s="1"/>
  <c r="M13" i="10"/>
  <c r="H13" i="10"/>
  <c r="S12" i="10"/>
  <c r="N12" i="10"/>
  <c r="T12" i="10" s="1"/>
  <c r="M12" i="10"/>
  <c r="H12" i="10"/>
  <c r="S11" i="10"/>
  <c r="N11" i="10"/>
  <c r="T11" i="10" s="1"/>
  <c r="M11" i="10"/>
  <c r="H11" i="10"/>
  <c r="S10" i="10"/>
  <c r="J10" i="10"/>
  <c r="I10" i="10"/>
  <c r="M10" i="10" s="1"/>
  <c r="H10" i="10"/>
  <c r="S9" i="10"/>
  <c r="N9" i="10"/>
  <c r="T9" i="10" s="1"/>
  <c r="M9" i="10"/>
  <c r="F9" i="10"/>
  <c r="H9" i="10" s="1"/>
  <c r="AZ52" i="5"/>
  <c r="AZ16" i="5"/>
  <c r="AZ38" i="5"/>
  <c r="AZ37" i="5"/>
  <c r="AI75" i="3"/>
  <c r="AG76" i="3"/>
  <c r="AK75" i="3"/>
  <c r="B54" i="9"/>
  <c r="B55" i="9"/>
  <c r="B56" i="9"/>
  <c r="B53" i="9"/>
  <c r="AB64" i="9"/>
  <c r="E9" i="9"/>
  <c r="E10" i="9" s="1"/>
  <c r="C9" i="9"/>
  <c r="C10" i="9" s="1"/>
  <c r="K56" i="9"/>
  <c r="K52" i="9" s="1"/>
  <c r="J52" i="9"/>
  <c r="H52" i="9"/>
  <c r="H50" i="9" s="1"/>
  <c r="G52" i="9"/>
  <c r="G50" i="9" s="1"/>
  <c r="F52" i="9"/>
  <c r="E52" i="9"/>
  <c r="N48" i="9"/>
  <c r="N44" i="9" s="1"/>
  <c r="N40" i="9" s="1"/>
  <c r="K48" i="9"/>
  <c r="K44" i="9" s="1"/>
  <c r="J48" i="9"/>
  <c r="H44" i="9"/>
  <c r="G44" i="9"/>
  <c r="F44" i="9"/>
  <c r="E44" i="9"/>
  <c r="D44" i="9"/>
  <c r="C44" i="9"/>
  <c r="K41" i="9"/>
  <c r="K40" i="9" s="1"/>
  <c r="J41" i="9"/>
  <c r="H41" i="9"/>
  <c r="H40" i="9" s="1"/>
  <c r="G41" i="9"/>
  <c r="G40" i="9" s="1"/>
  <c r="F41" i="9"/>
  <c r="F40" i="9" s="1"/>
  <c r="E41" i="9"/>
  <c r="E40" i="9" s="1"/>
  <c r="D41" i="9"/>
  <c r="D40" i="9" s="1"/>
  <c r="C41" i="9"/>
  <c r="C40" i="9" s="1"/>
  <c r="H38" i="9"/>
  <c r="F35" i="9"/>
  <c r="E35" i="9"/>
  <c r="D35" i="9"/>
  <c r="C35" i="9"/>
  <c r="J22" i="9"/>
  <c r="N30" i="9"/>
  <c r="N26" i="9" s="1"/>
  <c r="N37" i="9" s="1"/>
  <c r="N35" i="9" s="1"/>
  <c r="K30" i="9"/>
  <c r="K26" i="9" s="1"/>
  <c r="J26" i="9"/>
  <c r="G26" i="9"/>
  <c r="G37" i="9" s="1"/>
  <c r="G35" i="9" s="1"/>
  <c r="F26" i="9"/>
  <c r="F25" i="9" s="1"/>
  <c r="F24" i="9" s="1"/>
  <c r="E26" i="9"/>
  <c r="E25" i="9" s="1"/>
  <c r="E24" i="9" s="1"/>
  <c r="D26" i="9"/>
  <c r="D25" i="9" s="1"/>
  <c r="D24" i="9" s="1"/>
  <c r="C26" i="9"/>
  <c r="C25" i="9" s="1"/>
  <c r="C24" i="9" s="1"/>
  <c r="N19" i="9"/>
  <c r="N15" i="9" s="1"/>
  <c r="H15" i="9"/>
  <c r="H13" i="9" s="1"/>
  <c r="G15" i="9"/>
  <c r="G13" i="9" s="1"/>
  <c r="F15" i="9"/>
  <c r="F13" i="9" s="1"/>
  <c r="E15" i="9"/>
  <c r="E13" i="9" s="1"/>
  <c r="D15" i="9"/>
  <c r="D13" i="9" s="1"/>
  <c r="C15" i="9"/>
  <c r="C13" i="9" s="1"/>
  <c r="H12" i="9"/>
  <c r="G12" i="9"/>
  <c r="F50" i="9"/>
  <c r="G25" i="9"/>
  <c r="G24" i="9" s="1"/>
  <c r="H26" i="9"/>
  <c r="H37" i="9" s="1"/>
  <c r="J35" i="9"/>
  <c r="K38" i="9"/>
  <c r="L38" i="9" s="1"/>
  <c r="AH51" i="5"/>
  <c r="AH52" i="5" s="1"/>
  <c r="AJ37" i="5"/>
  <c r="AJ36" i="5" s="1"/>
  <c r="AJ35" i="5" s="1"/>
  <c r="AJ51" i="5"/>
  <c r="AJ16" i="5"/>
  <c r="AL51" i="5"/>
  <c r="AL52" i="5"/>
  <c r="AN16" i="5"/>
  <c r="AN52" i="5"/>
  <c r="AN54" i="5"/>
  <c r="AR54" i="5" s="1"/>
  <c r="AP16" i="5"/>
  <c r="AP11" i="5" s="1"/>
  <c r="AP52" i="5"/>
  <c r="AP39" i="5"/>
  <c r="AX16" i="5"/>
  <c r="AV16" i="5"/>
  <c r="AT45" i="5"/>
  <c r="AT44" i="5"/>
  <c r="AT43" i="5"/>
  <c r="AT34" i="5"/>
  <c r="AT33" i="5"/>
  <c r="AT32" i="5"/>
  <c r="AT31" i="5"/>
  <c r="AT29" i="5"/>
  <c r="AT28" i="5"/>
  <c r="AT26" i="5"/>
  <c r="AT25" i="5"/>
  <c r="AT24" i="5"/>
  <c r="AT23" i="5"/>
  <c r="AT22" i="5"/>
  <c r="AT21" i="5"/>
  <c r="AT19" i="5"/>
  <c r="AT15" i="5"/>
  <c r="AT13" i="5"/>
  <c r="AB20" i="5"/>
  <c r="AB17" i="5" s="1"/>
  <c r="AD20" i="5"/>
  <c r="AD17" i="5" s="1"/>
  <c r="AC17" i="5"/>
  <c r="AA17" i="5"/>
  <c r="AD11" i="5"/>
  <c r="AC11" i="5"/>
  <c r="AB11" i="5"/>
  <c r="AB10" i="5" s="1"/>
  <c r="AB9" i="5" s="1"/>
  <c r="AA11" i="5"/>
  <c r="AA10" i="5" s="1"/>
  <c r="AA9" i="5" s="1"/>
  <c r="AV30" i="5"/>
  <c r="BH30" i="5" s="1"/>
  <c r="AZ51" i="5"/>
  <c r="AV41" i="5"/>
  <c r="AV37" i="5"/>
  <c r="AV51" i="5"/>
  <c r="AX37" i="5"/>
  <c r="AX51" i="5"/>
  <c r="AX30" i="5"/>
  <c r="AX52" i="5"/>
  <c r="AZ39" i="5"/>
  <c r="Z58" i="6"/>
  <c r="Z55" i="6"/>
  <c r="Z52" i="6"/>
  <c r="Z38" i="6"/>
  <c r="Y38" i="6"/>
  <c r="Z37" i="6"/>
  <c r="Z58" i="7"/>
  <c r="Z55" i="7"/>
  <c r="Z52" i="7"/>
  <c r="Z37" i="7"/>
  <c r="Y38" i="7"/>
  <c r="Z38" i="7"/>
  <c r="AP16" i="4"/>
  <c r="W39" i="6"/>
  <c r="W38" i="6"/>
  <c r="W75" i="6" s="1"/>
  <c r="W38" i="7"/>
  <c r="W39" i="7"/>
  <c r="W58" i="6"/>
  <c r="W55" i="6"/>
  <c r="W52" i="6"/>
  <c r="V38" i="6"/>
  <c r="W58" i="7"/>
  <c r="W55" i="7"/>
  <c r="W51" i="7" s="1"/>
  <c r="W52" i="7"/>
  <c r="V38" i="7"/>
  <c r="U38" i="7" s="1"/>
  <c r="AK14" i="4"/>
  <c r="AJ45" i="4"/>
  <c r="AL65" i="4"/>
  <c r="AL64" i="4"/>
  <c r="AL63" i="4"/>
  <c r="AL62" i="4"/>
  <c r="AL61" i="4"/>
  <c r="AL60" i="4"/>
  <c r="AO59" i="4"/>
  <c r="AO16" i="4" s="1"/>
  <c r="AG65" i="4"/>
  <c r="AG64" i="4"/>
  <c r="AG63" i="4"/>
  <c r="AG62" i="4"/>
  <c r="AG61" i="4"/>
  <c r="AG60" i="4"/>
  <c r="AJ59" i="4"/>
  <c r="AJ16" i="4" s="1"/>
  <c r="S61" i="6"/>
  <c r="R61" i="6" s="1"/>
  <c r="T58" i="6"/>
  <c r="T55" i="6"/>
  <c r="T52" i="6"/>
  <c r="T39" i="6"/>
  <c r="T38" i="6"/>
  <c r="T75" i="6" s="1"/>
  <c r="S38" i="6"/>
  <c r="T37" i="6"/>
  <c r="T74" i="6" s="1"/>
  <c r="T58" i="7"/>
  <c r="T55" i="7"/>
  <c r="T51" i="7" s="1"/>
  <c r="S61" i="7"/>
  <c r="R61" i="7" s="1"/>
  <c r="T52" i="7"/>
  <c r="T39" i="7"/>
  <c r="T38" i="7"/>
  <c r="S38" i="7"/>
  <c r="R38" i="7" s="1"/>
  <c r="T37" i="7"/>
  <c r="AB45" i="4"/>
  <c r="BM45" i="5" s="1"/>
  <c r="BN45" i="5" s="1"/>
  <c r="AB65" i="4"/>
  <c r="AB64" i="4"/>
  <c r="AB63" i="4"/>
  <c r="AB62" i="4"/>
  <c r="AB61" i="4"/>
  <c r="AB60" i="4"/>
  <c r="AE59" i="4"/>
  <c r="AE16" i="4"/>
  <c r="P61" i="6"/>
  <c r="O61" i="6" s="1"/>
  <c r="Q58" i="6"/>
  <c r="Q55" i="6"/>
  <c r="Q52" i="6"/>
  <c r="Q51" i="6" s="1"/>
  <c r="Q50" i="6"/>
  <c r="Q48" i="6"/>
  <c r="O41" i="6"/>
  <c r="Q39" i="6"/>
  <c r="Q38" i="6"/>
  <c r="P38" i="6"/>
  <c r="Q37" i="6"/>
  <c r="Q52" i="7"/>
  <c r="Q51" i="7" s="1"/>
  <c r="Q55" i="7"/>
  <c r="Q58" i="7"/>
  <c r="P61" i="7"/>
  <c r="O61" i="7"/>
  <c r="Q48" i="7"/>
  <c r="Q50" i="7"/>
  <c r="O41" i="7"/>
  <c r="Q37" i="7"/>
  <c r="P38" i="7"/>
  <c r="Q38" i="7"/>
  <c r="O38" i="7" s="1"/>
  <c r="Q39" i="7"/>
  <c r="AA59" i="4"/>
  <c r="Z59" i="4"/>
  <c r="Z16" i="4" s="1"/>
  <c r="W16" i="4" s="1"/>
  <c r="BK16" i="5" s="1"/>
  <c r="BL16" i="5" s="1"/>
  <c r="W65" i="4"/>
  <c r="W64" i="4"/>
  <c r="W63" i="4"/>
  <c r="W62" i="4"/>
  <c r="W61" i="4"/>
  <c r="W60" i="4"/>
  <c r="W45" i="4"/>
  <c r="BK45" i="5" s="1"/>
  <c r="Z32" i="4"/>
  <c r="Z31" i="4"/>
  <c r="Z31" i="37" s="1"/>
  <c r="AE31" i="37" s="1"/>
  <c r="AJ31" i="37" s="1"/>
  <c r="AO31" i="37" s="1"/>
  <c r="AL31" i="37" s="1"/>
  <c r="M45" i="4"/>
  <c r="BC45" i="5" s="1"/>
  <c r="N58" i="6"/>
  <c r="N55" i="6"/>
  <c r="N52" i="6"/>
  <c r="N50" i="6"/>
  <c r="Q84" i="6" s="1"/>
  <c r="M50" i="6"/>
  <c r="N48" i="6"/>
  <c r="M48" i="6"/>
  <c r="N39" i="6"/>
  <c r="N76" i="6" s="1"/>
  <c r="N38" i="6"/>
  <c r="M38" i="6"/>
  <c r="N37" i="6"/>
  <c r="M31" i="6"/>
  <c r="L31" i="6" s="1"/>
  <c r="N21" i="6"/>
  <c r="N16" i="6"/>
  <c r="N15" i="6"/>
  <c r="N14" i="6"/>
  <c r="K49" i="7"/>
  <c r="N58" i="7"/>
  <c r="N55" i="7"/>
  <c r="N52" i="7"/>
  <c r="N48" i="7"/>
  <c r="N50" i="7"/>
  <c r="M50" i="7"/>
  <c r="M48" i="7"/>
  <c r="N37" i="7"/>
  <c r="M38" i="7"/>
  <c r="N38" i="7"/>
  <c r="N39" i="7"/>
  <c r="U45" i="4"/>
  <c r="U43" i="4"/>
  <c r="M59" i="39" s="1"/>
  <c r="L59" i="39" s="1"/>
  <c r="V13" i="4"/>
  <c r="V11" i="4" s="1"/>
  <c r="V59" i="4"/>
  <c r="R65" i="4"/>
  <c r="R64" i="4"/>
  <c r="R63" i="4"/>
  <c r="R62" i="4"/>
  <c r="R60" i="4"/>
  <c r="I62" i="6"/>
  <c r="J61" i="6"/>
  <c r="I61" i="6" s="1"/>
  <c r="J59" i="6"/>
  <c r="I59" i="6" s="1"/>
  <c r="K58" i="6"/>
  <c r="K55" i="6"/>
  <c r="K52" i="6"/>
  <c r="K50" i="6"/>
  <c r="N84" i="6" s="1"/>
  <c r="K48" i="6"/>
  <c r="N82" i="6" s="1"/>
  <c r="K38" i="6"/>
  <c r="J38" i="6"/>
  <c r="K37" i="6"/>
  <c r="J61" i="7"/>
  <c r="I61" i="7" s="1"/>
  <c r="J59" i="7"/>
  <c r="I59" i="7" s="1"/>
  <c r="K58" i="7"/>
  <c r="K55" i="7"/>
  <c r="K52" i="7"/>
  <c r="K50" i="7"/>
  <c r="K48" i="7"/>
  <c r="K37" i="7"/>
  <c r="J38" i="7"/>
  <c r="K38" i="7"/>
  <c r="Q22" i="4"/>
  <c r="V12" i="4"/>
  <c r="N35" i="39" s="1"/>
  <c r="J50" i="7"/>
  <c r="I50" i="7" s="1"/>
  <c r="M65" i="4"/>
  <c r="M64" i="4"/>
  <c r="M63" i="4"/>
  <c r="M62" i="4"/>
  <c r="M60" i="4"/>
  <c r="Q59" i="4"/>
  <c r="Q16" i="4"/>
  <c r="K39" i="7" s="1"/>
  <c r="Z31" i="6"/>
  <c r="W31" i="6"/>
  <c r="T31" i="6"/>
  <c r="Q31" i="6"/>
  <c r="K31" i="6"/>
  <c r="K31" i="7"/>
  <c r="P50" i="38"/>
  <c r="S50" i="38" s="1"/>
  <c r="AE32" i="4"/>
  <c r="S48" i="6" s="1"/>
  <c r="Z32" i="37"/>
  <c r="W32" i="37" s="1"/>
  <c r="P48" i="39"/>
  <c r="P48" i="38"/>
  <c r="L68" i="46"/>
  <c r="L68" i="45"/>
  <c r="M61" i="39"/>
  <c r="S61" i="39" s="1"/>
  <c r="R61" i="39" s="1"/>
  <c r="M61" i="38"/>
  <c r="L61" i="38" s="1"/>
  <c r="R61" i="38" s="1"/>
  <c r="V61" i="7"/>
  <c r="U61" i="7" s="1"/>
  <c r="Y85" i="46"/>
  <c r="K27" i="19"/>
  <c r="U42" i="45"/>
  <c r="Z42" i="46"/>
  <c r="AC39" i="38"/>
  <c r="M59" i="38"/>
  <c r="L59" i="38" s="1"/>
  <c r="P50" i="7"/>
  <c r="W76" i="6"/>
  <c r="P48" i="7"/>
  <c r="M59" i="7"/>
  <c r="L59" i="7" s="1"/>
  <c r="K42" i="7"/>
  <c r="P48" i="6"/>
  <c r="K35" i="7"/>
  <c r="Z39" i="6"/>
  <c r="Z76" i="6" s="1"/>
  <c r="M61" i="7"/>
  <c r="L61" i="7" s="1"/>
  <c r="R45" i="4"/>
  <c r="BI45" i="5" s="1"/>
  <c r="N35" i="6"/>
  <c r="N72" i="6" s="1"/>
  <c r="U38" i="6"/>
  <c r="N43" i="7"/>
  <c r="N43" i="6"/>
  <c r="J50" i="6"/>
  <c r="M61" i="6"/>
  <c r="L61" i="6" s="1"/>
  <c r="K39" i="6"/>
  <c r="Z39" i="7"/>
  <c r="T84" i="6"/>
  <c r="Y75" i="6"/>
  <c r="K35" i="6"/>
  <c r="K42" i="6"/>
  <c r="K43" i="6"/>
  <c r="R61" i="4"/>
  <c r="R59" i="4" s="1"/>
  <c r="U59" i="4"/>
  <c r="U16" i="4" s="1"/>
  <c r="K49" i="6"/>
  <c r="L61" i="39"/>
  <c r="P82" i="39"/>
  <c r="AE32" i="37"/>
  <c r="AB32" i="37" s="1"/>
  <c r="AD32" i="37" s="1"/>
  <c r="M39" i="38"/>
  <c r="L39" i="38" s="1"/>
  <c r="BJ45" i="5"/>
  <c r="L42" i="46"/>
  <c r="N14" i="7"/>
  <c r="E15" i="7"/>
  <c r="K15" i="7"/>
  <c r="N15" i="7"/>
  <c r="Q15" i="7"/>
  <c r="T15" i="7"/>
  <c r="W15" i="7"/>
  <c r="Z15" i="7"/>
  <c r="Z73" i="7" s="1"/>
  <c r="E16" i="7"/>
  <c r="K16" i="7"/>
  <c r="N16" i="7"/>
  <c r="Q16" i="7"/>
  <c r="T16" i="7"/>
  <c r="W16" i="7"/>
  <c r="Z16" i="7"/>
  <c r="E19" i="7"/>
  <c r="H19" i="7" s="1"/>
  <c r="K19" i="7" s="1"/>
  <c r="E21" i="7"/>
  <c r="H21" i="7"/>
  <c r="K21" i="7"/>
  <c r="N21" i="7"/>
  <c r="Q21" i="7"/>
  <c r="T21" i="7"/>
  <c r="W21" i="7"/>
  <c r="Z21" i="7"/>
  <c r="E25" i="7"/>
  <c r="E24" i="7" s="1"/>
  <c r="E28" i="7"/>
  <c r="D29" i="7"/>
  <c r="E29" i="7"/>
  <c r="D30" i="7"/>
  <c r="E30" i="7"/>
  <c r="H30" i="7"/>
  <c r="D31" i="7"/>
  <c r="E31" i="7"/>
  <c r="J31" i="7"/>
  <c r="I31" i="7" s="1"/>
  <c r="M31" i="7"/>
  <c r="L31" i="7" s="1"/>
  <c r="P31" i="7"/>
  <c r="O31" i="7" s="1"/>
  <c r="S31" i="7"/>
  <c r="R31" i="7" s="1"/>
  <c r="V31" i="7"/>
  <c r="U31" i="7" s="1"/>
  <c r="Y31" i="7"/>
  <c r="X31" i="7" s="1"/>
  <c r="D35" i="7"/>
  <c r="E35" i="7"/>
  <c r="E37" i="7"/>
  <c r="E38" i="7"/>
  <c r="D39" i="7"/>
  <c r="E39" i="7"/>
  <c r="D42" i="7"/>
  <c r="E42" i="7"/>
  <c r="C42" i="7" s="1"/>
  <c r="D43" i="7"/>
  <c r="E43" i="7"/>
  <c r="D46" i="7"/>
  <c r="C47" i="7"/>
  <c r="F47" i="7"/>
  <c r="D48" i="7"/>
  <c r="C48" i="7" s="1"/>
  <c r="E48" i="7"/>
  <c r="D49" i="7"/>
  <c r="E49" i="7"/>
  <c r="D50" i="7"/>
  <c r="C50" i="7" s="1"/>
  <c r="E50" i="7"/>
  <c r="E52" i="7"/>
  <c r="E51" i="7" s="1"/>
  <c r="E55" i="7"/>
  <c r="D58" i="7"/>
  <c r="C58" i="7" s="1"/>
  <c r="E58" i="7"/>
  <c r="C59" i="7"/>
  <c r="C60" i="7"/>
  <c r="C61" i="7"/>
  <c r="F61" i="7"/>
  <c r="W15" i="6"/>
  <c r="W16" i="6"/>
  <c r="Z15" i="6"/>
  <c r="Z16" i="6"/>
  <c r="Y31" i="6"/>
  <c r="X31" i="6" s="1"/>
  <c r="V31" i="6"/>
  <c r="U31" i="6" s="1"/>
  <c r="S31" i="6"/>
  <c r="Z21" i="6"/>
  <c r="W21" i="6"/>
  <c r="T21" i="6"/>
  <c r="T16" i="6"/>
  <c r="T15" i="6"/>
  <c r="P31" i="6"/>
  <c r="O31" i="6"/>
  <c r="Q21" i="6"/>
  <c r="Q16" i="6"/>
  <c r="Q15" i="6"/>
  <c r="Q14" i="6"/>
  <c r="J31" i="6"/>
  <c r="I31" i="6" s="1"/>
  <c r="K21" i="6"/>
  <c r="K16" i="6"/>
  <c r="K15" i="6"/>
  <c r="AZ36" i="1"/>
  <c r="AY36" i="1" s="1"/>
  <c r="AX36" i="1" s="1"/>
  <c r="AU45" i="1"/>
  <c r="BQ45" i="41"/>
  <c r="BR45" i="41" s="1"/>
  <c r="AU47" i="1"/>
  <c r="AO47" i="1"/>
  <c r="BO47" i="41" s="1"/>
  <c r="BP47" i="41" s="1"/>
  <c r="AZ42" i="1"/>
  <c r="AU42" i="1"/>
  <c r="BQ42" i="41" s="1"/>
  <c r="AT42" i="1"/>
  <c r="AK13" i="4" s="1"/>
  <c r="AU41" i="1"/>
  <c r="BQ41" i="41" s="1"/>
  <c r="AU40" i="1"/>
  <c r="BQ40" i="3" s="1"/>
  <c r="BR40" i="3" s="1"/>
  <c r="AQ40" i="1"/>
  <c r="AT36" i="1"/>
  <c r="AZ32" i="1"/>
  <c r="AZ31" i="1"/>
  <c r="AT32" i="1"/>
  <c r="AT31" i="1"/>
  <c r="AN32" i="1"/>
  <c r="AN31" i="1"/>
  <c r="AZ49" i="1"/>
  <c r="AT49" i="1"/>
  <c r="AN49" i="1"/>
  <c r="AI47" i="1"/>
  <c r="BM47" i="3" s="1"/>
  <c r="AI45" i="1"/>
  <c r="BM45" i="41" s="1"/>
  <c r="BN45" i="41" s="1"/>
  <c r="BT45" i="41" s="1"/>
  <c r="AN42" i="1"/>
  <c r="AI41" i="1"/>
  <c r="AI40" i="1"/>
  <c r="AK40" i="1" s="1"/>
  <c r="AZ38" i="1"/>
  <c r="AT38" i="1"/>
  <c r="AS38" i="1" s="1"/>
  <c r="AR38" i="1" s="1"/>
  <c r="AN38" i="1"/>
  <c r="AN36" i="1"/>
  <c r="AN27" i="1"/>
  <c r="AN26" i="1"/>
  <c r="BQ67" i="3"/>
  <c r="BR67" i="3" s="1"/>
  <c r="BO67" i="3"/>
  <c r="BP67" i="3" s="1"/>
  <c r="BM67" i="3"/>
  <c r="BN67" i="3" s="1"/>
  <c r="BQ57" i="3"/>
  <c r="BR57" i="3" s="1"/>
  <c r="BO57" i="3"/>
  <c r="BP57" i="3" s="1"/>
  <c r="BM57" i="3"/>
  <c r="BN57" i="3" s="1"/>
  <c r="BQ50" i="3"/>
  <c r="BR50" i="3" s="1"/>
  <c r="BO50" i="3"/>
  <c r="BP50" i="3" s="1"/>
  <c r="BM50" i="3"/>
  <c r="BN50" i="3" s="1"/>
  <c r="BQ49" i="3"/>
  <c r="BO49" i="3"/>
  <c r="BP49" i="3" s="1"/>
  <c r="BM49" i="3"/>
  <c r="BN49" i="3" s="1"/>
  <c r="BQ48" i="3"/>
  <c r="BR48" i="3" s="1"/>
  <c r="BO48" i="3"/>
  <c r="BP48" i="3" s="1"/>
  <c r="BM48" i="3"/>
  <c r="BN48" i="3" s="1"/>
  <c r="BQ46" i="3"/>
  <c r="BR46" i="3" s="1"/>
  <c r="BO46" i="3"/>
  <c r="BP46" i="3" s="1"/>
  <c r="BM46" i="3"/>
  <c r="BN46" i="3" s="1"/>
  <c r="BQ45" i="3"/>
  <c r="BR45" i="3" s="1"/>
  <c r="BO45" i="3"/>
  <c r="BP45" i="3" s="1"/>
  <c r="BQ44" i="3"/>
  <c r="BR44" i="3"/>
  <c r="BO44" i="3"/>
  <c r="BP44" i="3" s="1"/>
  <c r="BM44" i="3"/>
  <c r="BN44" i="3" s="1"/>
  <c r="BQ43" i="3"/>
  <c r="BR43" i="3" s="1"/>
  <c r="BO43" i="3"/>
  <c r="BM43" i="3"/>
  <c r="BN43" i="3" s="1"/>
  <c r="BO42" i="3"/>
  <c r="BP42" i="3" s="1"/>
  <c r="BM42" i="3"/>
  <c r="BN42" i="3" s="1"/>
  <c r="BO41" i="3"/>
  <c r="BP41" i="3" s="1"/>
  <c r="BO40" i="3"/>
  <c r="BP40" i="3" s="1"/>
  <c r="BQ39" i="3"/>
  <c r="BR39" i="3"/>
  <c r="BO39" i="3"/>
  <c r="BP39" i="3" s="1"/>
  <c r="BM39" i="3"/>
  <c r="BN39" i="3" s="1"/>
  <c r="BQ38" i="3"/>
  <c r="BR38" i="3" s="1"/>
  <c r="BO38" i="3"/>
  <c r="BP38" i="3"/>
  <c r="BM38" i="3"/>
  <c r="BN38" i="3" s="1"/>
  <c r="BQ37" i="3"/>
  <c r="BR37" i="3" s="1"/>
  <c r="BO37" i="3"/>
  <c r="BM37" i="3"/>
  <c r="BN37" i="3" s="1"/>
  <c r="BQ36" i="3"/>
  <c r="BR36" i="3" s="1"/>
  <c r="BO36" i="3"/>
  <c r="BP36" i="3" s="1"/>
  <c r="BM36" i="3"/>
  <c r="BN36" i="3" s="1"/>
  <c r="BQ35" i="3"/>
  <c r="BR35" i="3" s="1"/>
  <c r="BO35" i="3"/>
  <c r="BP35" i="3" s="1"/>
  <c r="BM35" i="3"/>
  <c r="BN35" i="3" s="1"/>
  <c r="BQ34" i="3"/>
  <c r="BR34" i="3" s="1"/>
  <c r="BO34" i="3"/>
  <c r="BM34" i="3"/>
  <c r="BN34" i="3" s="1"/>
  <c r="BQ33" i="3"/>
  <c r="BR33" i="3" s="1"/>
  <c r="BO33" i="3"/>
  <c r="BP33" i="3"/>
  <c r="BM33" i="3"/>
  <c r="BN33" i="3" s="1"/>
  <c r="BQ32" i="3"/>
  <c r="BR32" i="3" s="1"/>
  <c r="BO32" i="3"/>
  <c r="BP32" i="3" s="1"/>
  <c r="BM32" i="3"/>
  <c r="BQ31" i="3"/>
  <c r="BR31" i="3" s="1"/>
  <c r="BO31" i="3"/>
  <c r="BP31" i="3" s="1"/>
  <c r="BP30" i="3" s="1"/>
  <c r="BM31" i="3"/>
  <c r="BN31" i="3" s="1"/>
  <c r="BQ29" i="3"/>
  <c r="BR29" i="3" s="1"/>
  <c r="BO29" i="3"/>
  <c r="BP29" i="3" s="1"/>
  <c r="BM29" i="3"/>
  <c r="BN29" i="3" s="1"/>
  <c r="BQ28" i="3"/>
  <c r="BR28" i="3" s="1"/>
  <c r="BO28" i="3"/>
  <c r="BP28" i="3" s="1"/>
  <c r="BM28" i="3"/>
  <c r="BQ27" i="3"/>
  <c r="BR27" i="3" s="1"/>
  <c r="BR25" i="3" s="1"/>
  <c r="BO27" i="3"/>
  <c r="BM27" i="3"/>
  <c r="BN27" i="3" s="1"/>
  <c r="BQ26" i="3"/>
  <c r="BR26" i="3" s="1"/>
  <c r="BO26" i="3"/>
  <c r="BP26" i="3" s="1"/>
  <c r="BM26" i="3"/>
  <c r="BN26" i="3" s="1"/>
  <c r="BQ24" i="3"/>
  <c r="BR24" i="3" s="1"/>
  <c r="BO24" i="3"/>
  <c r="BP24" i="3"/>
  <c r="BM24" i="3"/>
  <c r="BN24" i="3"/>
  <c r="BQ23" i="3"/>
  <c r="BO23" i="3"/>
  <c r="BP23" i="3" s="1"/>
  <c r="BM23" i="3"/>
  <c r="BN23" i="3" s="1"/>
  <c r="BQ22" i="3"/>
  <c r="BR22" i="3" s="1"/>
  <c r="BO22" i="3"/>
  <c r="BP22" i="3" s="1"/>
  <c r="BM22" i="3"/>
  <c r="BQ21" i="3"/>
  <c r="BR21" i="3" s="1"/>
  <c r="BO21" i="3"/>
  <c r="BP21" i="3" s="1"/>
  <c r="BM21" i="3"/>
  <c r="BN21" i="3" s="1"/>
  <c r="BQ20" i="3"/>
  <c r="BR20" i="3"/>
  <c r="BO20" i="3"/>
  <c r="BM20" i="3"/>
  <c r="BN20" i="3" s="1"/>
  <c r="BO15" i="3"/>
  <c r="BO13" i="3" s="1"/>
  <c r="BQ15" i="3"/>
  <c r="BR15" i="3"/>
  <c r="BO16" i="3"/>
  <c r="BP16" i="3" s="1"/>
  <c r="BQ16" i="3"/>
  <c r="BR16" i="3" s="1"/>
  <c r="BO17" i="3"/>
  <c r="BS17" i="3" s="1"/>
  <c r="BQ17" i="3"/>
  <c r="BR17" i="3"/>
  <c r="BO18" i="3"/>
  <c r="BP18" i="3" s="1"/>
  <c r="BQ18" i="3"/>
  <c r="BR18" i="3" s="1"/>
  <c r="BM15" i="3"/>
  <c r="BN15" i="3"/>
  <c r="BM16" i="3"/>
  <c r="BS16" i="3" s="1"/>
  <c r="BM17" i="3"/>
  <c r="BM18" i="3"/>
  <c r="BN18" i="3" s="1"/>
  <c r="BQ14" i="3"/>
  <c r="BO14" i="3"/>
  <c r="BP14" i="3" s="1"/>
  <c r="BM14" i="3"/>
  <c r="BK57" i="3"/>
  <c r="BK54" i="3"/>
  <c r="BL54" i="3" s="1"/>
  <c r="BL51" i="3" s="1"/>
  <c r="T10" i="16" s="1"/>
  <c r="BK53" i="3"/>
  <c r="BL53" i="3" s="1"/>
  <c r="BK52" i="3"/>
  <c r="BK50" i="3"/>
  <c r="BL50" i="3" s="1"/>
  <c r="BK49" i="3"/>
  <c r="BL49" i="3" s="1"/>
  <c r="BK48" i="3"/>
  <c r="BK47" i="3"/>
  <c r="BL47" i="3" s="1"/>
  <c r="BK46" i="3"/>
  <c r="BL46" i="3"/>
  <c r="BK45" i="3"/>
  <c r="BL45" i="3" s="1"/>
  <c r="BK44" i="3"/>
  <c r="BL44" i="3" s="1"/>
  <c r="BK43" i="3"/>
  <c r="BK42" i="3"/>
  <c r="BL42" i="3" s="1"/>
  <c r="BK41" i="3"/>
  <c r="BK40" i="3"/>
  <c r="BL40" i="3" s="1"/>
  <c r="BK39" i="3"/>
  <c r="BL39" i="3" s="1"/>
  <c r="BK38" i="3"/>
  <c r="BL38" i="3" s="1"/>
  <c r="BK37" i="3"/>
  <c r="BL37" i="3" s="1"/>
  <c r="BK36" i="3"/>
  <c r="BL36" i="3" s="1"/>
  <c r="BK35" i="3"/>
  <c r="BL35" i="3" s="1"/>
  <c r="BK34" i="3"/>
  <c r="BK33" i="3"/>
  <c r="BK32" i="3"/>
  <c r="BL32" i="3"/>
  <c r="BK31" i="3"/>
  <c r="BL31" i="3" s="1"/>
  <c r="BK29" i="3"/>
  <c r="BK28" i="3"/>
  <c r="BL28" i="3" s="1"/>
  <c r="BK27" i="3"/>
  <c r="BK26" i="3"/>
  <c r="BL26" i="3" s="1"/>
  <c r="BK24" i="3"/>
  <c r="BL24" i="3" s="1"/>
  <c r="BK23" i="3"/>
  <c r="BL23" i="3" s="1"/>
  <c r="BK22" i="3"/>
  <c r="BL22" i="3" s="1"/>
  <c r="BK21" i="3"/>
  <c r="BK20" i="3"/>
  <c r="BL20" i="3" s="1"/>
  <c r="BK15" i="3"/>
  <c r="BL15" i="3" s="1"/>
  <c r="BK16" i="3"/>
  <c r="BL16" i="3" s="1"/>
  <c r="BK17" i="3"/>
  <c r="BL17" i="3" s="1"/>
  <c r="BK18" i="3"/>
  <c r="BL18" i="3"/>
  <c r="BK14" i="3"/>
  <c r="BL14" i="3" s="1"/>
  <c r="AH49" i="1"/>
  <c r="AE40" i="1"/>
  <c r="AH38" i="1"/>
  <c r="AG38" i="1" s="1"/>
  <c r="AF38" i="1" s="1"/>
  <c r="V36" i="1"/>
  <c r="U36" i="1" s="1"/>
  <c r="T36" i="1" s="1"/>
  <c r="AH36" i="1"/>
  <c r="AB36" i="1"/>
  <c r="AH32" i="1"/>
  <c r="AG32" i="1" s="1"/>
  <c r="AH31" i="1"/>
  <c r="AH30" i="1" s="1"/>
  <c r="BT83" i="3"/>
  <c r="BS83" i="3"/>
  <c r="BT82" i="3"/>
  <c r="BS82" i="3"/>
  <c r="BT81" i="3"/>
  <c r="BS81" i="3"/>
  <c r="BT80" i="3"/>
  <c r="BS80" i="3"/>
  <c r="BT79" i="3"/>
  <c r="BS79" i="3"/>
  <c r="BT78" i="3"/>
  <c r="BS78" i="3"/>
  <c r="BI57" i="3"/>
  <c r="BJ57" i="3" s="1"/>
  <c r="BT57" i="3" s="1"/>
  <c r="BI54" i="3"/>
  <c r="BJ54" i="3"/>
  <c r="BI53" i="3"/>
  <c r="BJ53" i="3" s="1"/>
  <c r="BI52" i="3"/>
  <c r="BI50" i="3"/>
  <c r="BJ50" i="3"/>
  <c r="BI49" i="3"/>
  <c r="BJ49" i="3" s="1"/>
  <c r="BI48" i="3"/>
  <c r="BJ48" i="3" s="1"/>
  <c r="BI47" i="3"/>
  <c r="BJ47" i="3" s="1"/>
  <c r="BI46" i="3"/>
  <c r="BI45" i="3"/>
  <c r="BJ45" i="3" s="1"/>
  <c r="BI44" i="3"/>
  <c r="BI43" i="3"/>
  <c r="BJ43" i="3" s="1"/>
  <c r="BI42" i="3"/>
  <c r="BJ42" i="3"/>
  <c r="BI41" i="3"/>
  <c r="BJ41" i="3" s="1"/>
  <c r="BI40" i="3"/>
  <c r="BI39" i="3"/>
  <c r="BJ39" i="3" s="1"/>
  <c r="BI38" i="3"/>
  <c r="BI37" i="3"/>
  <c r="BJ37" i="3" s="1"/>
  <c r="BI36" i="3"/>
  <c r="BJ36" i="3" s="1"/>
  <c r="BI35" i="3"/>
  <c r="BJ35" i="3" s="1"/>
  <c r="BI34" i="3"/>
  <c r="BI33" i="3"/>
  <c r="BJ33" i="3"/>
  <c r="BI32" i="3"/>
  <c r="BI31" i="3"/>
  <c r="BJ31" i="3" s="1"/>
  <c r="BI29" i="3"/>
  <c r="BJ29" i="3" s="1"/>
  <c r="BI28" i="3"/>
  <c r="BJ28" i="3" s="1"/>
  <c r="BI27" i="3"/>
  <c r="BJ27" i="3" s="1"/>
  <c r="BI26" i="3"/>
  <c r="BJ26" i="3" s="1"/>
  <c r="BI24" i="3"/>
  <c r="BS24" i="3" s="1"/>
  <c r="BI23" i="3"/>
  <c r="BJ23" i="3"/>
  <c r="BI22" i="3"/>
  <c r="BI21" i="3"/>
  <c r="BJ21" i="3" s="1"/>
  <c r="BI20" i="3"/>
  <c r="BI15" i="3"/>
  <c r="BJ15" i="3"/>
  <c r="BI16" i="3"/>
  <c r="BI17" i="3"/>
  <c r="BJ17" i="3" s="1"/>
  <c r="BI18" i="3"/>
  <c r="BJ18" i="3" s="1"/>
  <c r="BI14" i="3"/>
  <c r="AB49" i="1"/>
  <c r="AA49" i="1" s="1"/>
  <c r="Z49" i="1" s="1"/>
  <c r="Y40" i="1"/>
  <c r="AB38" i="1"/>
  <c r="AA38" i="1" s="1"/>
  <c r="Z38" i="1" s="1"/>
  <c r="AB32" i="1"/>
  <c r="AB31" i="1"/>
  <c r="V49" i="1"/>
  <c r="U49" i="1" s="1"/>
  <c r="V42" i="1"/>
  <c r="K14" i="34" s="1"/>
  <c r="V38" i="1"/>
  <c r="V32" i="1"/>
  <c r="U32" i="1" s="1"/>
  <c r="T32" i="1" s="1"/>
  <c r="V31" i="1"/>
  <c r="BM41" i="3"/>
  <c r="BN41" i="3" s="1"/>
  <c r="BM41" i="41"/>
  <c r="BM45" i="3"/>
  <c r="BN45" i="3" s="1"/>
  <c r="AC14" i="39"/>
  <c r="AP13" i="37"/>
  <c r="BQ41" i="3"/>
  <c r="BR41" i="3" s="1"/>
  <c r="BN47" i="3"/>
  <c r="BM47" i="41"/>
  <c r="BO47" i="3"/>
  <c r="BP47" i="3" s="1"/>
  <c r="BQ47" i="3"/>
  <c r="BR47" i="3" s="1"/>
  <c r="BQ47" i="41"/>
  <c r="AP13" i="4"/>
  <c r="Z14" i="6"/>
  <c r="Z14" i="7"/>
  <c r="BN14" i="3"/>
  <c r="BJ14" i="3"/>
  <c r="BL48" i="3"/>
  <c r="BS57" i="3"/>
  <c r="BP34" i="3"/>
  <c r="BN32" i="3"/>
  <c r="BP27" i="3"/>
  <c r="BN17" i="3"/>
  <c r="BL57" i="3"/>
  <c r="BL52" i="3"/>
  <c r="BL43" i="3"/>
  <c r="BL33" i="3"/>
  <c r="BL29" i="3"/>
  <c r="BL21" i="3"/>
  <c r="BJ52" i="3"/>
  <c r="BJ51" i="3" s="1"/>
  <c r="F61" i="6"/>
  <c r="F47" i="6"/>
  <c r="H30" i="6"/>
  <c r="H29" i="6"/>
  <c r="K29" i="6" s="1"/>
  <c r="N29" i="6" s="1"/>
  <c r="H28" i="6"/>
  <c r="K28" i="6" s="1"/>
  <c r="H25" i="6"/>
  <c r="K25" i="6" s="1"/>
  <c r="N25" i="6" s="1"/>
  <c r="T25" i="6" s="1"/>
  <c r="H21" i="6"/>
  <c r="H19" i="6"/>
  <c r="K19" i="6" s="1"/>
  <c r="L44" i="4"/>
  <c r="L43" i="4"/>
  <c r="H59" i="7" s="1"/>
  <c r="K43" i="4"/>
  <c r="G59" i="39" s="1"/>
  <c r="L41" i="4"/>
  <c r="H57" i="7" s="1"/>
  <c r="L40" i="4"/>
  <c r="H56" i="6" s="1"/>
  <c r="L38" i="4"/>
  <c r="L30" i="33" s="1"/>
  <c r="L37" i="4"/>
  <c r="G46" i="6"/>
  <c r="H49" i="7"/>
  <c r="L32" i="4"/>
  <c r="L24" i="33" s="1"/>
  <c r="K32" i="4"/>
  <c r="K24" i="33" s="1"/>
  <c r="L31" i="4"/>
  <c r="L23" i="33" s="1"/>
  <c r="K31" i="4"/>
  <c r="K23" i="33" s="1"/>
  <c r="L22" i="4"/>
  <c r="L19" i="4"/>
  <c r="L16" i="4"/>
  <c r="H16" i="4" s="1"/>
  <c r="K16" i="4"/>
  <c r="G39" i="35" s="1"/>
  <c r="L15" i="4"/>
  <c r="H38" i="7" s="1"/>
  <c r="L14" i="4"/>
  <c r="L14" i="33" s="1"/>
  <c r="L12" i="4"/>
  <c r="H35" i="38" s="1"/>
  <c r="K12" i="4"/>
  <c r="G35" i="39" s="1"/>
  <c r="F35" i="39" s="1"/>
  <c r="P36" i="1"/>
  <c r="O36" i="1" s="1"/>
  <c r="N36" i="1" s="1"/>
  <c r="P38" i="1"/>
  <c r="O38" i="1" s="1"/>
  <c r="N38" i="1" s="1"/>
  <c r="P37" i="1"/>
  <c r="O37" i="1" s="1"/>
  <c r="N37" i="1" s="1"/>
  <c r="P32" i="1"/>
  <c r="P31" i="1"/>
  <c r="P30" i="1" s="1"/>
  <c r="H44" i="34"/>
  <c r="H38" i="39"/>
  <c r="BR42" i="41"/>
  <c r="BT42" i="41" s="1"/>
  <c r="BS42" i="41"/>
  <c r="F50" i="46"/>
  <c r="F50" i="45"/>
  <c r="H43" i="39"/>
  <c r="L20" i="33"/>
  <c r="G50" i="39"/>
  <c r="F50" i="39" s="1"/>
  <c r="H35" i="7"/>
  <c r="H35" i="39"/>
  <c r="H35" i="34"/>
  <c r="H35" i="35"/>
  <c r="F55" i="46"/>
  <c r="G48" i="38"/>
  <c r="F48" i="38" s="1"/>
  <c r="BN41" i="41"/>
  <c r="G35" i="38"/>
  <c r="G35" i="7"/>
  <c r="F35" i="7" s="1"/>
  <c r="H37" i="7"/>
  <c r="H37" i="35"/>
  <c r="H37" i="34"/>
  <c r="G39" i="7"/>
  <c r="G39" i="38"/>
  <c r="G39" i="39"/>
  <c r="G39" i="34"/>
  <c r="K16" i="33"/>
  <c r="BR47" i="41"/>
  <c r="BS47" i="3"/>
  <c r="BN47" i="41"/>
  <c r="G59" i="7"/>
  <c r="G59" i="38"/>
  <c r="K35" i="33"/>
  <c r="G61" i="35"/>
  <c r="G61" i="34"/>
  <c r="F61" i="34" s="1"/>
  <c r="H59" i="39"/>
  <c r="F59" i="39" s="1"/>
  <c r="H61" i="34"/>
  <c r="H60" i="38"/>
  <c r="H56" i="7"/>
  <c r="H55" i="7" s="1"/>
  <c r="H58" i="34"/>
  <c r="H57" i="38"/>
  <c r="H59" i="34"/>
  <c r="H54" i="38"/>
  <c r="H54" i="39"/>
  <c r="H53" i="38"/>
  <c r="H53" i="39"/>
  <c r="H54" i="7"/>
  <c r="H56" i="34"/>
  <c r="H56" i="35"/>
  <c r="G48" i="7"/>
  <c r="F48" i="7" s="1"/>
  <c r="G50" i="34"/>
  <c r="F50" i="34" s="1"/>
  <c r="G51" i="34"/>
  <c r="K25" i="33"/>
  <c r="G51" i="35"/>
  <c r="F51" i="35" s="1"/>
  <c r="H53" i="7"/>
  <c r="H52" i="7" s="1"/>
  <c r="H55" i="35"/>
  <c r="L29" i="33"/>
  <c r="H55" i="34"/>
  <c r="M22" i="19"/>
  <c r="N22" i="19" s="1"/>
  <c r="H53" i="6"/>
  <c r="H35" i="6"/>
  <c r="H33" i="4"/>
  <c r="J33" i="4" s="1"/>
  <c r="J25" i="33" s="1"/>
  <c r="G49" i="7"/>
  <c r="H54" i="6"/>
  <c r="G35" i="6"/>
  <c r="F35" i="6" s="1"/>
  <c r="G59" i="6"/>
  <c r="G49" i="6"/>
  <c r="G39" i="6"/>
  <c r="H59" i="6"/>
  <c r="H49" i="6"/>
  <c r="H24" i="6"/>
  <c r="BT47" i="3"/>
  <c r="BM13" i="3"/>
  <c r="H52" i="39"/>
  <c r="H25" i="33"/>
  <c r="AT69" i="3"/>
  <c r="BC67" i="3"/>
  <c r="BE67" i="3" s="1"/>
  <c r="BC61" i="3"/>
  <c r="BD61" i="3" s="1"/>
  <c r="BC60" i="3"/>
  <c r="BC59" i="3" s="1"/>
  <c r="BC57" i="3"/>
  <c r="BD57" i="3" s="1"/>
  <c r="BD48" i="3"/>
  <c r="BC53" i="3"/>
  <c r="BD53" i="3"/>
  <c r="BC54" i="3"/>
  <c r="BD54" i="3" s="1"/>
  <c r="BC52" i="3"/>
  <c r="BD52" i="3" s="1"/>
  <c r="BC50" i="3"/>
  <c r="BD50" i="3" s="1"/>
  <c r="BC49" i="3"/>
  <c r="BD49" i="3" s="1"/>
  <c r="BC47" i="3"/>
  <c r="BD47" i="3" s="1"/>
  <c r="BC46" i="3"/>
  <c r="BD46" i="3" s="1"/>
  <c r="BC45" i="3"/>
  <c r="BD45" i="3" s="1"/>
  <c r="BC44" i="3"/>
  <c r="BD44" i="3" s="1"/>
  <c r="BC43" i="3"/>
  <c r="BD43" i="3" s="1"/>
  <c r="BC42" i="3"/>
  <c r="BC41" i="3"/>
  <c r="BD41" i="3" s="1"/>
  <c r="BC40" i="3"/>
  <c r="BD40" i="3" s="1"/>
  <c r="BC39" i="3"/>
  <c r="BD39" i="3" s="1"/>
  <c r="BC38" i="3"/>
  <c r="BD38" i="3" s="1"/>
  <c r="BC37" i="3"/>
  <c r="BD37" i="3" s="1"/>
  <c r="BC36" i="3"/>
  <c r="BD36" i="3" s="1"/>
  <c r="BC32" i="3"/>
  <c r="BD32" i="3" s="1"/>
  <c r="BC33" i="3"/>
  <c r="BD33" i="3" s="1"/>
  <c r="BC34" i="3"/>
  <c r="BD34" i="3" s="1"/>
  <c r="BC35" i="3"/>
  <c r="BD35" i="3" s="1"/>
  <c r="BC31" i="3"/>
  <c r="BC27" i="3"/>
  <c r="BD27" i="3" s="1"/>
  <c r="BC28" i="3"/>
  <c r="BD28" i="3" s="1"/>
  <c r="BC29" i="3"/>
  <c r="BD29" i="3" s="1"/>
  <c r="BC26" i="3"/>
  <c r="BD26" i="3" s="1"/>
  <c r="BC21" i="3"/>
  <c r="BD21" i="3" s="1"/>
  <c r="BC22" i="3"/>
  <c r="BD22" i="3"/>
  <c r="BC23" i="3"/>
  <c r="BD23" i="3" s="1"/>
  <c r="BC24" i="3"/>
  <c r="BD24" i="3" s="1"/>
  <c r="BC20" i="3"/>
  <c r="BC15" i="3"/>
  <c r="BD15" i="3" s="1"/>
  <c r="BC16" i="3"/>
  <c r="BD16" i="3" s="1"/>
  <c r="BC17" i="3"/>
  <c r="BD17" i="3" s="1"/>
  <c r="BC18" i="3"/>
  <c r="BD18" i="3" s="1"/>
  <c r="BC14" i="3"/>
  <c r="BF83" i="3"/>
  <c r="BE83" i="3"/>
  <c r="BF82" i="3"/>
  <c r="BE82" i="3"/>
  <c r="BE81" i="3"/>
  <c r="BF80" i="3"/>
  <c r="BF79" i="3"/>
  <c r="BE79" i="3"/>
  <c r="AT48" i="3"/>
  <c r="AT46" i="3"/>
  <c r="AD51" i="3"/>
  <c r="AD30" i="3"/>
  <c r="AD25" i="3"/>
  <c r="AD19" i="3"/>
  <c r="AD13" i="3"/>
  <c r="AB78" i="3"/>
  <c r="AD65" i="3"/>
  <c r="AB65" i="3"/>
  <c r="AD62" i="3"/>
  <c r="AD59" i="3"/>
  <c r="AB62" i="3"/>
  <c r="AB59" i="3"/>
  <c r="AB56" i="3"/>
  <c r="AB51" i="3"/>
  <c r="BD14" i="3"/>
  <c r="BC25" i="3"/>
  <c r="BD42" i="3"/>
  <c r="AB30" i="3"/>
  <c r="AA30" i="3"/>
  <c r="AB25" i="3"/>
  <c r="AA25" i="3"/>
  <c r="AB19" i="3"/>
  <c r="AA19" i="3"/>
  <c r="AB13" i="3"/>
  <c r="AB11" i="3" s="1"/>
  <c r="AA13" i="3"/>
  <c r="AU54" i="1"/>
  <c r="BQ54" i="41" s="1"/>
  <c r="BR54" i="41" s="1"/>
  <c r="AU53" i="1"/>
  <c r="AU52" i="1"/>
  <c r="AW52" i="1" s="1"/>
  <c r="BQ52" i="41"/>
  <c r="AK54" i="1"/>
  <c r="AK53" i="1"/>
  <c r="AK52" i="1"/>
  <c r="AO54" i="1"/>
  <c r="BO54" i="41" s="1"/>
  <c r="BP54" i="41" s="1"/>
  <c r="AO53" i="1"/>
  <c r="BO53" i="41" s="1"/>
  <c r="BP53" i="41" s="1"/>
  <c r="AO52" i="1"/>
  <c r="AQ54" i="1"/>
  <c r="AQ53" i="1"/>
  <c r="AS53" i="1" s="1"/>
  <c r="AR53" i="1" s="1"/>
  <c r="AQ52" i="1"/>
  <c r="AI54" i="1"/>
  <c r="AI53" i="1"/>
  <c r="BM53" i="3" s="1"/>
  <c r="BN53" i="3" s="1"/>
  <c r="AI52" i="1"/>
  <c r="BM52" i="41" s="1"/>
  <c r="BN52" i="41" s="1"/>
  <c r="AK51" i="1"/>
  <c r="BQ53" i="41"/>
  <c r="BR53" i="41" s="1"/>
  <c r="BM53" i="41"/>
  <c r="BQ52" i="3"/>
  <c r="AO51" i="1"/>
  <c r="C61" i="6"/>
  <c r="C60" i="6"/>
  <c r="C59" i="6"/>
  <c r="E58" i="6"/>
  <c r="C58" i="6" s="1"/>
  <c r="D58" i="6"/>
  <c r="E55" i="6"/>
  <c r="E52" i="6"/>
  <c r="E51" i="6" s="1"/>
  <c r="C47" i="6"/>
  <c r="E46" i="6"/>
  <c r="E48" i="6"/>
  <c r="K82" i="6" s="1"/>
  <c r="E49" i="6"/>
  <c r="E50" i="6"/>
  <c r="K84" i="6" s="1"/>
  <c r="D50" i="6"/>
  <c r="J84" i="6" s="1"/>
  <c r="D49" i="6"/>
  <c r="C49" i="6" s="1"/>
  <c r="D48" i="6"/>
  <c r="D46" i="6"/>
  <c r="E43" i="6"/>
  <c r="K79" i="6" s="1"/>
  <c r="D43" i="6"/>
  <c r="E42" i="6"/>
  <c r="D42" i="6"/>
  <c r="E39" i="6"/>
  <c r="K76" i="6" s="1"/>
  <c r="D39" i="6"/>
  <c r="C39" i="6" s="1"/>
  <c r="E38" i="6"/>
  <c r="K75" i="6" s="1"/>
  <c r="E37" i="6"/>
  <c r="K74" i="6" s="1"/>
  <c r="E35" i="6"/>
  <c r="K72" i="6"/>
  <c r="D35" i="6"/>
  <c r="E31" i="6"/>
  <c r="D31" i="6"/>
  <c r="C31" i="6" s="1"/>
  <c r="E30" i="6"/>
  <c r="D30" i="6"/>
  <c r="D29" i="6"/>
  <c r="C29" i="6" s="1"/>
  <c r="E27" i="6"/>
  <c r="E24" i="6"/>
  <c r="E21" i="6"/>
  <c r="E16" i="6"/>
  <c r="E15" i="6"/>
  <c r="D36" i="8"/>
  <c r="D35" i="8"/>
  <c r="C35" i="8" s="1"/>
  <c r="D34" i="8"/>
  <c r="D33" i="8"/>
  <c r="D27" i="8"/>
  <c r="D29" i="8"/>
  <c r="E45" i="8"/>
  <c r="C45" i="8" s="1"/>
  <c r="E44" i="8"/>
  <c r="C44" i="8" s="1"/>
  <c r="B44" i="8"/>
  <c r="E43" i="8"/>
  <c r="C43" i="8" s="1"/>
  <c r="B43" i="8"/>
  <c r="E42" i="8"/>
  <c r="C42" i="8" s="1"/>
  <c r="B42" i="8"/>
  <c r="E41" i="8"/>
  <c r="C41" i="8" s="1"/>
  <c r="B41" i="8"/>
  <c r="E40" i="8"/>
  <c r="C40" i="8" s="1"/>
  <c r="B40" i="8"/>
  <c r="E39" i="8"/>
  <c r="C39" i="8" s="1"/>
  <c r="B39" i="8"/>
  <c r="E38" i="8"/>
  <c r="C38" i="8"/>
  <c r="B38" i="8"/>
  <c r="E37" i="8"/>
  <c r="C37" i="8" s="1"/>
  <c r="B37" i="8"/>
  <c r="E36" i="8"/>
  <c r="C36" i="8" s="1"/>
  <c r="B36" i="8"/>
  <c r="E35" i="8"/>
  <c r="B35" i="8"/>
  <c r="E34" i="8"/>
  <c r="B34" i="8"/>
  <c r="E33" i="8"/>
  <c r="B33" i="8"/>
  <c r="E31" i="8"/>
  <c r="C31" i="8" s="1"/>
  <c r="E30" i="8"/>
  <c r="C30" i="8" s="1"/>
  <c r="E29" i="8"/>
  <c r="Q28" i="8"/>
  <c r="Q47" i="8" s="1"/>
  <c r="P28" i="8"/>
  <c r="P47" i="8" s="1"/>
  <c r="O28" i="8"/>
  <c r="O47" i="8" s="1"/>
  <c r="N28" i="8"/>
  <c r="N47" i="8" s="1"/>
  <c r="M28" i="8"/>
  <c r="M47" i="8" s="1"/>
  <c r="L28" i="8"/>
  <c r="L47" i="8" s="1"/>
  <c r="K28" i="8"/>
  <c r="K47" i="8"/>
  <c r="J28" i="8"/>
  <c r="J47" i="8" s="1"/>
  <c r="I28" i="8"/>
  <c r="I47" i="8" s="1"/>
  <c r="H28" i="8"/>
  <c r="H47" i="8" s="1"/>
  <c r="G28" i="8"/>
  <c r="G47" i="8" s="1"/>
  <c r="F28" i="8"/>
  <c r="F47" i="8" s="1"/>
  <c r="E27" i="8"/>
  <c r="E24" i="8"/>
  <c r="E23" i="8"/>
  <c r="E22" i="8"/>
  <c r="C22" i="8" s="1"/>
  <c r="E21" i="8"/>
  <c r="C21" i="8"/>
  <c r="E20" i="8"/>
  <c r="C20" i="8" s="1"/>
  <c r="E19" i="8"/>
  <c r="C19" i="8"/>
  <c r="E18" i="8"/>
  <c r="C18" i="8" s="1"/>
  <c r="E17" i="8"/>
  <c r="C17" i="8" s="1"/>
  <c r="E16" i="8"/>
  <c r="C16" i="8" s="1"/>
  <c r="E15" i="8"/>
  <c r="C15" i="8" s="1"/>
  <c r="E14" i="8"/>
  <c r="C14" i="8" s="1"/>
  <c r="E13" i="8"/>
  <c r="C13" i="8" s="1"/>
  <c r="E12" i="8"/>
  <c r="E11" i="8"/>
  <c r="C11" i="8" s="1"/>
  <c r="Q9" i="8"/>
  <c r="P9" i="8"/>
  <c r="O9" i="8"/>
  <c r="N9" i="8"/>
  <c r="M9" i="8"/>
  <c r="L9" i="8"/>
  <c r="K9" i="8"/>
  <c r="J9" i="8"/>
  <c r="I9" i="8"/>
  <c r="H9" i="8"/>
  <c r="G9" i="8"/>
  <c r="F9" i="8"/>
  <c r="Q8" i="8"/>
  <c r="P8" i="8"/>
  <c r="O8" i="8"/>
  <c r="N8" i="8"/>
  <c r="N10" i="8" s="1"/>
  <c r="M8" i="8"/>
  <c r="L8" i="8"/>
  <c r="L25" i="8" s="1"/>
  <c r="K8" i="8"/>
  <c r="K10" i="8" s="1"/>
  <c r="J8" i="8"/>
  <c r="I8" i="8"/>
  <c r="I10" i="8" s="1"/>
  <c r="H8" i="8"/>
  <c r="G8" i="8"/>
  <c r="F8" i="8"/>
  <c r="F10" i="8" s="1"/>
  <c r="D8" i="8"/>
  <c r="D25" i="8" s="1"/>
  <c r="C29" i="8"/>
  <c r="BR52" i="3"/>
  <c r="C50" i="6"/>
  <c r="C46" i="6"/>
  <c r="C35" i="6"/>
  <c r="O25" i="8"/>
  <c r="G10" i="8"/>
  <c r="O10" i="8"/>
  <c r="A3" i="6"/>
  <c r="AJ12" i="5"/>
  <c r="AX17" i="5"/>
  <c r="H26" i="16" s="1"/>
  <c r="AL16" i="5"/>
  <c r="AL37" i="5"/>
  <c r="AH40" i="5"/>
  <c r="AT40" i="5" s="1"/>
  <c r="AH20" i="5"/>
  <c r="AR20" i="5" s="1"/>
  <c r="AH16" i="5"/>
  <c r="AH14" i="5"/>
  <c r="AT14" i="5" s="1"/>
  <c r="AP27" i="5"/>
  <c r="AT27" i="5" s="1"/>
  <c r="AP37" i="5"/>
  <c r="AP30" i="5"/>
  <c r="AP18" i="5"/>
  <c r="AP17" i="5" s="1"/>
  <c r="AX15" i="5"/>
  <c r="AN30" i="5"/>
  <c r="AL30" i="5"/>
  <c r="AL18" i="5"/>
  <c r="AU21" i="5"/>
  <c r="AU20" i="5" s="1"/>
  <c r="AU17" i="5" s="1"/>
  <c r="E26" i="16" s="1"/>
  <c r="AU40" i="5"/>
  <c r="BE40" i="5" s="1"/>
  <c r="AR45" i="5"/>
  <c r="D33" i="16" s="1"/>
  <c r="AQ45" i="5"/>
  <c r="C33" i="16" s="1"/>
  <c r="AR44" i="5"/>
  <c r="AQ44" i="5"/>
  <c r="AR43" i="5"/>
  <c r="AQ43" i="5"/>
  <c r="AR34" i="5"/>
  <c r="AR33" i="5"/>
  <c r="D28" i="16" s="1"/>
  <c r="AQ33" i="5"/>
  <c r="C28" i="16" s="1"/>
  <c r="AR32" i="5"/>
  <c r="D27" i="16" s="1"/>
  <c r="AQ32" i="5"/>
  <c r="C27" i="16" s="1"/>
  <c r="AR31" i="5"/>
  <c r="D31" i="16" s="1"/>
  <c r="AQ31" i="5"/>
  <c r="C31" i="16" s="1"/>
  <c r="AR29" i="5"/>
  <c r="AQ29" i="5"/>
  <c r="AR28" i="5"/>
  <c r="AQ28" i="5"/>
  <c r="AQ27" i="5"/>
  <c r="AR26" i="5"/>
  <c r="AQ26" i="5"/>
  <c r="AR25" i="5"/>
  <c r="AQ25" i="5"/>
  <c r="AR24" i="5"/>
  <c r="AQ24" i="5"/>
  <c r="AR23" i="5"/>
  <c r="AQ23" i="5"/>
  <c r="AR22" i="5"/>
  <c r="AQ22" i="5"/>
  <c r="AR21" i="5"/>
  <c r="AR19" i="5"/>
  <c r="AQ19" i="5"/>
  <c r="AQ16" i="5"/>
  <c r="AR15" i="5"/>
  <c r="AQ15" i="5"/>
  <c r="AR14" i="5"/>
  <c r="AQ14" i="5"/>
  <c r="AR13" i="5"/>
  <c r="AQ13" i="5"/>
  <c r="AQ12" i="5"/>
  <c r="AO21" i="5"/>
  <c r="AO20" i="5" s="1"/>
  <c r="AO17" i="5" s="1"/>
  <c r="AO40" i="5"/>
  <c r="AO41" i="5"/>
  <c r="AO38" i="5"/>
  <c r="AM21" i="5"/>
  <c r="AM20" i="5" s="1"/>
  <c r="AM17" i="5" s="1"/>
  <c r="AM40" i="5"/>
  <c r="AM41" i="5"/>
  <c r="AM38" i="5"/>
  <c r="AN38" i="5" s="1"/>
  <c r="AM37" i="5"/>
  <c r="AN37" i="5" s="1"/>
  <c r="AK30" i="5"/>
  <c r="AQ30" i="5" s="1"/>
  <c r="AK21" i="5"/>
  <c r="AK20" i="5" s="1"/>
  <c r="AK40" i="5"/>
  <c r="AK39" i="5" s="1"/>
  <c r="AK41" i="5"/>
  <c r="AK38" i="5"/>
  <c r="AI20" i="5"/>
  <c r="AI21" i="5"/>
  <c r="AN41" i="5"/>
  <c r="AT41" i="5" s="1"/>
  <c r="AI18" i="5"/>
  <c r="AI41" i="5"/>
  <c r="AI39" i="5"/>
  <c r="AI38" i="5"/>
  <c r="AN17" i="5"/>
  <c r="AJ17" i="5"/>
  <c r="AQ42" i="5"/>
  <c r="AP42" i="5"/>
  <c r="AO42" i="5"/>
  <c r="AN42" i="5"/>
  <c r="AM42" i="5"/>
  <c r="AL42" i="5"/>
  <c r="AK42" i="5"/>
  <c r="AJ42" i="5"/>
  <c r="AI42" i="5"/>
  <c r="AL39" i="5"/>
  <c r="AJ39" i="5"/>
  <c r="AP36" i="5"/>
  <c r="AP35" i="5" s="1"/>
  <c r="AP12" i="5" s="1"/>
  <c r="AO36" i="5"/>
  <c r="AG21" i="5"/>
  <c r="AG17" i="5" s="1"/>
  <c r="AG41" i="5"/>
  <c r="AG38" i="5"/>
  <c r="AG36" i="5" s="1"/>
  <c r="AG35" i="5" s="1"/>
  <c r="AH42" i="5"/>
  <c r="AG42" i="5"/>
  <c r="AH36" i="5"/>
  <c r="AG39" i="5"/>
  <c r="AW20" i="5"/>
  <c r="AW21" i="5"/>
  <c r="AZ42" i="5"/>
  <c r="AY42" i="5"/>
  <c r="AX42" i="5"/>
  <c r="AW42" i="5"/>
  <c r="AV42" i="5"/>
  <c r="AU42" i="5"/>
  <c r="AX39" i="5"/>
  <c r="AW39" i="5"/>
  <c r="AV39" i="5"/>
  <c r="AU39" i="5"/>
  <c r="AX36" i="5"/>
  <c r="AW36" i="5"/>
  <c r="AW35" i="5" s="1"/>
  <c r="G32" i="16" s="1"/>
  <c r="AV36" i="5"/>
  <c r="AU36" i="5"/>
  <c r="AV17" i="5"/>
  <c r="F26" i="16" s="1"/>
  <c r="AY41" i="5"/>
  <c r="BE41" i="5" s="1"/>
  <c r="AY38" i="5"/>
  <c r="BE38" i="5" s="1"/>
  <c r="AY37" i="5"/>
  <c r="BE37" i="5" s="1"/>
  <c r="AY20" i="5"/>
  <c r="AY21" i="5"/>
  <c r="AY33" i="5"/>
  <c r="I28" i="16" s="1"/>
  <c r="BE33" i="5"/>
  <c r="AZ17" i="5"/>
  <c r="J26" i="16" s="1"/>
  <c r="BA42" i="5"/>
  <c r="BA39" i="5"/>
  <c r="BA36" i="5"/>
  <c r="BA17" i="5"/>
  <c r="K26" i="16" s="1"/>
  <c r="AP42" i="4"/>
  <c r="AP39" i="4"/>
  <c r="AP36" i="4"/>
  <c r="AL16" i="4"/>
  <c r="AL15" i="4"/>
  <c r="BQ15" i="5" s="1"/>
  <c r="BR15" i="5" s="1"/>
  <c r="AK42" i="4"/>
  <c r="AK39" i="4"/>
  <c r="AK36" i="4"/>
  <c r="AK35" i="4" s="1"/>
  <c r="AG16" i="4"/>
  <c r="AG15" i="4"/>
  <c r="AF42" i="4"/>
  <c r="AF39" i="4"/>
  <c r="AF36" i="4"/>
  <c r="AB32" i="4"/>
  <c r="AB16" i="4"/>
  <c r="AB15" i="4"/>
  <c r="BM15" i="5" s="1"/>
  <c r="BN15" i="5" s="1"/>
  <c r="AA42" i="4"/>
  <c r="AA39" i="4"/>
  <c r="AA36" i="4"/>
  <c r="W32" i="4"/>
  <c r="W31" i="4"/>
  <c r="BK31" i="5" s="1"/>
  <c r="W15" i="4"/>
  <c r="R43" i="4"/>
  <c r="BI43" i="5" s="1"/>
  <c r="BJ43" i="5" s="1"/>
  <c r="V42" i="4"/>
  <c r="V39" i="4"/>
  <c r="V36" i="4"/>
  <c r="R32" i="4"/>
  <c r="T32" i="4" s="1"/>
  <c r="R31" i="4"/>
  <c r="R16" i="4"/>
  <c r="R15" i="4"/>
  <c r="T15" i="4" s="1"/>
  <c r="M43" i="4"/>
  <c r="M35" i="33" s="1"/>
  <c r="Q42" i="4"/>
  <c r="Q34" i="33" s="1"/>
  <c r="Q39" i="4"/>
  <c r="Q31" i="33" s="1"/>
  <c r="Q36" i="4"/>
  <c r="Q28" i="33" s="1"/>
  <c r="M32" i="4"/>
  <c r="M31" i="4"/>
  <c r="O31" i="4" s="1"/>
  <c r="O23" i="33" s="1"/>
  <c r="M15" i="4"/>
  <c r="BC15" i="5" s="1"/>
  <c r="BD15" i="5" s="1"/>
  <c r="BA11" i="5"/>
  <c r="K25" i="16" s="1"/>
  <c r="K24" i="16" s="1"/>
  <c r="AY11" i="5"/>
  <c r="I25" i="16" s="1"/>
  <c r="AW11" i="5"/>
  <c r="AU11" i="5"/>
  <c r="AU10" i="5" s="1"/>
  <c r="AO11" i="5"/>
  <c r="AM11" i="5"/>
  <c r="AK11" i="5"/>
  <c r="AI11" i="5"/>
  <c r="AG11" i="5"/>
  <c r="AG10" i="5" s="1"/>
  <c r="H43" i="4"/>
  <c r="H35" i="33" s="1"/>
  <c r="L39" i="4"/>
  <c r="L36" i="4"/>
  <c r="L28" i="33"/>
  <c r="H12" i="4"/>
  <c r="H12" i="33" s="1"/>
  <c r="M15" i="33"/>
  <c r="G25" i="16"/>
  <c r="M24" i="33"/>
  <c r="O32" i="4"/>
  <c r="O24" i="33" s="1"/>
  <c r="AF35" i="4"/>
  <c r="BM32" i="5"/>
  <c r="U27" i="16" s="1"/>
  <c r="Y15" i="4"/>
  <c r="BI31" i="5"/>
  <c r="Q31" i="16" s="1"/>
  <c r="BI32" i="5"/>
  <c r="BJ32" i="5" s="1"/>
  <c r="BQ16" i="5"/>
  <c r="BR16" i="5" s="1"/>
  <c r="BJ31" i="5"/>
  <c r="R31" i="16" s="1"/>
  <c r="G20" i="4"/>
  <c r="G17" i="4" s="1"/>
  <c r="G17" i="33" s="1"/>
  <c r="F20" i="4"/>
  <c r="P20" i="4" s="1"/>
  <c r="P20" i="37" s="1"/>
  <c r="Q20" i="4"/>
  <c r="Q20" i="37" s="1"/>
  <c r="G42" i="4"/>
  <c r="G34" i="33" s="1"/>
  <c r="F42" i="4"/>
  <c r="F34" i="33" s="1"/>
  <c r="G39" i="4"/>
  <c r="G36" i="4"/>
  <c r="G28" i="33" s="1"/>
  <c r="E51" i="45"/>
  <c r="E40" i="34"/>
  <c r="E46" i="34" s="1"/>
  <c r="R54" i="1"/>
  <c r="R53" i="1"/>
  <c r="R52" i="1"/>
  <c r="R43" i="1"/>
  <c r="BB53" i="3"/>
  <c r="BF53" i="3" s="1"/>
  <c r="BB54" i="3"/>
  <c r="BB52" i="3"/>
  <c r="BY52" i="3" s="1"/>
  <c r="BZ52" i="3" s="1"/>
  <c r="BB48" i="3"/>
  <c r="BB37" i="3"/>
  <c r="BY37" i="3" s="1"/>
  <c r="BZ37" i="3" s="1"/>
  <c r="BB38" i="3"/>
  <c r="BB39" i="3"/>
  <c r="BB40" i="3"/>
  <c r="BB41" i="3"/>
  <c r="BB42" i="3"/>
  <c r="BB43" i="3"/>
  <c r="BY43" i="3" s="1"/>
  <c r="BZ43" i="3" s="1"/>
  <c r="BB44" i="3"/>
  <c r="BY44" i="3" s="1"/>
  <c r="BZ44" i="3" s="1"/>
  <c r="BB45" i="3"/>
  <c r="BB46" i="3"/>
  <c r="BB47" i="3"/>
  <c r="BB36" i="3"/>
  <c r="BB32" i="3"/>
  <c r="BB33" i="3"/>
  <c r="BY33" i="3" s="1"/>
  <c r="BZ33" i="3" s="1"/>
  <c r="BB34" i="3"/>
  <c r="BY34" i="3" s="1"/>
  <c r="BZ34" i="3" s="1"/>
  <c r="BB35" i="3"/>
  <c r="BB31" i="3"/>
  <c r="BB27" i="3"/>
  <c r="BB28" i="3"/>
  <c r="BB29" i="3"/>
  <c r="BY29" i="3" s="1"/>
  <c r="BZ29" i="3" s="1"/>
  <c r="BB26" i="3"/>
  <c r="BF26" i="3" s="1"/>
  <c r="BB21" i="3"/>
  <c r="BB22" i="3"/>
  <c r="BF22" i="3" s="1"/>
  <c r="BB23" i="3"/>
  <c r="BY23" i="3" s="1"/>
  <c r="BZ23" i="3" s="1"/>
  <c r="BB24" i="3"/>
  <c r="BF24" i="3" s="1"/>
  <c r="BB20" i="3"/>
  <c r="BB15" i="3"/>
  <c r="BB16" i="3"/>
  <c r="BF16" i="3" s="1"/>
  <c r="BB17" i="3"/>
  <c r="BF17" i="3" s="1"/>
  <c r="BB18" i="3"/>
  <c r="BB14" i="3"/>
  <c r="BF14" i="3" s="1"/>
  <c r="BA54" i="3"/>
  <c r="BE54" i="3" s="1"/>
  <c r="BA48" i="3"/>
  <c r="BE48" i="3" s="1"/>
  <c r="BA44" i="3"/>
  <c r="BE44" i="3" s="1"/>
  <c r="BA35" i="3"/>
  <c r="BE35" i="3" s="1"/>
  <c r="BA34" i="3"/>
  <c r="BE34" i="3" s="1"/>
  <c r="BA33" i="3"/>
  <c r="BE33" i="3" s="1"/>
  <c r="BA32" i="3"/>
  <c r="BE32" i="3"/>
  <c r="BA31" i="3"/>
  <c r="BA28" i="3"/>
  <c r="BE28" i="3" s="1"/>
  <c r="BA29" i="3"/>
  <c r="BE29" i="3" s="1"/>
  <c r="BF33" i="3"/>
  <c r="BF54" i="3"/>
  <c r="BY54" i="3"/>
  <c r="BZ54" i="3" s="1"/>
  <c r="BY17" i="3"/>
  <c r="BZ17" i="3" s="1"/>
  <c r="BF29" i="3"/>
  <c r="BF18" i="3"/>
  <c r="BY18" i="3"/>
  <c r="BZ18" i="3" s="1"/>
  <c r="BY26" i="3"/>
  <c r="BZ26" i="3" s="1"/>
  <c r="BF15" i="3"/>
  <c r="BY15" i="3"/>
  <c r="BZ15" i="3"/>
  <c r="BF28" i="3"/>
  <c r="BY28" i="3"/>
  <c r="BZ28" i="3" s="1"/>
  <c r="BY24" i="3"/>
  <c r="BZ24" i="3" s="1"/>
  <c r="BF23" i="3"/>
  <c r="BF35" i="3"/>
  <c r="BY35" i="3"/>
  <c r="BZ35" i="3" s="1"/>
  <c r="BF44" i="3"/>
  <c r="BH44" i="3"/>
  <c r="AR81" i="3"/>
  <c r="AQ82" i="3"/>
  <c r="AR69" i="3"/>
  <c r="D22" i="16" s="1"/>
  <c r="AQ63" i="3"/>
  <c r="AQ54" i="3"/>
  <c r="AQ53" i="3"/>
  <c r="AQ52" i="3"/>
  <c r="AR46" i="3"/>
  <c r="AQ46" i="3"/>
  <c r="AQ45" i="3"/>
  <c r="AQ44" i="3"/>
  <c r="AQ43" i="3"/>
  <c r="AQ41" i="3"/>
  <c r="AQ39" i="3"/>
  <c r="AQ38" i="3"/>
  <c r="AQ37" i="3"/>
  <c r="AQ36" i="3"/>
  <c r="AQ34" i="3"/>
  <c r="AQ33" i="3"/>
  <c r="AQ32" i="3"/>
  <c r="AQ31" i="3"/>
  <c r="AQ28" i="3"/>
  <c r="AQ27" i="3"/>
  <c r="AQ26" i="3"/>
  <c r="AQ23" i="3"/>
  <c r="AQ22" i="3"/>
  <c r="AQ21" i="3"/>
  <c r="AQ20" i="3"/>
  <c r="AQ17" i="3"/>
  <c r="AQ16" i="3"/>
  <c r="AQ15" i="3"/>
  <c r="AQ14" i="3"/>
  <c r="AH73" i="3"/>
  <c r="AH54" i="3"/>
  <c r="AH53" i="3"/>
  <c r="AH52" i="3"/>
  <c r="AH50" i="3"/>
  <c r="AR50" i="3" s="1"/>
  <c r="AH49" i="3"/>
  <c r="AH44" i="3"/>
  <c r="AH45" i="3"/>
  <c r="AH43" i="3"/>
  <c r="AH42" i="3"/>
  <c r="AH41" i="3"/>
  <c r="AT41" i="3" s="1"/>
  <c r="AH40" i="3"/>
  <c r="AH39" i="3"/>
  <c r="AT39" i="3" s="1"/>
  <c r="AH38" i="3"/>
  <c r="AR39" i="3"/>
  <c r="AH37" i="3"/>
  <c r="AH36" i="3"/>
  <c r="AH35" i="3"/>
  <c r="AH34" i="3"/>
  <c r="AR34" i="3" s="1"/>
  <c r="AH33" i="3"/>
  <c r="AR33" i="3"/>
  <c r="AH32" i="3"/>
  <c r="AH31" i="3"/>
  <c r="AH29" i="3"/>
  <c r="AR29" i="3" s="1"/>
  <c r="AH28" i="3"/>
  <c r="AR28" i="3" s="1"/>
  <c r="AH27" i="3"/>
  <c r="AR27" i="3" s="1"/>
  <c r="AH26" i="3"/>
  <c r="AR26" i="3" s="1"/>
  <c r="AH24" i="3"/>
  <c r="AH23" i="3"/>
  <c r="AR23" i="3" s="1"/>
  <c r="AH22" i="3"/>
  <c r="AR22" i="3" s="1"/>
  <c r="AH21" i="3"/>
  <c r="AR21" i="3" s="1"/>
  <c r="AH20" i="3"/>
  <c r="AR20" i="3" s="1"/>
  <c r="AH18" i="3"/>
  <c r="AR18" i="3" s="1"/>
  <c r="AH17" i="3"/>
  <c r="AR17" i="3" s="1"/>
  <c r="AH16" i="3"/>
  <c r="AR16" i="3" s="1"/>
  <c r="AH15" i="3"/>
  <c r="AR15" i="3" s="1"/>
  <c r="AH14" i="3"/>
  <c r="AJ73" i="3"/>
  <c r="AJ75" i="3" s="1"/>
  <c r="AJ51" i="3"/>
  <c r="AJ35" i="3"/>
  <c r="AJ30" i="3"/>
  <c r="AJ25" i="3"/>
  <c r="AJ24" i="3"/>
  <c r="AJ19" i="3" s="1"/>
  <c r="AJ13" i="3"/>
  <c r="AN54" i="3"/>
  <c r="AN53" i="3"/>
  <c r="AR53" i="3" s="1"/>
  <c r="AN52" i="3"/>
  <c r="AN44" i="3"/>
  <c r="AR35" i="3"/>
  <c r="AT44" i="3"/>
  <c r="AT36" i="3"/>
  <c r="AR36" i="3"/>
  <c r="AR31" i="3"/>
  <c r="AM51" i="3"/>
  <c r="AN30" i="3"/>
  <c r="AM30" i="3"/>
  <c r="AK30" i="3"/>
  <c r="AN25" i="3"/>
  <c r="AM25" i="3"/>
  <c r="AN19" i="3"/>
  <c r="AM19" i="3"/>
  <c r="AN82" i="3"/>
  <c r="AR82" i="3" s="1"/>
  <c r="AM78" i="3"/>
  <c r="AN68" i="3"/>
  <c r="AN78" i="3" s="1"/>
  <c r="AM64" i="3"/>
  <c r="AO67" i="3"/>
  <c r="AO65" i="3" s="1"/>
  <c r="AK67" i="3"/>
  <c r="AM60" i="3"/>
  <c r="AN60" i="3" s="1"/>
  <c r="AM67" i="3"/>
  <c r="AM65" i="3" s="1"/>
  <c r="AN66" i="3"/>
  <c r="AM61" i="3"/>
  <c r="AM56" i="3"/>
  <c r="AN56" i="3" s="1"/>
  <c r="AG64" i="3"/>
  <c r="AH64" i="3" s="1"/>
  <c r="AH62" i="3" s="1"/>
  <c r="AG61" i="3"/>
  <c r="AH61" i="3" s="1"/>
  <c r="AN13" i="3"/>
  <c r="AM13" i="3"/>
  <c r="AL30" i="3"/>
  <c r="AL25" i="3"/>
  <c r="AL19" i="3"/>
  <c r="AL14" i="3"/>
  <c r="AO68" i="3"/>
  <c r="AQ68" i="3" s="1"/>
  <c r="C21" i="16" s="1"/>
  <c r="AP66" i="3"/>
  <c r="AO57" i="3"/>
  <c r="AO64" i="3"/>
  <c r="AP64" i="3" s="1"/>
  <c r="AO61" i="3"/>
  <c r="AO60" i="3"/>
  <c r="AP60" i="3" s="1"/>
  <c r="AO69" i="3"/>
  <c r="AQ69" i="3" s="1"/>
  <c r="AP52" i="3"/>
  <c r="AO51" i="3"/>
  <c r="AO50" i="3"/>
  <c r="AQ50" i="3" s="1"/>
  <c r="AP49" i="3"/>
  <c r="AO49" i="3"/>
  <c r="AQ49" i="3" s="1"/>
  <c r="AP47" i="3"/>
  <c r="AP45" i="3"/>
  <c r="AP42" i="3"/>
  <c r="AR42" i="3" s="1"/>
  <c r="AO42" i="3"/>
  <c r="AQ42" i="3" s="1"/>
  <c r="AP40" i="3"/>
  <c r="AO40" i="3"/>
  <c r="AO76" i="3" s="1"/>
  <c r="AO75" i="3" s="1"/>
  <c r="AP30" i="3"/>
  <c r="AO30" i="3"/>
  <c r="AP25" i="3"/>
  <c r="AO25" i="3"/>
  <c r="AP19" i="3"/>
  <c r="AO19" i="3"/>
  <c r="AP13" i="3"/>
  <c r="AO13" i="3"/>
  <c r="AX69" i="1"/>
  <c r="AU69" i="1" s="1"/>
  <c r="BQ71" i="41" s="1"/>
  <c r="AY67" i="1"/>
  <c r="AZ65" i="1"/>
  <c r="AZ62" i="1"/>
  <c r="AZ59" i="1"/>
  <c r="AY57" i="1"/>
  <c r="AX57" i="1"/>
  <c r="AX56" i="1"/>
  <c r="AU56" i="1"/>
  <c r="AR69" i="1"/>
  <c r="AO69" i="1"/>
  <c r="BO71" i="41" s="1"/>
  <c r="BP71" i="41" s="1"/>
  <c r="AS67" i="1"/>
  <c r="AT65" i="1"/>
  <c r="AT62" i="1"/>
  <c r="AT59" i="1"/>
  <c r="AS57" i="1"/>
  <c r="AO56" i="1"/>
  <c r="BO58" i="41" s="1"/>
  <c r="AN65" i="1"/>
  <c r="AN62" i="1"/>
  <c r="AN59" i="1"/>
  <c r="AL69" i="1"/>
  <c r="AI69" i="1" s="1"/>
  <c r="AM67" i="1"/>
  <c r="AM57" i="1"/>
  <c r="AL57" i="1"/>
  <c r="AL56" i="1" s="1"/>
  <c r="AI56" i="1"/>
  <c r="AF69" i="1"/>
  <c r="AC69" i="1" s="1"/>
  <c r="AH65" i="1"/>
  <c r="AH62" i="1"/>
  <c r="AH59" i="1"/>
  <c r="AG57" i="1"/>
  <c r="AF57" i="1" s="1"/>
  <c r="AF56" i="1" s="1"/>
  <c r="AC56" i="1"/>
  <c r="Z69" i="1"/>
  <c r="W69" i="1" s="1"/>
  <c r="AB65" i="1"/>
  <c r="AB62" i="1"/>
  <c r="AB59" i="1"/>
  <c r="AA57" i="1"/>
  <c r="AA56" i="1" s="1"/>
  <c r="M19" i="7" s="1"/>
  <c r="W56" i="1"/>
  <c r="T69" i="1"/>
  <c r="U67" i="1"/>
  <c r="U61" i="1"/>
  <c r="U60" i="1"/>
  <c r="Q59" i="1"/>
  <c r="Q23" i="31" s="1"/>
  <c r="V65" i="1"/>
  <c r="V29" i="31" s="1"/>
  <c r="V62" i="1"/>
  <c r="V59" i="1"/>
  <c r="V23" i="31" s="1"/>
  <c r="U57" i="1"/>
  <c r="U21" i="31" s="1"/>
  <c r="Q56" i="1"/>
  <c r="BC58" i="41"/>
  <c r="BD58" i="41"/>
  <c r="AV54" i="1"/>
  <c r="AZ51" i="1"/>
  <c r="AY50" i="1"/>
  <c r="AV50" i="1"/>
  <c r="AY49" i="1"/>
  <c r="AX49" i="1"/>
  <c r="AV49" i="1"/>
  <c r="AY47" i="1"/>
  <c r="AV47" i="1"/>
  <c r="AV46" i="1"/>
  <c r="AV45" i="1"/>
  <c r="AY44" i="1"/>
  <c r="AX44" i="1"/>
  <c r="AV44" i="1"/>
  <c r="AV43" i="1"/>
  <c r="AV41" i="1"/>
  <c r="AV39" i="1"/>
  <c r="AY38" i="1"/>
  <c r="AX38" i="1" s="1"/>
  <c r="AV38" i="1"/>
  <c r="AY37" i="1"/>
  <c r="AX37" i="1" s="1"/>
  <c r="AV37" i="1"/>
  <c r="AV36" i="1"/>
  <c r="AY35" i="1"/>
  <c r="AX35" i="1" s="1"/>
  <c r="AY34" i="1"/>
  <c r="AX34" i="1" s="1"/>
  <c r="AY33" i="1"/>
  <c r="AX33" i="1" s="1"/>
  <c r="AY32" i="1"/>
  <c r="AX32" i="1"/>
  <c r="AY31" i="1"/>
  <c r="AX31" i="1" s="1"/>
  <c r="AZ30" i="1"/>
  <c r="AW30" i="1"/>
  <c r="AU30" i="1"/>
  <c r="AV30" i="1" s="1"/>
  <c r="AY29" i="1"/>
  <c r="AX29" i="1" s="1"/>
  <c r="AY28" i="1"/>
  <c r="AX28" i="1" s="1"/>
  <c r="AY27" i="1"/>
  <c r="AX27" i="1" s="1"/>
  <c r="AY26" i="1"/>
  <c r="AX26" i="1" s="1"/>
  <c r="AZ25" i="1"/>
  <c r="AW25" i="1"/>
  <c r="AU25" i="1"/>
  <c r="AY24" i="1"/>
  <c r="AX24" i="1" s="1"/>
  <c r="AY23" i="1"/>
  <c r="AX23" i="1"/>
  <c r="AY22" i="1"/>
  <c r="AX22" i="1" s="1"/>
  <c r="AY21" i="1"/>
  <c r="AX21" i="1" s="1"/>
  <c r="AY20" i="1"/>
  <c r="AX20" i="1" s="1"/>
  <c r="AZ19" i="1"/>
  <c r="AW19" i="1"/>
  <c r="AU19" i="1"/>
  <c r="AV19" i="1" s="1"/>
  <c r="AY18" i="1"/>
  <c r="AY17" i="1"/>
  <c r="AY16" i="1"/>
  <c r="AX16" i="1" s="1"/>
  <c r="AY15" i="1"/>
  <c r="AX15" i="1" s="1"/>
  <c r="AY14" i="1"/>
  <c r="AZ13" i="1"/>
  <c r="AW13" i="1"/>
  <c r="AU13" i="1"/>
  <c r="AU11" i="1" s="1"/>
  <c r="AU12" i="1" s="1"/>
  <c r="AV12" i="1" s="1"/>
  <c r="AS54" i="1"/>
  <c r="AR54" i="1" s="1"/>
  <c r="AP53" i="1"/>
  <c r="AP52" i="1"/>
  <c r="AT51" i="1"/>
  <c r="AS50" i="1"/>
  <c r="AP50" i="1"/>
  <c r="AS49" i="1"/>
  <c r="AR49" i="1" s="1"/>
  <c r="AP49" i="1"/>
  <c r="AS47" i="1"/>
  <c r="AP47" i="1"/>
  <c r="AP46" i="1"/>
  <c r="AP45" i="1"/>
  <c r="AS44" i="1"/>
  <c r="AR44" i="1" s="1"/>
  <c r="AP44" i="1"/>
  <c r="AP43" i="1"/>
  <c r="AS42" i="1"/>
  <c r="AP42" i="1"/>
  <c r="AP41" i="1"/>
  <c r="AS40" i="1"/>
  <c r="AR40" i="1"/>
  <c r="AP39" i="1"/>
  <c r="AP38" i="1"/>
  <c r="AS37" i="1"/>
  <c r="AR37" i="1" s="1"/>
  <c r="AP37" i="1"/>
  <c r="AS36" i="1"/>
  <c r="AR36" i="1" s="1"/>
  <c r="AP36" i="1"/>
  <c r="AS35" i="1"/>
  <c r="AR35" i="1" s="1"/>
  <c r="AS34" i="1"/>
  <c r="AR34" i="1" s="1"/>
  <c r="AS33" i="1"/>
  <c r="AR33" i="1" s="1"/>
  <c r="AS32" i="1"/>
  <c r="AS31" i="1"/>
  <c r="AR31" i="1" s="1"/>
  <c r="AT30" i="1"/>
  <c r="AQ30" i="1"/>
  <c r="AO30" i="1"/>
  <c r="AS29" i="1"/>
  <c r="AR29" i="1" s="1"/>
  <c r="AS28" i="1"/>
  <c r="AR28" i="1" s="1"/>
  <c r="AS27" i="1"/>
  <c r="AR27" i="1" s="1"/>
  <c r="AS26" i="1"/>
  <c r="AR26" i="1" s="1"/>
  <c r="AT25" i="1"/>
  <c r="AQ25" i="1"/>
  <c r="AO25" i="1"/>
  <c r="AS24" i="1"/>
  <c r="AR24" i="1" s="1"/>
  <c r="AS23" i="1"/>
  <c r="AR23" i="1" s="1"/>
  <c r="AS22" i="1"/>
  <c r="AR22" i="1"/>
  <c r="AS21" i="1"/>
  <c r="AS20" i="1"/>
  <c r="AR20" i="1" s="1"/>
  <c r="AT19" i="1"/>
  <c r="AQ19" i="1"/>
  <c r="AO19" i="1"/>
  <c r="AS18" i="1"/>
  <c r="AS17" i="1"/>
  <c r="AS16" i="1"/>
  <c r="AS15" i="1"/>
  <c r="AR15" i="1" s="1"/>
  <c r="AS14" i="1"/>
  <c r="AT13" i="1"/>
  <c r="AQ13" i="1"/>
  <c r="AO13" i="1"/>
  <c r="AM53" i="1"/>
  <c r="AL53" i="1" s="1"/>
  <c r="AJ53" i="1"/>
  <c r="AM52" i="1"/>
  <c r="AL52" i="1" s="1"/>
  <c r="AJ52" i="1"/>
  <c r="AN51" i="1"/>
  <c r="AM50" i="1"/>
  <c r="S15" i="7" s="1"/>
  <c r="R15" i="7" s="1"/>
  <c r="AJ50" i="1"/>
  <c r="AM49" i="1"/>
  <c r="AL49" i="1" s="1"/>
  <c r="AJ49" i="1"/>
  <c r="AM47" i="1"/>
  <c r="AJ47" i="1"/>
  <c r="AJ46" i="1"/>
  <c r="AJ45" i="1"/>
  <c r="AM44" i="1"/>
  <c r="AL44" i="1" s="1"/>
  <c r="AJ44" i="1"/>
  <c r="AJ43" i="1"/>
  <c r="AM42" i="1"/>
  <c r="AL42" i="1" s="1"/>
  <c r="AJ42" i="1"/>
  <c r="AJ41" i="1"/>
  <c r="AJ39" i="1"/>
  <c r="AM38" i="1"/>
  <c r="AL38" i="1" s="1"/>
  <c r="AJ38" i="1"/>
  <c r="AM37" i="1"/>
  <c r="AL37" i="1" s="1"/>
  <c r="AJ37" i="1"/>
  <c r="AM36" i="1"/>
  <c r="AL36" i="1" s="1"/>
  <c r="AJ36" i="1"/>
  <c r="AM35" i="1"/>
  <c r="AL35" i="1" s="1"/>
  <c r="AM34" i="1"/>
  <c r="AL34" i="1" s="1"/>
  <c r="AM33" i="1"/>
  <c r="AL33" i="1" s="1"/>
  <c r="AM31" i="1"/>
  <c r="AK30" i="1"/>
  <c r="AI30" i="1"/>
  <c r="AM29" i="1"/>
  <c r="AL29" i="1" s="1"/>
  <c r="AM28" i="1"/>
  <c r="AL28" i="1" s="1"/>
  <c r="AM26" i="1"/>
  <c r="AL26" i="1" s="1"/>
  <c r="AK25" i="1"/>
  <c r="AI25" i="1"/>
  <c r="AM24" i="1"/>
  <c r="AL24" i="1" s="1"/>
  <c r="AM23" i="1"/>
  <c r="AL23" i="1" s="1"/>
  <c r="AM22" i="1"/>
  <c r="AL22" i="1" s="1"/>
  <c r="AM21" i="1"/>
  <c r="AL21" i="1" s="1"/>
  <c r="AM20" i="1"/>
  <c r="AL20" i="1" s="1"/>
  <c r="AN19" i="1"/>
  <c r="AK19" i="1"/>
  <c r="AI19" i="1"/>
  <c r="AM18" i="1"/>
  <c r="AM17" i="1"/>
  <c r="AM16" i="1"/>
  <c r="AL16" i="1" s="1"/>
  <c r="AM15" i="1"/>
  <c r="AL15" i="1" s="1"/>
  <c r="AM14" i="1"/>
  <c r="AN13" i="1"/>
  <c r="AK13" i="1"/>
  <c r="AI13" i="1"/>
  <c r="AG54" i="1"/>
  <c r="AF54" i="1" s="1"/>
  <c r="AD54" i="1"/>
  <c r="AG53" i="1"/>
  <c r="AF53" i="1" s="1"/>
  <c r="AD53" i="1"/>
  <c r="AG52" i="1"/>
  <c r="AF52" i="1" s="1"/>
  <c r="AD52" i="1"/>
  <c r="AH51" i="1"/>
  <c r="AE51" i="1"/>
  <c r="AC51" i="1"/>
  <c r="AG50" i="1"/>
  <c r="Z14" i="37" s="1"/>
  <c r="AD50" i="1"/>
  <c r="AG49" i="1"/>
  <c r="AF49" i="1" s="1"/>
  <c r="AD49" i="1"/>
  <c r="AG47" i="1"/>
  <c r="AD47" i="1"/>
  <c r="AD46" i="1"/>
  <c r="AD45" i="1"/>
  <c r="AG44" i="1"/>
  <c r="AF44" i="1" s="1"/>
  <c r="AD44" i="1"/>
  <c r="AD43" i="1"/>
  <c r="AG42" i="1"/>
  <c r="P14" i="39" s="1"/>
  <c r="AD42" i="1"/>
  <c r="AD41" i="1"/>
  <c r="AG40" i="1"/>
  <c r="AF40" i="1" s="1"/>
  <c r="AD40" i="1"/>
  <c r="AD39" i="1"/>
  <c r="AD38" i="1"/>
  <c r="AG37" i="1"/>
  <c r="AF37" i="1"/>
  <c r="AD37" i="1"/>
  <c r="AG36" i="1"/>
  <c r="AF36" i="1" s="1"/>
  <c r="AD36" i="1"/>
  <c r="AG35" i="1"/>
  <c r="AF35" i="1" s="1"/>
  <c r="AG34" i="1"/>
  <c r="AF34" i="1" s="1"/>
  <c r="AG33" i="1"/>
  <c r="AF33" i="1" s="1"/>
  <c r="AF32" i="1"/>
  <c r="AG31" i="1"/>
  <c r="AE30" i="1"/>
  <c r="AC30" i="1"/>
  <c r="AG29" i="1"/>
  <c r="AF29" i="1" s="1"/>
  <c r="AG28" i="1"/>
  <c r="AF28" i="1" s="1"/>
  <c r="AG27" i="1"/>
  <c r="AG26" i="1"/>
  <c r="AF26" i="1" s="1"/>
  <c r="AH25" i="1"/>
  <c r="AE25" i="1"/>
  <c r="AC25" i="1"/>
  <c r="AG24" i="1"/>
  <c r="AF24" i="1" s="1"/>
  <c r="AG23" i="1"/>
  <c r="AF23" i="1"/>
  <c r="AG22" i="1"/>
  <c r="AG21" i="1"/>
  <c r="AF21" i="1" s="1"/>
  <c r="AG20" i="1"/>
  <c r="AF20" i="1" s="1"/>
  <c r="AH19" i="1"/>
  <c r="AE19" i="1"/>
  <c r="AC19" i="1"/>
  <c r="AG18" i="1"/>
  <c r="AG17" i="1"/>
  <c r="AF17" i="1" s="1"/>
  <c r="AG16" i="1"/>
  <c r="AF16" i="1" s="1"/>
  <c r="AG15" i="1"/>
  <c r="AF15" i="1" s="1"/>
  <c r="AG14" i="1"/>
  <c r="AH13" i="1"/>
  <c r="AE13" i="1"/>
  <c r="AC13" i="1"/>
  <c r="X54" i="1"/>
  <c r="X53" i="1"/>
  <c r="X52" i="1"/>
  <c r="X50" i="1"/>
  <c r="X49" i="1"/>
  <c r="X47" i="1"/>
  <c r="X46" i="1"/>
  <c r="X45" i="1"/>
  <c r="X44" i="1"/>
  <c r="X43" i="1"/>
  <c r="X42" i="1"/>
  <c r="X41" i="1"/>
  <c r="X40" i="1"/>
  <c r="X39" i="1"/>
  <c r="X38" i="1"/>
  <c r="X37" i="1"/>
  <c r="X36" i="1"/>
  <c r="AA54" i="1"/>
  <c r="AA53" i="1"/>
  <c r="AA52" i="1"/>
  <c r="Z52" i="1" s="1"/>
  <c r="AB51" i="1"/>
  <c r="Y51" i="1"/>
  <c r="W51" i="1"/>
  <c r="X51" i="1" s="1"/>
  <c r="AA50" i="1"/>
  <c r="AA47" i="1"/>
  <c r="AA44" i="1"/>
  <c r="Z44" i="1" s="1"/>
  <c r="AA42" i="1"/>
  <c r="AA40" i="1"/>
  <c r="Z40" i="1" s="1"/>
  <c r="AA37" i="1"/>
  <c r="Z37" i="1" s="1"/>
  <c r="AA36" i="1"/>
  <c r="Z36" i="1"/>
  <c r="AA35" i="1"/>
  <c r="Z35" i="1" s="1"/>
  <c r="AA34" i="1"/>
  <c r="Z34" i="1"/>
  <c r="AA33" i="1"/>
  <c r="Z33" i="1" s="1"/>
  <c r="AA32" i="1"/>
  <c r="Z32" i="1" s="1"/>
  <c r="AA31" i="1"/>
  <c r="AB30" i="1"/>
  <c r="Y30" i="1"/>
  <c r="W30" i="1"/>
  <c r="AA29" i="1"/>
  <c r="Z29" i="1" s="1"/>
  <c r="AA28" i="1"/>
  <c r="Z28" i="1"/>
  <c r="AA27" i="1"/>
  <c r="AA26" i="1"/>
  <c r="AB25" i="1"/>
  <c r="Y25" i="1"/>
  <c r="W25" i="1"/>
  <c r="AA24" i="1"/>
  <c r="Z24" i="1" s="1"/>
  <c r="AA23" i="1"/>
  <c r="Z23" i="1" s="1"/>
  <c r="AA22" i="1"/>
  <c r="Z22" i="1" s="1"/>
  <c r="AA21" i="1"/>
  <c r="Z21" i="1" s="1"/>
  <c r="AA20" i="1"/>
  <c r="Z20" i="1" s="1"/>
  <c r="AB19" i="1"/>
  <c r="Y19" i="1"/>
  <c r="W19" i="1"/>
  <c r="AA18" i="1"/>
  <c r="AA17" i="1"/>
  <c r="Z17" i="1" s="1"/>
  <c r="AA16" i="1"/>
  <c r="Z16" i="1" s="1"/>
  <c r="AA15" i="1"/>
  <c r="AA14" i="1"/>
  <c r="Z14" i="1" s="1"/>
  <c r="AB13" i="1"/>
  <c r="Y13" i="1"/>
  <c r="W13" i="1"/>
  <c r="AD13" i="1" s="1"/>
  <c r="R49" i="1"/>
  <c r="R45" i="1"/>
  <c r="R44" i="1"/>
  <c r="R42" i="1"/>
  <c r="R16" i="31"/>
  <c r="R41" i="1"/>
  <c r="R40" i="1"/>
  <c r="R15" i="31" s="1"/>
  <c r="R39" i="1"/>
  <c r="R38" i="1"/>
  <c r="R37" i="1"/>
  <c r="R36" i="1"/>
  <c r="U54" i="1"/>
  <c r="T54" i="1" s="1"/>
  <c r="U52" i="1"/>
  <c r="V51" i="1"/>
  <c r="V18" i="31"/>
  <c r="U50" i="1"/>
  <c r="J15" i="39" s="1"/>
  <c r="I15" i="39" s="1"/>
  <c r="T49" i="1"/>
  <c r="U47" i="1"/>
  <c r="U44" i="1"/>
  <c r="T44" i="1" s="1"/>
  <c r="U40" i="1"/>
  <c r="U15" i="31" s="1"/>
  <c r="U38" i="1"/>
  <c r="T38" i="1"/>
  <c r="U37" i="1"/>
  <c r="T37" i="1"/>
  <c r="U35" i="1"/>
  <c r="T35" i="1" s="1"/>
  <c r="U34" i="1"/>
  <c r="T34" i="1" s="1"/>
  <c r="U33" i="1"/>
  <c r="T33" i="1" s="1"/>
  <c r="U31" i="1"/>
  <c r="U29" i="1"/>
  <c r="T29" i="1" s="1"/>
  <c r="U28" i="1"/>
  <c r="T28" i="1" s="1"/>
  <c r="U27" i="1"/>
  <c r="U26" i="1"/>
  <c r="T26" i="1" s="1"/>
  <c r="S30" i="1"/>
  <c r="S14" i="31" s="1"/>
  <c r="V25" i="1"/>
  <c r="S25" i="1"/>
  <c r="Q25" i="1"/>
  <c r="X25" i="1" s="1"/>
  <c r="U24" i="1"/>
  <c r="T24" i="1" s="1"/>
  <c r="U23" i="1"/>
  <c r="T23" i="1" s="1"/>
  <c r="U22" i="1"/>
  <c r="T22" i="1" s="1"/>
  <c r="U21" i="1"/>
  <c r="T21" i="1" s="1"/>
  <c r="U20" i="1"/>
  <c r="V19" i="1"/>
  <c r="S19" i="1"/>
  <c r="Q19" i="1"/>
  <c r="R19" i="1" s="1"/>
  <c r="U18" i="1"/>
  <c r="U17" i="1"/>
  <c r="T17" i="1" s="1"/>
  <c r="U16" i="1"/>
  <c r="T16" i="1" s="1"/>
  <c r="U15" i="1"/>
  <c r="T15" i="1"/>
  <c r="U14" i="1"/>
  <c r="V13" i="1"/>
  <c r="S13" i="1"/>
  <c r="F54" i="1"/>
  <c r="D53" i="1"/>
  <c r="BA53" i="3" s="1"/>
  <c r="D52" i="1"/>
  <c r="L54" i="1"/>
  <c r="K54" i="1"/>
  <c r="K53" i="1"/>
  <c r="K52" i="1"/>
  <c r="J51" i="1"/>
  <c r="K51" i="1" s="1"/>
  <c r="K18" i="31" s="1"/>
  <c r="K49" i="1"/>
  <c r="K46" i="1"/>
  <c r="K45" i="1"/>
  <c r="K43" i="1"/>
  <c r="K41" i="1"/>
  <c r="K38" i="1"/>
  <c r="K37" i="1"/>
  <c r="K36" i="1"/>
  <c r="O48" i="1"/>
  <c r="N48" i="1" s="1"/>
  <c r="AM56" i="1"/>
  <c r="AN73" i="3"/>
  <c r="L15" i="46"/>
  <c r="M15" i="39"/>
  <c r="L15" i="39" s="1"/>
  <c r="M15" i="38"/>
  <c r="L15" i="38" s="1"/>
  <c r="I15" i="46"/>
  <c r="J15" i="38"/>
  <c r="P14" i="37"/>
  <c r="M14" i="37" s="1"/>
  <c r="BQ69" i="3"/>
  <c r="BR71" i="41"/>
  <c r="AR49" i="3"/>
  <c r="AT49" i="3"/>
  <c r="M14" i="39"/>
  <c r="L14" i="39" s="1"/>
  <c r="U13" i="37"/>
  <c r="M14" i="38"/>
  <c r="AD25" i="1"/>
  <c r="O16" i="46"/>
  <c r="P16" i="38"/>
  <c r="O16" i="38" s="1"/>
  <c r="Y15" i="38"/>
  <c r="AJ14" i="37"/>
  <c r="AG14" i="37" s="1"/>
  <c r="Y15" i="39"/>
  <c r="X15" i="39" s="1"/>
  <c r="V15" i="39"/>
  <c r="U15" i="39" s="1"/>
  <c r="AP76" i="3"/>
  <c r="AT40" i="3"/>
  <c r="AR40" i="3"/>
  <c r="AL76" i="3"/>
  <c r="AL75" i="3" s="1"/>
  <c r="AN67" i="3"/>
  <c r="AN65" i="3" s="1"/>
  <c r="O15" i="46"/>
  <c r="AP51" i="3"/>
  <c r="AR52" i="3"/>
  <c r="AO56" i="3"/>
  <c r="AQ57" i="3"/>
  <c r="AL13" i="3"/>
  <c r="M16" i="38"/>
  <c r="P74" i="38" s="1"/>
  <c r="Y14" i="38"/>
  <c r="AJ13" i="37"/>
  <c r="AT42" i="3"/>
  <c r="AP57" i="3"/>
  <c r="AR45" i="3"/>
  <c r="AT45" i="3"/>
  <c r="AX47" i="1"/>
  <c r="AB16" i="39"/>
  <c r="AA16" i="39" s="1"/>
  <c r="AB16" i="38"/>
  <c r="AR47" i="1"/>
  <c r="Y16" i="38"/>
  <c r="AB74" i="38" s="1"/>
  <c r="AA74" i="38" s="1"/>
  <c r="J16" i="38"/>
  <c r="I16" i="38" s="1"/>
  <c r="J16" i="39"/>
  <c r="I16" i="39" s="1"/>
  <c r="BM56" i="3"/>
  <c r="BN56" i="3" s="1"/>
  <c r="V17" i="16" s="1"/>
  <c r="BM58" i="41"/>
  <c r="BN58" i="41"/>
  <c r="BI56" i="3"/>
  <c r="Q17" i="16" s="1"/>
  <c r="BI58" i="41"/>
  <c r="BK56" i="3"/>
  <c r="BS56" i="3" s="1"/>
  <c r="BK58" i="41"/>
  <c r="BL58" i="41"/>
  <c r="BO56" i="3"/>
  <c r="BP56" i="3" s="1"/>
  <c r="BP58" i="41"/>
  <c r="M19" i="38"/>
  <c r="BQ56" i="3"/>
  <c r="BQ58" i="41"/>
  <c r="BR58" i="41" s="1"/>
  <c r="U56" i="1"/>
  <c r="U20" i="31" s="1"/>
  <c r="T57" i="1"/>
  <c r="V29" i="39"/>
  <c r="V29" i="38"/>
  <c r="J29" i="38"/>
  <c r="J29" i="39"/>
  <c r="J27" i="39" s="1"/>
  <c r="P44" i="37"/>
  <c r="AB29" i="39"/>
  <c r="AB29" i="38"/>
  <c r="J22" i="39"/>
  <c r="J22" i="38"/>
  <c r="I22" i="38" s="1"/>
  <c r="J23" i="38"/>
  <c r="I23" i="38" s="1"/>
  <c r="I21" i="38" s="1"/>
  <c r="J23" i="39"/>
  <c r="I23" i="39" s="1"/>
  <c r="P38" i="37"/>
  <c r="U38" i="37" s="1"/>
  <c r="W61" i="1"/>
  <c r="AB58" i="1"/>
  <c r="AB55" i="1" s="1"/>
  <c r="Q20" i="31"/>
  <c r="BC56" i="3"/>
  <c r="BD56" i="3" s="1"/>
  <c r="N17" i="16" s="1"/>
  <c r="AH58" i="1"/>
  <c r="AH55" i="1" s="1"/>
  <c r="AL67" i="1"/>
  <c r="S29" i="7"/>
  <c r="S29" i="6"/>
  <c r="AX67" i="1"/>
  <c r="Y29" i="7"/>
  <c r="Y29" i="6"/>
  <c r="U17" i="31"/>
  <c r="J15" i="35"/>
  <c r="I15" i="35" s="1"/>
  <c r="J15" i="34"/>
  <c r="I15" i="34" s="1"/>
  <c r="J22" i="35"/>
  <c r="P37" i="4"/>
  <c r="J23" i="35"/>
  <c r="I23" i="35" s="1"/>
  <c r="U25" i="31"/>
  <c r="J23" i="34"/>
  <c r="I23" i="34" s="1"/>
  <c r="P38" i="4"/>
  <c r="R51" i="1"/>
  <c r="R18" i="31" s="1"/>
  <c r="U31" i="31"/>
  <c r="J29" i="34"/>
  <c r="J29" i="35"/>
  <c r="I29" i="35" s="1"/>
  <c r="I27" i="35" s="1"/>
  <c r="W67" i="1"/>
  <c r="BI69" i="41" s="1"/>
  <c r="BJ69" i="41" s="1"/>
  <c r="P44" i="4"/>
  <c r="J60" i="38" s="1"/>
  <c r="I60" i="38" s="1"/>
  <c r="I58" i="38" s="1"/>
  <c r="W60" i="1"/>
  <c r="BC66" i="3"/>
  <c r="BD66" i="3" s="1"/>
  <c r="Q65" i="1"/>
  <c r="Q29" i="31"/>
  <c r="J22" i="7"/>
  <c r="T61" i="1"/>
  <c r="J23" i="7"/>
  <c r="I23" i="7" s="1"/>
  <c r="J23" i="6"/>
  <c r="J29" i="7"/>
  <c r="J29" i="6"/>
  <c r="I29" i="6" s="1"/>
  <c r="L52" i="1"/>
  <c r="F52" i="1"/>
  <c r="BA52" i="3"/>
  <c r="BE52" i="3" s="1"/>
  <c r="L53" i="1"/>
  <c r="P53" i="1" s="1"/>
  <c r="AL50" i="1"/>
  <c r="AE14" i="4"/>
  <c r="V37" i="39" s="1"/>
  <c r="U37" i="39" s="1"/>
  <c r="V14" i="7"/>
  <c r="V14" i="6"/>
  <c r="V16" i="7"/>
  <c r="V16" i="6"/>
  <c r="U16" i="6" s="1"/>
  <c r="AR50" i="1"/>
  <c r="AJ14" i="4"/>
  <c r="V15" i="7"/>
  <c r="V15" i="6"/>
  <c r="Y16" i="6"/>
  <c r="X16" i="6" s="1"/>
  <c r="Y16" i="7"/>
  <c r="P15" i="6"/>
  <c r="P16" i="6"/>
  <c r="O16" i="6"/>
  <c r="M15" i="6"/>
  <c r="L15" i="6"/>
  <c r="M16" i="6"/>
  <c r="L16" i="6" s="1"/>
  <c r="Z42" i="1"/>
  <c r="M14" i="6"/>
  <c r="L14" i="6" s="1"/>
  <c r="U13" i="4"/>
  <c r="M14" i="7"/>
  <c r="J15" i="7"/>
  <c r="J15" i="6"/>
  <c r="I15" i="6" s="1"/>
  <c r="J16" i="7"/>
  <c r="I16" i="7" s="1"/>
  <c r="AR57" i="3"/>
  <c r="AO11" i="1"/>
  <c r="AO12" i="1" s="1"/>
  <c r="AD19" i="1"/>
  <c r="AD30" i="1"/>
  <c r="Z26" i="1"/>
  <c r="T50" i="1"/>
  <c r="T17" i="31" s="1"/>
  <c r="Z53" i="1"/>
  <c r="AD51" i="1"/>
  <c r="AP63" i="3"/>
  <c r="AP62" i="3" s="1"/>
  <c r="AY56" i="1"/>
  <c r="T67" i="1"/>
  <c r="T31" i="31" s="1"/>
  <c r="U59" i="1"/>
  <c r="U23" i="31" s="1"/>
  <c r="AY25" i="1"/>
  <c r="AP13" i="1"/>
  <c r="AR16" i="1"/>
  <c r="AJ13" i="1"/>
  <c r="AM19" i="1"/>
  <c r="AF14" i="1"/>
  <c r="W17" i="16"/>
  <c r="U17" i="16"/>
  <c r="O16" i="45"/>
  <c r="S83" i="46"/>
  <c r="BJ56" i="3"/>
  <c r="O15" i="45"/>
  <c r="AQ76" i="3"/>
  <c r="C15" i="16" s="1"/>
  <c r="I15" i="38"/>
  <c r="M36" i="38"/>
  <c r="M36" i="39"/>
  <c r="AA16" i="38"/>
  <c r="T21" i="31"/>
  <c r="T56" i="1"/>
  <c r="BI60" i="3"/>
  <c r="J54" i="39"/>
  <c r="I54" i="39" s="1"/>
  <c r="M38" i="37"/>
  <c r="J21" i="38"/>
  <c r="I22" i="39"/>
  <c r="J56" i="34"/>
  <c r="I56" i="34" s="1"/>
  <c r="J54" i="7"/>
  <c r="I54" i="7" s="1"/>
  <c r="J62" i="35"/>
  <c r="J60" i="35" s="1"/>
  <c r="P42" i="4"/>
  <c r="P34" i="33" s="1"/>
  <c r="Y19" i="6"/>
  <c r="T25" i="31"/>
  <c r="BI67" i="3"/>
  <c r="J27" i="35"/>
  <c r="M17" i="16"/>
  <c r="M37" i="4"/>
  <c r="M29" i="33" s="1"/>
  <c r="U37" i="4"/>
  <c r="J53" i="6"/>
  <c r="I53" i="6" s="1"/>
  <c r="U65" i="1"/>
  <c r="U29" i="31" s="1"/>
  <c r="J28" i="6"/>
  <c r="I28" i="6" s="1"/>
  <c r="T66" i="1"/>
  <c r="T30" i="31" s="1"/>
  <c r="W66" i="1"/>
  <c r="I23" i="6"/>
  <c r="U15" i="7"/>
  <c r="X16" i="7"/>
  <c r="S37" i="7"/>
  <c r="R37" i="7" s="1"/>
  <c r="L14" i="7"/>
  <c r="E21" i="19"/>
  <c r="F21" i="19" s="1"/>
  <c r="M36" i="6"/>
  <c r="M36" i="7"/>
  <c r="AO10" i="1"/>
  <c r="R39" i="46"/>
  <c r="R17" i="16"/>
  <c r="BI68" i="41"/>
  <c r="M53" i="38"/>
  <c r="M53" i="7"/>
  <c r="M53" i="6"/>
  <c r="I62" i="35"/>
  <c r="I60" i="35" s="1"/>
  <c r="J27" i="7"/>
  <c r="BI66" i="3"/>
  <c r="BE42" i="5"/>
  <c r="BJ66" i="3"/>
  <c r="O35" i="1"/>
  <c r="O34" i="1"/>
  <c r="N34" i="1" s="1"/>
  <c r="O33" i="1"/>
  <c r="N33" i="1" s="1"/>
  <c r="O32" i="1"/>
  <c r="N32" i="1" s="1"/>
  <c r="N35" i="1"/>
  <c r="O31" i="1"/>
  <c r="P14" i="31"/>
  <c r="M30" i="1"/>
  <c r="M14" i="31" s="1"/>
  <c r="J30" i="1"/>
  <c r="J14" i="31" s="1"/>
  <c r="O29" i="1"/>
  <c r="N29" i="1" s="1"/>
  <c r="O28" i="1"/>
  <c r="N28" i="1" s="1"/>
  <c r="O27" i="1"/>
  <c r="N27" i="1" s="1"/>
  <c r="O26" i="1"/>
  <c r="N26" i="1" s="1"/>
  <c r="P25" i="1"/>
  <c r="M25" i="1"/>
  <c r="J25" i="1"/>
  <c r="O24" i="1"/>
  <c r="N24" i="1" s="1"/>
  <c r="O23" i="1"/>
  <c r="N23" i="1" s="1"/>
  <c r="O22" i="1"/>
  <c r="N22" i="1" s="1"/>
  <c r="O21" i="1"/>
  <c r="O20" i="1"/>
  <c r="N20" i="1" s="1"/>
  <c r="O18" i="1"/>
  <c r="N18" i="1" s="1"/>
  <c r="O17" i="1"/>
  <c r="N17" i="1" s="1"/>
  <c r="O16" i="1"/>
  <c r="N16" i="1" s="1"/>
  <c r="O15" i="1"/>
  <c r="N15" i="1" s="1"/>
  <c r="O14" i="1"/>
  <c r="P19" i="1"/>
  <c r="M19" i="1"/>
  <c r="J19" i="1"/>
  <c r="P13" i="1"/>
  <c r="M13" i="1"/>
  <c r="P69" i="1"/>
  <c r="H31" i="35" s="1"/>
  <c r="P65" i="1"/>
  <c r="P29" i="31" s="1"/>
  <c r="P62" i="1"/>
  <c r="P26" i="31" s="1"/>
  <c r="P59" i="1"/>
  <c r="P23" i="31" s="1"/>
  <c r="J13" i="1"/>
  <c r="I45" i="1"/>
  <c r="H45" i="1" s="1"/>
  <c r="G45" i="1" s="1"/>
  <c r="H44" i="1"/>
  <c r="G44" i="1" s="1"/>
  <c r="H33" i="1"/>
  <c r="I32" i="1"/>
  <c r="H32" i="1" s="1"/>
  <c r="I31" i="1"/>
  <c r="H31" i="1" s="1"/>
  <c r="G31" i="1" s="1"/>
  <c r="H35" i="1"/>
  <c r="G35" i="1" s="1"/>
  <c r="H34" i="1"/>
  <c r="H29" i="1"/>
  <c r="H28" i="1"/>
  <c r="G28" i="1" s="1"/>
  <c r="H24" i="1"/>
  <c r="H22" i="1"/>
  <c r="H18" i="1"/>
  <c r="H17" i="1"/>
  <c r="H15" i="1"/>
  <c r="G15" i="1" s="1"/>
  <c r="I43" i="1"/>
  <c r="I42" i="1"/>
  <c r="E14" i="153" s="1"/>
  <c r="I41" i="1"/>
  <c r="BA22" i="3"/>
  <c r="BE22" i="3" s="1"/>
  <c r="BA24" i="3"/>
  <c r="BE24" i="3" s="1"/>
  <c r="BB19" i="3"/>
  <c r="BA15" i="3"/>
  <c r="BE15" i="3" s="1"/>
  <c r="BA17" i="3"/>
  <c r="BE17" i="3" s="1"/>
  <c r="BA18" i="3"/>
  <c r="BE18" i="3" s="1"/>
  <c r="D41" i="1"/>
  <c r="L41" i="1" s="1"/>
  <c r="H31" i="39"/>
  <c r="H31" i="38"/>
  <c r="P33" i="31"/>
  <c r="H31" i="6"/>
  <c r="E14" i="35"/>
  <c r="H41" i="1"/>
  <c r="BA41" i="3"/>
  <c r="BE41" i="3" s="1"/>
  <c r="M41" i="1"/>
  <c r="S41" i="1" s="1"/>
  <c r="R13" i="1"/>
  <c r="Y41" i="1"/>
  <c r="AE41" i="1" s="1"/>
  <c r="AK41" i="1" s="1"/>
  <c r="D45" i="1"/>
  <c r="D46" i="1"/>
  <c r="BF46" i="1" s="1"/>
  <c r="D43" i="1"/>
  <c r="H43" i="1" s="1"/>
  <c r="G43" i="1" s="1"/>
  <c r="D38" i="1"/>
  <c r="D37" i="1"/>
  <c r="D36" i="1"/>
  <c r="D49" i="1"/>
  <c r="L49" i="1" s="1"/>
  <c r="I62" i="1"/>
  <c r="I26" i="31" s="1"/>
  <c r="I65" i="1"/>
  <c r="I29" i="31"/>
  <c r="F65" i="1"/>
  <c r="F29" i="31" s="1"/>
  <c r="C50" i="1"/>
  <c r="D50" i="1" s="1"/>
  <c r="I51" i="1"/>
  <c r="I18" i="31" s="1"/>
  <c r="G51" i="1"/>
  <c r="G18" i="31" s="1"/>
  <c r="F53" i="1"/>
  <c r="M53" i="1" s="1"/>
  <c r="O53" i="1" s="1"/>
  <c r="N53" i="1" s="1"/>
  <c r="C51" i="1"/>
  <c r="D66" i="1"/>
  <c r="D30" i="31" s="1"/>
  <c r="C65" i="1"/>
  <c r="C29" i="31" s="1"/>
  <c r="C64" i="1"/>
  <c r="D64" i="1" s="1"/>
  <c r="C63" i="1"/>
  <c r="C27" i="31" s="1"/>
  <c r="C61" i="1"/>
  <c r="C25" i="31" s="1"/>
  <c r="C60" i="1"/>
  <c r="D60" i="1" s="1"/>
  <c r="BA62" i="41" s="1"/>
  <c r="C33" i="1"/>
  <c r="BE33" i="1" s="1"/>
  <c r="C31" i="1"/>
  <c r="BE31" i="1"/>
  <c r="D27" i="1"/>
  <c r="D26" i="1"/>
  <c r="D14" i="1"/>
  <c r="H14" i="1" s="1"/>
  <c r="AY64" i="3"/>
  <c r="AZ64" i="3" s="1"/>
  <c r="AY63" i="3"/>
  <c r="AZ63" i="3"/>
  <c r="AY61" i="3"/>
  <c r="AY60" i="3"/>
  <c r="AZ60" i="3" s="1"/>
  <c r="AY73" i="3"/>
  <c r="G9" i="9" s="1"/>
  <c r="G10" i="9" s="1"/>
  <c r="BF26" i="1"/>
  <c r="K50" i="1"/>
  <c r="K17" i="31" s="1"/>
  <c r="BA27" i="3"/>
  <c r="BE27" i="3" s="1"/>
  <c r="BF27" i="1"/>
  <c r="BF49" i="1"/>
  <c r="BB49" i="3"/>
  <c r="BA49" i="3"/>
  <c r="BE49" i="3" s="1"/>
  <c r="C18" i="31"/>
  <c r="BA46" i="3"/>
  <c r="BE46" i="3" s="1"/>
  <c r="C59" i="1"/>
  <c r="C24" i="31"/>
  <c r="D61" i="1"/>
  <c r="BA63" i="41" s="1"/>
  <c r="BF45" i="1"/>
  <c r="BA45" i="3"/>
  <c r="L45" i="1"/>
  <c r="P45" i="1" s="1"/>
  <c r="V45" i="1" s="1"/>
  <c r="AB45" i="1" s="1"/>
  <c r="BA38" i="3"/>
  <c r="BF38" i="1"/>
  <c r="H26" i="1"/>
  <c r="G26" i="1" s="1"/>
  <c r="BA26" i="3"/>
  <c r="L38" i="1"/>
  <c r="L37" i="1"/>
  <c r="D25" i="1"/>
  <c r="H27" i="1"/>
  <c r="D47" i="1"/>
  <c r="BA47" i="3" s="1"/>
  <c r="H48" i="1"/>
  <c r="F16" i="44" s="1"/>
  <c r="K16" i="44" s="1"/>
  <c r="D30" i="1"/>
  <c r="D14" i="31" s="1"/>
  <c r="AY78" i="3"/>
  <c r="AZ78" i="3" s="1"/>
  <c r="AZ81" i="3"/>
  <c r="AZ73" i="3" s="1"/>
  <c r="AZ69" i="3"/>
  <c r="J22" i="16" s="1"/>
  <c r="AY69" i="3"/>
  <c r="I22" i="16" s="1"/>
  <c r="AZ65" i="3"/>
  <c r="AY65" i="3"/>
  <c r="AX65" i="3"/>
  <c r="AW65" i="3"/>
  <c r="AY56" i="3"/>
  <c r="I17" i="16"/>
  <c r="AZ51" i="3"/>
  <c r="BU51" i="150" s="1"/>
  <c r="AY51" i="3"/>
  <c r="I10" i="16" s="1"/>
  <c r="AZ49" i="3"/>
  <c r="BU49" i="150" s="1"/>
  <c r="BV49" i="150" s="1"/>
  <c r="AZ47" i="3"/>
  <c r="BU47" i="150" s="1"/>
  <c r="AY47" i="3"/>
  <c r="AZ46" i="3"/>
  <c r="BU46" i="150" s="1"/>
  <c r="BV46" i="150" s="1"/>
  <c r="AZ45" i="3"/>
  <c r="BU45" i="150" s="1"/>
  <c r="AY45" i="3"/>
  <c r="AZ43" i="3"/>
  <c r="BU43" i="150" s="1"/>
  <c r="BV43" i="150" s="1"/>
  <c r="AZ42" i="3"/>
  <c r="BU42" i="150" s="1"/>
  <c r="BV42" i="150" s="1"/>
  <c r="AY42" i="3"/>
  <c r="AZ41" i="3"/>
  <c r="BU41" i="150" s="1"/>
  <c r="BV41" i="150" s="1"/>
  <c r="AZ40" i="3"/>
  <c r="AY40" i="3"/>
  <c r="AZ39" i="3"/>
  <c r="BU39" i="150" s="1"/>
  <c r="BV39" i="150" s="1"/>
  <c r="AY39" i="3"/>
  <c r="AZ38" i="3"/>
  <c r="BU38" i="150" s="1"/>
  <c r="BV38" i="150" s="1"/>
  <c r="AY38" i="3"/>
  <c r="BE38" i="3" s="1"/>
  <c r="AZ36" i="3"/>
  <c r="BU36" i="150" s="1"/>
  <c r="BV36" i="150" s="1"/>
  <c r="AZ34" i="3"/>
  <c r="AZ30" i="3" s="1"/>
  <c r="AZ32" i="3"/>
  <c r="AY31" i="3"/>
  <c r="AZ25" i="3"/>
  <c r="BU25" i="150" s="1"/>
  <c r="BV25" i="150" s="1"/>
  <c r="AY25" i="3"/>
  <c r="AY23" i="3"/>
  <c r="AY19" i="3"/>
  <c r="AZ20" i="3"/>
  <c r="D41" i="46"/>
  <c r="C41" i="46" s="1"/>
  <c r="D41" i="45"/>
  <c r="C41" i="45" s="1"/>
  <c r="BF32" i="3"/>
  <c r="BY32" i="3"/>
  <c r="BZ32" i="3" s="1"/>
  <c r="BF40" i="3"/>
  <c r="BB5" i="3"/>
  <c r="BY40" i="3"/>
  <c r="BZ40" i="3" s="1"/>
  <c r="BH40" i="3"/>
  <c r="H9" i="9"/>
  <c r="H10" i="9" s="1"/>
  <c r="BH38" i="3"/>
  <c r="BY38" i="3"/>
  <c r="BZ38" i="3" s="1"/>
  <c r="BF38" i="3"/>
  <c r="BQ43" i="43"/>
  <c r="BR43" i="43" s="1"/>
  <c r="BQ51" i="43"/>
  <c r="BQ45" i="43"/>
  <c r="BR45" i="43" s="1"/>
  <c r="AZ56" i="3"/>
  <c r="J17" i="16" s="1"/>
  <c r="BE31" i="3"/>
  <c r="BY49" i="41"/>
  <c r="BZ49" i="41" s="1"/>
  <c r="G48" i="1"/>
  <c r="F15" i="37"/>
  <c r="O66" i="1"/>
  <c r="G28" i="38" s="1"/>
  <c r="M49" i="1"/>
  <c r="D25" i="31"/>
  <c r="M45" i="1"/>
  <c r="S45" i="1" s="1"/>
  <c r="Y45" i="1" s="1"/>
  <c r="BF25" i="1"/>
  <c r="L30" i="1"/>
  <c r="L14" i="31" s="1"/>
  <c r="F15" i="4"/>
  <c r="D38" i="35" s="1"/>
  <c r="C38" i="35" s="1"/>
  <c r="D51" i="1"/>
  <c r="H52" i="1"/>
  <c r="AV73" i="3"/>
  <c r="D8" i="40" s="1"/>
  <c r="D9" i="40" s="1"/>
  <c r="AX81" i="3"/>
  <c r="AX73" i="3" s="1"/>
  <c r="AX75" i="3" s="1"/>
  <c r="AX51" i="3"/>
  <c r="H10" i="16"/>
  <c r="AX47" i="3"/>
  <c r="AX36" i="3"/>
  <c r="H64" i="9"/>
  <c r="BF81" i="3"/>
  <c r="BY50" i="41"/>
  <c r="BZ50" i="41" s="1"/>
  <c r="D15" i="37"/>
  <c r="K15" i="37"/>
  <c r="H15" i="37" s="1"/>
  <c r="J15" i="37" s="1"/>
  <c r="D38" i="38"/>
  <c r="C38" i="38" s="1"/>
  <c r="D38" i="39"/>
  <c r="C38" i="39" s="1"/>
  <c r="G28" i="39"/>
  <c r="G27" i="39" s="1"/>
  <c r="J98" i="1"/>
  <c r="J65" i="1"/>
  <c r="J29" i="31"/>
  <c r="J30" i="31"/>
  <c r="BB66" i="3"/>
  <c r="BY66" i="3" s="1"/>
  <c r="BZ66" i="3" s="1"/>
  <c r="F15" i="33"/>
  <c r="D38" i="34"/>
  <c r="C38" i="34" s="1"/>
  <c r="D15" i="4"/>
  <c r="BC64" i="3"/>
  <c r="BD64" i="3" s="1"/>
  <c r="U64" i="1"/>
  <c r="J26" i="35" s="1"/>
  <c r="D38" i="7"/>
  <c r="C38" i="7" s="1"/>
  <c r="K15" i="4"/>
  <c r="G38" i="35" s="1"/>
  <c r="D38" i="6"/>
  <c r="AV75" i="3"/>
  <c r="F14" i="16" s="1"/>
  <c r="AW78" i="3"/>
  <c r="AX78" i="3"/>
  <c r="F8" i="40"/>
  <c r="F9" i="40" s="1"/>
  <c r="H14" i="16"/>
  <c r="H13" i="16" s="1"/>
  <c r="F9" i="9"/>
  <c r="F10" i="9" s="1"/>
  <c r="J75" i="39"/>
  <c r="O15" i="37"/>
  <c r="G38" i="39"/>
  <c r="F38" i="39" s="1"/>
  <c r="P41" i="37"/>
  <c r="U41" i="37" s="1"/>
  <c r="J26" i="38"/>
  <c r="I26" i="38" s="1"/>
  <c r="J26" i="39"/>
  <c r="I26" i="39" s="1"/>
  <c r="BB65" i="3"/>
  <c r="BY65" i="3" s="1"/>
  <c r="BZ65" i="3" s="1"/>
  <c r="L20" i="16"/>
  <c r="O30" i="31"/>
  <c r="I26" i="35"/>
  <c r="U28" i="31"/>
  <c r="J26" i="34"/>
  <c r="I26" i="34" s="1"/>
  <c r="P41" i="4"/>
  <c r="J57" i="39" s="1"/>
  <c r="I57" i="39" s="1"/>
  <c r="D15" i="33"/>
  <c r="G38" i="34"/>
  <c r="K15" i="33"/>
  <c r="T64" i="1"/>
  <c r="T28" i="31" s="1"/>
  <c r="J26" i="7"/>
  <c r="I26" i="7" s="1"/>
  <c r="J26" i="6"/>
  <c r="W64" i="1"/>
  <c r="BI66" i="41" s="1"/>
  <c r="G38" i="7"/>
  <c r="F38" i="7" s="1"/>
  <c r="G38" i="6"/>
  <c r="H15" i="4"/>
  <c r="AX63" i="3"/>
  <c r="AX62" i="3" s="1"/>
  <c r="AW62" i="3"/>
  <c r="AW60" i="3"/>
  <c r="AW59" i="3" s="1"/>
  <c r="AW58" i="3" s="1"/>
  <c r="AX68" i="3"/>
  <c r="H21" i="16" s="1"/>
  <c r="AX56" i="3"/>
  <c r="H17" i="16" s="1"/>
  <c r="AW51" i="3"/>
  <c r="G10" i="16" s="1"/>
  <c r="AW47" i="3"/>
  <c r="AW45" i="3"/>
  <c r="AW30" i="3"/>
  <c r="AX30" i="3"/>
  <c r="AW25" i="3"/>
  <c r="AX25" i="3"/>
  <c r="AW20" i="3"/>
  <c r="AW19" i="3" s="1"/>
  <c r="AX19" i="3"/>
  <c r="AW14" i="3"/>
  <c r="F51" i="9"/>
  <c r="F65" i="9"/>
  <c r="AX60" i="3"/>
  <c r="AX59" i="3" s="1"/>
  <c r="H15" i="33"/>
  <c r="BI64" i="3"/>
  <c r="BJ64" i="3" s="1"/>
  <c r="I26" i="6"/>
  <c r="AZ13" i="3"/>
  <c r="AY13" i="3"/>
  <c r="AX13" i="3"/>
  <c r="AW13" i="3"/>
  <c r="AW11" i="3" s="1"/>
  <c r="AU78" i="3"/>
  <c r="AU63" i="3"/>
  <c r="AU62" i="3" s="1"/>
  <c r="AV56" i="3"/>
  <c r="F17" i="16" s="1"/>
  <c r="AV66" i="3"/>
  <c r="AU60" i="3"/>
  <c r="AV60" i="3" s="1"/>
  <c r="AV59" i="3" s="1"/>
  <c r="AU65" i="3"/>
  <c r="AU59" i="3"/>
  <c r="AV78" i="3"/>
  <c r="AU51" i="3"/>
  <c r="AV69" i="3"/>
  <c r="AV51" i="3"/>
  <c r="AV49" i="3"/>
  <c r="BH49" i="3" s="1"/>
  <c r="AV47" i="3"/>
  <c r="AV36" i="3"/>
  <c r="BH36" i="3" s="1"/>
  <c r="AV30" i="3"/>
  <c r="AU30" i="3"/>
  <c r="AV25" i="3"/>
  <c r="AU25" i="3"/>
  <c r="AV19" i="3"/>
  <c r="AU19" i="3"/>
  <c r="AV13" i="3"/>
  <c r="AU13" i="3"/>
  <c r="AU11" i="3" s="1"/>
  <c r="AL78" i="3"/>
  <c r="AK78" i="3"/>
  <c r="BF47" i="3"/>
  <c r="F22" i="16"/>
  <c r="F10" i="16"/>
  <c r="AL66" i="3"/>
  <c r="AK25" i="3"/>
  <c r="AK19" i="3"/>
  <c r="AK13" i="3"/>
  <c r="AJ78" i="3"/>
  <c r="AI78" i="3"/>
  <c r="AJ67" i="3"/>
  <c r="AJ65" i="3" s="1"/>
  <c r="AJ63" i="3"/>
  <c r="AR63" i="3" s="1"/>
  <c r="AI30" i="3"/>
  <c r="AI25" i="3"/>
  <c r="AI19" i="3"/>
  <c r="AI13" i="3"/>
  <c r="AI60" i="3"/>
  <c r="AI64" i="3"/>
  <c r="AI62" i="3" s="1"/>
  <c r="AI61" i="3"/>
  <c r="AJ61" i="3" s="1"/>
  <c r="AQ61" i="3"/>
  <c r="AI51" i="3"/>
  <c r="AG73" i="3"/>
  <c r="AQ73" i="3" s="1"/>
  <c r="AQ75" i="3" s="1"/>
  <c r="AG81" i="3"/>
  <c r="AQ81" i="3" s="1"/>
  <c r="AH80" i="3"/>
  <c r="AR80" i="3" s="1"/>
  <c r="AG80" i="3"/>
  <c r="AQ80" i="3" s="1"/>
  <c r="AH79" i="3"/>
  <c r="AR79" i="3" s="1"/>
  <c r="AG79" i="3"/>
  <c r="AQ79" i="3" s="1"/>
  <c r="AG78" i="3"/>
  <c r="AH60" i="3"/>
  <c r="AH66" i="3"/>
  <c r="AR66" i="3" s="1"/>
  <c r="AH67" i="3"/>
  <c r="AH68" i="3"/>
  <c r="AH78" i="3" s="1"/>
  <c r="AI56" i="3"/>
  <c r="AH56" i="3"/>
  <c r="AG56" i="3"/>
  <c r="AI65" i="3"/>
  <c r="AG59" i="3"/>
  <c r="AJ56" i="3"/>
  <c r="AH51" i="3"/>
  <c r="AG51" i="3"/>
  <c r="AG35" i="3"/>
  <c r="AG29" i="3"/>
  <c r="AQ29" i="3" s="1"/>
  <c r="AG24" i="3"/>
  <c r="AG18" i="3"/>
  <c r="AG25" i="3"/>
  <c r="AG75" i="3"/>
  <c r="AI59" i="3"/>
  <c r="AH59" i="3"/>
  <c r="AL64" i="3"/>
  <c r="AL63" i="3"/>
  <c r="AL61" i="3"/>
  <c r="AK60" i="3"/>
  <c r="AK59" i="3" s="1"/>
  <c r="AK58" i="3" s="1"/>
  <c r="AK55" i="3" s="1"/>
  <c r="AK65" i="3"/>
  <c r="AK62" i="3"/>
  <c r="AL56" i="3"/>
  <c r="AK56" i="3"/>
  <c r="G68" i="1"/>
  <c r="G32" i="31" s="1"/>
  <c r="G69" i="1"/>
  <c r="AL51" i="3"/>
  <c r="AK51" i="3"/>
  <c r="AL47" i="3"/>
  <c r="AL11" i="3" s="1"/>
  <c r="AK47" i="3"/>
  <c r="AQ47" i="3" s="1"/>
  <c r="C11" i="3"/>
  <c r="C10" i="3" s="1"/>
  <c r="D11" i="3"/>
  <c r="D51" i="3"/>
  <c r="AR47" i="3"/>
  <c r="F58" i="1"/>
  <c r="F55" i="1" s="1"/>
  <c r="F19" i="31" s="1"/>
  <c r="H59" i="1"/>
  <c r="C57" i="1"/>
  <c r="D57" i="1" s="1"/>
  <c r="C47" i="1"/>
  <c r="BE47" i="1" s="1"/>
  <c r="F46" i="1"/>
  <c r="BH44" i="1"/>
  <c r="C42" i="1"/>
  <c r="BE42" i="1" s="1"/>
  <c r="G41" i="1"/>
  <c r="C40" i="1"/>
  <c r="C15" i="31" s="1"/>
  <c r="C39" i="1"/>
  <c r="I37" i="1"/>
  <c r="H37" i="1" s="1"/>
  <c r="G37" i="1" s="1"/>
  <c r="BH37" i="1" s="1"/>
  <c r="F30" i="1"/>
  <c r="F14" i="31" s="1"/>
  <c r="G29" i="1"/>
  <c r="BH29" i="1"/>
  <c r="G27" i="1"/>
  <c r="BH26" i="1"/>
  <c r="I25" i="1"/>
  <c r="F25" i="1"/>
  <c r="C23" i="1"/>
  <c r="D23" i="1" s="1"/>
  <c r="C21" i="1"/>
  <c r="C20" i="1"/>
  <c r="I19" i="1"/>
  <c r="F19" i="1"/>
  <c r="G18" i="1"/>
  <c r="G17" i="1"/>
  <c r="C16" i="1"/>
  <c r="C13" i="1" s="1"/>
  <c r="K13" i="1" s="1"/>
  <c r="BE16" i="1"/>
  <c r="G14" i="1"/>
  <c r="I13" i="1"/>
  <c r="F13" i="1"/>
  <c r="F22" i="31"/>
  <c r="K42" i="1"/>
  <c r="K16" i="31" s="1"/>
  <c r="K40" i="1"/>
  <c r="K15" i="31" s="1"/>
  <c r="BA20" i="3"/>
  <c r="BE20" i="3"/>
  <c r="F40" i="1"/>
  <c r="F15" i="31" s="1"/>
  <c r="C56" i="1"/>
  <c r="C20" i="31" s="1"/>
  <c r="G59" i="1"/>
  <c r="G23" i="31" s="1"/>
  <c r="D42" i="1"/>
  <c r="D16" i="31" s="1"/>
  <c r="H46" i="1"/>
  <c r="G46" i="1" s="1"/>
  <c r="G32" i="1"/>
  <c r="G34" i="1"/>
  <c r="BH34" i="1" s="1"/>
  <c r="I36" i="1"/>
  <c r="H36" i="1" s="1"/>
  <c r="G36" i="1" s="1"/>
  <c r="BH36" i="1" s="1"/>
  <c r="I49" i="1"/>
  <c r="I38" i="1"/>
  <c r="H38" i="1" s="1"/>
  <c r="G38" i="1" s="1"/>
  <c r="BH38" i="1" s="1"/>
  <c r="C30" i="1"/>
  <c r="C14" i="31" s="1"/>
  <c r="G33" i="1"/>
  <c r="BH33" i="1" s="1"/>
  <c r="G22" i="1"/>
  <c r="G24" i="1"/>
  <c r="BH24" i="1" s="1"/>
  <c r="C25" i="1"/>
  <c r="K25" i="1" s="1"/>
  <c r="BE13" i="1"/>
  <c r="I30" i="1"/>
  <c r="BH28" i="1"/>
  <c r="AP73" i="3"/>
  <c r="K48" i="34"/>
  <c r="I48" i="34" s="1"/>
  <c r="K48" i="35"/>
  <c r="I48" i="35" s="1"/>
  <c r="Q26" i="33"/>
  <c r="V32" i="31"/>
  <c r="K46" i="6"/>
  <c r="L29" i="4"/>
  <c r="L20" i="4"/>
  <c r="L23" i="4"/>
  <c r="L30" i="4"/>
  <c r="L21" i="4"/>
  <c r="H21" i="4" s="1"/>
  <c r="J21" i="4" s="1"/>
  <c r="L18" i="4"/>
  <c r="L26" i="4"/>
  <c r="H45" i="35" s="1"/>
  <c r="F45" i="35" s="1"/>
  <c r="L25" i="4"/>
  <c r="L24" i="4"/>
  <c r="H42" i="39"/>
  <c r="H42" i="38"/>
  <c r="N30" i="7"/>
  <c r="Q30" i="7"/>
  <c r="H42" i="35"/>
  <c r="N46" i="7"/>
  <c r="N30" i="6"/>
  <c r="Q46" i="7"/>
  <c r="N46" i="6"/>
  <c r="K30" i="6"/>
  <c r="K30" i="7"/>
  <c r="H42" i="6"/>
  <c r="Q30" i="6"/>
  <c r="AN68" i="1"/>
  <c r="Q46" i="6"/>
  <c r="M26" i="4"/>
  <c r="M23" i="4"/>
  <c r="O23" i="4" s="1"/>
  <c r="M22" i="4"/>
  <c r="M21" i="33" s="1"/>
  <c r="M29" i="4"/>
  <c r="O29" i="4" s="1"/>
  <c r="J49" i="7"/>
  <c r="I49" i="7" s="1"/>
  <c r="M27" i="4"/>
  <c r="O27" i="4" s="1"/>
  <c r="J43" i="7"/>
  <c r="M25" i="4"/>
  <c r="O25" i="4" s="1"/>
  <c r="M24" i="4"/>
  <c r="O24" i="4" s="1"/>
  <c r="M30" i="4"/>
  <c r="O30" i="4" s="1"/>
  <c r="M21" i="4"/>
  <c r="O21" i="4" s="1"/>
  <c r="J46" i="6"/>
  <c r="J81" i="6" s="1"/>
  <c r="M34" i="4"/>
  <c r="M26" i="33" s="1"/>
  <c r="J46" i="7"/>
  <c r="I46" i="7" s="1"/>
  <c r="W30" i="39"/>
  <c r="W30" i="38"/>
  <c r="H51" i="46"/>
  <c r="H51" i="45"/>
  <c r="O26" i="4"/>
  <c r="O22" i="33" s="1"/>
  <c r="M22" i="33"/>
  <c r="M12" i="4"/>
  <c r="O12" i="4" s="1"/>
  <c r="J43" i="6"/>
  <c r="J79" i="6" s="1"/>
  <c r="I43" i="6"/>
  <c r="J35" i="7"/>
  <c r="M33" i="4"/>
  <c r="O33" i="4" s="1"/>
  <c r="O25" i="33" s="1"/>
  <c r="J49" i="6"/>
  <c r="I49" i="6" s="1"/>
  <c r="J35" i="6"/>
  <c r="J72" i="6" s="1"/>
  <c r="I72" i="6" s="1"/>
  <c r="M19" i="4"/>
  <c r="O19" i="4" s="1"/>
  <c r="O20" i="33" s="1"/>
  <c r="M30" i="6"/>
  <c r="M30" i="7"/>
  <c r="L30" i="7" s="1"/>
  <c r="Z68" i="1"/>
  <c r="W68" i="1" s="1"/>
  <c r="BI68" i="3" s="1"/>
  <c r="M20" i="33"/>
  <c r="O12" i="33"/>
  <c r="P46" i="7"/>
  <c r="O46" i="7" s="1"/>
  <c r="BE11" i="5"/>
  <c r="M46" i="7"/>
  <c r="L46" i="7" s="1"/>
  <c r="R34" i="4"/>
  <c r="M46" i="6"/>
  <c r="L46" i="6" s="1"/>
  <c r="L30" i="6"/>
  <c r="AF68" i="1"/>
  <c r="AC68" i="1" s="1"/>
  <c r="BK70" i="41" s="1"/>
  <c r="BL70" i="41" s="1"/>
  <c r="P30" i="7"/>
  <c r="P30" i="6"/>
  <c r="BD21" i="5"/>
  <c r="BF21" i="5" s="1"/>
  <c r="W34" i="4"/>
  <c r="BK34" i="5" s="1"/>
  <c r="BI34" i="5"/>
  <c r="BJ34" i="5" s="1"/>
  <c r="P46" i="6"/>
  <c r="P81" i="6" s="1"/>
  <c r="AM68" i="1"/>
  <c r="V30" i="38" s="1"/>
  <c r="U30" i="38" s="1"/>
  <c r="S30" i="7"/>
  <c r="S30" i="6"/>
  <c r="U21" i="4"/>
  <c r="Z21" i="4" s="1"/>
  <c r="U12" i="4"/>
  <c r="U22" i="4"/>
  <c r="U22" i="37" s="1"/>
  <c r="R22" i="37" s="1"/>
  <c r="U19" i="4"/>
  <c r="U19" i="37" s="1"/>
  <c r="R19" i="37" s="1"/>
  <c r="U24" i="4"/>
  <c r="R24" i="4" s="1"/>
  <c r="T24" i="4" s="1"/>
  <c r="U20" i="4"/>
  <c r="U20" i="37" s="1"/>
  <c r="U26" i="4"/>
  <c r="U26" i="37"/>
  <c r="R26" i="37" s="1"/>
  <c r="U23" i="4"/>
  <c r="U23" i="37"/>
  <c r="U25" i="4"/>
  <c r="U25" i="37" s="1"/>
  <c r="R27" i="4"/>
  <c r="BI27" i="5" s="1"/>
  <c r="BJ27" i="5" s="1"/>
  <c r="Z30" i="4"/>
  <c r="Z30" i="37" s="1"/>
  <c r="R30" i="4"/>
  <c r="Z20" i="4"/>
  <c r="Z20" i="37" s="1"/>
  <c r="R22" i="4"/>
  <c r="BI22" i="5" s="1"/>
  <c r="BJ22" i="5" s="1"/>
  <c r="M43" i="6"/>
  <c r="Z26" i="4"/>
  <c r="R26" i="4"/>
  <c r="BI26" i="5" s="1"/>
  <c r="BJ26" i="5" s="1"/>
  <c r="Z25" i="4"/>
  <c r="Z25" i="37" s="1"/>
  <c r="T19" i="37"/>
  <c r="G30" i="7"/>
  <c r="BB68" i="3"/>
  <c r="BY68" i="3" s="1"/>
  <c r="BZ68" i="3" s="1"/>
  <c r="G30" i="6"/>
  <c r="F30" i="7"/>
  <c r="F30" i="6"/>
  <c r="H24" i="4"/>
  <c r="J24" i="4" s="1"/>
  <c r="H30" i="4"/>
  <c r="H27" i="4"/>
  <c r="H23" i="4"/>
  <c r="J23" i="4" s="1"/>
  <c r="H22" i="4"/>
  <c r="H29" i="4"/>
  <c r="J29" i="4" s="1"/>
  <c r="H28" i="4"/>
  <c r="J28" i="4" s="1"/>
  <c r="H25" i="4"/>
  <c r="BH22" i="5"/>
  <c r="BH26" i="5"/>
  <c r="H21" i="33"/>
  <c r="J22" i="4"/>
  <c r="J21" i="33" s="1"/>
  <c r="G43" i="7"/>
  <c r="G43" i="6"/>
  <c r="H19" i="4"/>
  <c r="H20" i="33" s="1"/>
  <c r="BH24" i="5"/>
  <c r="BH28" i="5"/>
  <c r="BH23" i="5"/>
  <c r="BH21" i="5"/>
  <c r="C39" i="68"/>
  <c r="K26" i="62"/>
  <c r="I25" i="62"/>
  <c r="C31" i="68"/>
  <c r="C26" i="74"/>
  <c r="BV19" i="47"/>
  <c r="BT19" i="47"/>
  <c r="G19" i="47"/>
  <c r="M19" i="47" s="1"/>
  <c r="BS19" i="47"/>
  <c r="BS17" i="47" s="1"/>
  <c r="BO17" i="47"/>
  <c r="BT17" i="47" s="1"/>
  <c r="BU19" i="47"/>
  <c r="BU17" i="47"/>
  <c r="BP19" i="47"/>
  <c r="AD33" i="48"/>
  <c r="AG33" i="48" s="1"/>
  <c r="D6" i="50"/>
  <c r="H23" i="48"/>
  <c r="D46" i="50"/>
  <c r="D48" i="50" s="1"/>
  <c r="P23" i="94"/>
  <c r="P38" i="94"/>
  <c r="P39" i="94"/>
  <c r="K118" i="13"/>
  <c r="C29" i="65"/>
  <c r="C27" i="65" s="1"/>
  <c r="C29" i="149"/>
  <c r="C27" i="149" s="1"/>
  <c r="C58" i="54"/>
  <c r="U69" i="43"/>
  <c r="U69" i="150" s="1"/>
  <c r="O25" i="99" l="1"/>
  <c r="S25" i="99"/>
  <c r="F27" i="99"/>
  <c r="H23" i="99"/>
  <c r="H22" i="99" s="1"/>
  <c r="H21" i="99" s="1"/>
  <c r="P28" i="99"/>
  <c r="O28" i="99" s="1"/>
  <c r="L28" i="99"/>
  <c r="H32" i="99"/>
  <c r="F32" i="99" s="1"/>
  <c r="F31" i="99"/>
  <c r="L38" i="99"/>
  <c r="S38" i="99"/>
  <c r="I57" i="90"/>
  <c r="I31" i="95"/>
  <c r="I28" i="95" s="1"/>
  <c r="G32" i="95"/>
  <c r="E32" i="95" s="1"/>
  <c r="AD33" i="95"/>
  <c r="AF33" i="95"/>
  <c r="AE33" i="95"/>
  <c r="P40" i="95"/>
  <c r="P39" i="95" s="1"/>
  <c r="P38" i="95" s="1"/>
  <c r="N44" i="95"/>
  <c r="L44" i="95" s="1"/>
  <c r="R44" i="95" s="1"/>
  <c r="E15" i="96"/>
  <c r="F15" i="96" s="1"/>
  <c r="C11" i="96"/>
  <c r="AF15" i="96"/>
  <c r="E22" i="96"/>
  <c r="F22" i="96" s="1"/>
  <c r="AF22" i="96"/>
  <c r="C17" i="96"/>
  <c r="AF27" i="96"/>
  <c r="K27" i="96"/>
  <c r="L27" i="96" s="1"/>
  <c r="H23" i="96"/>
  <c r="O23" i="96" s="1"/>
  <c r="E29" i="96"/>
  <c r="AF29" i="96"/>
  <c r="G29" i="96"/>
  <c r="C28" i="96"/>
  <c r="S33" i="96"/>
  <c r="Q33" i="96"/>
  <c r="R33" i="96" s="1"/>
  <c r="N71" i="96"/>
  <c r="S36" i="96"/>
  <c r="O36" i="96"/>
  <c r="Q36" i="96"/>
  <c r="R36" i="96" s="1"/>
  <c r="K37" i="96"/>
  <c r="O37" i="96"/>
  <c r="AF37" i="96"/>
  <c r="I37" i="96"/>
  <c r="P38" i="96"/>
  <c r="Q38" i="96" s="1"/>
  <c r="O38" i="96"/>
  <c r="K39" i="96"/>
  <c r="L39" i="96" s="1"/>
  <c r="O39" i="96"/>
  <c r="I39" i="96"/>
  <c r="AF43" i="96"/>
  <c r="O43" i="96"/>
  <c r="W44" i="96"/>
  <c r="X44" i="96" s="1"/>
  <c r="U44" i="96"/>
  <c r="AA44" i="96"/>
  <c r="F53" i="96"/>
  <c r="AF53" i="96"/>
  <c r="R56" i="96"/>
  <c r="N54" i="96"/>
  <c r="J9" i="97"/>
  <c r="F12" i="97"/>
  <c r="F20" i="97"/>
  <c r="F18" i="97" s="1"/>
  <c r="I18" i="97"/>
  <c r="I15" i="97" s="1"/>
  <c r="I8" i="97" s="1"/>
  <c r="N47" i="97"/>
  <c r="C21" i="97"/>
  <c r="F36" i="97"/>
  <c r="F35" i="97" s="1"/>
  <c r="J35" i="97"/>
  <c r="D35" i="97"/>
  <c r="C35" i="97" s="1"/>
  <c r="C37" i="97"/>
  <c r="X35" i="97"/>
  <c r="U37" i="97"/>
  <c r="K7" i="98"/>
  <c r="L7" i="98"/>
  <c r="Z8" i="100"/>
  <c r="X8" i="100" s="1"/>
  <c r="AC8" i="100"/>
  <c r="AF8" i="100"/>
  <c r="O8" i="100"/>
  <c r="T8" i="100"/>
  <c r="Q5" i="100"/>
  <c r="O14" i="100"/>
  <c r="T14" i="100"/>
  <c r="L16" i="100"/>
  <c r="M15" i="100"/>
  <c r="F17" i="100"/>
  <c r="H15" i="100"/>
  <c r="O18" i="100"/>
  <c r="S18" i="100"/>
  <c r="D23" i="100"/>
  <c r="C24" i="100"/>
  <c r="O24" i="100"/>
  <c r="S24" i="100"/>
  <c r="J23" i="100"/>
  <c r="I26" i="100"/>
  <c r="I29" i="100"/>
  <c r="K32" i="100"/>
  <c r="I32" i="100" s="1"/>
  <c r="I61" i="100" s="1"/>
  <c r="C31" i="100"/>
  <c r="E32" i="100"/>
  <c r="C32" i="100" s="1"/>
  <c r="O31" i="100"/>
  <c r="Q32" i="100"/>
  <c r="T31" i="100"/>
  <c r="K51" i="99"/>
  <c r="K6" i="99"/>
  <c r="I8" i="99"/>
  <c r="C16" i="99"/>
  <c r="D15" i="99"/>
  <c r="C15" i="99" s="1"/>
  <c r="C13" i="99" s="1"/>
  <c r="C5" i="99" s="1"/>
  <c r="AV14" i="86"/>
  <c r="AU14" i="86"/>
  <c r="W19" i="86"/>
  <c r="U19" i="86"/>
  <c r="AY38" i="86"/>
  <c r="BE38" i="86"/>
  <c r="AU41" i="86"/>
  <c r="AV41" i="86" s="1"/>
  <c r="AS41" i="86"/>
  <c r="AY41" i="86"/>
  <c r="AE12" i="87"/>
  <c r="AG12" i="87" s="1"/>
  <c r="AI9" i="87"/>
  <c r="S52" i="87"/>
  <c r="K15" i="87"/>
  <c r="AQ141" i="88"/>
  <c r="AQ142" i="88" s="1"/>
  <c r="AU16" i="88"/>
  <c r="BA138" i="88"/>
  <c r="BB139" i="88" s="1"/>
  <c r="BE17" i="88"/>
  <c r="AH222" i="88"/>
  <c r="AL22" i="88"/>
  <c r="BM22" i="88"/>
  <c r="BN22" i="88" s="1"/>
  <c r="BO22" i="88" s="1"/>
  <c r="AI22" i="88"/>
  <c r="AK22" i="88"/>
  <c r="BF26" i="88"/>
  <c r="BE26" i="88"/>
  <c r="AG31" i="88"/>
  <c r="AG39" i="88" s="1"/>
  <c r="AG42" i="88" s="1"/>
  <c r="S121" i="89"/>
  <c r="Y122" i="89" s="1"/>
  <c r="T60" i="89"/>
  <c r="Y127" i="89"/>
  <c r="Y15" i="89"/>
  <c r="AH71" i="89"/>
  <c r="AI71" i="89"/>
  <c r="AJ101" i="89"/>
  <c r="AH102" i="89"/>
  <c r="U148" i="89"/>
  <c r="V7" i="90"/>
  <c r="T5" i="90"/>
  <c r="V5" i="90" s="1"/>
  <c r="S11" i="90"/>
  <c r="V10" i="90"/>
  <c r="J17" i="90"/>
  <c r="I15" i="90"/>
  <c r="V23" i="90"/>
  <c r="T22" i="90"/>
  <c r="V31" i="90"/>
  <c r="O14" i="91"/>
  <c r="R14" i="91" s="1"/>
  <c r="N14" i="91"/>
  <c r="Q9" i="91"/>
  <c r="AC9" i="91" s="1"/>
  <c r="Q20" i="91"/>
  <c r="T20" i="91" s="1"/>
  <c r="N15" i="91"/>
  <c r="O15" i="91"/>
  <c r="Y16" i="91"/>
  <c r="Y8" i="91"/>
  <c r="Z22" i="91"/>
  <c r="AC22" i="91" s="1"/>
  <c r="X17" i="91"/>
  <c r="Y17" i="91"/>
  <c r="Z12" i="91"/>
  <c r="X8" i="91"/>
  <c r="H10" i="92"/>
  <c r="H9" i="92" s="1"/>
  <c r="G9" i="92"/>
  <c r="G8" i="92" s="1"/>
  <c r="Y9" i="92"/>
  <c r="Y8" i="92" s="1"/>
  <c r="Y7" i="92" s="1"/>
  <c r="Y37" i="92"/>
  <c r="F9" i="92"/>
  <c r="H11" i="92"/>
  <c r="AF9" i="92"/>
  <c r="AG11" i="92"/>
  <c r="N14" i="92"/>
  <c r="N12" i="92" s="1"/>
  <c r="M12" i="92"/>
  <c r="J15" i="92"/>
  <c r="J8" i="92" s="1"/>
  <c r="J37" i="92" s="1"/>
  <c r="J38" i="92" s="1"/>
  <c r="K16" i="92"/>
  <c r="K15" i="92" s="1"/>
  <c r="K8" i="92" s="1"/>
  <c r="K27" i="92"/>
  <c r="C27" i="92"/>
  <c r="Q11" i="94"/>
  <c r="P11" i="94" s="1"/>
  <c r="Z11" i="94"/>
  <c r="N8" i="94"/>
  <c r="K16" i="94"/>
  <c r="AB16" i="94"/>
  <c r="M16" i="94"/>
  <c r="Z18" i="94"/>
  <c r="AA18" i="94"/>
  <c r="AC18" i="94" s="1"/>
  <c r="K27" i="94"/>
  <c r="M27" i="94"/>
  <c r="AB27" i="94"/>
  <c r="V10" i="95"/>
  <c r="U10" i="95" s="1"/>
  <c r="S8" i="95"/>
  <c r="K13" i="95"/>
  <c r="Q13" i="95"/>
  <c r="AE14" i="95"/>
  <c r="AF14" i="95"/>
  <c r="K15" i="95"/>
  <c r="Q15" i="95"/>
  <c r="AE15" i="95"/>
  <c r="AF15" i="95"/>
  <c r="R15" i="95"/>
  <c r="AE16" i="95"/>
  <c r="K16" i="95"/>
  <c r="R16" i="95"/>
  <c r="Q16" i="95"/>
  <c r="W16" i="95"/>
  <c r="W8" i="95" s="1"/>
  <c r="W9" i="95" s="1"/>
  <c r="AB8" i="95"/>
  <c r="Z16" i="95"/>
  <c r="AE17" i="95"/>
  <c r="AD17" i="95"/>
  <c r="AF17" i="95"/>
  <c r="V19" i="95"/>
  <c r="U19" i="95" s="1"/>
  <c r="Z19" i="95"/>
  <c r="AA8" i="95"/>
  <c r="C19" i="61"/>
  <c r="E19" i="61"/>
  <c r="E27" i="92"/>
  <c r="AC17" i="86"/>
  <c r="AO12" i="86"/>
  <c r="AO11" i="86" s="1"/>
  <c r="Z28" i="86"/>
  <c r="AP11" i="86"/>
  <c r="BA166" i="88"/>
  <c r="BA165" i="88" s="1"/>
  <c r="BA193" i="88" s="1"/>
  <c r="BB126" i="88"/>
  <c r="BF13" i="88"/>
  <c r="BE13" i="88"/>
  <c r="BH13" i="88" s="1"/>
  <c r="AS16" i="88"/>
  <c r="BD87" i="88"/>
  <c r="AZ89" i="88"/>
  <c r="M23" i="99"/>
  <c r="AV11" i="86"/>
  <c r="C41" i="99"/>
  <c r="D39" i="99"/>
  <c r="I52" i="90"/>
  <c r="AQ104" i="88"/>
  <c r="P9" i="96"/>
  <c r="U16" i="95"/>
  <c r="C25" i="99"/>
  <c r="C23" i="99" s="1"/>
  <c r="D23" i="99"/>
  <c r="D22" i="99" s="1"/>
  <c r="AV18" i="86"/>
  <c r="AI8" i="87"/>
  <c r="BA139" i="88"/>
  <c r="I28" i="99"/>
  <c r="BB25" i="86"/>
  <c r="BB23" i="86" s="1"/>
  <c r="R21" i="97"/>
  <c r="W42" i="86"/>
  <c r="X42" i="86" s="1"/>
  <c r="BJ11" i="86"/>
  <c r="Z49" i="86"/>
  <c r="AN22" i="88"/>
  <c r="BA108" i="88"/>
  <c r="AG44" i="86"/>
  <c r="AY43" i="86"/>
  <c r="AZ43" i="86" s="1"/>
  <c r="AY37" i="86"/>
  <c r="AX23" i="86"/>
  <c r="AY23" i="86" s="1"/>
  <c r="AF23" i="86"/>
  <c r="Z17" i="86"/>
  <c r="AR11" i="86"/>
  <c r="T9" i="87"/>
  <c r="AR128" i="88"/>
  <c r="AW16" i="88"/>
  <c r="X49" i="87"/>
  <c r="U49" i="87" s="1"/>
  <c r="C52" i="96"/>
  <c r="BK39" i="86"/>
  <c r="K43" i="86"/>
  <c r="AC43" i="86"/>
  <c r="AF54" i="86"/>
  <c r="W59" i="86"/>
  <c r="AO59" i="86"/>
  <c r="AR142" i="88"/>
  <c r="N22" i="99"/>
  <c r="N21" i="99" s="1"/>
  <c r="X43" i="96"/>
  <c r="AD40" i="86"/>
  <c r="AQ33" i="88"/>
  <c r="AQ31" i="88" s="1"/>
  <c r="AQ11" i="89"/>
  <c r="AF27" i="95"/>
  <c r="AD29" i="95"/>
  <c r="P28" i="95"/>
  <c r="Z44" i="95"/>
  <c r="X44" i="95" s="1"/>
  <c r="AF44" i="95" s="1"/>
  <c r="AC51" i="95"/>
  <c r="AC52" i="95"/>
  <c r="AF60" i="95"/>
  <c r="AA38" i="96"/>
  <c r="X41" i="96"/>
  <c r="L43" i="96"/>
  <c r="AC43" i="96"/>
  <c r="U10" i="97"/>
  <c r="W10" i="97" s="1"/>
  <c r="P11" i="97"/>
  <c r="R11" i="97" s="1"/>
  <c r="K12" i="97"/>
  <c r="P38" i="97"/>
  <c r="K39" i="97"/>
  <c r="C15" i="98"/>
  <c r="C13" i="98" s="1"/>
  <c r="C22" i="98"/>
  <c r="H28" i="98"/>
  <c r="H35" i="98"/>
  <c r="F27" i="100"/>
  <c r="C33" i="100"/>
  <c r="F38" i="100"/>
  <c r="S41" i="100"/>
  <c r="S26" i="99"/>
  <c r="C35" i="142"/>
  <c r="W10" i="92"/>
  <c r="AD53" i="95"/>
  <c r="BG29" i="86"/>
  <c r="O47" i="86"/>
  <c r="BA14" i="86"/>
  <c r="BA11" i="86" s="1"/>
  <c r="L171" i="88"/>
  <c r="M27" i="97"/>
  <c r="R52" i="95"/>
  <c r="BD28" i="86"/>
  <c r="X37" i="96"/>
  <c r="AO153" i="88"/>
  <c r="BE21" i="88"/>
  <c r="AU22" i="88"/>
  <c r="AW23" i="88"/>
  <c r="AU25" i="88"/>
  <c r="BF28" i="88"/>
  <c r="AT18" i="89"/>
  <c r="AT21" i="89"/>
  <c r="AX21" i="89" s="1"/>
  <c r="X20" i="89"/>
  <c r="X16" i="89" s="1"/>
  <c r="AT25" i="89"/>
  <c r="AT30" i="89"/>
  <c r="AJ35" i="89"/>
  <c r="K14" i="90"/>
  <c r="N15" i="90"/>
  <c r="N13" i="90" s="1"/>
  <c r="V15" i="90"/>
  <c r="G9" i="90"/>
  <c r="P24" i="90"/>
  <c r="P25" i="90"/>
  <c r="V27" i="90"/>
  <c r="V30" i="90"/>
  <c r="P34" i="90"/>
  <c r="H8" i="94"/>
  <c r="AA15" i="94"/>
  <c r="AC15" i="94" s="1"/>
  <c r="O28" i="95"/>
  <c r="N28" i="95" s="1"/>
  <c r="BK40" i="86"/>
  <c r="BE37" i="86"/>
  <c r="BH28" i="86"/>
  <c r="AG39" i="86"/>
  <c r="AA43" i="86"/>
  <c r="K31" i="87"/>
  <c r="T155" i="89"/>
  <c r="BA18" i="86"/>
  <c r="K47" i="86"/>
  <c r="AF49" i="86"/>
  <c r="AH49" i="86" s="1"/>
  <c r="AI49" i="86" s="1"/>
  <c r="AJ49" i="86" s="1"/>
  <c r="I21" i="92"/>
  <c r="AB41" i="89"/>
  <c r="AT41" i="89"/>
  <c r="W165" i="88"/>
  <c r="W193" i="88" s="1"/>
  <c r="P29" i="87"/>
  <c r="R29" i="87" s="1"/>
  <c r="U33" i="87"/>
  <c r="AT27" i="89"/>
  <c r="AT32" i="89"/>
  <c r="AF36" i="89"/>
  <c r="R12" i="97"/>
  <c r="M12" i="97"/>
  <c r="CC18" i="51"/>
  <c r="E10" i="49"/>
  <c r="E12" i="49"/>
  <c r="C12" i="49" s="1"/>
  <c r="I12" i="49" s="1"/>
  <c r="E14" i="49"/>
  <c r="E16" i="49"/>
  <c r="E18" i="49"/>
  <c r="BC81" i="88"/>
  <c r="T52" i="90"/>
  <c r="BH26" i="88"/>
  <c r="AN28" i="88"/>
  <c r="AI28" i="88"/>
  <c r="AV23" i="88"/>
  <c r="AY23" i="88" s="1"/>
  <c r="AC38" i="96"/>
  <c r="AB40" i="95"/>
  <c r="AB39" i="95" s="1"/>
  <c r="AB38" i="95" s="1"/>
  <c r="K27" i="95"/>
  <c r="R27" i="95"/>
  <c r="Q27" i="95"/>
  <c r="AE27" i="95"/>
  <c r="AD27" i="95"/>
  <c r="AC27" i="95"/>
  <c r="O40" i="95"/>
  <c r="N40" i="95" s="1"/>
  <c r="L40" i="95" s="1"/>
  <c r="N42" i="95"/>
  <c r="L42" i="95" s="1"/>
  <c r="Z43" i="95"/>
  <c r="X43" i="95" s="1"/>
  <c r="AA40" i="95"/>
  <c r="AA39" i="95" s="1"/>
  <c r="Z39" i="95" s="1"/>
  <c r="X39" i="95" s="1"/>
  <c r="G57" i="95"/>
  <c r="E57" i="95" s="1"/>
  <c r="H56" i="95"/>
  <c r="I56" i="95"/>
  <c r="I38" i="95" s="1"/>
  <c r="G58" i="95"/>
  <c r="E58" i="95" s="1"/>
  <c r="AF58" i="95" s="1"/>
  <c r="AF12" i="96"/>
  <c r="H11" i="96"/>
  <c r="K12" i="96"/>
  <c r="L12" i="96" s="1"/>
  <c r="K19" i="96"/>
  <c r="AF19" i="96"/>
  <c r="H17" i="96"/>
  <c r="AF17" i="96" s="1"/>
  <c r="AC20" i="96"/>
  <c r="AD20" i="96" s="1"/>
  <c r="AD17" i="96" s="1"/>
  <c r="Z17" i="96"/>
  <c r="Q22" i="96"/>
  <c r="R22" i="96" s="1"/>
  <c r="N17" i="96"/>
  <c r="W24" i="96"/>
  <c r="T23" i="96"/>
  <c r="U23" i="96" s="1"/>
  <c r="E26" i="96"/>
  <c r="AF26" i="96"/>
  <c r="C23" i="96"/>
  <c r="I23" i="96" s="1"/>
  <c r="F26" i="96"/>
  <c r="F23" i="96" s="1"/>
  <c r="W30" i="96"/>
  <c r="Y30" i="96"/>
  <c r="K32" i="96"/>
  <c r="AF32" i="96"/>
  <c r="H28" i="96"/>
  <c r="AC33" i="96"/>
  <c r="Z28" i="96"/>
  <c r="Z9" i="96" s="1"/>
  <c r="AC34" i="96"/>
  <c r="AE34" i="96"/>
  <c r="AE9" i="96" s="1"/>
  <c r="AA34" i="96"/>
  <c r="Y36" i="96"/>
  <c r="AA36" i="96"/>
  <c r="W36" i="96"/>
  <c r="U36" i="96"/>
  <c r="Q40" i="96"/>
  <c r="R40" i="96" s="1"/>
  <c r="U40" i="96"/>
  <c r="N73" i="96"/>
  <c r="O40" i="96"/>
  <c r="K45" i="96"/>
  <c r="L45" i="96" s="1"/>
  <c r="O45" i="96"/>
  <c r="G47" i="96"/>
  <c r="E47" i="96" s="1"/>
  <c r="AF47" i="96"/>
  <c r="I47" i="96"/>
  <c r="P49" i="96"/>
  <c r="Q49" i="96" s="1"/>
  <c r="R49" i="96" s="1"/>
  <c r="D51" i="96"/>
  <c r="D49" i="96" s="1"/>
  <c r="AF51" i="96"/>
  <c r="R63" i="96"/>
  <c r="Q53" i="96"/>
  <c r="AC56" i="96"/>
  <c r="AD56" i="96" s="1"/>
  <c r="Z54" i="96"/>
  <c r="Z52" i="96" s="1"/>
  <c r="E9" i="97"/>
  <c r="C10" i="97"/>
  <c r="S18" i="97"/>
  <c r="S15" i="97" s="1"/>
  <c r="P19" i="97"/>
  <c r="D18" i="97"/>
  <c r="D15" i="97" s="1"/>
  <c r="D8" i="97" s="1"/>
  <c r="D7" i="97" s="1"/>
  <c r="C22" i="97"/>
  <c r="H22" i="97" s="1"/>
  <c r="X18" i="97"/>
  <c r="X15" i="97" s="1"/>
  <c r="U22" i="97"/>
  <c r="U18" i="97" s="1"/>
  <c r="C26" i="97"/>
  <c r="H26" i="97" s="1"/>
  <c r="N52" i="97"/>
  <c r="K28" i="97"/>
  <c r="N54" i="97"/>
  <c r="O35" i="97"/>
  <c r="K36" i="97"/>
  <c r="P40" i="97" s="1"/>
  <c r="H6" i="98"/>
  <c r="J6" i="98"/>
  <c r="M6" i="98" s="1"/>
  <c r="E5" i="98"/>
  <c r="H5" i="98" s="1"/>
  <c r="K6" i="98"/>
  <c r="C9" i="98"/>
  <c r="C11" i="98"/>
  <c r="H18" i="98"/>
  <c r="G15" i="98"/>
  <c r="G9" i="98"/>
  <c r="H25" i="98"/>
  <c r="F22" i="98"/>
  <c r="H32" i="98"/>
  <c r="G31" i="98"/>
  <c r="H5" i="100"/>
  <c r="F8" i="100"/>
  <c r="H12" i="100"/>
  <c r="W8" i="100"/>
  <c r="W10" i="100"/>
  <c r="U10" i="100" s="1"/>
  <c r="E12" i="100"/>
  <c r="O9" i="100"/>
  <c r="T9" i="100"/>
  <c r="Q12" i="100"/>
  <c r="AF10" i="100"/>
  <c r="N12" i="100"/>
  <c r="L12" i="100" s="1"/>
  <c r="L10" i="100"/>
  <c r="T10" i="100"/>
  <c r="AC10" i="100"/>
  <c r="I11" i="100"/>
  <c r="K12" i="100"/>
  <c r="T11" i="100"/>
  <c r="Z10" i="100"/>
  <c r="Z14" i="100" s="1"/>
  <c r="D15" i="100"/>
  <c r="D13" i="100" s="1"/>
  <c r="D5" i="100" s="1"/>
  <c r="C16" i="100"/>
  <c r="S16" i="100"/>
  <c r="R16" i="100" s="1"/>
  <c r="O16" i="100"/>
  <c r="T17" i="100"/>
  <c r="I17" i="100"/>
  <c r="K15" i="100"/>
  <c r="G15" i="100"/>
  <c r="G13" i="100" s="1"/>
  <c r="F13" i="100" s="1"/>
  <c r="F18" i="100"/>
  <c r="T19" i="100"/>
  <c r="R19" i="100" s="1"/>
  <c r="N5" i="100"/>
  <c r="L19" i="100"/>
  <c r="T20" i="100"/>
  <c r="K5" i="100"/>
  <c r="I20" i="100"/>
  <c r="G23" i="100"/>
  <c r="G22" i="100" s="1"/>
  <c r="G21" i="100" s="1"/>
  <c r="F24" i="100"/>
  <c r="O25" i="100"/>
  <c r="S25" i="100"/>
  <c r="L26" i="100"/>
  <c r="S26" i="100"/>
  <c r="I28" i="100"/>
  <c r="M28" i="100"/>
  <c r="N32" i="100"/>
  <c r="T29" i="100"/>
  <c r="T30" i="100"/>
  <c r="I30" i="100"/>
  <c r="R30" i="100" s="1"/>
  <c r="H32" i="100"/>
  <c r="F31" i="100"/>
  <c r="O33" i="100"/>
  <c r="T33" i="100"/>
  <c r="T34" i="100"/>
  <c r="O34" i="100"/>
  <c r="O35" i="100"/>
  <c r="T35" i="100"/>
  <c r="L36" i="100"/>
  <c r="T36" i="100"/>
  <c r="I37" i="100"/>
  <c r="I58" i="100" s="1"/>
  <c r="T37" i="100"/>
  <c r="P39" i="100"/>
  <c r="O39" i="100" s="1"/>
  <c r="S40" i="100"/>
  <c r="Q51" i="99"/>
  <c r="AC8" i="99"/>
  <c r="AC14" i="99" s="1"/>
  <c r="AC21" i="99" s="1"/>
  <c r="T8" i="99"/>
  <c r="N12" i="99"/>
  <c r="N51" i="99"/>
  <c r="L51" i="99" s="1"/>
  <c r="L8" i="99"/>
  <c r="N52" i="99"/>
  <c r="Z10" i="99"/>
  <c r="X10" i="99" s="1"/>
  <c r="T9" i="99"/>
  <c r="K12" i="99"/>
  <c r="T12" i="99" s="1"/>
  <c r="K52" i="99"/>
  <c r="W10" i="99"/>
  <c r="F10" i="99"/>
  <c r="H12" i="99"/>
  <c r="E12" i="99"/>
  <c r="C12" i="99" s="1"/>
  <c r="AC10" i="99"/>
  <c r="AF10" i="99"/>
  <c r="AF14" i="99" s="1"/>
  <c r="AF21" i="99" s="1"/>
  <c r="O11" i="99"/>
  <c r="R11" i="99" s="1"/>
  <c r="Q52" i="99"/>
  <c r="Q12" i="99"/>
  <c r="T11" i="99"/>
  <c r="J15" i="99"/>
  <c r="J13" i="99" s="1"/>
  <c r="J5" i="99" s="1"/>
  <c r="S16" i="99"/>
  <c r="L17" i="99"/>
  <c r="R17" i="99" s="1"/>
  <c r="M15" i="99"/>
  <c r="S17" i="99"/>
  <c r="E6" i="99"/>
  <c r="E7" i="99" s="1"/>
  <c r="C19" i="99"/>
  <c r="O19" i="99"/>
  <c r="T19" i="99"/>
  <c r="L20" i="99"/>
  <c r="T20" i="99"/>
  <c r="I24" i="99"/>
  <c r="J23" i="99"/>
  <c r="J22" i="99" s="1"/>
  <c r="S22" i="99" s="1"/>
  <c r="F25" i="99"/>
  <c r="G23" i="99"/>
  <c r="G22" i="99" s="1"/>
  <c r="K23" i="99"/>
  <c r="K22" i="99" s="1"/>
  <c r="K21" i="99" s="1"/>
  <c r="T27" i="99"/>
  <c r="E32" i="99"/>
  <c r="C29" i="99"/>
  <c r="T29" i="99"/>
  <c r="O29" i="99"/>
  <c r="O22" i="99" s="1"/>
  <c r="Q32" i="99"/>
  <c r="O32" i="99" s="1"/>
  <c r="T30" i="99"/>
  <c r="N32" i="99"/>
  <c r="L32" i="99" s="1"/>
  <c r="L30" i="99"/>
  <c r="R30" i="99" s="1"/>
  <c r="T31" i="99"/>
  <c r="K32" i="99"/>
  <c r="I33" i="99"/>
  <c r="R33" i="99" s="1"/>
  <c r="S33" i="99"/>
  <c r="I34" i="99"/>
  <c r="S34" i="99"/>
  <c r="S35" i="99"/>
  <c r="L35" i="99"/>
  <c r="I36" i="99"/>
  <c r="S36" i="99"/>
  <c r="J39" i="99"/>
  <c r="I39" i="99" s="1"/>
  <c r="I41" i="99"/>
  <c r="S41" i="99"/>
  <c r="L43" i="99"/>
  <c r="T43" i="99"/>
  <c r="AI13" i="48"/>
  <c r="AL17" i="48"/>
  <c r="AL13" i="48" s="1"/>
  <c r="AH114" i="88"/>
  <c r="BD153" i="88"/>
  <c r="BE15" i="88"/>
  <c r="BH15" i="88" s="1"/>
  <c r="AW17" i="88"/>
  <c r="AV17" i="88"/>
  <c r="BF18" i="88"/>
  <c r="BD116" i="88"/>
  <c r="AR222" i="88"/>
  <c r="AW22" i="88"/>
  <c r="AS22" i="88"/>
  <c r="BE27" i="88"/>
  <c r="BH27" i="88" s="1"/>
  <c r="BF27" i="88"/>
  <c r="AU28" i="88"/>
  <c r="AH228" i="88"/>
  <c r="AW28" i="88"/>
  <c r="AQ228" i="88"/>
  <c r="AV28" i="88"/>
  <c r="AY28" i="88" s="1"/>
  <c r="BM28" i="88"/>
  <c r="BN28" i="88" s="1"/>
  <c r="BO28" i="88" s="1"/>
  <c r="AF121" i="89"/>
  <c r="AH122" i="89" s="1"/>
  <c r="AF11" i="89"/>
  <c r="AF108" i="89" s="1"/>
  <c r="AH127" i="89"/>
  <c r="AH11" i="89"/>
  <c r="AH108" i="89" s="1"/>
  <c r="AJ14" i="89"/>
  <c r="AF83" i="89"/>
  <c r="AF84" i="89" s="1"/>
  <c r="AF20" i="89"/>
  <c r="AF73" i="89" s="1"/>
  <c r="AJ22" i="89"/>
  <c r="AN22" i="89" s="1"/>
  <c r="AI20" i="89"/>
  <c r="AQ20" i="89"/>
  <c r="AQ16" i="89" s="1"/>
  <c r="AT23" i="89"/>
  <c r="AB26" i="89"/>
  <c r="AJ26" i="89"/>
  <c r="AN26" i="89" s="1"/>
  <c r="AH80" i="89"/>
  <c r="AH20" i="89"/>
  <c r="AB30" i="89"/>
  <c r="AJ30" i="89"/>
  <c r="AN30" i="89" s="1"/>
  <c r="AH114" i="89"/>
  <c r="AJ114" i="89" s="1"/>
  <c r="AJ32" i="89"/>
  <c r="AF139" i="89"/>
  <c r="AH145" i="89" s="1"/>
  <c r="AJ147" i="89"/>
  <c r="AN147" i="89" s="1"/>
  <c r="Y151" i="89"/>
  <c r="AJ150" i="89"/>
  <c r="Y139" i="89"/>
  <c r="AR139" i="89"/>
  <c r="AT150" i="89"/>
  <c r="V6" i="90"/>
  <c r="Q5" i="90"/>
  <c r="P10" i="90"/>
  <c r="N11" i="90"/>
  <c r="V12" i="90"/>
  <c r="Q11" i="90"/>
  <c r="P14" i="90"/>
  <c r="O9" i="90"/>
  <c r="F22" i="90"/>
  <c r="K23" i="90"/>
  <c r="V8" i="91"/>
  <c r="W13" i="91" s="1"/>
  <c r="Z20" i="91"/>
  <c r="Z10" i="91"/>
  <c r="W15" i="91"/>
  <c r="Z21" i="91"/>
  <c r="AC21" i="91" s="1"/>
  <c r="U8" i="91"/>
  <c r="Z11" i="91"/>
  <c r="P17" i="91"/>
  <c r="U17" i="91"/>
  <c r="AA17" i="91" s="1"/>
  <c r="P8" i="91"/>
  <c r="P13" i="91" s="1"/>
  <c r="N10" i="92"/>
  <c r="M9" i="92"/>
  <c r="C11" i="92"/>
  <c r="C9" i="92" s="1"/>
  <c r="L9" i="92"/>
  <c r="L8" i="92" s="1"/>
  <c r="K13" i="92"/>
  <c r="K12" i="92" s="1"/>
  <c r="I12" i="92"/>
  <c r="I8" i="92" s="1"/>
  <c r="I7" i="92" s="1"/>
  <c r="C13" i="92"/>
  <c r="W13" i="92" s="1"/>
  <c r="W12" i="92" s="1"/>
  <c r="Z37" i="92"/>
  <c r="Z12" i="92"/>
  <c r="P15" i="92"/>
  <c r="Q16" i="92"/>
  <c r="Q15" i="92" s="1"/>
  <c r="N25" i="92"/>
  <c r="N22" i="92" s="1"/>
  <c r="C25" i="92"/>
  <c r="L22" i="92"/>
  <c r="L21" i="92" s="1"/>
  <c r="G155" i="93"/>
  <c r="H155" i="93" s="1"/>
  <c r="I155" i="93"/>
  <c r="D189" i="93"/>
  <c r="K18" i="94"/>
  <c r="AB18" i="94"/>
  <c r="M18" i="94"/>
  <c r="E8" i="94"/>
  <c r="K19" i="94"/>
  <c r="M19" i="94"/>
  <c r="K11" i="95"/>
  <c r="R11" i="95"/>
  <c r="AF11" i="95"/>
  <c r="K12" i="95"/>
  <c r="Q12" i="95"/>
  <c r="AD12" i="95"/>
  <c r="X8" i="95"/>
  <c r="AE12" i="95"/>
  <c r="AC12" i="95"/>
  <c r="N16" i="95"/>
  <c r="O8" i="95"/>
  <c r="Q18" i="95"/>
  <c r="R18" i="95"/>
  <c r="AF18" i="95"/>
  <c r="AD18" i="95"/>
  <c r="AC19" i="95"/>
  <c r="Q19" i="95"/>
  <c r="G20" i="95"/>
  <c r="I8" i="95"/>
  <c r="N22" i="95"/>
  <c r="N8" i="95" s="1"/>
  <c r="N9" i="95" s="1"/>
  <c r="P8" i="95"/>
  <c r="Q23" i="95"/>
  <c r="AD23" i="95"/>
  <c r="AC23" i="95"/>
  <c r="AV113" i="88"/>
  <c r="AY113" i="88" s="1"/>
  <c r="BE113" i="88" s="1"/>
  <c r="BH113" i="88" s="1"/>
  <c r="AS17" i="88"/>
  <c r="AH206" i="88"/>
  <c r="AM206" i="88" s="1"/>
  <c r="BF21" i="88"/>
  <c r="AQ8" i="88"/>
  <c r="AQ7" i="88" s="1"/>
  <c r="AV22" i="88"/>
  <c r="AY22" i="88" s="1"/>
  <c r="BB19" i="86"/>
  <c r="BB17" i="86" s="1"/>
  <c r="BA19" i="86"/>
  <c r="W33" i="86"/>
  <c r="X33" i="86" s="1"/>
  <c r="U33" i="86"/>
  <c r="Y36" i="86"/>
  <c r="AA36" i="86"/>
  <c r="AV48" i="86"/>
  <c r="AU48" i="86" s="1"/>
  <c r="AS48" i="86"/>
  <c r="AY48" i="86"/>
  <c r="AM24" i="87"/>
  <c r="AR24" i="87" s="1"/>
  <c r="AM25" i="87"/>
  <c r="AR25" i="87" s="1"/>
  <c r="AW25" i="87" s="1"/>
  <c r="AM27" i="87"/>
  <c r="AR88" i="88"/>
  <c r="AV88" i="88" s="1"/>
  <c r="AY88" i="88" s="1"/>
  <c r="AO211" i="88"/>
  <c r="AR211" i="88"/>
  <c r="BD8" i="88"/>
  <c r="BE12" i="88"/>
  <c r="BD128" i="88"/>
  <c r="AU14" i="88"/>
  <c r="AR214" i="88"/>
  <c r="AW14" i="88"/>
  <c r="AO214" i="88"/>
  <c r="G20" i="49"/>
  <c r="C44" i="58"/>
  <c r="Y28" i="86"/>
  <c r="P48" i="87"/>
  <c r="AZ145" i="88"/>
  <c r="AH207" i="88"/>
  <c r="AZ147" i="88"/>
  <c r="BA148" i="88" s="1"/>
  <c r="N11" i="96"/>
  <c r="U11" i="96" s="1"/>
  <c r="N80" i="36"/>
  <c r="AM17" i="51"/>
  <c r="AM16" i="51" s="1"/>
  <c r="AV185" i="88"/>
  <c r="N9" i="92"/>
  <c r="S187" i="89"/>
  <c r="H7" i="99"/>
  <c r="U8" i="100"/>
  <c r="R40" i="100"/>
  <c r="K18" i="87"/>
  <c r="R18" i="87" s="1"/>
  <c r="X34" i="87"/>
  <c r="AE37" i="87"/>
  <c r="AN20" i="87"/>
  <c r="AS20" i="87" s="1"/>
  <c r="AX20" i="87" s="1"/>
  <c r="AS24" i="88"/>
  <c r="AV25" i="88"/>
  <c r="AY25" i="88" s="1"/>
  <c r="AS26" i="88"/>
  <c r="BE28" i="88"/>
  <c r="BH28" i="88" s="1"/>
  <c r="AA151" i="89"/>
  <c r="J7" i="92"/>
  <c r="R10" i="100"/>
  <c r="M22" i="99"/>
  <c r="K7" i="99"/>
  <c r="AC54" i="96"/>
  <c r="AC52" i="96" s="1"/>
  <c r="E22" i="99"/>
  <c r="E21" i="99" s="1"/>
  <c r="AC61" i="95"/>
  <c r="AO57" i="86"/>
  <c r="W58" i="86"/>
  <c r="T150" i="89"/>
  <c r="AD54" i="96"/>
  <c r="D8" i="96"/>
  <c r="D60" i="96" s="1"/>
  <c r="N6" i="99"/>
  <c r="N7" i="99" s="1"/>
  <c r="N57" i="99" s="1"/>
  <c r="N58" i="99" s="1"/>
  <c r="N59" i="99" s="1"/>
  <c r="N60" i="99" s="1"/>
  <c r="T23" i="99"/>
  <c r="N52" i="96"/>
  <c r="N78" i="96" s="1"/>
  <c r="R36" i="100"/>
  <c r="BE28" i="86"/>
  <c r="P21" i="92"/>
  <c r="AM15" i="87"/>
  <c r="BF11" i="88"/>
  <c r="BS12" i="88"/>
  <c r="AU15" i="88"/>
  <c r="AG20" i="89"/>
  <c r="AG16" i="89" s="1"/>
  <c r="AN31" i="89"/>
  <c r="AX32" i="89"/>
  <c r="AC11" i="96"/>
  <c r="N22" i="100"/>
  <c r="N21" i="100" s="1"/>
  <c r="AO20" i="89"/>
  <c r="AO16" i="89" s="1"/>
  <c r="AO10" i="89" s="1"/>
  <c r="AO8" i="89" s="1"/>
  <c r="AS20" i="89"/>
  <c r="AS16" i="89" s="1"/>
  <c r="AI96" i="89"/>
  <c r="U21" i="87"/>
  <c r="AB21" i="87" s="1"/>
  <c r="AM22" i="87"/>
  <c r="AR22" i="87" s="1"/>
  <c r="AW22" i="87" s="1"/>
  <c r="V165" i="88"/>
  <c r="T139" i="89"/>
  <c r="C50" i="141"/>
  <c r="C36" i="142"/>
  <c r="C39" i="142"/>
  <c r="O145" i="89"/>
  <c r="Z14" i="99"/>
  <c r="Z21" i="99" s="1"/>
  <c r="AC42" i="95"/>
  <c r="K34" i="87"/>
  <c r="BG28" i="86"/>
  <c r="Q22" i="99"/>
  <c r="AI55" i="86"/>
  <c r="AI54" i="86" s="1"/>
  <c r="AI52" i="86" s="1"/>
  <c r="U56" i="86"/>
  <c r="AM19" i="87"/>
  <c r="AR19" i="87" s="1"/>
  <c r="AW19" i="87" s="1"/>
  <c r="BB19" i="87" s="1"/>
  <c r="AT13" i="89"/>
  <c r="AT14" i="89"/>
  <c r="AT15" i="89"/>
  <c r="U151" i="89"/>
  <c r="Q8" i="90"/>
  <c r="L37" i="96"/>
  <c r="K5" i="98"/>
  <c r="AE41" i="95"/>
  <c r="AS45" i="86"/>
  <c r="BS11" i="88"/>
  <c r="C7" i="142"/>
  <c r="C25" i="142"/>
  <c r="BL31" i="5"/>
  <c r="T31" i="16" s="1"/>
  <c r="S31" i="16"/>
  <c r="N20" i="16"/>
  <c r="H16" i="33"/>
  <c r="J16" i="4"/>
  <c r="J16" i="33" s="1"/>
  <c r="BI69" i="3"/>
  <c r="BI71" i="41"/>
  <c r="BJ71" i="41" s="1"/>
  <c r="Q84" i="39"/>
  <c r="W84" i="39"/>
  <c r="T50" i="39"/>
  <c r="N49" i="39"/>
  <c r="N49" i="38"/>
  <c r="N49" i="7"/>
  <c r="N49" i="6"/>
  <c r="Z38" i="37"/>
  <c r="R38" i="37"/>
  <c r="BR41" i="41"/>
  <c r="BV41" i="41" s="1"/>
  <c r="BS41" i="41"/>
  <c r="AP10" i="5"/>
  <c r="AP9" i="5" s="1"/>
  <c r="AP50" i="5" s="1"/>
  <c r="H57" i="1"/>
  <c r="BA59" i="41"/>
  <c r="BE59" i="41" s="1"/>
  <c r="D21" i="31"/>
  <c r="D56" i="1"/>
  <c r="BA57" i="3"/>
  <c r="BE57" i="3" s="1"/>
  <c r="BJ68" i="3"/>
  <c r="R21" i="16" s="1"/>
  <c r="Q21" i="16"/>
  <c r="W25" i="37"/>
  <c r="Z36" i="39"/>
  <c r="K22" i="19"/>
  <c r="L22" i="19" s="1"/>
  <c r="C64" i="9"/>
  <c r="C14" i="9"/>
  <c r="BH35" i="1"/>
  <c r="S11" i="1"/>
  <c r="S11" i="31" s="1"/>
  <c r="BK69" i="3"/>
  <c r="BK71" i="41"/>
  <c r="BL71" i="41" s="1"/>
  <c r="CK27" i="48"/>
  <c r="CJ27" i="48"/>
  <c r="M8" i="15" s="1"/>
  <c r="T34" i="37"/>
  <c r="T28" i="36"/>
  <c r="AM28" i="36"/>
  <c r="AL28" i="36" s="1"/>
  <c r="U31" i="36"/>
  <c r="V30" i="36"/>
  <c r="N34" i="36"/>
  <c r="N30" i="36" s="1"/>
  <c r="O30" i="36"/>
  <c r="AG53" i="36"/>
  <c r="AF53" i="36" s="1"/>
  <c r="AF51" i="36" s="1"/>
  <c r="AE51" i="36"/>
  <c r="AY54" i="36"/>
  <c r="AX54" i="36" s="1"/>
  <c r="AV54" i="36"/>
  <c r="L24" i="40"/>
  <c r="L23" i="40" s="1"/>
  <c r="L36" i="40"/>
  <c r="L34" i="40" s="1"/>
  <c r="BJ28" i="41"/>
  <c r="BS28" i="41"/>
  <c r="AF51" i="1"/>
  <c r="AT47" i="3"/>
  <c r="BH47" i="3"/>
  <c r="AV63" i="3"/>
  <c r="AV62" i="3" s="1"/>
  <c r="M41" i="4"/>
  <c r="M33" i="33" s="1"/>
  <c r="AS15" i="37"/>
  <c r="H61" i="1"/>
  <c r="BE30" i="3"/>
  <c r="BY47" i="3"/>
  <c r="BZ47" i="3" s="1"/>
  <c r="H25" i="1"/>
  <c r="H66" i="1"/>
  <c r="BA61" i="41"/>
  <c r="P58" i="1"/>
  <c r="P55" i="1" s="1"/>
  <c r="P19" i="31" s="1"/>
  <c r="I16" i="31"/>
  <c r="G13" i="37"/>
  <c r="G11" i="37" s="1"/>
  <c r="T65" i="1"/>
  <c r="T29" i="31" s="1"/>
  <c r="AS25" i="1"/>
  <c r="X13" i="1"/>
  <c r="S14" i="6"/>
  <c r="AQ40" i="3"/>
  <c r="AJ11" i="3"/>
  <c r="AJ12" i="3" s="1"/>
  <c r="BY22" i="3"/>
  <c r="BZ22" i="3" s="1"/>
  <c r="E40" i="39"/>
  <c r="E44" i="39" s="1"/>
  <c r="M23" i="33"/>
  <c r="AO10" i="5"/>
  <c r="AU35" i="5"/>
  <c r="E32" i="16" s="1"/>
  <c r="AQ37" i="5"/>
  <c r="AK17" i="5"/>
  <c r="AK10" i="5" s="1"/>
  <c r="C43" i="6"/>
  <c r="G25" i="8"/>
  <c r="C30" i="6"/>
  <c r="BM52" i="3"/>
  <c r="BD67" i="3"/>
  <c r="BF67" i="3" s="1"/>
  <c r="G50" i="6"/>
  <c r="F50" i="6" s="1"/>
  <c r="H39" i="34"/>
  <c r="G50" i="38"/>
  <c r="F50" i="38" s="1"/>
  <c r="BM40" i="3"/>
  <c r="BN40" i="3" s="1"/>
  <c r="BS44" i="3"/>
  <c r="BS50" i="3"/>
  <c r="E27" i="7"/>
  <c r="O48" i="6"/>
  <c r="L50" i="7"/>
  <c r="L48" i="6"/>
  <c r="AE10" i="11"/>
  <c r="AB24" i="11"/>
  <c r="O7" i="14"/>
  <c r="L15" i="64"/>
  <c r="L15" i="164"/>
  <c r="H44" i="13"/>
  <c r="C113" i="13"/>
  <c r="D31" i="11"/>
  <c r="F32" i="20"/>
  <c r="F30" i="20"/>
  <c r="F31" i="20"/>
  <c r="F33" i="20"/>
  <c r="E46" i="26"/>
  <c r="F46" i="26" s="1"/>
  <c r="Z48" i="22"/>
  <c r="Z90" i="22" s="1"/>
  <c r="X12" i="22"/>
  <c r="D12" i="22"/>
  <c r="T64" i="22"/>
  <c r="K69" i="22"/>
  <c r="H68" i="22"/>
  <c r="P41" i="36"/>
  <c r="M41" i="36"/>
  <c r="S41" i="36" s="1"/>
  <c r="AF37" i="36"/>
  <c r="AM37" i="36"/>
  <c r="AL37" i="36" s="1"/>
  <c r="J14" i="23"/>
  <c r="P15" i="23"/>
  <c r="N31" i="23"/>
  <c r="J34" i="23"/>
  <c r="P34" i="23" s="1"/>
  <c r="P31" i="23" s="1"/>
  <c r="G36" i="23"/>
  <c r="G49" i="23"/>
  <c r="C50" i="23"/>
  <c r="I50" i="23" s="1"/>
  <c r="R50" i="23" s="1"/>
  <c r="P52" i="23"/>
  <c r="S52" i="23"/>
  <c r="S54" i="23"/>
  <c r="P54" i="23"/>
  <c r="E60" i="23"/>
  <c r="C63" i="23"/>
  <c r="I63" i="23" s="1"/>
  <c r="J72" i="23"/>
  <c r="L64" i="23"/>
  <c r="G78" i="23"/>
  <c r="C82" i="23"/>
  <c r="I82" i="23" s="1"/>
  <c r="BL34" i="41"/>
  <c r="BS34" i="41"/>
  <c r="AT37" i="41"/>
  <c r="AR37" i="41"/>
  <c r="AQ70" i="41"/>
  <c r="AP70" i="41"/>
  <c r="N9" i="63"/>
  <c r="C74" i="83" s="1"/>
  <c r="O20" i="17"/>
  <c r="BV33" i="47"/>
  <c r="C33" i="47"/>
  <c r="CH26" i="47"/>
  <c r="CF26" i="47"/>
  <c r="CB26" i="47"/>
  <c r="CB23" i="47" s="1"/>
  <c r="CG26" i="47"/>
  <c r="CE26" i="47"/>
  <c r="CA23" i="47"/>
  <c r="I11" i="1"/>
  <c r="I12" i="1" s="1"/>
  <c r="K47" i="1"/>
  <c r="T26" i="4"/>
  <c r="M57" i="4"/>
  <c r="BH27" i="1"/>
  <c r="C21" i="31"/>
  <c r="J57" i="7"/>
  <c r="I57" i="7" s="1"/>
  <c r="AX58" i="3"/>
  <c r="H18" i="16" s="1"/>
  <c r="H16" i="16" s="1"/>
  <c r="D9" i="9"/>
  <c r="D10" i="9" s="1"/>
  <c r="BF51" i="1"/>
  <c r="L47" i="1"/>
  <c r="AA45" i="1"/>
  <c r="Z45" i="1" s="1"/>
  <c r="BQ47" i="43"/>
  <c r="J27" i="6"/>
  <c r="O15" i="6"/>
  <c r="AE13" i="4"/>
  <c r="AP67" i="3"/>
  <c r="AE13" i="37"/>
  <c r="AP40" i="1"/>
  <c r="Z57" i="1"/>
  <c r="Z56" i="1" s="1"/>
  <c r="AG56" i="1"/>
  <c r="P19" i="6" s="1"/>
  <c r="AO62" i="3"/>
  <c r="AH30" i="3"/>
  <c r="AT30" i="3" s="1"/>
  <c r="AR41" i="3"/>
  <c r="BB51" i="3"/>
  <c r="BA10" i="5"/>
  <c r="AU9" i="5"/>
  <c r="BA35" i="5"/>
  <c r="AR40" i="5"/>
  <c r="P25" i="8"/>
  <c r="AU51" i="1"/>
  <c r="AV51" i="1" s="1"/>
  <c r="BD60" i="3"/>
  <c r="BD59" i="3" s="1"/>
  <c r="BD13" i="3"/>
  <c r="BK19" i="3"/>
  <c r="H52" i="6"/>
  <c r="L35" i="33"/>
  <c r="L16" i="33"/>
  <c r="G50" i="7"/>
  <c r="F50" i="7" s="1"/>
  <c r="L15" i="33"/>
  <c r="BS36" i="3"/>
  <c r="BI51" i="3"/>
  <c r="Q10" i="16" s="1"/>
  <c r="BQ40" i="41"/>
  <c r="BS22" i="3"/>
  <c r="BS38" i="3"/>
  <c r="BN16" i="3"/>
  <c r="BN13" i="3" s="1"/>
  <c r="BP17" i="3"/>
  <c r="N35" i="7"/>
  <c r="K51" i="7"/>
  <c r="Q33" i="150"/>
  <c r="K71" i="26"/>
  <c r="H19" i="27"/>
  <c r="N59" i="22"/>
  <c r="S59" i="22" s="1"/>
  <c r="AB17" i="28"/>
  <c r="AF17" i="28" s="1"/>
  <c r="AD73" i="22"/>
  <c r="D36" i="33"/>
  <c r="D42" i="4"/>
  <c r="D34" i="33" s="1"/>
  <c r="AC60" i="36"/>
  <c r="Z22" i="36"/>
  <c r="AM22" i="36"/>
  <c r="AL22" i="36" s="1"/>
  <c r="U32" i="36"/>
  <c r="T32" i="36" s="1"/>
  <c r="AN32" i="36"/>
  <c r="AG40" i="36"/>
  <c r="AK40" i="36"/>
  <c r="K42" i="36"/>
  <c r="BK42" i="36"/>
  <c r="K36" i="23"/>
  <c r="K30" i="23" s="1"/>
  <c r="K29" i="23" s="1"/>
  <c r="K12" i="23" s="1"/>
  <c r="P44" i="23"/>
  <c r="R24" i="40"/>
  <c r="R23" i="40" s="1"/>
  <c r="R37" i="40"/>
  <c r="R34" i="40" s="1"/>
  <c r="BD69" i="41"/>
  <c r="BF69" i="41" s="1"/>
  <c r="BE69" i="41"/>
  <c r="L28" i="47"/>
  <c r="O46" i="6"/>
  <c r="F39" i="34"/>
  <c r="O30" i="7"/>
  <c r="L21" i="16"/>
  <c r="D68" i="1"/>
  <c r="D32" i="31" s="1"/>
  <c r="AG62" i="3"/>
  <c r="AG58" i="3" s="1"/>
  <c r="AG55" i="3" s="1"/>
  <c r="BF49" i="3"/>
  <c r="BH51" i="3"/>
  <c r="BH41" i="3"/>
  <c r="M73" i="38"/>
  <c r="AO78" i="3"/>
  <c r="AP78" i="3" s="1"/>
  <c r="AR78" i="3" s="1"/>
  <c r="U53" i="1"/>
  <c r="T53" i="1" s="1"/>
  <c r="AL19" i="1"/>
  <c r="AR25" i="3"/>
  <c r="BA30" i="3"/>
  <c r="BY14" i="3"/>
  <c r="BZ14" i="3" s="1"/>
  <c r="BE20" i="5"/>
  <c r="BI25" i="3"/>
  <c r="H39" i="35"/>
  <c r="F39" i="35" s="1"/>
  <c r="AW40" i="1"/>
  <c r="AY40" i="1" s="1"/>
  <c r="AX40" i="1" s="1"/>
  <c r="BS18" i="3"/>
  <c r="M37" i="33"/>
  <c r="H8" i="10"/>
  <c r="AD14" i="11"/>
  <c r="F44" i="13"/>
  <c r="C75" i="13"/>
  <c r="AL9" i="14"/>
  <c r="I5" i="20"/>
  <c r="I13" i="20" s="1"/>
  <c r="O15" i="25"/>
  <c r="P14" i="25"/>
  <c r="V19" i="25"/>
  <c r="V20" i="25"/>
  <c r="E40" i="26"/>
  <c r="F40" i="26" s="1"/>
  <c r="G40" i="26" s="1"/>
  <c r="E58" i="26"/>
  <c r="F58" i="26" s="1"/>
  <c r="G58" i="26" s="1"/>
  <c r="K58" i="26" s="1"/>
  <c r="E63" i="26"/>
  <c r="F63" i="26" s="1"/>
  <c r="G63" i="26" s="1"/>
  <c r="E66" i="26"/>
  <c r="F66" i="26" s="1"/>
  <c r="G66" i="26" s="1"/>
  <c r="E28" i="26"/>
  <c r="E22" i="26"/>
  <c r="F22" i="26" s="1"/>
  <c r="G22" i="26" s="1"/>
  <c r="E27" i="26"/>
  <c r="F27" i="26" s="1"/>
  <c r="G27" i="26" s="1"/>
  <c r="E20" i="26"/>
  <c r="F20" i="26" s="1"/>
  <c r="G20" i="26" s="1"/>
  <c r="K20" i="26" s="1"/>
  <c r="E54" i="26"/>
  <c r="F54" i="26" s="1"/>
  <c r="G54" i="26" s="1"/>
  <c r="E52" i="26"/>
  <c r="F52" i="26" s="1"/>
  <c r="G52" i="26" s="1"/>
  <c r="E32" i="26"/>
  <c r="F32" i="26" s="1"/>
  <c r="G32" i="26" s="1"/>
  <c r="E51" i="26"/>
  <c r="F51" i="26" s="1"/>
  <c r="G51" i="26" s="1"/>
  <c r="K51" i="26" s="1"/>
  <c r="E21" i="26"/>
  <c r="F21" i="26" s="1"/>
  <c r="G21" i="26" s="1"/>
  <c r="Q33" i="37"/>
  <c r="K49" i="38"/>
  <c r="K51" i="35"/>
  <c r="K49" i="39"/>
  <c r="K83" i="39" s="1"/>
  <c r="K51" i="34"/>
  <c r="AS31" i="36"/>
  <c r="AR31" i="36" s="1"/>
  <c r="AT30" i="36"/>
  <c r="K53" i="36"/>
  <c r="R53" i="36"/>
  <c r="J51" i="36"/>
  <c r="L53" i="36"/>
  <c r="AV53" i="36"/>
  <c r="BB53" i="36"/>
  <c r="I50" i="37"/>
  <c r="D34" i="37"/>
  <c r="O34" i="37" s="1"/>
  <c r="L34" i="37"/>
  <c r="H34" i="37" s="1"/>
  <c r="AA35" i="37"/>
  <c r="R59" i="37"/>
  <c r="C37" i="23"/>
  <c r="I37" i="23" s="1"/>
  <c r="U24" i="40"/>
  <c r="U23" i="40" s="1"/>
  <c r="AI64" i="41"/>
  <c r="AJ66" i="41"/>
  <c r="AR66" i="41" s="1"/>
  <c r="P17" i="138"/>
  <c r="L11" i="44"/>
  <c r="H36" i="46" s="1"/>
  <c r="F36" i="46" s="1"/>
  <c r="E36" i="46"/>
  <c r="C36" i="46" s="1"/>
  <c r="Q81" i="6"/>
  <c r="C19" i="1"/>
  <c r="K10" i="13"/>
  <c r="K118" i="162"/>
  <c r="N19" i="47"/>
  <c r="U21" i="37"/>
  <c r="I35" i="6"/>
  <c r="M25" i="33"/>
  <c r="M20" i="4"/>
  <c r="BE40" i="1"/>
  <c r="BB13" i="3"/>
  <c r="J57" i="6"/>
  <c r="I57" i="6" s="1"/>
  <c r="AE45" i="1"/>
  <c r="AK45" i="1" s="1"/>
  <c r="BE45" i="3"/>
  <c r="G28" i="6"/>
  <c r="G38" i="38"/>
  <c r="H47" i="1"/>
  <c r="BQ25" i="43"/>
  <c r="BQ38" i="43"/>
  <c r="BR38" i="43" s="1"/>
  <c r="BF41" i="3"/>
  <c r="AY76" i="3"/>
  <c r="I15" i="16" s="1"/>
  <c r="R30" i="1"/>
  <c r="R14" i="31" s="1"/>
  <c r="H31" i="34"/>
  <c r="J58" i="38"/>
  <c r="R13" i="4"/>
  <c r="M20" i="16"/>
  <c r="J60" i="39"/>
  <c r="I60" i="39" s="1"/>
  <c r="I58" i="39" s="1"/>
  <c r="J19" i="7"/>
  <c r="I15" i="7"/>
  <c r="P14" i="4"/>
  <c r="BO69" i="3"/>
  <c r="AP68" i="3"/>
  <c r="AT68" i="3" s="1"/>
  <c r="AA30" i="1"/>
  <c r="AJ40" i="1"/>
  <c r="AR44" i="3"/>
  <c r="AT50" i="3"/>
  <c r="AQ51" i="3"/>
  <c r="C10" i="16" s="1"/>
  <c r="BF37" i="3"/>
  <c r="BY53" i="3"/>
  <c r="BZ53" i="3" s="1"/>
  <c r="AQ21" i="5"/>
  <c r="AR37" i="5"/>
  <c r="J25" i="8"/>
  <c r="AW54" i="1"/>
  <c r="AY54" i="1" s="1"/>
  <c r="AX54" i="1" s="1"/>
  <c r="AD58" i="3"/>
  <c r="AD55" i="3" s="1"/>
  <c r="BV36" i="3"/>
  <c r="BQ25" i="3"/>
  <c r="H39" i="6"/>
  <c r="F39" i="6" s="1"/>
  <c r="H61" i="35"/>
  <c r="F61" i="35" s="1"/>
  <c r="F59" i="7"/>
  <c r="H39" i="38"/>
  <c r="G35" i="35"/>
  <c r="F35" i="35" s="1"/>
  <c r="H38" i="38"/>
  <c r="BT31" i="3"/>
  <c r="BM40" i="41"/>
  <c r="Z14" i="39"/>
  <c r="BS46" i="3"/>
  <c r="E19" i="19"/>
  <c r="F19" i="19" s="1"/>
  <c r="O48" i="7"/>
  <c r="AA12" i="4"/>
  <c r="K51" i="6"/>
  <c r="Q76" i="6"/>
  <c r="Z51" i="6"/>
  <c r="H25" i="9"/>
  <c r="H24" i="9" s="1"/>
  <c r="E50" i="9"/>
  <c r="F8" i="10"/>
  <c r="Q36" i="150"/>
  <c r="C16" i="159"/>
  <c r="E29" i="26"/>
  <c r="C21" i="28"/>
  <c r="N21" i="28" s="1"/>
  <c r="M21" i="28" s="1"/>
  <c r="AB25" i="24"/>
  <c r="AD25" i="24" s="1"/>
  <c r="H26" i="27"/>
  <c r="N57" i="22"/>
  <c r="D24" i="27"/>
  <c r="Q25" i="33"/>
  <c r="CL27" i="48"/>
  <c r="Z12" i="37"/>
  <c r="AT12" i="37" s="1"/>
  <c r="R12" i="37"/>
  <c r="T12" i="37" s="1"/>
  <c r="BL21" i="36"/>
  <c r="D19" i="36"/>
  <c r="BL19" i="36" s="1"/>
  <c r="BD14" i="36"/>
  <c r="BE13" i="36"/>
  <c r="N20" i="36"/>
  <c r="BN20" i="36" s="1"/>
  <c r="O19" i="36"/>
  <c r="N26" i="36"/>
  <c r="O25" i="36"/>
  <c r="Z35" i="36"/>
  <c r="AM35" i="36"/>
  <c r="AL35" i="36" s="1"/>
  <c r="AE46" i="36"/>
  <c r="AA46" i="36"/>
  <c r="Z46" i="36" s="1"/>
  <c r="U47" i="36"/>
  <c r="T47" i="36" s="1"/>
  <c r="X47" i="36"/>
  <c r="AI47" i="36"/>
  <c r="H24" i="39"/>
  <c r="K25" i="39"/>
  <c r="T37" i="39"/>
  <c r="W74" i="39"/>
  <c r="Q74" i="39"/>
  <c r="O38" i="39"/>
  <c r="V75" i="39"/>
  <c r="U75" i="39" s="1"/>
  <c r="P75" i="39"/>
  <c r="O75" i="39" s="1"/>
  <c r="T46" i="39"/>
  <c r="Q81" i="39"/>
  <c r="BQ25" i="41"/>
  <c r="P20" i="16"/>
  <c r="C17" i="159"/>
  <c r="T27" i="4"/>
  <c r="J83" i="6"/>
  <c r="N81" i="6"/>
  <c r="L42" i="1"/>
  <c r="AL60" i="3"/>
  <c r="BF36" i="3"/>
  <c r="BC13" i="3"/>
  <c r="P33" i="33"/>
  <c r="AW76" i="3"/>
  <c r="G15" i="16" s="1"/>
  <c r="BE47" i="3"/>
  <c r="G28" i="7"/>
  <c r="O65" i="1"/>
  <c r="O29" i="31" s="1"/>
  <c r="J10" i="16"/>
  <c r="BH42" i="3"/>
  <c r="AY62" i="3"/>
  <c r="H53" i="1"/>
  <c r="L46" i="1"/>
  <c r="P46" i="1" s="1"/>
  <c r="E14" i="46"/>
  <c r="BC65" i="3"/>
  <c r="AA67" i="1"/>
  <c r="AG51" i="1"/>
  <c r="AA19" i="1"/>
  <c r="AG13" i="1"/>
  <c r="U15" i="6"/>
  <c r="U25" i="1"/>
  <c r="AM40" i="1"/>
  <c r="AL40" i="1" s="1"/>
  <c r="AX25" i="1"/>
  <c r="AM11" i="3"/>
  <c r="BH37" i="3"/>
  <c r="T31" i="4"/>
  <c r="AA35" i="4"/>
  <c r="AP35" i="4"/>
  <c r="AH39" i="5"/>
  <c r="AH35" i="5" s="1"/>
  <c r="AT30" i="5"/>
  <c r="E20" i="6"/>
  <c r="E18" i="6" s="1"/>
  <c r="H54" i="35"/>
  <c r="L32" i="33"/>
  <c r="H59" i="38"/>
  <c r="F59" i="38" s="1"/>
  <c r="H39" i="39"/>
  <c r="F39" i="39" s="1"/>
  <c r="G35" i="34"/>
  <c r="G52" i="35"/>
  <c r="F52" i="35" s="1"/>
  <c r="F44" i="34"/>
  <c r="BT33" i="3"/>
  <c r="BS15" i="3"/>
  <c r="BQ76" i="3"/>
  <c r="Y15" i="16" s="1"/>
  <c r="O50" i="38"/>
  <c r="R50" i="38" s="1"/>
  <c r="I50" i="6"/>
  <c r="N35" i="38"/>
  <c r="L38" i="7"/>
  <c r="N51" i="7"/>
  <c r="N74" i="6"/>
  <c r="AG12" i="11"/>
  <c r="C52" i="9"/>
  <c r="C50" i="9" s="1"/>
  <c r="AI9" i="14"/>
  <c r="J44" i="13"/>
  <c r="J11" i="13" s="1"/>
  <c r="C58" i="13"/>
  <c r="C15" i="13"/>
  <c r="D33" i="11"/>
  <c r="D30" i="11"/>
  <c r="K11" i="20"/>
  <c r="K10" i="20"/>
  <c r="I30" i="20"/>
  <c r="I31" i="20"/>
  <c r="I32" i="20"/>
  <c r="M20" i="28"/>
  <c r="R76" i="26"/>
  <c r="BL39" i="36"/>
  <c r="H39" i="36"/>
  <c r="G39" i="36" s="1"/>
  <c r="AF36" i="36"/>
  <c r="AA19" i="4"/>
  <c r="AA22" i="4"/>
  <c r="AA22" i="37" s="1"/>
  <c r="N14" i="36"/>
  <c r="O13" i="36"/>
  <c r="AR22" i="36"/>
  <c r="AS19" i="36"/>
  <c r="AF49" i="36"/>
  <c r="AM49" i="36"/>
  <c r="K50" i="36"/>
  <c r="BK50" i="36"/>
  <c r="D50" i="36"/>
  <c r="L50" i="36" s="1"/>
  <c r="K51" i="38"/>
  <c r="T55" i="38"/>
  <c r="T39" i="40"/>
  <c r="K30" i="1"/>
  <c r="K14" i="31" s="1"/>
  <c r="AI58" i="3"/>
  <c r="AI55" i="3" s="1"/>
  <c r="AI77" i="3" s="1"/>
  <c r="AI72" i="3" s="1"/>
  <c r="AI84" i="3" s="1"/>
  <c r="AU58" i="3"/>
  <c r="J59" i="34"/>
  <c r="I59" i="34" s="1"/>
  <c r="J75" i="6"/>
  <c r="I75" i="6" s="1"/>
  <c r="BQ42" i="43"/>
  <c r="BR42" i="43" s="1"/>
  <c r="AV90" i="3"/>
  <c r="AX90" i="3" s="1"/>
  <c r="AZ90" i="3" s="1"/>
  <c r="BA25" i="3"/>
  <c r="I58" i="1"/>
  <c r="I21" i="39"/>
  <c r="P14" i="6"/>
  <c r="O14" i="6" s="1"/>
  <c r="AP11" i="3"/>
  <c r="AH25" i="3"/>
  <c r="AT25" i="3" s="1"/>
  <c r="J43" i="4"/>
  <c r="J35" i="33" s="1"/>
  <c r="C48" i="6"/>
  <c r="BS53" i="41"/>
  <c r="BO30" i="3"/>
  <c r="H39" i="7"/>
  <c r="F39" i="7" s="1"/>
  <c r="K12" i="33"/>
  <c r="G52" i="34"/>
  <c r="F52" i="34" s="1"/>
  <c r="W14" i="7"/>
  <c r="Z72" i="7" s="1"/>
  <c r="BS45" i="41"/>
  <c r="BS34" i="3"/>
  <c r="Z51" i="7"/>
  <c r="C24" i="159"/>
  <c r="L20" i="64"/>
  <c r="L20" i="164"/>
  <c r="J32" i="31"/>
  <c r="BB70" i="41"/>
  <c r="BY70" i="41" s="1"/>
  <c r="BZ70" i="41" s="1"/>
  <c r="AA31" i="37"/>
  <c r="Q50" i="38"/>
  <c r="T50" i="38" s="1"/>
  <c r="AA25" i="4"/>
  <c r="AA25" i="37" s="1"/>
  <c r="AU25" i="37" s="1"/>
  <c r="V25" i="37"/>
  <c r="R25" i="37" s="1"/>
  <c r="V23" i="4"/>
  <c r="Q23" i="37"/>
  <c r="M23" i="37" s="1"/>
  <c r="O23" i="37" s="1"/>
  <c r="J35" i="39"/>
  <c r="J35" i="38"/>
  <c r="J35" i="34"/>
  <c r="T51" i="38"/>
  <c r="AJ13" i="36"/>
  <c r="U20" i="36"/>
  <c r="AI20" i="36"/>
  <c r="AI19" i="36" s="1"/>
  <c r="N73" i="38"/>
  <c r="Q73" i="38"/>
  <c r="C34" i="23"/>
  <c r="I34" i="23" s="1"/>
  <c r="E31" i="23"/>
  <c r="P46" i="23"/>
  <c r="S46" i="23"/>
  <c r="E59" i="23"/>
  <c r="AO78" i="41"/>
  <c r="AO77" i="41" s="1"/>
  <c r="AQ40" i="41"/>
  <c r="L16" i="47"/>
  <c r="K16" i="47"/>
  <c r="N16" i="47"/>
  <c r="M16" i="47"/>
  <c r="M81" i="6"/>
  <c r="L81" i="6" s="1"/>
  <c r="H26" i="4"/>
  <c r="U24" i="37"/>
  <c r="R24" i="37" s="1"/>
  <c r="M12" i="33"/>
  <c r="I46" i="6"/>
  <c r="I79" i="6"/>
  <c r="BE25" i="1"/>
  <c r="BE30" i="1"/>
  <c r="D40" i="1"/>
  <c r="D15" i="31" s="1"/>
  <c r="S46" i="1"/>
  <c r="AA64" i="1"/>
  <c r="J59" i="35"/>
  <c r="I59" i="35" s="1"/>
  <c r="J57" i="38"/>
  <c r="I57" i="38" s="1"/>
  <c r="G28" i="34"/>
  <c r="BA61" i="3"/>
  <c r="BF47" i="1"/>
  <c r="BQ49" i="43"/>
  <c r="BR49" i="43" s="1"/>
  <c r="E14" i="38"/>
  <c r="BI65" i="3"/>
  <c r="AC67" i="1"/>
  <c r="AG67" i="1" s="1"/>
  <c r="J19" i="38"/>
  <c r="J19" i="35"/>
  <c r="I19" i="35" s="1"/>
  <c r="P14" i="7"/>
  <c r="P72" i="7" s="1"/>
  <c r="U14" i="7"/>
  <c r="BH48" i="1"/>
  <c r="AV40" i="1"/>
  <c r="BY16" i="3"/>
  <c r="BZ16" i="3" s="1"/>
  <c r="E40" i="6"/>
  <c r="E44" i="6" s="1"/>
  <c r="AW17" i="5"/>
  <c r="AT42" i="5"/>
  <c r="M25" i="8"/>
  <c r="AQ51" i="1"/>
  <c r="H27" i="6"/>
  <c r="H56" i="38"/>
  <c r="BS33" i="3"/>
  <c r="BS29" i="3"/>
  <c r="V30" i="1"/>
  <c r="V14" i="31" s="1"/>
  <c r="K39" i="35"/>
  <c r="P33" i="9"/>
  <c r="P38" i="9" s="1"/>
  <c r="P35" i="9" s="1"/>
  <c r="E10" i="14"/>
  <c r="E44" i="13"/>
  <c r="M88" i="22"/>
  <c r="T88" i="22"/>
  <c r="T48" i="22"/>
  <c r="X13" i="24"/>
  <c r="X10" i="24" s="1"/>
  <c r="K20" i="25"/>
  <c r="M20" i="25" s="1"/>
  <c r="K21" i="25"/>
  <c r="M21" i="25" s="1"/>
  <c r="R50" i="26"/>
  <c r="K73" i="26"/>
  <c r="R16" i="28"/>
  <c r="AD16" i="28"/>
  <c r="E53" i="153"/>
  <c r="C53" i="153" s="1"/>
  <c r="E46" i="38"/>
  <c r="C46" i="38" s="1"/>
  <c r="E48" i="34"/>
  <c r="C48" i="34" s="1"/>
  <c r="I50" i="4"/>
  <c r="I46" i="38"/>
  <c r="R13" i="36"/>
  <c r="AN36" i="36"/>
  <c r="AL36" i="36" s="1"/>
  <c r="Z14" i="36"/>
  <c r="AM14" i="36"/>
  <c r="AL14" i="36" s="1"/>
  <c r="H32" i="36"/>
  <c r="G32" i="36" s="1"/>
  <c r="I30" i="36"/>
  <c r="I11" i="36" s="1"/>
  <c r="AX35" i="36"/>
  <c r="AY30" i="36"/>
  <c r="BL42" i="36"/>
  <c r="H42" i="36"/>
  <c r="G42" i="36" s="1"/>
  <c r="AS56" i="36"/>
  <c r="AR57" i="36"/>
  <c r="AR56" i="36" s="1"/>
  <c r="T15" i="64"/>
  <c r="T15" i="164"/>
  <c r="S32" i="40"/>
  <c r="S37" i="40" s="1"/>
  <c r="S34" i="40" s="1"/>
  <c r="AW13" i="41"/>
  <c r="AW11" i="41" s="1"/>
  <c r="AW78" i="41"/>
  <c r="AW77" i="41" s="1"/>
  <c r="AR52" i="41"/>
  <c r="AH51" i="41"/>
  <c r="L22" i="47"/>
  <c r="M22" i="47"/>
  <c r="K22" i="47"/>
  <c r="J11" i="48"/>
  <c r="I11" i="48"/>
  <c r="D49" i="150"/>
  <c r="BM49" i="150" s="1"/>
  <c r="E66" i="154"/>
  <c r="C58" i="169"/>
  <c r="C59" i="158"/>
  <c r="F149" i="89"/>
  <c r="F146" i="89"/>
  <c r="F9" i="89"/>
  <c r="F152" i="89"/>
  <c r="F138" i="89"/>
  <c r="BC123" i="88"/>
  <c r="BD123" i="88"/>
  <c r="AA71" i="88"/>
  <c r="X72" i="88"/>
  <c r="AA100" i="89"/>
  <c r="AA103" i="89"/>
  <c r="AA88" i="89"/>
  <c r="AA85" i="89"/>
  <c r="AA82" i="89"/>
  <c r="AA79" i="89"/>
  <c r="AA91" i="89"/>
  <c r="AA94" i="89"/>
  <c r="F101" i="88"/>
  <c r="F68" i="88"/>
  <c r="F81" i="88" s="1"/>
  <c r="F85" i="88"/>
  <c r="F65" i="88"/>
  <c r="AF181" i="88"/>
  <c r="AF64" i="88"/>
  <c r="AH56" i="88"/>
  <c r="C24" i="84"/>
  <c r="AO23" i="62"/>
  <c r="C11" i="79"/>
  <c r="Z10" i="62"/>
  <c r="N21" i="14"/>
  <c r="AI31" i="14"/>
  <c r="I12" i="64"/>
  <c r="I12" i="164"/>
  <c r="I33" i="11"/>
  <c r="K30" i="20"/>
  <c r="O30" i="23"/>
  <c r="O73" i="23"/>
  <c r="J11" i="25"/>
  <c r="H23" i="25"/>
  <c r="K23" i="25" s="1"/>
  <c r="M23" i="25" s="1"/>
  <c r="N37" i="26"/>
  <c r="R72" i="26"/>
  <c r="H13" i="27"/>
  <c r="K12" i="27"/>
  <c r="K11" i="27" s="1"/>
  <c r="Y59" i="22"/>
  <c r="W62" i="22"/>
  <c r="S73" i="22"/>
  <c r="BC66" i="41"/>
  <c r="BD66" i="41" s="1"/>
  <c r="K18" i="4"/>
  <c r="K27" i="35"/>
  <c r="V29" i="4"/>
  <c r="V29" i="37" s="1"/>
  <c r="O81" i="39"/>
  <c r="BD19" i="36"/>
  <c r="BN29" i="36"/>
  <c r="H31" i="37"/>
  <c r="J31" i="37" s="1"/>
  <c r="C30" i="39"/>
  <c r="AA38" i="39"/>
  <c r="H13" i="23"/>
  <c r="C22" i="23"/>
  <c r="I22" i="23" s="1"/>
  <c r="J40" i="23"/>
  <c r="M59" i="23"/>
  <c r="M73" i="23"/>
  <c r="R44" i="23"/>
  <c r="G24" i="40"/>
  <c r="G23" i="40" s="1"/>
  <c r="BS21" i="41"/>
  <c r="AP77" i="41"/>
  <c r="AW36" i="47"/>
  <c r="BV30" i="47"/>
  <c r="M26" i="48"/>
  <c r="AW34" i="47"/>
  <c r="EE9" i="47"/>
  <c r="EE10" i="47" s="1"/>
  <c r="FA30" i="47"/>
  <c r="AV12" i="51"/>
  <c r="D25" i="50"/>
  <c r="CM26" i="47"/>
  <c r="W65" i="44"/>
  <c r="G40" i="44"/>
  <c r="I32" i="46"/>
  <c r="CH11" i="47"/>
  <c r="BG17" i="47"/>
  <c r="L37" i="47"/>
  <c r="EZ11" i="51"/>
  <c r="EZ10" i="51" s="1"/>
  <c r="C133" i="81"/>
  <c r="AM21" i="62"/>
  <c r="C116" i="89"/>
  <c r="C110" i="89"/>
  <c r="C117" i="89"/>
  <c r="C119" i="89" s="1"/>
  <c r="AC33" i="88"/>
  <c r="AC31" i="88" s="1"/>
  <c r="AD34" i="88"/>
  <c r="AD33" i="88" s="1"/>
  <c r="AD31" i="88" s="1"/>
  <c r="R34" i="95"/>
  <c r="C20" i="76"/>
  <c r="Q19" i="62"/>
  <c r="AG10" i="20"/>
  <c r="Q69" i="4"/>
  <c r="F16" i="21"/>
  <c r="I48" i="22"/>
  <c r="I90" i="22" s="1"/>
  <c r="AB68" i="22"/>
  <c r="AB64" i="22" s="1"/>
  <c r="N22" i="24"/>
  <c r="P22" i="24" s="1"/>
  <c r="M11" i="27"/>
  <c r="P18" i="4"/>
  <c r="C31" i="35"/>
  <c r="C51" i="161"/>
  <c r="D33" i="160"/>
  <c r="H51" i="36"/>
  <c r="BN37" i="36"/>
  <c r="R31" i="39"/>
  <c r="J21" i="37"/>
  <c r="H38" i="36"/>
  <c r="G38" i="36" s="1"/>
  <c r="AI15" i="37"/>
  <c r="AK35" i="37"/>
  <c r="O30" i="38"/>
  <c r="J20" i="23"/>
  <c r="P20" i="23" s="1"/>
  <c r="L31" i="23"/>
  <c r="C75" i="23"/>
  <c r="I75" i="23" s="1"/>
  <c r="J86" i="23"/>
  <c r="P86" i="23" s="1"/>
  <c r="Z49" i="40"/>
  <c r="AE39" i="40"/>
  <c r="E49" i="40"/>
  <c r="BO25" i="41"/>
  <c r="AH25" i="41"/>
  <c r="AT25" i="41" s="1"/>
  <c r="CX9" i="47"/>
  <c r="CX10" i="47" s="1"/>
  <c r="C30" i="43"/>
  <c r="K37" i="47"/>
  <c r="FA33" i="47"/>
  <c r="EA23" i="47"/>
  <c r="CE23" i="47"/>
  <c r="E33" i="48"/>
  <c r="X11" i="48"/>
  <c r="H11" i="48" s="1"/>
  <c r="K26" i="48"/>
  <c r="H12" i="51"/>
  <c r="H11" i="51" s="1"/>
  <c r="H10" i="51" s="1"/>
  <c r="FB27" i="47"/>
  <c r="CS25" i="47"/>
  <c r="M27" i="48"/>
  <c r="E27" i="48" s="1"/>
  <c r="CQ32" i="47"/>
  <c r="CQ30" i="47" s="1"/>
  <c r="AB30" i="43"/>
  <c r="K39" i="43"/>
  <c r="K40" i="43"/>
  <c r="DK11" i="47"/>
  <c r="DL12" i="47"/>
  <c r="DL11" i="47" s="1"/>
  <c r="AF34" i="62"/>
  <c r="C35" i="81"/>
  <c r="AC69" i="162"/>
  <c r="P69" i="162" s="1"/>
  <c r="C69" i="162" s="1"/>
  <c r="AC69" i="60"/>
  <c r="X69" i="88"/>
  <c r="V81" i="88"/>
  <c r="V73" i="88"/>
  <c r="AD86" i="88"/>
  <c r="AA69" i="89"/>
  <c r="BQ63" i="88"/>
  <c r="H69" i="89"/>
  <c r="H63" i="89"/>
  <c r="H91" i="89"/>
  <c r="H72" i="89"/>
  <c r="H82" i="89"/>
  <c r="H100" i="89"/>
  <c r="H103" i="89"/>
  <c r="H88" i="89"/>
  <c r="C11" i="82"/>
  <c r="AI10" i="62"/>
  <c r="C27" i="82"/>
  <c r="C26" i="82" s="1"/>
  <c r="AG25" i="62"/>
  <c r="D53" i="154"/>
  <c r="D47" i="150"/>
  <c r="H39" i="44"/>
  <c r="E28" i="160"/>
  <c r="F21" i="47"/>
  <c r="FF21" i="47" s="1"/>
  <c r="CH30" i="47"/>
  <c r="U26" i="48"/>
  <c r="CG26" i="48"/>
  <c r="E18" i="51"/>
  <c r="AI52" i="89"/>
  <c r="AH53" i="89"/>
  <c r="F107" i="89"/>
  <c r="AB80" i="89"/>
  <c r="T80" i="89"/>
  <c r="S81" i="89"/>
  <c r="Y81" i="89"/>
  <c r="AB81" i="89" s="1"/>
  <c r="K36" i="89"/>
  <c r="W36" i="89"/>
  <c r="C27" i="78"/>
  <c r="C26" i="78" s="1"/>
  <c r="U25" i="62"/>
  <c r="C74" i="13"/>
  <c r="W9" i="14"/>
  <c r="E12" i="14"/>
  <c r="M15" i="28"/>
  <c r="C23" i="27"/>
  <c r="N19" i="24"/>
  <c r="P19" i="24" s="1"/>
  <c r="R48" i="26"/>
  <c r="K77" i="26"/>
  <c r="AD62" i="22"/>
  <c r="AB12" i="28"/>
  <c r="AF12" i="28" s="1"/>
  <c r="D42" i="39"/>
  <c r="C42" i="39" s="1"/>
  <c r="I28" i="39"/>
  <c r="E27" i="34"/>
  <c r="K53" i="35"/>
  <c r="C44" i="34"/>
  <c r="J45" i="34"/>
  <c r="Y34" i="37"/>
  <c r="O38" i="38"/>
  <c r="R38" i="38" s="1"/>
  <c r="C27" i="23"/>
  <c r="I27" i="23" s="1"/>
  <c r="J43" i="23"/>
  <c r="P43" i="23" s="1"/>
  <c r="N60" i="23"/>
  <c r="O39" i="40"/>
  <c r="BS16" i="41"/>
  <c r="DE30" i="47"/>
  <c r="CR32" i="47"/>
  <c r="F19" i="47"/>
  <c r="BS27" i="47"/>
  <c r="Z35" i="47"/>
  <c r="DH26" i="47"/>
  <c r="DH23" i="47" s="1"/>
  <c r="K11" i="52"/>
  <c r="J11" i="51"/>
  <c r="J10" i="51" s="1"/>
  <c r="S36" i="47"/>
  <c r="U13" i="64"/>
  <c r="U13" i="164"/>
  <c r="U40" i="43"/>
  <c r="V17" i="94" s="1"/>
  <c r="Q17" i="94" s="1"/>
  <c r="P17" i="94" s="1"/>
  <c r="CB11" i="47"/>
  <c r="G12" i="47"/>
  <c r="N12" i="47" s="1"/>
  <c r="DO12" i="47"/>
  <c r="F16" i="47"/>
  <c r="J16" i="47"/>
  <c r="DN11" i="47"/>
  <c r="DP17" i="47"/>
  <c r="CR17" i="47"/>
  <c r="AU12" i="51"/>
  <c r="A2" i="60"/>
  <c r="A2" i="61" s="1"/>
  <c r="A2" i="63" s="1"/>
  <c r="A2" i="64" s="1"/>
  <c r="A2" i="112" s="1"/>
  <c r="DM12" i="51"/>
  <c r="DN13" i="51"/>
  <c r="C18" i="79"/>
  <c r="C16" i="79" s="1"/>
  <c r="X15" i="62"/>
  <c r="C13" i="78"/>
  <c r="C10" i="78" s="1"/>
  <c r="W12" i="62"/>
  <c r="W9" i="62" s="1"/>
  <c r="F154" i="89"/>
  <c r="AA129" i="89"/>
  <c r="AA126" i="89"/>
  <c r="BD108" i="88"/>
  <c r="BC104" i="88"/>
  <c r="BC106" i="88" s="1"/>
  <c r="BC108" i="88"/>
  <c r="X171" i="88"/>
  <c r="AA171" i="88" s="1"/>
  <c r="AA173" i="88"/>
  <c r="X172" i="88"/>
  <c r="L190" i="88"/>
  <c r="L189" i="88"/>
  <c r="C19" i="83"/>
  <c r="AL18" i="62"/>
  <c r="H55" i="22"/>
  <c r="E12" i="27"/>
  <c r="E11" i="27" s="1"/>
  <c r="N53" i="22"/>
  <c r="L62" i="22"/>
  <c r="W58" i="22"/>
  <c r="C42" i="38"/>
  <c r="C50" i="35"/>
  <c r="AA24" i="4"/>
  <c r="AA24" i="37" s="1"/>
  <c r="K79" i="1"/>
  <c r="T18" i="17"/>
  <c r="Q30" i="37"/>
  <c r="AA19" i="36"/>
  <c r="J30" i="37"/>
  <c r="J70" i="23"/>
  <c r="K25" i="40"/>
  <c r="AW60" i="41"/>
  <c r="AW57" i="41" s="1"/>
  <c r="AJ61" i="41"/>
  <c r="AU36" i="47"/>
  <c r="S33" i="47"/>
  <c r="Z33" i="47" s="1"/>
  <c r="CT32" i="47"/>
  <c r="E47" i="46"/>
  <c r="E51" i="46" s="1"/>
  <c r="D53" i="50"/>
  <c r="D40" i="150"/>
  <c r="BM40" i="150" s="1"/>
  <c r="BG32" i="47"/>
  <c r="BG30" i="47" s="1"/>
  <c r="DO30" i="47"/>
  <c r="DQ17" i="47"/>
  <c r="EZ17" i="47"/>
  <c r="W35" i="47"/>
  <c r="W33" i="47" s="1"/>
  <c r="FM16" i="51"/>
  <c r="FM11" i="51" s="1"/>
  <c r="FM10" i="51" s="1"/>
  <c r="P61" i="43"/>
  <c r="P57" i="43" s="1"/>
  <c r="J51" i="44"/>
  <c r="CV11" i="47"/>
  <c r="DP12" i="47"/>
  <c r="H16" i="47"/>
  <c r="EF30" i="47"/>
  <c r="EF40" i="47" s="1"/>
  <c r="C132" i="83"/>
  <c r="E138" i="89"/>
  <c r="E154" i="89"/>
  <c r="E146" i="89"/>
  <c r="E107" i="89"/>
  <c r="K19" i="91"/>
  <c r="K18" i="91"/>
  <c r="K20" i="91"/>
  <c r="U84" i="89"/>
  <c r="H22" i="92"/>
  <c r="H21" i="92" s="1"/>
  <c r="C36" i="78"/>
  <c r="W35" i="62"/>
  <c r="C11" i="84"/>
  <c r="AO10" i="62"/>
  <c r="C52" i="13"/>
  <c r="I17" i="64"/>
  <c r="I17" i="164"/>
  <c r="U11" i="22"/>
  <c r="U10" i="22" s="1"/>
  <c r="I50" i="38"/>
  <c r="F30" i="39"/>
  <c r="O17" i="64"/>
  <c r="O17" i="164"/>
  <c r="AG51" i="36"/>
  <c r="J19" i="37"/>
  <c r="AP19" i="36"/>
  <c r="Q69" i="37"/>
  <c r="M36" i="23"/>
  <c r="R43" i="23"/>
  <c r="AV36" i="47"/>
  <c r="M53" i="43"/>
  <c r="O53" i="43" s="1"/>
  <c r="N53" i="43" s="1"/>
  <c r="EB17" i="47"/>
  <c r="Y11" i="47"/>
  <c r="AX34" i="47"/>
  <c r="R17" i="47"/>
  <c r="CN32" i="47"/>
  <c r="CN30" i="47" s="1"/>
  <c r="CN40" i="47" s="1"/>
  <c r="Z51" i="43"/>
  <c r="CF32" i="47"/>
  <c r="EC23" i="47"/>
  <c r="Y23" i="47"/>
  <c r="CW11" i="48"/>
  <c r="E11" i="48" s="1"/>
  <c r="K19" i="52"/>
  <c r="K9" i="52"/>
  <c r="CR25" i="47"/>
  <c r="M54" i="43"/>
  <c r="D38" i="150"/>
  <c r="BM38" i="150" s="1"/>
  <c r="D45" i="150"/>
  <c r="AH32" i="47"/>
  <c r="DQ12" i="47"/>
  <c r="CG27" i="47"/>
  <c r="DE27" i="47"/>
  <c r="CE32" i="47"/>
  <c r="CE30" i="47" s="1"/>
  <c r="C10" i="62"/>
  <c r="F62" i="89"/>
  <c r="E97" i="89"/>
  <c r="E88" i="89"/>
  <c r="Z180" i="88"/>
  <c r="AA178" i="88"/>
  <c r="AY15" i="88"/>
  <c r="X67" i="88"/>
  <c r="X75" i="88"/>
  <c r="X77" i="88" s="1"/>
  <c r="X159" i="88"/>
  <c r="X160" i="88"/>
  <c r="P157" i="88"/>
  <c r="U81" i="89"/>
  <c r="AC20" i="91"/>
  <c r="Z18" i="91"/>
  <c r="Z189" i="88"/>
  <c r="Z190" i="88"/>
  <c r="C25" i="77"/>
  <c r="C22" i="77" s="1"/>
  <c r="R21" i="62"/>
  <c r="C30" i="34"/>
  <c r="I31" i="34"/>
  <c r="I38" i="34"/>
  <c r="J45" i="35"/>
  <c r="I45" i="35" s="1"/>
  <c r="AA26" i="4"/>
  <c r="AA26" i="37" s="1"/>
  <c r="H23" i="37"/>
  <c r="J23" i="37" s="1"/>
  <c r="J23" i="23"/>
  <c r="P23" i="23" s="1"/>
  <c r="AN77" i="41"/>
  <c r="AQ30" i="41"/>
  <c r="AR40" i="41"/>
  <c r="AR42" i="41"/>
  <c r="AQ51" i="41"/>
  <c r="D6" i="42"/>
  <c r="AX36" i="47"/>
  <c r="H39" i="43"/>
  <c r="H39" i="150" s="1"/>
  <c r="G39" i="150" s="1"/>
  <c r="AU34" i="47"/>
  <c r="AU33" i="47" s="1"/>
  <c r="BA9" i="47"/>
  <c r="BA10" i="47" s="1"/>
  <c r="P10" i="17"/>
  <c r="CC30" i="47"/>
  <c r="CF30" i="47" s="1"/>
  <c r="J22" i="47"/>
  <c r="G11" i="51"/>
  <c r="G10" i="51" s="1"/>
  <c r="BE12" i="51"/>
  <c r="BE11" i="51" s="1"/>
  <c r="BE10" i="51" s="1"/>
  <c r="BE20" i="51" s="1"/>
  <c r="BE21" i="51" s="1"/>
  <c r="H54" i="43"/>
  <c r="E15" i="49"/>
  <c r="K22" i="62"/>
  <c r="AD90" i="88"/>
  <c r="P86" i="88"/>
  <c r="Z73" i="88"/>
  <c r="Z72" i="88"/>
  <c r="AF72" i="88"/>
  <c r="M97" i="88"/>
  <c r="M85" i="88"/>
  <c r="M156" i="88"/>
  <c r="I108" i="89"/>
  <c r="G109" i="89"/>
  <c r="F117" i="89"/>
  <c r="F109" i="89"/>
  <c r="F110" i="89"/>
  <c r="AI20" i="62"/>
  <c r="C21" i="82"/>
  <c r="C34" i="82"/>
  <c r="AI33" i="62"/>
  <c r="AI31" i="62" s="1"/>
  <c r="F112" i="89"/>
  <c r="E117" i="89"/>
  <c r="E119" i="89" s="1"/>
  <c r="W30" i="89"/>
  <c r="AN20" i="88"/>
  <c r="AU24" i="88"/>
  <c r="AJ54" i="86"/>
  <c r="K104" i="88"/>
  <c r="N189" i="88"/>
  <c r="Z104" i="88"/>
  <c r="AA135" i="88"/>
  <c r="S20" i="89"/>
  <c r="E65" i="89"/>
  <c r="J65" i="89" s="1"/>
  <c r="O17" i="86"/>
  <c r="AY11" i="87"/>
  <c r="P15" i="87"/>
  <c r="W31" i="88"/>
  <c r="AF108" i="88"/>
  <c r="W19" i="89"/>
  <c r="R9" i="90"/>
  <c r="R8" i="90" s="1"/>
  <c r="V8" i="90" s="1"/>
  <c r="F21" i="140"/>
  <c r="C27" i="159"/>
  <c r="H17" i="112"/>
  <c r="AD119" i="60"/>
  <c r="AD119" i="162"/>
  <c r="D56" i="58"/>
  <c r="D56" i="160"/>
  <c r="J20" i="138"/>
  <c r="K12" i="112"/>
  <c r="BB53" i="41"/>
  <c r="BY53" i="41" s="1"/>
  <c r="BZ53" i="41" s="1"/>
  <c r="AH26" i="47"/>
  <c r="AH23" i="47" s="1"/>
  <c r="C132" i="74"/>
  <c r="FC12" i="51"/>
  <c r="C29" i="84"/>
  <c r="S59" i="13"/>
  <c r="C37" i="161"/>
  <c r="S61" i="162"/>
  <c r="P61" i="162" s="1"/>
  <c r="C61" i="162" s="1"/>
  <c r="AC73" i="162"/>
  <c r="P73" i="162" s="1"/>
  <c r="C73" i="162" s="1"/>
  <c r="AG21" i="62"/>
  <c r="O137" i="88"/>
  <c r="O130" i="88"/>
  <c r="X146" i="88"/>
  <c r="O106" i="88"/>
  <c r="V94" i="88"/>
  <c r="O67" i="88"/>
  <c r="Z91" i="88"/>
  <c r="Z95" i="88" s="1"/>
  <c r="Z130" i="88"/>
  <c r="Z131" i="88"/>
  <c r="Z133" i="88" s="1"/>
  <c r="M129" i="89"/>
  <c r="O105" i="89"/>
  <c r="AJ14" i="92"/>
  <c r="D10" i="96"/>
  <c r="M13" i="99"/>
  <c r="M5" i="99" s="1"/>
  <c r="Q23" i="96"/>
  <c r="T120" i="89"/>
  <c r="I15" i="99"/>
  <c r="AD51" i="95"/>
  <c r="F126" i="89"/>
  <c r="L130" i="88"/>
  <c r="L146" i="88"/>
  <c r="F9" i="88"/>
  <c r="F157" i="88"/>
  <c r="D85" i="89"/>
  <c r="AR20" i="89"/>
  <c r="AR16" i="89" s="1"/>
  <c r="AK20" i="88"/>
  <c r="BA34" i="86"/>
  <c r="AO49" i="88"/>
  <c r="N171" i="88"/>
  <c r="T33" i="88"/>
  <c r="T31" i="88" s="1"/>
  <c r="N7" i="88"/>
  <c r="S28" i="86"/>
  <c r="C17" i="87"/>
  <c r="C14" i="87" s="1"/>
  <c r="C77" i="87" s="1"/>
  <c r="AN25" i="87"/>
  <c r="AS25" i="87" s="1"/>
  <c r="H27" i="87"/>
  <c r="F33" i="87"/>
  <c r="C34" i="87"/>
  <c r="M34" i="87" s="1"/>
  <c r="AC34" i="87"/>
  <c r="F38" i="87"/>
  <c r="R8" i="89"/>
  <c r="P10" i="89"/>
  <c r="P8" i="89" s="1"/>
  <c r="R9" i="89" s="1"/>
  <c r="S68" i="89"/>
  <c r="AB68" i="89" s="1"/>
  <c r="D84" i="89"/>
  <c r="Q84" i="89"/>
  <c r="H93" i="89"/>
  <c r="H99" i="89"/>
  <c r="J99" i="89" s="1"/>
  <c r="V25" i="139"/>
  <c r="E49" i="139"/>
  <c r="AJ63" i="13"/>
  <c r="AJ66" i="162"/>
  <c r="D20" i="68"/>
  <c r="C32" i="45"/>
  <c r="H14" i="112"/>
  <c r="I8" i="60"/>
  <c r="I8" i="162"/>
  <c r="D20" i="163"/>
  <c r="H33" i="151"/>
  <c r="AH16" i="13"/>
  <c r="AJ16" i="162"/>
  <c r="J12" i="112"/>
  <c r="K13" i="112"/>
  <c r="O72" i="46"/>
  <c r="BB52" i="41"/>
  <c r="BY52" i="41" s="1"/>
  <c r="BZ52" i="41" s="1"/>
  <c r="BA53" i="41"/>
  <c r="AC63" i="13"/>
  <c r="AC66" i="162"/>
  <c r="AJ23" i="14"/>
  <c r="S62" i="162"/>
  <c r="P62" i="162" s="1"/>
  <c r="C62" i="162" s="1"/>
  <c r="C38" i="161"/>
  <c r="O124" i="88"/>
  <c r="O121" i="88"/>
  <c r="V152" i="88"/>
  <c r="X109" i="88"/>
  <c r="Z93" i="88"/>
  <c r="Z112" i="88"/>
  <c r="O154" i="89"/>
  <c r="L31" i="95"/>
  <c r="R53" i="95"/>
  <c r="I17" i="96"/>
  <c r="D49" i="90"/>
  <c r="D50" i="90" s="1"/>
  <c r="AC53" i="95"/>
  <c r="AN101" i="89"/>
  <c r="L29" i="96"/>
  <c r="AO172" i="88"/>
  <c r="AO166" i="88" s="1"/>
  <c r="AG40" i="86"/>
  <c r="BE36" i="86"/>
  <c r="T154" i="88"/>
  <c r="AB154" i="88" s="1"/>
  <c r="K7" i="88"/>
  <c r="AC35" i="86"/>
  <c r="AD35" i="86" s="1"/>
  <c r="AJ11" i="87"/>
  <c r="C9" i="87"/>
  <c r="C8" i="87" s="1"/>
  <c r="C7" i="87" s="1"/>
  <c r="Z18" i="87"/>
  <c r="AN22" i="87"/>
  <c r="AD18" i="88"/>
  <c r="AD26" i="88"/>
  <c r="Q16" i="89"/>
  <c r="F68" i="89"/>
  <c r="S84" i="89"/>
  <c r="L125" i="89"/>
  <c r="Q20" i="139"/>
  <c r="S28" i="139"/>
  <c r="Y34" i="139"/>
  <c r="Y35" i="139"/>
  <c r="AD35" i="139" s="1"/>
  <c r="Z43" i="139"/>
  <c r="C13" i="140"/>
  <c r="O21" i="140"/>
  <c r="T21" i="140" s="1"/>
  <c r="W21" i="140" s="1"/>
  <c r="AJ51" i="13"/>
  <c r="AJ55" i="162"/>
  <c r="C166" i="13"/>
  <c r="C14" i="161"/>
  <c r="C35" i="169"/>
  <c r="C36" i="158"/>
  <c r="C35" i="158" s="1"/>
  <c r="H17" i="44"/>
  <c r="S13" i="52"/>
  <c r="EK32" i="47"/>
  <c r="H12" i="112"/>
  <c r="H15" i="112"/>
  <c r="C56" i="68"/>
  <c r="J8" i="60"/>
  <c r="J8" i="162"/>
  <c r="J16" i="112"/>
  <c r="K14" i="112"/>
  <c r="BB54" i="41"/>
  <c r="BY54" i="41" s="1"/>
  <c r="BZ54" i="41" s="1"/>
  <c r="BF16" i="41"/>
  <c r="BA52" i="41"/>
  <c r="D51" i="43"/>
  <c r="BD105" i="88"/>
  <c r="C44" i="99"/>
  <c r="AT30" i="87"/>
  <c r="AF190" i="88"/>
  <c r="AB145" i="88"/>
  <c r="L149" i="88"/>
  <c r="L124" i="88"/>
  <c r="L112" i="88"/>
  <c r="C52" i="90"/>
  <c r="W28" i="97"/>
  <c r="BM20" i="88"/>
  <c r="BN20" i="88" s="1"/>
  <c r="BO20" i="88" s="1"/>
  <c r="AV12" i="88"/>
  <c r="AY12" i="88" s="1"/>
  <c r="AJ28" i="89"/>
  <c r="AN28" i="89" s="1"/>
  <c r="X73" i="86"/>
  <c r="AJ29" i="89"/>
  <c r="AN29" i="89" s="1"/>
  <c r="G137" i="93"/>
  <c r="K137" i="93" s="1"/>
  <c r="K136" i="93" s="1"/>
  <c r="E81" i="89"/>
  <c r="T117" i="88"/>
  <c r="AB117" i="88" s="1"/>
  <c r="AN27" i="87"/>
  <c r="J87" i="88"/>
  <c r="C13" i="54"/>
  <c r="C13" i="66" s="1"/>
  <c r="C12" i="169"/>
  <c r="C25" i="159"/>
  <c r="C13" i="158"/>
  <c r="O18" i="44"/>
  <c r="H13" i="112"/>
  <c r="H19" i="112"/>
  <c r="K8" i="60"/>
  <c r="K8" i="162"/>
  <c r="Z12" i="13"/>
  <c r="Z18" i="162"/>
  <c r="AG44" i="13"/>
  <c r="AC137" i="13"/>
  <c r="K15" i="112"/>
  <c r="Y12" i="13"/>
  <c r="Y27" i="162"/>
  <c r="D46" i="160"/>
  <c r="D26" i="150"/>
  <c r="AM9" i="62"/>
  <c r="O149" i="88"/>
  <c r="V155" i="88"/>
  <c r="P34" i="87"/>
  <c r="R34" i="87" s="1"/>
  <c r="T76" i="88"/>
  <c r="Z115" i="88"/>
  <c r="I120" i="89"/>
  <c r="AC19" i="91"/>
  <c r="D57" i="90"/>
  <c r="S149" i="88"/>
  <c r="AQ189" i="88"/>
  <c r="Q108" i="88"/>
  <c r="BD80" i="88"/>
  <c r="AR100" i="88"/>
  <c r="AN32" i="89"/>
  <c r="O23" i="99"/>
  <c r="AN24" i="89"/>
  <c r="BF12" i="88"/>
  <c r="BE40" i="86"/>
  <c r="AB28" i="89"/>
  <c r="AI20" i="88"/>
  <c r="AL20" i="88"/>
  <c r="G126" i="93"/>
  <c r="G122" i="93" s="1"/>
  <c r="G121" i="93" s="1"/>
  <c r="AA163" i="88"/>
  <c r="AD163" i="88" s="1"/>
  <c r="K29" i="86"/>
  <c r="L29" i="86" s="1"/>
  <c r="AN9" i="86"/>
  <c r="AN10" i="86" s="1"/>
  <c r="BC28" i="86"/>
  <c r="U45" i="86"/>
  <c r="AN10" i="87"/>
  <c r="AN9" i="87" s="1"/>
  <c r="AN16" i="87"/>
  <c r="AN24" i="87"/>
  <c r="AJ24" i="87" s="1"/>
  <c r="AL24" i="87" s="1"/>
  <c r="AD10" i="88"/>
  <c r="AD13" i="88"/>
  <c r="AI34" i="88"/>
  <c r="AJ34" i="88" s="1"/>
  <c r="Q90" i="88"/>
  <c r="K100" i="88"/>
  <c r="Q100" i="88" s="1"/>
  <c r="G104" i="88"/>
  <c r="X139" i="88"/>
  <c r="AB139" i="88" s="1"/>
  <c r="X190" i="88"/>
  <c r="AA190" i="88" s="1"/>
  <c r="M128" i="89"/>
  <c r="N49" i="139"/>
  <c r="O49" i="139" s="1"/>
  <c r="V51" i="139"/>
  <c r="AA51" i="139" s="1"/>
  <c r="AD58" i="139"/>
  <c r="C19" i="159"/>
  <c r="M17" i="44"/>
  <c r="F45" i="45"/>
  <c r="H10" i="112"/>
  <c r="H8" i="112"/>
  <c r="J117" i="162"/>
  <c r="J10" i="162" s="1"/>
  <c r="L9" i="60"/>
  <c r="L9" i="162"/>
  <c r="H36" i="151"/>
  <c r="E64" i="154"/>
  <c r="C56" i="169"/>
  <c r="C57" i="158"/>
  <c r="C56" i="158" s="1"/>
  <c r="E38" i="70"/>
  <c r="E31" i="110"/>
  <c r="E29" i="110" s="1"/>
  <c r="K16" i="112"/>
  <c r="I10" i="13"/>
  <c r="I116" i="162"/>
  <c r="I10" i="162" s="1"/>
  <c r="D14" i="150"/>
  <c r="BF23" i="41"/>
  <c r="V13" i="47"/>
  <c r="V11" i="47" s="1"/>
  <c r="O127" i="88"/>
  <c r="V140" i="88"/>
  <c r="H152" i="89"/>
  <c r="D52" i="90"/>
  <c r="AD52" i="96"/>
  <c r="AR166" i="88"/>
  <c r="AR165" i="88" s="1"/>
  <c r="AR193" i="88" s="1"/>
  <c r="Z94" i="88"/>
  <c r="AN86" i="89"/>
  <c r="O129" i="89"/>
  <c r="X10" i="89"/>
  <c r="X8" i="89" s="1"/>
  <c r="BA29" i="86"/>
  <c r="BA28" i="86" s="1"/>
  <c r="BK36" i="86"/>
  <c r="H23" i="87"/>
  <c r="AM39" i="86"/>
  <c r="AU40" i="86"/>
  <c r="E54" i="86"/>
  <c r="E52" i="86" s="1"/>
  <c r="H9" i="88"/>
  <c r="D190" i="88"/>
  <c r="T114" i="89"/>
  <c r="AN114" i="89" s="1"/>
  <c r="AI162" i="89"/>
  <c r="AI164" i="89"/>
  <c r="E34" i="95"/>
  <c r="N59" i="139"/>
  <c r="O46" i="139"/>
  <c r="V32" i="139"/>
  <c r="AA32" i="139" s="1"/>
  <c r="V19" i="139"/>
  <c r="Y49" i="139"/>
  <c r="S26" i="94"/>
  <c r="R32" i="14"/>
  <c r="AH45" i="13"/>
  <c r="S60" i="162"/>
  <c r="C36" i="161"/>
  <c r="H11" i="112"/>
  <c r="M9" i="60"/>
  <c r="M9" i="162"/>
  <c r="Z101" i="162"/>
  <c r="B84" i="13"/>
  <c r="B86" i="162"/>
  <c r="AH37" i="13"/>
  <c r="AJ37" i="162"/>
  <c r="AH37" i="162" s="1"/>
  <c r="C37" i="162" s="1"/>
  <c r="K17" i="112"/>
  <c r="Z103" i="162"/>
  <c r="P103" i="162" s="1"/>
  <c r="C103" i="162" s="1"/>
  <c r="C57" i="169"/>
  <c r="C58" i="158"/>
  <c r="C13" i="169"/>
  <c r="C28" i="159"/>
  <c r="C14" i="158"/>
  <c r="AT19" i="47"/>
  <c r="AT17" i="47" s="1"/>
  <c r="V19" i="47"/>
  <c r="V17" i="47" s="1"/>
  <c r="E110" i="89"/>
  <c r="G7" i="92"/>
  <c r="E16" i="96"/>
  <c r="F16" i="96" s="1"/>
  <c r="AD30" i="96"/>
  <c r="E5" i="99"/>
  <c r="E45" i="99" s="1"/>
  <c r="BK28" i="86"/>
  <c r="S69" i="87"/>
  <c r="AJ27" i="87"/>
  <c r="R24" i="97"/>
  <c r="AB27" i="89"/>
  <c r="AB51" i="89"/>
  <c r="F54" i="86"/>
  <c r="F52" i="86" s="1"/>
  <c r="I17" i="87"/>
  <c r="I14" i="87" s="1"/>
  <c r="Q35" i="86"/>
  <c r="R35" i="86" s="1"/>
  <c r="AI37" i="86"/>
  <c r="AJ37" i="86" s="1"/>
  <c r="D8" i="87"/>
  <c r="D7" i="87" s="1"/>
  <c r="F25" i="87"/>
  <c r="H25" i="87" s="1"/>
  <c r="Z28" i="87"/>
  <c r="AN29" i="87"/>
  <c r="AS29" i="87" s="1"/>
  <c r="AX29" i="87" s="1"/>
  <c r="P31" i="87"/>
  <c r="K32" i="87"/>
  <c r="X104" i="88"/>
  <c r="X131" i="88" s="1"/>
  <c r="X133" i="88" s="1"/>
  <c r="X142" i="88"/>
  <c r="AH188" i="88"/>
  <c r="N10" i="89"/>
  <c r="N8" i="89" s="1"/>
  <c r="T41" i="89"/>
  <c r="AN41" i="89" s="1"/>
  <c r="S87" i="89"/>
  <c r="AB87" i="89" s="1"/>
  <c r="L35" i="139"/>
  <c r="V53" i="139"/>
  <c r="AA53" i="139" s="1"/>
  <c r="P34" i="140"/>
  <c r="I30" i="14"/>
  <c r="U13" i="162"/>
  <c r="C44" i="45"/>
  <c r="E62" i="45"/>
  <c r="H9" i="112"/>
  <c r="H18" i="112"/>
  <c r="E38" i="154"/>
  <c r="C32" i="169"/>
  <c r="C33" i="158"/>
  <c r="N9" i="60"/>
  <c r="N9" i="162"/>
  <c r="AI44" i="13"/>
  <c r="AI11" i="13" s="1"/>
  <c r="AJ30" i="162"/>
  <c r="AH30" i="162" s="1"/>
  <c r="C30" i="162" s="1"/>
  <c r="L10" i="13"/>
  <c r="L118" i="162"/>
  <c r="L10" i="162" s="1"/>
  <c r="K10" i="112"/>
  <c r="K18" i="112"/>
  <c r="Q59" i="46"/>
  <c r="S11" i="94"/>
  <c r="Y11" i="94" s="1"/>
  <c r="C14" i="159"/>
  <c r="J20" i="150"/>
  <c r="J45" i="150"/>
  <c r="BV45" i="150" s="1"/>
  <c r="X35" i="30"/>
  <c r="AQ10" i="89"/>
  <c r="AQ8" i="89" s="1"/>
  <c r="E33" i="92"/>
  <c r="E32" i="92" s="1"/>
  <c r="E31" i="92" s="1"/>
  <c r="K21" i="139"/>
  <c r="X16" i="139"/>
  <c r="AC16" i="139" s="1"/>
  <c r="AD17" i="139"/>
  <c r="E24" i="139"/>
  <c r="L34" i="139"/>
  <c r="Q49" i="139"/>
  <c r="C62" i="141"/>
  <c r="C42" i="142"/>
  <c r="C54" i="142"/>
  <c r="S17" i="94"/>
  <c r="I11" i="64"/>
  <c r="I11" i="164"/>
  <c r="H16" i="112"/>
  <c r="J20" i="64"/>
  <c r="J20" i="164"/>
  <c r="AD10" i="13"/>
  <c r="P197" i="13" s="1"/>
  <c r="C37" i="54"/>
  <c r="C37" i="66" s="1"/>
  <c r="C36" i="169"/>
  <c r="C34" i="169" s="1"/>
  <c r="C37" i="158"/>
  <c r="G8" i="60"/>
  <c r="G8" i="162"/>
  <c r="O9" i="60"/>
  <c r="O9" i="162"/>
  <c r="AC68" i="162"/>
  <c r="P68" i="162" s="1"/>
  <c r="C68" i="162" s="1"/>
  <c r="M10" i="13"/>
  <c r="M118" i="162"/>
  <c r="M10" i="162" s="1"/>
  <c r="K11" i="112"/>
  <c r="K19" i="112"/>
  <c r="L70" i="45"/>
  <c r="C13" i="159"/>
  <c r="BI40" i="43"/>
  <c r="AF27" i="43"/>
  <c r="C30" i="150"/>
  <c r="K30" i="150" s="1"/>
  <c r="C14" i="149"/>
  <c r="U19" i="43"/>
  <c r="L40" i="43"/>
  <c r="M14" i="45"/>
  <c r="L14" i="45" s="1"/>
  <c r="BE54" i="41"/>
  <c r="AL51" i="43"/>
  <c r="U17" i="94"/>
  <c r="H60" i="43"/>
  <c r="J71" i="43"/>
  <c r="AZ30" i="43"/>
  <c r="Q72" i="43"/>
  <c r="Q72" i="150" s="1"/>
  <c r="Q43" i="95"/>
  <c r="AD43" i="95"/>
  <c r="BC100" i="88"/>
  <c r="N21" i="92"/>
  <c r="R51" i="95"/>
  <c r="O32" i="100"/>
  <c r="Z26" i="87"/>
  <c r="AB26" i="87" s="1"/>
  <c r="L41" i="96"/>
  <c r="R25" i="100"/>
  <c r="R43" i="86"/>
  <c r="AE31" i="87"/>
  <c r="Z32" i="87"/>
  <c r="K36" i="87"/>
  <c r="AI34" i="87"/>
  <c r="AE34" i="87" s="1"/>
  <c r="Z37" i="87"/>
  <c r="Z15" i="139"/>
  <c r="BN41" i="86"/>
  <c r="AQ117" i="88"/>
  <c r="R35" i="99"/>
  <c r="AI38" i="86"/>
  <c r="AJ38" i="86" s="1"/>
  <c r="F11" i="87"/>
  <c r="H11" i="87" s="1"/>
  <c r="S71" i="87"/>
  <c r="F14" i="99"/>
  <c r="C36" i="141"/>
  <c r="C27" i="69"/>
  <c r="BC127" i="88"/>
  <c r="U34" i="86"/>
  <c r="AG41" i="86"/>
  <c r="W43" i="86"/>
  <c r="X43" i="86" s="1"/>
  <c r="Q47" i="86"/>
  <c r="U38" i="87"/>
  <c r="BC112" i="88"/>
  <c r="AS11" i="86"/>
  <c r="C24" i="140"/>
  <c r="BC75" i="88"/>
  <c r="H35" i="97"/>
  <c r="AV138" i="88"/>
  <c r="AY138" i="88" s="1"/>
  <c r="BE138" i="88" s="1"/>
  <c r="BH138" i="88" s="1"/>
  <c r="AQ111" i="88"/>
  <c r="X37" i="86"/>
  <c r="BE45" i="86"/>
  <c r="U31" i="87"/>
  <c r="AS27" i="87"/>
  <c r="AX27" i="87" s="1"/>
  <c r="F23" i="48"/>
  <c r="I23" i="48" s="1"/>
  <c r="R36" i="87"/>
  <c r="AB10" i="87"/>
  <c r="AQ12" i="87"/>
  <c r="U23" i="87"/>
  <c r="AB23" i="87" s="1"/>
  <c r="K27" i="87"/>
  <c r="BC139" i="88"/>
  <c r="D22" i="92"/>
  <c r="AE60" i="95"/>
  <c r="L43" i="86"/>
  <c r="BA47" i="86"/>
  <c r="C67" i="13"/>
  <c r="C65" i="46"/>
  <c r="C14" i="57"/>
  <c r="C14" i="67" s="1"/>
  <c r="Z20" i="43"/>
  <c r="J29" i="45"/>
  <c r="I29" i="45" s="1"/>
  <c r="G41" i="45"/>
  <c r="F41" i="45" s="1"/>
  <c r="H16" i="44"/>
  <c r="D118" i="13"/>
  <c r="C118" i="13" s="1"/>
  <c r="C59" i="54"/>
  <c r="K25" i="44"/>
  <c r="C46" i="45"/>
  <c r="F44" i="45"/>
  <c r="L55" i="45"/>
  <c r="C23" i="58"/>
  <c r="I40" i="46"/>
  <c r="O41" i="45"/>
  <c r="O70" i="46"/>
  <c r="L112" i="44"/>
  <c r="E9" i="16"/>
  <c r="AU12" i="3"/>
  <c r="T24" i="6"/>
  <c r="W25" i="6"/>
  <c r="W24" i="6" s="1"/>
  <c r="S29" i="16"/>
  <c r="BL34" i="5"/>
  <c r="T29" i="16" s="1"/>
  <c r="H23" i="1"/>
  <c r="G23" i="1" s="1"/>
  <c r="BH23" i="1" s="1"/>
  <c r="BF23" i="1"/>
  <c r="AU55" i="3"/>
  <c r="E18" i="16"/>
  <c r="G26" i="16"/>
  <c r="G24" i="16" s="1"/>
  <c r="G23" i="16" s="1"/>
  <c r="AW10" i="5"/>
  <c r="AW9" i="5" s="1"/>
  <c r="G17" i="47"/>
  <c r="Z22" i="4"/>
  <c r="BK68" i="3"/>
  <c r="O81" i="6"/>
  <c r="BI70" i="41"/>
  <c r="BJ70" i="41" s="1"/>
  <c r="Y34" i="4"/>
  <c r="O30" i="6"/>
  <c r="D16" i="1"/>
  <c r="BA23" i="3"/>
  <c r="BE23" i="1"/>
  <c r="D10" i="3"/>
  <c r="M26" i="7"/>
  <c r="L26" i="7" s="1"/>
  <c r="M26" i="38"/>
  <c r="L26" i="38" s="1"/>
  <c r="H12" i="16"/>
  <c r="J15" i="4"/>
  <c r="J15" i="33" s="1"/>
  <c r="BQ40" i="43"/>
  <c r="BR40" i="43" s="1"/>
  <c r="BU40" i="150"/>
  <c r="BV40" i="150" s="1"/>
  <c r="G8" i="40"/>
  <c r="G9" i="40" s="1"/>
  <c r="BF41" i="1"/>
  <c r="H30" i="1"/>
  <c r="H14" i="31" s="1"/>
  <c r="BH18" i="1"/>
  <c r="AB19" i="153"/>
  <c r="AA19" i="153" s="1"/>
  <c r="AB19" i="152"/>
  <c r="L16" i="38"/>
  <c r="V19" i="153"/>
  <c r="V19" i="152"/>
  <c r="Z31" i="1"/>
  <c r="Z30" i="1" s="1"/>
  <c r="AA51" i="1"/>
  <c r="V14" i="153"/>
  <c r="V14" i="152"/>
  <c r="AE13" i="151"/>
  <c r="V15" i="153"/>
  <c r="U15" i="153" s="1"/>
  <c r="V15" i="152"/>
  <c r="AE15" i="151"/>
  <c r="AB15" i="151" s="1"/>
  <c r="AR25" i="1"/>
  <c r="AB15" i="153"/>
  <c r="AA15" i="153" s="1"/>
  <c r="AB15" i="152"/>
  <c r="AO15" i="151"/>
  <c r="AL15" i="151" s="1"/>
  <c r="V30" i="153"/>
  <c r="U30" i="153" s="1"/>
  <c r="V30" i="152"/>
  <c r="AN58" i="1"/>
  <c r="AN55" i="1" s="1"/>
  <c r="AB30" i="153"/>
  <c r="AA30" i="153" s="1"/>
  <c r="AB30" i="152"/>
  <c r="AR24" i="3"/>
  <c r="AR19" i="3" s="1"/>
  <c r="AR32" i="3"/>
  <c r="K20" i="4"/>
  <c r="Y31" i="4"/>
  <c r="AY39" i="5"/>
  <c r="AY17" i="5"/>
  <c r="AQ41" i="5"/>
  <c r="AR30" i="5"/>
  <c r="BE39" i="5"/>
  <c r="AH11" i="5"/>
  <c r="E9" i="8"/>
  <c r="C9" i="8" s="1"/>
  <c r="BO53" i="3"/>
  <c r="BP53" i="3" s="1"/>
  <c r="BT21" i="3"/>
  <c r="BJ24" i="3"/>
  <c r="BV45" i="41"/>
  <c r="Q75" i="6"/>
  <c r="N75" i="6"/>
  <c r="M84" i="6"/>
  <c r="L84" i="6" s="1"/>
  <c r="L18" i="9"/>
  <c r="K15" i="9"/>
  <c r="V40" i="9"/>
  <c r="C54" i="13"/>
  <c r="D12" i="14"/>
  <c r="V33" i="43"/>
  <c r="V33" i="150" s="1"/>
  <c r="I5" i="11"/>
  <c r="I13" i="11" s="1"/>
  <c r="K12" i="11"/>
  <c r="K11" i="11"/>
  <c r="D13" i="20"/>
  <c r="J33" i="20"/>
  <c r="J30" i="20"/>
  <c r="J31" i="20"/>
  <c r="J32" i="20"/>
  <c r="P18" i="26"/>
  <c r="Q16" i="26"/>
  <c r="R16" i="26" s="1"/>
  <c r="R14" i="26" s="1"/>
  <c r="AD15" i="28"/>
  <c r="R15" i="28"/>
  <c r="AB19" i="28"/>
  <c r="AF19" i="28" s="1"/>
  <c r="U29" i="4"/>
  <c r="P29" i="37"/>
  <c r="M29" i="37" s="1"/>
  <c r="K43" i="38"/>
  <c r="Q20" i="33"/>
  <c r="K43" i="39"/>
  <c r="I43" i="39" s="1"/>
  <c r="K43" i="35"/>
  <c r="I43" i="35" s="1"/>
  <c r="K43" i="34"/>
  <c r="I43" i="34" s="1"/>
  <c r="K43" i="7"/>
  <c r="I43" i="7" s="1"/>
  <c r="BN14" i="36"/>
  <c r="T31" i="36"/>
  <c r="U30" i="36"/>
  <c r="T61" i="36"/>
  <c r="T59" i="36" s="1"/>
  <c r="W61" i="36"/>
  <c r="K81" i="6"/>
  <c r="I81" i="6" s="1"/>
  <c r="F11" i="1"/>
  <c r="AQ56" i="3"/>
  <c r="C17" i="16" s="1"/>
  <c r="BQ30" i="43"/>
  <c r="BR30" i="43" s="1"/>
  <c r="BU30" i="150"/>
  <c r="BV30" i="150" s="1"/>
  <c r="P41" i="1"/>
  <c r="O41" i="1" s="1"/>
  <c r="N41" i="1" s="1"/>
  <c r="BH41" i="1" s="1"/>
  <c r="H32" i="45"/>
  <c r="H32" i="152"/>
  <c r="T27" i="1"/>
  <c r="T25" i="1" s="1"/>
  <c r="AF13" i="1"/>
  <c r="AV25" i="1"/>
  <c r="AP65" i="3"/>
  <c r="AN51" i="3"/>
  <c r="AT51" i="3" s="1"/>
  <c r="AR54" i="3"/>
  <c r="AR51" i="3" s="1"/>
  <c r="D10" i="16" s="1"/>
  <c r="AQ25" i="3"/>
  <c r="BF13" i="3"/>
  <c r="AV35" i="5"/>
  <c r="H10" i="8"/>
  <c r="P10" i="8"/>
  <c r="C27" i="8"/>
  <c r="I84" i="6"/>
  <c r="BD25" i="3"/>
  <c r="F49" i="6"/>
  <c r="H54" i="34"/>
  <c r="BS41" i="3"/>
  <c r="BT45" i="3"/>
  <c r="BT41" i="41"/>
  <c r="AC14" i="38"/>
  <c r="AC14" i="153"/>
  <c r="AC14" i="152"/>
  <c r="AP13" i="151"/>
  <c r="M39" i="7"/>
  <c r="L39" i="7" s="1"/>
  <c r="M39" i="6"/>
  <c r="N79" i="6"/>
  <c r="K37" i="9"/>
  <c r="K35" i="9" s="1"/>
  <c r="K25" i="9"/>
  <c r="K24" i="9" s="1"/>
  <c r="X48" i="9"/>
  <c r="X44" i="9" s="1"/>
  <c r="X40" i="9" s="1"/>
  <c r="J44" i="9"/>
  <c r="J40" i="9" s="1"/>
  <c r="E64" i="9"/>
  <c r="BB37" i="150"/>
  <c r="BC37" i="150"/>
  <c r="BC32" i="41"/>
  <c r="BD32" i="41" s="1"/>
  <c r="BF32" i="41" s="1"/>
  <c r="Q32" i="150"/>
  <c r="AI21" i="14"/>
  <c r="AJ37" i="62"/>
  <c r="AL37" i="62" s="1"/>
  <c r="AL37" i="14"/>
  <c r="I20" i="17" s="1"/>
  <c r="E15" i="16"/>
  <c r="AU75" i="3"/>
  <c r="E14" i="16" s="1"/>
  <c r="F12" i="11"/>
  <c r="F14" i="11"/>
  <c r="F13" i="11"/>
  <c r="F17" i="11"/>
  <c r="J10" i="11"/>
  <c r="J11" i="11"/>
  <c r="F14" i="20"/>
  <c r="AD13" i="28"/>
  <c r="R13" i="28"/>
  <c r="AB14" i="28"/>
  <c r="AF14" i="28" s="1"/>
  <c r="BD31" i="36"/>
  <c r="BD30" i="36" s="1"/>
  <c r="BE30" i="36"/>
  <c r="F9" i="63"/>
  <c r="O12" i="17"/>
  <c r="S40" i="23"/>
  <c r="P40" i="23"/>
  <c r="G29" i="38"/>
  <c r="G29" i="7"/>
  <c r="G29" i="35"/>
  <c r="F29" i="35" s="1"/>
  <c r="K49" i="44"/>
  <c r="K44" i="37"/>
  <c r="BT14" i="41"/>
  <c r="BL13" i="41"/>
  <c r="AK11" i="3"/>
  <c r="AK10" i="3" s="1"/>
  <c r="BQ13" i="43"/>
  <c r="BR13" i="43" s="1"/>
  <c r="BU13" i="150"/>
  <c r="BV13" i="150" s="1"/>
  <c r="AX11" i="3"/>
  <c r="G41" i="46"/>
  <c r="K17" i="151"/>
  <c r="G41" i="153"/>
  <c r="G41" i="152"/>
  <c r="P22" i="31"/>
  <c r="O19" i="1"/>
  <c r="L25" i="1"/>
  <c r="N25" i="1"/>
  <c r="V37" i="153"/>
  <c r="V37" i="152"/>
  <c r="V39" i="153"/>
  <c r="V39" i="152"/>
  <c r="U39" i="152" s="1"/>
  <c r="R25" i="1"/>
  <c r="AC11" i="1"/>
  <c r="Y16" i="153"/>
  <c r="X16" i="153" s="1"/>
  <c r="Y16" i="152"/>
  <c r="Y15" i="153"/>
  <c r="X15" i="153" s="1"/>
  <c r="Y15" i="152"/>
  <c r="AJ15" i="151"/>
  <c r="AG15" i="151" s="1"/>
  <c r="AI15" i="151" s="1"/>
  <c r="Y30" i="153"/>
  <c r="Y30" i="152"/>
  <c r="AO11" i="3"/>
  <c r="AN11" i="3"/>
  <c r="AN12" i="3" s="1"/>
  <c r="BY39" i="3"/>
  <c r="BZ39" i="3" s="1"/>
  <c r="BE36" i="5"/>
  <c r="AM36" i="5"/>
  <c r="AT37" i="5"/>
  <c r="AQ20" i="5"/>
  <c r="AO39" i="5"/>
  <c r="AT16" i="5"/>
  <c r="E47" i="8"/>
  <c r="D32" i="8"/>
  <c r="BV45" i="3"/>
  <c r="H20" i="6"/>
  <c r="H18" i="6" s="1"/>
  <c r="G62" i="6" s="1"/>
  <c r="F62" i="6" s="1"/>
  <c r="H52" i="38"/>
  <c r="F39" i="38"/>
  <c r="F38" i="38"/>
  <c r="F49" i="7"/>
  <c r="AC36" i="39"/>
  <c r="AC37" i="153"/>
  <c r="AC37" i="152"/>
  <c r="BT29" i="3"/>
  <c r="BL19" i="3"/>
  <c r="BK30" i="3"/>
  <c r="H28" i="7"/>
  <c r="K28" i="7"/>
  <c r="X42" i="45"/>
  <c r="AB42" i="153"/>
  <c r="AB42" i="152"/>
  <c r="Y39" i="7"/>
  <c r="X39" i="7" s="1"/>
  <c r="Z39" i="153"/>
  <c r="Z39" i="152"/>
  <c r="X49" i="43"/>
  <c r="Q49" i="150"/>
  <c r="R49" i="43"/>
  <c r="Q31" i="150"/>
  <c r="P37" i="44"/>
  <c r="P198" i="13"/>
  <c r="E7" i="11"/>
  <c r="G5" i="11"/>
  <c r="L49" i="22"/>
  <c r="C12" i="27"/>
  <c r="C11" i="27" s="1"/>
  <c r="H21" i="27"/>
  <c r="N62" i="22"/>
  <c r="N28" i="27"/>
  <c r="Y58" i="22"/>
  <c r="AD58" i="22" s="1"/>
  <c r="G54" i="27"/>
  <c r="H54" i="27" s="1"/>
  <c r="K19" i="33"/>
  <c r="G42" i="34"/>
  <c r="G42" i="39"/>
  <c r="F42" i="39" s="1"/>
  <c r="G42" i="35"/>
  <c r="F42" i="35" s="1"/>
  <c r="Q14" i="38"/>
  <c r="Q14" i="39"/>
  <c r="O14" i="39" s="1"/>
  <c r="AA13" i="37"/>
  <c r="AA13" i="4"/>
  <c r="Q14" i="7"/>
  <c r="Q72" i="7" s="1"/>
  <c r="R25" i="4"/>
  <c r="T25" i="4" s="1"/>
  <c r="V30" i="39"/>
  <c r="V31" i="153"/>
  <c r="V31" i="152"/>
  <c r="W31" i="153"/>
  <c r="W31" i="152"/>
  <c r="L22" i="33"/>
  <c r="AI11" i="3"/>
  <c r="BY13" i="3"/>
  <c r="BZ13" i="3" s="1"/>
  <c r="AC64" i="1"/>
  <c r="BB15" i="5"/>
  <c r="BH15" i="5" s="1"/>
  <c r="D39" i="154"/>
  <c r="M39" i="154" s="1"/>
  <c r="D16" i="34"/>
  <c r="C16" i="34" s="1"/>
  <c r="D16" i="153"/>
  <c r="C16" i="153" s="1"/>
  <c r="D16" i="44"/>
  <c r="F17" i="151"/>
  <c r="D41" i="153"/>
  <c r="D41" i="152"/>
  <c r="C41" i="152" s="1"/>
  <c r="O72" i="7"/>
  <c r="Y39" i="153"/>
  <c r="Y39" i="152"/>
  <c r="M54" i="1"/>
  <c r="U30" i="1"/>
  <c r="U14" i="31" s="1"/>
  <c r="Z19" i="1"/>
  <c r="V16" i="153"/>
  <c r="U16" i="153" s="1"/>
  <c r="V16" i="152"/>
  <c r="Y14" i="153"/>
  <c r="Y14" i="152"/>
  <c r="AJ13" i="151"/>
  <c r="AG13" i="151" s="1"/>
  <c r="AX30" i="1"/>
  <c r="AB16" i="153"/>
  <c r="AA16" i="153" s="1"/>
  <c r="AB16" i="152"/>
  <c r="AT58" i="1"/>
  <c r="AT55" i="1" s="1"/>
  <c r="BY46" i="3"/>
  <c r="BZ46" i="3" s="1"/>
  <c r="D20" i="4"/>
  <c r="D17" i="4" s="1"/>
  <c r="D17" i="33" s="1"/>
  <c r="E25" i="16"/>
  <c r="E24" i="16" s="1"/>
  <c r="E23" i="16" s="1"/>
  <c r="V35" i="4"/>
  <c r="AY36" i="5"/>
  <c r="AR42" i="5"/>
  <c r="F25" i="8"/>
  <c r="N25" i="8"/>
  <c r="C34" i="8"/>
  <c r="C42" i="6"/>
  <c r="H55" i="38"/>
  <c r="F35" i="34"/>
  <c r="Z37" i="153"/>
  <c r="Z37" i="152"/>
  <c r="BS47" i="41"/>
  <c r="BI19" i="3"/>
  <c r="BJ34" i="3"/>
  <c r="BS40" i="3"/>
  <c r="Z14" i="153"/>
  <c r="Z14" i="152"/>
  <c r="AK13" i="151"/>
  <c r="P39" i="39"/>
  <c r="G27" i="19"/>
  <c r="O38" i="6"/>
  <c r="S75" i="6"/>
  <c r="R75" i="6" s="1"/>
  <c r="T82" i="6"/>
  <c r="Q82" i="6"/>
  <c r="U42" i="46"/>
  <c r="Y42" i="153"/>
  <c r="Y42" i="152"/>
  <c r="X42" i="152" s="1"/>
  <c r="AC17" i="11"/>
  <c r="AC12" i="11"/>
  <c r="AC14" i="11"/>
  <c r="AC13" i="11"/>
  <c r="AC19" i="11"/>
  <c r="AG11" i="11"/>
  <c r="W25" i="9"/>
  <c r="W24" i="9" s="1"/>
  <c r="AF193" i="13"/>
  <c r="P199" i="13"/>
  <c r="D10" i="14"/>
  <c r="AM7" i="14"/>
  <c r="AM8" i="14" s="1"/>
  <c r="H17" i="11"/>
  <c r="H11" i="11"/>
  <c r="H12" i="11"/>
  <c r="D17" i="20"/>
  <c r="D12" i="20"/>
  <c r="D11" i="20"/>
  <c r="D14" i="20"/>
  <c r="H11" i="20"/>
  <c r="H12" i="20"/>
  <c r="Z5" i="20"/>
  <c r="F10" i="20" s="1"/>
  <c r="Z13" i="20"/>
  <c r="P130" i="43"/>
  <c r="P130" i="150"/>
  <c r="P98" i="36"/>
  <c r="M72" i="4"/>
  <c r="P69" i="4"/>
  <c r="P59" i="4"/>
  <c r="P16" i="4" s="1"/>
  <c r="M61" i="4"/>
  <c r="F48" i="22"/>
  <c r="O88" i="22"/>
  <c r="O48" i="22"/>
  <c r="O90" i="22" s="1"/>
  <c r="AA88" i="22"/>
  <c r="AA48" i="22"/>
  <c r="AA90" i="22" s="1"/>
  <c r="R20" i="28"/>
  <c r="AD20" i="28"/>
  <c r="Q24" i="31"/>
  <c r="BC62" i="41"/>
  <c r="O39" i="36"/>
  <c r="N39" i="36" s="1"/>
  <c r="BN39" i="36" s="1"/>
  <c r="V39" i="36"/>
  <c r="U39" i="36" s="1"/>
  <c r="T39" i="36" s="1"/>
  <c r="N25" i="36"/>
  <c r="BN28" i="36"/>
  <c r="J61" i="36"/>
  <c r="O61" i="36" s="1"/>
  <c r="N61" i="36" s="1"/>
  <c r="G61" i="36"/>
  <c r="BT34" i="41"/>
  <c r="BP25" i="3"/>
  <c r="BS37" i="3"/>
  <c r="C31" i="7"/>
  <c r="C30" i="7"/>
  <c r="T74" i="7"/>
  <c r="K74" i="7"/>
  <c r="Q73" i="7"/>
  <c r="V48" i="39"/>
  <c r="Q74" i="6"/>
  <c r="P50" i="6"/>
  <c r="Z43" i="4"/>
  <c r="K39" i="34"/>
  <c r="AE31" i="4"/>
  <c r="I38" i="6"/>
  <c r="L48" i="7"/>
  <c r="AC10" i="5"/>
  <c r="AC9" i="5" s="1"/>
  <c r="AP53" i="5"/>
  <c r="T23" i="10"/>
  <c r="AD13" i="11"/>
  <c r="AD11" i="11" s="1"/>
  <c r="AA5" i="11"/>
  <c r="AA19" i="11" s="1"/>
  <c r="AD24" i="11"/>
  <c r="D52" i="9"/>
  <c r="D50" i="9" s="1"/>
  <c r="AB40" i="9"/>
  <c r="BB33" i="150"/>
  <c r="BC33" i="150"/>
  <c r="C71" i="13"/>
  <c r="C50" i="13"/>
  <c r="D11" i="19"/>
  <c r="J13" i="11"/>
  <c r="J17" i="20"/>
  <c r="K32" i="20"/>
  <c r="AG13" i="20"/>
  <c r="I33" i="20"/>
  <c r="AB19" i="20"/>
  <c r="AG12" i="20"/>
  <c r="K31" i="20"/>
  <c r="G16" i="21"/>
  <c r="K27" i="26"/>
  <c r="K54" i="26"/>
  <c r="K22" i="26"/>
  <c r="AC12" i="22"/>
  <c r="H54" i="22"/>
  <c r="V64" i="22"/>
  <c r="G11" i="25"/>
  <c r="F14" i="25"/>
  <c r="F11" i="25" s="1"/>
  <c r="N25" i="22" s="1"/>
  <c r="S25" i="22" s="1"/>
  <c r="H25" i="25"/>
  <c r="H26" i="25"/>
  <c r="K26" i="25" s="1"/>
  <c r="M26" i="25" s="1"/>
  <c r="K36" i="26"/>
  <c r="J42" i="26"/>
  <c r="K61" i="26"/>
  <c r="F57" i="27"/>
  <c r="F59" i="27" s="1"/>
  <c r="E59" i="27" s="1"/>
  <c r="I11" i="29"/>
  <c r="N72" i="22"/>
  <c r="S72" i="22" s="1"/>
  <c r="V13" i="37"/>
  <c r="AB25" i="30"/>
  <c r="AC25" i="30" s="1"/>
  <c r="J28" i="38"/>
  <c r="J27" i="38" s="1"/>
  <c r="AA29" i="4"/>
  <c r="AA29" i="37" s="1"/>
  <c r="AU29" i="37" s="1"/>
  <c r="V33" i="37"/>
  <c r="AU24" i="37"/>
  <c r="Z64" i="36"/>
  <c r="BD13" i="36"/>
  <c r="BN22" i="36"/>
  <c r="AV25" i="36"/>
  <c r="Z30" i="36"/>
  <c r="AN42" i="36"/>
  <c r="BE42" i="36"/>
  <c r="BD42" i="36" s="1"/>
  <c r="AN49" i="36"/>
  <c r="AL49" i="36" s="1"/>
  <c r="AI13" i="36"/>
  <c r="AN13" i="36"/>
  <c r="AN65" i="36"/>
  <c r="AN58" i="36" s="1"/>
  <c r="O12" i="37"/>
  <c r="AQ34" i="37"/>
  <c r="N84" i="39"/>
  <c r="E51" i="39"/>
  <c r="G16" i="23"/>
  <c r="C23" i="23"/>
  <c r="I23" i="23" s="1"/>
  <c r="J25" i="23"/>
  <c r="P25" i="23" s="1"/>
  <c r="J28" i="23"/>
  <c r="P28" i="23" s="1"/>
  <c r="J39" i="23"/>
  <c r="P39" i="23" s="1"/>
  <c r="N36" i="23"/>
  <c r="C54" i="23"/>
  <c r="I54" i="23" s="1"/>
  <c r="R54" i="23" s="1"/>
  <c r="J61" i="23"/>
  <c r="J63" i="23"/>
  <c r="P63" i="23" s="1"/>
  <c r="J64" i="23"/>
  <c r="J68" i="23"/>
  <c r="AA25" i="40"/>
  <c r="AA24" i="40" s="1"/>
  <c r="AA23" i="40" s="1"/>
  <c r="Q39" i="40"/>
  <c r="AA51" i="40"/>
  <c r="L39" i="40"/>
  <c r="AA11" i="41"/>
  <c r="BL21" i="41"/>
  <c r="BT27" i="41"/>
  <c r="AN11" i="41"/>
  <c r="AT40" i="41"/>
  <c r="AJ64" i="41"/>
  <c r="AR68" i="41"/>
  <c r="AN67" i="41"/>
  <c r="N40" i="43"/>
  <c r="O40" i="150"/>
  <c r="N37" i="150"/>
  <c r="E27" i="47"/>
  <c r="C11" i="53"/>
  <c r="C7" i="53" s="1"/>
  <c r="N34" i="47"/>
  <c r="BI33" i="47"/>
  <c r="DB11" i="47"/>
  <c r="Q9" i="47"/>
  <c r="Q10" i="47" s="1"/>
  <c r="CS23" i="47"/>
  <c r="J27" i="44"/>
  <c r="D58" i="43"/>
  <c r="D59" i="150"/>
  <c r="AH12" i="51"/>
  <c r="AM15" i="51"/>
  <c r="AM12" i="51" s="1"/>
  <c r="C18" i="80"/>
  <c r="C16" i="80" s="1"/>
  <c r="AC17" i="62"/>
  <c r="AC15" i="62" s="1"/>
  <c r="AA15" i="62"/>
  <c r="C25" i="74"/>
  <c r="C22" i="74" s="1"/>
  <c r="K24" i="62"/>
  <c r="K21" i="62" s="1"/>
  <c r="I21" i="62"/>
  <c r="C12" i="62"/>
  <c r="C25" i="79"/>
  <c r="C22" i="79" s="1"/>
  <c r="Z24" i="62"/>
  <c r="X21" i="62"/>
  <c r="O50" i="7"/>
  <c r="V55" i="153"/>
  <c r="V55" i="152"/>
  <c r="U55" i="152" s="1"/>
  <c r="W59" i="4"/>
  <c r="V42" i="153"/>
  <c r="V42" i="152"/>
  <c r="U42" i="152" s="1"/>
  <c r="T51" i="6"/>
  <c r="AC42" i="153"/>
  <c r="AC85" i="153" s="1"/>
  <c r="AC42" i="152"/>
  <c r="AD10" i="5"/>
  <c r="J8" i="10"/>
  <c r="T40" i="9"/>
  <c r="J25" i="9"/>
  <c r="J24" i="9" s="1"/>
  <c r="BC38" i="41"/>
  <c r="BD38" i="41" s="1"/>
  <c r="Q38" i="150"/>
  <c r="BC35" i="41"/>
  <c r="BD35" i="41" s="1"/>
  <c r="BF35" i="41" s="1"/>
  <c r="Q35" i="150"/>
  <c r="BC36" i="150"/>
  <c r="BB36" i="150"/>
  <c r="E14" i="14"/>
  <c r="V35" i="43" s="1"/>
  <c r="V35" i="150" s="1"/>
  <c r="E18" i="14"/>
  <c r="E19" i="14"/>
  <c r="E20" i="14"/>
  <c r="Z21" i="14"/>
  <c r="K83" i="4"/>
  <c r="O130" i="150" s="1"/>
  <c r="G14" i="26"/>
  <c r="K44" i="26"/>
  <c r="K40" i="26"/>
  <c r="M12" i="28"/>
  <c r="J23" i="27"/>
  <c r="H24" i="27"/>
  <c r="Z11" i="22"/>
  <c r="Z10" i="22" s="1"/>
  <c r="P12" i="22"/>
  <c r="AF11" i="22"/>
  <c r="AF10" i="22" s="1"/>
  <c r="Q14" i="22"/>
  <c r="S74" i="22"/>
  <c r="J13" i="24"/>
  <c r="J10" i="24" s="1"/>
  <c r="AB15" i="24"/>
  <c r="AD15" i="24" s="1"/>
  <c r="AB16" i="24"/>
  <c r="AD16" i="24" s="1"/>
  <c r="AB17" i="24"/>
  <c r="AD17" i="24" s="1"/>
  <c r="AB19" i="24"/>
  <c r="AD19" i="24" s="1"/>
  <c r="N21" i="24"/>
  <c r="P21" i="24" s="1"/>
  <c r="AB23" i="24"/>
  <c r="AD23" i="24" s="1"/>
  <c r="N25" i="24"/>
  <c r="P25" i="24" s="1"/>
  <c r="U11" i="25"/>
  <c r="M16" i="28"/>
  <c r="AB16" i="28"/>
  <c r="AF16" i="28" s="1"/>
  <c r="K14" i="30"/>
  <c r="AA33" i="4"/>
  <c r="M25" i="37"/>
  <c r="O25" i="37" s="1"/>
  <c r="U71" i="43"/>
  <c r="C16" i="161" s="1"/>
  <c r="I12" i="36"/>
  <c r="P90" i="36" s="1"/>
  <c r="AN16" i="37"/>
  <c r="I43" i="38"/>
  <c r="M27" i="37"/>
  <c r="O27" i="37" s="1"/>
  <c r="AP13" i="36"/>
  <c r="AR19" i="36"/>
  <c r="AX30" i="36"/>
  <c r="BN35" i="36"/>
  <c r="AV40" i="36"/>
  <c r="K51" i="36"/>
  <c r="C59" i="36"/>
  <c r="H59" i="36" s="1"/>
  <c r="G59" i="36" s="1"/>
  <c r="AA12" i="37"/>
  <c r="H69" i="37"/>
  <c r="H83" i="37" s="1"/>
  <c r="Q83" i="37"/>
  <c r="D13" i="23"/>
  <c r="L18" i="22" s="1"/>
  <c r="N59" i="23"/>
  <c r="F58" i="23"/>
  <c r="K59" i="23"/>
  <c r="D73" i="23"/>
  <c r="L17" i="22" s="1"/>
  <c r="J89" i="23"/>
  <c r="P89" i="23" s="1"/>
  <c r="J90" i="23"/>
  <c r="E13" i="40"/>
  <c r="AA14" i="40"/>
  <c r="Y58" i="40"/>
  <c r="E39" i="40"/>
  <c r="H39" i="40"/>
  <c r="D51" i="40"/>
  <c r="D49" i="40" s="1"/>
  <c r="M36" i="40"/>
  <c r="M34" i="40" s="1"/>
  <c r="BR13" i="41"/>
  <c r="AL11" i="41"/>
  <c r="BS49" i="41"/>
  <c r="AJ60" i="41"/>
  <c r="AJ57" i="41" s="1"/>
  <c r="AX60" i="41"/>
  <c r="AX57" i="41" s="1"/>
  <c r="AY61" i="41"/>
  <c r="AQ66" i="41"/>
  <c r="AQ64" i="41" s="1"/>
  <c r="C6" i="42"/>
  <c r="N43" i="43"/>
  <c r="O43" i="150"/>
  <c r="ES9" i="47"/>
  <c r="ES10" i="47" s="1"/>
  <c r="AJ27" i="47"/>
  <c r="J19" i="47"/>
  <c r="DO23" i="47"/>
  <c r="U47" i="150"/>
  <c r="T47" i="150" s="1"/>
  <c r="J16" i="153"/>
  <c r="I16" i="153" s="1"/>
  <c r="J16" i="152"/>
  <c r="C11" i="51"/>
  <c r="C10" i="51" s="1"/>
  <c r="I26" i="53"/>
  <c r="C28" i="84"/>
  <c r="C26" i="84" s="1"/>
  <c r="AM25" i="62"/>
  <c r="L21" i="62"/>
  <c r="C25" i="75"/>
  <c r="C22" i="75" s="1"/>
  <c r="N24" i="62"/>
  <c r="C35" i="76"/>
  <c r="C32" i="76" s="1"/>
  <c r="Q34" i="62"/>
  <c r="Q31" i="62" s="1"/>
  <c r="O31" i="62"/>
  <c r="V99" i="88"/>
  <c r="V95" i="88"/>
  <c r="BN30" i="3"/>
  <c r="W14" i="153"/>
  <c r="AF13" i="151"/>
  <c r="W14" i="152"/>
  <c r="C49" i="7"/>
  <c r="C39" i="7"/>
  <c r="Q74" i="7"/>
  <c r="M59" i="6"/>
  <c r="L59" i="6" s="1"/>
  <c r="M28" i="19"/>
  <c r="O28" i="19" s="1"/>
  <c r="AC39" i="39"/>
  <c r="AC76" i="39" s="1"/>
  <c r="Q16" i="33"/>
  <c r="P50" i="39"/>
  <c r="M59" i="4"/>
  <c r="I38" i="7"/>
  <c r="N51" i="6"/>
  <c r="AB59" i="4"/>
  <c r="V75" i="6"/>
  <c r="U75" i="6" s="1"/>
  <c r="Y68" i="152"/>
  <c r="X68" i="152" s="1"/>
  <c r="Y68" i="153"/>
  <c r="X68" i="153" s="1"/>
  <c r="W51" i="6"/>
  <c r="X38" i="7"/>
  <c r="M23" i="10"/>
  <c r="AD17" i="11"/>
  <c r="AF10" i="11"/>
  <c r="J13" i="9"/>
  <c r="L50" i="9"/>
  <c r="U40" i="9"/>
  <c r="AF9" i="14"/>
  <c r="H28" i="14"/>
  <c r="AF21" i="14"/>
  <c r="C14" i="13"/>
  <c r="C61" i="13"/>
  <c r="N31" i="14"/>
  <c r="AF31" i="14"/>
  <c r="E35" i="14"/>
  <c r="C11" i="19"/>
  <c r="H69" i="4"/>
  <c r="K66" i="26"/>
  <c r="J12" i="22"/>
  <c r="AB19" i="22"/>
  <c r="AB12" i="22" s="1"/>
  <c r="C64" i="22"/>
  <c r="C11" i="22" s="1"/>
  <c r="C10" i="22" s="1"/>
  <c r="D64" i="22"/>
  <c r="D11" i="22" s="1"/>
  <c r="D10" i="22" s="1"/>
  <c r="P64" i="22"/>
  <c r="N24" i="24"/>
  <c r="P24" i="24" s="1"/>
  <c r="O25" i="25"/>
  <c r="V25" i="25" s="1"/>
  <c r="J14" i="26"/>
  <c r="N13" i="26"/>
  <c r="I29" i="26"/>
  <c r="J29" i="26" s="1"/>
  <c r="J23" i="26" s="1"/>
  <c r="C37" i="26"/>
  <c r="C13" i="26" s="1"/>
  <c r="C12" i="26" s="1"/>
  <c r="K49" i="26"/>
  <c r="J72" i="26"/>
  <c r="G56" i="27"/>
  <c r="L72" i="22"/>
  <c r="AD75" i="22"/>
  <c r="N14" i="38"/>
  <c r="L14" i="38" s="1"/>
  <c r="I49" i="38"/>
  <c r="Z54" i="36"/>
  <c r="AK13" i="36"/>
  <c r="M59" i="37"/>
  <c r="N51" i="39"/>
  <c r="T51" i="39" s="1"/>
  <c r="J33" i="23"/>
  <c r="C35" i="23"/>
  <c r="I35" i="23" s="1"/>
  <c r="J45" i="23"/>
  <c r="C51" i="23"/>
  <c r="I51" i="23" s="1"/>
  <c r="R51" i="23" s="1"/>
  <c r="C70" i="23"/>
  <c r="I70" i="23" s="1"/>
  <c r="C76" i="23"/>
  <c r="I76" i="23" s="1"/>
  <c r="I74" i="23" s="1"/>
  <c r="H73" i="23"/>
  <c r="H58" i="23" s="1"/>
  <c r="C79" i="23"/>
  <c r="J85" i="23"/>
  <c r="C13" i="40"/>
  <c r="Y49" i="40"/>
  <c r="AJ12" i="41"/>
  <c r="AQ13" i="41"/>
  <c r="AD11" i="41"/>
  <c r="AT42" i="41"/>
  <c r="AN61" i="41"/>
  <c r="AN60" i="41" s="1"/>
  <c r="AB60" i="41"/>
  <c r="AB57" i="41" s="1"/>
  <c r="AB79" i="41" s="1"/>
  <c r="AB74" i="41" s="1"/>
  <c r="AB86" i="41" s="1"/>
  <c r="AL64" i="41"/>
  <c r="T46" i="43"/>
  <c r="U46" i="150"/>
  <c r="T46" i="150" s="1"/>
  <c r="N38" i="43"/>
  <c r="O38" i="150"/>
  <c r="L39" i="43"/>
  <c r="D39" i="150"/>
  <c r="BM39" i="150" s="1"/>
  <c r="F12" i="150"/>
  <c r="F10" i="150"/>
  <c r="F73" i="150" s="1"/>
  <c r="H53" i="43"/>
  <c r="F53" i="150"/>
  <c r="C50" i="154"/>
  <c r="D40" i="151"/>
  <c r="CK9" i="47"/>
  <c r="CK10" i="47" s="1"/>
  <c r="CL9" i="47"/>
  <c r="CL10" i="47" s="1"/>
  <c r="E19" i="45"/>
  <c r="BS33" i="47"/>
  <c r="G45" i="43"/>
  <c r="Y16" i="45"/>
  <c r="X16" i="45" s="1"/>
  <c r="Y16" i="46"/>
  <c r="X16" i="46" s="1"/>
  <c r="BJ23" i="47"/>
  <c r="J33" i="44"/>
  <c r="H47" i="153"/>
  <c r="H47" i="152"/>
  <c r="I5" i="55"/>
  <c r="EY11" i="51"/>
  <c r="EY10" i="51" s="1"/>
  <c r="Z21" i="62"/>
  <c r="C14" i="83"/>
  <c r="AJ9" i="62"/>
  <c r="AL13" i="62"/>
  <c r="C18" i="82"/>
  <c r="C16" i="82" s="1"/>
  <c r="AI17" i="62"/>
  <c r="AI15" i="62" s="1"/>
  <c r="AG15" i="62"/>
  <c r="C31" i="80"/>
  <c r="C29" i="80" s="1"/>
  <c r="AA28" i="62"/>
  <c r="C31" i="79"/>
  <c r="C29" i="79" s="1"/>
  <c r="X28" i="62"/>
  <c r="G46" i="39"/>
  <c r="M33" i="37"/>
  <c r="AI67" i="36"/>
  <c r="U46" i="36"/>
  <c r="T46" i="36" s="1"/>
  <c r="Q50" i="153"/>
  <c r="Q50" i="152"/>
  <c r="AD13" i="36"/>
  <c r="Z21" i="36"/>
  <c r="Z19" i="36" s="1"/>
  <c r="AD25" i="36"/>
  <c r="BN34" i="36"/>
  <c r="AH58" i="36"/>
  <c r="AH55" i="36" s="1"/>
  <c r="AN55" i="36" s="1"/>
  <c r="T30" i="38"/>
  <c r="O46" i="38"/>
  <c r="T52" i="38"/>
  <c r="T58" i="38"/>
  <c r="T15" i="39"/>
  <c r="T16" i="39"/>
  <c r="T21" i="39"/>
  <c r="G59" i="23"/>
  <c r="K13" i="23"/>
  <c r="N16" i="23"/>
  <c r="N13" i="23" s="1"/>
  <c r="C38" i="23"/>
  <c r="I38" i="23" s="1"/>
  <c r="R38" i="23" s="1"/>
  <c r="J38" i="23"/>
  <c r="C40" i="23"/>
  <c r="I40" i="23" s="1"/>
  <c r="R40" i="23" s="1"/>
  <c r="C41" i="23"/>
  <c r="I41" i="23" s="1"/>
  <c r="R41" i="23" s="1"/>
  <c r="K73" i="23"/>
  <c r="W17" i="22" s="1"/>
  <c r="J80" i="23"/>
  <c r="P80" i="23" s="1"/>
  <c r="J81" i="23"/>
  <c r="C88" i="23"/>
  <c r="I88" i="23" s="1"/>
  <c r="R46" i="23" s="1"/>
  <c r="Y24" i="40"/>
  <c r="Y23" i="40" s="1"/>
  <c r="G39" i="40"/>
  <c r="C51" i="40"/>
  <c r="AK11" i="41"/>
  <c r="AQ25" i="41"/>
  <c r="BS33" i="41"/>
  <c r="AX11" i="41"/>
  <c r="BS50" i="41"/>
  <c r="AR53" i="41"/>
  <c r="AD60" i="41"/>
  <c r="AD57" i="41" s="1"/>
  <c r="AY77" i="41"/>
  <c r="R32" i="37"/>
  <c r="Y32" i="37" s="1"/>
  <c r="P42" i="44"/>
  <c r="Q63" i="150"/>
  <c r="E21" i="154"/>
  <c r="G46" i="43"/>
  <c r="H46" i="150"/>
  <c r="G46" i="150" s="1"/>
  <c r="BS30" i="47"/>
  <c r="DJ9" i="47"/>
  <c r="DJ10" i="47" s="1"/>
  <c r="Q19" i="152"/>
  <c r="T19" i="152" s="1"/>
  <c r="W19" i="152"/>
  <c r="Z19" i="152" s="1"/>
  <c r="AC19" i="152" s="1"/>
  <c r="N48" i="150"/>
  <c r="BJ46" i="43"/>
  <c r="M46" i="150"/>
  <c r="BN46" i="150" s="1"/>
  <c r="U84" i="46"/>
  <c r="V57" i="45"/>
  <c r="V57" i="46"/>
  <c r="E47" i="153"/>
  <c r="E47" i="152"/>
  <c r="E51" i="152" s="1"/>
  <c r="C25" i="81"/>
  <c r="C22" i="81" s="1"/>
  <c r="AF24" i="62"/>
  <c r="AD21" i="62"/>
  <c r="C13" i="77"/>
  <c r="T12" i="62"/>
  <c r="L40" i="151"/>
  <c r="H53" i="153"/>
  <c r="H53" i="152"/>
  <c r="H52" i="43"/>
  <c r="F52" i="150"/>
  <c r="AM46" i="150"/>
  <c r="AL46" i="150" s="1"/>
  <c r="AQ46" i="150"/>
  <c r="W14" i="44"/>
  <c r="Z15" i="151"/>
  <c r="P39" i="153"/>
  <c r="P39" i="152"/>
  <c r="G18" i="43"/>
  <c r="AA19" i="43"/>
  <c r="Z37" i="43"/>
  <c r="AA37" i="150"/>
  <c r="Z37" i="150" s="1"/>
  <c r="AA38" i="43"/>
  <c r="AB38" i="150"/>
  <c r="AG40" i="43"/>
  <c r="P42" i="43"/>
  <c r="I42" i="150"/>
  <c r="E14" i="152"/>
  <c r="AF44" i="43"/>
  <c r="AG44" i="150"/>
  <c r="AF44" i="150" s="1"/>
  <c r="BA46" i="41"/>
  <c r="BE46" i="41" s="1"/>
  <c r="D46" i="150"/>
  <c r="BM46" i="150" s="1"/>
  <c r="AA46" i="43"/>
  <c r="Y46" i="150"/>
  <c r="AG54" i="43"/>
  <c r="AE54" i="150"/>
  <c r="D66" i="43"/>
  <c r="C66" i="150"/>
  <c r="O70" i="43"/>
  <c r="O70" i="150" s="1"/>
  <c r="N70" i="150" s="1"/>
  <c r="J70" i="150"/>
  <c r="D28" i="154"/>
  <c r="D26" i="154" s="1"/>
  <c r="K37" i="151"/>
  <c r="G57" i="153"/>
  <c r="G57" i="152"/>
  <c r="S57" i="46"/>
  <c r="R57" i="46" s="1"/>
  <c r="S57" i="45"/>
  <c r="H55" i="45"/>
  <c r="F55" i="45" s="1"/>
  <c r="L38" i="151"/>
  <c r="H55" i="153"/>
  <c r="H55" i="152"/>
  <c r="C54" i="154"/>
  <c r="D39" i="151"/>
  <c r="G53" i="46"/>
  <c r="F53" i="46" s="1"/>
  <c r="K40" i="151"/>
  <c r="H40" i="151" s="1"/>
  <c r="J40" i="151" s="1"/>
  <c r="G53" i="153"/>
  <c r="G53" i="152"/>
  <c r="AB65" i="44"/>
  <c r="H98" i="44"/>
  <c r="H112" i="44" s="1"/>
  <c r="AU11" i="47"/>
  <c r="AZ11" i="47"/>
  <c r="BZ11" i="47"/>
  <c r="ET11" i="47"/>
  <c r="BH17" i="47"/>
  <c r="AI17" i="47"/>
  <c r="D19" i="47"/>
  <c r="EG9" i="47"/>
  <c r="EG10" i="47" s="1"/>
  <c r="AW33" i="47"/>
  <c r="BY13" i="48"/>
  <c r="AS26" i="48"/>
  <c r="D12" i="51"/>
  <c r="D11" i="51" s="1"/>
  <c r="D10" i="51" s="1"/>
  <c r="N12" i="51"/>
  <c r="N11" i="51" s="1"/>
  <c r="N10" i="51" s="1"/>
  <c r="D51" i="60"/>
  <c r="AC21" i="62"/>
  <c r="E29" i="62"/>
  <c r="E35" i="62"/>
  <c r="FC16" i="51"/>
  <c r="FC11" i="51" s="1"/>
  <c r="FC10" i="51" s="1"/>
  <c r="FQ16" i="51"/>
  <c r="C34" i="78"/>
  <c r="BD53" i="86"/>
  <c r="BG53" i="86" s="1"/>
  <c r="BH53" i="86" s="1"/>
  <c r="V93" i="88"/>
  <c r="AG93" i="88"/>
  <c r="V69" i="88"/>
  <c r="AB65" i="88"/>
  <c r="T11" i="89"/>
  <c r="T177" i="89" s="1"/>
  <c r="J109" i="89"/>
  <c r="O75" i="89"/>
  <c r="Q126" i="88"/>
  <c r="Q114" i="88"/>
  <c r="BH18" i="88"/>
  <c r="BH16" i="88"/>
  <c r="Z69" i="88"/>
  <c r="H131" i="88"/>
  <c r="BB86" i="88"/>
  <c r="AD12" i="86"/>
  <c r="AD11" i="86" s="1"/>
  <c r="AC11" i="86"/>
  <c r="F23" i="86"/>
  <c r="L30" i="86"/>
  <c r="K28" i="86"/>
  <c r="H36" i="45"/>
  <c r="F36" i="45" s="1"/>
  <c r="L12" i="151"/>
  <c r="H36" i="153"/>
  <c r="H36" i="152"/>
  <c r="P37" i="46"/>
  <c r="Z13" i="151"/>
  <c r="P37" i="153"/>
  <c r="P37" i="152"/>
  <c r="D21" i="43"/>
  <c r="C21" i="150"/>
  <c r="AA40" i="43"/>
  <c r="Y40" i="150"/>
  <c r="Z42" i="43"/>
  <c r="AA42" i="150"/>
  <c r="M14" i="153"/>
  <c r="M14" i="152"/>
  <c r="AM42" i="43"/>
  <c r="AF12" i="44"/>
  <c r="T14" i="45"/>
  <c r="T14" i="46"/>
  <c r="AP12" i="44"/>
  <c r="Z14" i="46"/>
  <c r="Z14" i="45"/>
  <c r="BL44" i="43"/>
  <c r="BK44" i="43" s="1"/>
  <c r="H44" i="150"/>
  <c r="AG47" i="150"/>
  <c r="AF47" i="150" s="1"/>
  <c r="P16" i="153"/>
  <c r="P16" i="152"/>
  <c r="AA49" i="43"/>
  <c r="AB49" i="150"/>
  <c r="J15" i="45"/>
  <c r="U50" i="150"/>
  <c r="T50" i="150" s="1"/>
  <c r="J15" i="153"/>
  <c r="I15" i="153" s="1"/>
  <c r="J15" i="152"/>
  <c r="AG50" i="150"/>
  <c r="AF50" i="150" s="1"/>
  <c r="P15" i="153"/>
  <c r="P15" i="152"/>
  <c r="AR50" i="43"/>
  <c r="AJ14" i="44"/>
  <c r="V15" i="46"/>
  <c r="U15" i="46" s="1"/>
  <c r="V15" i="45"/>
  <c r="AC51" i="150"/>
  <c r="G9" i="154"/>
  <c r="AG53" i="43"/>
  <c r="AE53" i="150"/>
  <c r="F24" i="151"/>
  <c r="F23" i="151" s="1"/>
  <c r="D49" i="153"/>
  <c r="C49" i="153" s="1"/>
  <c r="D49" i="152"/>
  <c r="C49" i="152" s="1"/>
  <c r="L37" i="151"/>
  <c r="H57" i="152"/>
  <c r="H57" i="153"/>
  <c r="AA37" i="151"/>
  <c r="Q57" i="153"/>
  <c r="Q57" i="152"/>
  <c r="T57" i="152" s="1"/>
  <c r="K39" i="151"/>
  <c r="G56" i="153"/>
  <c r="G56" i="152"/>
  <c r="DS9" i="47"/>
  <c r="DS10" i="47" s="1"/>
  <c r="H12" i="47"/>
  <c r="W17" i="47"/>
  <c r="DO17" i="47"/>
  <c r="BL9" i="47"/>
  <c r="EC27" i="47"/>
  <c r="CG30" i="47"/>
  <c r="E30" i="47"/>
  <c r="BA26" i="48"/>
  <c r="J5" i="55"/>
  <c r="T17" i="94"/>
  <c r="T8" i="94" s="1"/>
  <c r="T9" i="94" s="1"/>
  <c r="R10" i="48"/>
  <c r="BS16" i="51"/>
  <c r="BS11" i="51" s="1"/>
  <c r="BS10" i="51" s="1"/>
  <c r="C31" i="75"/>
  <c r="AA180" i="88"/>
  <c r="P49" i="86"/>
  <c r="Q49" i="86" s="1"/>
  <c r="R49" i="86" s="1"/>
  <c r="T66" i="88"/>
  <c r="AB66" i="88" s="1"/>
  <c r="S68" i="88"/>
  <c r="S85" i="88"/>
  <c r="T156" i="88"/>
  <c r="Y99" i="89"/>
  <c r="AB98" i="89"/>
  <c r="S99" i="89"/>
  <c r="U99" i="89" s="1"/>
  <c r="T98" i="89"/>
  <c r="G12" i="151"/>
  <c r="E36" i="153"/>
  <c r="E36" i="152"/>
  <c r="D16" i="43"/>
  <c r="C16" i="150"/>
  <c r="C13" i="150" s="1"/>
  <c r="BA37" i="41"/>
  <c r="D37" i="150"/>
  <c r="BM37" i="150" s="1"/>
  <c r="AF37" i="43"/>
  <c r="AG37" i="150"/>
  <c r="AF37" i="150" s="1"/>
  <c r="BA41" i="41"/>
  <c r="BE41" i="41" s="1"/>
  <c r="D41" i="150"/>
  <c r="BM41" i="150" s="1"/>
  <c r="BA43" i="41"/>
  <c r="D43" i="150"/>
  <c r="BM43" i="150" s="1"/>
  <c r="Z44" i="43"/>
  <c r="AA44" i="150"/>
  <c r="Z44" i="150" s="1"/>
  <c r="AL47" i="43"/>
  <c r="S16" i="46"/>
  <c r="S16" i="45"/>
  <c r="H50" i="43"/>
  <c r="D50" i="150"/>
  <c r="BM50" i="150" s="1"/>
  <c r="L15" i="151"/>
  <c r="H39" i="153"/>
  <c r="H39" i="152"/>
  <c r="C48" i="154"/>
  <c r="D25" i="151"/>
  <c r="C53" i="154"/>
  <c r="D38" i="151"/>
  <c r="Z38" i="151"/>
  <c r="P55" i="153"/>
  <c r="P55" i="152"/>
  <c r="L39" i="151"/>
  <c r="H56" i="152"/>
  <c r="H56" i="153"/>
  <c r="C11" i="47"/>
  <c r="CV9" i="47"/>
  <c r="AB11" i="47"/>
  <c r="AB9" i="47" s="1"/>
  <c r="CJ11" i="47"/>
  <c r="F20" i="47"/>
  <c r="FE21" i="47"/>
  <c r="J21" i="47"/>
  <c r="CF27" i="47"/>
  <c r="Y27" i="47"/>
  <c r="BI26" i="48"/>
  <c r="FN11" i="51"/>
  <c r="FN10" i="51" s="1"/>
  <c r="C138" i="72"/>
  <c r="S10" i="150"/>
  <c r="S73" i="150" s="1"/>
  <c r="S12" i="150"/>
  <c r="AC9" i="62"/>
  <c r="N21" i="62"/>
  <c r="BM13" i="43"/>
  <c r="C10" i="83"/>
  <c r="AB97" i="88"/>
  <c r="I8" i="87"/>
  <c r="I7" i="87" s="1"/>
  <c r="AB168" i="88"/>
  <c r="N89" i="86"/>
  <c r="N90" i="86" s="1"/>
  <c r="R10" i="87"/>
  <c r="K66" i="88"/>
  <c r="H85" i="88"/>
  <c r="AH190" i="88"/>
  <c r="AA188" i="88"/>
  <c r="S189" i="88"/>
  <c r="AA189" i="88" s="1"/>
  <c r="K13" i="43"/>
  <c r="D23" i="43"/>
  <c r="C23" i="150"/>
  <c r="AG38" i="43"/>
  <c r="AH38" i="150"/>
  <c r="T40" i="43"/>
  <c r="U40" i="150"/>
  <c r="T40" i="150" s="1"/>
  <c r="AE41" i="43"/>
  <c r="AE41" i="150" s="1"/>
  <c r="AK41" i="150" s="1"/>
  <c r="AG42" i="150"/>
  <c r="P14" i="153"/>
  <c r="P14" i="152"/>
  <c r="AS42" i="43"/>
  <c r="AK12" i="44"/>
  <c r="W14" i="45"/>
  <c r="W14" i="46"/>
  <c r="T44" i="43"/>
  <c r="AA47" i="150"/>
  <c r="Z47" i="150" s="1"/>
  <c r="M16" i="153"/>
  <c r="L16" i="153" s="1"/>
  <c r="M16" i="152"/>
  <c r="V16" i="45"/>
  <c r="V16" i="46"/>
  <c r="U16" i="46" s="1"/>
  <c r="H49" i="43"/>
  <c r="I49" i="150"/>
  <c r="BQ49" i="150" s="1"/>
  <c r="AG49" i="43"/>
  <c r="AH49" i="150"/>
  <c r="AA50" i="150"/>
  <c r="Z50" i="150" s="1"/>
  <c r="M15" i="153"/>
  <c r="L15" i="153" s="1"/>
  <c r="M15" i="152"/>
  <c r="AL50" i="43"/>
  <c r="S15" i="46"/>
  <c r="S15" i="45"/>
  <c r="R15" i="45" s="1"/>
  <c r="AX50" i="43"/>
  <c r="AO14" i="44"/>
  <c r="AL14" i="44" s="1"/>
  <c r="Y15" i="46"/>
  <c r="X15" i="46" s="1"/>
  <c r="Y15" i="45"/>
  <c r="W51" i="150"/>
  <c r="W10" i="150" s="1"/>
  <c r="F9" i="154"/>
  <c r="H54" i="150"/>
  <c r="M54" i="150"/>
  <c r="O54" i="150" s="1"/>
  <c r="N54" i="150" s="1"/>
  <c r="D64" i="43"/>
  <c r="C64" i="150"/>
  <c r="C62" i="150" s="1"/>
  <c r="BC72" i="150"/>
  <c r="H41" i="46"/>
  <c r="L17" i="151"/>
  <c r="H41" i="153"/>
  <c r="H41" i="152"/>
  <c r="Q25" i="151"/>
  <c r="K50" i="153"/>
  <c r="K50" i="152"/>
  <c r="C55" i="154"/>
  <c r="D37" i="151"/>
  <c r="K38" i="151"/>
  <c r="H38" i="151" s="1"/>
  <c r="G55" i="153"/>
  <c r="F55" i="153" s="1"/>
  <c r="G55" i="152"/>
  <c r="AA38" i="151"/>
  <c r="Q55" i="153"/>
  <c r="Q55" i="152"/>
  <c r="T55" i="152" s="1"/>
  <c r="G40" i="151"/>
  <c r="I57" i="151" s="1"/>
  <c r="E53" i="152"/>
  <c r="C53" i="152" s="1"/>
  <c r="AO50" i="44"/>
  <c r="V68" i="46"/>
  <c r="V68" i="45"/>
  <c r="DQ11" i="47"/>
  <c r="AN11" i="47"/>
  <c r="AU17" i="47"/>
  <c r="EC17" i="47"/>
  <c r="EY17" i="47"/>
  <c r="EM17" i="47"/>
  <c r="N22" i="47"/>
  <c r="H22" i="47"/>
  <c r="W23" i="47"/>
  <c r="CY26" i="47"/>
  <c r="Z27" i="47"/>
  <c r="EO27" i="47"/>
  <c r="H37" i="47"/>
  <c r="CV11" i="51"/>
  <c r="CV10" i="51" s="1"/>
  <c r="D63" i="60"/>
  <c r="E14" i="62"/>
  <c r="C22" i="69"/>
  <c r="C24" i="69"/>
  <c r="AI26" i="48"/>
  <c r="D32" i="47"/>
  <c r="CQ12" i="51"/>
  <c r="FD17" i="51"/>
  <c r="FI17" i="51" s="1"/>
  <c r="FI16" i="51" s="1"/>
  <c r="FR17" i="51"/>
  <c r="AM23" i="86"/>
  <c r="K159" i="88"/>
  <c r="P159" i="88" s="1"/>
  <c r="L67" i="88"/>
  <c r="V159" i="88"/>
  <c r="V158" i="88"/>
  <c r="AB158" i="88" s="1"/>
  <c r="V75" i="88"/>
  <c r="V77" i="88" s="1"/>
  <c r="AJ70" i="89"/>
  <c r="AN70" i="89" s="1"/>
  <c r="AA71" i="89"/>
  <c r="Y71" i="89"/>
  <c r="AB70" i="89"/>
  <c r="AF55" i="95"/>
  <c r="V13" i="91"/>
  <c r="BH12" i="86"/>
  <c r="H9" i="86"/>
  <c r="H16" i="97"/>
  <c r="F23" i="99"/>
  <c r="BA40" i="86"/>
  <c r="AB164" i="88"/>
  <c r="R17" i="86"/>
  <c r="R41" i="86"/>
  <c r="O49" i="86"/>
  <c r="AE54" i="86"/>
  <c r="AE52" i="86" s="1"/>
  <c r="AO58" i="86"/>
  <c r="Z11" i="87"/>
  <c r="U15" i="87"/>
  <c r="Z16" i="87"/>
  <c r="AG16" i="87" s="1"/>
  <c r="F20" i="87"/>
  <c r="H20" i="87" s="1"/>
  <c r="Z24" i="87"/>
  <c r="K26" i="87"/>
  <c r="AG28" i="87"/>
  <c r="K48" i="87"/>
  <c r="X51" i="87"/>
  <c r="P38" i="87"/>
  <c r="P8" i="88"/>
  <c r="AD8" i="88" s="1"/>
  <c r="AV14" i="88"/>
  <c r="AY14" i="88" s="1"/>
  <c r="BE19" i="88"/>
  <c r="BH19" i="88" s="1"/>
  <c r="BD145" i="88"/>
  <c r="X18" i="139"/>
  <c r="BN17" i="86"/>
  <c r="Q136" i="88"/>
  <c r="AB129" i="88"/>
  <c r="BE171" i="88"/>
  <c r="AB108" i="88"/>
  <c r="AB114" i="88"/>
  <c r="AR154" i="88"/>
  <c r="AO104" i="88"/>
  <c r="AQ105" i="88" s="1"/>
  <c r="AA157" i="88"/>
  <c r="BB104" i="88"/>
  <c r="BC105" i="88" s="1"/>
  <c r="D82" i="89"/>
  <c r="U90" i="89"/>
  <c r="C12" i="92"/>
  <c r="H12" i="92"/>
  <c r="H8" i="92" s="1"/>
  <c r="H7" i="92" s="1"/>
  <c r="E11" i="96"/>
  <c r="W19" i="97"/>
  <c r="AD10" i="99"/>
  <c r="H10" i="97"/>
  <c r="F7" i="95"/>
  <c r="F37" i="95" s="1"/>
  <c r="AG21" i="87"/>
  <c r="BE48" i="86"/>
  <c r="Q29" i="86"/>
  <c r="AO38" i="86"/>
  <c r="AP38" i="86" s="1"/>
  <c r="BA41" i="86"/>
  <c r="BB41" i="86" s="1"/>
  <c r="U11" i="86"/>
  <c r="AU13" i="86"/>
  <c r="AU11" i="86" s="1"/>
  <c r="BG19" i="86"/>
  <c r="AL27" i="87"/>
  <c r="H25" i="97"/>
  <c r="AD45" i="95"/>
  <c r="R23" i="97"/>
  <c r="AG22" i="87"/>
  <c r="N45" i="100"/>
  <c r="N49" i="100" s="1"/>
  <c r="AS46" i="86"/>
  <c r="R27" i="97"/>
  <c r="BK48" i="86"/>
  <c r="AS38" i="86"/>
  <c r="AV34" i="88"/>
  <c r="AV33" i="88" s="1"/>
  <c r="AV31" i="88" s="1"/>
  <c r="N52" i="90"/>
  <c r="J96" i="89"/>
  <c r="E24" i="92"/>
  <c r="U35" i="97"/>
  <c r="P11" i="86"/>
  <c r="P9" i="86" s="1"/>
  <c r="AE28" i="86"/>
  <c r="W36" i="86"/>
  <c r="AG38" i="86"/>
  <c r="U40" i="86"/>
  <c r="L41" i="86"/>
  <c r="AA46" i="86"/>
  <c r="U59" i="86"/>
  <c r="Y47" i="87"/>
  <c r="AD9" i="87"/>
  <c r="H16" i="87"/>
  <c r="U16" i="87"/>
  <c r="W16" i="87" s="1"/>
  <c r="F18" i="87"/>
  <c r="S57" i="87"/>
  <c r="U24" i="87"/>
  <c r="W24" i="87" s="1"/>
  <c r="S63" i="87"/>
  <c r="T71" i="87"/>
  <c r="AD147" i="88"/>
  <c r="AD22" i="88"/>
  <c r="BD151" i="88"/>
  <c r="E31" i="88"/>
  <c r="V33" i="88"/>
  <c r="V31" i="88" s="1"/>
  <c r="V39" i="88" s="1"/>
  <c r="N80" i="88"/>
  <c r="Q80" i="88" s="1"/>
  <c r="AF81" i="89"/>
  <c r="T55" i="89"/>
  <c r="W55" i="89" s="1"/>
  <c r="G68" i="89"/>
  <c r="S78" i="89"/>
  <c r="U78" i="89" s="1"/>
  <c r="F84" i="89"/>
  <c r="Y84" i="89"/>
  <c r="AB84" i="89" s="1"/>
  <c r="F87" i="89"/>
  <c r="Y90" i="89"/>
  <c r="E38" i="110"/>
  <c r="C29" i="110"/>
  <c r="W17" i="139"/>
  <c r="R17" i="139"/>
  <c r="X17" i="139" s="1"/>
  <c r="AT49" i="86"/>
  <c r="AG10" i="87"/>
  <c r="AV119" i="88"/>
  <c r="AY119" i="88" s="1"/>
  <c r="BE119" i="88" s="1"/>
  <c r="BH119" i="88" s="1"/>
  <c r="X73" i="88"/>
  <c r="AA7" i="88"/>
  <c r="BB100" i="88"/>
  <c r="AO100" i="88"/>
  <c r="AZ117" i="88"/>
  <c r="AR111" i="88"/>
  <c r="J87" i="89"/>
  <c r="Q18" i="91"/>
  <c r="T18" i="91" s="1"/>
  <c r="L30" i="96"/>
  <c r="W24" i="90"/>
  <c r="O11" i="96"/>
  <c r="Q22" i="92"/>
  <c r="Q21" i="92" s="1"/>
  <c r="G28" i="95"/>
  <c r="BH18" i="86"/>
  <c r="BH17" i="86" s="1"/>
  <c r="Q33" i="86"/>
  <c r="R33" i="86" s="1"/>
  <c r="BD17" i="86"/>
  <c r="BD9" i="86" s="1"/>
  <c r="R24" i="99"/>
  <c r="W150" i="89"/>
  <c r="I51" i="87"/>
  <c r="W17" i="97"/>
  <c r="Y13" i="91"/>
  <c r="AX34" i="88"/>
  <c r="AX33" i="88" s="1"/>
  <c r="AX31" i="88" s="1"/>
  <c r="AB136" i="88"/>
  <c r="X34" i="88"/>
  <c r="X33" i="88" s="1"/>
  <c r="X31" i="88" s="1"/>
  <c r="X39" i="88" s="1"/>
  <c r="U33" i="88"/>
  <c r="U31" i="88" s="1"/>
  <c r="P50" i="86"/>
  <c r="AR33" i="88"/>
  <c r="AR31" i="88" s="1"/>
  <c r="U53" i="89"/>
  <c r="J81" i="89"/>
  <c r="Z11" i="86"/>
  <c r="BD11" i="86"/>
  <c r="BK11" i="86" s="1"/>
  <c r="BA23" i="86"/>
  <c r="Z23" i="86"/>
  <c r="AA23" i="86" s="1"/>
  <c r="AI35" i="86"/>
  <c r="AJ35" i="86" s="1"/>
  <c r="AA47" i="86"/>
  <c r="F10" i="87"/>
  <c r="H10" i="87" s="1"/>
  <c r="AE13" i="87"/>
  <c r="AM18" i="87"/>
  <c r="AR18" i="87" s="1"/>
  <c r="AW18" i="87" s="1"/>
  <c r="BB18" i="87" s="1"/>
  <c r="P23" i="87"/>
  <c r="Z27" i="87"/>
  <c r="AG27" i="87" s="1"/>
  <c r="Z30" i="87"/>
  <c r="AG30" i="87" s="1"/>
  <c r="G8" i="88"/>
  <c r="BD142" i="88"/>
  <c r="AD20" i="88"/>
  <c r="X111" i="88"/>
  <c r="AB111" i="88" s="1"/>
  <c r="AV182" i="88"/>
  <c r="O36" i="89"/>
  <c r="O8" i="89" s="1"/>
  <c r="AT139" i="89"/>
  <c r="E84" i="93"/>
  <c r="G85" i="93" s="1"/>
  <c r="G86" i="93" s="1"/>
  <c r="G83" i="93"/>
  <c r="AA23" i="96"/>
  <c r="Q148" i="88"/>
  <c r="L28" i="86"/>
  <c r="R11" i="86"/>
  <c r="AR49" i="86"/>
  <c r="E86" i="88"/>
  <c r="F104" i="88"/>
  <c r="F131" i="88" s="1"/>
  <c r="V148" i="88"/>
  <c r="AB148" i="88" s="1"/>
  <c r="G102" i="89"/>
  <c r="J102" i="89" s="1"/>
  <c r="AI166" i="89"/>
  <c r="AI173" i="89" s="1"/>
  <c r="V33" i="139"/>
  <c r="AA33" i="139" s="1"/>
  <c r="K33" i="139"/>
  <c r="O37" i="139"/>
  <c r="I37" i="139"/>
  <c r="M37" i="139" s="1"/>
  <c r="R38" i="139"/>
  <c r="X38" i="139" s="1"/>
  <c r="AC38" i="139" s="1"/>
  <c r="V16" i="139"/>
  <c r="AA16" i="139" s="1"/>
  <c r="R33" i="139"/>
  <c r="Z20" i="139"/>
  <c r="Y33" i="139"/>
  <c r="K45" i="139"/>
  <c r="L45" i="139" s="1"/>
  <c r="J49" i="139"/>
  <c r="V49" i="139" s="1"/>
  <c r="AG60" i="150"/>
  <c r="AF60" i="150" s="1"/>
  <c r="P20" i="153"/>
  <c r="P20" i="152"/>
  <c r="Z9" i="92"/>
  <c r="G44" i="93"/>
  <c r="G43" i="93" s="1"/>
  <c r="G165" i="93"/>
  <c r="G162" i="93" s="1"/>
  <c r="G156" i="93" s="1"/>
  <c r="C39" i="99"/>
  <c r="T39" i="99"/>
  <c r="C25" i="110"/>
  <c r="C20" i="110" s="1"/>
  <c r="R34" i="139"/>
  <c r="X34" i="139" s="1"/>
  <c r="T51" i="139"/>
  <c r="W18" i="139"/>
  <c r="Z37" i="139"/>
  <c r="R22" i="139"/>
  <c r="X22" i="139" s="1"/>
  <c r="W22" i="139"/>
  <c r="E14" i="139"/>
  <c r="Q15" i="139"/>
  <c r="R15" i="139" s="1"/>
  <c r="X15" i="139" s="1"/>
  <c r="K25" i="139"/>
  <c r="L25" i="139" s="1"/>
  <c r="Q30" i="139"/>
  <c r="R30" i="139" s="1"/>
  <c r="X30" i="139" s="1"/>
  <c r="AC30" i="139" s="1"/>
  <c r="V30" i="139"/>
  <c r="AA30" i="139" s="1"/>
  <c r="Z34" i="139"/>
  <c r="Z35" i="139"/>
  <c r="E9" i="140"/>
  <c r="H60" i="150"/>
  <c r="G60" i="150" s="1"/>
  <c r="D20" i="153"/>
  <c r="C20" i="153" s="1"/>
  <c r="D20" i="152"/>
  <c r="D36" i="92"/>
  <c r="D41" i="92" s="1"/>
  <c r="Q36" i="95"/>
  <c r="W31" i="139"/>
  <c r="V50" i="139"/>
  <c r="AA50" i="139" s="1"/>
  <c r="V18" i="139"/>
  <c r="AA18" i="139" s="1"/>
  <c r="AA21" i="139"/>
  <c r="AD26" i="139"/>
  <c r="AD31" i="139"/>
  <c r="Q40" i="139"/>
  <c r="W40" i="139" s="1"/>
  <c r="V40" i="139"/>
  <c r="AA40" i="139" s="1"/>
  <c r="Y47" i="139"/>
  <c r="AD47" i="139" s="1"/>
  <c r="X48" i="139"/>
  <c r="AC48" i="139" s="1"/>
  <c r="D49" i="139"/>
  <c r="AB50" i="139"/>
  <c r="W49" i="139"/>
  <c r="AB49" i="139" s="1"/>
  <c r="Y53" i="139"/>
  <c r="Z37" i="151"/>
  <c r="P57" i="152"/>
  <c r="P57" i="153"/>
  <c r="C16" i="73"/>
  <c r="N37" i="46"/>
  <c r="V13" i="151"/>
  <c r="N37" i="153"/>
  <c r="N37" i="152"/>
  <c r="N37" i="45"/>
  <c r="C22" i="140"/>
  <c r="C11" i="141"/>
  <c r="C48" i="141"/>
  <c r="C61" i="142"/>
  <c r="P14" i="44"/>
  <c r="BC40" i="41"/>
  <c r="BD40" i="41" s="1"/>
  <c r="R40" i="43"/>
  <c r="Q40" i="150"/>
  <c r="J20" i="46"/>
  <c r="C14" i="65"/>
  <c r="C21" i="68"/>
  <c r="C20" i="68" s="1"/>
  <c r="Q68" i="43"/>
  <c r="E28" i="154"/>
  <c r="E26" i="154" s="1"/>
  <c r="Q70" i="150"/>
  <c r="Q68" i="150" s="1"/>
  <c r="W60" i="150"/>
  <c r="F18" i="154"/>
  <c r="D18" i="52"/>
  <c r="J18" i="52" s="1"/>
  <c r="BN40" i="150"/>
  <c r="C43" i="45"/>
  <c r="C67" i="45"/>
  <c r="AX91" i="3"/>
  <c r="AZ91" i="3" s="1"/>
  <c r="K59" i="45"/>
  <c r="C33" i="54"/>
  <c r="C33" i="66" s="1"/>
  <c r="K12" i="151"/>
  <c r="G36" i="153"/>
  <c r="G36" i="152"/>
  <c r="K25" i="151"/>
  <c r="G50" i="153"/>
  <c r="G50" i="152"/>
  <c r="H30" i="151"/>
  <c r="J30" i="151" s="1"/>
  <c r="J35" i="151"/>
  <c r="H31" i="153"/>
  <c r="F31" i="153" s="1"/>
  <c r="P71" i="150"/>
  <c r="H31" i="152"/>
  <c r="F31" i="152" s="1"/>
  <c r="AH50" i="60"/>
  <c r="AE44" i="13"/>
  <c r="AG58" i="43"/>
  <c r="G17" i="154"/>
  <c r="AC58" i="150"/>
  <c r="Q14" i="46"/>
  <c r="N39" i="45"/>
  <c r="V15" i="151"/>
  <c r="N39" i="153"/>
  <c r="N83" i="153" s="1"/>
  <c r="N39" i="152"/>
  <c r="L40" i="45"/>
  <c r="BQ37" i="150"/>
  <c r="J51" i="43"/>
  <c r="BR51" i="43" s="1"/>
  <c r="U54" i="43"/>
  <c r="S54" i="150"/>
  <c r="BB20" i="41"/>
  <c r="BY20" i="41" s="1"/>
  <c r="BZ20" i="41" s="1"/>
  <c r="H10" i="154"/>
  <c r="M10" i="154"/>
  <c r="T32" i="140"/>
  <c r="C13" i="141"/>
  <c r="C34" i="141"/>
  <c r="C58" i="142"/>
  <c r="S24" i="94"/>
  <c r="Q47" i="150"/>
  <c r="T60" i="43"/>
  <c r="T58" i="43"/>
  <c r="U58" i="150"/>
  <c r="T58" i="150" s="1"/>
  <c r="J19" i="153"/>
  <c r="I19" i="153" s="1"/>
  <c r="J19" i="152"/>
  <c r="I19" i="152" s="1"/>
  <c r="J19" i="151"/>
  <c r="O19" i="151"/>
  <c r="J69" i="43"/>
  <c r="C69" i="150"/>
  <c r="D60" i="150"/>
  <c r="C18" i="154"/>
  <c r="AA58" i="43"/>
  <c r="M19" i="46" s="1"/>
  <c r="W58" i="150"/>
  <c r="F17" i="154"/>
  <c r="I37" i="62"/>
  <c r="V18" i="151"/>
  <c r="N42" i="153"/>
  <c r="N42" i="152"/>
  <c r="L42" i="152" s="1"/>
  <c r="C8" i="52"/>
  <c r="E42" i="45"/>
  <c r="Q25" i="44"/>
  <c r="Q26" i="151" s="1"/>
  <c r="G26" i="151"/>
  <c r="G23" i="151" s="1"/>
  <c r="M38" i="154"/>
  <c r="H38" i="154"/>
  <c r="J36" i="151"/>
  <c r="J29" i="151"/>
  <c r="H31" i="151"/>
  <c r="J31" i="151" s="1"/>
  <c r="L24" i="151"/>
  <c r="H49" i="153"/>
  <c r="H49" i="152"/>
  <c r="X96" i="13"/>
  <c r="AD51" i="60"/>
  <c r="AD44" i="60" s="1"/>
  <c r="AA15" i="151"/>
  <c r="Q39" i="153"/>
  <c r="Q39" i="152"/>
  <c r="BQ38" i="150"/>
  <c r="BB48" i="41"/>
  <c r="J48" i="150"/>
  <c r="U53" i="43"/>
  <c r="S53" i="150"/>
  <c r="J19" i="150"/>
  <c r="BB20" i="150"/>
  <c r="BM45" i="150"/>
  <c r="BB45" i="150"/>
  <c r="BB56" i="150"/>
  <c r="BC56" i="150"/>
  <c r="W51" i="139"/>
  <c r="AB51" i="139" s="1"/>
  <c r="W16" i="139"/>
  <c r="J11" i="139"/>
  <c r="AD16" i="139"/>
  <c r="U21" i="139"/>
  <c r="Z22" i="139"/>
  <c r="Z24" i="139"/>
  <c r="U25" i="139"/>
  <c r="U32" i="139"/>
  <c r="V37" i="139"/>
  <c r="AA37" i="139" s="1"/>
  <c r="W48" i="139"/>
  <c r="D9" i="143"/>
  <c r="M45" i="44"/>
  <c r="M46" i="151"/>
  <c r="M57" i="153"/>
  <c r="L57" i="153" s="1"/>
  <c r="U37" i="151"/>
  <c r="R37" i="151" s="1"/>
  <c r="M57" i="152"/>
  <c r="L57" i="152" s="1"/>
  <c r="U12" i="13"/>
  <c r="U90" i="13" s="1"/>
  <c r="AA13" i="13"/>
  <c r="U60" i="150"/>
  <c r="T60" i="150" s="1"/>
  <c r="J20" i="153"/>
  <c r="I20" i="153" s="1"/>
  <c r="J20" i="152"/>
  <c r="AI60" i="43"/>
  <c r="AC60" i="150"/>
  <c r="G18" i="154"/>
  <c r="O60" i="150"/>
  <c r="N60" i="150" s="1"/>
  <c r="G20" i="153"/>
  <c r="F20" i="153" s="1"/>
  <c r="G20" i="152"/>
  <c r="AA18" i="151"/>
  <c r="Q42" i="153"/>
  <c r="Q42" i="152"/>
  <c r="H28" i="151"/>
  <c r="J28" i="151" s="1"/>
  <c r="J33" i="151"/>
  <c r="D18" i="154"/>
  <c r="J60" i="150"/>
  <c r="AJ44" i="13"/>
  <c r="E37" i="69"/>
  <c r="C37" i="69" s="1"/>
  <c r="AR58" i="43"/>
  <c r="V19" i="46"/>
  <c r="V19" i="45"/>
  <c r="BC44" i="5"/>
  <c r="BD44" i="5" s="1"/>
  <c r="E65" i="154"/>
  <c r="E63" i="154" s="1"/>
  <c r="AB42" i="150"/>
  <c r="N14" i="153"/>
  <c r="N14" i="152"/>
  <c r="N14" i="46"/>
  <c r="L14" i="46" s="1"/>
  <c r="Q14" i="45"/>
  <c r="Q81" i="45" s="1"/>
  <c r="Q80" i="45" s="1"/>
  <c r="L40" i="46"/>
  <c r="BQ36" i="150"/>
  <c r="U52" i="43"/>
  <c r="U52" i="150" s="1"/>
  <c r="T52" i="150" s="1"/>
  <c r="S52" i="150"/>
  <c r="BC16" i="5"/>
  <c r="BD16" i="5" s="1"/>
  <c r="BQ43" i="150"/>
  <c r="P33" i="140"/>
  <c r="T35" i="140"/>
  <c r="W35" i="140" s="1"/>
  <c r="C27" i="141"/>
  <c r="E16" i="145"/>
  <c r="BC50" i="41"/>
  <c r="BD50" i="41" s="1"/>
  <c r="Q50" i="150"/>
  <c r="C21" i="72"/>
  <c r="C32" i="82"/>
  <c r="J20" i="45"/>
  <c r="D17" i="44"/>
  <c r="BB16" i="5"/>
  <c r="BH16" i="5" s="1"/>
  <c r="D40" i="154"/>
  <c r="D41" i="154" s="1"/>
  <c r="M41" i="154" s="1"/>
  <c r="D67" i="43"/>
  <c r="H67" i="43" s="1"/>
  <c r="C67" i="150"/>
  <c r="AA60" i="150"/>
  <c r="Z60" i="150" s="1"/>
  <c r="BE60" i="150" s="1"/>
  <c r="M20" i="153"/>
  <c r="L20" i="153" s="1"/>
  <c r="M20" i="152"/>
  <c r="CI32" i="48"/>
  <c r="H39" i="154"/>
  <c r="L25" i="151"/>
  <c r="H50" i="153"/>
  <c r="H50" i="152"/>
  <c r="J34" i="151"/>
  <c r="J32" i="151"/>
  <c r="Z105" i="13"/>
  <c r="AL58" i="43"/>
  <c r="S19" i="46"/>
  <c r="S19" i="45"/>
  <c r="U94" i="43"/>
  <c r="T94" i="43" s="1"/>
  <c r="U56" i="150"/>
  <c r="P18" i="13"/>
  <c r="C18" i="13" s="1"/>
  <c r="AH42" i="150"/>
  <c r="Q14" i="153"/>
  <c r="Q14" i="152"/>
  <c r="AA12" i="44"/>
  <c r="N42" i="45"/>
  <c r="L42" i="45" s="1"/>
  <c r="D63" i="43"/>
  <c r="H63" i="43" s="1"/>
  <c r="Q51" i="150"/>
  <c r="E9" i="154"/>
  <c r="AV25" i="43"/>
  <c r="BJ13" i="43"/>
  <c r="AV19" i="43"/>
  <c r="BA30" i="41"/>
  <c r="BE17" i="41"/>
  <c r="G29" i="43"/>
  <c r="AA36" i="43"/>
  <c r="AB36" i="150"/>
  <c r="AY31" i="43"/>
  <c r="AX31" i="43" s="1"/>
  <c r="Z33" i="43"/>
  <c r="AG36" i="43"/>
  <c r="AH36" i="150"/>
  <c r="O36" i="43"/>
  <c r="BA36" i="41"/>
  <c r="D36" i="150"/>
  <c r="BM36" i="150" s="1"/>
  <c r="N6" i="100"/>
  <c r="N7" i="100" s="1"/>
  <c r="N19" i="38"/>
  <c r="Q19" i="38" s="1"/>
  <c r="T19" i="38" s="1"/>
  <c r="I19" i="38"/>
  <c r="AN10" i="20"/>
  <c r="H20" i="49"/>
  <c r="AQ157" i="88"/>
  <c r="BH11" i="88"/>
  <c r="AR157" i="88"/>
  <c r="P9" i="90"/>
  <c r="R20" i="87"/>
  <c r="W20" i="87"/>
  <c r="AZ86" i="88"/>
  <c r="N49" i="90"/>
  <c r="N50" i="90" s="1"/>
  <c r="N57" i="90"/>
  <c r="AC43" i="95"/>
  <c r="R31" i="100"/>
  <c r="S50" i="87"/>
  <c r="AH86" i="88"/>
  <c r="AH98" i="88" s="1"/>
  <c r="C21" i="98"/>
  <c r="D21" i="99"/>
  <c r="AN10" i="11"/>
  <c r="N82" i="36"/>
  <c r="AH200" i="88"/>
  <c r="K5" i="99"/>
  <c r="K45" i="99" s="1"/>
  <c r="J44" i="99"/>
  <c r="I44" i="99" s="1"/>
  <c r="K58" i="96"/>
  <c r="AF58" i="96"/>
  <c r="AO36" i="87"/>
  <c r="AT36" i="87" s="1"/>
  <c r="AY36" i="87" s="1"/>
  <c r="BB36" i="87" s="1"/>
  <c r="BB34" i="87" s="1"/>
  <c r="AY34" i="87" s="1"/>
  <c r="BS14" i="88"/>
  <c r="F13" i="96"/>
  <c r="J9" i="96"/>
  <c r="J10" i="96" s="1"/>
  <c r="I13" i="99"/>
  <c r="N8" i="87"/>
  <c r="N7" i="87" s="1"/>
  <c r="N77" i="87" s="1"/>
  <c r="BH14" i="88"/>
  <c r="R36" i="95"/>
  <c r="R43" i="95"/>
  <c r="AF36" i="95"/>
  <c r="M23" i="97"/>
  <c r="P28" i="100"/>
  <c r="M23" i="100"/>
  <c r="M22" i="100" s="1"/>
  <c r="M21" i="100" s="1"/>
  <c r="AO151" i="88"/>
  <c r="E5" i="100"/>
  <c r="AC60" i="95"/>
  <c r="AX17" i="89"/>
  <c r="AE54" i="95"/>
  <c r="AF11" i="86"/>
  <c r="AX41" i="89"/>
  <c r="AO20" i="87"/>
  <c r="W7" i="95"/>
  <c r="W37" i="95" s="1"/>
  <c r="AD26" i="86"/>
  <c r="AD23" i="86" s="1"/>
  <c r="AZ142" i="88"/>
  <c r="AR114" i="88"/>
  <c r="AW114" i="88" s="1"/>
  <c r="O39" i="95"/>
  <c r="K23" i="96"/>
  <c r="AR27" i="87"/>
  <c r="AO27" i="87" s="1"/>
  <c r="D13" i="99"/>
  <c r="D5" i="99" s="1"/>
  <c r="D45" i="99" s="1"/>
  <c r="AJ52" i="86"/>
  <c r="AJ11" i="86"/>
  <c r="E11" i="49"/>
  <c r="E13" i="49"/>
  <c r="C13" i="49" s="1"/>
  <c r="I13" i="49" s="1"/>
  <c r="E17" i="49"/>
  <c r="E19" i="49"/>
  <c r="C19" i="49" s="1"/>
  <c r="I19" i="49" s="1"/>
  <c r="AO30" i="87"/>
  <c r="AO126" i="88"/>
  <c r="Z40" i="95"/>
  <c r="X40" i="95" s="1"/>
  <c r="AC40" i="95" s="1"/>
  <c r="Q16" i="96"/>
  <c r="Q11" i="96" s="1"/>
  <c r="AD14" i="96"/>
  <c r="AD11" i="96" s="1"/>
  <c r="L23" i="99"/>
  <c r="L22" i="99" s="1"/>
  <c r="AF43" i="95"/>
  <c r="Y7" i="95"/>
  <c r="Y37" i="95" s="1"/>
  <c r="AC54" i="86"/>
  <c r="AZ120" i="88"/>
  <c r="Z32" i="99"/>
  <c r="Z33" i="99" s="1"/>
  <c r="Z36" i="99" s="1"/>
  <c r="Z37" i="99" s="1"/>
  <c r="Q21" i="99"/>
  <c r="AC18" i="139"/>
  <c r="O19" i="140"/>
  <c r="T19" i="140" s="1"/>
  <c r="W19" i="140" s="1"/>
  <c r="F19" i="140"/>
  <c r="C28" i="141"/>
  <c r="AZ8" i="88"/>
  <c r="AV110" i="88"/>
  <c r="AY110" i="88" s="1"/>
  <c r="AH78" i="89"/>
  <c r="S8" i="97"/>
  <c r="S7" i="97" s="1"/>
  <c r="W26" i="97"/>
  <c r="Y50" i="87"/>
  <c r="U50" i="87" s="1"/>
  <c r="T17" i="86"/>
  <c r="AA17" i="86" s="1"/>
  <c r="AO18" i="86"/>
  <c r="AL17" i="88"/>
  <c r="U36" i="86"/>
  <c r="U18" i="86"/>
  <c r="AI18" i="88"/>
  <c r="AN18" i="88"/>
  <c r="AG45" i="86"/>
  <c r="R26" i="99"/>
  <c r="U8" i="99"/>
  <c r="AN17" i="88"/>
  <c r="AC36" i="86"/>
  <c r="AD36" i="86" s="1"/>
  <c r="AL18" i="88"/>
  <c r="O17" i="87"/>
  <c r="AU17" i="88"/>
  <c r="G32" i="100"/>
  <c r="F32" i="100" s="1"/>
  <c r="S31" i="100"/>
  <c r="E59" i="139"/>
  <c r="C29" i="142"/>
  <c r="C50" i="142"/>
  <c r="R9" i="100"/>
  <c r="W40" i="86"/>
  <c r="X40" i="86" s="1"/>
  <c r="X71" i="86" s="1"/>
  <c r="U27" i="86"/>
  <c r="U37" i="86"/>
  <c r="Z29" i="87"/>
  <c r="AG29" i="87" s="1"/>
  <c r="K33" i="87"/>
  <c r="R33" i="87" s="1"/>
  <c r="K35" i="87"/>
  <c r="K38" i="87"/>
  <c r="AE38" i="87"/>
  <c r="E60" i="139"/>
  <c r="U47" i="87"/>
  <c r="AH8" i="88"/>
  <c r="AU8" i="88" s="1"/>
  <c r="AH109" i="89"/>
  <c r="K28" i="87"/>
  <c r="M28" i="87" s="1"/>
  <c r="AF28" i="86"/>
  <c r="AG28" i="86" s="1"/>
  <c r="AW24" i="88"/>
  <c r="AG36" i="86"/>
  <c r="T11" i="86"/>
  <c r="AI17" i="88"/>
  <c r="E56" i="95"/>
  <c r="AM37" i="86"/>
  <c r="AQ37" i="86" s="1"/>
  <c r="AP37" i="86" s="1"/>
  <c r="AP21" i="86"/>
  <c r="AD43" i="86"/>
  <c r="K12" i="87"/>
  <c r="S56" i="87"/>
  <c r="AC17" i="87"/>
  <c r="AC14" i="87" s="1"/>
  <c r="AC8" i="87" s="1"/>
  <c r="AC7" i="87" s="1"/>
  <c r="S64" i="87"/>
  <c r="F16" i="99"/>
  <c r="Z47" i="139"/>
  <c r="E16" i="139"/>
  <c r="C22" i="99"/>
  <c r="U31" i="86"/>
  <c r="S39" i="100"/>
  <c r="U22" i="86"/>
  <c r="AM46" i="86"/>
  <c r="AV24" i="88"/>
  <c r="AY24" i="88" s="1"/>
  <c r="AK17" i="88"/>
  <c r="AJ29" i="87"/>
  <c r="AL29" i="87" s="1"/>
  <c r="T49" i="87"/>
  <c r="P49" i="87" s="1"/>
  <c r="P47" i="87" s="1"/>
  <c r="K24" i="90"/>
  <c r="I21" i="90"/>
  <c r="N41" i="95"/>
  <c r="L41" i="95" s="1"/>
  <c r="N46" i="95"/>
  <c r="L46" i="95" s="1"/>
  <c r="Z47" i="95"/>
  <c r="X47" i="95" s="1"/>
  <c r="AD47" i="95" s="1"/>
  <c r="G49" i="95"/>
  <c r="E49" i="95" s="1"/>
  <c r="N54" i="95"/>
  <c r="L54" i="95" s="1"/>
  <c r="AC54" i="95" s="1"/>
  <c r="E23" i="96"/>
  <c r="P25" i="97"/>
  <c r="P18" i="97" s="1"/>
  <c r="K30" i="97"/>
  <c r="K45" i="97" s="1"/>
  <c r="K34" i="97"/>
  <c r="AC22" i="139"/>
  <c r="U37" i="139"/>
  <c r="AP39" i="86"/>
  <c r="AO39" i="86" s="1"/>
  <c r="X41" i="86"/>
  <c r="AH125" i="89"/>
  <c r="AK125" i="89" s="1"/>
  <c r="N58" i="139"/>
  <c r="R58" i="139" s="1"/>
  <c r="I37" i="140"/>
  <c r="F37" i="140" s="1"/>
  <c r="E15" i="139"/>
  <c r="E27" i="139"/>
  <c r="C36" i="72"/>
  <c r="M66" i="46"/>
  <c r="L66" i="46" s="1"/>
  <c r="D47" i="44"/>
  <c r="R48" i="44"/>
  <c r="F64" i="154" s="1"/>
  <c r="Z48" i="44"/>
  <c r="P66" i="152" s="1"/>
  <c r="H66" i="154"/>
  <c r="M66" i="154"/>
  <c r="L70" i="46"/>
  <c r="M68" i="152"/>
  <c r="M68" i="153"/>
  <c r="U51" i="151"/>
  <c r="R51" i="151" s="1"/>
  <c r="AR51" i="151" s="1"/>
  <c r="O32" i="45"/>
  <c r="J71" i="150"/>
  <c r="D29" i="154"/>
  <c r="C29" i="154"/>
  <c r="D71" i="150"/>
  <c r="AB61" i="43"/>
  <c r="AB57" i="43" s="1"/>
  <c r="AZ61" i="43"/>
  <c r="AZ57" i="43" s="1"/>
  <c r="O72" i="43"/>
  <c r="G32" i="46" s="1"/>
  <c r="J72" i="150"/>
  <c r="I61" i="43"/>
  <c r="I57" i="43" s="1"/>
  <c r="H32" i="153"/>
  <c r="P72" i="150"/>
  <c r="C88" i="13"/>
  <c r="H11" i="13"/>
  <c r="C104" i="13"/>
  <c r="P87" i="13"/>
  <c r="AJ100" i="60"/>
  <c r="AH100" i="60" s="1"/>
  <c r="E11" i="13"/>
  <c r="Y99" i="13"/>
  <c r="B86" i="60"/>
  <c r="AL11" i="60"/>
  <c r="D45" i="60"/>
  <c r="C119" i="60"/>
  <c r="D63" i="13"/>
  <c r="C32" i="13"/>
  <c r="C20" i="13"/>
  <c r="D51" i="13"/>
  <c r="C68" i="13"/>
  <c r="C59" i="13"/>
  <c r="D80" i="13"/>
  <c r="C27" i="13"/>
  <c r="C26" i="13"/>
  <c r="C64" i="13"/>
  <c r="AF51" i="60"/>
  <c r="AF59" i="60"/>
  <c r="C57" i="13"/>
  <c r="W45" i="60"/>
  <c r="AB45" i="60"/>
  <c r="AB204" i="13"/>
  <c r="H76" i="86"/>
  <c r="F9" i="90"/>
  <c r="F52" i="90" s="1"/>
  <c r="R67" i="86"/>
  <c r="J49" i="86"/>
  <c r="K49" i="86" s="1"/>
  <c r="L49" i="86" s="1"/>
  <c r="F13" i="90"/>
  <c r="N28" i="86"/>
  <c r="BC27" i="87"/>
  <c r="H8" i="86"/>
  <c r="K7" i="90"/>
  <c r="S30" i="140"/>
  <c r="V30" i="140" s="1"/>
  <c r="E11" i="90"/>
  <c r="BC29" i="87"/>
  <c r="E9" i="90"/>
  <c r="K52" i="86"/>
  <c r="AS10" i="87"/>
  <c r="AO11" i="87"/>
  <c r="AQ11" i="87" s="1"/>
  <c r="F12" i="87"/>
  <c r="H12" i="87" s="1"/>
  <c r="AM34" i="87"/>
  <c r="AJ34" i="87" s="1"/>
  <c r="AY12" i="87"/>
  <c r="BA12" i="87" s="1"/>
  <c r="AO13" i="87"/>
  <c r="AS24" i="87"/>
  <c r="AX24" i="87" s="1"/>
  <c r="BC24" i="87" s="1"/>
  <c r="U53" i="87"/>
  <c r="K12" i="140"/>
  <c r="AJ20" i="87"/>
  <c r="AL20" i="87" s="1"/>
  <c r="AT20" i="87"/>
  <c r="AV20" i="87" s="1"/>
  <c r="BC20" i="87"/>
  <c r="AY20" i="87" s="1"/>
  <c r="AC138" i="13"/>
  <c r="P138" i="13" s="1"/>
  <c r="AG193" i="13"/>
  <c r="C32" i="84"/>
  <c r="C141" i="72"/>
  <c r="C136" i="72"/>
  <c r="A4" i="75"/>
  <c r="A67" i="75" s="1"/>
  <c r="A64" i="74"/>
  <c r="A121" i="74" s="1"/>
  <c r="A2" i="74"/>
  <c r="A2" i="75" s="1"/>
  <c r="A2" i="76" s="1"/>
  <c r="A2" i="77" s="1"/>
  <c r="A2" i="78" s="1"/>
  <c r="A2" i="79" s="1"/>
  <c r="A2" i="80" s="1"/>
  <c r="A2" i="81" s="1"/>
  <c r="A2" i="82" s="1"/>
  <c r="A2" i="83" s="1"/>
  <c r="A2" i="84" s="1"/>
  <c r="AQ50" i="88"/>
  <c r="AQ39" i="88"/>
  <c r="AQ85" i="88"/>
  <c r="N19" i="7"/>
  <c r="I19" i="7"/>
  <c r="M27" i="62"/>
  <c r="P27" i="62" s="1"/>
  <c r="K27" i="62"/>
  <c r="K25" i="62" s="1"/>
  <c r="BB25" i="87"/>
  <c r="AD22" i="22"/>
  <c r="H28" i="38"/>
  <c r="H27" i="38" s="1"/>
  <c r="BC93" i="88"/>
  <c r="BC143" i="88"/>
  <c r="S47" i="87"/>
  <c r="AQ9" i="88"/>
  <c r="C7" i="88"/>
  <c r="C68" i="88" s="1"/>
  <c r="BC157" i="88"/>
  <c r="AH139" i="88"/>
  <c r="T178" i="89"/>
  <c r="AO164" i="88"/>
  <c r="U54" i="86"/>
  <c r="Q10" i="8"/>
  <c r="AA145" i="89"/>
  <c r="AF145" i="89"/>
  <c r="BA11" i="87"/>
  <c r="M10" i="8"/>
  <c r="K25" i="8"/>
  <c r="V14" i="22"/>
  <c r="I28" i="38"/>
  <c r="F20" i="49"/>
  <c r="C19" i="69"/>
  <c r="C9" i="61"/>
  <c r="BC130" i="88"/>
  <c r="D158" i="88"/>
  <c r="AH100" i="88"/>
  <c r="AN124" i="89"/>
  <c r="Q145" i="89"/>
  <c r="AF16" i="89"/>
  <c r="AF58" i="89" s="1"/>
  <c r="Q126" i="89"/>
  <c r="Q129" i="89"/>
  <c r="M28" i="96"/>
  <c r="M9" i="96" s="1"/>
  <c r="M8" i="96" s="1"/>
  <c r="M60" i="96" s="1"/>
  <c r="AD21" i="96"/>
  <c r="U17" i="17"/>
  <c r="N114" i="43"/>
  <c r="C16" i="69"/>
  <c r="L10" i="8"/>
  <c r="H28" i="34"/>
  <c r="K28" i="34" s="1"/>
  <c r="I28" i="34" s="1"/>
  <c r="BC109" i="88"/>
  <c r="T59" i="89"/>
  <c r="W59" i="89" s="1"/>
  <c r="AW29" i="87"/>
  <c r="BB29" i="87" s="1"/>
  <c r="AR136" i="88"/>
  <c r="AR158" i="88"/>
  <c r="AV79" i="88"/>
  <c r="AR164" i="88"/>
  <c r="X7" i="95"/>
  <c r="X9" i="95"/>
  <c r="AS22" i="87"/>
  <c r="AX22" i="87" s="1"/>
  <c r="BC22" i="87" s="1"/>
  <c r="AJ22" i="87"/>
  <c r="AL22" i="87" s="1"/>
  <c r="M27" i="87"/>
  <c r="R27" i="87"/>
  <c r="AH11" i="51"/>
  <c r="AH10" i="51" s="1"/>
  <c r="BB148" i="88"/>
  <c r="BC148" i="88"/>
  <c r="S22" i="22"/>
  <c r="CC16" i="51"/>
  <c r="BC115" i="88"/>
  <c r="AR51" i="88"/>
  <c r="G37" i="92"/>
  <c r="G38" i="92" s="1"/>
  <c r="AI11" i="86"/>
  <c r="BE166" i="88"/>
  <c r="AQ71" i="88"/>
  <c r="AR72" i="88" s="1"/>
  <c r="AY16" i="88"/>
  <c r="BC71" i="88"/>
  <c r="Z13" i="24"/>
  <c r="Z10" i="24" s="1"/>
  <c r="AA13" i="24"/>
  <c r="AA10" i="24" s="1"/>
  <c r="E27" i="38"/>
  <c r="E20" i="38" s="1"/>
  <c r="E18" i="38" s="1"/>
  <c r="D62" i="38" s="1"/>
  <c r="BC152" i="88"/>
  <c r="BC77" i="88"/>
  <c r="AO80" i="88"/>
  <c r="M145" i="89"/>
  <c r="S145" i="89"/>
  <c r="AQ108" i="88"/>
  <c r="AK87" i="89"/>
  <c r="AX22" i="89"/>
  <c r="BE34" i="86"/>
  <c r="BB34" i="86"/>
  <c r="BM12" i="86"/>
  <c r="AS34" i="86"/>
  <c r="Z8" i="92"/>
  <c r="Z7" i="92" s="1"/>
  <c r="J24" i="140"/>
  <c r="O24" i="140" s="1"/>
  <c r="T24" i="140" s="1"/>
  <c r="W24" i="140" s="1"/>
  <c r="E6" i="141"/>
  <c r="R55" i="95"/>
  <c r="AR15" i="87"/>
  <c r="AW15" i="87" s="1"/>
  <c r="BB15" i="87" s="1"/>
  <c r="BD139" i="88"/>
  <c r="C5" i="90"/>
  <c r="L5" i="90"/>
  <c r="U13" i="90"/>
  <c r="Y28" i="96"/>
  <c r="Y9" i="96" s="1"/>
  <c r="K36" i="96"/>
  <c r="L36" i="96" s="1"/>
  <c r="K17" i="97"/>
  <c r="I35" i="97"/>
  <c r="S51" i="87"/>
  <c r="AD8" i="87"/>
  <c r="AV90" i="88"/>
  <c r="AY90" i="88" s="1"/>
  <c r="AQ86" i="88"/>
  <c r="AQ91" i="88" s="1"/>
  <c r="AQ95" i="88" s="1"/>
  <c r="BG21" i="86"/>
  <c r="BG17" i="86" s="1"/>
  <c r="O9" i="87"/>
  <c r="W24" i="86"/>
  <c r="AI19" i="88"/>
  <c r="AV19" i="86"/>
  <c r="BM24" i="88"/>
  <c r="BN24" i="88" s="1"/>
  <c r="BO24" i="88" s="1"/>
  <c r="AU12" i="88"/>
  <c r="AN12" i="88"/>
  <c r="AN24" i="88"/>
  <c r="BI28" i="86"/>
  <c r="M15" i="90"/>
  <c r="M13" i="90" s="1"/>
  <c r="Z20" i="95"/>
  <c r="Z25" i="139"/>
  <c r="C17" i="142"/>
  <c r="AF52" i="86"/>
  <c r="R12" i="92"/>
  <c r="R8" i="92" s="1"/>
  <c r="R7" i="92" s="1"/>
  <c r="I32" i="99"/>
  <c r="R32" i="99" s="1"/>
  <c r="H29" i="97"/>
  <c r="F30" i="87"/>
  <c r="BD114" i="88"/>
  <c r="L58" i="139"/>
  <c r="AD27" i="139"/>
  <c r="V20" i="90"/>
  <c r="AD29" i="86"/>
  <c r="AD28" i="86" s="1"/>
  <c r="BN11" i="86"/>
  <c r="H11" i="98"/>
  <c r="AA11" i="96"/>
  <c r="R23" i="96"/>
  <c r="AI23" i="86"/>
  <c r="Z31" i="87"/>
  <c r="U32" i="87"/>
  <c r="AD34" i="87"/>
  <c r="U38" i="139"/>
  <c r="C29" i="140"/>
  <c r="BD100" i="88"/>
  <c r="AZ100" i="88"/>
  <c r="AX27" i="89"/>
  <c r="X54" i="86"/>
  <c r="X52" i="86" s="1"/>
  <c r="AO55" i="86"/>
  <c r="W56" i="86"/>
  <c r="AI57" i="86"/>
  <c r="K11" i="87"/>
  <c r="R11" i="87" s="1"/>
  <c r="AE11" i="87"/>
  <c r="AG11" i="87" s="1"/>
  <c r="U19" i="87"/>
  <c r="U17" i="87" s="1"/>
  <c r="Z20" i="87"/>
  <c r="P24" i="87"/>
  <c r="R24" i="87" s="1"/>
  <c r="Z25" i="87"/>
  <c r="AG25" i="87" s="1"/>
  <c r="U27" i="87"/>
  <c r="P18" i="90"/>
  <c r="Z32" i="139"/>
  <c r="Q45" i="60"/>
  <c r="AH120" i="60"/>
  <c r="J72" i="45"/>
  <c r="I72" i="45" s="1"/>
  <c r="J72" i="152"/>
  <c r="J72" i="153"/>
  <c r="P53" i="151"/>
  <c r="M53" i="151" s="1"/>
  <c r="P40" i="151"/>
  <c r="J53" i="152"/>
  <c r="J53" i="153"/>
  <c r="Y45" i="60"/>
  <c r="Y59" i="60"/>
  <c r="J55" i="46"/>
  <c r="P38" i="151"/>
  <c r="M38" i="151" s="1"/>
  <c r="J55" i="152"/>
  <c r="J55" i="153"/>
  <c r="AH34" i="60"/>
  <c r="AJ45" i="60"/>
  <c r="AH54" i="60"/>
  <c r="AI59" i="60"/>
  <c r="W59" i="60"/>
  <c r="D65" i="45"/>
  <c r="C65" i="45" s="1"/>
  <c r="H67" i="152"/>
  <c r="H67" i="153"/>
  <c r="L50" i="151"/>
  <c r="K49" i="151"/>
  <c r="G66" i="153"/>
  <c r="G66" i="152"/>
  <c r="E58" i="45"/>
  <c r="H66" i="152"/>
  <c r="L49" i="151"/>
  <c r="H66" i="153"/>
  <c r="C57" i="54"/>
  <c r="C56" i="54" s="1"/>
  <c r="M66" i="153"/>
  <c r="M66" i="152"/>
  <c r="U49" i="151"/>
  <c r="H64" i="152"/>
  <c r="L47" i="151"/>
  <c r="H64" i="153"/>
  <c r="L46" i="151"/>
  <c r="H63" i="153"/>
  <c r="H63" i="152"/>
  <c r="H64" i="46"/>
  <c r="H63" i="45"/>
  <c r="H62" i="45" s="1"/>
  <c r="H60" i="152"/>
  <c r="L43" i="151"/>
  <c r="H60" i="153"/>
  <c r="H61" i="153"/>
  <c r="H61" i="152"/>
  <c r="L44" i="151"/>
  <c r="W69" i="43"/>
  <c r="H69" i="43"/>
  <c r="D29" i="45" s="1"/>
  <c r="D69" i="150"/>
  <c r="D68" i="150" s="1"/>
  <c r="H66" i="43"/>
  <c r="D26" i="152" s="1"/>
  <c r="D66" i="150"/>
  <c r="C61" i="154"/>
  <c r="C24" i="154"/>
  <c r="K25" i="46"/>
  <c r="AT61" i="43"/>
  <c r="AT57" i="43" s="1"/>
  <c r="V61" i="43"/>
  <c r="V57" i="43" s="1"/>
  <c r="H64" i="43"/>
  <c r="H64" i="150" s="1"/>
  <c r="G64" i="150" s="1"/>
  <c r="D64" i="150"/>
  <c r="C22" i="154"/>
  <c r="N35" i="150"/>
  <c r="G35" i="43"/>
  <c r="H35" i="150"/>
  <c r="G35" i="150" s="1"/>
  <c r="BL33" i="43"/>
  <c r="BK33" i="43" s="1"/>
  <c r="O33" i="150"/>
  <c r="Z35" i="43"/>
  <c r="AA35" i="150"/>
  <c r="Z35" i="150" s="1"/>
  <c r="AF35" i="43"/>
  <c r="AG35" i="150"/>
  <c r="AF35" i="150" s="1"/>
  <c r="G33" i="43"/>
  <c r="H33" i="150"/>
  <c r="G33" i="150" s="1"/>
  <c r="Z34" i="43"/>
  <c r="AA34" i="150"/>
  <c r="Z34" i="150" s="1"/>
  <c r="I30" i="43"/>
  <c r="I11" i="43" s="1"/>
  <c r="I12" i="43" s="1"/>
  <c r="P122" i="43" s="1"/>
  <c r="I31" i="150"/>
  <c r="H32" i="43"/>
  <c r="I32" i="150"/>
  <c r="BQ32" i="150" s="1"/>
  <c r="AF34" i="43"/>
  <c r="AG34" i="150"/>
  <c r="AF34" i="150" s="1"/>
  <c r="BM31" i="43"/>
  <c r="P31" i="150"/>
  <c r="BL34" i="43"/>
  <c r="BK34" i="43" s="1"/>
  <c r="O34" i="150"/>
  <c r="Y11" i="43"/>
  <c r="Y10" i="43" s="1"/>
  <c r="Y73" i="43" s="1"/>
  <c r="AA31" i="43"/>
  <c r="AA31" i="150" s="1"/>
  <c r="AB31" i="150"/>
  <c r="AA32" i="43"/>
  <c r="AB32" i="150"/>
  <c r="AG31" i="43"/>
  <c r="AH31" i="150"/>
  <c r="AH30" i="150" s="1"/>
  <c r="AF33" i="43"/>
  <c r="AG33" i="150"/>
  <c r="AF33" i="150" s="1"/>
  <c r="Z26" i="43"/>
  <c r="AA26" i="150"/>
  <c r="BL29" i="43"/>
  <c r="BK29" i="43" s="1"/>
  <c r="O29" i="150"/>
  <c r="O25" i="150" s="1"/>
  <c r="T28" i="43"/>
  <c r="U28" i="150"/>
  <c r="T28" i="150" s="1"/>
  <c r="AF26" i="43"/>
  <c r="AF28" i="43"/>
  <c r="AG28" i="150"/>
  <c r="AF28" i="150" s="1"/>
  <c r="Z29" i="43"/>
  <c r="T27" i="43"/>
  <c r="U27" i="150"/>
  <c r="T27" i="150" s="1"/>
  <c r="BA27" i="41"/>
  <c r="BE27" i="41" s="1"/>
  <c r="D27" i="150"/>
  <c r="BM27" i="150" s="1"/>
  <c r="T26" i="43"/>
  <c r="U26" i="150"/>
  <c r="BM26" i="150"/>
  <c r="G26" i="43"/>
  <c r="H26" i="150"/>
  <c r="BP26" i="150" s="1"/>
  <c r="AF29" i="43"/>
  <c r="AG29" i="150"/>
  <c r="AF29" i="150" s="1"/>
  <c r="BE28" i="41"/>
  <c r="F11" i="43"/>
  <c r="F10" i="43" s="1"/>
  <c r="F73" i="43" s="1"/>
  <c r="AF26" i="150"/>
  <c r="N27" i="150"/>
  <c r="BP27" i="150"/>
  <c r="BO27" i="150" s="1"/>
  <c r="G28" i="43"/>
  <c r="H28" i="150"/>
  <c r="G28" i="150" s="1"/>
  <c r="H25" i="43"/>
  <c r="N26" i="150"/>
  <c r="Z27" i="43"/>
  <c r="AA27" i="150"/>
  <c r="Z27" i="150" s="1"/>
  <c r="N28" i="150"/>
  <c r="T29" i="43"/>
  <c r="U29" i="150"/>
  <c r="T29" i="150" s="1"/>
  <c r="G24" i="43"/>
  <c r="H24" i="150"/>
  <c r="G24" i="150" s="1"/>
  <c r="N24" i="43"/>
  <c r="O24" i="150"/>
  <c r="O19" i="150" s="1"/>
  <c r="N20" i="150"/>
  <c r="BP22" i="150"/>
  <c r="BO22" i="150" s="1"/>
  <c r="N22" i="150"/>
  <c r="N23" i="150"/>
  <c r="Z24" i="43"/>
  <c r="AA24" i="150"/>
  <c r="Z24" i="150" s="1"/>
  <c r="T24" i="43"/>
  <c r="U24" i="150"/>
  <c r="T24" i="150" s="1"/>
  <c r="N21" i="150"/>
  <c r="Z22" i="43"/>
  <c r="AA22" i="150"/>
  <c r="Z22" i="150" s="1"/>
  <c r="Z23" i="43"/>
  <c r="AA23" i="150"/>
  <c r="Z23" i="150" s="1"/>
  <c r="AF24" i="43"/>
  <c r="AG24" i="150"/>
  <c r="AF24" i="150" s="1"/>
  <c r="BE24" i="41"/>
  <c r="T23" i="43"/>
  <c r="U23" i="150"/>
  <c r="T23" i="150" s="1"/>
  <c r="Z21" i="43"/>
  <c r="AA21" i="150"/>
  <c r="Z21" i="150" s="1"/>
  <c r="AF22" i="43"/>
  <c r="AG22" i="150"/>
  <c r="AF22" i="150" s="1"/>
  <c r="AF23" i="43"/>
  <c r="AG23" i="150"/>
  <c r="AF23" i="150" s="1"/>
  <c r="T22" i="43"/>
  <c r="U22" i="150"/>
  <c r="T22" i="150" s="1"/>
  <c r="Z20" i="150"/>
  <c r="AF21" i="43"/>
  <c r="AG21" i="150"/>
  <c r="AF21" i="150" s="1"/>
  <c r="T21" i="43"/>
  <c r="U21" i="150"/>
  <c r="T21" i="150" s="1"/>
  <c r="AF20" i="43"/>
  <c r="AG20" i="150"/>
  <c r="T20" i="43"/>
  <c r="U20" i="150"/>
  <c r="N14" i="150"/>
  <c r="Z15" i="43"/>
  <c r="AA15" i="150"/>
  <c r="Z15" i="150" s="1"/>
  <c r="N16" i="150"/>
  <c r="Z17" i="43"/>
  <c r="AA17" i="150"/>
  <c r="Z17" i="150" s="1"/>
  <c r="BE18" i="150"/>
  <c r="T17" i="43"/>
  <c r="U17" i="150"/>
  <c r="T17" i="150" s="1"/>
  <c r="Z14" i="43"/>
  <c r="AA14" i="150"/>
  <c r="AF15" i="43"/>
  <c r="AG15" i="150"/>
  <c r="AF15" i="150" s="1"/>
  <c r="Z16" i="43"/>
  <c r="AA16" i="150"/>
  <c r="Z16" i="150" s="1"/>
  <c r="AF17" i="43"/>
  <c r="AG17" i="150"/>
  <c r="AF17" i="150" s="1"/>
  <c r="T16" i="43"/>
  <c r="U16" i="150"/>
  <c r="T16" i="150" s="1"/>
  <c r="G14" i="43"/>
  <c r="H14" i="150"/>
  <c r="AF14" i="150"/>
  <c r="AF16" i="43"/>
  <c r="AG16" i="150"/>
  <c r="AF16" i="150" s="1"/>
  <c r="AJ13" i="43"/>
  <c r="N16" i="43"/>
  <c r="G15" i="43"/>
  <c r="H15" i="150"/>
  <c r="G15" i="150" s="1"/>
  <c r="G17" i="43"/>
  <c r="H17" i="150"/>
  <c r="G17" i="150" s="1"/>
  <c r="BP18" i="150"/>
  <c r="BO18" i="150" s="1"/>
  <c r="BM18" i="150" s="1"/>
  <c r="G18" i="150"/>
  <c r="N15" i="43"/>
  <c r="O15" i="150"/>
  <c r="N17" i="43"/>
  <c r="O17" i="150"/>
  <c r="AE32" i="92"/>
  <c r="AF33" i="92"/>
  <c r="AR36" i="87"/>
  <c r="AR34" i="87" s="1"/>
  <c r="AO34" i="87" s="1"/>
  <c r="BC121" i="88"/>
  <c r="AQ101" i="88"/>
  <c r="AQ149" i="88" s="1"/>
  <c r="AD32" i="92"/>
  <c r="AD31" i="92" s="1"/>
  <c r="AD41" i="86"/>
  <c r="D21" i="92"/>
  <c r="BA111" i="88"/>
  <c r="BA104" i="88"/>
  <c r="BE104" i="88" s="1"/>
  <c r="BC140" i="88"/>
  <c r="BF108" i="88"/>
  <c r="BH23" i="86"/>
  <c r="BC118" i="88"/>
  <c r="BC137" i="88"/>
  <c r="AH9" i="86"/>
  <c r="AH10" i="86" s="1"/>
  <c r="AP23" i="86"/>
  <c r="AA49" i="86"/>
  <c r="AB49" i="86"/>
  <c r="AC49" i="86" s="1"/>
  <c r="AD49" i="86" s="1"/>
  <c r="BB114" i="88"/>
  <c r="BC114" i="88"/>
  <c r="AQ139" i="88"/>
  <c r="AO139" i="88"/>
  <c r="S108" i="89"/>
  <c r="S109" i="89" s="1"/>
  <c r="F22" i="99"/>
  <c r="S9" i="86"/>
  <c r="S8" i="86" s="1"/>
  <c r="M10" i="87"/>
  <c r="W10" i="87"/>
  <c r="BE110" i="88"/>
  <c r="BH110" i="88" s="1"/>
  <c r="BA136" i="88"/>
  <c r="BE135" i="88"/>
  <c r="BB136" i="88"/>
  <c r="P16" i="90"/>
  <c r="J15" i="90"/>
  <c r="J8" i="90" s="1"/>
  <c r="BB105" i="88"/>
  <c r="AQ68" i="88"/>
  <c r="AQ81" i="88" s="1"/>
  <c r="S54" i="87"/>
  <c r="AV153" i="88"/>
  <c r="AY153" i="88" s="1"/>
  <c r="U8" i="95"/>
  <c r="R14" i="99"/>
  <c r="AQ27" i="87"/>
  <c r="W49" i="86"/>
  <c r="X49" i="86" s="1"/>
  <c r="AQ100" i="88"/>
  <c r="AW100" i="88" s="1"/>
  <c r="Q57" i="90"/>
  <c r="Q49" i="90"/>
  <c r="Q50" i="90" s="1"/>
  <c r="AS28" i="87"/>
  <c r="AX28" i="87" s="1"/>
  <c r="BC28" i="87" s="1"/>
  <c r="AY28" i="87" s="1"/>
  <c r="AJ28" i="87"/>
  <c r="AI84" i="89"/>
  <c r="AJ83" i="89"/>
  <c r="AN83" i="89" s="1"/>
  <c r="AH84" i="89"/>
  <c r="AJ125" i="89"/>
  <c r="AN125" i="89" s="1"/>
  <c r="BB30" i="87"/>
  <c r="AY30" i="87" s="1"/>
  <c r="BD50" i="86"/>
  <c r="BF50" i="86" s="1"/>
  <c r="AX49" i="86"/>
  <c r="AY49" i="86" s="1"/>
  <c r="AO148" i="88"/>
  <c r="C86" i="88"/>
  <c r="N53" i="99"/>
  <c r="N54" i="99" s="1"/>
  <c r="Y17" i="87"/>
  <c r="Y14" i="87" s="1"/>
  <c r="AN26" i="87"/>
  <c r="R35" i="87"/>
  <c r="Z34" i="87"/>
  <c r="R38" i="87"/>
  <c r="AS14" i="88"/>
  <c r="BF22" i="88"/>
  <c r="U8" i="88"/>
  <c r="U9" i="88" s="1"/>
  <c r="AZ153" i="88"/>
  <c r="AZ154" i="88" s="1"/>
  <c r="BF24" i="88"/>
  <c r="AA102" i="89"/>
  <c r="AB102" i="89" s="1"/>
  <c r="D8" i="95"/>
  <c r="AC15" i="139"/>
  <c r="U18" i="139"/>
  <c r="C37" i="141"/>
  <c r="AJ93" i="89"/>
  <c r="AN93" i="89" s="1"/>
  <c r="O52" i="99"/>
  <c r="K53" i="99"/>
  <c r="K54" i="99" s="1"/>
  <c r="K55" i="99" s="1"/>
  <c r="T32" i="99"/>
  <c r="R36" i="99"/>
  <c r="BJ23" i="86"/>
  <c r="AG37" i="86"/>
  <c r="AN23" i="87"/>
  <c r="AS23" i="87" s="1"/>
  <c r="AX23" i="87" s="1"/>
  <c r="E57" i="90"/>
  <c r="C37" i="142"/>
  <c r="AV144" i="88"/>
  <c r="AY144" i="88" s="1"/>
  <c r="BE144" i="88" s="1"/>
  <c r="BH144" i="88" s="1"/>
  <c r="AQ145" i="88"/>
  <c r="AV92" i="88"/>
  <c r="AY92" i="88" s="1"/>
  <c r="AR108" i="88"/>
  <c r="Q109" i="89"/>
  <c r="U109" i="89" s="1"/>
  <c r="R34" i="96"/>
  <c r="F15" i="99"/>
  <c r="H28" i="97"/>
  <c r="P41" i="97"/>
  <c r="X33" i="96"/>
  <c r="R30" i="86"/>
  <c r="AD54" i="95"/>
  <c r="AO40" i="86"/>
  <c r="BG40" i="86"/>
  <c r="AG12" i="92"/>
  <c r="D8" i="94"/>
  <c r="AB8" i="100"/>
  <c r="AA8" i="100" s="1"/>
  <c r="S20" i="100"/>
  <c r="R20" i="100" s="1"/>
  <c r="E30" i="139"/>
  <c r="E32" i="139"/>
  <c r="C17" i="141"/>
  <c r="AI7" i="87"/>
  <c r="AZ80" i="88"/>
  <c r="BF151" i="88"/>
  <c r="BA129" i="88"/>
  <c r="AN13" i="89"/>
  <c r="C8" i="98"/>
  <c r="Q48" i="95"/>
  <c r="U34" i="87"/>
  <c r="R34" i="99"/>
  <c r="AN49" i="86"/>
  <c r="AN8" i="86" s="1"/>
  <c r="AN60" i="86" s="1"/>
  <c r="AI30" i="86"/>
  <c r="V35" i="90"/>
  <c r="C41" i="141"/>
  <c r="C47" i="141"/>
  <c r="C58" i="141"/>
  <c r="C13" i="142"/>
  <c r="BD86" i="88"/>
  <c r="BD129" i="88"/>
  <c r="R31" i="99"/>
  <c r="T5" i="100"/>
  <c r="AD50" i="95"/>
  <c r="C21" i="90"/>
  <c r="AM44" i="86"/>
  <c r="AS19" i="88"/>
  <c r="K25" i="90"/>
  <c r="V26" i="90"/>
  <c r="AA15" i="139"/>
  <c r="C30" i="141"/>
  <c r="C39" i="141"/>
  <c r="AR145" i="88"/>
  <c r="AJ19" i="87"/>
  <c r="AL19" i="87" s="1"/>
  <c r="BM23" i="86"/>
  <c r="BH11" i="86"/>
  <c r="AV171" i="88"/>
  <c r="AZ139" i="88"/>
  <c r="AZ111" i="88"/>
  <c r="U125" i="89"/>
  <c r="R27" i="99"/>
  <c r="BF15" i="88"/>
  <c r="Q53" i="95"/>
  <c r="BM28" i="86"/>
  <c r="AI42" i="86"/>
  <c r="AJ42" i="86" s="1"/>
  <c r="AT19" i="89"/>
  <c r="AX19" i="89" s="1"/>
  <c r="E40" i="139"/>
  <c r="E36" i="139"/>
  <c r="V11" i="90"/>
  <c r="R41" i="99"/>
  <c r="AF51" i="95"/>
  <c r="M8" i="92"/>
  <c r="AO56" i="86"/>
  <c r="AI58" i="86"/>
  <c r="AC59" i="86"/>
  <c r="Z59" i="86" s="1"/>
  <c r="Z13" i="87"/>
  <c r="AN18" i="87"/>
  <c r="T17" i="87"/>
  <c r="T14" i="87" s="1"/>
  <c r="U25" i="87"/>
  <c r="W25" i="87" s="1"/>
  <c r="F37" i="96"/>
  <c r="E38" i="96"/>
  <c r="F38" i="96" s="1"/>
  <c r="L69" i="96" s="1"/>
  <c r="K47" i="96"/>
  <c r="Z44" i="139"/>
  <c r="C21" i="140"/>
  <c r="H21" i="140" s="1"/>
  <c r="E38" i="139"/>
  <c r="AB38" i="139" s="1"/>
  <c r="E43" i="139"/>
  <c r="C56" i="139"/>
  <c r="H56" i="139" s="1"/>
  <c r="C32" i="140"/>
  <c r="H32" i="140" s="1"/>
  <c r="C7" i="141"/>
  <c r="N29" i="38"/>
  <c r="I29" i="38"/>
  <c r="I27" i="38" s="1"/>
  <c r="W19" i="38"/>
  <c r="Z19" i="38" s="1"/>
  <c r="AH180" i="88"/>
  <c r="AV180" i="88" s="1"/>
  <c r="AH189" i="88"/>
  <c r="AI37" i="14"/>
  <c r="I19" i="17" s="1"/>
  <c r="C29" i="38"/>
  <c r="AR85" i="88"/>
  <c r="AR96" i="88" s="1"/>
  <c r="V30" i="100"/>
  <c r="AV147" i="88"/>
  <c r="AY147" i="88" s="1"/>
  <c r="AF61" i="89"/>
  <c r="AX19" i="87"/>
  <c r="BC19" i="87" s="1"/>
  <c r="AO19" i="87"/>
  <c r="AO120" i="88"/>
  <c r="AH120" i="88"/>
  <c r="AR117" i="88"/>
  <c r="AS15" i="87"/>
  <c r="AJ15" i="87"/>
  <c r="AL15" i="87" s="1"/>
  <c r="W27" i="87"/>
  <c r="E8" i="8"/>
  <c r="AA37" i="62"/>
  <c r="C40" i="80" s="1"/>
  <c r="Q16" i="99"/>
  <c r="T16" i="99" s="1"/>
  <c r="N15" i="99"/>
  <c r="AR10" i="11"/>
  <c r="AF37" i="14"/>
  <c r="I18" i="17" s="1"/>
  <c r="C17" i="49"/>
  <c r="I17" i="49" s="1"/>
  <c r="AT29" i="87"/>
  <c r="T14" i="99"/>
  <c r="BD56" i="86"/>
  <c r="BB22" i="87"/>
  <c r="AY22" i="87" s="1"/>
  <c r="AH49" i="88"/>
  <c r="AE53" i="95"/>
  <c r="AC10" i="91"/>
  <c r="L37" i="62"/>
  <c r="AR101" i="88"/>
  <c r="Q6" i="99"/>
  <c r="Q7" i="99" s="1"/>
  <c r="AF56" i="89"/>
  <c r="J6" i="99"/>
  <c r="J7" i="99" s="1"/>
  <c r="I7" i="99" s="1"/>
  <c r="BA56" i="86"/>
  <c r="AR105" i="88"/>
  <c r="AK93" i="89"/>
  <c r="E17" i="96"/>
  <c r="W11" i="86"/>
  <c r="X15" i="86"/>
  <c r="X11" i="86" s="1"/>
  <c r="S8" i="87"/>
  <c r="S7" i="87" s="1"/>
  <c r="S41" i="87" s="1"/>
  <c r="AR39" i="88"/>
  <c r="AF111" i="89"/>
  <c r="AH166" i="88"/>
  <c r="AH165" i="88" s="1"/>
  <c r="H25" i="8"/>
  <c r="F29" i="38"/>
  <c r="E31" i="45"/>
  <c r="E31" i="153"/>
  <c r="E31" i="152"/>
  <c r="C31" i="152" s="1"/>
  <c r="D20" i="49"/>
  <c r="AK27" i="92"/>
  <c r="BA35" i="88"/>
  <c r="BD35" i="88"/>
  <c r="AI78" i="89"/>
  <c r="AJ77" i="89"/>
  <c r="M50" i="99"/>
  <c r="L12" i="99"/>
  <c r="M25" i="97"/>
  <c r="Z9" i="86"/>
  <c r="AV167" i="88"/>
  <c r="BH167" i="88" s="1"/>
  <c r="AH204" i="88"/>
  <c r="AM204" i="88" s="1"/>
  <c r="AH169" i="88"/>
  <c r="AH168" i="88"/>
  <c r="AO168" i="88"/>
  <c r="AH123" i="88"/>
  <c r="AO123" i="88"/>
  <c r="C40" i="83"/>
  <c r="E9" i="49"/>
  <c r="C9" i="49" s="1"/>
  <c r="I9" i="49" s="1"/>
  <c r="AR97" i="88"/>
  <c r="Z54" i="86"/>
  <c r="Z52" i="86" s="1"/>
  <c r="AO111" i="88"/>
  <c r="AW111" i="88" s="1"/>
  <c r="AZ105" i="88"/>
  <c r="AH170" i="88"/>
  <c r="AH120" i="89"/>
  <c r="W16" i="97"/>
  <c r="Q60" i="95"/>
  <c r="AD60" i="95"/>
  <c r="R60" i="95"/>
  <c r="R29" i="100"/>
  <c r="W55" i="86"/>
  <c r="AL12" i="87"/>
  <c r="AA40" i="86"/>
  <c r="AO145" i="88"/>
  <c r="BA120" i="88"/>
  <c r="S43" i="100"/>
  <c r="AA37" i="86"/>
  <c r="AE37" i="86" s="1"/>
  <c r="S70" i="87"/>
  <c r="C39" i="100"/>
  <c r="AP54" i="86"/>
  <c r="AP52" i="86" s="1"/>
  <c r="AD55" i="95"/>
  <c r="X17" i="87"/>
  <c r="X14" i="87" s="1"/>
  <c r="X8" i="87" s="1"/>
  <c r="AA48" i="86"/>
  <c r="AJ39" i="86"/>
  <c r="AI39" i="86" s="1"/>
  <c r="AA14" i="91"/>
  <c r="Q21" i="90"/>
  <c r="AC38" i="86"/>
  <c r="AD38" i="86" s="1"/>
  <c r="M24" i="97"/>
  <c r="P15" i="99"/>
  <c r="N21" i="90"/>
  <c r="AQ123" i="88"/>
  <c r="I15" i="100"/>
  <c r="R38" i="99"/>
  <c r="R25" i="99"/>
  <c r="R23" i="99" s="1"/>
  <c r="Z9" i="87"/>
  <c r="Y51" i="87"/>
  <c r="U51" i="87" s="1"/>
  <c r="AD58" i="95"/>
  <c r="AZ31" i="88"/>
  <c r="J31" i="90"/>
  <c r="P35" i="90"/>
  <c r="AV89" i="88"/>
  <c r="AY89" i="88" s="1"/>
  <c r="BF139" i="88"/>
  <c r="AV163" i="88"/>
  <c r="AY163" i="88" s="1"/>
  <c r="AJ87" i="89"/>
  <c r="AN87" i="89" s="1"/>
  <c r="R20" i="97"/>
  <c r="AI108" i="89"/>
  <c r="AW43" i="86"/>
  <c r="BC43" i="86" s="1"/>
  <c r="BI43" i="86" s="1"/>
  <c r="BO43" i="86" s="1"/>
  <c r="AS49" i="86"/>
  <c r="F30" i="96"/>
  <c r="AF14" i="100"/>
  <c r="AF21" i="100" s="1"/>
  <c r="AF30" i="100" s="1"/>
  <c r="AC37" i="86"/>
  <c r="AJ36" i="86"/>
  <c r="AE26" i="87"/>
  <c r="AG26" i="87" s="1"/>
  <c r="S32" i="99"/>
  <c r="F23" i="100"/>
  <c r="H19" i="97"/>
  <c r="O14" i="87"/>
  <c r="F17" i="96"/>
  <c r="U29" i="87"/>
  <c r="W29" i="87" s="1"/>
  <c r="AH148" i="88"/>
  <c r="AR9" i="88"/>
  <c r="T22" i="99"/>
  <c r="P15" i="97"/>
  <c r="L28" i="100"/>
  <c r="R25" i="87"/>
  <c r="AF17" i="86"/>
  <c r="U28" i="87"/>
  <c r="AC28" i="86"/>
  <c r="V8" i="95"/>
  <c r="P23" i="99"/>
  <c r="P22" i="99" s="1"/>
  <c r="G56" i="95"/>
  <c r="R20" i="99"/>
  <c r="AD54" i="86"/>
  <c r="D43" i="141"/>
  <c r="C43" i="141" s="1"/>
  <c r="Z38" i="139"/>
  <c r="D38" i="141"/>
  <c r="J44" i="139"/>
  <c r="K44" i="139" s="1"/>
  <c r="L44" i="139" s="1"/>
  <c r="Z14" i="139"/>
  <c r="E29" i="139"/>
  <c r="Z30" i="139"/>
  <c r="U48" i="139"/>
  <c r="C9" i="141"/>
  <c r="C19" i="141"/>
  <c r="W32" i="140"/>
  <c r="AN33" i="89"/>
  <c r="AU23" i="88"/>
  <c r="V19" i="90"/>
  <c r="P23" i="90"/>
  <c r="G22" i="90"/>
  <c r="L22" i="90"/>
  <c r="L21" i="90" s="1"/>
  <c r="K32" i="140"/>
  <c r="P32" i="140" s="1"/>
  <c r="O38" i="139"/>
  <c r="Z21" i="139"/>
  <c r="E12" i="139"/>
  <c r="AC27" i="139"/>
  <c r="E31" i="139"/>
  <c r="AB31" i="139" s="1"/>
  <c r="C32" i="141"/>
  <c r="C42" i="141"/>
  <c r="C51" i="141"/>
  <c r="C63" i="141"/>
  <c r="C34" i="142"/>
  <c r="C21" i="141"/>
  <c r="D60" i="141"/>
  <c r="E6" i="142"/>
  <c r="C20" i="142"/>
  <c r="C32" i="142"/>
  <c r="O52" i="90"/>
  <c r="AP40" i="86"/>
  <c r="U13" i="87"/>
  <c r="U9" i="87" s="1"/>
  <c r="AW18" i="88"/>
  <c r="AT29" i="89"/>
  <c r="AX29" i="89" s="1"/>
  <c r="AT31" i="89"/>
  <c r="AX31" i="89" s="1"/>
  <c r="R39" i="96"/>
  <c r="Q39" i="96" s="1"/>
  <c r="W40" i="96"/>
  <c r="X40" i="96" s="1"/>
  <c r="E54" i="96"/>
  <c r="T9" i="97"/>
  <c r="K33" i="97"/>
  <c r="I43" i="97"/>
  <c r="T35" i="97"/>
  <c r="H10" i="98"/>
  <c r="D9" i="98"/>
  <c r="D8" i="98" s="1"/>
  <c r="H24" i="98"/>
  <c r="D22" i="98"/>
  <c r="D31" i="98"/>
  <c r="F16" i="100"/>
  <c r="F15" i="100" s="1"/>
  <c r="C17" i="100"/>
  <c r="C15" i="100" s="1"/>
  <c r="C13" i="100" s="1"/>
  <c r="C20" i="100"/>
  <c r="H23" i="100"/>
  <c r="H22" i="100" s="1"/>
  <c r="H21" i="100" s="1"/>
  <c r="H45" i="100" s="1"/>
  <c r="E23" i="100"/>
  <c r="E22" i="100" s="1"/>
  <c r="E21" i="100" s="1"/>
  <c r="C30" i="100"/>
  <c r="I33" i="100"/>
  <c r="R33" i="100" s="1"/>
  <c r="I35" i="100"/>
  <c r="R35" i="100" s="1"/>
  <c r="F36" i="100"/>
  <c r="L38" i="100"/>
  <c r="R38" i="100" s="1"/>
  <c r="C40" i="100"/>
  <c r="C41" i="100"/>
  <c r="U29" i="139"/>
  <c r="N14" i="140"/>
  <c r="S14" i="140" s="1"/>
  <c r="V14" i="140" s="1"/>
  <c r="U44" i="139"/>
  <c r="T12" i="140"/>
  <c r="W12" i="140" s="1"/>
  <c r="AT26" i="89"/>
  <c r="AX26" i="89" s="1"/>
  <c r="AJ98" i="89"/>
  <c r="AN98" i="89" s="1"/>
  <c r="T8" i="95"/>
  <c r="M8" i="95"/>
  <c r="R24" i="95"/>
  <c r="AC33" i="95"/>
  <c r="AA56" i="95"/>
  <c r="AA38" i="95" s="1"/>
  <c r="U34" i="96"/>
  <c r="AA37" i="96"/>
  <c r="AT12" i="89"/>
  <c r="N22" i="140"/>
  <c r="S22" i="140" s="1"/>
  <c r="V22" i="140" s="1"/>
  <c r="C12" i="140"/>
  <c r="AD34" i="139"/>
  <c r="U24" i="139"/>
  <c r="E45" i="139"/>
  <c r="AC59" i="139"/>
  <c r="C31" i="141"/>
  <c r="C27" i="142"/>
  <c r="C30" i="142"/>
  <c r="H31" i="90"/>
  <c r="J18" i="97"/>
  <c r="J15" i="97" s="1"/>
  <c r="J8" i="97" s="1"/>
  <c r="J7" i="97" s="1"/>
  <c r="Y18" i="97"/>
  <c r="Y15" i="97" s="1"/>
  <c r="J29" i="46"/>
  <c r="I29" i="46" s="1"/>
  <c r="J29" i="153"/>
  <c r="J29" i="152"/>
  <c r="J64" i="43"/>
  <c r="D24" i="152"/>
  <c r="C24" i="152" s="1"/>
  <c r="J60" i="153"/>
  <c r="J60" i="152"/>
  <c r="D26" i="153"/>
  <c r="G64" i="43"/>
  <c r="D24" i="46"/>
  <c r="C24" i="46" s="1"/>
  <c r="H25" i="46"/>
  <c r="D24" i="45"/>
  <c r="C24" i="45" s="1"/>
  <c r="T69" i="43"/>
  <c r="AH61" i="43"/>
  <c r="AH57" i="43" s="1"/>
  <c r="D29" i="152"/>
  <c r="D29" i="153"/>
  <c r="H32" i="46"/>
  <c r="H22" i="46"/>
  <c r="AN61" i="43"/>
  <c r="AN57" i="43" s="1"/>
  <c r="J27" i="4"/>
  <c r="AQ35" i="3"/>
  <c r="AQ30" i="3" s="1"/>
  <c r="AG30" i="3"/>
  <c r="J25" i="4"/>
  <c r="AI10" i="3"/>
  <c r="AI70" i="3" s="1"/>
  <c r="AI12" i="3"/>
  <c r="J19" i="4"/>
  <c r="J20" i="33" s="1"/>
  <c r="Z23" i="4"/>
  <c r="R23" i="4"/>
  <c r="AG77" i="3"/>
  <c r="AW12" i="3"/>
  <c r="G9" i="16"/>
  <c r="G8" i="16" s="1"/>
  <c r="AW10" i="3"/>
  <c r="H21" i="31"/>
  <c r="J57" i="1"/>
  <c r="G57" i="1"/>
  <c r="G21" i="31" s="1"/>
  <c r="AF33" i="48"/>
  <c r="F14" i="15" s="1"/>
  <c r="AH33" i="48"/>
  <c r="Z26" i="37"/>
  <c r="AT20" i="37"/>
  <c r="Z21" i="37"/>
  <c r="I35" i="7"/>
  <c r="AK77" i="3"/>
  <c r="AK72" i="3" s="1"/>
  <c r="AK84" i="3" s="1"/>
  <c r="AK70" i="3"/>
  <c r="D50" i="40"/>
  <c r="D13" i="40"/>
  <c r="D64" i="40"/>
  <c r="D63" i="40"/>
  <c r="R29" i="16"/>
  <c r="T34" i="4"/>
  <c r="I12" i="31"/>
  <c r="P90" i="1"/>
  <c r="J26" i="4"/>
  <c r="J22" i="33" s="1"/>
  <c r="H22" i="33"/>
  <c r="AT25" i="37"/>
  <c r="AQ25" i="37" s="1"/>
  <c r="J30" i="4"/>
  <c r="M35" i="39"/>
  <c r="E18" i="19"/>
  <c r="R12" i="4"/>
  <c r="M35" i="38"/>
  <c r="M35" i="6"/>
  <c r="Z12" i="4"/>
  <c r="M35" i="7"/>
  <c r="AU77" i="3"/>
  <c r="L43" i="6"/>
  <c r="M79" i="6"/>
  <c r="L79" i="6" s="1"/>
  <c r="Q29" i="16"/>
  <c r="BI30" i="5"/>
  <c r="BJ30" i="5" s="1"/>
  <c r="T30" i="4"/>
  <c r="T24" i="37"/>
  <c r="C57" i="66"/>
  <c r="BP17" i="47"/>
  <c r="H17" i="47" s="1"/>
  <c r="H19" i="47"/>
  <c r="P39" i="43" s="1"/>
  <c r="P39" i="150" s="1"/>
  <c r="BQ39" i="150" s="1"/>
  <c r="AR73" i="3"/>
  <c r="AT73" i="3"/>
  <c r="AP75" i="3"/>
  <c r="I73" i="1"/>
  <c r="I10" i="1"/>
  <c r="E12" i="153" s="1"/>
  <c r="E17" i="153" s="1"/>
  <c r="I11" i="31"/>
  <c r="AK12" i="3"/>
  <c r="BI24" i="5"/>
  <c r="BJ24" i="5" s="1"/>
  <c r="BI25" i="5"/>
  <c r="BJ25" i="5" s="1"/>
  <c r="O22" i="4"/>
  <c r="O21" i="33" s="1"/>
  <c r="T30" i="6"/>
  <c r="R30" i="6" s="1"/>
  <c r="T30" i="7"/>
  <c r="R30" i="7" s="1"/>
  <c r="I14" i="31"/>
  <c r="H40" i="1"/>
  <c r="BF40" i="1"/>
  <c r="BA40" i="3"/>
  <c r="BE40" i="3" s="1"/>
  <c r="L40" i="1"/>
  <c r="AL59" i="3"/>
  <c r="AQ18" i="3"/>
  <c r="AQ13" i="3" s="1"/>
  <c r="AQ11" i="3" s="1"/>
  <c r="AG13" i="3"/>
  <c r="R41" i="37"/>
  <c r="Z41" i="37"/>
  <c r="F13" i="16"/>
  <c r="F12" i="16" s="1"/>
  <c r="L50" i="1"/>
  <c r="H50" i="1"/>
  <c r="D15" i="153" s="1"/>
  <c r="C15" i="153" s="1"/>
  <c r="BF50" i="1"/>
  <c r="BA50" i="3"/>
  <c r="D17" i="31"/>
  <c r="BB50" i="3"/>
  <c r="AQ41" i="1"/>
  <c r="K39" i="1"/>
  <c r="BE39" i="1"/>
  <c r="R19" i="4"/>
  <c r="M43" i="39"/>
  <c r="AL68" i="1"/>
  <c r="AI68" i="1" s="1"/>
  <c r="C11" i="1"/>
  <c r="BF42" i="1"/>
  <c r="BA42" i="3"/>
  <c r="H42" i="1"/>
  <c r="D14" i="153" s="1"/>
  <c r="C14" i="153" s="1"/>
  <c r="AL10" i="3"/>
  <c r="AL12" i="3"/>
  <c r="AQ24" i="3"/>
  <c r="AQ19" i="3" s="1"/>
  <c r="AG19" i="3"/>
  <c r="H11" i="16"/>
  <c r="AM10" i="3"/>
  <c r="AM12" i="3"/>
  <c r="Z19" i="4"/>
  <c r="U30" i="39"/>
  <c r="S12" i="1"/>
  <c r="S12" i="31" s="1"/>
  <c r="S10" i="1"/>
  <c r="D39" i="1"/>
  <c r="Y46" i="1"/>
  <c r="U46" i="1"/>
  <c r="T46" i="1" s="1"/>
  <c r="D21" i="1"/>
  <c r="BA21" i="3"/>
  <c r="BE21" i="3" s="1"/>
  <c r="BE21" i="1"/>
  <c r="BH13" i="3"/>
  <c r="AV11" i="3"/>
  <c r="AU10" i="3"/>
  <c r="AU70" i="3" s="1"/>
  <c r="E10" i="16"/>
  <c r="E8" i="16" s="1"/>
  <c r="AQ45" i="1"/>
  <c r="F63" i="40"/>
  <c r="F50" i="40"/>
  <c r="F13" i="40"/>
  <c r="F64" i="40"/>
  <c r="G65" i="9"/>
  <c r="G64" i="9"/>
  <c r="G51" i="9"/>
  <c r="G14" i="9"/>
  <c r="C22" i="16"/>
  <c r="G30" i="1"/>
  <c r="G14" i="31" s="1"/>
  <c r="BH32" i="1"/>
  <c r="BA70" i="41"/>
  <c r="BA68" i="3"/>
  <c r="K118" i="60"/>
  <c r="T22" i="4"/>
  <c r="Z24" i="4"/>
  <c r="M43" i="7"/>
  <c r="L43" i="7" s="1"/>
  <c r="M43" i="38"/>
  <c r="L43" i="38" s="1"/>
  <c r="H45" i="34"/>
  <c r="F45" i="34" s="1"/>
  <c r="H42" i="34"/>
  <c r="F42" i="34" s="1"/>
  <c r="L19" i="33"/>
  <c r="H42" i="7"/>
  <c r="L17" i="4"/>
  <c r="H23" i="31"/>
  <c r="J69" i="1"/>
  <c r="G33" i="31"/>
  <c r="AJ60" i="3"/>
  <c r="AQ60" i="3"/>
  <c r="AQ59" i="3" s="1"/>
  <c r="E16" i="16"/>
  <c r="AW55" i="3"/>
  <c r="G18" i="16"/>
  <c r="G16" i="16" s="1"/>
  <c r="AV65" i="3"/>
  <c r="BF66" i="3"/>
  <c r="BF65" i="3" s="1"/>
  <c r="AW75" i="3"/>
  <c r="G14" i="16" s="1"/>
  <c r="BJ66" i="41"/>
  <c r="BQ46" i="43"/>
  <c r="BR46" i="43" s="1"/>
  <c r="BH46" i="3"/>
  <c r="BF46" i="3"/>
  <c r="G64" i="40"/>
  <c r="G13" i="40"/>
  <c r="AZ61" i="3"/>
  <c r="BE61" i="3"/>
  <c r="AY59" i="3"/>
  <c r="AY58" i="3" s="1"/>
  <c r="D28" i="31"/>
  <c r="BA66" i="41"/>
  <c r="BE66" i="41" s="1"/>
  <c r="BA64" i="3"/>
  <c r="BE64" i="3" s="1"/>
  <c r="H64" i="1"/>
  <c r="BI61" i="3"/>
  <c r="BI59" i="3" s="1"/>
  <c r="AA61" i="1"/>
  <c r="BI63" i="41"/>
  <c r="V19" i="39"/>
  <c r="S19" i="6"/>
  <c r="V19" i="38"/>
  <c r="T20" i="1"/>
  <c r="T19" i="1" s="1"/>
  <c r="U19" i="1"/>
  <c r="AB15" i="38"/>
  <c r="AO14" i="37"/>
  <c r="AL14" i="37" s="1"/>
  <c r="AN14" i="37" s="1"/>
  <c r="Y15" i="7"/>
  <c r="AX50" i="1"/>
  <c r="AB15" i="39"/>
  <c r="AA15" i="39" s="1"/>
  <c r="Y15" i="6"/>
  <c r="X15" i="6" s="1"/>
  <c r="G31" i="33"/>
  <c r="G35" i="4"/>
  <c r="G27" i="33" s="1"/>
  <c r="L31" i="33"/>
  <c r="T29" i="6"/>
  <c r="W29" i="6" s="1"/>
  <c r="Z29" i="6" s="1"/>
  <c r="X29" i="6" s="1"/>
  <c r="Q29" i="6"/>
  <c r="C38" i="6"/>
  <c r="G27" i="7"/>
  <c r="F28" i="7"/>
  <c r="AY75" i="3"/>
  <c r="I14" i="16" s="1"/>
  <c r="I13" i="16" s="1"/>
  <c r="I12" i="16" s="1"/>
  <c r="C28" i="31"/>
  <c r="BJ60" i="3"/>
  <c r="AB19" i="39"/>
  <c r="Y19" i="7"/>
  <c r="P52" i="1"/>
  <c r="M52" i="1"/>
  <c r="U44" i="37"/>
  <c r="P42" i="37"/>
  <c r="X15" i="38"/>
  <c r="T52" i="1"/>
  <c r="T51" i="1" s="1"/>
  <c r="T18" i="31" s="1"/>
  <c r="U51" i="1"/>
  <c r="U18" i="31" s="1"/>
  <c r="AI11" i="1"/>
  <c r="AP11" i="1" s="1"/>
  <c r="AJ19" i="1"/>
  <c r="AP30" i="1"/>
  <c r="AJ30" i="1"/>
  <c r="BM69" i="3"/>
  <c r="BM71" i="41"/>
  <c r="AM59" i="3"/>
  <c r="AN61" i="3"/>
  <c r="AN59" i="3" s="1"/>
  <c r="AM62" i="3"/>
  <c r="AN64" i="3"/>
  <c r="AN62" i="3" s="1"/>
  <c r="BB76" i="3"/>
  <c r="L15" i="16" s="1"/>
  <c r="BY20" i="3"/>
  <c r="BZ20" i="3" s="1"/>
  <c r="BF27" i="3"/>
  <c r="BF25" i="3" s="1"/>
  <c r="BY27" i="3"/>
  <c r="BZ27" i="3" s="1"/>
  <c r="BE20" i="1"/>
  <c r="D20" i="1"/>
  <c r="AL62" i="3"/>
  <c r="C14" i="16"/>
  <c r="C13" i="16" s="1"/>
  <c r="C12" i="16" s="1"/>
  <c r="AQ86" i="3"/>
  <c r="G27" i="38"/>
  <c r="F28" i="38"/>
  <c r="D18" i="31"/>
  <c r="L51" i="1"/>
  <c r="L18" i="31" s="1"/>
  <c r="BF30" i="1"/>
  <c r="I22" i="31"/>
  <c r="I55" i="1"/>
  <c r="I19" i="31" s="1"/>
  <c r="BE62" i="41"/>
  <c r="D65" i="1"/>
  <c r="D29" i="31" s="1"/>
  <c r="BA68" i="41"/>
  <c r="BA66" i="3"/>
  <c r="N21" i="1"/>
  <c r="N31" i="1"/>
  <c r="O30" i="1"/>
  <c r="O14" i="31" s="1"/>
  <c r="L53" i="6"/>
  <c r="AA66" i="1"/>
  <c r="W65" i="1"/>
  <c r="S16" i="38"/>
  <c r="V36" i="39"/>
  <c r="S36" i="7"/>
  <c r="V36" i="38"/>
  <c r="I21" i="19"/>
  <c r="S36" i="6"/>
  <c r="BR56" i="3"/>
  <c r="Y17" i="16"/>
  <c r="S17" i="16"/>
  <c r="BL56" i="3"/>
  <c r="X16" i="38"/>
  <c r="W14" i="37"/>
  <c r="U15" i="45"/>
  <c r="BE53" i="3"/>
  <c r="BE51" i="3" s="1"/>
  <c r="BA51" i="3"/>
  <c r="K10" i="16" s="1"/>
  <c r="Z27" i="1"/>
  <c r="Z25" i="1" s="1"/>
  <c r="AA25" i="1"/>
  <c r="Y29" i="39"/>
  <c r="V29" i="7"/>
  <c r="AR67" i="1"/>
  <c r="V29" i="6"/>
  <c r="Y29" i="38"/>
  <c r="AZ58" i="1"/>
  <c r="AZ55" i="1" s="1"/>
  <c r="BB30" i="3"/>
  <c r="BF31" i="3"/>
  <c r="BY31" i="3"/>
  <c r="BZ31" i="3" s="1"/>
  <c r="BY45" i="3"/>
  <c r="BZ45" i="3" s="1"/>
  <c r="BF20" i="3"/>
  <c r="BY36" i="3"/>
  <c r="BZ36" i="3" s="1"/>
  <c r="BQ36" i="43"/>
  <c r="BR36" i="43" s="1"/>
  <c r="C17" i="31"/>
  <c r="BE50" i="1"/>
  <c r="BA36" i="3"/>
  <c r="BE36" i="3" s="1"/>
  <c r="BF36" i="1"/>
  <c r="O13" i="1"/>
  <c r="N14" i="1"/>
  <c r="P29" i="6"/>
  <c r="O29" i="6" s="1"/>
  <c r="P29" i="39"/>
  <c r="P29" i="38"/>
  <c r="L53" i="7"/>
  <c r="L53" i="38"/>
  <c r="AB19" i="38"/>
  <c r="AN10" i="3"/>
  <c r="AN5" i="3" s="1"/>
  <c r="AA60" i="1"/>
  <c r="BI62" i="41"/>
  <c r="W59" i="1"/>
  <c r="S19" i="7"/>
  <c r="BJ58" i="41"/>
  <c r="BS58" i="41"/>
  <c r="J16" i="34"/>
  <c r="I16" i="34" s="1"/>
  <c r="J16" i="6"/>
  <c r="I16" i="6" s="1"/>
  <c r="J16" i="35"/>
  <c r="I16" i="35" s="1"/>
  <c r="T47" i="1"/>
  <c r="AM13" i="1"/>
  <c r="AL14" i="1"/>
  <c r="AL13" i="1" s="1"/>
  <c r="AJ25" i="1"/>
  <c r="AP25" i="1"/>
  <c r="AY13" i="1"/>
  <c r="AX14" i="1"/>
  <c r="AX13" i="1" s="1"/>
  <c r="Q69" i="1"/>
  <c r="T33" i="31"/>
  <c r="AR37" i="3"/>
  <c r="AT37" i="3"/>
  <c r="D20" i="16"/>
  <c r="AE20" i="16" s="1"/>
  <c r="F14" i="9"/>
  <c r="F64" i="9"/>
  <c r="BE23" i="3"/>
  <c r="AZ88" i="3"/>
  <c r="BY42" i="3"/>
  <c r="BZ42" i="3" s="1"/>
  <c r="BF42" i="3"/>
  <c r="D59" i="1"/>
  <c r="H60" i="1"/>
  <c r="D24" i="31"/>
  <c r="BA60" i="3"/>
  <c r="BA59" i="3" s="1"/>
  <c r="BF37" i="1"/>
  <c r="BA37" i="3"/>
  <c r="BE37" i="3" s="1"/>
  <c r="Y11" i="1"/>
  <c r="BB25" i="3"/>
  <c r="BH15" i="1"/>
  <c r="BH22" i="1"/>
  <c r="J58" i="39"/>
  <c r="BI67" i="41"/>
  <c r="BJ68" i="41"/>
  <c r="AP19" i="1"/>
  <c r="AO14" i="4"/>
  <c r="T40" i="1"/>
  <c r="T15" i="31" s="1"/>
  <c r="J55" i="34"/>
  <c r="J53" i="7"/>
  <c r="J53" i="39"/>
  <c r="P36" i="4"/>
  <c r="J53" i="38"/>
  <c r="J55" i="35"/>
  <c r="P29" i="33"/>
  <c r="AP56" i="3"/>
  <c r="AT57" i="3"/>
  <c r="AH45" i="1"/>
  <c r="P15" i="38"/>
  <c r="P15" i="39"/>
  <c r="Z14" i="4"/>
  <c r="AF50" i="1"/>
  <c r="P15" i="7"/>
  <c r="V58" i="1"/>
  <c r="V26" i="31"/>
  <c r="AD77" i="3"/>
  <c r="AD72" i="3" s="1"/>
  <c r="AD84" i="3" s="1"/>
  <c r="R10" i="16"/>
  <c r="D13" i="1"/>
  <c r="C16" i="31"/>
  <c r="AH65" i="3"/>
  <c r="AJ64" i="3"/>
  <c r="AJ62" i="3" s="1"/>
  <c r="AQ64" i="3"/>
  <c r="AQ62" i="3" s="1"/>
  <c r="AX55" i="3"/>
  <c r="F28" i="6"/>
  <c r="M41" i="37"/>
  <c r="U45" i="1"/>
  <c r="T45" i="1" s="1"/>
  <c r="F28" i="39"/>
  <c r="F27" i="39" s="1"/>
  <c r="J84" i="46"/>
  <c r="I84" i="46" s="1"/>
  <c r="BF39" i="3"/>
  <c r="H14" i="9"/>
  <c r="H51" i="9"/>
  <c r="H65" i="9"/>
  <c r="L36" i="1"/>
  <c r="G66" i="1"/>
  <c r="D28" i="38"/>
  <c r="H30" i="31"/>
  <c r="BF14" i="1"/>
  <c r="BA14" i="3"/>
  <c r="BJ67" i="3"/>
  <c r="V73" i="7"/>
  <c r="I22" i="35"/>
  <c r="I21" i="35" s="1"/>
  <c r="J21" i="35"/>
  <c r="W22" i="16"/>
  <c r="BP69" i="3"/>
  <c r="AG30" i="1"/>
  <c r="AF31" i="1"/>
  <c r="AF30" i="1" s="1"/>
  <c r="AS13" i="1"/>
  <c r="AR14" i="1"/>
  <c r="AR13" i="1" s="1"/>
  <c r="AR32" i="1"/>
  <c r="AR30" i="1" s="1"/>
  <c r="AS30" i="1"/>
  <c r="P19" i="38"/>
  <c r="P19" i="39"/>
  <c r="P19" i="7"/>
  <c r="K32" i="16"/>
  <c r="K23" i="16" s="1"/>
  <c r="BA9" i="5"/>
  <c r="P49" i="1"/>
  <c r="O49" i="1" s="1"/>
  <c r="N49" i="1" s="1"/>
  <c r="H49" i="1"/>
  <c r="G49" i="1" s="1"/>
  <c r="G50" i="40"/>
  <c r="M53" i="39"/>
  <c r="Z37" i="4"/>
  <c r="R37" i="4"/>
  <c r="T20" i="31"/>
  <c r="AG14" i="4"/>
  <c r="K24" i="19"/>
  <c r="V37" i="6"/>
  <c r="Y37" i="39"/>
  <c r="V37" i="7"/>
  <c r="Y37" i="38"/>
  <c r="J54" i="38"/>
  <c r="I54" i="38" s="1"/>
  <c r="J56" i="35"/>
  <c r="I56" i="35" s="1"/>
  <c r="M38" i="4"/>
  <c r="M30" i="33" s="1"/>
  <c r="P30" i="33"/>
  <c r="J54" i="6"/>
  <c r="U38" i="4"/>
  <c r="J21" i="39"/>
  <c r="X17" i="16"/>
  <c r="AN75" i="3"/>
  <c r="T14" i="1"/>
  <c r="T13" i="1" s="1"/>
  <c r="U13" i="1"/>
  <c r="AG19" i="1"/>
  <c r="AF22" i="1"/>
  <c r="AF19" i="1" s="1"/>
  <c r="V16" i="38"/>
  <c r="AL47" i="1"/>
  <c r="V16" i="39"/>
  <c r="U16" i="39" s="1"/>
  <c r="S16" i="7"/>
  <c r="R16" i="46"/>
  <c r="S16" i="6"/>
  <c r="R16" i="6" s="1"/>
  <c r="AX19" i="1"/>
  <c r="AH76" i="3"/>
  <c r="AH13" i="3"/>
  <c r="AR14" i="3"/>
  <c r="AR13" i="3" s="1"/>
  <c r="R27" i="16"/>
  <c r="BK32" i="5"/>
  <c r="Y32" i="4"/>
  <c r="BM16" i="5"/>
  <c r="BN16" i="5" s="1"/>
  <c r="AD16" i="4"/>
  <c r="BO15" i="5"/>
  <c r="BP15" i="5" s="1"/>
  <c r="AI15" i="4"/>
  <c r="AN15" i="4"/>
  <c r="O45" i="1"/>
  <c r="N45" i="1" s="1"/>
  <c r="BH45" i="1" s="1"/>
  <c r="J16" i="44"/>
  <c r="N66" i="1"/>
  <c r="G28" i="35"/>
  <c r="G63" i="40"/>
  <c r="AY30" i="3"/>
  <c r="AY11" i="3" s="1"/>
  <c r="BQ39" i="43"/>
  <c r="BR39" i="43" s="1"/>
  <c r="BH39" i="3"/>
  <c r="BF45" i="3"/>
  <c r="BH45" i="3"/>
  <c r="G25" i="1"/>
  <c r="BH25" i="1" s="1"/>
  <c r="C23" i="31"/>
  <c r="C62" i="1"/>
  <c r="C26" i="31" s="1"/>
  <c r="D63" i="1"/>
  <c r="BF43" i="1"/>
  <c r="BA43" i="3"/>
  <c r="BE43" i="3" s="1"/>
  <c r="L43" i="1"/>
  <c r="P43" i="1" s="1"/>
  <c r="BH17" i="1"/>
  <c r="BI13" i="5"/>
  <c r="M44" i="37"/>
  <c r="M42" i="37" s="1"/>
  <c r="I22" i="7"/>
  <c r="I21" i="7" s="1"/>
  <c r="J21" i="7"/>
  <c r="R19" i="46"/>
  <c r="P54" i="1"/>
  <c r="O54" i="1" s="1"/>
  <c r="N54" i="1" s="1"/>
  <c r="AF27" i="1"/>
  <c r="AF25" i="1" s="1"/>
  <c r="AG25" i="1"/>
  <c r="V14" i="38"/>
  <c r="S14" i="7"/>
  <c r="V72" i="7" s="1"/>
  <c r="V14" i="39"/>
  <c r="AJ10" i="3"/>
  <c r="AD32" i="4"/>
  <c r="AL17" i="5"/>
  <c r="AT18" i="5"/>
  <c r="AM54" i="1"/>
  <c r="AL54" i="1" s="1"/>
  <c r="AL51" i="1" s="1"/>
  <c r="BM54" i="3"/>
  <c r="BN54" i="3" s="1"/>
  <c r="AB10" i="3"/>
  <c r="AB12" i="3"/>
  <c r="BD20" i="3"/>
  <c r="BD19" i="3" s="1"/>
  <c r="BC19" i="3"/>
  <c r="U57" i="45"/>
  <c r="W83" i="46"/>
  <c r="Z83" i="46"/>
  <c r="R48" i="6"/>
  <c r="S82" i="6"/>
  <c r="R82" i="6" s="1"/>
  <c r="V49" i="43"/>
  <c r="V49" i="150" s="1"/>
  <c r="D35" i="14"/>
  <c r="F37" i="62"/>
  <c r="C40" i="73" s="1"/>
  <c r="H37" i="14"/>
  <c r="I10" i="17" s="1"/>
  <c r="AM37" i="62"/>
  <c r="C40" i="84" s="1"/>
  <c r="AO37" i="14"/>
  <c r="I21" i="17" s="1"/>
  <c r="AK36" i="5"/>
  <c r="AK35" i="5" s="1"/>
  <c r="AK9" i="5" s="1"/>
  <c r="AL38" i="5"/>
  <c r="BN52" i="3"/>
  <c r="BC76" i="3"/>
  <c r="M15" i="16" s="1"/>
  <c r="H43" i="35"/>
  <c r="H43" i="6"/>
  <c r="F43" i="6" s="1"/>
  <c r="H43" i="38"/>
  <c r="H43" i="34"/>
  <c r="H43" i="7"/>
  <c r="F43" i="7" s="1"/>
  <c r="H60" i="39"/>
  <c r="L36" i="33"/>
  <c r="H60" i="7"/>
  <c r="H58" i="7" s="1"/>
  <c r="H51" i="7" s="1"/>
  <c r="H62" i="34"/>
  <c r="H60" i="34" s="1"/>
  <c r="H60" i="6"/>
  <c r="H58" i="6" s="1"/>
  <c r="Q13" i="37"/>
  <c r="K14" i="39"/>
  <c r="T14" i="39" s="1"/>
  <c r="K14" i="35"/>
  <c r="K14" i="6"/>
  <c r="K14" i="7"/>
  <c r="Q13" i="4"/>
  <c r="K14" i="38"/>
  <c r="BT18" i="3"/>
  <c r="BV39" i="3"/>
  <c r="BT39" i="3"/>
  <c r="BV50" i="3"/>
  <c r="BN28" i="3"/>
  <c r="BN25" i="3" s="1"/>
  <c r="BS28" i="3"/>
  <c r="BM25" i="3"/>
  <c r="BP43" i="3"/>
  <c r="BV43" i="3" s="1"/>
  <c r="BS43" i="3"/>
  <c r="M20" i="37"/>
  <c r="BO16" i="5"/>
  <c r="BP16" i="5" s="1"/>
  <c r="AI16" i="4"/>
  <c r="AN16" i="4"/>
  <c r="E10" i="8"/>
  <c r="D28" i="8"/>
  <c r="D47" i="8" s="1"/>
  <c r="C47" i="8" s="1"/>
  <c r="H44" i="35"/>
  <c r="F44" i="35" s="1"/>
  <c r="L21" i="33"/>
  <c r="C43" i="7"/>
  <c r="C35" i="7"/>
  <c r="K83" i="6"/>
  <c r="I83" i="6" s="1"/>
  <c r="N83" i="6"/>
  <c r="O15" i="4"/>
  <c r="O15" i="33" s="1"/>
  <c r="D23" i="34"/>
  <c r="C23" i="34" s="1"/>
  <c r="F38" i="37"/>
  <c r="BE26" i="3"/>
  <c r="BE25" i="3" s="1"/>
  <c r="BF34" i="3"/>
  <c r="BY69" i="3"/>
  <c r="BZ69" i="3" s="1"/>
  <c r="P19" i="92"/>
  <c r="E14" i="34"/>
  <c r="E14" i="39"/>
  <c r="E14" i="7"/>
  <c r="E14" i="6"/>
  <c r="G13" i="4"/>
  <c r="O25" i="1"/>
  <c r="M29" i="7"/>
  <c r="M29" i="39"/>
  <c r="J60" i="7"/>
  <c r="R39" i="45"/>
  <c r="I24" i="19"/>
  <c r="S37" i="6"/>
  <c r="V37" i="38"/>
  <c r="U37" i="38" s="1"/>
  <c r="AB14" i="4"/>
  <c r="Z47" i="1"/>
  <c r="M16" i="39"/>
  <c r="L16" i="39" s="1"/>
  <c r="M16" i="7"/>
  <c r="AR21" i="1"/>
  <c r="AR19" i="1" s="1"/>
  <c r="AS19" i="1"/>
  <c r="Y14" i="39"/>
  <c r="X14" i="39" s="1"/>
  <c r="AR42" i="1"/>
  <c r="AJ13" i="4"/>
  <c r="Y16" i="39"/>
  <c r="X16" i="39" s="1"/>
  <c r="AY30" i="1"/>
  <c r="M19" i="39"/>
  <c r="M19" i="6"/>
  <c r="AR30" i="3"/>
  <c r="E40" i="38"/>
  <c r="E44" i="38" s="1"/>
  <c r="E40" i="7"/>
  <c r="E44" i="7" s="1"/>
  <c r="E40" i="35"/>
  <c r="E46" i="35" s="1"/>
  <c r="BN32" i="5"/>
  <c r="V27" i="16" s="1"/>
  <c r="L42" i="4"/>
  <c r="L34" i="33" s="1"/>
  <c r="AI36" i="5"/>
  <c r="AI35" i="5" s="1"/>
  <c r="AQ38" i="5"/>
  <c r="AQ36" i="5" s="1"/>
  <c r="AN36" i="5"/>
  <c r="AM39" i="5"/>
  <c r="AM35" i="5" s="1"/>
  <c r="AQ40" i="5"/>
  <c r="AQ39" i="5" s="1"/>
  <c r="AQ11" i="5"/>
  <c r="AR16" i="5"/>
  <c r="D29" i="16"/>
  <c r="C33" i="8"/>
  <c r="I25" i="8"/>
  <c r="Q25" i="8"/>
  <c r="K78" i="6"/>
  <c r="AI51" i="1"/>
  <c r="AJ51" i="1" s="1"/>
  <c r="BQ51" i="41"/>
  <c r="BR52" i="41"/>
  <c r="BR51" i="41" s="1"/>
  <c r="AA11" i="3"/>
  <c r="AB58" i="3"/>
  <c r="AB55" i="3" s="1"/>
  <c r="AD11" i="3"/>
  <c r="BS39" i="3"/>
  <c r="BT17" i="3"/>
  <c r="BT35" i="3"/>
  <c r="BJ46" i="3"/>
  <c r="BK25" i="3"/>
  <c r="BL27" i="3"/>
  <c r="BL76" i="3" s="1"/>
  <c r="T15" i="16" s="1"/>
  <c r="BL34" i="3"/>
  <c r="BL30" i="3" s="1"/>
  <c r="BR23" i="3"/>
  <c r="BT23" i="3" s="1"/>
  <c r="BS23" i="3"/>
  <c r="BQ19" i="3"/>
  <c r="R33" i="16"/>
  <c r="S61" i="38"/>
  <c r="I14" i="21"/>
  <c r="H11" i="21"/>
  <c r="K21" i="26"/>
  <c r="G19" i="26"/>
  <c r="AF47" i="1"/>
  <c r="P16" i="7"/>
  <c r="P16" i="39"/>
  <c r="AL31" i="1"/>
  <c r="AJ54" i="1"/>
  <c r="P37" i="37"/>
  <c r="J22" i="6"/>
  <c r="J22" i="34"/>
  <c r="T60" i="1"/>
  <c r="U24" i="31"/>
  <c r="AS56" i="1"/>
  <c r="AR57" i="1"/>
  <c r="AR56" i="1" s="1"/>
  <c r="AP61" i="3"/>
  <c r="AP59" i="3" s="1"/>
  <c r="AP58" i="3" s="1"/>
  <c r="AO59" i="3"/>
  <c r="AO58" i="3" s="1"/>
  <c r="AO55" i="3" s="1"/>
  <c r="AO77" i="3" s="1"/>
  <c r="AH19" i="3"/>
  <c r="AT19" i="3" s="1"/>
  <c r="BF43" i="3"/>
  <c r="BH43" i="3"/>
  <c r="BF48" i="3"/>
  <c r="BH48" i="3"/>
  <c r="BY48" i="3"/>
  <c r="BZ48" i="3" s="1"/>
  <c r="BB43" i="5"/>
  <c r="Q35" i="4"/>
  <c r="Q27" i="33" s="1"/>
  <c r="AX35" i="5"/>
  <c r="AR18" i="5"/>
  <c r="AR27" i="5"/>
  <c r="BF15" i="5"/>
  <c r="AJ11" i="5"/>
  <c r="AJ10" i="5" s="1"/>
  <c r="AS52" i="1"/>
  <c r="AV52" i="1"/>
  <c r="H57" i="34"/>
  <c r="H53" i="34" s="1"/>
  <c r="N24" i="6"/>
  <c r="Q25" i="6"/>
  <c r="Q24" i="6" s="1"/>
  <c r="BS48" i="3"/>
  <c r="BI76" i="3"/>
  <c r="Q15" i="16" s="1"/>
  <c r="BT36" i="3"/>
  <c r="BL13" i="3"/>
  <c r="BN22" i="3"/>
  <c r="BN19" i="3" s="1"/>
  <c r="BM76" i="3"/>
  <c r="U15" i="16" s="1"/>
  <c r="BS26" i="3"/>
  <c r="BO25" i="3"/>
  <c r="BR30" i="3"/>
  <c r="BP37" i="3"/>
  <c r="Q71" i="7"/>
  <c r="J11" i="1"/>
  <c r="BK69" i="41"/>
  <c r="BK67" i="3"/>
  <c r="BL67" i="3" s="1"/>
  <c r="AU10" i="1"/>
  <c r="AV11" i="1"/>
  <c r="U44" i="4"/>
  <c r="J60" i="6"/>
  <c r="J62" i="34"/>
  <c r="M44" i="4"/>
  <c r="P36" i="33"/>
  <c r="J19" i="34"/>
  <c r="J19" i="6"/>
  <c r="J19" i="39"/>
  <c r="M74" i="38"/>
  <c r="BS71" i="41"/>
  <c r="J18" i="31"/>
  <c r="BE51" i="1"/>
  <c r="H54" i="1"/>
  <c r="H51" i="1" s="1"/>
  <c r="H18" i="31" s="1"/>
  <c r="F51" i="1"/>
  <c r="U42" i="1"/>
  <c r="Z13" i="37"/>
  <c r="AF42" i="1"/>
  <c r="P14" i="38"/>
  <c r="Z13" i="4"/>
  <c r="R15" i="46"/>
  <c r="S15" i="6"/>
  <c r="R15" i="6" s="1"/>
  <c r="V15" i="38"/>
  <c r="AE14" i="37"/>
  <c r="AB14" i="37" s="1"/>
  <c r="AY19" i="1"/>
  <c r="AY52" i="1"/>
  <c r="AL67" i="3"/>
  <c r="AL65" i="3" s="1"/>
  <c r="AQ67" i="3"/>
  <c r="AQ65" i="3" s="1"/>
  <c r="BF21" i="3"/>
  <c r="BY21" i="3"/>
  <c r="BZ21" i="3" s="1"/>
  <c r="F17" i="4"/>
  <c r="AG9" i="5"/>
  <c r="AM10" i="5"/>
  <c r="BI16" i="5"/>
  <c r="Y16" i="4"/>
  <c r="BK15" i="5"/>
  <c r="BL15" i="5" s="1"/>
  <c r="AD15" i="4"/>
  <c r="AN39" i="5"/>
  <c r="AT39" i="5" s="1"/>
  <c r="AR41" i="5"/>
  <c r="AH17" i="5"/>
  <c r="AT20" i="5"/>
  <c r="E32" i="8"/>
  <c r="E28" i="8" s="1"/>
  <c r="BO52" i="41"/>
  <c r="AV53" i="1"/>
  <c r="AW53" i="1"/>
  <c r="AY53" i="1" s="1"/>
  <c r="AX53" i="1" s="1"/>
  <c r="BQ53" i="3"/>
  <c r="BC30" i="3"/>
  <c r="BD31" i="3"/>
  <c r="BD30" i="3" s="1"/>
  <c r="BD51" i="3"/>
  <c r="N10" i="16" s="1"/>
  <c r="AC73" i="39"/>
  <c r="F59" i="6"/>
  <c r="BS20" i="3"/>
  <c r="BT24" i="3"/>
  <c r="BV47" i="3"/>
  <c r="BP20" i="3"/>
  <c r="BP19" i="3" s="1"/>
  <c r="BO19" i="3"/>
  <c r="Q33" i="16"/>
  <c r="Z85" i="46"/>
  <c r="X85" i="46" s="1"/>
  <c r="X42" i="46"/>
  <c r="L27" i="19"/>
  <c r="L26" i="19" s="1"/>
  <c r="K26" i="19"/>
  <c r="S39" i="7"/>
  <c r="R39" i="7" s="1"/>
  <c r="R42" i="45"/>
  <c r="V39" i="39"/>
  <c r="I27" i="19"/>
  <c r="V39" i="38"/>
  <c r="U39" i="38" s="1"/>
  <c r="S39" i="6"/>
  <c r="V88" i="22"/>
  <c r="V48" i="22"/>
  <c r="V90" i="22" s="1"/>
  <c r="D16" i="39"/>
  <c r="C16" i="39" s="1"/>
  <c r="D16" i="7"/>
  <c r="BY49" i="3"/>
  <c r="BZ49" i="3" s="1"/>
  <c r="AZ62" i="3"/>
  <c r="I27" i="6"/>
  <c r="Y74" i="7"/>
  <c r="U16" i="7"/>
  <c r="R29" i="6"/>
  <c r="T31" i="1"/>
  <c r="T30" i="1" s="1"/>
  <c r="T14" i="31" s="1"/>
  <c r="Z15" i="1"/>
  <c r="Z13" i="1" s="1"/>
  <c r="AA13" i="1"/>
  <c r="X30" i="1"/>
  <c r="W11" i="1"/>
  <c r="M15" i="7"/>
  <c r="U14" i="37"/>
  <c r="R14" i="37" s="1"/>
  <c r="Z50" i="1"/>
  <c r="U14" i="4"/>
  <c r="U11" i="4" s="1"/>
  <c r="Z54" i="1"/>
  <c r="Z51" i="1" s="1"/>
  <c r="AC12" i="1"/>
  <c r="AC10" i="1"/>
  <c r="AV13" i="1"/>
  <c r="AT43" i="3"/>
  <c r="AR43" i="3"/>
  <c r="BF52" i="3"/>
  <c r="BF51" i="3" s="1"/>
  <c r="BI15" i="5"/>
  <c r="J12" i="4"/>
  <c r="J12" i="33" s="1"/>
  <c r="BE21" i="5"/>
  <c r="BE17" i="5" s="1"/>
  <c r="BE10" i="5" s="1"/>
  <c r="AO35" i="5"/>
  <c r="AO9" i="5" s="1"/>
  <c r="AQ18" i="5"/>
  <c r="AQ17" i="5" s="1"/>
  <c r="C26" i="16" s="1"/>
  <c r="AI17" i="5"/>
  <c r="AI10" i="5" s="1"/>
  <c r="AI9" i="5" s="1"/>
  <c r="BN53" i="41"/>
  <c r="BO52" i="3"/>
  <c r="BS52" i="3" s="1"/>
  <c r="Z25" i="6"/>
  <c r="Z24" i="6" s="1"/>
  <c r="BC51" i="3"/>
  <c r="M10" i="16" s="1"/>
  <c r="BJ25" i="3"/>
  <c r="N19" i="6"/>
  <c r="H58" i="39"/>
  <c r="BT47" i="41"/>
  <c r="F35" i="38"/>
  <c r="N28" i="6"/>
  <c r="K27" i="6"/>
  <c r="BT50" i="3"/>
  <c r="W36" i="7"/>
  <c r="W36" i="6"/>
  <c r="Z36" i="38"/>
  <c r="BS45" i="3"/>
  <c r="BS32" i="3"/>
  <c r="BV48" i="3"/>
  <c r="BT48" i="3"/>
  <c r="AN30" i="1"/>
  <c r="AM32" i="1"/>
  <c r="AL32" i="1" s="1"/>
  <c r="N28" i="7"/>
  <c r="Q28" i="7" s="1"/>
  <c r="I28" i="7"/>
  <c r="L38" i="6"/>
  <c r="M75" i="6"/>
  <c r="L75" i="6" s="1"/>
  <c r="P75" i="6"/>
  <c r="O75" i="6" s="1"/>
  <c r="K13" i="25"/>
  <c r="H12" i="25"/>
  <c r="U41" i="4"/>
  <c r="D16" i="6"/>
  <c r="C16" i="6" s="1"/>
  <c r="D16" i="38"/>
  <c r="C16" i="38" s="1"/>
  <c r="AZ76" i="3"/>
  <c r="J15" i="16" s="1"/>
  <c r="AZ19" i="3"/>
  <c r="BY41" i="3"/>
  <c r="BZ41" i="3" s="1"/>
  <c r="BQ41" i="43"/>
  <c r="BR41" i="43" s="1"/>
  <c r="H8" i="40"/>
  <c r="R16" i="38"/>
  <c r="Y22" i="16"/>
  <c r="BR69" i="3"/>
  <c r="X19" i="1"/>
  <c r="Q11" i="1"/>
  <c r="Q22" i="16"/>
  <c r="BS69" i="3"/>
  <c r="BJ69" i="3"/>
  <c r="AR38" i="3"/>
  <c r="AT38" i="3"/>
  <c r="Q17" i="4"/>
  <c r="V20" i="4"/>
  <c r="Q27" i="16"/>
  <c r="D10" i="8"/>
  <c r="C8" i="8"/>
  <c r="C10" i="8" s="1"/>
  <c r="BM54" i="41"/>
  <c r="BO54" i="3"/>
  <c r="BP54" i="3" s="1"/>
  <c r="AP54" i="1"/>
  <c r="H62" i="35"/>
  <c r="H60" i="35" s="1"/>
  <c r="V16" i="31"/>
  <c r="BJ20" i="3"/>
  <c r="BT26" i="3"/>
  <c r="BJ38" i="3"/>
  <c r="BT43" i="3"/>
  <c r="BT37" i="3"/>
  <c r="BR14" i="3"/>
  <c r="BQ13" i="3"/>
  <c r="BR49" i="3"/>
  <c r="BV49" i="3" s="1"/>
  <c r="BS49" i="3"/>
  <c r="AM27" i="1"/>
  <c r="AN25" i="1"/>
  <c r="AF13" i="4"/>
  <c r="W14" i="39"/>
  <c r="T14" i="6"/>
  <c r="R14" i="6" s="1"/>
  <c r="AF13" i="37"/>
  <c r="AB13" i="37" s="1"/>
  <c r="W14" i="38"/>
  <c r="W72" i="38" s="1"/>
  <c r="W71" i="38" s="1"/>
  <c r="T14" i="7"/>
  <c r="T72" i="7" s="1"/>
  <c r="Z74" i="7"/>
  <c r="W74" i="7"/>
  <c r="T73" i="7"/>
  <c r="W73" i="7"/>
  <c r="AR51" i="5"/>
  <c r="BI13" i="3"/>
  <c r="AC36" i="38"/>
  <c r="BS27" i="3"/>
  <c r="BS35" i="3"/>
  <c r="BQ42" i="3"/>
  <c r="BR42" i="3" s="1"/>
  <c r="BT42" i="3" s="1"/>
  <c r="BJ16" i="3"/>
  <c r="BJ22" i="3"/>
  <c r="BT22" i="3" s="1"/>
  <c r="BJ32" i="3"/>
  <c r="BT32" i="3" s="1"/>
  <c r="BJ40" i="3"/>
  <c r="BJ44" i="3"/>
  <c r="BL41" i="3"/>
  <c r="BT41" i="3" s="1"/>
  <c r="BP15" i="3"/>
  <c r="W14" i="6"/>
  <c r="U14" i="6" s="1"/>
  <c r="H25" i="7"/>
  <c r="K25" i="7" s="1"/>
  <c r="N25" i="7" s="1"/>
  <c r="L37" i="9"/>
  <c r="L35" i="9" s="1"/>
  <c r="E51" i="9"/>
  <c r="E65" i="9"/>
  <c r="D29" i="14"/>
  <c r="H33" i="20"/>
  <c r="H30" i="20"/>
  <c r="H31" i="20"/>
  <c r="H32" i="20"/>
  <c r="AC48" i="22"/>
  <c r="AC90" i="22" s="1"/>
  <c r="AC88" i="22"/>
  <c r="D18" i="25"/>
  <c r="K18" i="25" s="1"/>
  <c r="M18" i="25" s="1"/>
  <c r="E14" i="25"/>
  <c r="E11" i="25" s="1"/>
  <c r="V23" i="25"/>
  <c r="O14" i="25"/>
  <c r="D14" i="27"/>
  <c r="H15" i="27"/>
  <c r="H14" i="27" s="1"/>
  <c r="O27" i="27"/>
  <c r="W52" i="22"/>
  <c r="I50" i="39"/>
  <c r="J84" i="39"/>
  <c r="I84" i="39" s="1"/>
  <c r="S50" i="39"/>
  <c r="R50" i="39" s="1"/>
  <c r="M84" i="39"/>
  <c r="L84" i="39" s="1"/>
  <c r="T28" i="39"/>
  <c r="S45" i="36"/>
  <c r="BM19" i="41"/>
  <c r="BS20" i="41"/>
  <c r="BN20" i="41"/>
  <c r="BT21" i="41"/>
  <c r="BL19" i="41"/>
  <c r="AN10" i="41"/>
  <c r="AN12" i="41"/>
  <c r="E20" i="7"/>
  <c r="E18" i="7" s="1"/>
  <c r="D62" i="7" s="1"/>
  <c r="V61" i="6"/>
  <c r="U61" i="6" s="1"/>
  <c r="U68" i="46"/>
  <c r="U68" i="45"/>
  <c r="AO45" i="4"/>
  <c r="Y61" i="39"/>
  <c r="X61" i="39" s="1"/>
  <c r="Z75" i="6"/>
  <c r="X75" i="6" s="1"/>
  <c r="X38" i="6"/>
  <c r="O8" i="14"/>
  <c r="C13" i="17"/>
  <c r="AD21" i="20"/>
  <c r="AD14" i="20"/>
  <c r="AD17" i="20"/>
  <c r="AD13" i="20"/>
  <c r="AD12" i="20"/>
  <c r="AF10" i="20"/>
  <c r="AD10" i="20"/>
  <c r="AD24" i="20"/>
  <c r="AE10" i="20"/>
  <c r="G5" i="20"/>
  <c r="G13" i="20" s="1"/>
  <c r="E7" i="20"/>
  <c r="AA5" i="20"/>
  <c r="AA13" i="20" s="1"/>
  <c r="K63" i="26"/>
  <c r="G43" i="35"/>
  <c r="G43" i="39"/>
  <c r="F43" i="39" s="1"/>
  <c r="G43" i="38"/>
  <c r="F43" i="38" s="1"/>
  <c r="O33" i="37"/>
  <c r="H43" i="36"/>
  <c r="G43" i="36" s="1"/>
  <c r="BL43" i="36"/>
  <c r="L43" i="36"/>
  <c r="P43" i="36" s="1"/>
  <c r="AU12" i="37"/>
  <c r="AA11" i="37"/>
  <c r="AE26" i="47"/>
  <c r="AE23" i="47" s="1"/>
  <c r="G25" i="47"/>
  <c r="AL25" i="47"/>
  <c r="AJ25" i="47"/>
  <c r="AK25" i="47"/>
  <c r="AK23" i="47" s="1"/>
  <c r="AI25" i="47"/>
  <c r="AI23" i="47" s="1"/>
  <c r="DE26" i="47"/>
  <c r="DC26" i="47"/>
  <c r="DD26" i="47"/>
  <c r="CZ26" i="47"/>
  <c r="CZ23" i="47" s="1"/>
  <c r="DF26" i="47"/>
  <c r="H31" i="7"/>
  <c r="V41" i="1"/>
  <c r="AV42" i="1"/>
  <c r="H31" i="4"/>
  <c r="BK13" i="3"/>
  <c r="BK11" i="3" s="1"/>
  <c r="BM30" i="3"/>
  <c r="Z36" i="7"/>
  <c r="L33" i="33"/>
  <c r="H58" i="35"/>
  <c r="H37" i="38"/>
  <c r="BM78" i="41"/>
  <c r="H38" i="34"/>
  <c r="F38" i="34" s="1"/>
  <c r="BK51" i="3"/>
  <c r="S10" i="16" s="1"/>
  <c r="AK13" i="37"/>
  <c r="AG13" i="37" s="1"/>
  <c r="AI13" i="37" s="1"/>
  <c r="AG31" i="37"/>
  <c r="AN31" i="37" s="1"/>
  <c r="P59" i="7"/>
  <c r="P59" i="6"/>
  <c r="Y61" i="38"/>
  <c r="X61" i="38" s="1"/>
  <c r="BL45" i="5"/>
  <c r="T33" i="16" s="1"/>
  <c r="S33" i="16"/>
  <c r="O39" i="39"/>
  <c r="Z37" i="39"/>
  <c r="W37" i="7"/>
  <c r="Z37" i="38"/>
  <c r="W37" i="6"/>
  <c r="K25" i="19"/>
  <c r="AR52" i="5"/>
  <c r="AA24" i="11"/>
  <c r="AA12" i="11"/>
  <c r="AC10" i="11"/>
  <c r="AA21" i="11"/>
  <c r="AA17" i="11"/>
  <c r="BC36" i="41"/>
  <c r="BD36" i="41" s="1"/>
  <c r="BV36" i="41" s="1"/>
  <c r="S13" i="94"/>
  <c r="AB13" i="94" s="1"/>
  <c r="X36" i="43"/>
  <c r="R36" i="43"/>
  <c r="AG7" i="14"/>
  <c r="K43" i="26"/>
  <c r="G42" i="26"/>
  <c r="K42" i="26" s="1"/>
  <c r="D27" i="27"/>
  <c r="K32" i="26"/>
  <c r="G88" i="22"/>
  <c r="G48" i="22"/>
  <c r="G90" i="22" s="1"/>
  <c r="I14" i="25"/>
  <c r="I11" i="25" s="1"/>
  <c r="H15" i="25"/>
  <c r="H14" i="25" s="1"/>
  <c r="N13" i="27"/>
  <c r="Y49" i="22"/>
  <c r="K20" i="33"/>
  <c r="G43" i="34"/>
  <c r="AJ25" i="36"/>
  <c r="X25" i="36"/>
  <c r="R25" i="36"/>
  <c r="AM32" i="36"/>
  <c r="AL32" i="36" s="1"/>
  <c r="R46" i="38"/>
  <c r="AN19" i="36"/>
  <c r="J12" i="37"/>
  <c r="AD15" i="37"/>
  <c r="Y15" i="37"/>
  <c r="K17" i="37"/>
  <c r="H18" i="37"/>
  <c r="AY42" i="1"/>
  <c r="H32" i="4"/>
  <c r="J10" i="8"/>
  <c r="G48" i="6"/>
  <c r="F48" i="6" s="1"/>
  <c r="Z36" i="6"/>
  <c r="H59" i="35"/>
  <c r="H56" i="39"/>
  <c r="H37" i="6"/>
  <c r="H37" i="39"/>
  <c r="G48" i="39"/>
  <c r="F48" i="39" s="1"/>
  <c r="L12" i="33"/>
  <c r="H38" i="35"/>
  <c r="F38" i="35" s="1"/>
  <c r="BO76" i="3"/>
  <c r="W15" i="16" s="1"/>
  <c r="Z14" i="38"/>
  <c r="X14" i="38" s="1"/>
  <c r="N74" i="7"/>
  <c r="R31" i="6"/>
  <c r="AB31" i="37"/>
  <c r="T76" i="6"/>
  <c r="AG59" i="4"/>
  <c r="AL59" i="4"/>
  <c r="X38" i="9"/>
  <c r="AE13" i="11"/>
  <c r="AG10" i="11"/>
  <c r="AE17" i="11"/>
  <c r="AE12" i="11"/>
  <c r="AE14" i="11"/>
  <c r="AE19" i="11"/>
  <c r="AD19" i="20"/>
  <c r="AA17" i="20"/>
  <c r="O98" i="1"/>
  <c r="O130" i="43"/>
  <c r="N130" i="43" s="1"/>
  <c r="O98" i="36"/>
  <c r="N98" i="36" s="1"/>
  <c r="P75" i="4"/>
  <c r="P83" i="4" s="1"/>
  <c r="U130" i="150" s="1"/>
  <c r="M76" i="4"/>
  <c r="M75" i="4" s="1"/>
  <c r="C36" i="33"/>
  <c r="C42" i="4"/>
  <c r="C34" i="33" s="1"/>
  <c r="R56" i="22"/>
  <c r="K55" i="22"/>
  <c r="K54" i="22" s="1"/>
  <c r="K88" i="22" s="1"/>
  <c r="G49" i="38"/>
  <c r="G49" i="39"/>
  <c r="AY40" i="36"/>
  <c r="AX40" i="36" s="1"/>
  <c r="AV41" i="36"/>
  <c r="AP41" i="36"/>
  <c r="AO11" i="36"/>
  <c r="AM67" i="36"/>
  <c r="AL67" i="36" s="1"/>
  <c r="AF67" i="36"/>
  <c r="O16" i="37"/>
  <c r="AF40" i="36"/>
  <c r="AM40" i="36"/>
  <c r="AL40" i="36" s="1"/>
  <c r="N16" i="22"/>
  <c r="S16" i="22" s="1"/>
  <c r="AD9" i="5"/>
  <c r="AE17" i="5" s="1"/>
  <c r="E14" i="9"/>
  <c r="AZ36" i="5"/>
  <c r="BC37" i="41"/>
  <c r="BD37" i="41" s="1"/>
  <c r="X37" i="43"/>
  <c r="R37" i="43"/>
  <c r="L26" i="9"/>
  <c r="L25" i="9" s="1"/>
  <c r="L24" i="9" s="1"/>
  <c r="X28" i="9"/>
  <c r="X26" i="9" s="1"/>
  <c r="T90" i="22"/>
  <c r="T11" i="22"/>
  <c r="T10" i="22" s="1"/>
  <c r="J88" i="22"/>
  <c r="J48" i="22"/>
  <c r="G11" i="27"/>
  <c r="J48" i="38"/>
  <c r="J50" i="35"/>
  <c r="I50" i="35" s="1"/>
  <c r="J48" i="39"/>
  <c r="J50" i="34"/>
  <c r="I50" i="34" s="1"/>
  <c r="J48" i="6"/>
  <c r="P32" i="37"/>
  <c r="J48" i="7"/>
  <c r="I48" i="7" s="1"/>
  <c r="P24" i="33"/>
  <c r="H57" i="36"/>
  <c r="D56" i="36"/>
  <c r="C12" i="8"/>
  <c r="BQ54" i="3"/>
  <c r="BR54" i="3" s="1"/>
  <c r="BM19" i="3"/>
  <c r="BI30" i="3"/>
  <c r="BQ30" i="3"/>
  <c r="K24" i="6"/>
  <c r="H38" i="6"/>
  <c r="F38" i="6" s="1"/>
  <c r="G50" i="35"/>
  <c r="F50" i="35" s="1"/>
  <c r="H57" i="39"/>
  <c r="BS21" i="3"/>
  <c r="BS31" i="3"/>
  <c r="BK76" i="3"/>
  <c r="S15" i="16" s="1"/>
  <c r="H29" i="7"/>
  <c r="K29" i="7" s="1"/>
  <c r="K27" i="7" s="1"/>
  <c r="C29" i="7"/>
  <c r="AJ32" i="37"/>
  <c r="AG45" i="4"/>
  <c r="BO45" i="5" s="1"/>
  <c r="AJ32" i="4"/>
  <c r="V48" i="38"/>
  <c r="U48" i="38" s="1"/>
  <c r="S48" i="7"/>
  <c r="R48" i="7" s="1"/>
  <c r="H35" i="9"/>
  <c r="X22" i="9"/>
  <c r="J59" i="9"/>
  <c r="K22" i="9" s="1"/>
  <c r="K59" i="9" s="1"/>
  <c r="K50" i="9" s="1"/>
  <c r="S8" i="10"/>
  <c r="AA7" i="14"/>
  <c r="G11" i="11"/>
  <c r="G12" i="11"/>
  <c r="G10" i="11"/>
  <c r="G14" i="11"/>
  <c r="G17" i="11"/>
  <c r="Z5" i="11"/>
  <c r="Z13" i="11" s="1"/>
  <c r="M69" i="4"/>
  <c r="K24" i="26"/>
  <c r="R53" i="22"/>
  <c r="Q53" i="22" s="1"/>
  <c r="S53" i="22" s="1"/>
  <c r="J72" i="39"/>
  <c r="F12" i="36"/>
  <c r="Z29" i="36"/>
  <c r="Z25" i="36" s="1"/>
  <c r="AA25" i="36"/>
  <c r="BL30" i="36"/>
  <c r="L30" i="36"/>
  <c r="AP30" i="36"/>
  <c r="AC11" i="36"/>
  <c r="AJ30" i="36"/>
  <c r="AD30" i="36"/>
  <c r="AK53" i="36"/>
  <c r="U53" i="36"/>
  <c r="BB54" i="36"/>
  <c r="BA51" i="36"/>
  <c r="BC54" i="36"/>
  <c r="BE54" i="36" s="1"/>
  <c r="BD54" i="36" s="1"/>
  <c r="H57" i="6"/>
  <c r="H55" i="6" s="1"/>
  <c r="BS14" i="3"/>
  <c r="K73" i="7"/>
  <c r="N73" i="7"/>
  <c r="P82" i="6"/>
  <c r="O82" i="6" s="1"/>
  <c r="Q22" i="37"/>
  <c r="Q21" i="33"/>
  <c r="E22" i="19"/>
  <c r="N36" i="38"/>
  <c r="N36" i="6"/>
  <c r="N36" i="39"/>
  <c r="N36" i="7"/>
  <c r="N34" i="7" s="1"/>
  <c r="M33" i="16"/>
  <c r="O33" i="16" s="1"/>
  <c r="BD45" i="5"/>
  <c r="N33" i="16" s="1"/>
  <c r="P33" i="16" s="1"/>
  <c r="AE33" i="16" s="1"/>
  <c r="Y40" i="9"/>
  <c r="L7" i="14"/>
  <c r="D18" i="14"/>
  <c r="V36" i="43"/>
  <c r="V36" i="150" s="1"/>
  <c r="D19" i="14"/>
  <c r="V37" i="43"/>
  <c r="D20" i="14"/>
  <c r="V38" i="43"/>
  <c r="E5" i="11"/>
  <c r="E17" i="11" s="1"/>
  <c r="I23" i="27"/>
  <c r="I11" i="27" s="1"/>
  <c r="N67" i="22"/>
  <c r="S67" i="22" s="1"/>
  <c r="K82" i="26"/>
  <c r="R10" i="28"/>
  <c r="AD10" i="28"/>
  <c r="U9" i="28"/>
  <c r="W70" i="22" s="1"/>
  <c r="W68" i="22" s="1"/>
  <c r="BB13" i="36"/>
  <c r="BA11" i="36"/>
  <c r="BK30" i="36"/>
  <c r="K30" i="36"/>
  <c r="T52" i="36"/>
  <c r="AM52" i="36"/>
  <c r="AS52" i="36"/>
  <c r="AQ51" i="36"/>
  <c r="U28" i="4"/>
  <c r="P28" i="37"/>
  <c r="W18" i="22"/>
  <c r="P81" i="23"/>
  <c r="S39" i="23"/>
  <c r="T21" i="14"/>
  <c r="K27" i="14"/>
  <c r="M27" i="14"/>
  <c r="F32" i="11"/>
  <c r="F31" i="11"/>
  <c r="AP10" i="20"/>
  <c r="D31" i="20"/>
  <c r="D32" i="20"/>
  <c r="D30" i="20"/>
  <c r="H83" i="4"/>
  <c r="N15" i="24"/>
  <c r="P15" i="24" s="1"/>
  <c r="M13" i="24"/>
  <c r="M10" i="24" s="1"/>
  <c r="P28" i="26"/>
  <c r="Q28" i="26" s="1"/>
  <c r="R28" i="26" s="1"/>
  <c r="P73" i="26"/>
  <c r="P35" i="26"/>
  <c r="Q35" i="26" s="1"/>
  <c r="R35" i="26" s="1"/>
  <c r="P25" i="26"/>
  <c r="Q25" i="26" s="1"/>
  <c r="R25" i="26" s="1"/>
  <c r="P65" i="26"/>
  <c r="P77" i="26"/>
  <c r="P44" i="26"/>
  <c r="Q44" i="26" s="1"/>
  <c r="R44" i="26" s="1"/>
  <c r="P63" i="26"/>
  <c r="P40" i="26"/>
  <c r="Q40" i="26" s="1"/>
  <c r="R40" i="26" s="1"/>
  <c r="P57" i="26"/>
  <c r="P70" i="26"/>
  <c r="Q70" i="26" s="1"/>
  <c r="R70" i="26" s="1"/>
  <c r="P43" i="26"/>
  <c r="Q43" i="26" s="1"/>
  <c r="R43" i="26" s="1"/>
  <c r="P34" i="26"/>
  <c r="Q34" i="26" s="1"/>
  <c r="R34" i="26" s="1"/>
  <c r="P33" i="26"/>
  <c r="Q33" i="26" s="1"/>
  <c r="R33" i="26" s="1"/>
  <c r="P32" i="26"/>
  <c r="Q32" i="26" s="1"/>
  <c r="R32" i="26" s="1"/>
  <c r="P24" i="26"/>
  <c r="Q24" i="26" s="1"/>
  <c r="R24" i="26" s="1"/>
  <c r="P75" i="26"/>
  <c r="Q75" i="26" s="1"/>
  <c r="R75" i="26" s="1"/>
  <c r="P58" i="26"/>
  <c r="P39" i="26"/>
  <c r="Q39" i="26" s="1"/>
  <c r="R39" i="26" s="1"/>
  <c r="K74" i="26"/>
  <c r="N50" i="22"/>
  <c r="H18" i="27"/>
  <c r="O18" i="28"/>
  <c r="C18" i="28"/>
  <c r="N18" i="28" s="1"/>
  <c r="Q12" i="33"/>
  <c r="K35" i="35"/>
  <c r="I9" i="30"/>
  <c r="K18" i="30"/>
  <c r="K19" i="30" s="1"/>
  <c r="K79" i="39"/>
  <c r="N79" i="39"/>
  <c r="Q21" i="37"/>
  <c r="M21" i="37" s="1"/>
  <c r="V21" i="4"/>
  <c r="U33" i="4"/>
  <c r="J49" i="39"/>
  <c r="J51" i="35"/>
  <c r="I51" i="35" s="1"/>
  <c r="J51" i="34"/>
  <c r="I51" i="34" s="1"/>
  <c r="P25" i="33"/>
  <c r="BK47" i="36"/>
  <c r="AJ47" i="36"/>
  <c r="K47" i="36"/>
  <c r="M40" i="36"/>
  <c r="O40" i="36" s="1"/>
  <c r="N40" i="36" s="1"/>
  <c r="H40" i="36"/>
  <c r="G40" i="36" s="1"/>
  <c r="V28" i="37"/>
  <c r="AA28" i="4"/>
  <c r="AA28" i="37" s="1"/>
  <c r="AU28" i="37" s="1"/>
  <c r="Q19" i="33"/>
  <c r="K42" i="38"/>
  <c r="V18" i="4"/>
  <c r="G15" i="36"/>
  <c r="BN15" i="36" s="1"/>
  <c r="T27" i="36"/>
  <c r="AM27" i="36"/>
  <c r="AL27" i="36" s="1"/>
  <c r="AF29" i="36"/>
  <c r="AF25" i="36" s="1"/>
  <c r="AM29" i="36"/>
  <c r="AL29" i="36" s="1"/>
  <c r="AG25" i="36"/>
  <c r="AG31" i="36"/>
  <c r="AN31" i="36"/>
  <c r="AN30" i="36" s="1"/>
  <c r="BC40" i="36"/>
  <c r="BE40" i="36" s="1"/>
  <c r="BD40" i="36" s="1"/>
  <c r="BB40" i="36"/>
  <c r="AK52" i="36"/>
  <c r="S51" i="36"/>
  <c r="AU51" i="36"/>
  <c r="AV51" i="36" s="1"/>
  <c r="AY52" i="36"/>
  <c r="AV52" i="36"/>
  <c r="AY53" i="36"/>
  <c r="AX53" i="36" s="1"/>
  <c r="AW51" i="36"/>
  <c r="J26" i="23"/>
  <c r="P26" i="23" s="1"/>
  <c r="L16" i="23"/>
  <c r="L13" i="23" s="1"/>
  <c r="C32" i="23"/>
  <c r="G31" i="23"/>
  <c r="G30" i="23" s="1"/>
  <c r="C55" i="23"/>
  <c r="I55" i="23" s="1"/>
  <c r="R55" i="23" s="1"/>
  <c r="E49" i="23"/>
  <c r="S56" i="23"/>
  <c r="P56" i="23"/>
  <c r="J60" i="23"/>
  <c r="J59" i="23" s="1"/>
  <c r="P61" i="23"/>
  <c r="P60" i="23" s="1"/>
  <c r="N78" i="23"/>
  <c r="J79" i="23"/>
  <c r="H49" i="44"/>
  <c r="G67" i="45"/>
  <c r="F67" i="45" s="1"/>
  <c r="G67" i="46"/>
  <c r="F67" i="46" s="1"/>
  <c r="K36" i="40"/>
  <c r="K24" i="40"/>
  <c r="K23" i="40" s="1"/>
  <c r="X49" i="40"/>
  <c r="BP13" i="41"/>
  <c r="AL12" i="41"/>
  <c r="AL10" i="41"/>
  <c r="AR20" i="41"/>
  <c r="AR19" i="41" s="1"/>
  <c r="AH78" i="41"/>
  <c r="BO19" i="41"/>
  <c r="BP20" i="41"/>
  <c r="BP19" i="41" s="1"/>
  <c r="BO78" i="41"/>
  <c r="X17" i="48"/>
  <c r="F9" i="138" s="1"/>
  <c r="AQ20" i="51"/>
  <c r="AQ21" i="51" s="1"/>
  <c r="G18" i="53"/>
  <c r="D11" i="53"/>
  <c r="P43" i="44"/>
  <c r="I18" i="53"/>
  <c r="Q64" i="43"/>
  <c r="T47" i="43"/>
  <c r="J16" i="46"/>
  <c r="I16" i="46" s="1"/>
  <c r="J16" i="45"/>
  <c r="V24" i="94"/>
  <c r="U24" i="94" s="1"/>
  <c r="DA9" i="47"/>
  <c r="DD17" i="47"/>
  <c r="K18" i="47"/>
  <c r="L18" i="47"/>
  <c r="AP27" i="47"/>
  <c r="AP9" i="47" s="1"/>
  <c r="AP10" i="47" s="1"/>
  <c r="F29" i="47"/>
  <c r="E27" i="19"/>
  <c r="R57" i="45"/>
  <c r="V39" i="7"/>
  <c r="U39" i="7" s="1"/>
  <c r="M27" i="19"/>
  <c r="R38" i="6"/>
  <c r="S50" i="7"/>
  <c r="R50" i="7" s="1"/>
  <c r="L50" i="6"/>
  <c r="Y39" i="39"/>
  <c r="N23" i="10"/>
  <c r="AD10" i="11"/>
  <c r="AB17" i="11"/>
  <c r="X33" i="9"/>
  <c r="Y33" i="9" s="1"/>
  <c r="Y25" i="9" s="1"/>
  <c r="Y24" i="9" s="1"/>
  <c r="O25" i="9"/>
  <c r="O24" i="9" s="1"/>
  <c r="C43" i="13"/>
  <c r="C65" i="13"/>
  <c r="G13" i="11"/>
  <c r="H13" i="11"/>
  <c r="H10" i="11"/>
  <c r="G33" i="11"/>
  <c r="G30" i="11"/>
  <c r="K12" i="20"/>
  <c r="K17" i="20"/>
  <c r="AR10" i="20"/>
  <c r="H17" i="20"/>
  <c r="H14" i="20"/>
  <c r="K20" i="22"/>
  <c r="K52" i="26"/>
  <c r="P60" i="26"/>
  <c r="Q60" i="26" s="1"/>
  <c r="R60" i="26" s="1"/>
  <c r="R59" i="26" s="1"/>
  <c r="R55" i="26" s="1"/>
  <c r="R47" i="26" s="1"/>
  <c r="P26" i="26"/>
  <c r="Q26" i="26" s="1"/>
  <c r="R26" i="26" s="1"/>
  <c r="P20" i="26"/>
  <c r="Q20" i="26" s="1"/>
  <c r="R20" i="26" s="1"/>
  <c r="P51" i="26"/>
  <c r="AC9" i="28"/>
  <c r="Y69" i="22" s="1"/>
  <c r="AA12" i="22"/>
  <c r="AA11" i="22" s="1"/>
  <c r="AA10" i="22" s="1"/>
  <c r="G11" i="22"/>
  <c r="G10" i="22" s="1"/>
  <c r="AB55" i="22"/>
  <c r="AB54" i="22" s="1"/>
  <c r="AB88" i="22" s="1"/>
  <c r="AD56" i="22"/>
  <c r="AE64" i="22"/>
  <c r="AE11" i="22" s="1"/>
  <c r="AE10" i="22" s="1"/>
  <c r="K68" i="22"/>
  <c r="R69" i="22"/>
  <c r="J19" i="26"/>
  <c r="L12" i="27"/>
  <c r="L11" i="27" s="1"/>
  <c r="F12" i="27"/>
  <c r="M11" i="28"/>
  <c r="AD18" i="28"/>
  <c r="R18" i="28"/>
  <c r="H49" i="39"/>
  <c r="H49" i="38"/>
  <c r="T22" i="30"/>
  <c r="T20" i="30" s="1"/>
  <c r="V24" i="30"/>
  <c r="E46" i="39"/>
  <c r="D34" i="4"/>
  <c r="O34" i="4" s="1"/>
  <c r="O26" i="33" s="1"/>
  <c r="L34" i="4"/>
  <c r="G26" i="33"/>
  <c r="E46" i="7"/>
  <c r="C46" i="7" s="1"/>
  <c r="E48" i="35"/>
  <c r="H23" i="36"/>
  <c r="G23" i="36" s="1"/>
  <c r="BN23" i="36" s="1"/>
  <c r="J64" i="36"/>
  <c r="O64" i="36" s="1"/>
  <c r="N64" i="36" s="1"/>
  <c r="G64" i="36"/>
  <c r="L25" i="36"/>
  <c r="BL25" i="36"/>
  <c r="W12" i="37"/>
  <c r="L35" i="37"/>
  <c r="AX26" i="36"/>
  <c r="AX25" i="36" s="1"/>
  <c r="AY25" i="36"/>
  <c r="G31" i="36"/>
  <c r="G30" i="36" s="1"/>
  <c r="H30" i="36"/>
  <c r="BN32" i="36"/>
  <c r="U38" i="36"/>
  <c r="T38" i="36" s="1"/>
  <c r="AN38" i="36"/>
  <c r="K27" i="38"/>
  <c r="N28" i="38"/>
  <c r="W28" i="38" s="1"/>
  <c r="Z28" i="38" s="1"/>
  <c r="K29" i="39"/>
  <c r="N29" i="39" s="1"/>
  <c r="H27" i="39"/>
  <c r="H20" i="39" s="1"/>
  <c r="H18" i="39" s="1"/>
  <c r="G62" i="39" s="1"/>
  <c r="F62" i="39" s="1"/>
  <c r="T30" i="39"/>
  <c r="O30" i="39"/>
  <c r="K75" i="39"/>
  <c r="I75" i="39" s="1"/>
  <c r="T38" i="39"/>
  <c r="N75" i="39"/>
  <c r="I38" i="39"/>
  <c r="AC75" i="39"/>
  <c r="Z75" i="39"/>
  <c r="X75" i="39" s="1"/>
  <c r="J81" i="39"/>
  <c r="I46" i="39"/>
  <c r="N82" i="39"/>
  <c r="K82" i="39"/>
  <c r="R41" i="39"/>
  <c r="L60" i="23"/>
  <c r="L59" i="23" s="1"/>
  <c r="E14" i="23"/>
  <c r="C15" i="23"/>
  <c r="C17" i="23"/>
  <c r="E16" i="23"/>
  <c r="K58" i="23"/>
  <c r="W16" i="22"/>
  <c r="K44" i="4"/>
  <c r="N67" i="1"/>
  <c r="N31" i="31" s="1"/>
  <c r="G29" i="6"/>
  <c r="F29" i="6" s="1"/>
  <c r="G29" i="34"/>
  <c r="G27" i="34" s="1"/>
  <c r="CP51" i="48"/>
  <c r="K18" i="71"/>
  <c r="L18" i="71" s="1"/>
  <c r="C18" i="71" s="1"/>
  <c r="S24" i="40"/>
  <c r="S23" i="40" s="1"/>
  <c r="AM57" i="41"/>
  <c r="AN58" i="41"/>
  <c r="AN57" i="41" s="1"/>
  <c r="AN79" i="41" s="1"/>
  <c r="AV62" i="41"/>
  <c r="AU61" i="41"/>
  <c r="AU60" i="41" s="1"/>
  <c r="AU57" i="41" s="1"/>
  <c r="AF17" i="48"/>
  <c r="F10" i="138" s="1"/>
  <c r="AL11" i="47"/>
  <c r="AK11" i="47"/>
  <c r="CE11" i="47"/>
  <c r="CF11" i="47"/>
  <c r="FB11" i="47"/>
  <c r="FA11" i="47"/>
  <c r="EU9" i="47"/>
  <c r="K12" i="47"/>
  <c r="M12" i="47"/>
  <c r="L12" i="47"/>
  <c r="AT9" i="47"/>
  <c r="FF20" i="47"/>
  <c r="FD20" i="47"/>
  <c r="AQ9" i="48"/>
  <c r="BL10" i="47"/>
  <c r="BL39" i="47"/>
  <c r="BL41" i="47" s="1"/>
  <c r="M39" i="39"/>
  <c r="N34" i="38"/>
  <c r="P39" i="6"/>
  <c r="V39" i="6"/>
  <c r="Y39" i="6"/>
  <c r="AB39" i="38"/>
  <c r="AA39" i="38" s="1"/>
  <c r="I8" i="10"/>
  <c r="N10" i="10"/>
  <c r="AB21" i="11"/>
  <c r="C87" i="13"/>
  <c r="V31" i="43"/>
  <c r="E11" i="14"/>
  <c r="Q9" i="14"/>
  <c r="C19" i="13"/>
  <c r="AC9" i="14"/>
  <c r="Z50" i="62"/>
  <c r="L16" i="17"/>
  <c r="I31" i="16"/>
  <c r="F30" i="11"/>
  <c r="V17" i="25"/>
  <c r="P78" i="26"/>
  <c r="P74" i="26"/>
  <c r="P71" i="26"/>
  <c r="Q71" i="26" s="1"/>
  <c r="R71" i="26" s="1"/>
  <c r="V13" i="22"/>
  <c r="V12" i="22" s="1"/>
  <c r="V11" i="22" s="1"/>
  <c r="V10" i="22" s="1"/>
  <c r="AB14" i="24"/>
  <c r="AD14" i="24" s="1"/>
  <c r="N20" i="24"/>
  <c r="P20" i="24" s="1"/>
  <c r="AB22" i="24"/>
  <c r="AD22" i="24" s="1"/>
  <c r="C11" i="25"/>
  <c r="V15" i="25"/>
  <c r="J38" i="26"/>
  <c r="J37" i="26" s="1"/>
  <c r="N47" i="26"/>
  <c r="N12" i="26" s="1"/>
  <c r="W51" i="22"/>
  <c r="H17" i="27"/>
  <c r="H22" i="27"/>
  <c r="N63" i="22"/>
  <c r="S63" i="22" s="1"/>
  <c r="Y57" i="22"/>
  <c r="N26" i="27"/>
  <c r="N24" i="27" s="1"/>
  <c r="N27" i="27"/>
  <c r="Y52" i="22"/>
  <c r="R11" i="28"/>
  <c r="AD11" i="28"/>
  <c r="AB11" i="28" s="1"/>
  <c r="AF11" i="28" s="1"/>
  <c r="AB18" i="28"/>
  <c r="AF18" i="28" s="1"/>
  <c r="K42" i="34"/>
  <c r="P30" i="37"/>
  <c r="M30" i="37" s="1"/>
  <c r="Q48" i="38"/>
  <c r="J31" i="46"/>
  <c r="C16" i="149"/>
  <c r="AA30" i="4"/>
  <c r="V30" i="37"/>
  <c r="J11" i="36"/>
  <c r="Z27" i="4"/>
  <c r="L19" i="36"/>
  <c r="AP51" i="36"/>
  <c r="AM42" i="36"/>
  <c r="AL42" i="36" s="1"/>
  <c r="AF42" i="36"/>
  <c r="AR13" i="36"/>
  <c r="T24" i="36"/>
  <c r="U19" i="36"/>
  <c r="G26" i="36"/>
  <c r="G25" i="36" s="1"/>
  <c r="H25" i="36"/>
  <c r="L36" i="36"/>
  <c r="H36" i="36"/>
  <c r="G36" i="36" s="1"/>
  <c r="BN36" i="36" s="1"/>
  <c r="H66" i="36"/>
  <c r="D65" i="36"/>
  <c r="M77" i="37"/>
  <c r="M75" i="37" s="1"/>
  <c r="P75" i="37"/>
  <c r="P83" i="37" s="1"/>
  <c r="T15" i="38"/>
  <c r="K73" i="38"/>
  <c r="N74" i="38"/>
  <c r="T16" i="38"/>
  <c r="Q74" i="38"/>
  <c r="O74" i="38" s="1"/>
  <c r="O31" i="38"/>
  <c r="R31" i="38" s="1"/>
  <c r="S31" i="38"/>
  <c r="N19" i="39"/>
  <c r="K74" i="39"/>
  <c r="N74" i="39"/>
  <c r="M75" i="39"/>
  <c r="L75" i="39" s="1"/>
  <c r="L38" i="39"/>
  <c r="S38" i="39"/>
  <c r="R38" i="39" s="1"/>
  <c r="S46" i="39"/>
  <c r="R46" i="39" s="1"/>
  <c r="M82" i="39"/>
  <c r="K47" i="44"/>
  <c r="AH19" i="41"/>
  <c r="AT19" i="41" s="1"/>
  <c r="BT15" i="41"/>
  <c r="BI51" i="41"/>
  <c r="BJ53" i="41"/>
  <c r="BT53" i="41" s="1"/>
  <c r="AJ79" i="41"/>
  <c r="AJ72" i="41"/>
  <c r="BL35" i="43"/>
  <c r="BK35" i="43" s="1"/>
  <c r="N35" i="43"/>
  <c r="M35" i="47"/>
  <c r="N35" i="47"/>
  <c r="BP11" i="47"/>
  <c r="BP9" i="47" s="1"/>
  <c r="F12" i="47"/>
  <c r="R11" i="47"/>
  <c r="R9" i="47" s="1"/>
  <c r="R10" i="47" s="1"/>
  <c r="P39" i="38"/>
  <c r="Y39" i="38"/>
  <c r="X39" i="38" s="1"/>
  <c r="AB39" i="39"/>
  <c r="K39" i="38"/>
  <c r="C142" i="11"/>
  <c r="AH10" i="11"/>
  <c r="Z40" i="9"/>
  <c r="C21" i="17"/>
  <c r="P51" i="13"/>
  <c r="S15" i="94"/>
  <c r="D59" i="13"/>
  <c r="AD7" i="14"/>
  <c r="D45" i="13"/>
  <c r="D44" i="13" s="1"/>
  <c r="C73" i="13"/>
  <c r="K21" i="14"/>
  <c r="P30" i="14"/>
  <c r="O37" i="62"/>
  <c r="Q37" i="14"/>
  <c r="I13" i="17" s="1"/>
  <c r="P28" i="19"/>
  <c r="I10" i="11"/>
  <c r="I17" i="11"/>
  <c r="D12" i="11"/>
  <c r="D13" i="11"/>
  <c r="D11" i="11"/>
  <c r="G31" i="11"/>
  <c r="H33" i="11"/>
  <c r="H30" i="11"/>
  <c r="H13" i="20"/>
  <c r="C142" i="20"/>
  <c r="P98" i="1"/>
  <c r="I9" i="21"/>
  <c r="I8" i="21" s="1"/>
  <c r="J8" i="21" s="1"/>
  <c r="H8" i="21"/>
  <c r="Q52" i="22"/>
  <c r="P22" i="26"/>
  <c r="Q22" i="26" s="1"/>
  <c r="R22" i="26" s="1"/>
  <c r="P29" i="26"/>
  <c r="Q29" i="26" s="1"/>
  <c r="R29" i="26" s="1"/>
  <c r="P27" i="26"/>
  <c r="Q27" i="26" s="1"/>
  <c r="R27" i="26" s="1"/>
  <c r="P52" i="26"/>
  <c r="K16" i="26"/>
  <c r="H12" i="22"/>
  <c r="K13" i="22"/>
  <c r="I12" i="22"/>
  <c r="I11" i="22" s="1"/>
  <c r="I10" i="22" s="1"/>
  <c r="AD21" i="22"/>
  <c r="AB21" i="24"/>
  <c r="AD21" i="24" s="1"/>
  <c r="K24" i="25"/>
  <c r="M24" i="25" s="1"/>
  <c r="K25" i="25"/>
  <c r="M25" i="25" s="1"/>
  <c r="K70" i="26"/>
  <c r="G69" i="26"/>
  <c r="N15" i="27"/>
  <c r="N14" i="27" s="1"/>
  <c r="J14" i="27"/>
  <c r="Y51" i="22" s="1"/>
  <c r="AD51" i="22" s="1"/>
  <c r="AB20" i="28"/>
  <c r="AF20" i="28" s="1"/>
  <c r="W72" i="22"/>
  <c r="Q25" i="31"/>
  <c r="BC63" i="41"/>
  <c r="BC61" i="41" s="1"/>
  <c r="K35" i="34"/>
  <c r="K42" i="35"/>
  <c r="Q48" i="39"/>
  <c r="Y41" i="36"/>
  <c r="U41" i="36"/>
  <c r="T41" i="36" s="1"/>
  <c r="R19" i="36"/>
  <c r="AJ19" i="36"/>
  <c r="Q11" i="36"/>
  <c r="O49" i="36"/>
  <c r="N49" i="36" s="1"/>
  <c r="BN49" i="36" s="1"/>
  <c r="AA61" i="36"/>
  <c r="W59" i="36"/>
  <c r="Y51" i="36"/>
  <c r="AA75" i="39"/>
  <c r="I79" i="39"/>
  <c r="K42" i="39"/>
  <c r="T14" i="36"/>
  <c r="T13" i="36" s="1"/>
  <c r="BB52" i="36"/>
  <c r="Q50" i="45"/>
  <c r="Q43" i="38"/>
  <c r="T43" i="38" s="1"/>
  <c r="Q50" i="46"/>
  <c r="Q43" i="39"/>
  <c r="N13" i="36"/>
  <c r="AF23" i="36"/>
  <c r="AM23" i="36"/>
  <c r="AL23" i="36" s="1"/>
  <c r="BN26" i="36"/>
  <c r="BE25" i="36"/>
  <c r="AM33" i="36"/>
  <c r="AL33" i="36" s="1"/>
  <c r="AF33" i="36"/>
  <c r="AM38" i="36"/>
  <c r="AL38" i="36" s="1"/>
  <c r="H48" i="36"/>
  <c r="G48" i="36" s="1"/>
  <c r="BN48" i="36" s="1"/>
  <c r="D47" i="36"/>
  <c r="H47" i="36" s="1"/>
  <c r="G47" i="36" s="1"/>
  <c r="D63" i="36"/>
  <c r="C62" i="36"/>
  <c r="C58" i="36" s="1"/>
  <c r="C55" i="36" s="1"/>
  <c r="C60" i="23"/>
  <c r="BR19" i="41"/>
  <c r="AW79" i="41"/>
  <c r="AA12" i="41"/>
  <c r="AA10" i="41"/>
  <c r="BR50" i="41"/>
  <c r="BV50" i="41" s="1"/>
  <c r="BB34" i="5"/>
  <c r="J39" i="44"/>
  <c r="P39" i="7"/>
  <c r="O39" i="7" s="1"/>
  <c r="K39" i="39"/>
  <c r="N25" i="9"/>
  <c r="N24" i="9" s="1"/>
  <c r="AB19" i="11"/>
  <c r="R25" i="9"/>
  <c r="R24" i="9" s="1"/>
  <c r="R38" i="43"/>
  <c r="C49" i="13"/>
  <c r="C56" i="13"/>
  <c r="AC30" i="16"/>
  <c r="G32" i="11"/>
  <c r="F33" i="11"/>
  <c r="J10" i="20"/>
  <c r="J12" i="20"/>
  <c r="J14" i="20"/>
  <c r="M83" i="4"/>
  <c r="M11" i="22"/>
  <c r="M10" i="22" s="1"/>
  <c r="L54" i="22"/>
  <c r="L88" i="22" s="1"/>
  <c r="P12" i="25"/>
  <c r="P11" i="25" s="1"/>
  <c r="O13" i="25"/>
  <c r="S14" i="25"/>
  <c r="Q14" i="25"/>
  <c r="Q11" i="25" s="1"/>
  <c r="Y25" i="22" s="1"/>
  <c r="AD25" i="22" s="1"/>
  <c r="J68" i="26"/>
  <c r="J67" i="26" s="1"/>
  <c r="Y53" i="22"/>
  <c r="AD53" i="22" s="1"/>
  <c r="N17" i="27"/>
  <c r="N18" i="27"/>
  <c r="Y50" i="22"/>
  <c r="AD50" i="22" s="1"/>
  <c r="AD59" i="22"/>
  <c r="BD62" i="41"/>
  <c r="K35" i="38"/>
  <c r="L19" i="30"/>
  <c r="K25" i="35"/>
  <c r="K24" i="35" s="1"/>
  <c r="K20" i="35" s="1"/>
  <c r="K18" i="35" s="1"/>
  <c r="V27" i="37"/>
  <c r="R27" i="37" s="1"/>
  <c r="AA27" i="4"/>
  <c r="AA27" i="37" s="1"/>
  <c r="M9" i="63"/>
  <c r="O19" i="17"/>
  <c r="N27" i="39"/>
  <c r="F51" i="36"/>
  <c r="F10" i="36" s="1"/>
  <c r="F70" i="36" s="1"/>
  <c r="M52" i="36"/>
  <c r="AH30" i="36"/>
  <c r="BN25" i="36"/>
  <c r="H50" i="36"/>
  <c r="G50" i="36" s="1"/>
  <c r="BL50" i="36"/>
  <c r="T16" i="37"/>
  <c r="L81" i="39"/>
  <c r="Q18" i="37"/>
  <c r="D13" i="36"/>
  <c r="H16" i="36"/>
  <c r="G16" i="36" s="1"/>
  <c r="BN16" i="36" s="1"/>
  <c r="BL16" i="36"/>
  <c r="AI26" i="36"/>
  <c r="AI25" i="36" s="1"/>
  <c r="U26" i="36"/>
  <c r="AM26" i="36" s="1"/>
  <c r="AR35" i="36"/>
  <c r="AR30" i="36" s="1"/>
  <c r="AS30" i="36"/>
  <c r="BN38" i="36"/>
  <c r="AI16" i="37"/>
  <c r="AW12" i="41"/>
  <c r="AW10" i="41"/>
  <c r="AW72" i="41" s="1"/>
  <c r="AR63" i="41"/>
  <c r="AH61" i="41"/>
  <c r="CB17" i="48"/>
  <c r="F16" i="138" s="1"/>
  <c r="EK20" i="51"/>
  <c r="EK21" i="51" s="1"/>
  <c r="CR17" i="48"/>
  <c r="F18" i="138" s="1"/>
  <c r="FM20" i="51"/>
  <c r="FM21" i="51" s="1"/>
  <c r="F30" i="47"/>
  <c r="CD17" i="47"/>
  <c r="BA47" i="41"/>
  <c r="H47" i="43"/>
  <c r="H66" i="46"/>
  <c r="H65" i="46" s="1"/>
  <c r="H66" i="45"/>
  <c r="H65" i="45" s="1"/>
  <c r="L47" i="44"/>
  <c r="H48" i="44"/>
  <c r="D64" i="154" s="1"/>
  <c r="BF16" i="5"/>
  <c r="M8" i="10"/>
  <c r="AB10" i="11"/>
  <c r="AB13" i="11"/>
  <c r="AB12" i="11"/>
  <c r="AB11" i="11" s="1"/>
  <c r="X52" i="9"/>
  <c r="E22" i="14"/>
  <c r="P38" i="44"/>
  <c r="BC49" i="41"/>
  <c r="BD49" i="41" s="1"/>
  <c r="C24" i="57"/>
  <c r="C24" i="67" s="1"/>
  <c r="S25" i="94"/>
  <c r="Y25" i="94" s="1"/>
  <c r="P59" i="13"/>
  <c r="K10" i="11"/>
  <c r="J14" i="11"/>
  <c r="J12" i="11"/>
  <c r="J17" i="11"/>
  <c r="E12" i="11"/>
  <c r="I10" i="20"/>
  <c r="J31" i="11"/>
  <c r="J33" i="11"/>
  <c r="J32" i="11"/>
  <c r="AE17" i="20"/>
  <c r="AJ10" i="20"/>
  <c r="AH10" i="20"/>
  <c r="F11" i="20"/>
  <c r="F17" i="20"/>
  <c r="F13" i="20"/>
  <c r="K13" i="20"/>
  <c r="Q83" i="4"/>
  <c r="V130" i="150" s="1"/>
  <c r="N82" i="1"/>
  <c r="T13" i="24"/>
  <c r="T10" i="24" s="1"/>
  <c r="Y20" i="22" s="1"/>
  <c r="AD20" i="22" s="1"/>
  <c r="K41" i="26"/>
  <c r="P61" i="26"/>
  <c r="P21" i="26"/>
  <c r="Q21" i="26" s="1"/>
  <c r="R21" i="26" s="1"/>
  <c r="W54" i="22"/>
  <c r="X11" i="22"/>
  <c r="X10" i="22" s="1"/>
  <c r="E64" i="22"/>
  <c r="E11" i="22" s="1"/>
  <c r="E10" i="22" s="1"/>
  <c r="H65" i="22"/>
  <c r="E39" i="26"/>
  <c r="F39" i="26" s="1"/>
  <c r="G39" i="26" s="1"/>
  <c r="E65" i="26"/>
  <c r="F65" i="26" s="1"/>
  <c r="G65" i="26" s="1"/>
  <c r="K65" i="26" s="1"/>
  <c r="E33" i="26"/>
  <c r="F33" i="26" s="1"/>
  <c r="G33" i="26" s="1"/>
  <c r="K33" i="26" s="1"/>
  <c r="E57" i="26"/>
  <c r="F57" i="26" s="1"/>
  <c r="G57" i="26" s="1"/>
  <c r="K57" i="26" s="1"/>
  <c r="F18" i="26"/>
  <c r="G18" i="26" s="1"/>
  <c r="E25" i="26"/>
  <c r="F25" i="26" s="1"/>
  <c r="G25" i="26" s="1"/>
  <c r="K25" i="26" s="1"/>
  <c r="F28" i="26"/>
  <c r="G28" i="26" s="1"/>
  <c r="K28" i="26" s="1"/>
  <c r="J31" i="26"/>
  <c r="J30" i="26" s="1"/>
  <c r="G59" i="26"/>
  <c r="K60" i="26"/>
  <c r="L51" i="22"/>
  <c r="L48" i="22" s="1"/>
  <c r="L90" i="22" s="1"/>
  <c r="C10" i="28"/>
  <c r="F9" i="28"/>
  <c r="O10" i="28"/>
  <c r="O9" i="28" s="1"/>
  <c r="N70" i="22" s="1"/>
  <c r="S70" i="22" s="1"/>
  <c r="AB13" i="28"/>
  <c r="AF13" i="28" s="1"/>
  <c r="AB15" i="28"/>
  <c r="AF15" i="28" s="1"/>
  <c r="AD21" i="28"/>
  <c r="AB21" i="28" s="1"/>
  <c r="AF21" i="28" s="1"/>
  <c r="R21" i="28"/>
  <c r="H51" i="34"/>
  <c r="F51" i="34" s="1"/>
  <c r="K35" i="39"/>
  <c r="R30" i="37"/>
  <c r="L9" i="63"/>
  <c r="C74" i="81" s="1"/>
  <c r="O18" i="17"/>
  <c r="AI64" i="36"/>
  <c r="AG64" i="36"/>
  <c r="Z53" i="36"/>
  <c r="Z51" i="36" s="1"/>
  <c r="AA51" i="36"/>
  <c r="AV11" i="36"/>
  <c r="J15" i="63"/>
  <c r="C82" i="79" s="1"/>
  <c r="T16" i="17"/>
  <c r="AU35" i="37"/>
  <c r="AM16" i="36"/>
  <c r="AL16" i="36" s="1"/>
  <c r="AG13" i="36"/>
  <c r="Z17" i="36"/>
  <c r="Z13" i="36" s="1"/>
  <c r="AA13" i="36"/>
  <c r="AF21" i="36"/>
  <c r="AM21" i="36"/>
  <c r="P45" i="36"/>
  <c r="V45" i="36" s="1"/>
  <c r="AB45" i="36" s="1"/>
  <c r="AH45" i="36" s="1"/>
  <c r="H45" i="36"/>
  <c r="G45" i="36" s="1"/>
  <c r="BL46" i="36"/>
  <c r="L46" i="36"/>
  <c r="H46" i="36"/>
  <c r="G46" i="36" s="1"/>
  <c r="AF47" i="36"/>
  <c r="AM47" i="36"/>
  <c r="AL47" i="36" s="1"/>
  <c r="BK48" i="36"/>
  <c r="BL48" i="36"/>
  <c r="AG56" i="36"/>
  <c r="AM57" i="36"/>
  <c r="AL57" i="36" s="1"/>
  <c r="AF57" i="36"/>
  <c r="AF56" i="36" s="1"/>
  <c r="AK25" i="36"/>
  <c r="AN25" i="36"/>
  <c r="F17" i="37"/>
  <c r="D20" i="37"/>
  <c r="BM27" i="48"/>
  <c r="BL27" i="48"/>
  <c r="J8" i="15" s="1"/>
  <c r="J66" i="36"/>
  <c r="BB68" i="41"/>
  <c r="BO13" i="41"/>
  <c r="BO11" i="41" s="1"/>
  <c r="BS26" i="41"/>
  <c r="BK25" i="41"/>
  <c r="BL26" i="41"/>
  <c r="BL25" i="41" s="1"/>
  <c r="BR30" i="41"/>
  <c r="BJ39" i="41"/>
  <c r="BS39" i="41"/>
  <c r="U17" i="14"/>
  <c r="I19" i="47"/>
  <c r="CF19" i="47"/>
  <c r="CC17" i="47"/>
  <c r="CF17" i="47" s="1"/>
  <c r="CE19" i="47"/>
  <c r="CO36" i="47"/>
  <c r="CO33" i="47" s="1"/>
  <c r="X33" i="14"/>
  <c r="CQ35" i="47"/>
  <c r="CQ33" i="47" s="1"/>
  <c r="I35" i="47"/>
  <c r="CR35" i="47"/>
  <c r="AD19" i="11"/>
  <c r="AD21" i="11"/>
  <c r="AA14" i="11"/>
  <c r="M40" i="9"/>
  <c r="C47" i="13"/>
  <c r="K13" i="11"/>
  <c r="F11" i="11"/>
  <c r="J30" i="11"/>
  <c r="K32" i="11"/>
  <c r="K33" i="11"/>
  <c r="K30" i="11"/>
  <c r="AE13" i="20"/>
  <c r="AE11" i="20" s="1"/>
  <c r="AC14" i="20"/>
  <c r="AC19" i="20"/>
  <c r="AC21" i="20"/>
  <c r="AC17" i="20"/>
  <c r="AC13" i="20"/>
  <c r="C144" i="20"/>
  <c r="P49" i="26"/>
  <c r="P66" i="26"/>
  <c r="P64" i="26"/>
  <c r="G72" i="26"/>
  <c r="K72" i="26" s="1"/>
  <c r="S62" i="22"/>
  <c r="F13" i="24"/>
  <c r="F10" i="24" s="1"/>
  <c r="N20" i="22" s="1"/>
  <c r="AB24" i="24"/>
  <c r="AD24" i="24" s="1"/>
  <c r="T12" i="25"/>
  <c r="T11" i="25" s="1"/>
  <c r="S13" i="25"/>
  <c r="S12" i="25" s="1"/>
  <c r="D16" i="25"/>
  <c r="K16" i="25" s="1"/>
  <c r="M16" i="25" s="1"/>
  <c r="D17" i="25"/>
  <c r="K17" i="25" s="1"/>
  <c r="M17" i="25" s="1"/>
  <c r="J59" i="26"/>
  <c r="J55" i="26" s="1"/>
  <c r="J47" i="26" s="1"/>
  <c r="G57" i="27"/>
  <c r="H57" i="27"/>
  <c r="Y72" i="22"/>
  <c r="AD72" i="22" s="1"/>
  <c r="L25" i="33"/>
  <c r="Q72" i="38"/>
  <c r="J52" i="34"/>
  <c r="I52" i="34" s="1"/>
  <c r="P23" i="33"/>
  <c r="P31" i="37"/>
  <c r="M31" i="37" s="1"/>
  <c r="J52" i="35"/>
  <c r="I52" i="35" s="1"/>
  <c r="I35" i="35"/>
  <c r="C48" i="35"/>
  <c r="AG46" i="36"/>
  <c r="AQ46" i="36"/>
  <c r="AK46" i="36"/>
  <c r="L51" i="36"/>
  <c r="BL51" i="36"/>
  <c r="K13" i="36"/>
  <c r="W16" i="37"/>
  <c r="AD16" i="37" s="1"/>
  <c r="AT16" i="37"/>
  <c r="AQ16" i="37" s="1"/>
  <c r="AF17" i="36"/>
  <c r="AF13" i="36" s="1"/>
  <c r="AM17" i="36"/>
  <c r="AL17" i="36" s="1"/>
  <c r="BN18" i="36"/>
  <c r="X19" i="36"/>
  <c r="N19" i="36"/>
  <c r="AX20" i="36"/>
  <c r="AX19" i="36" s="1"/>
  <c r="AY19" i="36"/>
  <c r="O69" i="36"/>
  <c r="N69" i="36" s="1"/>
  <c r="L20" i="37"/>
  <c r="L17" i="37" s="1"/>
  <c r="Q85" i="37"/>
  <c r="Q86" i="37" s="1"/>
  <c r="G17" i="37"/>
  <c r="G10" i="37" s="1"/>
  <c r="G9" i="37" s="1"/>
  <c r="AE43" i="37"/>
  <c r="W43" i="37"/>
  <c r="AX77" i="41"/>
  <c r="AK10" i="41"/>
  <c r="AK12" i="41"/>
  <c r="BN26" i="41"/>
  <c r="BN25" i="41" s="1"/>
  <c r="BM25" i="41"/>
  <c r="AH30" i="41"/>
  <c r="AT30" i="41" s="1"/>
  <c r="AR31" i="41"/>
  <c r="BQ30" i="41"/>
  <c r="Q67" i="43"/>
  <c r="P46" i="44"/>
  <c r="E11" i="53"/>
  <c r="E7" i="53" s="1"/>
  <c r="E6" i="53" s="1"/>
  <c r="S9" i="48"/>
  <c r="AB39" i="47"/>
  <c r="AB10" i="47"/>
  <c r="AN17" i="48"/>
  <c r="F11" i="138" s="1"/>
  <c r="BS20" i="51"/>
  <c r="BS21" i="51" s="1"/>
  <c r="C41" i="13"/>
  <c r="C53" i="13"/>
  <c r="C70" i="13"/>
  <c r="I32" i="11"/>
  <c r="I30" i="11"/>
  <c r="AB14" i="20"/>
  <c r="AB11" i="20" s="1"/>
  <c r="Q49" i="22"/>
  <c r="N58" i="22"/>
  <c r="S58" i="22" s="1"/>
  <c r="U18" i="4"/>
  <c r="V13" i="30"/>
  <c r="V12" i="30" s="1"/>
  <c r="V9" i="30" s="1"/>
  <c r="V22" i="30" s="1"/>
  <c r="O29" i="37"/>
  <c r="G48" i="34"/>
  <c r="K45" i="34"/>
  <c r="I45" i="34" s="1"/>
  <c r="G46" i="7"/>
  <c r="CD27" i="48"/>
  <c r="Q26" i="37"/>
  <c r="X13" i="36"/>
  <c r="H21" i="36"/>
  <c r="AS13" i="36"/>
  <c r="BE19" i="36"/>
  <c r="AK54" i="36"/>
  <c r="AY13" i="36"/>
  <c r="AF24" i="36"/>
  <c r="AM24" i="36"/>
  <c r="AL24" i="36" s="1"/>
  <c r="Z38" i="36"/>
  <c r="BC53" i="36"/>
  <c r="BC51" i="36" s="1"/>
  <c r="U66" i="36"/>
  <c r="C42" i="37"/>
  <c r="W61" i="37"/>
  <c r="W59" i="37" s="1"/>
  <c r="AL63" i="37"/>
  <c r="AL59" i="37" s="1"/>
  <c r="G13" i="23"/>
  <c r="C48" i="23"/>
  <c r="I48" i="23" s="1"/>
  <c r="R48" i="23" s="1"/>
  <c r="I49" i="23"/>
  <c r="R49" i="23" s="1"/>
  <c r="J53" i="23"/>
  <c r="AB58" i="40"/>
  <c r="AB49" i="40" s="1"/>
  <c r="AB64" i="40" s="1"/>
  <c r="AB24" i="40"/>
  <c r="AB23" i="40" s="1"/>
  <c r="H36" i="40"/>
  <c r="H24" i="40"/>
  <c r="H23" i="40" s="1"/>
  <c r="AR64" i="41"/>
  <c r="AQ19" i="41"/>
  <c r="AQ11" i="41" s="1"/>
  <c r="BQ19" i="41"/>
  <c r="BJ29" i="41"/>
  <c r="BT29" i="41" s="1"/>
  <c r="BS29" i="41"/>
  <c r="BT36" i="41"/>
  <c r="BT50" i="41"/>
  <c r="AN80" i="41"/>
  <c r="AN74" i="41" s="1"/>
  <c r="AN86" i="41" s="1"/>
  <c r="AN72" i="41"/>
  <c r="AT70" i="41"/>
  <c r="AR70" i="41"/>
  <c r="N26" i="48"/>
  <c r="Q26" i="48" s="1"/>
  <c r="P27" i="48"/>
  <c r="D8" i="15" s="1"/>
  <c r="R27" i="48"/>
  <c r="Q27" i="48"/>
  <c r="H62" i="43"/>
  <c r="C61" i="43"/>
  <c r="C57" i="43" s="1"/>
  <c r="P11" i="51"/>
  <c r="P10" i="51" s="1"/>
  <c r="D49" i="45"/>
  <c r="C49" i="45" s="1"/>
  <c r="F22" i="44"/>
  <c r="D49" i="46"/>
  <c r="C49" i="46" s="1"/>
  <c r="D23" i="44"/>
  <c r="K23" i="44"/>
  <c r="H57" i="45"/>
  <c r="H57" i="46"/>
  <c r="H61" i="46"/>
  <c r="H61" i="45"/>
  <c r="CT11" i="47"/>
  <c r="CS11" i="47"/>
  <c r="CI9" i="47"/>
  <c r="CI10" i="47" s="1"/>
  <c r="DU9" i="47"/>
  <c r="DU10" i="47" s="1"/>
  <c r="BF11" i="47"/>
  <c r="J12" i="47"/>
  <c r="BR11" i="47"/>
  <c r="BO9" i="48"/>
  <c r="BO8" i="48" s="1"/>
  <c r="BO30" i="48" s="1"/>
  <c r="CV39" i="47"/>
  <c r="CV41" i="47" s="1"/>
  <c r="CV10" i="47"/>
  <c r="E8" i="71"/>
  <c r="E20" i="71" s="1"/>
  <c r="E33" i="71" s="1"/>
  <c r="H20" i="71"/>
  <c r="N17" i="24"/>
  <c r="P17" i="24" s="1"/>
  <c r="AB20" i="24"/>
  <c r="AD20" i="24" s="1"/>
  <c r="AM44" i="36"/>
  <c r="AL44" i="36" s="1"/>
  <c r="BC67" i="41"/>
  <c r="BD68" i="41"/>
  <c r="BD67" i="41" s="1"/>
  <c r="J31" i="23"/>
  <c r="V51" i="48"/>
  <c r="K9" i="71"/>
  <c r="L9" i="71" s="1"/>
  <c r="C9" i="71" s="1"/>
  <c r="J51" i="23"/>
  <c r="L49" i="23"/>
  <c r="AD32" i="40"/>
  <c r="AC58" i="40"/>
  <c r="AC49" i="40" s="1"/>
  <c r="AC64" i="40" s="1"/>
  <c r="C63" i="40"/>
  <c r="BT16" i="41"/>
  <c r="AY11" i="41"/>
  <c r="BS15" i="41"/>
  <c r="BN23" i="41"/>
  <c r="BT23" i="41" s="1"/>
  <c r="BS23" i="41"/>
  <c r="AQ63" i="41"/>
  <c r="AG61" i="41"/>
  <c r="AG60" i="41" s="1"/>
  <c r="AG57" i="41" s="1"/>
  <c r="AL69" i="41"/>
  <c r="AK67" i="41"/>
  <c r="AK60" i="41" s="1"/>
  <c r="AK57" i="41" s="1"/>
  <c r="AQ69" i="41"/>
  <c r="AQ67" i="41" s="1"/>
  <c r="AO9" i="47"/>
  <c r="AO10" i="47" s="1"/>
  <c r="E33" i="47"/>
  <c r="CE33" i="47"/>
  <c r="BU30" i="47"/>
  <c r="DF11" i="47"/>
  <c r="DD11" i="47"/>
  <c r="DC11" i="47"/>
  <c r="DE11" i="47"/>
  <c r="CN26" i="47"/>
  <c r="CN23" i="47" s="1"/>
  <c r="CT26" i="47"/>
  <c r="CM23" i="47"/>
  <c r="CR23" i="47" s="1"/>
  <c r="CS26" i="47"/>
  <c r="BB32" i="5"/>
  <c r="J37" i="44"/>
  <c r="AO36" i="44"/>
  <c r="AG36" i="44"/>
  <c r="AI36" i="44" s="1"/>
  <c r="AG46" i="43"/>
  <c r="AK46" i="43"/>
  <c r="AM46" i="43" s="1"/>
  <c r="AG32" i="43"/>
  <c r="AH30" i="43"/>
  <c r="BA38" i="41"/>
  <c r="BI38" i="43"/>
  <c r="AV42" i="43"/>
  <c r="AY42" i="43"/>
  <c r="BD42" i="43"/>
  <c r="D22" i="47"/>
  <c r="F22" i="47"/>
  <c r="C46" i="13"/>
  <c r="C72" i="13"/>
  <c r="AB10" i="20"/>
  <c r="AB17" i="20"/>
  <c r="Y19" i="22"/>
  <c r="N16" i="24"/>
  <c r="P16" i="24" s="1"/>
  <c r="J42" i="38"/>
  <c r="AF44" i="36"/>
  <c r="T38" i="38"/>
  <c r="AX13" i="36"/>
  <c r="AD19" i="36"/>
  <c r="T30" i="36"/>
  <c r="R47" i="36"/>
  <c r="D59" i="36"/>
  <c r="H60" i="36"/>
  <c r="H30" i="23"/>
  <c r="F36" i="23"/>
  <c r="F30" i="23" s="1"/>
  <c r="N49" i="23"/>
  <c r="N30" i="23" s="1"/>
  <c r="J75" i="23"/>
  <c r="L74" i="23"/>
  <c r="AP27" i="48"/>
  <c r="AN27" i="48"/>
  <c r="G8" i="15" s="1"/>
  <c r="O13" i="17" s="1"/>
  <c r="BI78" i="41"/>
  <c r="AD79" i="41"/>
  <c r="AD74" i="41" s="1"/>
  <c r="AD86" i="41" s="1"/>
  <c r="AM11" i="41"/>
  <c r="BK13" i="41"/>
  <c r="BK78" i="41"/>
  <c r="BS18" i="41"/>
  <c r="BJ18" i="41"/>
  <c r="AD12" i="41"/>
  <c r="AD10" i="41"/>
  <c r="AD72" i="41" s="1"/>
  <c r="BI30" i="41"/>
  <c r="BS32" i="41"/>
  <c r="BJ32" i="41"/>
  <c r="BT32" i="41" s="1"/>
  <c r="AX10" i="41"/>
  <c r="AX72" i="41" s="1"/>
  <c r="AX12" i="41"/>
  <c r="BV48" i="41"/>
  <c r="AR49" i="41"/>
  <c r="AT49" i="41"/>
  <c r="AP11" i="41"/>
  <c r="AR51" i="41"/>
  <c r="AQ58" i="41"/>
  <c r="AQ88" i="41" s="1"/>
  <c r="BY71" i="41"/>
  <c r="BZ71" i="41" s="1"/>
  <c r="AQ78" i="41"/>
  <c r="AQ77" i="41" s="1"/>
  <c r="AG77" i="41"/>
  <c r="BF30" i="47"/>
  <c r="BF40" i="47" s="1"/>
  <c r="AL10" i="48"/>
  <c r="AN10" i="48" s="1"/>
  <c r="F17" i="47"/>
  <c r="L38" i="43"/>
  <c r="BB23" i="47"/>
  <c r="BB9" i="47" s="1"/>
  <c r="BB10" i="47" s="1"/>
  <c r="F26" i="47"/>
  <c r="N48" i="43"/>
  <c r="AL20" i="43"/>
  <c r="AM19" i="43"/>
  <c r="AD25" i="43"/>
  <c r="X25" i="43"/>
  <c r="H38" i="43"/>
  <c r="ET9" i="47"/>
  <c r="ET10" i="47" s="1"/>
  <c r="AU31" i="47"/>
  <c r="AX31" i="47"/>
  <c r="AV31" i="47"/>
  <c r="G31" i="47"/>
  <c r="AQ32" i="47"/>
  <c r="AQ30" i="47" s="1"/>
  <c r="AB39" i="36"/>
  <c r="O41" i="36"/>
  <c r="N41" i="36" s="1"/>
  <c r="W28" i="39"/>
  <c r="U68" i="1"/>
  <c r="AB68" i="36"/>
  <c r="AN68" i="36" s="1"/>
  <c r="AL68" i="36" s="1"/>
  <c r="C19" i="36"/>
  <c r="C11" i="36" s="1"/>
  <c r="W11" i="36"/>
  <c r="H41" i="36"/>
  <c r="G41" i="36" s="1"/>
  <c r="AM18" i="36"/>
  <c r="AL18" i="36" s="1"/>
  <c r="AI69" i="36"/>
  <c r="AI30" i="36"/>
  <c r="AN51" i="36"/>
  <c r="I60" i="23"/>
  <c r="E36" i="23"/>
  <c r="N73" i="23"/>
  <c r="N58" i="23" s="1"/>
  <c r="H49" i="40"/>
  <c r="J21" i="40"/>
  <c r="AT51" i="41"/>
  <c r="BT37" i="41"/>
  <c r="AI61" i="41"/>
  <c r="AI60" i="41" s="1"/>
  <c r="AI57" i="41" s="1"/>
  <c r="BI25" i="41"/>
  <c r="BL31" i="41"/>
  <c r="BL30" i="41" s="1"/>
  <c r="BK30" i="41"/>
  <c r="BS31" i="41"/>
  <c r="BT43" i="41"/>
  <c r="V40" i="47"/>
  <c r="Z17" i="47"/>
  <c r="O9" i="47"/>
  <c r="O10" i="47" s="1"/>
  <c r="D27" i="47"/>
  <c r="BV27" i="47"/>
  <c r="C27" i="47"/>
  <c r="FE27" i="47" s="1"/>
  <c r="C37" i="13"/>
  <c r="C29" i="13"/>
  <c r="C48" i="13"/>
  <c r="F29" i="26"/>
  <c r="G29" i="26" s="1"/>
  <c r="K29" i="26" s="1"/>
  <c r="J42" i="34"/>
  <c r="J28" i="34"/>
  <c r="J27" i="34" s="1"/>
  <c r="M54" i="36"/>
  <c r="O54" i="36" s="1"/>
  <c r="N54" i="36" s="1"/>
  <c r="AS34" i="37"/>
  <c r="AA30" i="36"/>
  <c r="U59" i="36"/>
  <c r="M72" i="37"/>
  <c r="M69" i="37" s="1"/>
  <c r="M83" i="37" s="1"/>
  <c r="Z74" i="38"/>
  <c r="BN24" i="36"/>
  <c r="AS26" i="36"/>
  <c r="AT25" i="36"/>
  <c r="AJ42" i="36"/>
  <c r="R42" i="36"/>
  <c r="L42" i="36"/>
  <c r="P42" i="36" s="1"/>
  <c r="O42" i="36" s="1"/>
  <c r="N42" i="36" s="1"/>
  <c r="BN42" i="36" s="1"/>
  <c r="AS53" i="36"/>
  <c r="AR53" i="36" s="1"/>
  <c r="H16" i="37"/>
  <c r="H9" i="63"/>
  <c r="C76" i="77" s="1"/>
  <c r="O14" i="17"/>
  <c r="G73" i="23"/>
  <c r="G58" i="23" s="1"/>
  <c r="J18" i="23"/>
  <c r="P18" i="23" s="1"/>
  <c r="M30" i="23"/>
  <c r="D58" i="23"/>
  <c r="D29" i="23" s="1"/>
  <c r="D12" i="23" s="1"/>
  <c r="I79" i="23"/>
  <c r="I78" i="23" s="1"/>
  <c r="C78" i="23"/>
  <c r="C49" i="40"/>
  <c r="C50" i="40" s="1"/>
  <c r="AO11" i="41"/>
  <c r="AV11" i="41"/>
  <c r="BS27" i="41"/>
  <c r="BT28" i="41"/>
  <c r="BN30" i="41"/>
  <c r="BT33" i="41"/>
  <c r="BS38" i="41"/>
  <c r="BJ38" i="41"/>
  <c r="BT38" i="41" s="1"/>
  <c r="BK51" i="41"/>
  <c r="BL54" i="41"/>
  <c r="AP62" i="41"/>
  <c r="AP61" i="41" s="1"/>
  <c r="AP60" i="41" s="1"/>
  <c r="AO61" i="41"/>
  <c r="AO60" i="41" s="1"/>
  <c r="AO57" i="41" s="1"/>
  <c r="AZ66" i="41"/>
  <c r="AY64" i="41"/>
  <c r="G39" i="43"/>
  <c r="ED33" i="47"/>
  <c r="EB33" i="47"/>
  <c r="S9" i="47"/>
  <c r="FB30" i="47"/>
  <c r="EZ30" i="47"/>
  <c r="K13" i="47"/>
  <c r="N13" i="47"/>
  <c r="L13" i="47"/>
  <c r="E17" i="47"/>
  <c r="AS9" i="47"/>
  <c r="AV23" i="47"/>
  <c r="ER9" i="47"/>
  <c r="DI20" i="51"/>
  <c r="DI21" i="51" s="1"/>
  <c r="BL17" i="48"/>
  <c r="F14" i="138" s="1"/>
  <c r="AP13" i="43"/>
  <c r="AO11" i="43"/>
  <c r="AL92" i="44"/>
  <c r="AL65" i="44" s="1"/>
  <c r="P40" i="47"/>
  <c r="D30" i="47"/>
  <c r="D40" i="47" s="1"/>
  <c r="C30" i="47"/>
  <c r="FC30" i="47" s="1"/>
  <c r="F36" i="47"/>
  <c r="L78" i="23"/>
  <c r="C21" i="23"/>
  <c r="I21" i="23" s="1"/>
  <c r="L36" i="23"/>
  <c r="J37" i="23"/>
  <c r="Z24" i="40"/>
  <c r="Z23" i="40" s="1"/>
  <c r="C39" i="40"/>
  <c r="AA43" i="40"/>
  <c r="BS48" i="41"/>
  <c r="BS46" i="41"/>
  <c r="AR14" i="41"/>
  <c r="AR13" i="41" s="1"/>
  <c r="AH13" i="41"/>
  <c r="BM13" i="41"/>
  <c r="BN17" i="41"/>
  <c r="BT17" i="41" s="1"/>
  <c r="BS17" i="41"/>
  <c r="AZ78" i="41"/>
  <c r="AZ77" i="41" s="1"/>
  <c r="BY32" i="41"/>
  <c r="BZ32" i="41" s="1"/>
  <c r="AZ30" i="41"/>
  <c r="AZ11" i="41" s="1"/>
  <c r="BS36" i="41"/>
  <c r="BS43" i="41"/>
  <c r="BN59" i="41"/>
  <c r="BT59" i="41" s="1"/>
  <c r="BS59" i="41"/>
  <c r="D13" i="63"/>
  <c r="R10" i="17"/>
  <c r="BR29" i="47"/>
  <c r="BR27" i="47" s="1"/>
  <c r="CD3" i="47"/>
  <c r="BR32" i="47"/>
  <c r="F33" i="47"/>
  <c r="DI9" i="47"/>
  <c r="DI10" i="47" s="1"/>
  <c r="DV9" i="47"/>
  <c r="DV10" i="47" s="1"/>
  <c r="D11" i="44"/>
  <c r="E36" i="45"/>
  <c r="C36" i="45" s="1"/>
  <c r="H39" i="46"/>
  <c r="H39" i="45"/>
  <c r="G57" i="46"/>
  <c r="F57" i="46" s="1"/>
  <c r="H36" i="44"/>
  <c r="G57" i="45"/>
  <c r="H60" i="46"/>
  <c r="H59" i="46" s="1"/>
  <c r="H60" i="45"/>
  <c r="L41" i="44"/>
  <c r="G66" i="46"/>
  <c r="G66" i="45"/>
  <c r="C58" i="66"/>
  <c r="C59" i="66"/>
  <c r="AJ11" i="47"/>
  <c r="AI11" i="47"/>
  <c r="BC9" i="47"/>
  <c r="BJ11" i="47"/>
  <c r="EC11" i="47"/>
  <c r="EB11" i="47"/>
  <c r="ED11" i="47"/>
  <c r="DW9" i="47"/>
  <c r="D12" i="47"/>
  <c r="P11" i="47"/>
  <c r="AN9" i="47"/>
  <c r="D17" i="47"/>
  <c r="M20" i="47"/>
  <c r="N20" i="47"/>
  <c r="FE20" i="47"/>
  <c r="X30" i="47"/>
  <c r="DF32" i="47"/>
  <c r="DC32" i="47"/>
  <c r="DC30" i="47" s="1"/>
  <c r="CY30" i="47"/>
  <c r="DD32" i="47"/>
  <c r="CZ32" i="47"/>
  <c r="CZ30" i="47" s="1"/>
  <c r="CZ40" i="47" s="1"/>
  <c r="G14" i="47"/>
  <c r="EO14" i="47"/>
  <c r="EM14" i="47"/>
  <c r="DK26" i="47"/>
  <c r="DK23" i="47" s="1"/>
  <c r="DK9" i="47" s="1"/>
  <c r="DQ24" i="47"/>
  <c r="DQ23" i="47" s="1"/>
  <c r="G24" i="47"/>
  <c r="DP24" i="47"/>
  <c r="CA33" i="47"/>
  <c r="CH36" i="47"/>
  <c r="CG36" i="47"/>
  <c r="CB36" i="47"/>
  <c r="CB33" i="47" s="1"/>
  <c r="J19" i="23"/>
  <c r="P19" i="23" s="1"/>
  <c r="J47" i="23"/>
  <c r="E78" i="23"/>
  <c r="E73" i="23" s="1"/>
  <c r="E63" i="40"/>
  <c r="Q36" i="40"/>
  <c r="Q34" i="40" s="1"/>
  <c r="AT64" i="41"/>
  <c r="AI10" i="41"/>
  <c r="AB11" i="41"/>
  <c r="BN22" i="41"/>
  <c r="BT22" i="41" s="1"/>
  <c r="BS22" i="41"/>
  <c r="BS24" i="41"/>
  <c r="BJ24" i="41"/>
  <c r="BT24" i="41" s="1"/>
  <c r="BP25" i="41"/>
  <c r="BS35" i="41"/>
  <c r="BJ35" i="41"/>
  <c r="BT35" i="41" s="1"/>
  <c r="AT36" i="41"/>
  <c r="BS37" i="41"/>
  <c r="BV46" i="41"/>
  <c r="AQ59" i="41"/>
  <c r="AQ62" i="41"/>
  <c r="AJ74" i="41"/>
  <c r="AJ86" i="41" s="1"/>
  <c r="O9" i="63"/>
  <c r="O21" i="17"/>
  <c r="Y33" i="47"/>
  <c r="BB19" i="5"/>
  <c r="BH19" i="5" s="1"/>
  <c r="J24" i="44"/>
  <c r="EZ11" i="47"/>
  <c r="EM11" i="47"/>
  <c r="BN9" i="47"/>
  <c r="BN10" i="47" s="1"/>
  <c r="J31" i="44"/>
  <c r="D20" i="43"/>
  <c r="C19" i="43"/>
  <c r="K19" i="43" s="1"/>
  <c r="N72" i="43"/>
  <c r="P55" i="46"/>
  <c r="P55" i="45"/>
  <c r="AE37" i="44"/>
  <c r="W37" i="44"/>
  <c r="DP27" i="47"/>
  <c r="DM9" i="47"/>
  <c r="EB32" i="47"/>
  <c r="EC32" i="47"/>
  <c r="EC30" i="47" s="1"/>
  <c r="EA32" i="47"/>
  <c r="EA30" i="47" s="1"/>
  <c r="O7" i="50"/>
  <c r="D7" i="50" s="1"/>
  <c r="D9" i="50"/>
  <c r="M58" i="23"/>
  <c r="C74" i="23"/>
  <c r="BN13" i="41"/>
  <c r="AR25" i="41"/>
  <c r="BR25" i="41"/>
  <c r="AR45" i="41"/>
  <c r="AT45" i="41"/>
  <c r="BT46" i="41"/>
  <c r="L34" i="47"/>
  <c r="M34" i="47"/>
  <c r="E23" i="47"/>
  <c r="D51" i="50"/>
  <c r="D49" i="50" s="1"/>
  <c r="BL43" i="43"/>
  <c r="AD36" i="44"/>
  <c r="Y36" i="44"/>
  <c r="K34" i="47"/>
  <c r="H21" i="47"/>
  <c r="FB23" i="47"/>
  <c r="EZ23" i="47"/>
  <c r="C134" i="73"/>
  <c r="CZ17" i="48"/>
  <c r="F19" i="138" s="1"/>
  <c r="Z47" i="43"/>
  <c r="M16" i="45"/>
  <c r="M16" i="46"/>
  <c r="L16" i="46" s="1"/>
  <c r="M15" i="45"/>
  <c r="Z50" i="43"/>
  <c r="U14" i="44"/>
  <c r="AG52" i="43"/>
  <c r="AG52" i="150" s="1"/>
  <c r="AF52" i="150" s="1"/>
  <c r="BE52" i="150" s="1"/>
  <c r="AE51" i="43"/>
  <c r="AE51" i="150" s="1"/>
  <c r="Z84" i="46"/>
  <c r="X41" i="46"/>
  <c r="CG18" i="47"/>
  <c r="CG17" i="47" s="1"/>
  <c r="BW17" i="47"/>
  <c r="BW9" i="47" s="1"/>
  <c r="BW10" i="47" s="1"/>
  <c r="CU9" i="47"/>
  <c r="CU10" i="47" s="1"/>
  <c r="BE9" i="47"/>
  <c r="BH23" i="47"/>
  <c r="DW16" i="51"/>
  <c r="DW11" i="51" s="1"/>
  <c r="DW10" i="51" s="1"/>
  <c r="C139" i="80"/>
  <c r="EO12" i="51"/>
  <c r="EP15" i="51"/>
  <c r="FD16" i="51"/>
  <c r="C48" i="39"/>
  <c r="C39" i="23"/>
  <c r="C66" i="23"/>
  <c r="I66" i="23" s="1"/>
  <c r="I64" i="23" s="1"/>
  <c r="AA39" i="40"/>
  <c r="AR80" i="41"/>
  <c r="AP59" i="41"/>
  <c r="BP30" i="41"/>
  <c r="AT39" i="41"/>
  <c r="AR39" i="41"/>
  <c r="BS44" i="41"/>
  <c r="BJ44" i="41"/>
  <c r="BT49" i="41"/>
  <c r="AY60" i="41"/>
  <c r="AY57" i="41" s="1"/>
  <c r="AY79" i="41" s="1"/>
  <c r="AZ79" i="41" s="1"/>
  <c r="AZ74" i="41" s="1"/>
  <c r="AZ86" i="41" s="1"/>
  <c r="AQ80" i="41"/>
  <c r="EA9" i="47"/>
  <c r="AZ33" i="47"/>
  <c r="D33" i="47" s="1"/>
  <c r="D36" i="47"/>
  <c r="EB23" i="47"/>
  <c r="ED23" i="47"/>
  <c r="BH33" i="47"/>
  <c r="CW9" i="47"/>
  <c r="CW10" i="47" s="1"/>
  <c r="DT9" i="47"/>
  <c r="J13" i="52"/>
  <c r="D42" i="43"/>
  <c r="K42" i="43"/>
  <c r="AE45" i="43"/>
  <c r="W83" i="45"/>
  <c r="Z83" i="45"/>
  <c r="AA17" i="47"/>
  <c r="AL18" i="47"/>
  <c r="AK18" i="47"/>
  <c r="AK17" i="47" s="1"/>
  <c r="BZ9" i="47"/>
  <c r="BZ10" i="47" s="1"/>
  <c r="DE18" i="47"/>
  <c r="DE17" i="47" s="1"/>
  <c r="DF18" i="47"/>
  <c r="FB18" i="47"/>
  <c r="EQ17" i="47"/>
  <c r="FA18" i="47"/>
  <c r="FA17" i="47" s="1"/>
  <c r="P23" i="47"/>
  <c r="D23" i="47" s="1"/>
  <c r="D26" i="47"/>
  <c r="BH27" i="47"/>
  <c r="CT27" i="47"/>
  <c r="AF30" i="47"/>
  <c r="FE37" i="47"/>
  <c r="N37" i="47"/>
  <c r="FC37" i="47"/>
  <c r="C137" i="73"/>
  <c r="O13" i="51"/>
  <c r="AC12" i="51"/>
  <c r="AC11" i="51" s="1"/>
  <c r="AC10" i="51" s="1"/>
  <c r="BB25" i="5"/>
  <c r="BH25" i="5" s="1"/>
  <c r="J30" i="44"/>
  <c r="AG65" i="44"/>
  <c r="AM9" i="47"/>
  <c r="AM10" i="47" s="1"/>
  <c r="AX11" i="47"/>
  <c r="BG11" i="47"/>
  <c r="N15" i="47"/>
  <c r="M15" i="47"/>
  <c r="CJ9" i="47"/>
  <c r="CE17" i="47"/>
  <c r="EG16" i="51"/>
  <c r="BS14" i="41"/>
  <c r="BQ13" i="41"/>
  <c r="E7" i="42"/>
  <c r="E6" i="42" s="1"/>
  <c r="AD9" i="47"/>
  <c r="AD10" i="47" s="1"/>
  <c r="G27" i="47"/>
  <c r="AQ33" i="47"/>
  <c r="CR30" i="47"/>
  <c r="CY23" i="47"/>
  <c r="EY11" i="47"/>
  <c r="DE25" i="47"/>
  <c r="DE23" i="47" s="1"/>
  <c r="L45" i="43"/>
  <c r="M45" i="43" s="1"/>
  <c r="M45" i="150" s="1"/>
  <c r="BN45" i="150" s="1"/>
  <c r="BI45" i="43"/>
  <c r="BI46" i="43"/>
  <c r="DH11" i="47"/>
  <c r="DH9" i="47" s="1"/>
  <c r="EF11" i="47"/>
  <c r="EF9" i="47" s="1"/>
  <c r="BK17" i="47"/>
  <c r="BK9" i="47" s="1"/>
  <c r="BK10" i="47" s="1"/>
  <c r="D37" i="47"/>
  <c r="FD37" i="47" s="1"/>
  <c r="D34" i="50"/>
  <c r="CG19" i="51"/>
  <c r="CG12" i="51"/>
  <c r="CG11" i="51" s="1"/>
  <c r="CG10" i="51" s="1"/>
  <c r="O14" i="51"/>
  <c r="N9" i="62"/>
  <c r="H57" i="90"/>
  <c r="H52" i="90"/>
  <c r="K22" i="90"/>
  <c r="K53" i="90" s="1"/>
  <c r="H53" i="90"/>
  <c r="H49" i="90"/>
  <c r="H50" i="90" s="1"/>
  <c r="P22" i="90"/>
  <c r="BI13" i="41"/>
  <c r="BK19" i="41"/>
  <c r="AR35" i="41"/>
  <c r="F32" i="47"/>
  <c r="AU23" i="47"/>
  <c r="DF25" i="47"/>
  <c r="BJ32" i="47"/>
  <c r="BH32" i="47"/>
  <c r="BI32" i="47"/>
  <c r="BI30" i="47" s="1"/>
  <c r="P46" i="43"/>
  <c r="P14" i="46"/>
  <c r="O14" i="46" s="1"/>
  <c r="U12" i="44"/>
  <c r="P14" i="45"/>
  <c r="Q57" i="45"/>
  <c r="Q57" i="46"/>
  <c r="G56" i="45"/>
  <c r="H38" i="44"/>
  <c r="D13" i="47"/>
  <c r="F13" i="47"/>
  <c r="EP17" i="47"/>
  <c r="D44" i="60"/>
  <c r="C13" i="82"/>
  <c r="C10" i="82" s="1"/>
  <c r="AG9" i="62"/>
  <c r="AI12" i="62"/>
  <c r="AI9" i="62" s="1"/>
  <c r="AD31" i="62"/>
  <c r="C34" i="81"/>
  <c r="C32" i="81" s="1"/>
  <c r="AF33" i="62"/>
  <c r="AF31" i="62" s="1"/>
  <c r="C18" i="81"/>
  <c r="C16" i="81" s="1"/>
  <c r="AF17" i="62"/>
  <c r="AF15" i="62" s="1"/>
  <c r="AD15" i="62"/>
  <c r="C12" i="72"/>
  <c r="C10" i="73"/>
  <c r="BS14" i="47"/>
  <c r="BO11" i="47"/>
  <c r="BA10" i="48"/>
  <c r="H68" i="43"/>
  <c r="AM11" i="51"/>
  <c r="AM10" i="51" s="1"/>
  <c r="DQ32" i="47"/>
  <c r="DQ30" i="47" s="1"/>
  <c r="DP32" i="47"/>
  <c r="W32" i="47"/>
  <c r="W30" i="47" s="1"/>
  <c r="Y32" i="47"/>
  <c r="Y30" i="47" s="1"/>
  <c r="BB27" i="5"/>
  <c r="BH27" i="5" s="1"/>
  <c r="J32" i="44"/>
  <c r="D29" i="46"/>
  <c r="C29" i="46" s="1"/>
  <c r="C28" i="46" s="1"/>
  <c r="AP41" i="43"/>
  <c r="AJ41" i="43"/>
  <c r="AK41" i="43" s="1"/>
  <c r="BA48" i="41"/>
  <c r="BE48" i="41" s="1"/>
  <c r="H48" i="43"/>
  <c r="H56" i="46"/>
  <c r="F56" i="46" s="1"/>
  <c r="H56" i="45"/>
  <c r="H63" i="46"/>
  <c r="L44" i="44"/>
  <c r="BX11" i="47"/>
  <c r="BX9" i="47" s="1"/>
  <c r="C18" i="47"/>
  <c r="M18" i="47" s="1"/>
  <c r="Z18" i="47"/>
  <c r="BI14" i="48"/>
  <c r="E14" i="48" s="1"/>
  <c r="C14" i="48"/>
  <c r="BQ13" i="48"/>
  <c r="BQ8" i="48" s="1"/>
  <c r="H19" i="48"/>
  <c r="BX13" i="51"/>
  <c r="BW12" i="51"/>
  <c r="BW11" i="51" s="1"/>
  <c r="BW10" i="51" s="1"/>
  <c r="E13" i="51"/>
  <c r="CL17" i="51"/>
  <c r="CK16" i="51"/>
  <c r="CK11" i="51" s="1"/>
  <c r="CK10" i="51" s="1"/>
  <c r="E17" i="51"/>
  <c r="E16" i="51" s="1"/>
  <c r="CY12" i="51"/>
  <c r="CY11" i="51" s="1"/>
  <c r="CY10" i="51" s="1"/>
  <c r="CZ13" i="51"/>
  <c r="AO12" i="62"/>
  <c r="AO9" i="62" s="1"/>
  <c r="C13" i="84"/>
  <c r="C10" i="84" s="1"/>
  <c r="K12" i="62"/>
  <c r="C13" i="74"/>
  <c r="E11" i="47"/>
  <c r="CN11" i="47"/>
  <c r="D31" i="48"/>
  <c r="BI50" i="43"/>
  <c r="AP25" i="43"/>
  <c r="BA49" i="41"/>
  <c r="BE49" i="41" s="1"/>
  <c r="L49" i="43"/>
  <c r="M49" i="43" s="1"/>
  <c r="J66" i="43"/>
  <c r="Y84" i="46"/>
  <c r="EX11" i="47"/>
  <c r="AK32" i="47"/>
  <c r="AK30" i="47" s="1"/>
  <c r="AI32" i="47"/>
  <c r="AI30" i="47" s="1"/>
  <c r="T14" i="51"/>
  <c r="E14" i="51"/>
  <c r="S12" i="51"/>
  <c r="S11" i="51" s="1"/>
  <c r="S10" i="51" s="1"/>
  <c r="U11" i="51"/>
  <c r="U10" i="51" s="1"/>
  <c r="BJ14" i="51"/>
  <c r="BO14" i="51" s="1"/>
  <c r="BO12" i="51" s="1"/>
  <c r="BI12" i="51"/>
  <c r="FQ12" i="51"/>
  <c r="FQ11" i="51" s="1"/>
  <c r="FQ10" i="51" s="1"/>
  <c r="FR15" i="51"/>
  <c r="C35" i="80"/>
  <c r="C32" i="80" s="1"/>
  <c r="AA31" i="62"/>
  <c r="AC34" i="62"/>
  <c r="AC31" i="62" s="1"/>
  <c r="R13" i="14"/>
  <c r="BQ11" i="47"/>
  <c r="BD13" i="47"/>
  <c r="BJ13" i="47"/>
  <c r="U21" i="62"/>
  <c r="C25" i="78"/>
  <c r="C22" i="78" s="1"/>
  <c r="W24" i="62"/>
  <c r="W21" i="62" s="1"/>
  <c r="H21" i="48"/>
  <c r="H80" i="48" s="1"/>
  <c r="BM42" i="43"/>
  <c r="O42" i="43"/>
  <c r="L12" i="44"/>
  <c r="AQ8" i="48"/>
  <c r="AQ30" i="48" s="1"/>
  <c r="AQ25" i="48" s="1"/>
  <c r="CU16" i="51"/>
  <c r="CU11" i="51" s="1"/>
  <c r="CU10" i="51" s="1"/>
  <c r="C139" i="78"/>
  <c r="CU19" i="51"/>
  <c r="O19" i="51" s="1"/>
  <c r="C37" i="65"/>
  <c r="S61" i="60"/>
  <c r="P61" i="60" s="1"/>
  <c r="C37" i="149"/>
  <c r="F32" i="14"/>
  <c r="U36" i="47"/>
  <c r="C14" i="76"/>
  <c r="Q13" i="62"/>
  <c r="O9" i="62"/>
  <c r="C29" i="75"/>
  <c r="AG19" i="92"/>
  <c r="AF18" i="92"/>
  <c r="AF8" i="92" s="1"/>
  <c r="BH56" i="86"/>
  <c r="BJ56" i="86"/>
  <c r="BG56" i="86"/>
  <c r="D13" i="43"/>
  <c r="BA16" i="41"/>
  <c r="AN25" i="43"/>
  <c r="BI43" i="43"/>
  <c r="Q55" i="46"/>
  <c r="Q55" i="45"/>
  <c r="EW33" i="47"/>
  <c r="D29" i="69"/>
  <c r="C33" i="69"/>
  <c r="AO17" i="62"/>
  <c r="AO15" i="62" s="1"/>
  <c r="C18" i="84"/>
  <c r="C16" i="84" s="1"/>
  <c r="C25" i="80"/>
  <c r="C22" i="80" s="1"/>
  <c r="AA21" i="62"/>
  <c r="AJ51" i="43"/>
  <c r="BL18" i="43"/>
  <c r="BK18" i="43" s="1"/>
  <c r="AK26" i="48"/>
  <c r="C13" i="81"/>
  <c r="AD9" i="62"/>
  <c r="AF12" i="62"/>
  <c r="C31" i="78"/>
  <c r="C29" i="78" s="1"/>
  <c r="U28" i="62"/>
  <c r="C10" i="49"/>
  <c r="I10" i="49" s="1"/>
  <c r="C14" i="49"/>
  <c r="I14" i="49" s="1"/>
  <c r="C16" i="49"/>
  <c r="I16" i="49" s="1"/>
  <c r="C18" i="49"/>
  <c r="I18" i="49" s="1"/>
  <c r="AL9" i="62"/>
  <c r="AV17" i="51"/>
  <c r="AU16" i="51"/>
  <c r="AU11" i="51" s="1"/>
  <c r="AU10" i="51" s="1"/>
  <c r="DM16" i="51"/>
  <c r="DM11" i="51" s="1"/>
  <c r="DM10" i="51" s="1"/>
  <c r="DN17" i="51"/>
  <c r="EP18" i="51"/>
  <c r="EO16" i="51"/>
  <c r="AO34" i="62"/>
  <c r="AO31" i="62" s="1"/>
  <c r="AM31" i="62"/>
  <c r="AM7" i="62" s="1"/>
  <c r="AM8" i="62" s="1"/>
  <c r="AF13" i="62"/>
  <c r="C14" i="81"/>
  <c r="F9" i="62"/>
  <c r="H11" i="62"/>
  <c r="C11" i="62"/>
  <c r="Q17" i="62"/>
  <c r="Q15" i="62" s="1"/>
  <c r="C18" i="76"/>
  <c r="C16" i="76" s="1"/>
  <c r="C18" i="74"/>
  <c r="C16" i="74" s="1"/>
  <c r="K17" i="62"/>
  <c r="K15" i="62" s="1"/>
  <c r="U32" i="14"/>
  <c r="CC36" i="47"/>
  <c r="C11" i="49"/>
  <c r="I11" i="49" s="1"/>
  <c r="C15" i="49"/>
  <c r="I15" i="49" s="1"/>
  <c r="E18" i="62"/>
  <c r="E20" i="62"/>
  <c r="AF21" i="62"/>
  <c r="C20" i="70"/>
  <c r="I20" i="71"/>
  <c r="J8" i="71"/>
  <c r="D8" i="71" s="1"/>
  <c r="D20" i="71" s="1"/>
  <c r="DL29" i="47"/>
  <c r="DX3" i="47"/>
  <c r="DE17" i="51"/>
  <c r="DE16" i="51" s="1"/>
  <c r="CZ16" i="51"/>
  <c r="AO24" i="62"/>
  <c r="AO21" i="62" s="1"/>
  <c r="C25" i="84"/>
  <c r="C22" i="84" s="1"/>
  <c r="C25" i="82"/>
  <c r="C22" i="82" s="1"/>
  <c r="AI24" i="62"/>
  <c r="AI21" i="62" s="1"/>
  <c r="F23" i="14"/>
  <c r="U26" i="47"/>
  <c r="E19" i="62"/>
  <c r="Z12" i="62"/>
  <c r="Z9" i="62" s="1"/>
  <c r="C13" i="79"/>
  <c r="C10" i="79" s="1"/>
  <c r="X9" i="62"/>
  <c r="C25" i="76"/>
  <c r="C22" i="76" s="1"/>
  <c r="Q24" i="62"/>
  <c r="Q21" i="62" s="1"/>
  <c r="O21" i="62"/>
  <c r="BB13" i="48"/>
  <c r="BE13" i="48" s="1"/>
  <c r="BQ26" i="48"/>
  <c r="J30" i="62"/>
  <c r="H30" i="62"/>
  <c r="FD14" i="51"/>
  <c r="C18" i="75"/>
  <c r="C16" i="75" s="1"/>
  <c r="C8" i="75" s="1"/>
  <c r="C9" i="75" s="1"/>
  <c r="L15" i="62"/>
  <c r="L7" i="62" s="1"/>
  <c r="L8" i="62" s="1"/>
  <c r="I13" i="14"/>
  <c r="I15" i="47"/>
  <c r="C140" i="77"/>
  <c r="K11" i="60"/>
  <c r="K10" i="60" s="1"/>
  <c r="H15" i="62"/>
  <c r="E15" i="51"/>
  <c r="EB15" i="51"/>
  <c r="EA12" i="51"/>
  <c r="EA11" i="51" s="1"/>
  <c r="EA10" i="51" s="1"/>
  <c r="AL17" i="62"/>
  <c r="AL15" i="62" s="1"/>
  <c r="AJ15" i="62"/>
  <c r="C18" i="83"/>
  <c r="C16" i="83" s="1"/>
  <c r="C31" i="82"/>
  <c r="C29" i="82" s="1"/>
  <c r="AG28" i="62"/>
  <c r="I14" i="47"/>
  <c r="C18" i="77"/>
  <c r="C16" i="77" s="1"/>
  <c r="T17" i="62"/>
  <c r="T15" i="62" s="1"/>
  <c r="R15" i="62"/>
  <c r="AI130" i="89"/>
  <c r="AJ130" i="89"/>
  <c r="AN130" i="89" s="1"/>
  <c r="E8" i="49"/>
  <c r="E20" i="49" s="1"/>
  <c r="H11" i="60"/>
  <c r="EI36" i="47"/>
  <c r="C31" i="81"/>
  <c r="C29" i="81" s="1"/>
  <c r="AD28" i="62"/>
  <c r="D20" i="70"/>
  <c r="BJ18" i="51"/>
  <c r="BI16" i="51"/>
  <c r="AH26" i="60"/>
  <c r="Q12" i="62"/>
  <c r="Q9" i="62" s="1"/>
  <c r="C13" i="76"/>
  <c r="AU53" i="86"/>
  <c r="AR52" i="86"/>
  <c r="AR130" i="88"/>
  <c r="AZ129" i="88"/>
  <c r="BF129" i="88" s="1"/>
  <c r="AR131" i="88"/>
  <c r="AR129" i="88"/>
  <c r="BB117" i="88"/>
  <c r="BA117" i="88"/>
  <c r="T72" i="88"/>
  <c r="S72" i="88"/>
  <c r="S73" i="88"/>
  <c r="AB73" i="88" s="1"/>
  <c r="AW14" i="48"/>
  <c r="BY26" i="48"/>
  <c r="AL31" i="62"/>
  <c r="AH75" i="60"/>
  <c r="AH71" i="60"/>
  <c r="AH67" i="60"/>
  <c r="AH31" i="60"/>
  <c r="AH23" i="60"/>
  <c r="AH15" i="60"/>
  <c r="AH58" i="60"/>
  <c r="X93" i="88"/>
  <c r="X91" i="88"/>
  <c r="X96" i="88"/>
  <c r="X94" i="88"/>
  <c r="D17" i="50"/>
  <c r="C16" i="61"/>
  <c r="AO98" i="88"/>
  <c r="BR10" i="88"/>
  <c r="BN10" i="88"/>
  <c r="BO10" i="88" s="1"/>
  <c r="AJ64" i="89"/>
  <c r="AN64" i="89" s="1"/>
  <c r="AA65" i="89"/>
  <c r="AF65" i="89"/>
  <c r="AA66" i="89"/>
  <c r="AB64" i="89"/>
  <c r="E62" i="89"/>
  <c r="E94" i="89"/>
  <c r="E69" i="89"/>
  <c r="E63" i="89"/>
  <c r="E85" i="89"/>
  <c r="E100" i="89"/>
  <c r="E72" i="89"/>
  <c r="E82" i="89"/>
  <c r="E79" i="89"/>
  <c r="E91" i="89"/>
  <c r="E75" i="89"/>
  <c r="E66" i="89"/>
  <c r="E103" i="89"/>
  <c r="H94" i="88"/>
  <c r="H93" i="88"/>
  <c r="H96" i="88"/>
  <c r="H91" i="88"/>
  <c r="S10" i="86"/>
  <c r="D10" i="86"/>
  <c r="D8" i="86"/>
  <c r="D60" i="86" s="1"/>
  <c r="AC53" i="86"/>
  <c r="E10" i="86"/>
  <c r="E8" i="86"/>
  <c r="E60" i="86" s="1"/>
  <c r="Q72" i="88"/>
  <c r="BC40" i="86"/>
  <c r="AV40" i="86"/>
  <c r="AH108" i="88"/>
  <c r="AO108" i="88"/>
  <c r="L96" i="88"/>
  <c r="L91" i="88"/>
  <c r="L93" i="88"/>
  <c r="AO142" i="88"/>
  <c r="AV141" i="88"/>
  <c r="AY141" i="88" s="1"/>
  <c r="M76" i="88"/>
  <c r="N76" i="88"/>
  <c r="P75" i="88"/>
  <c r="AI32" i="88"/>
  <c r="AB10" i="86"/>
  <c r="F94" i="88"/>
  <c r="F96" i="88"/>
  <c r="AD23" i="92"/>
  <c r="AC22" i="92"/>
  <c r="AC21" i="92" s="1"/>
  <c r="P10" i="86"/>
  <c r="P8" i="86"/>
  <c r="F49" i="90"/>
  <c r="F50" i="90" s="1"/>
  <c r="F21" i="90"/>
  <c r="F57" i="90"/>
  <c r="AR93" i="88"/>
  <c r="AI53" i="89"/>
  <c r="AJ52" i="89"/>
  <c r="AN52" i="89" s="1"/>
  <c r="V124" i="88"/>
  <c r="V118" i="88"/>
  <c r="V121" i="88"/>
  <c r="V115" i="88"/>
  <c r="V112" i="88"/>
  <c r="V146" i="88"/>
  <c r="H110" i="89"/>
  <c r="H116" i="89"/>
  <c r="H107" i="89"/>
  <c r="R40" i="99"/>
  <c r="S39" i="99"/>
  <c r="C9" i="97"/>
  <c r="M11" i="97"/>
  <c r="AF47" i="95"/>
  <c r="AE47" i="95"/>
  <c r="C121" i="60"/>
  <c r="V109" i="88"/>
  <c r="AJ50" i="89"/>
  <c r="AN50" i="89" s="1"/>
  <c r="I129" i="89"/>
  <c r="U53" i="86"/>
  <c r="N52" i="86"/>
  <c r="AX53" i="86"/>
  <c r="BA53" i="86" s="1"/>
  <c r="BB53" i="86" s="1"/>
  <c r="BJ53" i="86"/>
  <c r="BM53" i="86" s="1"/>
  <c r="BN53" i="86" s="1"/>
  <c r="K160" i="88"/>
  <c r="Q160" i="88" s="1"/>
  <c r="AH142" i="88"/>
  <c r="AF69" i="88"/>
  <c r="AF73" i="88"/>
  <c r="M96" i="88"/>
  <c r="M91" i="88"/>
  <c r="N39" i="95"/>
  <c r="T8" i="87"/>
  <c r="T7" i="87" s="1"/>
  <c r="AO117" i="88"/>
  <c r="AV116" i="88"/>
  <c r="AY116" i="88" s="1"/>
  <c r="BE116" i="88" s="1"/>
  <c r="BH116" i="88" s="1"/>
  <c r="AZ157" i="88"/>
  <c r="AZ71" i="88"/>
  <c r="AZ9" i="88"/>
  <c r="AF208" i="88"/>
  <c r="AF156" i="88"/>
  <c r="AF70" i="88"/>
  <c r="AF85" i="88"/>
  <c r="AF52" i="88"/>
  <c r="AF101" i="88"/>
  <c r="AF50" i="88"/>
  <c r="AF65" i="88"/>
  <c r="AF97" i="88"/>
  <c r="BL7" i="88"/>
  <c r="R19" i="99"/>
  <c r="E7" i="94"/>
  <c r="K7" i="94" s="1"/>
  <c r="E9" i="94"/>
  <c r="K9" i="94" s="1"/>
  <c r="K8" i="94"/>
  <c r="AF35" i="95"/>
  <c r="AD35" i="95"/>
  <c r="AC35" i="95"/>
  <c r="AS16" i="87"/>
  <c r="AJ16" i="87"/>
  <c r="AH65" i="60"/>
  <c r="AH30" i="60"/>
  <c r="AH22" i="60"/>
  <c r="P171" i="88"/>
  <c r="P166" i="88"/>
  <c r="P165" i="88" s="1"/>
  <c r="V102" i="88"/>
  <c r="I13" i="100"/>
  <c r="I5" i="100" s="1"/>
  <c r="D85" i="88"/>
  <c r="D68" i="88"/>
  <c r="D81" i="88" s="1"/>
  <c r="O93" i="88"/>
  <c r="O94" i="88"/>
  <c r="O91" i="88"/>
  <c r="AA108" i="89"/>
  <c r="AA10" i="89"/>
  <c r="AI35" i="88"/>
  <c r="H11" i="97"/>
  <c r="AW21" i="87"/>
  <c r="N46" i="87"/>
  <c r="P9" i="87"/>
  <c r="S106" i="88"/>
  <c r="S131" i="88"/>
  <c r="W67" i="89"/>
  <c r="M16" i="97"/>
  <c r="F51" i="99"/>
  <c r="H53" i="99"/>
  <c r="R26" i="97"/>
  <c r="M26" i="97"/>
  <c r="R10" i="97"/>
  <c r="M10" i="97"/>
  <c r="W11" i="87"/>
  <c r="AB11" i="87"/>
  <c r="W22" i="87"/>
  <c r="AB22" i="87"/>
  <c r="AG24" i="87"/>
  <c r="AQ131" i="88"/>
  <c r="AQ133" i="88" s="1"/>
  <c r="I8" i="86"/>
  <c r="D101" i="88"/>
  <c r="D131" i="88" s="1"/>
  <c r="AR140" i="88"/>
  <c r="AR115" i="88"/>
  <c r="AR152" i="88"/>
  <c r="O96" i="88"/>
  <c r="AJ78" i="89"/>
  <c r="AN78" i="89" s="1"/>
  <c r="E152" i="89"/>
  <c r="E149" i="89"/>
  <c r="AA101" i="88"/>
  <c r="BJ9" i="86"/>
  <c r="D75" i="88"/>
  <c r="AQ94" i="88"/>
  <c r="AQ98" i="88"/>
  <c r="O73" i="88"/>
  <c r="O81" i="88"/>
  <c r="AR68" i="88"/>
  <c r="AR156" i="88"/>
  <c r="AR66" i="88"/>
  <c r="AV107" i="88"/>
  <c r="AY107" i="88" s="1"/>
  <c r="BE107" i="88" s="1"/>
  <c r="BH107" i="88" s="1"/>
  <c r="AY11" i="86"/>
  <c r="AX9" i="86"/>
  <c r="AR189" i="88"/>
  <c r="M68" i="88"/>
  <c r="M66" i="88"/>
  <c r="N156" i="88"/>
  <c r="P7" i="88"/>
  <c r="R159" i="88" s="1"/>
  <c r="M65" i="88"/>
  <c r="N66" i="88"/>
  <c r="M101" i="88"/>
  <c r="U65" i="89"/>
  <c r="G126" i="89"/>
  <c r="G129" i="89"/>
  <c r="AN14" i="89"/>
  <c r="AX14" i="89"/>
  <c r="AJ25" i="92"/>
  <c r="AK25" i="92"/>
  <c r="I23" i="99"/>
  <c r="I22" i="99" s="1"/>
  <c r="I21" i="99" s="1"/>
  <c r="AQ130" i="88"/>
  <c r="X76" i="88"/>
  <c r="V143" i="88"/>
  <c r="V137" i="88"/>
  <c r="Z132" i="88"/>
  <c r="F119" i="89"/>
  <c r="F118" i="89"/>
  <c r="AH104" i="88"/>
  <c r="S102" i="88"/>
  <c r="O112" i="88"/>
  <c r="O146" i="88"/>
  <c r="O155" i="88"/>
  <c r="O152" i="88"/>
  <c r="O131" i="88"/>
  <c r="O109" i="88"/>
  <c r="O143" i="88"/>
  <c r="X102" i="88"/>
  <c r="X149" i="88"/>
  <c r="X112" i="88"/>
  <c r="X124" i="88"/>
  <c r="Z102" i="88"/>
  <c r="X130" i="88"/>
  <c r="X106" i="88"/>
  <c r="L137" i="93"/>
  <c r="L146" i="93"/>
  <c r="AA17" i="96"/>
  <c r="BK23" i="86"/>
  <c r="BJ50" i="86"/>
  <c r="AK99" i="89"/>
  <c r="AJ99" i="89"/>
  <c r="AN99" i="89" s="1"/>
  <c r="F15" i="97"/>
  <c r="W30" i="87"/>
  <c r="C23" i="100"/>
  <c r="BD51" i="86"/>
  <c r="AZ51" i="86"/>
  <c r="AZ49" i="86" s="1"/>
  <c r="BF145" i="88"/>
  <c r="AR139" i="88"/>
  <c r="O88" i="89"/>
  <c r="O91" i="89"/>
  <c r="O103" i="89"/>
  <c r="O66" i="89"/>
  <c r="O97" i="89"/>
  <c r="O72" i="89"/>
  <c r="O63" i="89"/>
  <c r="O85" i="89"/>
  <c r="O79" i="89"/>
  <c r="O69" i="89"/>
  <c r="Q98" i="88"/>
  <c r="H123" i="89"/>
  <c r="H126" i="89"/>
  <c r="AM14" i="92"/>
  <c r="AH13" i="92"/>
  <c r="AH12" i="92" s="1"/>
  <c r="G21" i="93"/>
  <c r="G29" i="93" s="1"/>
  <c r="G20" i="93" s="1"/>
  <c r="G14" i="93" s="1"/>
  <c r="P8" i="96"/>
  <c r="P10" i="96"/>
  <c r="Q139" i="88"/>
  <c r="M10" i="89"/>
  <c r="M58" i="89"/>
  <c r="M54" i="89"/>
  <c r="M61" i="89"/>
  <c r="BC155" i="88"/>
  <c r="BC146" i="88"/>
  <c r="BC131" i="88"/>
  <c r="H113" i="89"/>
  <c r="T108" i="89"/>
  <c r="AV178" i="88"/>
  <c r="AF51" i="89"/>
  <c r="AK51" i="89" s="1"/>
  <c r="AJ29" i="86"/>
  <c r="AK28" i="86"/>
  <c r="AK9" i="86" s="1"/>
  <c r="AB93" i="89"/>
  <c r="J93" i="89"/>
  <c r="AB36" i="89"/>
  <c r="O8" i="90"/>
  <c r="O13" i="90"/>
  <c r="AC11" i="91"/>
  <c r="G113" i="93"/>
  <c r="G109" i="93" s="1"/>
  <c r="G108" i="93" s="1"/>
  <c r="E108" i="93"/>
  <c r="AX25" i="89"/>
  <c r="W24" i="97"/>
  <c r="H21" i="97"/>
  <c r="M21" i="97"/>
  <c r="U68" i="89"/>
  <c r="BC124" i="88"/>
  <c r="F106" i="89"/>
  <c r="O110" i="89"/>
  <c r="AF120" i="89"/>
  <c r="AX13" i="89"/>
  <c r="C21" i="99"/>
  <c r="R34" i="86"/>
  <c r="X13" i="91"/>
  <c r="Z8" i="91"/>
  <c r="O51" i="99"/>
  <c r="P53" i="99"/>
  <c r="W14" i="99"/>
  <c r="W21" i="99" s="1"/>
  <c r="W30" i="99" s="1"/>
  <c r="U10" i="99"/>
  <c r="X29" i="96"/>
  <c r="AA9" i="95"/>
  <c r="AA7" i="95"/>
  <c r="R30" i="87"/>
  <c r="AF34" i="95"/>
  <c r="AD34" i="95"/>
  <c r="R46" i="95"/>
  <c r="Q46" i="95"/>
  <c r="H23" i="97"/>
  <c r="Y61" i="89"/>
  <c r="Y111" i="89"/>
  <c r="Y56" i="89"/>
  <c r="R19" i="97"/>
  <c r="Q47" i="95"/>
  <c r="AC47" i="95"/>
  <c r="M28" i="97"/>
  <c r="R28" i="97"/>
  <c r="AE85" i="88"/>
  <c r="AE39" i="88"/>
  <c r="BB141" i="88"/>
  <c r="BB8" i="88"/>
  <c r="BF16" i="88"/>
  <c r="AV21" i="88"/>
  <c r="AY21" i="88" s="1"/>
  <c r="AW21" i="88"/>
  <c r="AW80" i="88"/>
  <c r="M63" i="99"/>
  <c r="M64" i="99" s="1"/>
  <c r="M65" i="99" s="1"/>
  <c r="M66" i="99" s="1"/>
  <c r="R47" i="95"/>
  <c r="BH171" i="88"/>
  <c r="AB123" i="88"/>
  <c r="AS21" i="88"/>
  <c r="Z156" i="88"/>
  <c r="AB156" i="88" s="1"/>
  <c r="Z127" i="88"/>
  <c r="Z109" i="88"/>
  <c r="Z140" i="88"/>
  <c r="BA153" i="88"/>
  <c r="AQ164" i="88"/>
  <c r="AW164" i="88" s="1"/>
  <c r="U93" i="89"/>
  <c r="J68" i="89"/>
  <c r="D123" i="89"/>
  <c r="T121" i="89"/>
  <c r="AE42" i="95"/>
  <c r="AB10" i="96"/>
  <c r="AB8" i="96"/>
  <c r="AB60" i="96" s="1"/>
  <c r="Q34" i="88"/>
  <c r="Q33" i="88" s="1"/>
  <c r="Q31" i="88" s="1"/>
  <c r="R33" i="88"/>
  <c r="R31" i="88" s="1"/>
  <c r="H65" i="88"/>
  <c r="K156" i="88"/>
  <c r="H68" i="88"/>
  <c r="K23" i="92"/>
  <c r="K22" i="92" s="1"/>
  <c r="K21" i="92" s="1"/>
  <c r="C23" i="92"/>
  <c r="C29" i="92"/>
  <c r="K29" i="92"/>
  <c r="K28" i="92" s="1"/>
  <c r="AF39" i="96"/>
  <c r="E39" i="96"/>
  <c r="F39" i="96" s="1"/>
  <c r="I40" i="96"/>
  <c r="F40" i="96"/>
  <c r="E40" i="96" s="1"/>
  <c r="AC41" i="96"/>
  <c r="AA41" i="96"/>
  <c r="E45" i="96"/>
  <c r="F45" i="96" s="1"/>
  <c r="AF45" i="96"/>
  <c r="Y9" i="97"/>
  <c r="U11" i="97"/>
  <c r="K13" i="97"/>
  <c r="N9" i="97"/>
  <c r="N8" i="97" s="1"/>
  <c r="K14" i="97"/>
  <c r="O9" i="97"/>
  <c r="K29" i="97"/>
  <c r="M29" i="97" s="1"/>
  <c r="N55" i="97"/>
  <c r="N35" i="97"/>
  <c r="K35" i="97" s="1"/>
  <c r="K37" i="97"/>
  <c r="J7" i="98"/>
  <c r="M7" i="98" s="1"/>
  <c r="C5" i="98"/>
  <c r="J5" i="98" s="1"/>
  <c r="M5" i="98" s="1"/>
  <c r="H16" i="98"/>
  <c r="H15" i="98" s="1"/>
  <c r="H13" i="98" s="1"/>
  <c r="F15" i="98"/>
  <c r="E9" i="98"/>
  <c r="E8" i="98" s="1"/>
  <c r="H19" i="98"/>
  <c r="H27" i="98"/>
  <c r="G22" i="98"/>
  <c r="G21" i="98" s="1"/>
  <c r="H29" i="98"/>
  <c r="E22" i="98"/>
  <c r="K22" i="98" s="1"/>
  <c r="J12" i="100"/>
  <c r="I12" i="100" s="1"/>
  <c r="Y10" i="100"/>
  <c r="X10" i="100" s="1"/>
  <c r="S9" i="100"/>
  <c r="G12" i="100"/>
  <c r="F12" i="100" s="1"/>
  <c r="F10" i="100"/>
  <c r="D12" i="100"/>
  <c r="C12" i="100" s="1"/>
  <c r="AB10" i="100"/>
  <c r="C11" i="100"/>
  <c r="P12" i="100"/>
  <c r="O12" i="100" s="1"/>
  <c r="S11" i="100"/>
  <c r="O11" i="100"/>
  <c r="R11" i="100" s="1"/>
  <c r="AE10" i="100"/>
  <c r="AD10" i="100" s="1"/>
  <c r="S14" i="100"/>
  <c r="L14" i="100"/>
  <c r="P15" i="100"/>
  <c r="S17" i="100"/>
  <c r="O17" i="100"/>
  <c r="I18" i="100"/>
  <c r="T18" i="100"/>
  <c r="F19" i="100"/>
  <c r="F5" i="100" s="1"/>
  <c r="G5" i="100"/>
  <c r="G45" i="100" s="1"/>
  <c r="K23" i="100"/>
  <c r="K22" i="100" s="1"/>
  <c r="K21" i="100" s="1"/>
  <c r="K45" i="100" s="1"/>
  <c r="I24" i="100"/>
  <c r="O26" i="100"/>
  <c r="R26" i="100" s="1"/>
  <c r="T26" i="100"/>
  <c r="T23" i="100" s="1"/>
  <c r="Q23" i="100"/>
  <c r="Q22" i="100" s="1"/>
  <c r="Q21" i="100" s="1"/>
  <c r="S27" i="100"/>
  <c r="L27" i="100"/>
  <c r="R27" i="100" s="1"/>
  <c r="I34" i="100"/>
  <c r="R34" i="100" s="1"/>
  <c r="S34" i="100"/>
  <c r="C37" i="100"/>
  <c r="D22" i="100"/>
  <c r="D21" i="100" s="1"/>
  <c r="D45" i="100" s="1"/>
  <c r="O37" i="100"/>
  <c r="R37" i="100" s="1"/>
  <c r="S37" i="100"/>
  <c r="Y8" i="99"/>
  <c r="AB8" i="99"/>
  <c r="S8" i="99"/>
  <c r="O8" i="99"/>
  <c r="AE8" i="99"/>
  <c r="P12" i="99"/>
  <c r="P62" i="99" s="1"/>
  <c r="P63" i="99" s="1"/>
  <c r="P64" i="99" s="1"/>
  <c r="P65" i="99" s="1"/>
  <c r="P66" i="99" s="1"/>
  <c r="AB10" i="99"/>
  <c r="AA10" i="99" s="1"/>
  <c r="M52" i="99"/>
  <c r="S9" i="99"/>
  <c r="L9" i="99"/>
  <c r="R9" i="99" s="1"/>
  <c r="I10" i="99"/>
  <c r="R10" i="99" s="1"/>
  <c r="J52" i="99"/>
  <c r="I52" i="99" s="1"/>
  <c r="G12" i="99"/>
  <c r="F12" i="99" s="1"/>
  <c r="F11" i="99"/>
  <c r="G52" i="99"/>
  <c r="W30" i="139"/>
  <c r="AB30" i="139" s="1"/>
  <c r="L30" i="139"/>
  <c r="E33" i="139"/>
  <c r="G28" i="139"/>
  <c r="AD33" i="139"/>
  <c r="I36" i="139"/>
  <c r="O36" i="139"/>
  <c r="AF30" i="99"/>
  <c r="AF53" i="95"/>
  <c r="Q120" i="88"/>
  <c r="AP8" i="88"/>
  <c r="W20" i="97"/>
  <c r="AU55" i="86"/>
  <c r="AU54" i="86" s="1"/>
  <c r="AV55" i="86"/>
  <c r="AV54" i="86" s="1"/>
  <c r="AF52" i="95"/>
  <c r="AD52" i="95"/>
  <c r="AY36" i="86"/>
  <c r="BA36" i="86"/>
  <c r="BB36" i="86" s="1"/>
  <c r="O7" i="92"/>
  <c r="AU21" i="88"/>
  <c r="N55" i="99"/>
  <c r="O21" i="90"/>
  <c r="R61" i="95"/>
  <c r="Q61" i="95"/>
  <c r="AD61" i="95"/>
  <c r="AF54" i="95"/>
  <c r="AR28" i="86"/>
  <c r="AU32" i="86"/>
  <c r="AV32" i="86" s="1"/>
  <c r="AV28" i="86" s="1"/>
  <c r="AE34" i="86"/>
  <c r="AC34" i="86"/>
  <c r="BO34" i="86"/>
  <c r="BK34" i="86"/>
  <c r="BM34" i="86"/>
  <c r="Y35" i="86"/>
  <c r="Y9" i="86" s="1"/>
  <c r="U35" i="86"/>
  <c r="W35" i="86"/>
  <c r="W35" i="139"/>
  <c r="AB35" i="139" s="1"/>
  <c r="R35" i="139"/>
  <c r="X35" i="139" s="1"/>
  <c r="AC35" i="139" s="1"/>
  <c r="F11" i="96"/>
  <c r="M19" i="97"/>
  <c r="U7" i="88"/>
  <c r="U39" i="88" s="1"/>
  <c r="AB7" i="88"/>
  <c r="AH8" i="87"/>
  <c r="AH7" i="87" s="1"/>
  <c r="BC86" i="88"/>
  <c r="BA8" i="88"/>
  <c r="BA158" i="88" s="1"/>
  <c r="BB120" i="88"/>
  <c r="BF120" i="88" s="1"/>
  <c r="BF20" i="88"/>
  <c r="H94" i="89"/>
  <c r="H79" i="89"/>
  <c r="H75" i="89"/>
  <c r="H97" i="89"/>
  <c r="H66" i="89"/>
  <c r="G87" i="93"/>
  <c r="G80" i="93" s="1"/>
  <c r="G106" i="93" s="1"/>
  <c r="G107" i="93" s="1"/>
  <c r="G71" i="93" s="1"/>
  <c r="V14" i="99"/>
  <c r="F9" i="94"/>
  <c r="AV21" i="86"/>
  <c r="AU21" i="86"/>
  <c r="AU17" i="86" s="1"/>
  <c r="AR17" i="86"/>
  <c r="R24" i="86"/>
  <c r="R23" i="86" s="1"/>
  <c r="Q23" i="86"/>
  <c r="T28" i="86"/>
  <c r="U30" i="86"/>
  <c r="U28" i="86" s="1"/>
  <c r="W30" i="86"/>
  <c r="AO31" i="86"/>
  <c r="AL28" i="86"/>
  <c r="G128" i="93"/>
  <c r="G127" i="93" s="1"/>
  <c r="R17" i="97"/>
  <c r="M17" i="97"/>
  <c r="Z155" i="88"/>
  <c r="P17" i="87"/>
  <c r="P14" i="87" s="1"/>
  <c r="BE20" i="88"/>
  <c r="BA86" i="88"/>
  <c r="AE58" i="95"/>
  <c r="R58" i="95"/>
  <c r="Q58" i="95"/>
  <c r="J64" i="88"/>
  <c r="AV87" i="88"/>
  <c r="AY87" i="88" s="1"/>
  <c r="H31" i="98"/>
  <c r="P9" i="97"/>
  <c r="P8" i="97" s="1"/>
  <c r="Z8" i="95"/>
  <c r="Z9" i="95" s="1"/>
  <c r="AP20" i="86"/>
  <c r="AO20" i="86"/>
  <c r="AO17" i="86" s="1"/>
  <c r="AA121" i="89"/>
  <c r="AB12" i="89"/>
  <c r="AJ12" i="89"/>
  <c r="AN12" i="89" s="1"/>
  <c r="AG11" i="89"/>
  <c r="AH67" i="89"/>
  <c r="AJ18" i="89"/>
  <c r="E8" i="88"/>
  <c r="E138" i="88"/>
  <c r="BE22" i="88"/>
  <c r="AL35" i="88"/>
  <c r="AL33" i="88" s="1"/>
  <c r="AL31" i="88" s="1"/>
  <c r="AF33" i="88"/>
  <c r="AF31" i="88" s="1"/>
  <c r="AF39" i="88" s="1"/>
  <c r="AA95" i="89"/>
  <c r="AA20" i="89"/>
  <c r="AT28" i="89"/>
  <c r="AP20" i="89"/>
  <c r="AP16" i="89" s="1"/>
  <c r="U166" i="89"/>
  <c r="U160" i="89"/>
  <c r="U164" i="89"/>
  <c r="U171" i="89"/>
  <c r="U163" i="89"/>
  <c r="U165" i="89"/>
  <c r="U172" i="89"/>
  <c r="P7" i="90"/>
  <c r="J5" i="90"/>
  <c r="T13" i="90"/>
  <c r="V13" i="90" s="1"/>
  <c r="V14" i="90"/>
  <c r="H17" i="90"/>
  <c r="G15" i="90"/>
  <c r="T41" i="100"/>
  <c r="T39" i="100" s="1"/>
  <c r="O41" i="100"/>
  <c r="R41" i="100" s="1"/>
  <c r="R39" i="100" s="1"/>
  <c r="D38" i="142"/>
  <c r="C40" i="142"/>
  <c r="C38" i="142" s="1"/>
  <c r="C49" i="142"/>
  <c r="D46" i="142"/>
  <c r="C49" i="141"/>
  <c r="D46" i="141"/>
  <c r="C26" i="142"/>
  <c r="D24" i="142"/>
  <c r="BL38" i="86"/>
  <c r="BM38" i="86" s="1"/>
  <c r="BN38" i="86" s="1"/>
  <c r="AL54" i="86"/>
  <c r="AL52" i="86" s="1"/>
  <c r="BA49" i="88"/>
  <c r="BB168" i="88"/>
  <c r="BF168" i="88" s="1"/>
  <c r="G10" i="95"/>
  <c r="G8" i="95" s="1"/>
  <c r="H8" i="95"/>
  <c r="R19" i="95"/>
  <c r="AD19" i="95"/>
  <c r="AE23" i="95"/>
  <c r="R23" i="95"/>
  <c r="G45" i="95"/>
  <c r="E45" i="95" s="1"/>
  <c r="H40" i="95"/>
  <c r="O56" i="95"/>
  <c r="O38" i="95" s="1"/>
  <c r="N57" i="95"/>
  <c r="W32" i="96"/>
  <c r="X32" i="96" s="1"/>
  <c r="T28" i="96"/>
  <c r="T9" i="96" s="1"/>
  <c r="K56" i="96"/>
  <c r="L56" i="96" s="1"/>
  <c r="H54" i="96"/>
  <c r="C99" i="97"/>
  <c r="F100" i="97"/>
  <c r="F30" i="86"/>
  <c r="F28" i="86" s="1"/>
  <c r="F9" i="86" s="1"/>
  <c r="G28" i="86"/>
  <c r="G9" i="86" s="1"/>
  <c r="AW47" i="86"/>
  <c r="AS47" i="86"/>
  <c r="S60" i="87"/>
  <c r="K23" i="87"/>
  <c r="K17" i="87" s="1"/>
  <c r="AE23" i="87"/>
  <c r="AM23" i="87"/>
  <c r="I8" i="94"/>
  <c r="G12" i="94"/>
  <c r="G8" i="94" s="1"/>
  <c r="Z25" i="94"/>
  <c r="M25" i="94"/>
  <c r="AA25" i="94"/>
  <c r="AC25" i="94" s="1"/>
  <c r="V12" i="139"/>
  <c r="AA12" i="139" s="1"/>
  <c r="Q12" i="139"/>
  <c r="P11" i="139"/>
  <c r="V11" i="139" s="1"/>
  <c r="W19" i="139"/>
  <c r="AB19" i="139" s="1"/>
  <c r="R19" i="139"/>
  <c r="X19" i="139" s="1"/>
  <c r="AC19" i="139" s="1"/>
  <c r="T23" i="139"/>
  <c r="Q23" i="139"/>
  <c r="F43" i="46"/>
  <c r="G42" i="46"/>
  <c r="F42" i="46" s="1"/>
  <c r="AB8" i="92"/>
  <c r="AB7" i="92" s="1"/>
  <c r="W7" i="88"/>
  <c r="W9" i="88"/>
  <c r="AO135" i="88"/>
  <c r="AO8" i="88"/>
  <c r="S30" i="96"/>
  <c r="S28" i="96" s="1"/>
  <c r="N28" i="96"/>
  <c r="N67" i="96" s="1"/>
  <c r="N80" i="96" s="1"/>
  <c r="Q30" i="96"/>
  <c r="W56" i="96"/>
  <c r="T54" i="96"/>
  <c r="T52" i="96" s="1"/>
  <c r="T15" i="97"/>
  <c r="C20" i="97"/>
  <c r="E18" i="97"/>
  <c r="E15" i="97" s="1"/>
  <c r="E8" i="97" s="1"/>
  <c r="E7" i="97" s="1"/>
  <c r="K22" i="97"/>
  <c r="K18" i="97" s="1"/>
  <c r="O18" i="97"/>
  <c r="O15" i="97" s="1"/>
  <c r="S137" i="88"/>
  <c r="BM11" i="86"/>
  <c r="AU28" i="86"/>
  <c r="L43" i="100"/>
  <c r="R43" i="100" s="1"/>
  <c r="AS11" i="89"/>
  <c r="D13" i="98"/>
  <c r="U161" i="89"/>
  <c r="L8" i="94"/>
  <c r="AA10" i="94"/>
  <c r="AC10" i="94" s="1"/>
  <c r="Z15" i="94"/>
  <c r="M15" i="94"/>
  <c r="AN89" i="89"/>
  <c r="I51" i="99"/>
  <c r="C32" i="99"/>
  <c r="X8" i="97"/>
  <c r="X7" i="97" s="1"/>
  <c r="AY13" i="88"/>
  <c r="P33" i="90"/>
  <c r="V9" i="86"/>
  <c r="T77" i="89"/>
  <c r="AN77" i="89" s="1"/>
  <c r="E84" i="89"/>
  <c r="J84" i="89" s="1"/>
  <c r="I83" i="89"/>
  <c r="H128" i="89"/>
  <c r="J128" i="89" s="1"/>
  <c r="L128" i="89"/>
  <c r="U128" i="89" s="1"/>
  <c r="U167" i="89"/>
  <c r="O16" i="91"/>
  <c r="P16" i="91"/>
  <c r="Q12" i="91"/>
  <c r="AC12" i="91" s="1"/>
  <c r="N8" i="91"/>
  <c r="N17" i="91"/>
  <c r="AA37" i="92"/>
  <c r="AA9" i="92"/>
  <c r="AA8" i="92" s="1"/>
  <c r="AA7" i="92" s="1"/>
  <c r="G60" i="93"/>
  <c r="G59" i="93" s="1"/>
  <c r="AC13" i="95"/>
  <c r="L8" i="95"/>
  <c r="R13" i="95"/>
  <c r="AD13" i="95"/>
  <c r="AC15" i="95"/>
  <c r="AD15" i="95"/>
  <c r="K17" i="95"/>
  <c r="R17" i="95"/>
  <c r="Q17" i="95"/>
  <c r="E8" i="95"/>
  <c r="AA31" i="95"/>
  <c r="AA28" i="95" s="1"/>
  <c r="AA37" i="95" s="1"/>
  <c r="AA62" i="95" s="1"/>
  <c r="Z32" i="95"/>
  <c r="R19" i="96"/>
  <c r="R17" i="96" s="1"/>
  <c r="Q17" i="96"/>
  <c r="P100" i="97"/>
  <c r="K99" i="97"/>
  <c r="V24" i="139"/>
  <c r="AA24" i="139" s="1"/>
  <c r="K24" i="139"/>
  <c r="L24" i="139" s="1"/>
  <c r="D23" i="139"/>
  <c r="AA23" i="139" s="1"/>
  <c r="Q28" i="139"/>
  <c r="R29" i="139"/>
  <c r="X17" i="96"/>
  <c r="AA90" i="89"/>
  <c r="AE43" i="95"/>
  <c r="J22" i="100"/>
  <c r="J21" i="100" s="1"/>
  <c r="J45" i="100" s="1"/>
  <c r="AF61" i="95"/>
  <c r="Z142" i="88"/>
  <c r="AB142" i="88" s="1"/>
  <c r="K145" i="88"/>
  <c r="Q145" i="88" s="1"/>
  <c r="O164" i="88"/>
  <c r="Q164" i="88" s="1"/>
  <c r="AA16" i="91"/>
  <c r="AA15" i="91"/>
  <c r="L34" i="96"/>
  <c r="AR10" i="89"/>
  <c r="F8" i="92"/>
  <c r="F7" i="92" s="1"/>
  <c r="J11" i="86"/>
  <c r="J9" i="86" s="1"/>
  <c r="K16" i="86"/>
  <c r="M32" i="140"/>
  <c r="G13" i="99"/>
  <c r="U52" i="90"/>
  <c r="W25" i="97"/>
  <c r="N8" i="92"/>
  <c r="N7" i="92" s="1"/>
  <c r="X7" i="92"/>
  <c r="Q11" i="86"/>
  <c r="Z9" i="88"/>
  <c r="M28" i="86"/>
  <c r="M9" i="86" s="1"/>
  <c r="AG204" i="88"/>
  <c r="AH205" i="88" s="1"/>
  <c r="AM205" i="88" s="1"/>
  <c r="AG49" i="88"/>
  <c r="AG50" i="88" s="1"/>
  <c r="K12" i="90"/>
  <c r="AE18" i="95"/>
  <c r="L18" i="100"/>
  <c r="L24" i="100"/>
  <c r="I43" i="46"/>
  <c r="K42" i="46"/>
  <c r="A4" i="76"/>
  <c r="A130" i="75"/>
  <c r="AZ38" i="86"/>
  <c r="BA38" i="86" s="1"/>
  <c r="BB38" i="86" s="1"/>
  <c r="BC23" i="87"/>
  <c r="X169" i="88"/>
  <c r="AA169" i="88" s="1"/>
  <c r="AD169" i="88" s="1"/>
  <c r="X49" i="88"/>
  <c r="X50" i="88" s="1"/>
  <c r="D10" i="89"/>
  <c r="L16" i="89"/>
  <c r="L73" i="89"/>
  <c r="Y163" i="89"/>
  <c r="Y161" i="89"/>
  <c r="W20" i="139"/>
  <c r="AB20" i="139" s="1"/>
  <c r="R20" i="139"/>
  <c r="X20" i="139" s="1"/>
  <c r="AC20" i="139" s="1"/>
  <c r="I23" i="140"/>
  <c r="N23" i="140" s="1"/>
  <c r="S23" i="140" s="1"/>
  <c r="V23" i="140" s="1"/>
  <c r="J26" i="140"/>
  <c r="C26" i="140"/>
  <c r="E7" i="146"/>
  <c r="C6" i="146"/>
  <c r="C45" i="146"/>
  <c r="E15" i="146"/>
  <c r="T57" i="139"/>
  <c r="Q57" i="139"/>
  <c r="R57" i="139" s="1"/>
  <c r="J20" i="140"/>
  <c r="O20" i="140" s="1"/>
  <c r="T20" i="140" s="1"/>
  <c r="W20" i="140" s="1"/>
  <c r="J30" i="140"/>
  <c r="F30" i="140" s="1"/>
  <c r="O30" i="140"/>
  <c r="C20" i="141"/>
  <c r="E14" i="141"/>
  <c r="E5" i="141" s="1"/>
  <c r="C29" i="141"/>
  <c r="C35" i="141"/>
  <c r="C40" i="141"/>
  <c r="C38" i="141" s="1"/>
  <c r="E38" i="141"/>
  <c r="C54" i="141"/>
  <c r="C57" i="141"/>
  <c r="C9" i="142"/>
  <c r="C19" i="142"/>
  <c r="D14" i="142"/>
  <c r="C28" i="142"/>
  <c r="E24" i="142"/>
  <c r="E23" i="142" s="1"/>
  <c r="E46" i="142"/>
  <c r="E45" i="142" s="1"/>
  <c r="C51" i="142"/>
  <c r="Z41" i="139"/>
  <c r="U41" i="139"/>
  <c r="N45" i="139"/>
  <c r="N9" i="139" s="1"/>
  <c r="I45" i="139"/>
  <c r="E61" i="139"/>
  <c r="I13" i="140"/>
  <c r="J16" i="140"/>
  <c r="O16" i="140" s="1"/>
  <c r="T16" i="140" s="1"/>
  <c r="W16" i="140" s="1"/>
  <c r="N21" i="140"/>
  <c r="C19" i="72"/>
  <c r="AA56" i="88"/>
  <c r="Z80" i="88"/>
  <c r="AB80" i="88" s="1"/>
  <c r="V100" i="88"/>
  <c r="AB100" i="88" s="1"/>
  <c r="U49" i="89"/>
  <c r="Y48" i="89" s="1"/>
  <c r="S71" i="89"/>
  <c r="U71" i="89" s="1"/>
  <c r="D122" i="89"/>
  <c r="J122" i="89" s="1"/>
  <c r="D20" i="110"/>
  <c r="Q59" i="139"/>
  <c r="W59" i="139" s="1"/>
  <c r="T59" i="139"/>
  <c r="R46" i="139"/>
  <c r="X46" i="139" s="1"/>
  <c r="W46" i="139"/>
  <c r="Q47" i="139"/>
  <c r="V47" i="139"/>
  <c r="AA47" i="139" s="1"/>
  <c r="E57" i="139"/>
  <c r="AD57" i="139"/>
  <c r="E38" i="69"/>
  <c r="C38" i="69" s="1"/>
  <c r="C38" i="61"/>
  <c r="C29" i="61" s="1"/>
  <c r="C20" i="72"/>
  <c r="AC153" i="13"/>
  <c r="I44" i="46"/>
  <c r="J42" i="46"/>
  <c r="Q37" i="45"/>
  <c r="Q37" i="46"/>
  <c r="Q82" i="46" s="1"/>
  <c r="G73" i="89"/>
  <c r="G16" i="89"/>
  <c r="U39" i="139"/>
  <c r="Z39" i="139"/>
  <c r="O39" i="139"/>
  <c r="P39" i="139" s="1"/>
  <c r="I39" i="139"/>
  <c r="T42" i="139"/>
  <c r="Z42" i="139" s="1"/>
  <c r="K42" i="139"/>
  <c r="V36" i="139"/>
  <c r="AA36" i="139" s="1"/>
  <c r="Q36" i="139"/>
  <c r="K37" i="139"/>
  <c r="W37" i="139" s="1"/>
  <c r="AD38" i="139"/>
  <c r="K41" i="139"/>
  <c r="V41" i="139"/>
  <c r="AA41" i="139" s="1"/>
  <c r="AD49" i="139"/>
  <c r="C22" i="58"/>
  <c r="E20" i="58"/>
  <c r="V104" i="88"/>
  <c r="AA104" i="88" s="1"/>
  <c r="AF120" i="88"/>
  <c r="AW120" i="88" s="1"/>
  <c r="G139" i="89"/>
  <c r="C32" i="92"/>
  <c r="C31" i="92" s="1"/>
  <c r="L13" i="139"/>
  <c r="L11" i="139" s="1"/>
  <c r="K11" i="139"/>
  <c r="AD25" i="139"/>
  <c r="G23" i="139"/>
  <c r="AD23" i="139" s="1"/>
  <c r="E25" i="139"/>
  <c r="M28" i="139"/>
  <c r="Y28" i="139" s="1"/>
  <c r="Y29" i="139"/>
  <c r="U34" i="139"/>
  <c r="N29" i="140"/>
  <c r="F29" i="140"/>
  <c r="C36" i="140"/>
  <c r="I36" i="140"/>
  <c r="N36" i="140" s="1"/>
  <c r="S36" i="140" s="1"/>
  <c r="V36" i="140" s="1"/>
  <c r="E22" i="146"/>
  <c r="C24" i="146"/>
  <c r="P57" i="45"/>
  <c r="P57" i="46"/>
  <c r="S34" i="140"/>
  <c r="V34" i="140" s="1"/>
  <c r="R24" i="139"/>
  <c r="E46" i="68"/>
  <c r="E45" i="68" s="1"/>
  <c r="E35" i="58"/>
  <c r="J117" i="60"/>
  <c r="J10" i="60" s="1"/>
  <c r="D117" i="13"/>
  <c r="C117" i="13" s="1"/>
  <c r="C30" i="140"/>
  <c r="C34" i="140"/>
  <c r="R34" i="140" s="1"/>
  <c r="Q26" i="139"/>
  <c r="V26" i="139"/>
  <c r="AA26" i="139" s="1"/>
  <c r="AA27" i="139"/>
  <c r="C12" i="141"/>
  <c r="D6" i="141"/>
  <c r="E30" i="69"/>
  <c r="E29" i="61"/>
  <c r="D20" i="46"/>
  <c r="C20" i="46" s="1"/>
  <c r="G60" i="43"/>
  <c r="D20" i="45"/>
  <c r="F11" i="13"/>
  <c r="AC31" i="139"/>
  <c r="L21" i="139"/>
  <c r="X21" i="139" s="1"/>
  <c r="AC21" i="139" s="1"/>
  <c r="W21" i="139"/>
  <c r="AB21" i="139" s="1"/>
  <c r="J28" i="139"/>
  <c r="V28" i="139" s="1"/>
  <c r="AA28" i="139" s="1"/>
  <c r="K29" i="139"/>
  <c r="W29" i="139" s="1"/>
  <c r="V29" i="139"/>
  <c r="AA29" i="139" s="1"/>
  <c r="AD30" i="139"/>
  <c r="E41" i="139"/>
  <c r="I11" i="140"/>
  <c r="D9" i="140"/>
  <c r="I16" i="140"/>
  <c r="C16" i="140"/>
  <c r="C59" i="142"/>
  <c r="D60" i="142"/>
  <c r="C60" i="142" s="1"/>
  <c r="C62" i="142"/>
  <c r="E9" i="143"/>
  <c r="F9" i="143"/>
  <c r="C30" i="72"/>
  <c r="D18" i="69"/>
  <c r="C18" i="69" s="1"/>
  <c r="C18" i="61"/>
  <c r="K28" i="46"/>
  <c r="K21" i="46" s="1"/>
  <c r="K18" i="46" s="1"/>
  <c r="J69" i="46" s="1"/>
  <c r="I69" i="46" s="1"/>
  <c r="V13" i="139"/>
  <c r="AA13" i="139" s="1"/>
  <c r="Q13" i="139"/>
  <c r="F22" i="62"/>
  <c r="C22" i="14"/>
  <c r="F43" i="45"/>
  <c r="G42" i="45"/>
  <c r="BD52" i="43"/>
  <c r="X25" i="139"/>
  <c r="AC25" i="139" s="1"/>
  <c r="Z48" i="139"/>
  <c r="Z13" i="139"/>
  <c r="U13" i="139"/>
  <c r="W14" i="139"/>
  <c r="R14" i="139"/>
  <c r="X14" i="139" s="1"/>
  <c r="AC14" i="139" s="1"/>
  <c r="H9" i="139"/>
  <c r="V31" i="139"/>
  <c r="AA31" i="139" s="1"/>
  <c r="C15" i="72"/>
  <c r="H42" i="45"/>
  <c r="AT13" i="87"/>
  <c r="AN21" i="87"/>
  <c r="W15" i="139"/>
  <c r="O44" i="139"/>
  <c r="V14" i="139"/>
  <c r="AA14" i="139" s="1"/>
  <c r="V38" i="139"/>
  <c r="AA38" i="139" s="1"/>
  <c r="E25" i="146"/>
  <c r="C35" i="54"/>
  <c r="C36" i="66"/>
  <c r="C35" i="66" s="1"/>
  <c r="E15" i="70" s="1"/>
  <c r="E15" i="110" s="1"/>
  <c r="U29" i="47"/>
  <c r="F26" i="14"/>
  <c r="V22" i="139"/>
  <c r="AA22" i="139" s="1"/>
  <c r="W25" i="139"/>
  <c r="W32" i="139"/>
  <c r="R32" i="139"/>
  <c r="X32" i="139" s="1"/>
  <c r="AD36" i="139"/>
  <c r="U36" i="139"/>
  <c r="Z36" i="139"/>
  <c r="V45" i="139"/>
  <c r="AA45" i="139" s="1"/>
  <c r="M57" i="46"/>
  <c r="M57" i="45"/>
  <c r="L57" i="45" s="1"/>
  <c r="C11" i="72"/>
  <c r="C17" i="72"/>
  <c r="W38" i="14"/>
  <c r="J15" i="17" s="1"/>
  <c r="U38" i="62"/>
  <c r="W38" i="62" s="1"/>
  <c r="AB44" i="13"/>
  <c r="AB110" i="13" s="1"/>
  <c r="AD14" i="139"/>
  <c r="T17" i="139"/>
  <c r="AA19" i="139"/>
  <c r="D17" i="139"/>
  <c r="AA17" i="139" s="1"/>
  <c r="AD42" i="139"/>
  <c r="E24" i="141"/>
  <c r="I20" i="147"/>
  <c r="S60" i="60"/>
  <c r="P60" i="60" s="1"/>
  <c r="C36" i="149"/>
  <c r="C36" i="65"/>
  <c r="N60" i="43"/>
  <c r="G20" i="45"/>
  <c r="G20" i="46"/>
  <c r="F20" i="46" s="1"/>
  <c r="I43" i="45"/>
  <c r="K42" i="45"/>
  <c r="C18" i="58"/>
  <c r="Z31" i="139"/>
  <c r="C33" i="141"/>
  <c r="C10" i="142"/>
  <c r="D23" i="146"/>
  <c r="S16" i="92"/>
  <c r="S17" i="52"/>
  <c r="R20" i="52"/>
  <c r="Q42" i="45"/>
  <c r="Q42" i="46"/>
  <c r="I44" i="45"/>
  <c r="J42" i="45"/>
  <c r="Z26" i="139"/>
  <c r="AD29" i="139"/>
  <c r="F28" i="139"/>
  <c r="H49" i="139"/>
  <c r="T50" i="139"/>
  <c r="G9" i="143"/>
  <c r="AF60" i="43"/>
  <c r="P20" i="45"/>
  <c r="P20" i="46"/>
  <c r="O20" i="46" s="1"/>
  <c r="M20" i="46"/>
  <c r="L20" i="46" s="1"/>
  <c r="M20" i="45"/>
  <c r="T44" i="13"/>
  <c r="T11" i="13" s="1"/>
  <c r="AB22" i="139"/>
  <c r="F23" i="139"/>
  <c r="AB27" i="139"/>
  <c r="AB32" i="139"/>
  <c r="S37" i="139"/>
  <c r="R37" i="139" s="1"/>
  <c r="E39" i="139"/>
  <c r="E48" i="139"/>
  <c r="AB48" i="139" s="1"/>
  <c r="E46" i="141"/>
  <c r="C147" i="13"/>
  <c r="S18" i="52"/>
  <c r="P42" i="45"/>
  <c r="O42" i="45" s="1"/>
  <c r="P42" i="46"/>
  <c r="BJ40" i="43"/>
  <c r="AD193" i="13"/>
  <c r="P36" i="44"/>
  <c r="O17" i="51"/>
  <c r="AD24" i="139"/>
  <c r="AA25" i="139"/>
  <c r="AD32" i="139"/>
  <c r="C56" i="141"/>
  <c r="D20" i="58"/>
  <c r="C21" i="58"/>
  <c r="J68" i="43"/>
  <c r="BB99" i="41"/>
  <c r="AB16" i="139"/>
  <c r="G11" i="139"/>
  <c r="AD11" i="139" s="1"/>
  <c r="AA20" i="139"/>
  <c r="C26" i="141"/>
  <c r="Q20" i="52"/>
  <c r="S8" i="52"/>
  <c r="D42" i="45"/>
  <c r="C42" i="45" s="1"/>
  <c r="BD91" i="41"/>
  <c r="J47" i="43"/>
  <c r="C19" i="68"/>
  <c r="AG36" i="47"/>
  <c r="C204" i="13"/>
  <c r="AK11" i="13"/>
  <c r="AK10" i="13" s="1"/>
  <c r="AK193" i="13" s="1"/>
  <c r="I20" i="46"/>
  <c r="C21" i="54"/>
  <c r="E52" i="68"/>
  <c r="C52" i="68" s="1"/>
  <c r="C42" i="58"/>
  <c r="E21" i="46"/>
  <c r="E18" i="46" s="1"/>
  <c r="V44" i="13"/>
  <c r="AC44" i="13"/>
  <c r="AL44" i="13"/>
  <c r="AL11" i="13" s="1"/>
  <c r="BB51" i="41"/>
  <c r="BY51" i="41" s="1"/>
  <c r="BZ51" i="41" s="1"/>
  <c r="D13" i="61"/>
  <c r="D12" i="61" s="1"/>
  <c r="D8" i="61" s="1"/>
  <c r="D7" i="61" s="1"/>
  <c r="D17" i="69"/>
  <c r="C46" i="58"/>
  <c r="AK11" i="60"/>
  <c r="AK10" i="60" s="1"/>
  <c r="AD12" i="60"/>
  <c r="AC112" i="13"/>
  <c r="AM11" i="13"/>
  <c r="L72" i="45"/>
  <c r="BD22" i="41"/>
  <c r="BD19" i="41" s="1"/>
  <c r="BE22" i="41"/>
  <c r="U14" i="43"/>
  <c r="Q13" i="43"/>
  <c r="M47" i="44"/>
  <c r="BC43" i="5"/>
  <c r="R84" i="13"/>
  <c r="Q39" i="45"/>
  <c r="O39" i="45" s="1"/>
  <c r="Q39" i="46"/>
  <c r="O39" i="46" s="1"/>
  <c r="BC15" i="41"/>
  <c r="BD15" i="41" s="1"/>
  <c r="BF15" i="41" s="1"/>
  <c r="U15" i="43"/>
  <c r="S86" i="13"/>
  <c r="N33" i="48"/>
  <c r="F47" i="48"/>
  <c r="BM49" i="43"/>
  <c r="BE14" i="41"/>
  <c r="BC91" i="41"/>
  <c r="BF54" i="41"/>
  <c r="BB25" i="41"/>
  <c r="BY25" i="41" s="1"/>
  <c r="BZ25" i="41" s="1"/>
  <c r="AM11" i="60"/>
  <c r="BF18" i="41"/>
  <c r="AH89" i="13"/>
  <c r="H28" i="46"/>
  <c r="BM38" i="43"/>
  <c r="BB91" i="41"/>
  <c r="J72" i="46"/>
  <c r="V92" i="13"/>
  <c r="BF26" i="41"/>
  <c r="BF53" i="41"/>
  <c r="C68" i="65"/>
  <c r="BD90" i="41"/>
  <c r="AA44" i="13"/>
  <c r="Z59" i="60"/>
  <c r="AE45" i="60"/>
  <c r="AE51" i="60"/>
  <c r="AE59" i="60"/>
  <c r="M52" i="44"/>
  <c r="F11" i="60"/>
  <c r="BB100" i="41"/>
  <c r="BM43" i="43"/>
  <c r="AE193" i="13"/>
  <c r="C50" i="149"/>
  <c r="AY13" i="43"/>
  <c r="BE37" i="41"/>
  <c r="Y13" i="94"/>
  <c r="AX19" i="43"/>
  <c r="D25" i="43"/>
  <c r="X13" i="94"/>
  <c r="G41" i="43"/>
  <c r="BI25" i="43"/>
  <c r="BM37" i="43"/>
  <c r="G40" i="43"/>
  <c r="BL40" i="43"/>
  <c r="BK40" i="43" s="1"/>
  <c r="BL28" i="43"/>
  <c r="BK28" i="43" s="1"/>
  <c r="BM36" i="43"/>
  <c r="BL24" i="43"/>
  <c r="BK24" i="43" s="1"/>
  <c r="O31" i="43"/>
  <c r="T10" i="13"/>
  <c r="T193" i="13" s="1"/>
  <c r="W94" i="13"/>
  <c r="W93" i="13" s="1"/>
  <c r="W80" i="13" s="1"/>
  <c r="W11" i="13" s="1"/>
  <c r="W10" i="13" s="1"/>
  <c r="O12" i="15"/>
  <c r="DH31" i="48"/>
  <c r="C16" i="13"/>
  <c r="X95" i="13"/>
  <c r="X80" i="13" s="1"/>
  <c r="X11" i="13" s="1"/>
  <c r="X10" i="13" s="1"/>
  <c r="P23" i="30"/>
  <c r="P24" i="30" s="1"/>
  <c r="C30" i="30"/>
  <c r="E30" i="30"/>
  <c r="C23" i="30"/>
  <c r="C15" i="30"/>
  <c r="D15" i="30" s="1"/>
  <c r="D9" i="30" s="1"/>
  <c r="I55" i="46"/>
  <c r="M91" i="46"/>
  <c r="L91" i="46" s="1"/>
  <c r="J91" i="46"/>
  <c r="I91" i="46" s="1"/>
  <c r="P48" i="60"/>
  <c r="P68" i="60"/>
  <c r="V63" i="60"/>
  <c r="AE12" i="60"/>
  <c r="AH35" i="60"/>
  <c r="AG108" i="60"/>
  <c r="X59" i="60"/>
  <c r="AA59" i="60"/>
  <c r="R59" i="60"/>
  <c r="M118" i="60"/>
  <c r="M10" i="60" s="1"/>
  <c r="M37" i="44"/>
  <c r="AH41" i="60"/>
  <c r="AH36" i="60"/>
  <c r="AH28" i="60"/>
  <c r="AH20" i="60"/>
  <c r="Z101" i="60"/>
  <c r="P101" i="60" s="1"/>
  <c r="C101" i="60" s="1"/>
  <c r="P35" i="60"/>
  <c r="P19" i="60"/>
  <c r="P42" i="60"/>
  <c r="P25" i="60"/>
  <c r="X45" i="60"/>
  <c r="P50" i="60"/>
  <c r="C50" i="60" s="1"/>
  <c r="P49" i="60"/>
  <c r="C49" i="60" s="1"/>
  <c r="AC45" i="60"/>
  <c r="U45" i="60"/>
  <c r="Z45" i="60"/>
  <c r="R45" i="60"/>
  <c r="W51" i="60"/>
  <c r="AB51" i="60"/>
  <c r="AB44" i="60" s="1"/>
  <c r="P57" i="60"/>
  <c r="V51" i="60"/>
  <c r="V44" i="60" s="1"/>
  <c r="S51" i="60"/>
  <c r="X51" i="60"/>
  <c r="AC51" i="60"/>
  <c r="P53" i="60"/>
  <c r="AC59" i="60"/>
  <c r="V59" i="60"/>
  <c r="Y63" i="60"/>
  <c r="Z63" i="60"/>
  <c r="R63" i="60"/>
  <c r="Q63" i="60"/>
  <c r="P74" i="60"/>
  <c r="P72" i="60"/>
  <c r="P69" i="60"/>
  <c r="S63" i="60"/>
  <c r="X63" i="60"/>
  <c r="CJ33" i="48"/>
  <c r="M14" i="15" s="1"/>
  <c r="M15" i="63" s="1"/>
  <c r="C80" i="82" s="1"/>
  <c r="CK33" i="48"/>
  <c r="F33" i="48"/>
  <c r="J33" i="48" s="1"/>
  <c r="AN33" i="48"/>
  <c r="G14" i="15" s="1"/>
  <c r="AO33" i="48"/>
  <c r="O14" i="15"/>
  <c r="AV33" i="48"/>
  <c r="AW33" i="48"/>
  <c r="T17" i="17"/>
  <c r="D17" i="112"/>
  <c r="C20" i="63"/>
  <c r="C85" i="72"/>
  <c r="AG40" i="62"/>
  <c r="AI40" i="62" s="1"/>
  <c r="AI40" i="14"/>
  <c r="C43" i="80"/>
  <c r="AC40" i="62"/>
  <c r="AC51" i="62" s="1"/>
  <c r="F40" i="62"/>
  <c r="H40" i="62" s="1"/>
  <c r="H40" i="14"/>
  <c r="AD40" i="62"/>
  <c r="AF40" i="62" s="1"/>
  <c r="AF40" i="14"/>
  <c r="AL50" i="62"/>
  <c r="AL51" i="62" s="1"/>
  <c r="L17" i="17"/>
  <c r="R18" i="17"/>
  <c r="C83" i="72"/>
  <c r="C84" i="72"/>
  <c r="CJ31" i="48"/>
  <c r="M12" i="15" s="1"/>
  <c r="R19" i="17" s="1"/>
  <c r="BS32" i="48"/>
  <c r="AY26" i="48"/>
  <c r="R40" i="62"/>
  <c r="T40" i="14"/>
  <c r="C43" i="75"/>
  <c r="N40" i="62"/>
  <c r="O20" i="64"/>
  <c r="C40" i="14"/>
  <c r="DA13" i="48"/>
  <c r="C80" i="73"/>
  <c r="C10" i="48"/>
  <c r="O12" i="64"/>
  <c r="CU29" i="48"/>
  <c r="C29" i="48" s="1"/>
  <c r="CM26" i="48"/>
  <c r="F13" i="63"/>
  <c r="C78" i="75" s="1"/>
  <c r="R12" i="17"/>
  <c r="BJ17" i="48"/>
  <c r="F17" i="48" s="1"/>
  <c r="BI17" i="48"/>
  <c r="BI13" i="48" s="1"/>
  <c r="BI8" i="48" s="1"/>
  <c r="BI32" i="48" s="1"/>
  <c r="BI30" i="48" s="1"/>
  <c r="BI67" i="48" s="1"/>
  <c r="BG13" i="48"/>
  <c r="CY67" i="48"/>
  <c r="CY32" i="48"/>
  <c r="C43" i="82"/>
  <c r="C74" i="75"/>
  <c r="I13" i="63"/>
  <c r="C79" i="78" s="1"/>
  <c r="R15" i="17"/>
  <c r="C72" i="84"/>
  <c r="CG13" i="48"/>
  <c r="CG8" i="48" s="1"/>
  <c r="CG32" i="48" s="1"/>
  <c r="CG30" i="48" s="1"/>
  <c r="CG25" i="48" s="1"/>
  <c r="E15" i="48"/>
  <c r="E16" i="48"/>
  <c r="U17" i="48"/>
  <c r="U13" i="48" s="1"/>
  <c r="S13" i="48"/>
  <c r="G12" i="15"/>
  <c r="C43" i="84"/>
  <c r="AO40" i="62"/>
  <c r="AO51" i="62" s="1"/>
  <c r="H13" i="63"/>
  <c r="C80" i="77" s="1"/>
  <c r="R14" i="17"/>
  <c r="N13" i="63"/>
  <c r="C78" i="83" s="1"/>
  <c r="R20" i="17"/>
  <c r="J13" i="63"/>
  <c r="C80" i="79" s="1"/>
  <c r="R16" i="17"/>
  <c r="CE26" i="48"/>
  <c r="N40" i="14"/>
  <c r="E13" i="63"/>
  <c r="C75" i="74" s="1"/>
  <c r="R11" i="17"/>
  <c r="N15" i="63"/>
  <c r="C80" i="83" s="1"/>
  <c r="T20" i="17"/>
  <c r="G9" i="63"/>
  <c r="AL29" i="48"/>
  <c r="AO10" i="48"/>
  <c r="H11" i="44"/>
  <c r="BA13" i="48"/>
  <c r="M13" i="48"/>
  <c r="G31" i="48"/>
  <c r="AU67" i="48"/>
  <c r="AU32" i="48"/>
  <c r="CA67" i="48"/>
  <c r="CA32" i="48"/>
  <c r="C43" i="78"/>
  <c r="W40" i="62"/>
  <c r="W51" i="62" s="1"/>
  <c r="AJ38" i="62"/>
  <c r="R26" i="48"/>
  <c r="AP10" i="48"/>
  <c r="AD29" i="48"/>
  <c r="AF10" i="48"/>
  <c r="E35" i="48"/>
  <c r="C43" i="79"/>
  <c r="Z40" i="62"/>
  <c r="Z51" i="62" s="1"/>
  <c r="I15" i="63"/>
  <c r="C81" i="78" s="1"/>
  <c r="T11" i="17"/>
  <c r="CO13" i="48"/>
  <c r="AC13" i="48"/>
  <c r="AC8" i="48" s="1"/>
  <c r="AC32" i="48" s="1"/>
  <c r="AC30" i="48" s="1"/>
  <c r="E19" i="48"/>
  <c r="E23" i="48"/>
  <c r="K40" i="14"/>
  <c r="I40" i="62"/>
  <c r="E21" i="48"/>
  <c r="AW17" i="48"/>
  <c r="AT13" i="48"/>
  <c r="C12" i="48"/>
  <c r="U12" i="48"/>
  <c r="E12" i="48" s="1"/>
  <c r="AS13" i="48"/>
  <c r="AS8" i="48" s="1"/>
  <c r="AS32" i="48" s="1"/>
  <c r="AS30" i="48" s="1"/>
  <c r="AS67" i="48" s="1"/>
  <c r="CW13" i="48"/>
  <c r="E22" i="48"/>
  <c r="J11" i="112"/>
  <c r="J20" i="112" s="1"/>
  <c r="E20" i="48"/>
  <c r="C17" i="48"/>
  <c r="C139" i="72"/>
  <c r="C130" i="82"/>
  <c r="G13" i="48"/>
  <c r="G8" i="48" s="1"/>
  <c r="W8" i="48"/>
  <c r="D12" i="138"/>
  <c r="C137" i="77"/>
  <c r="AV70" i="48"/>
  <c r="AV71" i="48" s="1"/>
  <c r="E12" i="138"/>
  <c r="C138" i="77"/>
  <c r="AV77" i="48"/>
  <c r="H20" i="15" s="1"/>
  <c r="D18" i="112"/>
  <c r="P18" i="138"/>
  <c r="BD70" i="48"/>
  <c r="BD71" i="48" s="1"/>
  <c r="D13" i="138"/>
  <c r="C133" i="78"/>
  <c r="CJ70" i="48"/>
  <c r="CJ72" i="48" s="1"/>
  <c r="C129" i="82"/>
  <c r="C127" i="74"/>
  <c r="X77" i="48"/>
  <c r="E20" i="15" s="1"/>
  <c r="E9" i="138"/>
  <c r="BD77" i="48"/>
  <c r="I20" i="15" s="1"/>
  <c r="E13" i="138"/>
  <c r="L21" i="17"/>
  <c r="AO13" i="48"/>
  <c r="D16" i="112"/>
  <c r="P16" i="138"/>
  <c r="E18" i="138"/>
  <c r="CR77" i="48"/>
  <c r="N20" i="15" s="1"/>
  <c r="CR70" i="48"/>
  <c r="CR72" i="48" s="1"/>
  <c r="C129" i="83"/>
  <c r="E10" i="138"/>
  <c r="C136" i="75"/>
  <c r="AF77" i="48"/>
  <c r="F20" i="15" s="1"/>
  <c r="BL77" i="48"/>
  <c r="J20" i="15" s="1"/>
  <c r="E14" i="138"/>
  <c r="E19" i="138"/>
  <c r="CZ77" i="48"/>
  <c r="O20" i="15" s="1"/>
  <c r="X70" i="48"/>
  <c r="X71" i="48" s="1"/>
  <c r="C126" i="74"/>
  <c r="CS13" i="48"/>
  <c r="P70" i="48"/>
  <c r="P71" i="48" s="1"/>
  <c r="D8" i="138"/>
  <c r="AN70" i="48"/>
  <c r="AN71" i="48" s="1"/>
  <c r="D11" i="138"/>
  <c r="CZ70" i="48"/>
  <c r="CZ71" i="48" s="1"/>
  <c r="D19" i="138"/>
  <c r="Q50" i="62"/>
  <c r="Q51" i="62" s="1"/>
  <c r="L13" i="17"/>
  <c r="D9" i="138"/>
  <c r="BL14" i="48"/>
  <c r="BT70" i="48"/>
  <c r="BT71" i="48" s="1"/>
  <c r="D15" i="138"/>
  <c r="AN77" i="48"/>
  <c r="G20" i="15" s="1"/>
  <c r="E11" i="138"/>
  <c r="E15" i="138"/>
  <c r="BT77" i="48"/>
  <c r="K20" i="15" s="1"/>
  <c r="C134" i="80"/>
  <c r="C132" i="80" s="1"/>
  <c r="H20" i="112"/>
  <c r="CJ77" i="48"/>
  <c r="M20" i="15" s="1"/>
  <c r="E17" i="138"/>
  <c r="L19" i="17"/>
  <c r="AI50" i="62"/>
  <c r="C130" i="81"/>
  <c r="CB70" i="48"/>
  <c r="CB71" i="48" s="1"/>
  <c r="P77" i="48"/>
  <c r="E8" i="138"/>
  <c r="C135" i="73"/>
  <c r="C133" i="73" s="1"/>
  <c r="CB15" i="48"/>
  <c r="BZ13" i="48"/>
  <c r="F15" i="48"/>
  <c r="F20" i="48"/>
  <c r="I20" i="48" s="1"/>
  <c r="AF14" i="48"/>
  <c r="H20" i="138"/>
  <c r="F14" i="48"/>
  <c r="BE20" i="48"/>
  <c r="BK32" i="48"/>
  <c r="G30" i="48"/>
  <c r="G25" i="48" s="1"/>
  <c r="BC67" i="48"/>
  <c r="BC32" i="48"/>
  <c r="D23" i="50"/>
  <c r="D44" i="50"/>
  <c r="B82" i="13"/>
  <c r="B84" i="60"/>
  <c r="C51" i="149"/>
  <c r="C51" i="65"/>
  <c r="Q153" i="13"/>
  <c r="C148" i="13"/>
  <c r="AC108" i="60"/>
  <c r="P131" i="13"/>
  <c r="D63" i="68"/>
  <c r="D66" i="68" s="1"/>
  <c r="E27" i="70" s="1"/>
  <c r="E25" i="70" s="1"/>
  <c r="P137" i="13"/>
  <c r="P102" i="60"/>
  <c r="C102" i="60" s="1"/>
  <c r="P104" i="60"/>
  <c r="AE80" i="60"/>
  <c r="C124" i="60"/>
  <c r="AF108" i="60"/>
  <c r="AF80" i="60" s="1"/>
  <c r="I10" i="64"/>
  <c r="K29" i="34"/>
  <c r="I29" i="34" s="1"/>
  <c r="F29" i="34"/>
  <c r="W29" i="38"/>
  <c r="Q29" i="38"/>
  <c r="U19" i="38"/>
  <c r="Q37" i="62"/>
  <c r="C40" i="76"/>
  <c r="T37" i="62"/>
  <c r="C40" i="77"/>
  <c r="W37" i="62"/>
  <c r="C40" i="78"/>
  <c r="H24" i="34"/>
  <c r="K25" i="34"/>
  <c r="Z37" i="62"/>
  <c r="C40" i="79"/>
  <c r="K24" i="7"/>
  <c r="T19" i="7"/>
  <c r="Q19" i="7"/>
  <c r="L19" i="7"/>
  <c r="K25" i="38"/>
  <c r="H24" i="38"/>
  <c r="C37" i="14"/>
  <c r="D25" i="30"/>
  <c r="W37" i="14"/>
  <c r="I15" i="17" s="1"/>
  <c r="Z37" i="14"/>
  <c r="I16" i="17" s="1"/>
  <c r="C40" i="81"/>
  <c r="C29" i="34"/>
  <c r="BA12" i="51"/>
  <c r="AI37" i="62"/>
  <c r="G30" i="30"/>
  <c r="Q27" i="62"/>
  <c r="Q25" i="62" s="1"/>
  <c r="S27" i="62"/>
  <c r="T37" i="14"/>
  <c r="I14" i="17" s="1"/>
  <c r="E24" i="34"/>
  <c r="E20" i="34" s="1"/>
  <c r="E18" i="34" s="1"/>
  <c r="J20" i="71"/>
  <c r="AC37" i="62"/>
  <c r="AB18" i="24"/>
  <c r="AD18" i="24" s="1"/>
  <c r="M30" i="62"/>
  <c r="M16" i="63"/>
  <c r="C81" i="82" s="1"/>
  <c r="U19" i="17"/>
  <c r="AK13" i="48"/>
  <c r="AK8" i="48" s="1"/>
  <c r="AK32" i="48" s="1"/>
  <c r="E13" i="61"/>
  <c r="AK8" i="86"/>
  <c r="AK10" i="86"/>
  <c r="AG15" i="87"/>
  <c r="BH17" i="88"/>
  <c r="AY17" i="88"/>
  <c r="AL232" i="88"/>
  <c r="AO129" i="88"/>
  <c r="AQ129" i="88"/>
  <c r="AN8" i="88"/>
  <c r="AK8" i="88"/>
  <c r="H12" i="97"/>
  <c r="F9" i="97"/>
  <c r="AO165" i="88"/>
  <c r="AV166" i="88"/>
  <c r="BG38" i="86"/>
  <c r="P35" i="97"/>
  <c r="R42" i="96"/>
  <c r="AE48" i="95"/>
  <c r="AD48" i="95"/>
  <c r="AC48" i="95"/>
  <c r="AF48" i="95"/>
  <c r="AC31" i="92"/>
  <c r="AC7" i="92" s="1"/>
  <c r="AC37" i="92"/>
  <c r="G13" i="90"/>
  <c r="AW24" i="87"/>
  <c r="AO24" i="87"/>
  <c r="AB18" i="87"/>
  <c r="Z17" i="87"/>
  <c r="AG18" i="87"/>
  <c r="D54" i="68"/>
  <c r="C54" i="68" s="1"/>
  <c r="U18" i="17"/>
  <c r="S123" i="89"/>
  <c r="T123" i="89" s="1"/>
  <c r="S129" i="89"/>
  <c r="S126" i="89"/>
  <c r="T126" i="89" s="1"/>
  <c r="N27" i="62"/>
  <c r="U14" i="17"/>
  <c r="AL28" i="87"/>
  <c r="AR10" i="87"/>
  <c r="AM9" i="87"/>
  <c r="AJ10" i="87"/>
  <c r="AV188" i="88"/>
  <c r="AO189" i="88"/>
  <c r="AV189" i="88" s="1"/>
  <c r="AQ151" i="88"/>
  <c r="AR151" i="88"/>
  <c r="AV150" i="88"/>
  <c r="AH129" i="88"/>
  <c r="AV128" i="88"/>
  <c r="L23" i="96"/>
  <c r="AX23" i="89"/>
  <c r="Q62" i="99"/>
  <c r="AE29" i="95"/>
  <c r="R29" i="95"/>
  <c r="Q29" i="95"/>
  <c r="AF29" i="95"/>
  <c r="Y8" i="87"/>
  <c r="M15" i="87"/>
  <c r="W15" i="87"/>
  <c r="BB98" i="88"/>
  <c r="BC98" i="88"/>
  <c r="C85" i="88"/>
  <c r="L28" i="95"/>
  <c r="AE31" i="92"/>
  <c r="Z30" i="99"/>
  <c r="X9" i="89"/>
  <c r="Z9" i="89"/>
  <c r="BE165" i="88"/>
  <c r="Z8" i="86"/>
  <c r="Z10" i="86"/>
  <c r="Q56" i="86"/>
  <c r="Q54" i="86" s="1"/>
  <c r="Q52" i="86" s="1"/>
  <c r="R54" i="86"/>
  <c r="R52" i="86" s="1"/>
  <c r="S9" i="96"/>
  <c r="O17" i="96"/>
  <c r="U17" i="96"/>
  <c r="O28" i="96"/>
  <c r="I28" i="96"/>
  <c r="AF28" i="96"/>
  <c r="H9" i="96"/>
  <c r="AG38" i="96"/>
  <c r="T12" i="100"/>
  <c r="L32" i="100"/>
  <c r="S32" i="100"/>
  <c r="AC14" i="100"/>
  <c r="R8" i="100"/>
  <c r="D7" i="99"/>
  <c r="C7" i="99" s="1"/>
  <c r="X32" i="99" s="1"/>
  <c r="C6" i="99"/>
  <c r="AF57" i="95"/>
  <c r="AE57" i="95"/>
  <c r="AC46" i="95"/>
  <c r="AD46" i="95"/>
  <c r="AF46" i="95"/>
  <c r="AE46" i="95"/>
  <c r="AQ148" i="88"/>
  <c r="AR148" i="88"/>
  <c r="F21" i="98"/>
  <c r="X59" i="95"/>
  <c r="X56" i="95" s="1"/>
  <c r="Z56" i="95"/>
  <c r="Z38" i="95" s="1"/>
  <c r="X38" i="95" s="1"/>
  <c r="AW39" i="86"/>
  <c r="AT39" i="86"/>
  <c r="AT19" i="87"/>
  <c r="BC154" i="88"/>
  <c r="BD154" i="88"/>
  <c r="G13" i="98"/>
  <c r="G8" i="98"/>
  <c r="G48" i="98" s="1"/>
  <c r="Z21" i="100"/>
  <c r="AE14" i="100"/>
  <c r="AD8" i="100"/>
  <c r="I13" i="90"/>
  <c r="I8" i="90"/>
  <c r="M18" i="87"/>
  <c r="W18" i="87"/>
  <c r="AE9" i="86"/>
  <c r="AD37" i="86"/>
  <c r="W11" i="89"/>
  <c r="AX54" i="86"/>
  <c r="AX52" i="86" s="1"/>
  <c r="BD55" i="86"/>
  <c r="BB55" i="86"/>
  <c r="BB54" i="86" s="1"/>
  <c r="BA55" i="86"/>
  <c r="AQ9" i="86"/>
  <c r="AP43" i="86"/>
  <c r="AK71" i="89"/>
  <c r="AJ71" i="89"/>
  <c r="P11" i="90"/>
  <c r="K11" i="90"/>
  <c r="S21" i="90"/>
  <c r="S52" i="90"/>
  <c r="V22" i="90"/>
  <c r="S57" i="90"/>
  <c r="S49" i="90"/>
  <c r="S50" i="90" s="1"/>
  <c r="H21" i="90"/>
  <c r="T9" i="91"/>
  <c r="F33" i="96"/>
  <c r="E28" i="96"/>
  <c r="AB15" i="87"/>
  <c r="G44" i="99"/>
  <c r="H5" i="99"/>
  <c r="H45" i="99" s="1"/>
  <c r="L16" i="96"/>
  <c r="L11" i="96" s="1"/>
  <c r="K11" i="96"/>
  <c r="H60" i="86"/>
  <c r="AJ41" i="86"/>
  <c r="BC80" i="88"/>
  <c r="BB80" i="88"/>
  <c r="AO154" i="88"/>
  <c r="AQ154" i="88"/>
  <c r="AV125" i="88"/>
  <c r="AZ126" i="88"/>
  <c r="BF126" i="88" s="1"/>
  <c r="AR126" i="88"/>
  <c r="AW126" i="88" s="1"/>
  <c r="AZ123" i="88"/>
  <c r="BF123" i="88" s="1"/>
  <c r="AV122" i="88"/>
  <c r="AR123" i="88"/>
  <c r="BD117" i="88"/>
  <c r="BC117" i="88"/>
  <c r="D9" i="95"/>
  <c r="D7" i="95"/>
  <c r="V8" i="96"/>
  <c r="V60" i="96" s="1"/>
  <c r="V10" i="96"/>
  <c r="AB89" i="89"/>
  <c r="R15" i="87"/>
  <c r="AD49" i="95"/>
  <c r="W21" i="87"/>
  <c r="R43" i="99"/>
  <c r="W38" i="86"/>
  <c r="X38" i="86" s="1"/>
  <c r="Z57" i="139"/>
  <c r="U57" i="139"/>
  <c r="D11" i="139"/>
  <c r="Z40" i="139"/>
  <c r="O40" i="139"/>
  <c r="H54" i="139"/>
  <c r="N54" i="139" s="1"/>
  <c r="N9" i="140"/>
  <c r="C20" i="140"/>
  <c r="I20" i="140"/>
  <c r="F20" i="140" s="1"/>
  <c r="D18" i="140"/>
  <c r="O25" i="140"/>
  <c r="T25" i="140" s="1"/>
  <c r="W25" i="140" s="1"/>
  <c r="X40" i="139"/>
  <c r="AC40" i="139" s="1"/>
  <c r="S40" i="139"/>
  <c r="Y40" i="139" s="1"/>
  <c r="AD40" i="139" s="1"/>
  <c r="I41" i="139"/>
  <c r="O41" i="139"/>
  <c r="E54" i="139"/>
  <c r="J10" i="140"/>
  <c r="O10" i="140" s="1"/>
  <c r="C10" i="140"/>
  <c r="J14" i="140"/>
  <c r="F14" i="140" s="1"/>
  <c r="C14" i="140"/>
  <c r="E34" i="139"/>
  <c r="AB34" i="139" s="1"/>
  <c r="AC34" i="139"/>
  <c r="J31" i="140"/>
  <c r="F31" i="140" s="1"/>
  <c r="C31" i="140"/>
  <c r="C33" i="140"/>
  <c r="U33" i="140" s="1"/>
  <c r="W33" i="140"/>
  <c r="D6" i="142"/>
  <c r="C12" i="142"/>
  <c r="N25" i="140"/>
  <c r="F25" i="140"/>
  <c r="H55" i="139"/>
  <c r="I55" i="139" s="1"/>
  <c r="K56" i="139"/>
  <c r="N56" i="139"/>
  <c r="Z12" i="139"/>
  <c r="U12" i="139"/>
  <c r="C11" i="139"/>
  <c r="C17" i="139"/>
  <c r="Z19" i="139"/>
  <c r="U19" i="139"/>
  <c r="E26" i="139"/>
  <c r="E47" i="139"/>
  <c r="J11" i="140"/>
  <c r="T11" i="140" s="1"/>
  <c r="W11" i="140" s="1"/>
  <c r="C11" i="140"/>
  <c r="J23" i="140"/>
  <c r="O23" i="140" s="1"/>
  <c r="C23" i="140"/>
  <c r="C27" i="140"/>
  <c r="I27" i="140"/>
  <c r="F24" i="140"/>
  <c r="H24" i="140" s="1"/>
  <c r="K11" i="140"/>
  <c r="C15" i="141"/>
  <c r="D14" i="141"/>
  <c r="E60" i="141"/>
  <c r="C61" i="141"/>
  <c r="C60" i="141" s="1"/>
  <c r="F38" i="140"/>
  <c r="N38" i="140"/>
  <c r="J17" i="140"/>
  <c r="F17" i="140" s="1"/>
  <c r="C17" i="140"/>
  <c r="N28" i="140"/>
  <c r="E17" i="139"/>
  <c r="AB17" i="139" s="1"/>
  <c r="AB18" i="139"/>
  <c r="L57" i="139"/>
  <c r="K57" i="139"/>
  <c r="F56" i="139"/>
  <c r="F53" i="139" s="1"/>
  <c r="E58" i="139"/>
  <c r="S12" i="140"/>
  <c r="V12" i="140" s="1"/>
  <c r="F12" i="140"/>
  <c r="P12" i="140" s="1"/>
  <c r="L56" i="139"/>
  <c r="U40" i="139"/>
  <c r="AD13" i="139"/>
  <c r="C25" i="140"/>
  <c r="I43" i="139"/>
  <c r="U43" i="139"/>
  <c r="O43" i="139"/>
  <c r="I47" i="139"/>
  <c r="U47" i="139"/>
  <c r="E18" i="140"/>
  <c r="J22" i="140"/>
  <c r="F22" i="140" s="1"/>
  <c r="C38" i="140"/>
  <c r="D35" i="140"/>
  <c r="C10" i="141"/>
  <c r="E14" i="142"/>
  <c r="E5" i="142" s="1"/>
  <c r="C15" i="142"/>
  <c r="C46" i="141"/>
  <c r="E13" i="139"/>
  <c r="Z33" i="139"/>
  <c r="C28" i="139"/>
  <c r="AD59" i="139"/>
  <c r="G56" i="139"/>
  <c r="L60" i="139"/>
  <c r="H60" i="139" s="1"/>
  <c r="C18" i="141"/>
  <c r="I34" i="139"/>
  <c r="O34" i="139"/>
  <c r="E37" i="139"/>
  <c r="AB37" i="139" s="1"/>
  <c r="K13" i="140"/>
  <c r="T13" i="140"/>
  <c r="W13" i="140" s="1"/>
  <c r="N19" i="140"/>
  <c r="C19" i="140"/>
  <c r="C28" i="140"/>
  <c r="J28" i="140"/>
  <c r="O28" i="140" s="1"/>
  <c r="T28" i="140" s="1"/>
  <c r="W28" i="140" s="1"/>
  <c r="C25" i="141"/>
  <c r="D24" i="141"/>
  <c r="F11" i="139"/>
  <c r="F17" i="139"/>
  <c r="AC17" i="139" s="1"/>
  <c r="AC32" i="139"/>
  <c r="C23" i="139"/>
  <c r="P144" i="13"/>
  <c r="P145" i="13" s="1"/>
  <c r="Q29" i="45"/>
  <c r="T29" i="45"/>
  <c r="N28" i="46"/>
  <c r="T30" i="46"/>
  <c r="Q29" i="46"/>
  <c r="E58" i="46"/>
  <c r="C35" i="13"/>
  <c r="P34" i="60"/>
  <c r="C34" i="60" s="1"/>
  <c r="C34" i="13"/>
  <c r="P33" i="60"/>
  <c r="C31" i="13"/>
  <c r="P26" i="60"/>
  <c r="C26" i="60" s="1"/>
  <c r="AH64" i="60"/>
  <c r="C122" i="60"/>
  <c r="U51" i="60"/>
  <c r="U44" i="60" s="1"/>
  <c r="AG80" i="60"/>
  <c r="AH57" i="60"/>
  <c r="AH27" i="60"/>
  <c r="AH19" i="60"/>
  <c r="C19" i="60" s="1"/>
  <c r="AH47" i="60"/>
  <c r="AH56" i="60"/>
  <c r="P32" i="60"/>
  <c r="P24" i="60"/>
  <c r="P16" i="60"/>
  <c r="W12" i="60"/>
  <c r="P37" i="60"/>
  <c r="P29" i="60"/>
  <c r="P21" i="60"/>
  <c r="S45" i="60"/>
  <c r="P52" i="60"/>
  <c r="Z51" i="60"/>
  <c r="Z44" i="60" s="1"/>
  <c r="AB63" i="60"/>
  <c r="P77" i="60"/>
  <c r="P75" i="60"/>
  <c r="C75" i="60" s="1"/>
  <c r="P73" i="60"/>
  <c r="P71" i="60"/>
  <c r="C71" i="60" s="1"/>
  <c r="T63" i="60"/>
  <c r="P103" i="60"/>
  <c r="C103" i="60" s="1"/>
  <c r="P113" i="60"/>
  <c r="C113" i="60" s="1"/>
  <c r="AG12" i="60"/>
  <c r="AD63" i="60"/>
  <c r="AD80" i="60"/>
  <c r="P31" i="60"/>
  <c r="C31" i="60" s="1"/>
  <c r="P15" i="60"/>
  <c r="C15" i="60" s="1"/>
  <c r="V12" i="60"/>
  <c r="X12" i="60"/>
  <c r="AB12" i="60"/>
  <c r="P58" i="60"/>
  <c r="AA63" i="60"/>
  <c r="C104" i="60"/>
  <c r="AH70" i="60"/>
  <c r="P20" i="60"/>
  <c r="C20" i="60" s="1"/>
  <c r="T45" i="60"/>
  <c r="AH72" i="60"/>
  <c r="AH68" i="60"/>
  <c r="C68" i="60" s="1"/>
  <c r="AH42" i="60"/>
  <c r="AH37" i="60"/>
  <c r="AH29" i="60"/>
  <c r="AH21" i="60"/>
  <c r="AH16" i="60"/>
  <c r="AH52" i="60"/>
  <c r="P78" i="60"/>
  <c r="C78" i="60" s="1"/>
  <c r="AF12" i="60"/>
  <c r="AH33" i="60"/>
  <c r="AH17" i="60"/>
  <c r="P23" i="60"/>
  <c r="P18" i="60"/>
  <c r="T12" i="60"/>
  <c r="W63" i="60"/>
  <c r="P56" i="60"/>
  <c r="AF44" i="60"/>
  <c r="AH74" i="60"/>
  <c r="P41" i="60"/>
  <c r="P28" i="60"/>
  <c r="C28" i="60" s="1"/>
  <c r="AH25" i="60"/>
  <c r="C25" i="60" s="1"/>
  <c r="AH48" i="60"/>
  <c r="C48" i="60" s="1"/>
  <c r="P120" i="60"/>
  <c r="D12" i="60"/>
  <c r="D11" i="60" s="1"/>
  <c r="AG44" i="60"/>
  <c r="AH43" i="60"/>
  <c r="AH18" i="60"/>
  <c r="AN10" i="60"/>
  <c r="C42" i="60"/>
  <c r="W44" i="60"/>
  <c r="P65" i="60"/>
  <c r="C65" i="60" s="1"/>
  <c r="T51" i="60"/>
  <c r="P66" i="60"/>
  <c r="AI45" i="60"/>
  <c r="Y51" i="60"/>
  <c r="Y44" i="60" s="1"/>
  <c r="U59" i="60"/>
  <c r="AH61" i="60"/>
  <c r="D120" i="60"/>
  <c r="Q51" i="60"/>
  <c r="Q44" i="60" s="1"/>
  <c r="Q59" i="60"/>
  <c r="P109" i="60"/>
  <c r="C88" i="60"/>
  <c r="P55" i="60"/>
  <c r="P67" i="60"/>
  <c r="C67" i="60" s="1"/>
  <c r="AI63" i="60"/>
  <c r="AC12" i="60"/>
  <c r="P70" i="60"/>
  <c r="P76" i="60"/>
  <c r="AH14" i="60"/>
  <c r="R51" i="60"/>
  <c r="R12" i="60"/>
  <c r="AH77" i="60"/>
  <c r="AH73" i="60"/>
  <c r="AH69" i="60"/>
  <c r="AH62" i="60"/>
  <c r="Y12" i="60"/>
  <c r="P38" i="60"/>
  <c r="AH32" i="60"/>
  <c r="AH24" i="60"/>
  <c r="P22" i="60"/>
  <c r="AH13" i="60"/>
  <c r="AI12" i="60"/>
  <c r="P43" i="60"/>
  <c r="P14" i="60"/>
  <c r="S12" i="60"/>
  <c r="AH76" i="60"/>
  <c r="D31" i="58"/>
  <c r="C49" i="65"/>
  <c r="C49" i="149"/>
  <c r="J55" i="45"/>
  <c r="I55" i="45" s="1"/>
  <c r="U63" i="60"/>
  <c r="P64" i="60"/>
  <c r="P62" i="60"/>
  <c r="C24" i="13"/>
  <c r="AI51" i="60"/>
  <c r="AH53" i="60"/>
  <c r="C53" i="60" s="1"/>
  <c r="P13" i="13"/>
  <c r="P12" i="13" s="1"/>
  <c r="Q12" i="13"/>
  <c r="Q82" i="13" s="1"/>
  <c r="Q13" i="60"/>
  <c r="Q12" i="60" s="1"/>
  <c r="AH60" i="60"/>
  <c r="AJ59" i="60"/>
  <c r="D118" i="60"/>
  <c r="C118" i="60" s="1"/>
  <c r="D121" i="13"/>
  <c r="C121" i="13" s="1"/>
  <c r="J10" i="13"/>
  <c r="D12" i="13"/>
  <c r="D11" i="13" s="1"/>
  <c r="AH51" i="13"/>
  <c r="AH44" i="13" s="1"/>
  <c r="C55" i="13"/>
  <c r="J53" i="46"/>
  <c r="D33" i="58"/>
  <c r="AJ55" i="60"/>
  <c r="AH55" i="60" s="1"/>
  <c r="U13" i="60"/>
  <c r="U12" i="60" s="1"/>
  <c r="P46" i="60"/>
  <c r="P79" i="60"/>
  <c r="C79" i="60" s="1"/>
  <c r="Q145" i="13"/>
  <c r="BC47" i="5"/>
  <c r="BD47" i="5" s="1"/>
  <c r="BF47" i="5" s="1"/>
  <c r="J53" i="45"/>
  <c r="AQ60" i="60"/>
  <c r="AA145" i="13"/>
  <c r="P105" i="13"/>
  <c r="C105" i="13" s="1"/>
  <c r="C23" i="13"/>
  <c r="AJ66" i="60"/>
  <c r="AH66" i="60" s="1"/>
  <c r="C22" i="13"/>
  <c r="AQ16" i="13"/>
  <c r="P47" i="60"/>
  <c r="C61" i="54"/>
  <c r="C61" i="66" s="1"/>
  <c r="C36" i="13"/>
  <c r="C28" i="13"/>
  <c r="AH46" i="60"/>
  <c r="AH66" i="13"/>
  <c r="P36" i="60"/>
  <c r="P30" i="60"/>
  <c r="Z12" i="60"/>
  <c r="P27" i="60"/>
  <c r="C27" i="60" s="1"/>
  <c r="P17" i="60"/>
  <c r="AC63" i="60"/>
  <c r="P63" i="13"/>
  <c r="AA51" i="60"/>
  <c r="P54" i="60"/>
  <c r="P45" i="13"/>
  <c r="P44" i="13" s="1"/>
  <c r="C45" i="13"/>
  <c r="AA45" i="60"/>
  <c r="C30" i="13"/>
  <c r="AU59" i="43"/>
  <c r="T59" i="43"/>
  <c r="BH29" i="5"/>
  <c r="J34" i="44"/>
  <c r="C142" i="72"/>
  <c r="K9" i="112"/>
  <c r="K20" i="138"/>
  <c r="K8" i="112"/>
  <c r="T52" i="43"/>
  <c r="U51" i="43"/>
  <c r="U51" i="150" s="1"/>
  <c r="T51" i="150" s="1"/>
  <c r="AA51" i="43"/>
  <c r="AA51" i="150" s="1"/>
  <c r="Z51" i="150" s="1"/>
  <c r="BE53" i="41"/>
  <c r="AR51" i="43"/>
  <c r="P54" i="43"/>
  <c r="P51" i="43" s="1"/>
  <c r="AW51" i="43"/>
  <c r="BI30" i="43"/>
  <c r="AT30" i="43"/>
  <c r="O32" i="43"/>
  <c r="N32" i="43" s="1"/>
  <c r="BM32" i="43"/>
  <c r="BM30" i="43" s="1"/>
  <c r="N34" i="43"/>
  <c r="N33" i="43"/>
  <c r="AP30" i="43"/>
  <c r="BB78" i="41"/>
  <c r="AJ25" i="43"/>
  <c r="AI11" i="43"/>
  <c r="AI12" i="43" s="1"/>
  <c r="AM26" i="43"/>
  <c r="AM25" i="43" s="1"/>
  <c r="BY27" i="41"/>
  <c r="BZ27" i="41" s="1"/>
  <c r="BL26" i="43"/>
  <c r="BK26" i="43" s="1"/>
  <c r="BF27" i="41"/>
  <c r="BL27" i="43"/>
  <c r="BK27" i="43" s="1"/>
  <c r="AB11" i="94"/>
  <c r="R25" i="43"/>
  <c r="BR25" i="43"/>
  <c r="K25" i="43"/>
  <c r="X11" i="94"/>
  <c r="AG25" i="43"/>
  <c r="AA25" i="43"/>
  <c r="AY19" i="43"/>
  <c r="AP19" i="43"/>
  <c r="H20" i="43"/>
  <c r="N21" i="43"/>
  <c r="AL19" i="43"/>
  <c r="N23" i="43"/>
  <c r="AJ19" i="43"/>
  <c r="N22" i="43"/>
  <c r="BL22" i="43"/>
  <c r="BK22" i="43" s="1"/>
  <c r="S11" i="43"/>
  <c r="S12" i="43" s="1"/>
  <c r="BI18" i="43"/>
  <c r="AX13" i="43"/>
  <c r="AL13" i="43"/>
  <c r="BC13" i="41"/>
  <c r="N14" i="43"/>
  <c r="BL14" i="43"/>
  <c r="BK14" i="43" s="1"/>
  <c r="BI14" i="43" s="1"/>
  <c r="BL15" i="43"/>
  <c r="BK15" i="43" s="1"/>
  <c r="BI15" i="43" s="1"/>
  <c r="BL17" i="43"/>
  <c r="BK17" i="43" s="1"/>
  <c r="BI17" i="43" s="1"/>
  <c r="U33" i="43"/>
  <c r="BC33" i="41"/>
  <c r="S82" i="45"/>
  <c r="R82" i="45" s="1"/>
  <c r="P82" i="45"/>
  <c r="J60" i="46"/>
  <c r="M42" i="44"/>
  <c r="J60" i="45"/>
  <c r="U42" i="44"/>
  <c r="U43" i="151" s="1"/>
  <c r="C54" i="65"/>
  <c r="P41" i="44"/>
  <c r="C54" i="149"/>
  <c r="BF28" i="41"/>
  <c r="U26" i="94"/>
  <c r="V32" i="94"/>
  <c r="N25" i="46"/>
  <c r="T26" i="46"/>
  <c r="Q26" i="46"/>
  <c r="Q25" i="46" s="1"/>
  <c r="X15" i="94"/>
  <c r="Y15" i="94"/>
  <c r="AB15" i="94"/>
  <c r="BH49" i="41"/>
  <c r="BV49" i="41"/>
  <c r="BF20" i="41"/>
  <c r="A2" i="138"/>
  <c r="A2" i="17"/>
  <c r="BE35" i="41"/>
  <c r="BH37" i="41"/>
  <c r="BF37" i="41"/>
  <c r="BE38" i="41"/>
  <c r="W29" i="46"/>
  <c r="T28" i="46"/>
  <c r="N112" i="43"/>
  <c r="U38" i="43"/>
  <c r="U38" i="150" s="1"/>
  <c r="U70" i="43"/>
  <c r="U70" i="150" s="1"/>
  <c r="T70" i="150" s="1"/>
  <c r="T68" i="150" s="1"/>
  <c r="Q66" i="43"/>
  <c r="BE29" i="41"/>
  <c r="BF29" i="41"/>
  <c r="D16" i="92"/>
  <c r="M14" i="44"/>
  <c r="U31" i="43"/>
  <c r="U31" i="150" s="1"/>
  <c r="V33" i="94"/>
  <c r="C17" i="57"/>
  <c r="C17" i="67" s="1"/>
  <c r="P37" i="45"/>
  <c r="O37" i="45" s="1"/>
  <c r="U35" i="43"/>
  <c r="BF17" i="41"/>
  <c r="BC51" i="41"/>
  <c r="N39" i="46"/>
  <c r="U63" i="43"/>
  <c r="U63" i="150" s="1"/>
  <c r="BC19" i="41"/>
  <c r="BE18" i="41"/>
  <c r="BC31" i="41"/>
  <c r="J31" i="45"/>
  <c r="X27" i="94"/>
  <c r="BH48" i="41"/>
  <c r="BE32" i="41"/>
  <c r="BD25" i="41"/>
  <c r="BB30" i="41"/>
  <c r="BY30" i="41" s="1"/>
  <c r="BZ30" i="41" s="1"/>
  <c r="BB13" i="41"/>
  <c r="BY13" i="41" s="1"/>
  <c r="BZ13" i="41" s="1"/>
  <c r="X38" i="43"/>
  <c r="C24" i="65"/>
  <c r="BC25" i="41"/>
  <c r="BE55" i="41"/>
  <c r="Y27" i="94"/>
  <c r="J39" i="45"/>
  <c r="I39" i="45" s="1"/>
  <c r="BB19" i="41"/>
  <c r="BY19" i="41" s="1"/>
  <c r="BZ19" i="41" s="1"/>
  <c r="AD19" i="43"/>
  <c r="X19" i="43"/>
  <c r="AR29" i="43"/>
  <c r="AR25" i="43" s="1"/>
  <c r="AS25" i="43"/>
  <c r="AJ30" i="43"/>
  <c r="AC11" i="43"/>
  <c r="G8" i="154" s="1"/>
  <c r="G7" i="154" s="1"/>
  <c r="AD30" i="43"/>
  <c r="AR31" i="43"/>
  <c r="AR30" i="43" s="1"/>
  <c r="AS30" i="43"/>
  <c r="AM32" i="43"/>
  <c r="AN30" i="43"/>
  <c r="O46" i="43"/>
  <c r="H51" i="43"/>
  <c r="H51" i="150" s="1"/>
  <c r="G51" i="150" s="1"/>
  <c r="AL26" i="43"/>
  <c r="AL25" i="43" s="1"/>
  <c r="N29" i="43"/>
  <c r="O25" i="43"/>
  <c r="Z31" i="43"/>
  <c r="AA30" i="43"/>
  <c r="AY30" i="43"/>
  <c r="AX35" i="43"/>
  <c r="AX30" i="43" s="1"/>
  <c r="Z19" i="46"/>
  <c r="K30" i="43"/>
  <c r="M52" i="43"/>
  <c r="AF19" i="43"/>
  <c r="G22" i="43"/>
  <c r="X25" i="94"/>
  <c r="AB25" i="94"/>
  <c r="G43" i="43"/>
  <c r="AO10" i="43"/>
  <c r="AO12" i="43"/>
  <c r="AG13" i="43"/>
  <c r="AF14" i="43"/>
  <c r="AS13" i="43"/>
  <c r="AX25" i="43"/>
  <c r="O49" i="43"/>
  <c r="AV51" i="43"/>
  <c r="AP51" i="43"/>
  <c r="M39" i="46"/>
  <c r="M39" i="45"/>
  <c r="L39" i="45" s="1"/>
  <c r="AV13" i="43"/>
  <c r="AU11" i="43"/>
  <c r="AS19" i="43"/>
  <c r="AR20" i="43"/>
  <c r="AR19" i="43" s="1"/>
  <c r="BH39" i="41"/>
  <c r="BF39" i="41"/>
  <c r="BA39" i="41"/>
  <c r="BE39" i="41" s="1"/>
  <c r="BI39" i="43"/>
  <c r="O13" i="43"/>
  <c r="G27" i="43"/>
  <c r="AR16" i="43"/>
  <c r="AR13" i="43" s="1"/>
  <c r="Z28" i="43"/>
  <c r="Z25" i="43" s="1"/>
  <c r="G34" i="43"/>
  <c r="BE52" i="41"/>
  <c r="BA51" i="41"/>
  <c r="AQ41" i="43"/>
  <c r="AG19" i="43"/>
  <c r="AY52" i="43"/>
  <c r="L36" i="43"/>
  <c r="O54" i="43"/>
  <c r="N54" i="43" s="1"/>
  <c r="W11" i="43"/>
  <c r="F8" i="154" s="1"/>
  <c r="F7" i="154" s="1"/>
  <c r="BF41" i="41"/>
  <c r="BH41" i="41"/>
  <c r="P30" i="43"/>
  <c r="O19" i="43"/>
  <c r="BI36" i="43"/>
  <c r="H59" i="43"/>
  <c r="H59" i="150" s="1"/>
  <c r="G59" i="150" s="1"/>
  <c r="AY25" i="43"/>
  <c r="BF38" i="41"/>
  <c r="H31" i="43"/>
  <c r="AM13" i="43"/>
  <c r="H36" i="43"/>
  <c r="AD13" i="43"/>
  <c r="X24" i="94"/>
  <c r="AB24" i="94"/>
  <c r="BF49" i="41"/>
  <c r="BF45" i="41"/>
  <c r="AF58" i="43"/>
  <c r="P19" i="45"/>
  <c r="P19" i="46"/>
  <c r="BH46" i="41"/>
  <c r="BF21" i="41"/>
  <c r="BD51" i="41"/>
  <c r="BF52" i="41"/>
  <c r="BH36" i="41"/>
  <c r="BF36" i="41"/>
  <c r="BF50" i="41"/>
  <c r="BH50" i="41"/>
  <c r="H37" i="43"/>
  <c r="AV30" i="43"/>
  <c r="T19" i="43"/>
  <c r="BH44" i="41"/>
  <c r="BA45" i="41"/>
  <c r="BE45" i="41" s="1"/>
  <c r="BC47" i="41"/>
  <c r="BB101" i="41"/>
  <c r="BI49" i="43"/>
  <c r="J39" i="46"/>
  <c r="BB102" i="41"/>
  <c r="C27" i="57"/>
  <c r="C27" i="67" s="1"/>
  <c r="J19" i="45"/>
  <c r="J19" i="46"/>
  <c r="BA50" i="41"/>
  <c r="BE50" i="41" s="1"/>
  <c r="L41" i="43"/>
  <c r="M41" i="43" s="1"/>
  <c r="D17" i="58"/>
  <c r="BF46" i="41"/>
  <c r="BF40" i="41"/>
  <c r="BC14" i="5"/>
  <c r="BD14" i="5" s="1"/>
  <c r="BB105" i="41"/>
  <c r="BB106" i="41" s="1"/>
  <c r="C13" i="149"/>
  <c r="BA42" i="41"/>
  <c r="BH45" i="41"/>
  <c r="C13" i="65"/>
  <c r="L50" i="43"/>
  <c r="BB98" i="41"/>
  <c r="BA40" i="41"/>
  <c r="BE40" i="41" s="1"/>
  <c r="BH38" i="41"/>
  <c r="BA26" i="41"/>
  <c r="T56" i="43"/>
  <c r="AM125" i="13"/>
  <c r="BD56" i="41"/>
  <c r="V23" i="94"/>
  <c r="T7" i="94"/>
  <c r="AL46" i="43"/>
  <c r="AQ46" i="43"/>
  <c r="W18" i="97" l="1"/>
  <c r="U15" i="97"/>
  <c r="BF43" i="86"/>
  <c r="BA43" i="86"/>
  <c r="Q82" i="96"/>
  <c r="Q83" i="96" s="1"/>
  <c r="Q84" i="96" s="1"/>
  <c r="Q85" i="96" s="1"/>
  <c r="Q86" i="96" s="1"/>
  <c r="R38" i="96"/>
  <c r="D23" i="141"/>
  <c r="D22" i="141" s="1"/>
  <c r="C101" i="88"/>
  <c r="C131" i="88" s="1"/>
  <c r="AH9" i="88"/>
  <c r="BM8" i="88"/>
  <c r="BN8" i="88" s="1"/>
  <c r="BO8" i="88" s="1"/>
  <c r="C8" i="49"/>
  <c r="AV8" i="88"/>
  <c r="G52" i="90"/>
  <c r="AM49" i="86"/>
  <c r="S9" i="95"/>
  <c r="S7" i="95"/>
  <c r="S37" i="95" s="1"/>
  <c r="W60" i="89"/>
  <c r="AN60" i="89"/>
  <c r="X19" i="86"/>
  <c r="X17" i="86" s="1"/>
  <c r="W17" i="86"/>
  <c r="AH7" i="88"/>
  <c r="AH203" i="88"/>
  <c r="AM203" i="88" s="1"/>
  <c r="H27" i="34"/>
  <c r="H20" i="34" s="1"/>
  <c r="H18" i="34" s="1"/>
  <c r="AO37" i="62"/>
  <c r="AB15" i="139"/>
  <c r="AB14" i="139"/>
  <c r="C6" i="141"/>
  <c r="AV17" i="86"/>
  <c r="C9" i="96"/>
  <c r="J8" i="96"/>
  <c r="J60" i="96" s="1"/>
  <c r="T32" i="100"/>
  <c r="AC32" i="99"/>
  <c r="AC33" i="99" s="1"/>
  <c r="AC36" i="99" s="1"/>
  <c r="AC37" i="99" s="1"/>
  <c r="R52" i="90"/>
  <c r="H7" i="94"/>
  <c r="H9" i="94"/>
  <c r="AB9" i="95"/>
  <c r="AB7" i="95"/>
  <c r="AB37" i="95" s="1"/>
  <c r="AB62" i="95" s="1"/>
  <c r="Z62" i="95" s="1"/>
  <c r="X62" i="95" s="1"/>
  <c r="T21" i="90"/>
  <c r="V21" i="90" s="1"/>
  <c r="T57" i="90"/>
  <c r="T49" i="90"/>
  <c r="T50" i="90" s="1"/>
  <c r="C6" i="142"/>
  <c r="AH74" i="88"/>
  <c r="AH208" i="88"/>
  <c r="Q45" i="100"/>
  <c r="AF23" i="96"/>
  <c r="BE23" i="86"/>
  <c r="AB24" i="87"/>
  <c r="R39" i="99"/>
  <c r="F28" i="34"/>
  <c r="AD44" i="95"/>
  <c r="V9" i="90"/>
  <c r="T21" i="99"/>
  <c r="BT11" i="88"/>
  <c r="BU11" i="88" s="1"/>
  <c r="BA17" i="86"/>
  <c r="N8" i="90"/>
  <c r="N9" i="94"/>
  <c r="N7" i="94"/>
  <c r="S122" i="89"/>
  <c r="U122" i="89" s="1"/>
  <c r="BA54" i="86"/>
  <c r="AL8" i="88"/>
  <c r="I50" i="99"/>
  <c r="G8" i="90"/>
  <c r="T22" i="100"/>
  <c r="C45" i="99"/>
  <c r="U17" i="86"/>
  <c r="AX30" i="89"/>
  <c r="X36" i="86"/>
  <c r="AN35" i="89"/>
  <c r="AX35" i="89"/>
  <c r="AH11" i="92"/>
  <c r="AG9" i="92"/>
  <c r="R15" i="91"/>
  <c r="M13" i="100"/>
  <c r="L15" i="100"/>
  <c r="C14" i="142"/>
  <c r="J21" i="99"/>
  <c r="J45" i="99" s="1"/>
  <c r="AH157" i="88"/>
  <c r="G31" i="95"/>
  <c r="AB27" i="87"/>
  <c r="AC17" i="96"/>
  <c r="R29" i="99"/>
  <c r="I45" i="99"/>
  <c r="R32" i="100"/>
  <c r="D156" i="88"/>
  <c r="T129" i="89"/>
  <c r="AH158" i="88"/>
  <c r="BE147" i="88"/>
  <c r="BH147" i="88" s="1"/>
  <c r="N47" i="100"/>
  <c r="W22" i="97"/>
  <c r="I7" i="97"/>
  <c r="I6" i="99"/>
  <c r="BH25" i="88"/>
  <c r="AG49" i="86"/>
  <c r="AJ27" i="92"/>
  <c r="W27" i="92"/>
  <c r="Q56" i="96"/>
  <c r="Q54" i="96" s="1"/>
  <c r="Q52" i="96" s="1"/>
  <c r="R54" i="96"/>
  <c r="R52" i="96" s="1"/>
  <c r="S23" i="99"/>
  <c r="AB127" i="89"/>
  <c r="AA128" i="89"/>
  <c r="Y128" i="89"/>
  <c r="E53" i="96"/>
  <c r="F52" i="96"/>
  <c r="AH71" i="88"/>
  <c r="AR8" i="89"/>
  <c r="AR9" i="89" s="1"/>
  <c r="R8" i="99"/>
  <c r="E52" i="96"/>
  <c r="AR86" i="88"/>
  <c r="AW27" i="87"/>
  <c r="AZ148" i="88"/>
  <c r="BF148" i="88" s="1"/>
  <c r="I5" i="99"/>
  <c r="Y11" i="89"/>
  <c r="AB15" i="89"/>
  <c r="AJ15" i="89"/>
  <c r="F29" i="96"/>
  <c r="F28" i="96" s="1"/>
  <c r="F9" i="96" s="1"/>
  <c r="F8" i="96" s="1"/>
  <c r="F60" i="96" s="1"/>
  <c r="G28" i="96"/>
  <c r="G9" i="96" s="1"/>
  <c r="AE8" i="96"/>
  <c r="AE60" i="96" s="1"/>
  <c r="AE10" i="96"/>
  <c r="AI73" i="89"/>
  <c r="AI16" i="89"/>
  <c r="N50" i="99"/>
  <c r="L50" i="99" s="1"/>
  <c r="N62" i="99"/>
  <c r="X58" i="139"/>
  <c r="AC58" i="139" s="1"/>
  <c r="I7" i="95"/>
  <c r="I37" i="95" s="1"/>
  <c r="I62" i="95" s="1"/>
  <c r="I9" i="95"/>
  <c r="O7" i="95"/>
  <c r="O37" i="95" s="1"/>
  <c r="O62" i="95" s="1"/>
  <c r="N62" i="95" s="1"/>
  <c r="L62" i="95" s="1"/>
  <c r="O9" i="95"/>
  <c r="Y145" i="89"/>
  <c r="AK145" i="89" s="1"/>
  <c r="AA187" i="89"/>
  <c r="AB139" i="89"/>
  <c r="AJ139" i="89"/>
  <c r="AN139" i="89" s="1"/>
  <c r="Y187" i="89"/>
  <c r="AD34" i="96"/>
  <c r="W11" i="92"/>
  <c r="W9" i="92" s="1"/>
  <c r="W8" i="92" s="1"/>
  <c r="AN150" i="89"/>
  <c r="AH73" i="89"/>
  <c r="AH16" i="89"/>
  <c r="K50" i="99"/>
  <c r="K62" i="99"/>
  <c r="I62" i="99" s="1"/>
  <c r="I12" i="99"/>
  <c r="AO54" i="86"/>
  <c r="AO52" i="86" s="1"/>
  <c r="BD158" i="88"/>
  <c r="BD157" i="88"/>
  <c r="BD71" i="88"/>
  <c r="BD9" i="88"/>
  <c r="BD7" i="88"/>
  <c r="AK151" i="89"/>
  <c r="AH81" i="89"/>
  <c r="AI81" i="89"/>
  <c r="AJ80" i="89"/>
  <c r="AN80" i="89" s="1"/>
  <c r="Q53" i="99"/>
  <c r="W14" i="100"/>
  <c r="AD33" i="96"/>
  <c r="AD28" i="96" s="1"/>
  <c r="AD9" i="96" s="1"/>
  <c r="AD8" i="96" s="1"/>
  <c r="AD60" i="96" s="1"/>
  <c r="AC28" i="96"/>
  <c r="AC9" i="96" s="1"/>
  <c r="X36" i="96"/>
  <c r="L19" i="96"/>
  <c r="L17" i="96" s="1"/>
  <c r="K17" i="96"/>
  <c r="BH23" i="88"/>
  <c r="C8" i="92"/>
  <c r="K57" i="99"/>
  <c r="K58" i="99" s="1"/>
  <c r="K59" i="99" s="1"/>
  <c r="K60" i="99" s="1"/>
  <c r="W25" i="92"/>
  <c r="E25" i="92"/>
  <c r="AJ127" i="89"/>
  <c r="AN127" i="89" s="1"/>
  <c r="AI128" i="89"/>
  <c r="AH128" i="89"/>
  <c r="L32" i="96"/>
  <c r="L28" i="96" s="1"/>
  <c r="L9" i="96" s="1"/>
  <c r="K28" i="96"/>
  <c r="X24" i="96"/>
  <c r="X23" i="96" s="1"/>
  <c r="W23" i="96"/>
  <c r="AJ25" i="87"/>
  <c r="AL25" i="87" s="1"/>
  <c r="P7" i="95"/>
  <c r="P37" i="95" s="1"/>
  <c r="P62" i="95" s="1"/>
  <c r="P9" i="95"/>
  <c r="L7" i="92"/>
  <c r="U13" i="91"/>
  <c r="AA13" i="91" s="1"/>
  <c r="X30" i="96"/>
  <c r="AF11" i="96"/>
  <c r="I11" i="96"/>
  <c r="AD42" i="95"/>
  <c r="R42" i="95"/>
  <c r="Q42" i="95"/>
  <c r="C69" i="60"/>
  <c r="T25" i="37"/>
  <c r="AS25" i="37"/>
  <c r="T11" i="64"/>
  <c r="T11" i="164"/>
  <c r="C44" i="169"/>
  <c r="C45" i="158"/>
  <c r="V92" i="162"/>
  <c r="C31" i="169"/>
  <c r="C32" i="158"/>
  <c r="D69" i="88"/>
  <c r="U19" i="64"/>
  <c r="U19" i="164"/>
  <c r="C41" i="78"/>
  <c r="R11" i="164"/>
  <c r="R14" i="64"/>
  <c r="R14" i="164"/>
  <c r="C35" i="60"/>
  <c r="AB110" i="162"/>
  <c r="P8" i="87"/>
  <c r="P7" i="87" s="1"/>
  <c r="AB102" i="88"/>
  <c r="L13" i="43"/>
  <c r="C137" i="72"/>
  <c r="FE30" i="47"/>
  <c r="F14" i="112"/>
  <c r="BN41" i="36"/>
  <c r="BJ25" i="41"/>
  <c r="AU10" i="36"/>
  <c r="L16" i="64"/>
  <c r="L16" i="164"/>
  <c r="C55" i="161"/>
  <c r="D37" i="160"/>
  <c r="C37" i="160" s="1"/>
  <c r="F27" i="38"/>
  <c r="I18" i="64"/>
  <c r="I18" i="164"/>
  <c r="C21" i="169"/>
  <c r="C22" i="158"/>
  <c r="F55" i="152"/>
  <c r="O14" i="7"/>
  <c r="X17" i="94"/>
  <c r="AB17" i="94"/>
  <c r="Y17" i="94"/>
  <c r="S59" i="162"/>
  <c r="P60" i="162"/>
  <c r="AJ23" i="62"/>
  <c r="AL23" i="14"/>
  <c r="AL21" i="14" s="1"/>
  <c r="AJ21" i="14"/>
  <c r="AH16" i="162"/>
  <c r="F75" i="88"/>
  <c r="F159" i="88"/>
  <c r="C119" i="162"/>
  <c r="AD10" i="162"/>
  <c r="T18" i="64"/>
  <c r="T18" i="164"/>
  <c r="P18" i="37"/>
  <c r="J42" i="35"/>
  <c r="P19" i="33"/>
  <c r="J42" i="7"/>
  <c r="J42" i="6"/>
  <c r="P17" i="4"/>
  <c r="M18" i="4"/>
  <c r="J42" i="39"/>
  <c r="J78" i="39" s="1"/>
  <c r="AU31" i="37"/>
  <c r="W31" i="37"/>
  <c r="Y31" i="37" s="1"/>
  <c r="BN40" i="41"/>
  <c r="BS40" i="41"/>
  <c r="P14" i="33"/>
  <c r="J37" i="35"/>
  <c r="I37" i="35" s="1"/>
  <c r="J37" i="7"/>
  <c r="I37" i="7" s="1"/>
  <c r="J37" i="39"/>
  <c r="I37" i="39" s="1"/>
  <c r="J37" i="6"/>
  <c r="I37" i="6" s="1"/>
  <c r="M14" i="4"/>
  <c r="M14" i="33" s="1"/>
  <c r="J37" i="38"/>
  <c r="I37" i="38" s="1"/>
  <c r="J37" i="34"/>
  <c r="I37" i="34" s="1"/>
  <c r="O20" i="164"/>
  <c r="G61" i="1"/>
  <c r="G25" i="31" s="1"/>
  <c r="F43" i="44"/>
  <c r="H25" i="31"/>
  <c r="J61" i="1"/>
  <c r="D23" i="7"/>
  <c r="C23" i="7" s="1"/>
  <c r="D23" i="6"/>
  <c r="C23" i="6" s="1"/>
  <c r="D23" i="35"/>
  <c r="C23" i="35" s="1"/>
  <c r="D23" i="38"/>
  <c r="C23" i="38" s="1"/>
  <c r="F38" i="4"/>
  <c r="D23" i="39"/>
  <c r="C23" i="39" s="1"/>
  <c r="Y25" i="37"/>
  <c r="C21" i="66"/>
  <c r="C36" i="159"/>
  <c r="D30" i="160"/>
  <c r="C30" i="160" s="1"/>
  <c r="C48" i="161"/>
  <c r="R12" i="100"/>
  <c r="R10" i="64"/>
  <c r="R10" i="164"/>
  <c r="H29" i="23"/>
  <c r="H12" i="23" s="1"/>
  <c r="F16" i="112"/>
  <c r="F10" i="112"/>
  <c r="BN30" i="36"/>
  <c r="C13" i="64"/>
  <c r="C13" i="164"/>
  <c r="I10" i="164"/>
  <c r="U17" i="64"/>
  <c r="U17" i="164"/>
  <c r="Y97" i="13"/>
  <c r="Y99" i="162"/>
  <c r="BE36" i="41"/>
  <c r="C53" i="169"/>
  <c r="C54" i="158"/>
  <c r="C55" i="169"/>
  <c r="E40" i="154"/>
  <c r="H40" i="154" s="1"/>
  <c r="T17" i="44"/>
  <c r="O118" i="13" s="1"/>
  <c r="AJ30" i="14"/>
  <c r="EN32" i="47"/>
  <c r="EM32" i="47"/>
  <c r="EM30" i="47" s="1"/>
  <c r="EK30" i="47"/>
  <c r="I32" i="47"/>
  <c r="AH55" i="162"/>
  <c r="AJ51" i="162"/>
  <c r="AJ44" i="162" s="1"/>
  <c r="K105" i="88"/>
  <c r="Q105" i="88" s="1"/>
  <c r="L105" i="88"/>
  <c r="P10" i="64"/>
  <c r="P10" i="164"/>
  <c r="G42" i="38"/>
  <c r="F42" i="38" s="1"/>
  <c r="G42" i="7"/>
  <c r="G42" i="6"/>
  <c r="F42" i="6" s="1"/>
  <c r="H18" i="4"/>
  <c r="P29" i="7"/>
  <c r="AF67" i="1"/>
  <c r="C65" i="9"/>
  <c r="C51" i="9"/>
  <c r="S44" i="23"/>
  <c r="E58" i="154"/>
  <c r="C50" i="169"/>
  <c r="C51" i="158"/>
  <c r="W57" i="139"/>
  <c r="AB57" i="139" s="1"/>
  <c r="T17" i="64"/>
  <c r="T17" i="164"/>
  <c r="J57" i="45"/>
  <c r="I57" i="45" s="1"/>
  <c r="C20" i="58"/>
  <c r="J15" i="64"/>
  <c r="J15" i="164"/>
  <c r="G30" i="47"/>
  <c r="D40" i="160"/>
  <c r="C40" i="160" s="1"/>
  <c r="C58" i="161"/>
  <c r="O19" i="64"/>
  <c r="O19" i="164"/>
  <c r="T50" i="87"/>
  <c r="T46" i="87" s="1"/>
  <c r="AW145" i="88"/>
  <c r="C31" i="45"/>
  <c r="BP28" i="150"/>
  <c r="BO28" i="150" s="1"/>
  <c r="X96" i="60"/>
  <c r="X96" i="162"/>
  <c r="J38" i="151"/>
  <c r="Y11" i="150"/>
  <c r="D36" i="160"/>
  <c r="C54" i="161"/>
  <c r="C53" i="161" s="1"/>
  <c r="F27" i="27"/>
  <c r="F23" i="27" s="1"/>
  <c r="H75" i="88"/>
  <c r="K76" i="88" s="1"/>
  <c r="Q76" i="88" s="1"/>
  <c r="K67" i="88"/>
  <c r="Q67" i="88" s="1"/>
  <c r="H159" i="88"/>
  <c r="M26" i="39"/>
  <c r="L26" i="39" s="1"/>
  <c r="Z64" i="1"/>
  <c r="M26" i="6"/>
  <c r="L26" i="6" s="1"/>
  <c r="AP12" i="3"/>
  <c r="AP10" i="3"/>
  <c r="Z67" i="1"/>
  <c r="M29" i="38"/>
  <c r="L29" i="38" s="1"/>
  <c r="M29" i="6"/>
  <c r="L29" i="6" s="1"/>
  <c r="L16" i="31"/>
  <c r="P42" i="1"/>
  <c r="K19" i="1"/>
  <c r="BE19" i="1"/>
  <c r="I14" i="20"/>
  <c r="I11" i="20"/>
  <c r="I17" i="20"/>
  <c r="I12" i="20"/>
  <c r="N83" i="39"/>
  <c r="BD65" i="3"/>
  <c r="U18" i="64"/>
  <c r="U18" i="164"/>
  <c r="R19" i="64"/>
  <c r="R19" i="164"/>
  <c r="I14" i="164"/>
  <c r="B82" i="60"/>
  <c r="B82" i="162"/>
  <c r="N25" i="43"/>
  <c r="U14" i="64"/>
  <c r="U14" i="164"/>
  <c r="I16" i="64"/>
  <c r="I16" i="164"/>
  <c r="D30" i="58"/>
  <c r="R15" i="64"/>
  <c r="R15" i="164"/>
  <c r="L25" i="43"/>
  <c r="R83" i="13"/>
  <c r="R84" i="162"/>
  <c r="O57" i="45"/>
  <c r="AR62" i="41"/>
  <c r="AR61" i="41" s="1"/>
  <c r="O13" i="64"/>
  <c r="O13" i="164"/>
  <c r="K27" i="39"/>
  <c r="J13" i="26"/>
  <c r="X37" i="9"/>
  <c r="X35" i="9" s="1"/>
  <c r="AM58" i="3"/>
  <c r="AM55" i="3" s="1"/>
  <c r="F42" i="7"/>
  <c r="BF114" i="88"/>
  <c r="AW36" i="87"/>
  <c r="AW34" i="87" s="1"/>
  <c r="AT34" i="87" s="1"/>
  <c r="Z13" i="43"/>
  <c r="Z49" i="151"/>
  <c r="AA13" i="162"/>
  <c r="AA12" i="162" s="1"/>
  <c r="O57" i="152"/>
  <c r="AA49" i="139"/>
  <c r="F56" i="153"/>
  <c r="F57" i="153"/>
  <c r="F53" i="152"/>
  <c r="I126" i="89"/>
  <c r="I123" i="89"/>
  <c r="Y12" i="162"/>
  <c r="P27" i="162"/>
  <c r="C27" i="162" s="1"/>
  <c r="Q10" i="89"/>
  <c r="Q111" i="89"/>
  <c r="Q54" i="89"/>
  <c r="Q58" i="89"/>
  <c r="Q61" i="89"/>
  <c r="Q56" i="89"/>
  <c r="K68" i="88"/>
  <c r="K65" i="88"/>
  <c r="Q65" i="88" s="1"/>
  <c r="L156" i="88"/>
  <c r="Q156" i="88" s="1"/>
  <c r="L66" i="88"/>
  <c r="K101" i="88"/>
  <c r="K97" i="88"/>
  <c r="Q97" i="88" s="1"/>
  <c r="L97" i="88"/>
  <c r="K85" i="88"/>
  <c r="AC63" i="162"/>
  <c r="P66" i="162"/>
  <c r="U87" i="89"/>
  <c r="BH12" i="88"/>
  <c r="J13" i="47"/>
  <c r="J11" i="47" s="1"/>
  <c r="AH64" i="88"/>
  <c r="AH181" i="88"/>
  <c r="BR63" i="88"/>
  <c r="AO56" i="88"/>
  <c r="Q35" i="38"/>
  <c r="G19" i="19"/>
  <c r="H19" i="19" s="1"/>
  <c r="Q35" i="6"/>
  <c r="Q72" i="6" s="1"/>
  <c r="Q35" i="7"/>
  <c r="Q35" i="39"/>
  <c r="Q72" i="39" s="1"/>
  <c r="AR68" i="3"/>
  <c r="D21" i="16" s="1"/>
  <c r="AI60" i="36"/>
  <c r="AG60" i="36"/>
  <c r="R18" i="64"/>
  <c r="R18" i="164"/>
  <c r="M36" i="44"/>
  <c r="AC112" i="162"/>
  <c r="P26" i="48"/>
  <c r="AA7" i="62"/>
  <c r="AA8" i="62" s="1"/>
  <c r="D54" i="154"/>
  <c r="BI11" i="41"/>
  <c r="F19" i="112"/>
  <c r="C73" i="23"/>
  <c r="D20" i="150"/>
  <c r="D19" i="150" s="1"/>
  <c r="L19" i="150" s="1"/>
  <c r="O21" i="64"/>
  <c r="O21" i="164"/>
  <c r="F57" i="45"/>
  <c r="E30" i="23"/>
  <c r="I42" i="38"/>
  <c r="BJ51" i="41"/>
  <c r="AB48" i="22"/>
  <c r="AB90" i="22" s="1"/>
  <c r="V14" i="25"/>
  <c r="H10" i="20"/>
  <c r="F9" i="112"/>
  <c r="H51" i="6"/>
  <c r="K48" i="22"/>
  <c r="K90" i="22" s="1"/>
  <c r="BS30" i="3"/>
  <c r="BM11" i="3"/>
  <c r="Z73" i="6"/>
  <c r="Z71" i="7"/>
  <c r="AZ75" i="3"/>
  <c r="J14" i="16" s="1"/>
  <c r="J13" i="16" s="1"/>
  <c r="J12" i="16" s="1"/>
  <c r="BN11" i="3"/>
  <c r="BM51" i="3"/>
  <c r="U10" i="16" s="1"/>
  <c r="BN51" i="3"/>
  <c r="V10" i="16" s="1"/>
  <c r="BH49" i="1"/>
  <c r="D24" i="153"/>
  <c r="C24" i="153" s="1"/>
  <c r="AF9" i="86"/>
  <c r="AG9" i="86" s="1"/>
  <c r="AR98" i="88"/>
  <c r="AF10" i="89"/>
  <c r="AF105" i="89" s="1"/>
  <c r="AK102" i="89"/>
  <c r="BH24" i="88"/>
  <c r="BE27" i="150"/>
  <c r="U145" i="89"/>
  <c r="F32" i="46"/>
  <c r="U90" i="60"/>
  <c r="U90" i="162"/>
  <c r="BI23" i="43"/>
  <c r="H19" i="45"/>
  <c r="U31" i="152"/>
  <c r="D31" i="160"/>
  <c r="C31" i="160" s="1"/>
  <c r="C49" i="161"/>
  <c r="O117" i="89"/>
  <c r="O119" i="89" s="1"/>
  <c r="O116" i="89"/>
  <c r="O113" i="89"/>
  <c r="F73" i="88"/>
  <c r="V10" i="48"/>
  <c r="AH30" i="47"/>
  <c r="AH40" i="47" s="1"/>
  <c r="H34" i="87"/>
  <c r="E50" i="40"/>
  <c r="E64" i="40"/>
  <c r="W26" i="4"/>
  <c r="V23" i="37"/>
  <c r="R23" i="37" s="1"/>
  <c r="T23" i="37" s="1"/>
  <c r="AA23" i="4"/>
  <c r="AA23" i="37" s="1"/>
  <c r="AU23" i="37" s="1"/>
  <c r="M50" i="36"/>
  <c r="O50" i="36" s="1"/>
  <c r="N50" i="36" s="1"/>
  <c r="P50" i="36"/>
  <c r="S57" i="22"/>
  <c r="N55" i="22"/>
  <c r="M53" i="36"/>
  <c r="P53" i="36"/>
  <c r="P51" i="36" s="1"/>
  <c r="M47" i="1"/>
  <c r="O47" i="1" s="1"/>
  <c r="P47" i="1"/>
  <c r="H58" i="38"/>
  <c r="H51" i="38" s="1"/>
  <c r="H65" i="1"/>
  <c r="H29" i="31" s="1"/>
  <c r="D28" i="35"/>
  <c r="D28" i="34"/>
  <c r="D28" i="39"/>
  <c r="D28" i="7"/>
  <c r="D28" i="6"/>
  <c r="BA58" i="41"/>
  <c r="BE58" i="41" s="1"/>
  <c r="BA56" i="3"/>
  <c r="H56" i="1"/>
  <c r="D20" i="31"/>
  <c r="AT38" i="37"/>
  <c r="AQ38" i="37" s="1"/>
  <c r="AE38" i="37"/>
  <c r="W38" i="37"/>
  <c r="M46" i="1"/>
  <c r="O46" i="1" s="1"/>
  <c r="N46" i="1" s="1"/>
  <c r="BH46" i="1" s="1"/>
  <c r="AM125" i="162"/>
  <c r="C47" i="60"/>
  <c r="I15" i="64"/>
  <c r="I15" i="164"/>
  <c r="L13" i="64"/>
  <c r="L13" i="164"/>
  <c r="R16" i="64"/>
  <c r="R16" i="164"/>
  <c r="R12" i="64"/>
  <c r="R12" i="164"/>
  <c r="C74" i="60"/>
  <c r="C58" i="60"/>
  <c r="CG67" i="48"/>
  <c r="L21" i="64"/>
  <c r="L21" i="164"/>
  <c r="L17" i="64"/>
  <c r="L17" i="164"/>
  <c r="C60" i="169"/>
  <c r="C61" i="158"/>
  <c r="AA106" i="88"/>
  <c r="Y173" i="89"/>
  <c r="BB158" i="88"/>
  <c r="D42" i="150"/>
  <c r="BM42" i="150" s="1"/>
  <c r="C49" i="23"/>
  <c r="D55" i="154"/>
  <c r="BM11" i="41"/>
  <c r="O14" i="64"/>
  <c r="O14" i="164"/>
  <c r="J49" i="23"/>
  <c r="S49" i="23" s="1"/>
  <c r="F11" i="112"/>
  <c r="AU27" i="37"/>
  <c r="I13" i="64"/>
  <c r="I13" i="164"/>
  <c r="L82" i="39"/>
  <c r="AE10" i="5"/>
  <c r="F43" i="34"/>
  <c r="BR19" i="3"/>
  <c r="BO11" i="3"/>
  <c r="AT17" i="5"/>
  <c r="AD14" i="37"/>
  <c r="AT62" i="3"/>
  <c r="W54" i="86"/>
  <c r="W52" i="86" s="1"/>
  <c r="AH8" i="86"/>
  <c r="AH60" i="86" s="1"/>
  <c r="Z100" i="13"/>
  <c r="Z105" i="162"/>
  <c r="P105" i="162" s="1"/>
  <c r="C105" i="162" s="1"/>
  <c r="V82" i="45"/>
  <c r="U82" i="45" s="1"/>
  <c r="BA21" i="41"/>
  <c r="BE21" i="41" s="1"/>
  <c r="AY35" i="5"/>
  <c r="I32" i="16" s="1"/>
  <c r="U31" i="153"/>
  <c r="BE35" i="5"/>
  <c r="BE9" i="5" s="1"/>
  <c r="I30" i="62"/>
  <c r="K30" i="14"/>
  <c r="G11" i="17" s="1"/>
  <c r="I28" i="14"/>
  <c r="B84" i="162"/>
  <c r="AO29" i="87"/>
  <c r="AV29" i="87" s="1"/>
  <c r="P18" i="162"/>
  <c r="C18" i="162" s="1"/>
  <c r="Z12" i="162"/>
  <c r="S73" i="89"/>
  <c r="T20" i="89"/>
  <c r="W20" i="89" s="1"/>
  <c r="S16" i="89"/>
  <c r="DS13" i="51"/>
  <c r="DS12" i="51" s="1"/>
  <c r="DN12" i="51"/>
  <c r="T36" i="47"/>
  <c r="T33" i="47" s="1"/>
  <c r="T9" i="47" s="1"/>
  <c r="Y36" i="47"/>
  <c r="Z36" i="47"/>
  <c r="T20" i="36"/>
  <c r="AM20" i="36"/>
  <c r="AL20" i="36" s="1"/>
  <c r="W25" i="4"/>
  <c r="K24" i="39"/>
  <c r="N25" i="39"/>
  <c r="G47" i="1"/>
  <c r="D16" i="35"/>
  <c r="C16" i="35" s="1"/>
  <c r="D16" i="46"/>
  <c r="C16" i="46" s="1"/>
  <c r="D118" i="162"/>
  <c r="C118" i="162" s="1"/>
  <c r="K10" i="162"/>
  <c r="R51" i="36"/>
  <c r="BK51" i="36"/>
  <c r="AJ51" i="36"/>
  <c r="L73" i="38"/>
  <c r="BR40" i="41"/>
  <c r="BR78" i="41" s="1"/>
  <c r="BQ78" i="41"/>
  <c r="P25" i="9"/>
  <c r="P24" i="9" s="1"/>
  <c r="AJ13" i="92"/>
  <c r="AJ12" i="92" s="1"/>
  <c r="T20" i="64"/>
  <c r="T20" i="164"/>
  <c r="R20" i="64"/>
  <c r="R20" i="164"/>
  <c r="S86" i="162"/>
  <c r="C12" i="159"/>
  <c r="T16" i="64"/>
  <c r="T16" i="164"/>
  <c r="O18" i="64"/>
  <c r="O18" i="164"/>
  <c r="K15" i="25"/>
  <c r="J56" i="45"/>
  <c r="J101" i="45" s="1"/>
  <c r="D32" i="160"/>
  <c r="C50" i="161"/>
  <c r="I42" i="35"/>
  <c r="AP51" i="1"/>
  <c r="BH65" i="3"/>
  <c r="T25" i="43"/>
  <c r="AF25" i="43"/>
  <c r="T39" i="152"/>
  <c r="AA13" i="11"/>
  <c r="X39" i="152"/>
  <c r="R32" i="62"/>
  <c r="R31" i="14"/>
  <c r="T32" i="14"/>
  <c r="T31" i="14" s="1"/>
  <c r="C46" i="160"/>
  <c r="D53" i="160"/>
  <c r="N68" i="88"/>
  <c r="N65" i="88"/>
  <c r="O97" i="88"/>
  <c r="N97" i="88"/>
  <c r="N101" i="88"/>
  <c r="N85" i="88"/>
  <c r="O156" i="88"/>
  <c r="O66" i="88"/>
  <c r="M93" i="88"/>
  <c r="M94" i="88"/>
  <c r="X166" i="88"/>
  <c r="X165" i="88" s="1"/>
  <c r="AA165" i="88" s="1"/>
  <c r="AA172" i="88"/>
  <c r="AA166" i="88" s="1"/>
  <c r="D50" i="154"/>
  <c r="DP11" i="47"/>
  <c r="DO11" i="47"/>
  <c r="DR11" i="47"/>
  <c r="CQ26" i="47"/>
  <c r="CR26" i="47"/>
  <c r="AA19" i="37"/>
  <c r="AU19" i="37" s="1"/>
  <c r="Q43" i="6"/>
  <c r="Q43" i="7"/>
  <c r="L10" i="16"/>
  <c r="P10" i="16" s="1"/>
  <c r="AE10" i="16" s="1"/>
  <c r="BY51" i="3"/>
  <c r="BZ51" i="3" s="1"/>
  <c r="D14" i="9"/>
  <c r="D64" i="9"/>
  <c r="AQ78" i="3"/>
  <c r="Q82" i="162"/>
  <c r="L19" i="64"/>
  <c r="L19" i="164"/>
  <c r="W94" i="60"/>
  <c r="W94" i="162"/>
  <c r="AQ61" i="41"/>
  <c r="AS16" i="37"/>
  <c r="Q71" i="38"/>
  <c r="F18" i="112"/>
  <c r="C21" i="64"/>
  <c r="C21" i="164"/>
  <c r="T19" i="36"/>
  <c r="I21" i="64"/>
  <c r="I21" i="164"/>
  <c r="I19" i="64"/>
  <c r="I19" i="164"/>
  <c r="BF111" i="88"/>
  <c r="C20" i="169"/>
  <c r="C21" i="158"/>
  <c r="C24" i="161"/>
  <c r="D17" i="160"/>
  <c r="C17" i="160" s="1"/>
  <c r="N130" i="150"/>
  <c r="O12" i="164"/>
  <c r="I20" i="64"/>
  <c r="I20" i="164"/>
  <c r="U12" i="162"/>
  <c r="P101" i="162"/>
  <c r="C101" i="162" s="1"/>
  <c r="Y26" i="94"/>
  <c r="X26" i="94"/>
  <c r="AB26" i="94"/>
  <c r="C20" i="163"/>
  <c r="C19" i="163" s="1"/>
  <c r="C12" i="163" s="1"/>
  <c r="C8" i="163" s="1"/>
  <c r="C7" i="163" s="1"/>
  <c r="D19" i="163"/>
  <c r="D12" i="163" s="1"/>
  <c r="D8" i="163" s="1"/>
  <c r="D7" i="163" s="1"/>
  <c r="AJ63" i="162"/>
  <c r="AH66" i="162"/>
  <c r="AH63" i="162" s="1"/>
  <c r="Z105" i="88"/>
  <c r="Z106" i="88"/>
  <c r="AF105" i="88"/>
  <c r="AV172" i="88"/>
  <c r="E10" i="62"/>
  <c r="F93" i="88"/>
  <c r="F91" i="88"/>
  <c r="F95" i="88" s="1"/>
  <c r="I73" i="36"/>
  <c r="I10" i="36"/>
  <c r="J34" i="37"/>
  <c r="CF23" i="47"/>
  <c r="CH23" i="47"/>
  <c r="BL69" i="3"/>
  <c r="T22" i="16" s="1"/>
  <c r="S22" i="16"/>
  <c r="E20" i="70"/>
  <c r="E27" i="110"/>
  <c r="E25" i="110" s="1"/>
  <c r="E20" i="110" s="1"/>
  <c r="G30" i="153"/>
  <c r="F30" i="153" s="1"/>
  <c r="H23" i="43"/>
  <c r="BL23" i="43" s="1"/>
  <c r="BK23" i="43" s="1"/>
  <c r="G30" i="152"/>
  <c r="M19" i="45"/>
  <c r="C22" i="54"/>
  <c r="C37" i="159" s="1"/>
  <c r="J5" i="43"/>
  <c r="Z58" i="43"/>
  <c r="J77" i="43"/>
  <c r="G30" i="46"/>
  <c r="F30" i="46" s="1"/>
  <c r="N70" i="43"/>
  <c r="D23" i="150"/>
  <c r="BM23" i="150" s="1"/>
  <c r="H17" i="154"/>
  <c r="N13" i="43"/>
  <c r="G66" i="43"/>
  <c r="G30" i="45"/>
  <c r="Z19" i="43"/>
  <c r="BA23" i="41"/>
  <c r="BE23" i="41" s="1"/>
  <c r="C19" i="150"/>
  <c r="C11" i="150" s="1"/>
  <c r="S60" i="86"/>
  <c r="S65" i="86"/>
  <c r="BE8" i="88"/>
  <c r="H22" i="140"/>
  <c r="D23" i="142"/>
  <c r="BA105" i="88"/>
  <c r="BF105" i="88" s="1"/>
  <c r="AQ109" i="88"/>
  <c r="AW117" i="88"/>
  <c r="L19" i="38"/>
  <c r="AY29" i="87"/>
  <c r="BA29" i="87" s="1"/>
  <c r="AV11" i="87"/>
  <c r="AB40" i="139"/>
  <c r="H24" i="7"/>
  <c r="Q58" i="139"/>
  <c r="W58" i="139" s="1"/>
  <c r="Z40" i="92"/>
  <c r="Z41" i="92" s="1"/>
  <c r="AQ137" i="88"/>
  <c r="E45" i="100"/>
  <c r="K57" i="90"/>
  <c r="H27" i="7"/>
  <c r="AY167" i="88"/>
  <c r="N7" i="95"/>
  <c r="N37" i="95" s="1"/>
  <c r="T58" i="139"/>
  <c r="Z58" i="139" s="1"/>
  <c r="M30" i="97"/>
  <c r="G21" i="90"/>
  <c r="AP17" i="86"/>
  <c r="AF63" i="89"/>
  <c r="AF57" i="89"/>
  <c r="P52" i="90"/>
  <c r="AQ73" i="88"/>
  <c r="X57" i="139"/>
  <c r="AC57" i="139" s="1"/>
  <c r="Y48" i="87"/>
  <c r="AD13" i="24"/>
  <c r="H20" i="38"/>
  <c r="H18" i="38" s="1"/>
  <c r="H19" i="140"/>
  <c r="E9" i="96"/>
  <c r="BA157" i="88"/>
  <c r="C21" i="30"/>
  <c r="AB59" i="139"/>
  <c r="AS8" i="88"/>
  <c r="AS9" i="88" s="1"/>
  <c r="BF136" i="88"/>
  <c r="AA11" i="86"/>
  <c r="P134" i="87"/>
  <c r="J13" i="90"/>
  <c r="M10" i="96"/>
  <c r="AO22" i="87"/>
  <c r="AQ22" i="87" s="1"/>
  <c r="AN59" i="89"/>
  <c r="AB16" i="87"/>
  <c r="BA9" i="88"/>
  <c r="Z14" i="87"/>
  <c r="AB29" i="139"/>
  <c r="T9" i="86"/>
  <c r="T10" i="86" s="1"/>
  <c r="AA10" i="86" s="1"/>
  <c r="BE153" i="88"/>
  <c r="BH153" i="88" s="1"/>
  <c r="AW139" i="88"/>
  <c r="BE11" i="86"/>
  <c r="AT22" i="87"/>
  <c r="T47" i="87"/>
  <c r="P66" i="153"/>
  <c r="AE48" i="44"/>
  <c r="P66" i="46"/>
  <c r="P66" i="45"/>
  <c r="W48" i="44"/>
  <c r="G64" i="154" s="1"/>
  <c r="H64" i="154" s="1"/>
  <c r="H65" i="152"/>
  <c r="H62" i="46"/>
  <c r="H58" i="46" s="1"/>
  <c r="L45" i="151"/>
  <c r="BB97" i="41"/>
  <c r="C11" i="43"/>
  <c r="D19" i="43"/>
  <c r="D21" i="150"/>
  <c r="BM21" i="150" s="1"/>
  <c r="Y12" i="43"/>
  <c r="F12" i="43"/>
  <c r="H63" i="150"/>
  <c r="G63" i="150" s="1"/>
  <c r="D23" i="153"/>
  <c r="C23" i="153" s="1"/>
  <c r="C22" i="153" s="1"/>
  <c r="G63" i="43"/>
  <c r="D23" i="45"/>
  <c r="D23" i="46"/>
  <c r="J63" i="43"/>
  <c r="D23" i="152"/>
  <c r="C21" i="154"/>
  <c r="D63" i="150"/>
  <c r="D62" i="43"/>
  <c r="D27" i="152"/>
  <c r="C27" i="152" s="1"/>
  <c r="D27" i="153"/>
  <c r="C27" i="153" s="1"/>
  <c r="J67" i="43"/>
  <c r="O67" i="43" s="1"/>
  <c r="H65" i="43"/>
  <c r="G65" i="43" s="1"/>
  <c r="C62" i="154"/>
  <c r="C25" i="154"/>
  <c r="C23" i="154" s="1"/>
  <c r="D67" i="150"/>
  <c r="D65" i="150" s="1"/>
  <c r="D28" i="46"/>
  <c r="V87" i="43"/>
  <c r="M40" i="154"/>
  <c r="H62" i="152"/>
  <c r="K26" i="151"/>
  <c r="H26" i="151" s="1"/>
  <c r="J26" i="151" s="1"/>
  <c r="H25" i="44"/>
  <c r="AB110" i="60"/>
  <c r="AB108" i="60" s="1"/>
  <c r="AB108" i="13"/>
  <c r="P110" i="13"/>
  <c r="C110" i="13" s="1"/>
  <c r="C11" i="26"/>
  <c r="L66" i="22"/>
  <c r="L65" i="22" s="1"/>
  <c r="L64" i="22" s="1"/>
  <c r="BL46" i="43"/>
  <c r="O46" i="150"/>
  <c r="E37" i="154"/>
  <c r="D67" i="44"/>
  <c r="D69" i="44" s="1"/>
  <c r="D34" i="154"/>
  <c r="AE44" i="60"/>
  <c r="AD7" i="62"/>
  <c r="AD8" i="62" s="1"/>
  <c r="L13" i="151"/>
  <c r="H37" i="153"/>
  <c r="H37" i="152"/>
  <c r="H35" i="152" s="1"/>
  <c r="H34" i="152" s="1"/>
  <c r="G48" i="43"/>
  <c r="H48" i="150"/>
  <c r="E12" i="62"/>
  <c r="BM46" i="43"/>
  <c r="P46" i="150"/>
  <c r="BQ46" i="150" s="1"/>
  <c r="Y37" i="44"/>
  <c r="G53" i="154"/>
  <c r="AZ9" i="47"/>
  <c r="S66" i="46"/>
  <c r="S66" i="45"/>
  <c r="D47" i="153"/>
  <c r="D51" i="153" s="1"/>
  <c r="D47" i="152"/>
  <c r="U67" i="43"/>
  <c r="W67" i="43" s="1"/>
  <c r="AA67" i="43" s="1"/>
  <c r="E25" i="154"/>
  <c r="R37" i="23"/>
  <c r="H47" i="150"/>
  <c r="G47" i="150" s="1"/>
  <c r="D16" i="152"/>
  <c r="C16" i="152" s="1"/>
  <c r="AK51" i="36"/>
  <c r="U37" i="43"/>
  <c r="V37" i="150"/>
  <c r="Y55" i="153"/>
  <c r="Y55" i="152"/>
  <c r="X55" i="152" s="1"/>
  <c r="T130" i="150"/>
  <c r="AB14" i="153"/>
  <c r="AA14" i="153" s="1"/>
  <c r="AB14" i="152"/>
  <c r="AO13" i="151"/>
  <c r="AL13" i="151" s="1"/>
  <c r="AN13" i="151" s="1"/>
  <c r="BS42" i="3"/>
  <c r="AC11" i="22"/>
  <c r="AC10" i="22" s="1"/>
  <c r="AL30" i="1"/>
  <c r="AN35" i="5"/>
  <c r="AN12" i="5" s="1"/>
  <c r="AN11" i="5" s="1"/>
  <c r="AN10" i="5" s="1"/>
  <c r="P51" i="1"/>
  <c r="P18" i="31" s="1"/>
  <c r="BE17" i="150"/>
  <c r="AG30" i="43"/>
  <c r="AB30" i="150"/>
  <c r="H9" i="154"/>
  <c r="AA13" i="151"/>
  <c r="Q37" i="153"/>
  <c r="O37" i="153" s="1"/>
  <c r="Q37" i="152"/>
  <c r="W12" i="44"/>
  <c r="Q85" i="153"/>
  <c r="O85" i="153" s="1"/>
  <c r="W85" i="153"/>
  <c r="O42" i="153"/>
  <c r="T42" i="153"/>
  <c r="R42" i="153" s="1"/>
  <c r="AI60" i="150"/>
  <c r="BC60" i="150"/>
  <c r="BC40" i="5"/>
  <c r="BD40" i="5" s="1"/>
  <c r="E61" i="154"/>
  <c r="C54" i="54"/>
  <c r="C54" i="66" s="1"/>
  <c r="T53" i="43"/>
  <c r="U53" i="150"/>
  <c r="T53" i="150" s="1"/>
  <c r="I8" i="52"/>
  <c r="I20" i="52" s="1"/>
  <c r="C20" i="52"/>
  <c r="D22" i="52" s="1"/>
  <c r="D8" i="52"/>
  <c r="E8" i="52"/>
  <c r="C40" i="74"/>
  <c r="K37" i="62"/>
  <c r="BC47" i="150"/>
  <c r="W37" i="151"/>
  <c r="Y37" i="151" s="1"/>
  <c r="AE37" i="151"/>
  <c r="U51" i="139"/>
  <c r="Z51" i="139"/>
  <c r="O138" i="89"/>
  <c r="O146" i="89"/>
  <c r="O152" i="89"/>
  <c r="O149" i="89"/>
  <c r="O107" i="89"/>
  <c r="BK17" i="86"/>
  <c r="BE17" i="86"/>
  <c r="AC54" i="88"/>
  <c r="AC26" i="88"/>
  <c r="AC10" i="88"/>
  <c r="AC15" i="88"/>
  <c r="AC27" i="88"/>
  <c r="AC13" i="88"/>
  <c r="AC7" i="88"/>
  <c r="AC21" i="88"/>
  <c r="AC23" i="88"/>
  <c r="AC17" i="88"/>
  <c r="AC28" i="88"/>
  <c r="AC19" i="88"/>
  <c r="AC20" i="88"/>
  <c r="AC24" i="88"/>
  <c r="AC11" i="88"/>
  <c r="AC14" i="88"/>
  <c r="AC25" i="88"/>
  <c r="AC18" i="88"/>
  <c r="AC16" i="88"/>
  <c r="AC22" i="88"/>
  <c r="AC8" i="88"/>
  <c r="AC12" i="88"/>
  <c r="M26" i="87"/>
  <c r="R26" i="87"/>
  <c r="W26" i="87"/>
  <c r="H10" i="86"/>
  <c r="I9" i="86"/>
  <c r="Y39" i="46"/>
  <c r="Y39" i="45"/>
  <c r="X39" i="45" s="1"/>
  <c r="W37" i="46"/>
  <c r="W37" i="45"/>
  <c r="AF42" i="150"/>
  <c r="O55" i="153"/>
  <c r="P91" i="153"/>
  <c r="C36" i="153"/>
  <c r="S81" i="88"/>
  <c r="T69" i="88"/>
  <c r="S69" i="88"/>
  <c r="AA68" i="88"/>
  <c r="AA81" i="88" s="1"/>
  <c r="S77" i="88"/>
  <c r="H39" i="151"/>
  <c r="J39" i="151" s="1"/>
  <c r="V39" i="45"/>
  <c r="U39" i="45" s="1"/>
  <c r="V39" i="46"/>
  <c r="AG14" i="44"/>
  <c r="AI14" i="44" s="1"/>
  <c r="BE50" i="150"/>
  <c r="I15" i="45"/>
  <c r="S16" i="153"/>
  <c r="R16" i="153" s="1"/>
  <c r="O16" i="153"/>
  <c r="T81" i="45"/>
  <c r="T80" i="45" s="1"/>
  <c r="L14" i="153"/>
  <c r="Y12" i="150"/>
  <c r="Y10" i="150"/>
  <c r="Y73" i="150" s="1"/>
  <c r="O37" i="152"/>
  <c r="F36" i="152"/>
  <c r="D65" i="43"/>
  <c r="D61" i="43" s="1"/>
  <c r="Z46" i="43"/>
  <c r="AA46" i="150"/>
  <c r="Z46" i="150" s="1"/>
  <c r="AG40" i="150"/>
  <c r="AF40" i="150" s="1"/>
  <c r="AF40" i="43"/>
  <c r="O39" i="153"/>
  <c r="F53" i="153"/>
  <c r="E51" i="153"/>
  <c r="T50" i="152"/>
  <c r="H51" i="152"/>
  <c r="S43" i="23"/>
  <c r="P85" i="23"/>
  <c r="N43" i="150"/>
  <c r="BP43" i="150"/>
  <c r="BO43" i="150" s="1"/>
  <c r="K14" i="26"/>
  <c r="AG11" i="20"/>
  <c r="AE43" i="4"/>
  <c r="P59" i="39"/>
  <c r="W43" i="4"/>
  <c r="BK43" i="5" s="1"/>
  <c r="BL43" i="5" s="1"/>
  <c r="P59" i="38"/>
  <c r="J39" i="35"/>
  <c r="I39" i="35" s="1"/>
  <c r="P16" i="33"/>
  <c r="J39" i="6"/>
  <c r="J39" i="34"/>
  <c r="I39" i="34" s="1"/>
  <c r="J39" i="39"/>
  <c r="J76" i="39" s="1"/>
  <c r="J39" i="38"/>
  <c r="J39" i="7"/>
  <c r="I39" i="7" s="1"/>
  <c r="M16" i="4"/>
  <c r="X14" i="153"/>
  <c r="J84" i="153"/>
  <c r="I84" i="153" s="1"/>
  <c r="C41" i="153"/>
  <c r="O11" i="22"/>
  <c r="O10" i="22" s="1"/>
  <c r="Z83" i="153"/>
  <c r="AC83" i="153"/>
  <c r="AC82" i="153"/>
  <c r="AO10" i="3"/>
  <c r="AP5" i="3" s="1"/>
  <c r="AO12" i="3"/>
  <c r="Y82" i="152"/>
  <c r="X82" i="152" s="1"/>
  <c r="X15" i="152"/>
  <c r="H17" i="151"/>
  <c r="G67" i="153"/>
  <c r="G65" i="153" s="1"/>
  <c r="K50" i="151"/>
  <c r="G67" i="152"/>
  <c r="F67" i="152" s="1"/>
  <c r="BC32" i="150"/>
  <c r="BB32" i="150"/>
  <c r="J11" i="43"/>
  <c r="D8" i="154" s="1"/>
  <c r="J47" i="150"/>
  <c r="O42" i="150"/>
  <c r="G14" i="153"/>
  <c r="G14" i="152"/>
  <c r="BJ49" i="43"/>
  <c r="M49" i="150"/>
  <c r="BN49" i="150" s="1"/>
  <c r="AK45" i="43"/>
  <c r="AQ45" i="43" s="1"/>
  <c r="AE45" i="150"/>
  <c r="AK45" i="150" s="1"/>
  <c r="S55" i="46"/>
  <c r="S55" i="45"/>
  <c r="R55" i="45" s="1"/>
  <c r="BL38" i="43"/>
  <c r="BK38" i="43" s="1"/>
  <c r="H38" i="150"/>
  <c r="G38" i="150" s="1"/>
  <c r="AF46" i="43"/>
  <c r="AG46" i="150"/>
  <c r="AF46" i="150" s="1"/>
  <c r="K24" i="151"/>
  <c r="G49" i="153"/>
  <c r="F49" i="153" s="1"/>
  <c r="G49" i="152"/>
  <c r="F49" i="152" s="1"/>
  <c r="BE53" i="36"/>
  <c r="BD53" i="36" s="1"/>
  <c r="BD51" i="36" s="1"/>
  <c r="W48" i="22"/>
  <c r="W90" i="22" s="1"/>
  <c r="Q64" i="150"/>
  <c r="Q62" i="150" s="1"/>
  <c r="E22" i="154"/>
  <c r="R69" i="26"/>
  <c r="R68" i="26" s="1"/>
  <c r="R67" i="26" s="1"/>
  <c r="E13" i="11"/>
  <c r="K25" i="14"/>
  <c r="AB68" i="153"/>
  <c r="AA68" i="153" s="1"/>
  <c r="AB68" i="152"/>
  <c r="AA68" i="152" s="1"/>
  <c r="BQ51" i="3"/>
  <c r="Y10" i="16" s="1"/>
  <c r="Y19" i="153"/>
  <c r="Y19" i="152"/>
  <c r="X19" i="152" s="1"/>
  <c r="BS67" i="3"/>
  <c r="AM17" i="86"/>
  <c r="AI8" i="88"/>
  <c r="AI9" i="88" s="1"/>
  <c r="S46" i="87"/>
  <c r="O14" i="152"/>
  <c r="Q81" i="152"/>
  <c r="T56" i="150"/>
  <c r="BE56" i="150" s="1"/>
  <c r="U94" i="150"/>
  <c r="T94" i="150" s="1"/>
  <c r="AW109" i="41"/>
  <c r="Q9" i="154" s="1"/>
  <c r="R9" i="154" s="1"/>
  <c r="H62" i="150"/>
  <c r="G62" i="150" s="1"/>
  <c r="AM60" i="43"/>
  <c r="AO60" i="43"/>
  <c r="BV48" i="150"/>
  <c r="BM48" i="150"/>
  <c r="BB48" i="150"/>
  <c r="T39" i="153"/>
  <c r="Q83" i="153"/>
  <c r="W83" i="153"/>
  <c r="L23" i="151"/>
  <c r="AG58" i="150"/>
  <c r="AF58" i="150" s="1"/>
  <c r="P19" i="153"/>
  <c r="P19" i="152"/>
  <c r="N71" i="150"/>
  <c r="K111" i="150"/>
  <c r="F50" i="152"/>
  <c r="F36" i="153"/>
  <c r="BH40" i="41"/>
  <c r="BV40" i="41"/>
  <c r="S20" i="152"/>
  <c r="G9" i="88"/>
  <c r="G157" i="88"/>
  <c r="H158" i="88"/>
  <c r="G158" i="88"/>
  <c r="G71" i="88"/>
  <c r="G7" i="88"/>
  <c r="BB34" i="88"/>
  <c r="BB33" i="88" s="1"/>
  <c r="BB31" i="88" s="1"/>
  <c r="BA34" i="88"/>
  <c r="BA33" i="88" s="1"/>
  <c r="BA31" i="88" s="1"/>
  <c r="BD34" i="88"/>
  <c r="BD33" i="88" s="1"/>
  <c r="BD31" i="88" s="1"/>
  <c r="AL50" i="44"/>
  <c r="Y68" i="45"/>
  <c r="Y68" i="46"/>
  <c r="Q91" i="153"/>
  <c r="T55" i="153"/>
  <c r="W91" i="153"/>
  <c r="N88" i="153"/>
  <c r="K88" i="153"/>
  <c r="M82" i="152"/>
  <c r="L82" i="152" s="1"/>
  <c r="L15" i="152"/>
  <c r="AF49" i="43"/>
  <c r="AG49" i="150"/>
  <c r="AF49" i="150" s="1"/>
  <c r="AR42" i="43"/>
  <c r="AJ12" i="44"/>
  <c r="V14" i="45"/>
  <c r="V14" i="46"/>
  <c r="U14" i="46" s="1"/>
  <c r="AQ41" i="150"/>
  <c r="AK11" i="150"/>
  <c r="AG38" i="150"/>
  <c r="AF38" i="150" s="1"/>
  <c r="AF38" i="43"/>
  <c r="W38" i="151"/>
  <c r="Y38" i="151" s="1"/>
  <c r="AE38" i="151"/>
  <c r="K13" i="150"/>
  <c r="AB99" i="89"/>
  <c r="BC51" i="150"/>
  <c r="AJ51" i="150"/>
  <c r="AC10" i="150"/>
  <c r="I15" i="152"/>
  <c r="BE47" i="150"/>
  <c r="T37" i="46"/>
  <c r="T37" i="45"/>
  <c r="Z42" i="150"/>
  <c r="Z40" i="43"/>
  <c r="AA40" i="150"/>
  <c r="Z40" i="150" s="1"/>
  <c r="H35" i="153"/>
  <c r="H34" i="153" s="1"/>
  <c r="F57" i="152"/>
  <c r="W15" i="151"/>
  <c r="AD15" i="151" s="1"/>
  <c r="H52" i="150"/>
  <c r="M52" i="150"/>
  <c r="O52" i="150" s="1"/>
  <c r="N52" i="150" s="1"/>
  <c r="P43" i="151"/>
  <c r="D36" i="58"/>
  <c r="W88" i="153"/>
  <c r="T50" i="153"/>
  <c r="Q88" i="153"/>
  <c r="H51" i="153"/>
  <c r="M53" i="150"/>
  <c r="O53" i="150" s="1"/>
  <c r="N53" i="150" s="1"/>
  <c r="H53" i="150"/>
  <c r="I16" i="152"/>
  <c r="U71" i="150"/>
  <c r="J31" i="153"/>
  <c r="J31" i="152"/>
  <c r="C16" i="65"/>
  <c r="P11" i="22"/>
  <c r="P10" i="22" s="1"/>
  <c r="BB35" i="150"/>
  <c r="BC35" i="150"/>
  <c r="V11" i="37"/>
  <c r="R13" i="37"/>
  <c r="H48" i="22"/>
  <c r="H90" i="22" s="1"/>
  <c r="H88" i="22"/>
  <c r="D51" i="9"/>
  <c r="D65" i="9"/>
  <c r="P84" i="6"/>
  <c r="O84" i="6" s="1"/>
  <c r="O50" i="6"/>
  <c r="AC11" i="11"/>
  <c r="X42" i="153"/>
  <c r="Y85" i="153"/>
  <c r="X85" i="153" s="1"/>
  <c r="Z81" i="152"/>
  <c r="Z80" i="152" s="1"/>
  <c r="V83" i="152"/>
  <c r="U83" i="152" s="1"/>
  <c r="U16" i="152"/>
  <c r="BB49" i="150"/>
  <c r="BC49" i="150"/>
  <c r="V82" i="153"/>
  <c r="F41" i="46"/>
  <c r="E13" i="16"/>
  <c r="E12" i="16" s="1"/>
  <c r="AC81" i="152"/>
  <c r="AC80" i="152" s="1"/>
  <c r="O20" i="4"/>
  <c r="U29" i="37"/>
  <c r="R29" i="37" s="1"/>
  <c r="Z29" i="4"/>
  <c r="R29" i="4"/>
  <c r="AB13" i="151"/>
  <c r="AI13" i="151" s="1"/>
  <c r="S21" i="16"/>
  <c r="BL68" i="3"/>
  <c r="T21" i="16" s="1"/>
  <c r="D51" i="150"/>
  <c r="C9" i="154"/>
  <c r="BL37" i="43"/>
  <c r="H37" i="150"/>
  <c r="BL49" i="43"/>
  <c r="O49" i="150"/>
  <c r="BQ32" i="48"/>
  <c r="BQ30" i="48" s="1"/>
  <c r="F56" i="45"/>
  <c r="U13" i="151"/>
  <c r="R13" i="151" s="1"/>
  <c r="M37" i="153"/>
  <c r="M37" i="152"/>
  <c r="L37" i="152" s="1"/>
  <c r="AQ60" i="41"/>
  <c r="C34" i="154"/>
  <c r="D12" i="151"/>
  <c r="P16" i="23"/>
  <c r="AQ57" i="41"/>
  <c r="AX42" i="43"/>
  <c r="AO12" i="44"/>
  <c r="Y14" i="45"/>
  <c r="Y14" i="46"/>
  <c r="D22" i="44"/>
  <c r="C47" i="154"/>
  <c r="D24" i="151"/>
  <c r="D23" i="151" s="1"/>
  <c r="AF19" i="36"/>
  <c r="AL13" i="36"/>
  <c r="AI11" i="36"/>
  <c r="BJ19" i="41"/>
  <c r="V31" i="150"/>
  <c r="T31" i="150" s="1"/>
  <c r="FC27" i="47"/>
  <c r="Z68" i="36"/>
  <c r="W68" i="36" s="1"/>
  <c r="AI68" i="36" s="1"/>
  <c r="W15" i="94"/>
  <c r="V38" i="150"/>
  <c r="T38" i="150" s="1"/>
  <c r="H57" i="35"/>
  <c r="H53" i="35" s="1"/>
  <c r="AB13" i="4"/>
  <c r="W37" i="153"/>
  <c r="W37" i="152"/>
  <c r="U37" i="152" s="1"/>
  <c r="BT49" i="3"/>
  <c r="BY19" i="3"/>
  <c r="BZ19" i="3" s="1"/>
  <c r="BU19" i="150"/>
  <c r="W72" i="7"/>
  <c r="W71" i="7" s="1"/>
  <c r="AH10" i="5"/>
  <c r="Y37" i="153"/>
  <c r="Y37" i="152"/>
  <c r="X37" i="152" s="1"/>
  <c r="BC11" i="3"/>
  <c r="M9" i="16" s="1"/>
  <c r="M8" i="16" s="1"/>
  <c r="AM51" i="1"/>
  <c r="BE19" i="3"/>
  <c r="J62" i="43"/>
  <c r="K31" i="90"/>
  <c r="H50" i="151"/>
  <c r="J50" i="151" s="1"/>
  <c r="BF100" i="88"/>
  <c r="R19" i="150"/>
  <c r="BV19" i="150"/>
  <c r="BB19" i="150"/>
  <c r="J11" i="150"/>
  <c r="BF48" i="41"/>
  <c r="BY48" i="41"/>
  <c r="BZ48" i="41" s="1"/>
  <c r="N85" i="153"/>
  <c r="L85" i="153" s="1"/>
  <c r="L42" i="153"/>
  <c r="J69" i="150"/>
  <c r="C68" i="150"/>
  <c r="C37" i="57"/>
  <c r="C36" i="67" s="1"/>
  <c r="C22" i="66"/>
  <c r="T54" i="43"/>
  <c r="U54" i="150"/>
  <c r="T54" i="150" s="1"/>
  <c r="F50" i="153"/>
  <c r="H12" i="151"/>
  <c r="C24" i="149"/>
  <c r="P15" i="151"/>
  <c r="M15" i="151" s="1"/>
  <c r="J39" i="153"/>
  <c r="J39" i="152"/>
  <c r="I39" i="152" s="1"/>
  <c r="H116" i="13"/>
  <c r="O57" i="153"/>
  <c r="P93" i="153"/>
  <c r="S20" i="153"/>
  <c r="R20" i="153" s="1"/>
  <c r="O20" i="153"/>
  <c r="H18" i="87"/>
  <c r="F17" i="87"/>
  <c r="AB78" i="89"/>
  <c r="M83" i="152"/>
  <c r="L83" i="152" s="1"/>
  <c r="L16" i="152"/>
  <c r="P81" i="152"/>
  <c r="AG23" i="86"/>
  <c r="H50" i="150"/>
  <c r="G50" i="150" s="1"/>
  <c r="D15" i="152"/>
  <c r="C15" i="152" s="1"/>
  <c r="D15" i="45"/>
  <c r="C15" i="45" s="1"/>
  <c r="G50" i="43"/>
  <c r="D16" i="150"/>
  <c r="D13" i="150" s="1"/>
  <c r="L13" i="150" s="1"/>
  <c r="H16" i="43"/>
  <c r="F56" i="152"/>
  <c r="W93" i="153"/>
  <c r="T57" i="153"/>
  <c r="Q93" i="153"/>
  <c r="P82" i="152"/>
  <c r="O82" i="152" s="1"/>
  <c r="S15" i="152"/>
  <c r="R15" i="152" s="1"/>
  <c r="O15" i="152"/>
  <c r="Z49" i="43"/>
  <c r="AA49" i="150"/>
  <c r="Z49" i="150" s="1"/>
  <c r="G44" i="150"/>
  <c r="BP44" i="150"/>
  <c r="BO44" i="150" s="1"/>
  <c r="Z37" i="46"/>
  <c r="Z82" i="46" s="1"/>
  <c r="Z37" i="45"/>
  <c r="AL42" i="43"/>
  <c r="AE12" i="44"/>
  <c r="S14" i="45"/>
  <c r="S14" i="46"/>
  <c r="R14" i="46" s="1"/>
  <c r="W13" i="151"/>
  <c r="L11" i="151"/>
  <c r="AF54" i="43"/>
  <c r="AG54" i="150"/>
  <c r="AF54" i="150" s="1"/>
  <c r="AA38" i="150"/>
  <c r="Z38" i="150" s="1"/>
  <c r="Z38" i="43"/>
  <c r="G37" i="154"/>
  <c r="AD14" i="44"/>
  <c r="P38" i="23"/>
  <c r="S38" i="23"/>
  <c r="EY20" i="51"/>
  <c r="EY21" i="51" s="1"/>
  <c r="CJ17" i="48"/>
  <c r="F17" i="138" s="1"/>
  <c r="P45" i="23"/>
  <c r="S45" i="23"/>
  <c r="S48" i="23"/>
  <c r="P90" i="23"/>
  <c r="D58" i="150"/>
  <c r="C17" i="154"/>
  <c r="H58" i="43"/>
  <c r="N40" i="150"/>
  <c r="BP40" i="150"/>
  <c r="BO40" i="150" s="1"/>
  <c r="S50" i="6"/>
  <c r="V57" i="153"/>
  <c r="V57" i="152"/>
  <c r="U57" i="152" s="1"/>
  <c r="AJ31" i="4"/>
  <c r="V50" i="39"/>
  <c r="V50" i="38"/>
  <c r="U50" i="38" s="1"/>
  <c r="AB31" i="4"/>
  <c r="F90" i="22"/>
  <c r="F11" i="22"/>
  <c r="F10" i="22" s="1"/>
  <c r="C39" i="154"/>
  <c r="D17" i="151"/>
  <c r="O17" i="151" s="1"/>
  <c r="O16" i="44"/>
  <c r="BK66" i="41"/>
  <c r="BL66" i="41" s="1"/>
  <c r="AG64" i="1"/>
  <c r="BK64" i="3"/>
  <c r="BL64" i="3" s="1"/>
  <c r="Q36" i="6"/>
  <c r="Q34" i="6" s="1"/>
  <c r="Q36" i="39"/>
  <c r="Q34" i="39" s="1"/>
  <c r="Q36" i="38"/>
  <c r="Q34" i="38" s="1"/>
  <c r="G22" i="19"/>
  <c r="AA11" i="4"/>
  <c r="Q36" i="7"/>
  <c r="Q34" i="7" s="1"/>
  <c r="BB31" i="150"/>
  <c r="BC31" i="150"/>
  <c r="AA42" i="152"/>
  <c r="X30" i="153"/>
  <c r="Y83" i="152"/>
  <c r="X83" i="152" s="1"/>
  <c r="X16" i="152"/>
  <c r="F41" i="152"/>
  <c r="AX12" i="3"/>
  <c r="AX10" i="3"/>
  <c r="AX70" i="3" s="1"/>
  <c r="H9" i="16"/>
  <c r="H8" i="16" s="1"/>
  <c r="L39" i="6"/>
  <c r="M76" i="6"/>
  <c r="L76" i="6" s="1"/>
  <c r="F11" i="31"/>
  <c r="F12" i="1"/>
  <c r="F12" i="31" s="1"/>
  <c r="P41" i="26"/>
  <c r="Q41" i="26" s="1"/>
  <c r="R41" i="26" s="1"/>
  <c r="R38" i="26" s="1"/>
  <c r="P36" i="26"/>
  <c r="Q36" i="26" s="1"/>
  <c r="R36" i="26" s="1"/>
  <c r="P54" i="26"/>
  <c r="P45" i="26"/>
  <c r="Q45" i="26" s="1"/>
  <c r="R45" i="26" s="1"/>
  <c r="L15" i="9"/>
  <c r="L13" i="9" s="1"/>
  <c r="X18" i="9"/>
  <c r="X15" i="9" s="1"/>
  <c r="K17" i="4"/>
  <c r="H20" i="4"/>
  <c r="AN15" i="151"/>
  <c r="V81" i="152"/>
  <c r="U14" i="152"/>
  <c r="U19" i="152"/>
  <c r="AA19" i="152"/>
  <c r="Z22" i="37"/>
  <c r="W22" i="4"/>
  <c r="BJ41" i="43"/>
  <c r="M41" i="150"/>
  <c r="BM51" i="43"/>
  <c r="P51" i="150"/>
  <c r="BQ51" i="150" s="1"/>
  <c r="R14" i="44"/>
  <c r="U15" i="151"/>
  <c r="R15" i="151" s="1"/>
  <c r="M39" i="153"/>
  <c r="M39" i="152"/>
  <c r="L39" i="152" s="1"/>
  <c r="I73" i="23"/>
  <c r="BS30" i="41"/>
  <c r="BL48" i="43"/>
  <c r="BK48" i="43" s="1"/>
  <c r="AL36" i="44"/>
  <c r="AN36" i="44" s="1"/>
  <c r="Y57" i="46"/>
  <c r="Y57" i="45"/>
  <c r="C51" i="13"/>
  <c r="P47" i="151"/>
  <c r="M47" i="151" s="1"/>
  <c r="M45" i="151" s="1"/>
  <c r="J64" i="153"/>
  <c r="I64" i="153" s="1"/>
  <c r="J64" i="152"/>
  <c r="I64" i="152" s="1"/>
  <c r="H20" i="37"/>
  <c r="H17" i="37" s="1"/>
  <c r="F11" i="47"/>
  <c r="H12" i="27"/>
  <c r="P13" i="24"/>
  <c r="P10" i="24" s="1"/>
  <c r="E13" i="23"/>
  <c r="P44" i="151"/>
  <c r="M44" i="151" s="1"/>
  <c r="J61" i="153"/>
  <c r="I61" i="153" s="1"/>
  <c r="J61" i="152"/>
  <c r="I61" i="152" s="1"/>
  <c r="X59" i="9"/>
  <c r="N98" i="1"/>
  <c r="BT54" i="3"/>
  <c r="H11" i="25"/>
  <c r="E25" i="8"/>
  <c r="C25" i="8" s="1"/>
  <c r="C32" i="8"/>
  <c r="AB39" i="153"/>
  <c r="AB39" i="152"/>
  <c r="AT14" i="37"/>
  <c r="AQ14" i="37" s="1"/>
  <c r="AN14" i="44"/>
  <c r="F67" i="153"/>
  <c r="R30" i="97"/>
  <c r="C40" i="154"/>
  <c r="C41" i="154" s="1"/>
  <c r="D18" i="151"/>
  <c r="J17" i="44"/>
  <c r="O17" i="44"/>
  <c r="BB50" i="150"/>
  <c r="BC50" i="150"/>
  <c r="T42" i="152"/>
  <c r="R42" i="152" s="1"/>
  <c r="O42" i="152"/>
  <c r="AA58" i="150"/>
  <c r="Z58" i="150" s="1"/>
  <c r="M19" i="153"/>
  <c r="L19" i="153" s="1"/>
  <c r="M19" i="152"/>
  <c r="L19" i="152" s="1"/>
  <c r="O69" i="43"/>
  <c r="J130" i="43"/>
  <c r="J51" i="150"/>
  <c r="BB51" i="150" s="1"/>
  <c r="D9" i="154"/>
  <c r="M9" i="154" s="1"/>
  <c r="K51" i="43"/>
  <c r="R51" i="43"/>
  <c r="BC58" i="150"/>
  <c r="H25" i="151"/>
  <c r="J25" i="151" s="1"/>
  <c r="H18" i="154"/>
  <c r="BB40" i="150"/>
  <c r="BC40" i="150"/>
  <c r="L33" i="139"/>
  <c r="X33" i="139" s="1"/>
  <c r="AC33" i="139" s="1"/>
  <c r="W33" i="139"/>
  <c r="AB33" i="139" s="1"/>
  <c r="R29" i="86"/>
  <c r="R28" i="86" s="1"/>
  <c r="R9" i="86" s="1"/>
  <c r="Q28" i="86"/>
  <c r="Q9" i="86" s="1"/>
  <c r="FR16" i="51"/>
  <c r="FW17" i="51"/>
  <c r="FW16" i="51" s="1"/>
  <c r="G49" i="43"/>
  <c r="H49" i="150"/>
  <c r="G49" i="150" s="1"/>
  <c r="O14" i="153"/>
  <c r="O55" i="152"/>
  <c r="C36" i="152"/>
  <c r="S96" i="88"/>
  <c r="S93" i="88"/>
  <c r="S94" i="88"/>
  <c r="S91" i="88"/>
  <c r="AF53" i="43"/>
  <c r="AG53" i="150"/>
  <c r="AF53" i="150" s="1"/>
  <c r="O15" i="153"/>
  <c r="S15" i="153"/>
  <c r="R15" i="153" s="1"/>
  <c r="P83" i="152"/>
  <c r="O83" i="152" s="1"/>
  <c r="S16" i="152"/>
  <c r="R16" i="152" s="1"/>
  <c r="O16" i="152"/>
  <c r="L14" i="152"/>
  <c r="AE11" i="150"/>
  <c r="H21" i="43"/>
  <c r="BI21" i="43"/>
  <c r="V76" i="88"/>
  <c r="H37" i="151"/>
  <c r="J37" i="151" s="1"/>
  <c r="C65" i="150"/>
  <c r="BE44" i="150"/>
  <c r="P42" i="150"/>
  <c r="BQ42" i="150" s="1"/>
  <c r="H14" i="153"/>
  <c r="H14" i="152"/>
  <c r="H81" i="152" s="1"/>
  <c r="H14" i="45"/>
  <c r="H81" i="45" s="1"/>
  <c r="H14" i="46"/>
  <c r="O39" i="152"/>
  <c r="AS46" i="150"/>
  <c r="AR46" i="150" s="1"/>
  <c r="AW46" i="150"/>
  <c r="AY46" i="150" s="1"/>
  <c r="AX46" i="150" s="1"/>
  <c r="E20" i="154"/>
  <c r="N38" i="150"/>
  <c r="O50" i="39"/>
  <c r="P84" i="39"/>
  <c r="O84" i="39" s="1"/>
  <c r="W81" i="152"/>
  <c r="AA33" i="37"/>
  <c r="AU33" i="37" s="1"/>
  <c r="Q49" i="38"/>
  <c r="T49" i="38" s="1"/>
  <c r="Q49" i="39"/>
  <c r="Q49" i="6"/>
  <c r="Q83" i="6" s="1"/>
  <c r="Q49" i="7"/>
  <c r="BB38" i="150"/>
  <c r="BC38" i="150"/>
  <c r="U42" i="153"/>
  <c r="V85" i="153"/>
  <c r="U85" i="153" s="1"/>
  <c r="U55" i="153"/>
  <c r="V91" i="153"/>
  <c r="U48" i="39"/>
  <c r="V82" i="39"/>
  <c r="Z12" i="20"/>
  <c r="Z24" i="20"/>
  <c r="Z10" i="20"/>
  <c r="Z17" i="20"/>
  <c r="Z14" i="20"/>
  <c r="Z21" i="20"/>
  <c r="Z19" i="20"/>
  <c r="H27" i="19"/>
  <c r="H26" i="19" s="1"/>
  <c r="G26" i="19"/>
  <c r="AA16" i="152"/>
  <c r="AB83" i="152"/>
  <c r="AA83" i="152" s="1"/>
  <c r="X14" i="152"/>
  <c r="Y81" i="152"/>
  <c r="X39" i="153"/>
  <c r="Y83" i="153"/>
  <c r="AB85" i="153"/>
  <c r="AA85" i="153" s="1"/>
  <c r="AA42" i="153"/>
  <c r="U39" i="153"/>
  <c r="V83" i="153"/>
  <c r="U83" i="153" s="1"/>
  <c r="F41" i="153"/>
  <c r="H44" i="37"/>
  <c r="K42" i="37"/>
  <c r="F32" i="16"/>
  <c r="AV12" i="5"/>
  <c r="AV11" i="5" s="1"/>
  <c r="I11" i="11"/>
  <c r="I12" i="11"/>
  <c r="I14" i="11"/>
  <c r="I26" i="16"/>
  <c r="I24" i="16" s="1"/>
  <c r="I23" i="16" s="1"/>
  <c r="AY10" i="5"/>
  <c r="AY9" i="5" s="1"/>
  <c r="AA15" i="152"/>
  <c r="AB82" i="152"/>
  <c r="AA82" i="152" s="1"/>
  <c r="U15" i="152"/>
  <c r="V82" i="152"/>
  <c r="U82" i="152" s="1"/>
  <c r="U14" i="153"/>
  <c r="U19" i="153"/>
  <c r="BA16" i="3"/>
  <c r="BE16" i="3" s="1"/>
  <c r="BF16" i="1"/>
  <c r="H16" i="1"/>
  <c r="BD13" i="41"/>
  <c r="AA19" i="150"/>
  <c r="BF22" i="41"/>
  <c r="BE23" i="150"/>
  <c r="O36" i="150"/>
  <c r="N36" i="43"/>
  <c r="O30" i="43"/>
  <c r="BL36" i="43"/>
  <c r="H36" i="150"/>
  <c r="G36" i="150" s="1"/>
  <c r="AF36" i="43"/>
  <c r="AG36" i="150"/>
  <c r="AF36" i="150" s="1"/>
  <c r="Z36" i="43"/>
  <c r="AA36" i="150"/>
  <c r="Z36" i="150" s="1"/>
  <c r="F29" i="7"/>
  <c r="F27" i="7" s="1"/>
  <c r="Y8" i="97"/>
  <c r="Y7" i="97" s="1"/>
  <c r="AE49" i="95"/>
  <c r="AF49" i="95"/>
  <c r="R49" i="95"/>
  <c r="AQ29" i="87"/>
  <c r="Z28" i="95"/>
  <c r="Z7" i="95"/>
  <c r="C24" i="142"/>
  <c r="C23" i="142" s="1"/>
  <c r="C53" i="139"/>
  <c r="AB9" i="87"/>
  <c r="O28" i="100"/>
  <c r="R28" i="100" s="1"/>
  <c r="P23" i="100"/>
  <c r="P22" i="100" s="1"/>
  <c r="P21" i="100" s="1"/>
  <c r="S28" i="100"/>
  <c r="S23" i="100" s="1"/>
  <c r="S22" i="100" s="1"/>
  <c r="S21" i="100" s="1"/>
  <c r="D45" i="141"/>
  <c r="AQ140" i="88"/>
  <c r="AQ106" i="88"/>
  <c r="BA20" i="87"/>
  <c r="AD41" i="95"/>
  <c r="R41" i="95"/>
  <c r="Q41" i="95"/>
  <c r="AC41" i="95"/>
  <c r="N37" i="140"/>
  <c r="AT20" i="89"/>
  <c r="AQ112" i="88"/>
  <c r="AQ152" i="88"/>
  <c r="AD40" i="95"/>
  <c r="AQ20" i="87"/>
  <c r="AZ158" i="88"/>
  <c r="AZ7" i="88"/>
  <c r="Q49" i="95"/>
  <c r="AQ146" i="88"/>
  <c r="M12" i="87"/>
  <c r="W12" i="87"/>
  <c r="R12" i="87"/>
  <c r="AQ155" i="88"/>
  <c r="AB8" i="86"/>
  <c r="AB60" i="86" s="1"/>
  <c r="R25" i="97"/>
  <c r="AG11" i="86"/>
  <c r="AM11" i="86"/>
  <c r="R28" i="87"/>
  <c r="R6" i="99"/>
  <c r="R54" i="95"/>
  <c r="Q54" i="95"/>
  <c r="AW37" i="86"/>
  <c r="AW9" i="86" s="1"/>
  <c r="L68" i="152"/>
  <c r="S68" i="152"/>
  <c r="R68" i="152" s="1"/>
  <c r="L42" i="151"/>
  <c r="H62" i="153"/>
  <c r="S68" i="153"/>
  <c r="R68" i="153" s="1"/>
  <c r="L68" i="153"/>
  <c r="G32" i="153"/>
  <c r="F32" i="153" s="1"/>
  <c r="O72" i="150"/>
  <c r="N72" i="150" s="1"/>
  <c r="H21" i="46"/>
  <c r="H18" i="46" s="1"/>
  <c r="G69" i="46" s="1"/>
  <c r="F69" i="46" s="1"/>
  <c r="C20" i="154"/>
  <c r="P99" i="13"/>
  <c r="C99" i="13" s="1"/>
  <c r="P84" i="13"/>
  <c r="C84" i="13" s="1"/>
  <c r="Y99" i="60"/>
  <c r="Y97" i="60" s="1"/>
  <c r="C169" i="13"/>
  <c r="C168" i="13" s="1"/>
  <c r="C21" i="60"/>
  <c r="C72" i="60"/>
  <c r="C64" i="60"/>
  <c r="C23" i="60"/>
  <c r="C56" i="60"/>
  <c r="AI44" i="60"/>
  <c r="C54" i="60"/>
  <c r="C57" i="60"/>
  <c r="AH45" i="60"/>
  <c r="P45" i="60"/>
  <c r="S59" i="60"/>
  <c r="C32" i="60"/>
  <c r="D32" i="58"/>
  <c r="D42" i="68" s="1"/>
  <c r="J56" i="46"/>
  <c r="J92" i="46" s="1"/>
  <c r="C30" i="60"/>
  <c r="C76" i="60"/>
  <c r="U89" i="13"/>
  <c r="U80" i="13" s="1"/>
  <c r="U11" i="13" s="1"/>
  <c r="U10" i="13" s="1"/>
  <c r="U193" i="13" s="1"/>
  <c r="R44" i="60"/>
  <c r="AC111" i="13"/>
  <c r="AQ113" i="13" s="1"/>
  <c r="AB206" i="13"/>
  <c r="F8" i="90"/>
  <c r="K9" i="90"/>
  <c r="AS9" i="87"/>
  <c r="AX10" i="87"/>
  <c r="BJ12" i="51"/>
  <c r="F9" i="87"/>
  <c r="H9" i="87" s="1"/>
  <c r="E52" i="90"/>
  <c r="E8" i="90"/>
  <c r="E51" i="90"/>
  <c r="AQ19" i="87"/>
  <c r="O28" i="86"/>
  <c r="N71" i="86"/>
  <c r="N84" i="86" s="1"/>
  <c r="N9" i="86"/>
  <c r="I34" i="70"/>
  <c r="N13" i="24"/>
  <c r="N10" i="24" s="1"/>
  <c r="H37" i="62"/>
  <c r="K7" i="92"/>
  <c r="AE9" i="87"/>
  <c r="AG9" i="87" s="1"/>
  <c r="AL11" i="87"/>
  <c r="Y8" i="96"/>
  <c r="Y60" i="96" s="1"/>
  <c r="Y10" i="96"/>
  <c r="BC73" i="88"/>
  <c r="BD72" i="88"/>
  <c r="C24" i="141"/>
  <c r="C37" i="62"/>
  <c r="AJ102" i="89"/>
  <c r="AN102" i="89" s="1"/>
  <c r="K9" i="87"/>
  <c r="M11" i="87"/>
  <c r="T28" i="7"/>
  <c r="AW168" i="88"/>
  <c r="AD7" i="87"/>
  <c r="AQ159" i="88"/>
  <c r="AQ75" i="88"/>
  <c r="AQ77" i="88" s="1"/>
  <c r="I9" i="140"/>
  <c r="AD34" i="86"/>
  <c r="AD9" i="86" s="1"/>
  <c r="AO28" i="87"/>
  <c r="AQ28" i="87" s="1"/>
  <c r="AX25" i="87"/>
  <c r="AO25" i="87"/>
  <c r="AQ25" i="87" s="1"/>
  <c r="AQ96" i="88"/>
  <c r="AQ93" i="88"/>
  <c r="AW123" i="88"/>
  <c r="BF80" i="88"/>
  <c r="G15" i="30"/>
  <c r="F15" i="30" s="1"/>
  <c r="F9" i="30" s="1"/>
  <c r="C46" i="142"/>
  <c r="Y14" i="100"/>
  <c r="AG20" i="87"/>
  <c r="AB20" i="87"/>
  <c r="X24" i="86"/>
  <c r="X23" i="86" s="1"/>
  <c r="W23" i="86"/>
  <c r="E28" i="139"/>
  <c r="F27" i="34"/>
  <c r="T8" i="97"/>
  <c r="T7" i="97" s="1"/>
  <c r="W19" i="87"/>
  <c r="AB19" i="87"/>
  <c r="M8" i="90"/>
  <c r="J57" i="152"/>
  <c r="P37" i="151"/>
  <c r="M37" i="151" s="1"/>
  <c r="J57" i="153"/>
  <c r="J90" i="153"/>
  <c r="S44" i="60"/>
  <c r="S55" i="153"/>
  <c r="R55" i="153" s="1"/>
  <c r="I55" i="153"/>
  <c r="J91" i="153"/>
  <c r="I91" i="153" s="1"/>
  <c r="M91" i="153"/>
  <c r="L91" i="153" s="1"/>
  <c r="M59" i="151"/>
  <c r="AR53" i="151"/>
  <c r="C17" i="60"/>
  <c r="C37" i="60"/>
  <c r="C50" i="65"/>
  <c r="P39" i="151"/>
  <c r="J56" i="152"/>
  <c r="J56" i="153"/>
  <c r="I55" i="152"/>
  <c r="S55" i="152"/>
  <c r="R55" i="152" s="1"/>
  <c r="S72" i="153"/>
  <c r="R72" i="153" s="1"/>
  <c r="I72" i="153"/>
  <c r="C45" i="54"/>
  <c r="C45" i="66" s="1"/>
  <c r="E53" i="154"/>
  <c r="AR38" i="151"/>
  <c r="O38" i="151"/>
  <c r="T38" i="151"/>
  <c r="I72" i="152"/>
  <c r="S72" i="152"/>
  <c r="R72" i="152" s="1"/>
  <c r="C24" i="60"/>
  <c r="M58" i="44"/>
  <c r="E68" i="154"/>
  <c r="BE24" i="150"/>
  <c r="AD11" i="60"/>
  <c r="AD10" i="60" s="1"/>
  <c r="F42" i="45"/>
  <c r="S66" i="152"/>
  <c r="R66" i="152" s="1"/>
  <c r="O66" i="152"/>
  <c r="R49" i="151"/>
  <c r="O66" i="153"/>
  <c r="S66" i="153"/>
  <c r="R66" i="153" s="1"/>
  <c r="L66" i="152"/>
  <c r="G65" i="152"/>
  <c r="F66" i="152"/>
  <c r="W49" i="151"/>
  <c r="AE49" i="151"/>
  <c r="L66" i="153"/>
  <c r="J49" i="44"/>
  <c r="D65" i="154"/>
  <c r="H49" i="151"/>
  <c r="K48" i="151"/>
  <c r="M64" i="154"/>
  <c r="F66" i="153"/>
  <c r="F65" i="153" s="1"/>
  <c r="H65" i="153"/>
  <c r="L48" i="151"/>
  <c r="L40" i="44"/>
  <c r="H59" i="153"/>
  <c r="H59" i="152"/>
  <c r="H58" i="152" s="1"/>
  <c r="H59" i="45"/>
  <c r="H69" i="150"/>
  <c r="G69" i="43"/>
  <c r="G68" i="43" s="1"/>
  <c r="AA69" i="43"/>
  <c r="W69" i="150"/>
  <c r="Q66" i="150"/>
  <c r="Q65" i="150" s="1"/>
  <c r="E24" i="154"/>
  <c r="U68" i="150"/>
  <c r="H67" i="150"/>
  <c r="G67" i="150" s="1"/>
  <c r="D27" i="45"/>
  <c r="C27" i="45" s="1"/>
  <c r="D27" i="46"/>
  <c r="C27" i="46" s="1"/>
  <c r="G67" i="43"/>
  <c r="J66" i="150"/>
  <c r="D24" i="154"/>
  <c r="C60" i="154"/>
  <c r="H66" i="150"/>
  <c r="D26" i="45"/>
  <c r="D26" i="46"/>
  <c r="T63" i="150"/>
  <c r="D62" i="150"/>
  <c r="O63" i="43"/>
  <c r="O63" i="150" s="1"/>
  <c r="D21" i="154"/>
  <c r="J63" i="150"/>
  <c r="R43" i="151"/>
  <c r="O64" i="43"/>
  <c r="O64" i="150" s="1"/>
  <c r="N64" i="150" s="1"/>
  <c r="J64" i="150"/>
  <c r="D22" i="154"/>
  <c r="T35" i="43"/>
  <c r="U35" i="150"/>
  <c r="T35" i="150" s="1"/>
  <c r="BE35" i="150" s="1"/>
  <c r="BQ31" i="150"/>
  <c r="BQ30" i="150" s="1"/>
  <c r="P30" i="150"/>
  <c r="N33" i="150"/>
  <c r="BP33" i="150"/>
  <c r="BO33" i="150" s="1"/>
  <c r="T33" i="43"/>
  <c r="U33" i="150"/>
  <c r="T33" i="150" s="1"/>
  <c r="BE33" i="150" s="1"/>
  <c r="Z32" i="43"/>
  <c r="Z30" i="43" s="1"/>
  <c r="AA32" i="150"/>
  <c r="Z32" i="150" s="1"/>
  <c r="Z31" i="150"/>
  <c r="N31" i="43"/>
  <c r="O31" i="150"/>
  <c r="AF31" i="43"/>
  <c r="AG31" i="150"/>
  <c r="BL31" i="43"/>
  <c r="BK31" i="43" s="1"/>
  <c r="H31" i="150"/>
  <c r="G31" i="150" s="1"/>
  <c r="BL32" i="43"/>
  <c r="BK32" i="43" s="1"/>
  <c r="O32" i="150"/>
  <c r="G32" i="43"/>
  <c r="H32" i="150"/>
  <c r="G32" i="150" s="1"/>
  <c r="BP35" i="150"/>
  <c r="BO35" i="150" s="1"/>
  <c r="AF32" i="43"/>
  <c r="AG32" i="150"/>
  <c r="AF32" i="150" s="1"/>
  <c r="N34" i="150"/>
  <c r="BP34" i="150"/>
  <c r="BO34" i="150" s="1"/>
  <c r="I30" i="150"/>
  <c r="I11" i="150" s="1"/>
  <c r="G26" i="150"/>
  <c r="G25" i="150" s="1"/>
  <c r="H25" i="150"/>
  <c r="N29" i="150"/>
  <c r="BP29" i="150"/>
  <c r="BO29" i="150" s="1"/>
  <c r="BO26" i="150"/>
  <c r="AF25" i="150"/>
  <c r="D25" i="150"/>
  <c r="L25" i="150" s="1"/>
  <c r="N25" i="150"/>
  <c r="AG25" i="150"/>
  <c r="BM25" i="150"/>
  <c r="BE28" i="150"/>
  <c r="Z26" i="150"/>
  <c r="Z25" i="150" s="1"/>
  <c r="AA25" i="150"/>
  <c r="G25" i="43"/>
  <c r="BE29" i="150"/>
  <c r="T26" i="150"/>
  <c r="T25" i="150" s="1"/>
  <c r="U25" i="150"/>
  <c r="AG19" i="150"/>
  <c r="AF20" i="150"/>
  <c r="N24" i="150"/>
  <c r="N19" i="150" s="1"/>
  <c r="BP24" i="150"/>
  <c r="BO24" i="150" s="1"/>
  <c r="BE21" i="150"/>
  <c r="BE22" i="150"/>
  <c r="BL20" i="43"/>
  <c r="BK20" i="43" s="1"/>
  <c r="H20" i="150"/>
  <c r="BM20" i="150"/>
  <c r="BM19" i="150" s="1"/>
  <c r="G23" i="43"/>
  <c r="H23" i="150"/>
  <c r="U19" i="150"/>
  <c r="T20" i="150"/>
  <c r="T19" i="150" s="1"/>
  <c r="Z19" i="150"/>
  <c r="T15" i="43"/>
  <c r="U15" i="150"/>
  <c r="T15" i="150" s="1"/>
  <c r="BE15" i="150" s="1"/>
  <c r="U13" i="43"/>
  <c r="V10" i="94" s="1"/>
  <c r="U10" i="94" s="1"/>
  <c r="U14" i="150"/>
  <c r="Z14" i="150"/>
  <c r="AA13" i="150"/>
  <c r="N17" i="150"/>
  <c r="BP17" i="150"/>
  <c r="BO17" i="150" s="1"/>
  <c r="BM17" i="150" s="1"/>
  <c r="BE15" i="41"/>
  <c r="AG13" i="150"/>
  <c r="N15" i="150"/>
  <c r="BP15" i="150"/>
  <c r="BO15" i="150" s="1"/>
  <c r="BM15" i="150" s="1"/>
  <c r="AF13" i="150"/>
  <c r="BE16" i="150"/>
  <c r="O13" i="150"/>
  <c r="G14" i="150"/>
  <c r="BP14" i="150"/>
  <c r="E49" i="100"/>
  <c r="E47" i="100"/>
  <c r="E6" i="100"/>
  <c r="E7" i="100" s="1"/>
  <c r="H56" i="100"/>
  <c r="E45" i="141"/>
  <c r="T30" i="140"/>
  <c r="W30" i="140" s="1"/>
  <c r="BN34" i="86"/>
  <c r="AK78" i="89"/>
  <c r="D9" i="94"/>
  <c r="D7" i="94"/>
  <c r="AS26" i="87"/>
  <c r="AJ26" i="87"/>
  <c r="AL26" i="87" s="1"/>
  <c r="U9" i="95"/>
  <c r="U7" i="95"/>
  <c r="U37" i="95" s="1"/>
  <c r="H22" i="98"/>
  <c r="AB25" i="87"/>
  <c r="AJ84" i="89"/>
  <c r="AN84" i="89" s="1"/>
  <c r="AK84" i="89"/>
  <c r="R17" i="87"/>
  <c r="AB29" i="87"/>
  <c r="AJ18" i="87"/>
  <c r="AL18" i="87" s="1"/>
  <c r="AS18" i="87"/>
  <c r="AQ115" i="88"/>
  <c r="AQ124" i="88"/>
  <c r="AQ118" i="88"/>
  <c r="AQ121" i="88"/>
  <c r="AQ127" i="88"/>
  <c r="AQ143" i="88"/>
  <c r="AF32" i="92"/>
  <c r="AF31" i="92" s="1"/>
  <c r="AG33" i="92"/>
  <c r="O22" i="140"/>
  <c r="S11" i="140"/>
  <c r="O14" i="140"/>
  <c r="K14" i="140" s="1"/>
  <c r="BF8" i="88"/>
  <c r="H9" i="98"/>
  <c r="J9" i="98" s="1"/>
  <c r="AB58" i="139"/>
  <c r="H17" i="140"/>
  <c r="AS25" i="48"/>
  <c r="K24" i="140"/>
  <c r="P24" i="140" s="1"/>
  <c r="U24" i="140" s="1"/>
  <c r="F11" i="140"/>
  <c r="AQ32" i="48"/>
  <c r="AQ46" i="48" s="1"/>
  <c r="C22" i="100"/>
  <c r="C21" i="100" s="1"/>
  <c r="AR91" i="88"/>
  <c r="AR99" i="88" s="1"/>
  <c r="BB43" i="86"/>
  <c r="F22" i="100"/>
  <c r="F21" i="100" s="1"/>
  <c r="C23" i="141"/>
  <c r="AG10" i="89"/>
  <c r="AG8" i="89" s="1"/>
  <c r="X48" i="87"/>
  <c r="X52" i="87" s="1"/>
  <c r="X54" i="87" s="1"/>
  <c r="E23" i="139"/>
  <c r="M37" i="92"/>
  <c r="M38" i="92" s="1"/>
  <c r="M7" i="92"/>
  <c r="AJ30" i="86"/>
  <c r="AJ28" i="86" s="1"/>
  <c r="AJ9" i="86" s="1"/>
  <c r="AI28" i="86"/>
  <c r="AI9" i="86" s="1"/>
  <c r="AI8" i="86" s="1"/>
  <c r="AK71" i="86" s="1"/>
  <c r="AT28" i="87"/>
  <c r="E20" i="45"/>
  <c r="E20" i="152"/>
  <c r="AC25" i="48"/>
  <c r="AC67" i="48"/>
  <c r="C14" i="141"/>
  <c r="C5" i="141" s="1"/>
  <c r="N8" i="140"/>
  <c r="C35" i="140"/>
  <c r="K9" i="97"/>
  <c r="R9" i="97" s="1"/>
  <c r="AW108" i="88"/>
  <c r="H6" i="100"/>
  <c r="H7" i="100" s="1"/>
  <c r="H49" i="100"/>
  <c r="H47" i="100"/>
  <c r="V9" i="95"/>
  <c r="V7" i="95"/>
  <c r="V37" i="95" s="1"/>
  <c r="P31" i="90"/>
  <c r="J21" i="90"/>
  <c r="P21" i="90" s="1"/>
  <c r="X28" i="96"/>
  <c r="AF8" i="89"/>
  <c r="AF104" i="89"/>
  <c r="AF154" i="89"/>
  <c r="AW148" i="88"/>
  <c r="W27" i="38"/>
  <c r="BJ13" i="48"/>
  <c r="C5" i="100"/>
  <c r="AH129" i="89"/>
  <c r="AH123" i="89"/>
  <c r="AH126" i="89"/>
  <c r="AT27" i="87"/>
  <c r="AV27" i="87" s="1"/>
  <c r="BB27" i="87"/>
  <c r="AY27" i="87" s="1"/>
  <c r="L55" i="139"/>
  <c r="N35" i="140"/>
  <c r="C13" i="48"/>
  <c r="L23" i="100"/>
  <c r="L22" i="100" s="1"/>
  <c r="L21" i="100" s="1"/>
  <c r="AW98" i="88"/>
  <c r="S15" i="99"/>
  <c r="P13" i="99"/>
  <c r="N13" i="99"/>
  <c r="L15" i="99"/>
  <c r="S39" i="139"/>
  <c r="O12" i="99"/>
  <c r="R12" i="99" s="1"/>
  <c r="Q28" i="38"/>
  <c r="Q27" i="38" s="1"/>
  <c r="T27" i="38" s="1"/>
  <c r="E17" i="48"/>
  <c r="D5" i="141"/>
  <c r="AW142" i="88"/>
  <c r="M9" i="95"/>
  <c r="M7" i="95"/>
  <c r="M37" i="95" s="1"/>
  <c r="L49" i="90"/>
  <c r="L50" i="90" s="1"/>
  <c r="L57" i="90"/>
  <c r="W28" i="87"/>
  <c r="AB28" i="87"/>
  <c r="O46" i="87"/>
  <c r="K46" i="87" s="1"/>
  <c r="K44" i="87" s="1"/>
  <c r="O8" i="87"/>
  <c r="O7" i="87" s="1"/>
  <c r="AI109" i="89"/>
  <c r="AY108" i="89"/>
  <c r="X7" i="87"/>
  <c r="X56" i="87"/>
  <c r="AG17" i="86"/>
  <c r="AF32" i="99"/>
  <c r="AF33" i="99" s="1"/>
  <c r="AF36" i="99" s="1"/>
  <c r="AF37" i="99" s="1"/>
  <c r="Q57" i="99"/>
  <c r="Q58" i="99" s="1"/>
  <c r="Q59" i="99" s="1"/>
  <c r="Q60" i="99" s="1"/>
  <c r="Q15" i="99"/>
  <c r="O16" i="99"/>
  <c r="R16" i="99" s="1"/>
  <c r="AF79" i="89"/>
  <c r="AF97" i="89"/>
  <c r="AF85" i="89"/>
  <c r="AF82" i="89"/>
  <c r="AF66" i="89"/>
  <c r="AF91" i="89"/>
  <c r="AF100" i="89"/>
  <c r="AF94" i="89"/>
  <c r="AF62" i="89"/>
  <c r="AF103" i="89"/>
  <c r="AF72" i="89"/>
  <c r="AF75" i="89"/>
  <c r="AF88" i="89"/>
  <c r="AF69" i="89"/>
  <c r="N27" i="38"/>
  <c r="H21" i="98"/>
  <c r="T7" i="95"/>
  <c r="T37" i="95" s="1"/>
  <c r="T9" i="95"/>
  <c r="D21" i="98"/>
  <c r="D48" i="98" s="1"/>
  <c r="G57" i="90"/>
  <c r="G49" i="90"/>
  <c r="G50" i="90" s="1"/>
  <c r="AF8" i="86"/>
  <c r="AF60" i="86" s="1"/>
  <c r="AF10" i="86"/>
  <c r="AG10" i="86" s="1"/>
  <c r="L52" i="90"/>
  <c r="Z10" i="96"/>
  <c r="Z8" i="96"/>
  <c r="Z60" i="96" s="1"/>
  <c r="C31" i="153"/>
  <c r="E8" i="153"/>
  <c r="E10" i="153"/>
  <c r="AF112" i="89"/>
  <c r="AR143" i="88"/>
  <c r="AR109" i="88"/>
  <c r="AR124" i="88"/>
  <c r="AR127" i="88"/>
  <c r="AR121" i="88"/>
  <c r="AR137" i="88"/>
  <c r="AR106" i="88"/>
  <c r="AR112" i="88"/>
  <c r="AR102" i="88"/>
  <c r="AR118" i="88"/>
  <c r="AR155" i="88"/>
  <c r="AR146" i="88"/>
  <c r="AL49" i="88"/>
  <c r="AV49" i="88"/>
  <c r="AX15" i="87"/>
  <c r="AO15" i="87"/>
  <c r="AQ15" i="87" s="1"/>
  <c r="AR149" i="88"/>
  <c r="AR75" i="88"/>
  <c r="AR159" i="88"/>
  <c r="AR160" i="88"/>
  <c r="AR67" i="88"/>
  <c r="BJ35" i="88"/>
  <c r="BG35" i="88"/>
  <c r="BH35" i="88"/>
  <c r="I18" i="140"/>
  <c r="N18" i="140" s="1"/>
  <c r="E30" i="45"/>
  <c r="E28" i="45" s="1"/>
  <c r="E30" i="152"/>
  <c r="AB25" i="139"/>
  <c r="AA28" i="86"/>
  <c r="N37" i="62"/>
  <c r="E37" i="62" s="1"/>
  <c r="C40" i="75"/>
  <c r="C40" i="72" s="1"/>
  <c r="AV43" i="86"/>
  <c r="C29" i="153"/>
  <c r="C28" i="153" s="1"/>
  <c r="D28" i="153"/>
  <c r="C29" i="152"/>
  <c r="D28" i="152"/>
  <c r="N64" i="43"/>
  <c r="C23" i="45"/>
  <c r="C22" i="45" s="1"/>
  <c r="D22" i="45"/>
  <c r="J23" i="153"/>
  <c r="J23" i="152"/>
  <c r="D28" i="45"/>
  <c r="C29" i="45"/>
  <c r="I29" i="152"/>
  <c r="D25" i="152"/>
  <c r="I29" i="153"/>
  <c r="D22" i="153"/>
  <c r="M60" i="152"/>
  <c r="M60" i="153"/>
  <c r="D25" i="153"/>
  <c r="C26" i="153"/>
  <c r="C25" i="153" s="1"/>
  <c r="C23" i="152"/>
  <c r="C22" i="152" s="1"/>
  <c r="D22" i="152"/>
  <c r="I60" i="152"/>
  <c r="J59" i="152"/>
  <c r="I60" i="153"/>
  <c r="J59" i="153"/>
  <c r="J30" i="153"/>
  <c r="I30" i="153" s="1"/>
  <c r="J30" i="152"/>
  <c r="P112" i="13"/>
  <c r="C112" i="13" s="1"/>
  <c r="C206" i="13"/>
  <c r="C10" i="36"/>
  <c r="C70" i="36" s="1"/>
  <c r="C12" i="36"/>
  <c r="V9" i="16"/>
  <c r="V8" i="16" s="1"/>
  <c r="BN10" i="3"/>
  <c r="BN12" i="3"/>
  <c r="AZ10" i="41"/>
  <c r="AZ12" i="41"/>
  <c r="BC10" i="3"/>
  <c r="BC12" i="3"/>
  <c r="C5" i="142"/>
  <c r="AK72" i="41"/>
  <c r="AK79" i="41"/>
  <c r="AK74" i="41" s="1"/>
  <c r="AK86" i="41" s="1"/>
  <c r="AL26" i="36"/>
  <c r="AL25" i="36" s="1"/>
  <c r="AM25" i="36"/>
  <c r="Y10" i="86"/>
  <c r="Y66" i="86" s="1"/>
  <c r="Y8" i="86"/>
  <c r="AX30" i="47"/>
  <c r="AV30" i="47"/>
  <c r="AQ9" i="47"/>
  <c r="V11" i="140"/>
  <c r="M10" i="86"/>
  <c r="M8" i="86"/>
  <c r="AI10" i="36"/>
  <c r="AI12" i="36"/>
  <c r="BM12" i="3"/>
  <c r="BM10" i="3"/>
  <c r="U9" i="16"/>
  <c r="U8" i="16" s="1"/>
  <c r="AH9" i="96"/>
  <c r="T8" i="96"/>
  <c r="T10" i="96"/>
  <c r="AA9" i="96"/>
  <c r="BM13" i="5"/>
  <c r="BN13" i="5" s="1"/>
  <c r="AE11" i="60"/>
  <c r="AE10" i="60" s="1"/>
  <c r="J47" i="100"/>
  <c r="J6" i="100"/>
  <c r="J7" i="100" s="1"/>
  <c r="J58" i="100"/>
  <c r="J49" i="100"/>
  <c r="G8" i="86"/>
  <c r="G60" i="86" s="1"/>
  <c r="G10" i="86"/>
  <c r="CR33" i="47"/>
  <c r="CO9" i="47"/>
  <c r="K15" i="97"/>
  <c r="K8" i="97" s="1"/>
  <c r="R18" i="97"/>
  <c r="F8" i="86"/>
  <c r="F60" i="86" s="1"/>
  <c r="F10" i="86"/>
  <c r="BO32" i="48"/>
  <c r="BO25" i="48"/>
  <c r="BO67" i="48"/>
  <c r="BO12" i="3"/>
  <c r="W9" i="16"/>
  <c r="BQ67" i="48"/>
  <c r="BQ25" i="48"/>
  <c r="N17" i="22"/>
  <c r="S17" i="22" s="1"/>
  <c r="E58" i="23"/>
  <c r="T27" i="37"/>
  <c r="N11" i="26"/>
  <c r="W66" i="22"/>
  <c r="W65" i="22" s="1"/>
  <c r="W64" i="22" s="1"/>
  <c r="C36" i="57"/>
  <c r="C35" i="67" s="1"/>
  <c r="BF25" i="41"/>
  <c r="N21" i="46"/>
  <c r="N18" i="46" s="1"/>
  <c r="M69" i="46" s="1"/>
  <c r="L69" i="46" s="1"/>
  <c r="AC112" i="60"/>
  <c r="AC111" i="60" s="1"/>
  <c r="P90" i="13"/>
  <c r="C90" i="13" s="1"/>
  <c r="C73" i="60"/>
  <c r="C41" i="60"/>
  <c r="Z37" i="95"/>
  <c r="BB52" i="86"/>
  <c r="N9" i="96"/>
  <c r="U9" i="96" s="1"/>
  <c r="Y32" i="99"/>
  <c r="Y33" i="99" s="1"/>
  <c r="Y36" i="99" s="1"/>
  <c r="Y37" i="99" s="1"/>
  <c r="C40" i="62"/>
  <c r="C132" i="78"/>
  <c r="E40" i="14"/>
  <c r="K31" i="152" s="1"/>
  <c r="AG55" i="152" s="1"/>
  <c r="G38" i="43"/>
  <c r="R13" i="43"/>
  <c r="C12" i="57"/>
  <c r="C12" i="67" s="1"/>
  <c r="S10" i="94"/>
  <c r="S20" i="52"/>
  <c r="O31" i="51"/>
  <c r="O16" i="51"/>
  <c r="E23" i="141"/>
  <c r="E44" i="141" s="1"/>
  <c r="W24" i="139"/>
  <c r="AB24" i="139" s="1"/>
  <c r="C23" i="146"/>
  <c r="C13" i="146" s="1"/>
  <c r="E24" i="146"/>
  <c r="I42" i="46"/>
  <c r="J85" i="46"/>
  <c r="M85" i="46"/>
  <c r="U34" i="140"/>
  <c r="L74" i="89"/>
  <c r="M74" i="89"/>
  <c r="T73" i="89"/>
  <c r="C45" i="142"/>
  <c r="M22" i="97"/>
  <c r="X56" i="96"/>
  <c r="X54" i="96" s="1"/>
  <c r="X52" i="96" s="1"/>
  <c r="W54" i="96"/>
  <c r="W52" i="96" s="1"/>
  <c r="U173" i="89"/>
  <c r="AX12" i="89"/>
  <c r="O23" i="100"/>
  <c r="O22" i="100" s="1"/>
  <c r="O21" i="100" s="1"/>
  <c r="X35" i="86"/>
  <c r="AA8" i="99"/>
  <c r="AB14" i="99"/>
  <c r="J23" i="98"/>
  <c r="J24" i="98"/>
  <c r="M35" i="97"/>
  <c r="BB142" i="88"/>
  <c r="BC142" i="88"/>
  <c r="BC133" i="88"/>
  <c r="BL50" i="86"/>
  <c r="O133" i="88"/>
  <c r="AB71" i="89"/>
  <c r="Q66" i="88"/>
  <c r="AA121" i="88"/>
  <c r="AA149" i="88"/>
  <c r="AA130" i="88"/>
  <c r="AA109" i="88"/>
  <c r="AA112" i="88"/>
  <c r="AA127" i="88"/>
  <c r="AA143" i="88"/>
  <c r="AA118" i="88"/>
  <c r="AA140" i="88"/>
  <c r="AA103" i="88"/>
  <c r="AA146" i="88"/>
  <c r="AA124" i="88"/>
  <c r="AA152" i="88"/>
  <c r="AA137" i="88"/>
  <c r="AA115" i="88"/>
  <c r="AA155" i="88"/>
  <c r="R25" i="88"/>
  <c r="AZ160" i="88"/>
  <c r="AZ159" i="88"/>
  <c r="AZ67" i="88"/>
  <c r="AZ75" i="88"/>
  <c r="AD22" i="92"/>
  <c r="AD21" i="92" s="1"/>
  <c r="AD7" i="92" s="1"/>
  <c r="AE23" i="92"/>
  <c r="AD37" i="92"/>
  <c r="L95" i="88"/>
  <c r="AC9" i="86"/>
  <c r="AU52" i="86"/>
  <c r="AV53" i="86"/>
  <c r="AV52" i="86" s="1"/>
  <c r="FI14" i="51"/>
  <c r="FD12" i="51"/>
  <c r="FD11" i="51" s="1"/>
  <c r="FD10" i="51" s="1"/>
  <c r="U32" i="62"/>
  <c r="W32" i="14"/>
  <c r="K12" i="44"/>
  <c r="G14" i="45"/>
  <c r="F14" i="45" s="1"/>
  <c r="G14" i="46"/>
  <c r="F14" i="46" s="1"/>
  <c r="N42" i="43"/>
  <c r="BS11" i="47"/>
  <c r="BT11" i="47"/>
  <c r="BQ9" i="47"/>
  <c r="C13" i="72"/>
  <c r="N27" i="47"/>
  <c r="M27" i="47"/>
  <c r="O12" i="51"/>
  <c r="O11" i="51" s="1"/>
  <c r="O10" i="51" s="1"/>
  <c r="CU24" i="51" s="1"/>
  <c r="CU27" i="51" s="1"/>
  <c r="I21" i="15" s="1"/>
  <c r="I22" i="63" s="1"/>
  <c r="C88" i="78" s="1"/>
  <c r="H42" i="43"/>
  <c r="BI42" i="43"/>
  <c r="L42" i="43"/>
  <c r="AT59" i="41"/>
  <c r="AR59" i="41"/>
  <c r="AP58" i="41"/>
  <c r="BH9" i="47"/>
  <c r="BE10" i="47"/>
  <c r="BG9" i="47"/>
  <c r="L16" i="45"/>
  <c r="M83" i="45"/>
  <c r="L83" i="45" s="1"/>
  <c r="P83" i="45"/>
  <c r="O83" i="45" s="1"/>
  <c r="FF37" i="47"/>
  <c r="BK43" i="43"/>
  <c r="AO79" i="41"/>
  <c r="AJ37" i="44"/>
  <c r="AB37" i="44"/>
  <c r="AD37" i="44" s="1"/>
  <c r="CZ9" i="47"/>
  <c r="CH33" i="47"/>
  <c r="CA9" i="47"/>
  <c r="N14" i="47"/>
  <c r="M14" i="47"/>
  <c r="AA9" i="48"/>
  <c r="AA8" i="48" s="1"/>
  <c r="AA30" i="48" s="1"/>
  <c r="AN10" i="47"/>
  <c r="AN39" i="47"/>
  <c r="AN41" i="47" s="1"/>
  <c r="BJ9" i="47"/>
  <c r="BC10" i="47"/>
  <c r="BI9" i="47"/>
  <c r="H58" i="45"/>
  <c r="BR30" i="47"/>
  <c r="BR40" i="47" s="1"/>
  <c r="AT10" i="48"/>
  <c r="AI79" i="41"/>
  <c r="AI74" i="41" s="1"/>
  <c r="AI86" i="41" s="1"/>
  <c r="AI72" i="41"/>
  <c r="I59" i="23"/>
  <c r="I58" i="23" s="1"/>
  <c r="N31" i="47"/>
  <c r="M31" i="47"/>
  <c r="K31" i="47"/>
  <c r="L31" i="47"/>
  <c r="BT18" i="41"/>
  <c r="BT13" i="41" s="1"/>
  <c r="BJ13" i="41"/>
  <c r="AY74" i="41"/>
  <c r="AY86" i="41" s="1"/>
  <c r="BH32" i="5"/>
  <c r="L27" i="16"/>
  <c r="BJ78" i="41"/>
  <c r="G21" i="36"/>
  <c r="H19" i="36"/>
  <c r="O31" i="37"/>
  <c r="T31" i="37"/>
  <c r="AS31" i="37"/>
  <c r="N19" i="22"/>
  <c r="J9" i="63"/>
  <c r="C76" i="79" s="1"/>
  <c r="O16" i="17"/>
  <c r="M46" i="36"/>
  <c r="P46" i="36"/>
  <c r="M15" i="25"/>
  <c r="M14" i="25" s="1"/>
  <c r="K14" i="25"/>
  <c r="D16" i="45"/>
  <c r="C16" i="45" s="1"/>
  <c r="G47" i="43"/>
  <c r="AW74" i="41"/>
  <c r="AW86" i="41" s="1"/>
  <c r="AX79" i="41"/>
  <c r="AX74" i="41" s="1"/>
  <c r="AX86" i="41" s="1"/>
  <c r="W79" i="39"/>
  <c r="Q79" i="39"/>
  <c r="T43" i="39"/>
  <c r="W82" i="39"/>
  <c r="U82" i="39" s="1"/>
  <c r="T48" i="39"/>
  <c r="Q82" i="39"/>
  <c r="O82" i="39" s="1"/>
  <c r="O48" i="39"/>
  <c r="T48" i="38"/>
  <c r="O48" i="38"/>
  <c r="Y76" i="6"/>
  <c r="X76" i="6" s="1"/>
  <c r="X39" i="6"/>
  <c r="X24" i="30"/>
  <c r="X25" i="30" s="1"/>
  <c r="V35" i="30"/>
  <c r="O27" i="19"/>
  <c r="O26" i="19" s="1"/>
  <c r="F27" i="19"/>
  <c r="F26" i="19" s="1"/>
  <c r="E26" i="19"/>
  <c r="DA10" i="47"/>
  <c r="F11" i="53"/>
  <c r="D7" i="53"/>
  <c r="D6" i="53" s="1"/>
  <c r="AR78" i="41"/>
  <c r="AR77" i="41" s="1"/>
  <c r="AH77" i="41"/>
  <c r="C31" i="23"/>
  <c r="I32" i="23"/>
  <c r="I31" i="23" s="1"/>
  <c r="G13" i="36"/>
  <c r="BN40" i="36"/>
  <c r="S50" i="22"/>
  <c r="N27" i="14"/>
  <c r="P27" i="14"/>
  <c r="M28" i="37"/>
  <c r="P17" i="37"/>
  <c r="R9" i="28"/>
  <c r="Q73" i="6"/>
  <c r="Q71" i="6" s="1"/>
  <c r="BB51" i="36"/>
  <c r="AZ12" i="5"/>
  <c r="AZ11" i="5" s="1"/>
  <c r="AZ35" i="5"/>
  <c r="AO10" i="36"/>
  <c r="AV10" i="36" s="1"/>
  <c r="AP11" i="36"/>
  <c r="AO12" i="36"/>
  <c r="F49" i="39"/>
  <c r="K13" i="9"/>
  <c r="R66" i="46"/>
  <c r="L25" i="19"/>
  <c r="P25" i="19" s="1"/>
  <c r="O25" i="19"/>
  <c r="BK12" i="3"/>
  <c r="S9" i="16"/>
  <c r="S8" i="16" s="1"/>
  <c r="BK10" i="3"/>
  <c r="N51" i="22"/>
  <c r="S51" i="22" s="1"/>
  <c r="D12" i="27"/>
  <c r="BJ76" i="3"/>
  <c r="R15" i="16" s="1"/>
  <c r="BT16" i="3"/>
  <c r="BJ13" i="3"/>
  <c r="T71" i="7"/>
  <c r="AL27" i="1"/>
  <c r="AL25" i="1" s="1"/>
  <c r="AM25" i="1"/>
  <c r="BT38" i="3"/>
  <c r="BV38" i="3"/>
  <c r="R22" i="16"/>
  <c r="T14" i="37"/>
  <c r="C16" i="7"/>
  <c r="J74" i="7"/>
  <c r="I74" i="7" s="1"/>
  <c r="U39" i="39"/>
  <c r="V76" i="39"/>
  <c r="U76" i="39" s="1"/>
  <c r="BV42" i="3"/>
  <c r="BN76" i="3"/>
  <c r="V15" i="16" s="1"/>
  <c r="AY51" i="1"/>
  <c r="AX52" i="1"/>
  <c r="AX51" i="1" s="1"/>
  <c r="I62" i="34"/>
  <c r="I60" i="34" s="1"/>
  <c r="J60" i="34"/>
  <c r="J12" i="1"/>
  <c r="AZ94" i="41"/>
  <c r="K11" i="1"/>
  <c r="K11" i="31" s="1"/>
  <c r="BE11" i="1"/>
  <c r="J10" i="1"/>
  <c r="J11" i="31"/>
  <c r="J21" i="6"/>
  <c r="I22" i="6"/>
  <c r="I21" i="6" s="1"/>
  <c r="BV41" i="3"/>
  <c r="L19" i="39"/>
  <c r="I23" i="19"/>
  <c r="J24" i="19"/>
  <c r="J23" i="19" s="1"/>
  <c r="O20" i="37"/>
  <c r="T14" i="38"/>
  <c r="N72" i="38"/>
  <c r="N71" i="38" s="1"/>
  <c r="K72" i="38"/>
  <c r="K71" i="38" s="1"/>
  <c r="BT27" i="3"/>
  <c r="AB12" i="44"/>
  <c r="AE13" i="44" s="1"/>
  <c r="M36" i="4"/>
  <c r="D62" i="1"/>
  <c r="D26" i="31" s="1"/>
  <c r="BA65" i="41"/>
  <c r="D27" i="31"/>
  <c r="BA63" i="3"/>
  <c r="H63" i="1"/>
  <c r="AH11" i="3"/>
  <c r="AT13" i="3"/>
  <c r="R16" i="45"/>
  <c r="S83" i="45"/>
  <c r="R83" i="45" s="1"/>
  <c r="M54" i="7"/>
  <c r="M54" i="39"/>
  <c r="L54" i="39" s="1"/>
  <c r="R38" i="4"/>
  <c r="BI38" i="5" s="1"/>
  <c r="M54" i="38"/>
  <c r="Z38" i="4"/>
  <c r="M54" i="6"/>
  <c r="U37" i="7"/>
  <c r="AR64" i="3"/>
  <c r="AR62" i="3" s="1"/>
  <c r="P37" i="6"/>
  <c r="W14" i="4"/>
  <c r="AD14" i="4" s="1"/>
  <c r="P37" i="39"/>
  <c r="G24" i="19"/>
  <c r="P37" i="7"/>
  <c r="O37" i="7" s="1"/>
  <c r="P37" i="38"/>
  <c r="M24" i="19"/>
  <c r="Y37" i="6"/>
  <c r="AL14" i="4"/>
  <c r="Y37" i="7"/>
  <c r="X37" i="7" s="1"/>
  <c r="AB37" i="39"/>
  <c r="AB37" i="38"/>
  <c r="AA37" i="38" s="1"/>
  <c r="U29" i="6"/>
  <c r="J21" i="19"/>
  <c r="BE68" i="41"/>
  <c r="BE67" i="41" s="1"/>
  <c r="BA67" i="41"/>
  <c r="C9" i="16"/>
  <c r="C8" i="16" s="1"/>
  <c r="AQ12" i="3"/>
  <c r="AQ10" i="3"/>
  <c r="J33" i="31"/>
  <c r="O69" i="1"/>
  <c r="G32" i="152" s="1"/>
  <c r="F32" i="152" s="1"/>
  <c r="AL58" i="3"/>
  <c r="AL55" i="3" s="1"/>
  <c r="J21" i="31"/>
  <c r="BB59" i="41"/>
  <c r="J56" i="1"/>
  <c r="O57" i="1"/>
  <c r="BB57" i="3"/>
  <c r="E23" i="146"/>
  <c r="D13" i="146"/>
  <c r="K21" i="140"/>
  <c r="P21" i="140" s="1"/>
  <c r="U21" i="140" s="1"/>
  <c r="S21" i="140"/>
  <c r="V21" i="140" s="1"/>
  <c r="BE51" i="41"/>
  <c r="C44" i="13"/>
  <c r="AK90" i="89"/>
  <c r="AB90" i="89"/>
  <c r="AJ90" i="89"/>
  <c r="AN90" i="89" s="1"/>
  <c r="H15" i="90"/>
  <c r="P17" i="90"/>
  <c r="P15" i="90" s="1"/>
  <c r="P13" i="90" s="1"/>
  <c r="N19" i="43"/>
  <c r="I82" i="43"/>
  <c r="C22" i="60"/>
  <c r="C29" i="60"/>
  <c r="J18" i="140"/>
  <c r="O18" i="140" s="1"/>
  <c r="K30" i="140"/>
  <c r="P30" i="140" s="1"/>
  <c r="G9" i="139"/>
  <c r="G10" i="139" s="1"/>
  <c r="R22" i="99"/>
  <c r="E13" i="48"/>
  <c r="C9" i="30"/>
  <c r="T14" i="43"/>
  <c r="C48" i="65"/>
  <c r="J57" i="46"/>
  <c r="C48" i="149"/>
  <c r="Z50" i="139"/>
  <c r="U50" i="139"/>
  <c r="AS21" i="87"/>
  <c r="AN17" i="87"/>
  <c r="AN14" i="87" s="1"/>
  <c r="AN8" i="87" s="1"/>
  <c r="AN7" i="87" s="1"/>
  <c r="AJ21" i="87"/>
  <c r="L10" i="89"/>
  <c r="L54" i="89"/>
  <c r="L111" i="89"/>
  <c r="L61" i="89"/>
  <c r="M62" i="89" s="1"/>
  <c r="L56" i="89"/>
  <c r="T16" i="89"/>
  <c r="L58" i="89"/>
  <c r="A4" i="77"/>
  <c r="A68" i="76"/>
  <c r="A126" i="76" s="1"/>
  <c r="K85" i="46"/>
  <c r="N85" i="46"/>
  <c r="R28" i="139"/>
  <c r="K8" i="95"/>
  <c r="AE8" i="95"/>
  <c r="E7" i="95"/>
  <c r="AF8" i="95"/>
  <c r="E9" i="95"/>
  <c r="L9" i="95"/>
  <c r="AD8" i="95"/>
  <c r="Q8" i="95"/>
  <c r="L7" i="95"/>
  <c r="AC8" i="95"/>
  <c r="R8" i="95"/>
  <c r="V10" i="86"/>
  <c r="V8" i="86"/>
  <c r="V60" i="86" s="1"/>
  <c r="R30" i="96"/>
  <c r="R28" i="96" s="1"/>
  <c r="R9" i="96" s="1"/>
  <c r="Q28" i="96"/>
  <c r="Q9" i="96" s="1"/>
  <c r="Q8" i="96" s="1"/>
  <c r="L57" i="95"/>
  <c r="N56" i="95"/>
  <c r="N38" i="95" s="1"/>
  <c r="L38" i="95" s="1"/>
  <c r="H7" i="95"/>
  <c r="H37" i="95" s="1"/>
  <c r="H9" i="95"/>
  <c r="K5" i="90"/>
  <c r="P5" i="90"/>
  <c r="AN18" i="89"/>
  <c r="AX18" i="89"/>
  <c r="AS28" i="86"/>
  <c r="AY28" i="86"/>
  <c r="S12" i="99"/>
  <c r="Y14" i="99"/>
  <c r="X8" i="99"/>
  <c r="T15" i="100"/>
  <c r="R18" i="100"/>
  <c r="AS7" i="88"/>
  <c r="M73" i="88"/>
  <c r="P68" i="88"/>
  <c r="M81" i="88"/>
  <c r="M69" i="88"/>
  <c r="N69" i="88"/>
  <c r="H54" i="99"/>
  <c r="H55" i="99" s="1"/>
  <c r="S133" i="88"/>
  <c r="S132" i="88"/>
  <c r="T132" i="88"/>
  <c r="BB21" i="87"/>
  <c r="O95" i="88"/>
  <c r="AL16" i="87"/>
  <c r="L39" i="95"/>
  <c r="AF110" i="89"/>
  <c r="AF117" i="89"/>
  <c r="AF107" i="89"/>
  <c r="AF113" i="89"/>
  <c r="AF116" i="89"/>
  <c r="M77" i="88"/>
  <c r="AR132" i="88"/>
  <c r="AR133" i="88"/>
  <c r="C10" i="76"/>
  <c r="C8" i="76" s="1"/>
  <c r="C9" i="76" s="1"/>
  <c r="H28" i="62"/>
  <c r="H53" i="62"/>
  <c r="BA17" i="51"/>
  <c r="F17" i="51"/>
  <c r="AV16" i="51"/>
  <c r="AV11" i="51" s="1"/>
  <c r="AV10" i="51" s="1"/>
  <c r="EW9" i="47"/>
  <c r="EZ33" i="47"/>
  <c r="O7" i="62"/>
  <c r="O8" i="62" s="1"/>
  <c r="R13" i="62"/>
  <c r="C13" i="14"/>
  <c r="Q34" i="43" s="1"/>
  <c r="T13" i="14"/>
  <c r="R9" i="14"/>
  <c r="X84" i="46"/>
  <c r="X13" i="43"/>
  <c r="BV11" i="47"/>
  <c r="BU11" i="47"/>
  <c r="BO9" i="47"/>
  <c r="O14" i="45"/>
  <c r="P81" i="45"/>
  <c r="O81" i="45" s="1"/>
  <c r="BJ45" i="43"/>
  <c r="BG9" i="48"/>
  <c r="BG8" i="48" s="1"/>
  <c r="BG30" i="48" s="1"/>
  <c r="CJ39" i="47"/>
  <c r="CJ41" i="47" s="1"/>
  <c r="CJ10" i="47"/>
  <c r="AE11" i="43"/>
  <c r="C134" i="72"/>
  <c r="EU15" i="51"/>
  <c r="EU12" i="51" s="1"/>
  <c r="EP12" i="51"/>
  <c r="F23" i="47"/>
  <c r="BT26" i="41"/>
  <c r="BT25" i="41" s="1"/>
  <c r="O55" i="45"/>
  <c r="DR23" i="47"/>
  <c r="DP23" i="47"/>
  <c r="P9" i="47"/>
  <c r="CD29" i="47"/>
  <c r="CD27" i="47" s="1"/>
  <c r="CP3" i="47"/>
  <c r="CD32" i="47"/>
  <c r="CD30" i="47" s="1"/>
  <c r="BM12" i="41"/>
  <c r="AV10" i="41"/>
  <c r="AV12" i="41"/>
  <c r="C64" i="23"/>
  <c r="F27" i="47"/>
  <c r="J30" i="35"/>
  <c r="I30" i="35" s="1"/>
  <c r="J30" i="34"/>
  <c r="I30" i="34" s="1"/>
  <c r="J30" i="39"/>
  <c r="U32" i="31"/>
  <c r="J30" i="38"/>
  <c r="J30" i="6"/>
  <c r="I30" i="6" s="1"/>
  <c r="J30" i="7"/>
  <c r="I30" i="7" s="1"/>
  <c r="T68" i="1"/>
  <c r="FF17" i="47"/>
  <c r="J60" i="36"/>
  <c r="G60" i="36"/>
  <c r="FD22" i="47"/>
  <c r="FF22" i="47"/>
  <c r="O37" i="46"/>
  <c r="D9" i="63"/>
  <c r="D6" i="15"/>
  <c r="O10" i="17"/>
  <c r="AB41" i="47"/>
  <c r="AW46" i="36"/>
  <c r="AS46" i="36"/>
  <c r="AR46" i="36" s="1"/>
  <c r="BS25" i="41"/>
  <c r="AM56" i="36"/>
  <c r="AL56" i="36" s="1"/>
  <c r="BN50" i="36"/>
  <c r="K65" i="22"/>
  <c r="H64" i="22"/>
  <c r="J20" i="37"/>
  <c r="T88" i="46"/>
  <c r="Q88" i="46"/>
  <c r="O30" i="37"/>
  <c r="N23" i="27"/>
  <c r="D11" i="14"/>
  <c r="V32" i="43"/>
  <c r="V76" i="6"/>
  <c r="U76" i="6" s="1"/>
  <c r="U39" i="6"/>
  <c r="G11" i="47"/>
  <c r="AD69" i="22"/>
  <c r="K19" i="22"/>
  <c r="R20" i="22"/>
  <c r="Y76" i="39"/>
  <c r="X76" i="39" s="1"/>
  <c r="X39" i="39"/>
  <c r="O36" i="40"/>
  <c r="O34" i="40" s="1"/>
  <c r="K34" i="40"/>
  <c r="Y18" i="22"/>
  <c r="AD18" i="22" s="1"/>
  <c r="AM31" i="36"/>
  <c r="AG30" i="36"/>
  <c r="AF31" i="36"/>
  <c r="AF30" i="36" s="1"/>
  <c r="N42" i="38"/>
  <c r="N42" i="39"/>
  <c r="N78" i="39" s="1"/>
  <c r="AA18" i="4"/>
  <c r="V18" i="37"/>
  <c r="N42" i="6"/>
  <c r="N78" i="6" s="1"/>
  <c r="N42" i="7"/>
  <c r="V17" i="4"/>
  <c r="BN31" i="36"/>
  <c r="R42" i="26"/>
  <c r="U28" i="37"/>
  <c r="R28" i="37" s="1"/>
  <c r="Z28" i="4"/>
  <c r="R28" i="4"/>
  <c r="L36" i="38"/>
  <c r="F10" i="11"/>
  <c r="E10" i="11" s="1"/>
  <c r="Z19" i="11"/>
  <c r="Z12" i="11"/>
  <c r="Z17" i="11"/>
  <c r="Z21" i="11"/>
  <c r="Z14" i="11"/>
  <c r="Z24" i="11"/>
  <c r="Z10" i="11"/>
  <c r="S91" i="46"/>
  <c r="R55" i="46"/>
  <c r="J90" i="22"/>
  <c r="J11" i="22"/>
  <c r="J10" i="22" s="1"/>
  <c r="F49" i="38"/>
  <c r="N34" i="6"/>
  <c r="J32" i="4"/>
  <c r="J24" i="33" s="1"/>
  <c r="H24" i="33"/>
  <c r="W74" i="6"/>
  <c r="Z74" i="6"/>
  <c r="K25" i="47"/>
  <c r="M25" i="47"/>
  <c r="L25" i="47"/>
  <c r="N25" i="47"/>
  <c r="X68" i="46"/>
  <c r="X68" i="45"/>
  <c r="AL45" i="4"/>
  <c r="BQ45" i="5" s="1"/>
  <c r="BS45" i="5" s="1"/>
  <c r="AB61" i="39"/>
  <c r="AA61" i="39" s="1"/>
  <c r="AB61" i="38"/>
  <c r="AA61" i="38" s="1"/>
  <c r="Y61" i="7"/>
  <c r="X61" i="7" s="1"/>
  <c r="Y61" i="6"/>
  <c r="X61" i="6" s="1"/>
  <c r="Z81" i="45"/>
  <c r="Z80" i="45" s="1"/>
  <c r="W81" i="45"/>
  <c r="W80" i="45" s="1"/>
  <c r="U14" i="45"/>
  <c r="M73" i="7"/>
  <c r="L73" i="7" s="1"/>
  <c r="L15" i="7"/>
  <c r="W13" i="37"/>
  <c r="AD13" i="37" s="1"/>
  <c r="Z11" i="37"/>
  <c r="L74" i="38"/>
  <c r="I60" i="6"/>
  <c r="I58" i="6" s="1"/>
  <c r="J58" i="6"/>
  <c r="BS25" i="3"/>
  <c r="AA15" i="16"/>
  <c r="AS51" i="1"/>
  <c r="AR52" i="1"/>
  <c r="AR51" i="1" s="1"/>
  <c r="AP77" i="3"/>
  <c r="AP72" i="3" s="1"/>
  <c r="AP84" i="3" s="1"/>
  <c r="AO72" i="3"/>
  <c r="AO84" i="3" s="1"/>
  <c r="P36" i="37"/>
  <c r="M37" i="37"/>
  <c r="M36" i="37" s="1"/>
  <c r="U37" i="37"/>
  <c r="K19" i="26"/>
  <c r="AD12" i="3"/>
  <c r="AD10" i="3"/>
  <c r="AD70" i="3" s="1"/>
  <c r="C25" i="16"/>
  <c r="C24" i="16" s="1"/>
  <c r="AQ10" i="5"/>
  <c r="K36" i="38"/>
  <c r="T36" i="38" s="1"/>
  <c r="K36" i="7"/>
  <c r="K34" i="7" s="1"/>
  <c r="K36" i="34"/>
  <c r="K36" i="35"/>
  <c r="Q13" i="33"/>
  <c r="K36" i="39"/>
  <c r="N73" i="39" s="1"/>
  <c r="K36" i="6"/>
  <c r="Q11" i="4"/>
  <c r="U57" i="46"/>
  <c r="V93" i="46"/>
  <c r="U93" i="46" s="1"/>
  <c r="U14" i="39"/>
  <c r="AY12" i="3"/>
  <c r="AY10" i="3"/>
  <c r="I9" i="16"/>
  <c r="AH75" i="3"/>
  <c r="AR76" i="3"/>
  <c r="D15" i="16" s="1"/>
  <c r="R16" i="7"/>
  <c r="S74" i="7"/>
  <c r="R74" i="7" s="1"/>
  <c r="J52" i="6"/>
  <c r="I54" i="6"/>
  <c r="Y74" i="39"/>
  <c r="X37" i="39"/>
  <c r="R11" i="37"/>
  <c r="C28" i="38"/>
  <c r="C27" i="38" s="1"/>
  <c r="D27" i="38"/>
  <c r="O15" i="39"/>
  <c r="S15" i="39"/>
  <c r="R15" i="39" s="1"/>
  <c r="I55" i="35"/>
  <c r="J54" i="35"/>
  <c r="BI61" i="41"/>
  <c r="BJ62" i="41"/>
  <c r="T17" i="16"/>
  <c r="BV56" i="3"/>
  <c r="BT56" i="3"/>
  <c r="BR47" i="43"/>
  <c r="AW45" i="1"/>
  <c r="H21" i="1"/>
  <c r="G21" i="1" s="1"/>
  <c r="BH21" i="1" s="1"/>
  <c r="BF21" i="1"/>
  <c r="C11" i="31"/>
  <c r="C10" i="1"/>
  <c r="C12" i="1"/>
  <c r="C12" i="31" s="1"/>
  <c r="BY50" i="3"/>
  <c r="BZ50" i="3" s="1"/>
  <c r="BF50" i="3"/>
  <c r="BH50" i="3"/>
  <c r="M40" i="1"/>
  <c r="L15" i="31"/>
  <c r="P35" i="7"/>
  <c r="P35" i="6"/>
  <c r="P35" i="38"/>
  <c r="W12" i="4"/>
  <c r="P35" i="39"/>
  <c r="Z11" i="4"/>
  <c r="G18" i="19"/>
  <c r="L16" i="86"/>
  <c r="L11" i="86" s="1"/>
  <c r="L9" i="86" s="1"/>
  <c r="K11" i="86"/>
  <c r="K9" i="86" s="1"/>
  <c r="BB5" i="41"/>
  <c r="C45" i="141"/>
  <c r="C22" i="141" s="1"/>
  <c r="K14" i="87"/>
  <c r="K51" i="87" s="1"/>
  <c r="R84" i="60"/>
  <c r="D13" i="69"/>
  <c r="C17" i="69"/>
  <c r="I34" i="14"/>
  <c r="AH36" i="47"/>
  <c r="AH33" i="47" s="1"/>
  <c r="AH9" i="47" s="1"/>
  <c r="AI36" i="47"/>
  <c r="AJ36" i="47"/>
  <c r="AG33" i="47"/>
  <c r="I49" i="139"/>
  <c r="T49" i="139"/>
  <c r="C23" i="73"/>
  <c r="H22" i="62"/>
  <c r="C22" i="62"/>
  <c r="W47" i="139"/>
  <c r="AB47" i="139" s="1"/>
  <c r="R47" i="139"/>
  <c r="X47" i="139" s="1"/>
  <c r="AC47" i="139" s="1"/>
  <c r="AC59" i="88"/>
  <c r="AC57" i="88"/>
  <c r="AC61" i="88"/>
  <c r="AD56" i="88"/>
  <c r="AC60" i="88"/>
  <c r="AC58" i="88"/>
  <c r="AC56" i="88"/>
  <c r="T45" i="139"/>
  <c r="Q45" i="139"/>
  <c r="O45" i="139"/>
  <c r="O26" i="140"/>
  <c r="F26" i="140"/>
  <c r="H26" i="140" s="1"/>
  <c r="D105" i="89"/>
  <c r="D104" i="89"/>
  <c r="D57" i="89"/>
  <c r="D63" i="89"/>
  <c r="D8" i="89"/>
  <c r="U32" i="140"/>
  <c r="R32" i="140"/>
  <c r="G9" i="95"/>
  <c r="G7" i="95"/>
  <c r="G37" i="95" s="1"/>
  <c r="AP10" i="89"/>
  <c r="AP8" i="89" s="1"/>
  <c r="AT16" i="89"/>
  <c r="AI68" i="89"/>
  <c r="AJ67" i="89"/>
  <c r="AN67" i="89" s="1"/>
  <c r="AH68" i="89"/>
  <c r="U14" i="99"/>
  <c r="V21" i="99"/>
  <c r="U21" i="99" s="1"/>
  <c r="Y21" i="100"/>
  <c r="Y30" i="100" s="1"/>
  <c r="X14" i="100"/>
  <c r="L52" i="99"/>
  <c r="L53" i="99" s="1"/>
  <c r="M53" i="99"/>
  <c r="Q6" i="100"/>
  <c r="Q7" i="100" s="1"/>
  <c r="AF32" i="100" s="1"/>
  <c r="AF33" i="100" s="1"/>
  <c r="AF36" i="100" s="1"/>
  <c r="AF37" i="100" s="1"/>
  <c r="Q49" i="100"/>
  <c r="Q47" i="100"/>
  <c r="E29" i="92"/>
  <c r="E28" i="92" s="1"/>
  <c r="AJ29" i="92"/>
  <c r="AJ28" i="92" s="1"/>
  <c r="C28" i="92"/>
  <c r="AE91" i="88"/>
  <c r="AE93" i="88"/>
  <c r="E31" i="95"/>
  <c r="Q32" i="95"/>
  <c r="R32" i="95"/>
  <c r="BJ51" i="86"/>
  <c r="BL51" i="86" s="1"/>
  <c r="BF51" i="86"/>
  <c r="BF49" i="86" s="1"/>
  <c r="BE9" i="86"/>
  <c r="BD10" i="86"/>
  <c r="D94" i="88"/>
  <c r="D91" i="88"/>
  <c r="D95" i="88" s="1"/>
  <c r="D96" i="88"/>
  <c r="D93" i="88"/>
  <c r="AX16" i="87"/>
  <c r="AO16" i="87"/>
  <c r="AQ16" i="87" s="1"/>
  <c r="AF106" i="88"/>
  <c r="AF102" i="88"/>
  <c r="AF109" i="88"/>
  <c r="AF127" i="88"/>
  <c r="AF149" i="88"/>
  <c r="AF118" i="88"/>
  <c r="AF137" i="88"/>
  <c r="AF130" i="88"/>
  <c r="AF121" i="88"/>
  <c r="AF112" i="88"/>
  <c r="AF124" i="88"/>
  <c r="AF146" i="88"/>
  <c r="AF143" i="88"/>
  <c r="AF115" i="88"/>
  <c r="AF155" i="88"/>
  <c r="AF152" i="88"/>
  <c r="AF131" i="88"/>
  <c r="AF140" i="88"/>
  <c r="AZ72" i="88"/>
  <c r="P77" i="88"/>
  <c r="EI33" i="47"/>
  <c r="G33" i="47" s="1"/>
  <c r="EP36" i="47"/>
  <c r="EO36" i="47"/>
  <c r="EJ36" i="47"/>
  <c r="EJ33" i="47" s="1"/>
  <c r="H33" i="47" s="1"/>
  <c r="EM36" i="47"/>
  <c r="EN36" i="47"/>
  <c r="EG15" i="51"/>
  <c r="EB12" i="51"/>
  <c r="EB11" i="51" s="1"/>
  <c r="EB10" i="51" s="1"/>
  <c r="F15" i="51"/>
  <c r="V26" i="47"/>
  <c r="F24" i="14"/>
  <c r="X26" i="47"/>
  <c r="I26" i="47"/>
  <c r="U23" i="47"/>
  <c r="W26" i="47"/>
  <c r="C8" i="80"/>
  <c r="C9" i="80" s="1"/>
  <c r="BM56" i="86"/>
  <c r="BN56" i="86"/>
  <c r="CL16" i="51"/>
  <c r="CL11" i="51" s="1"/>
  <c r="CL10" i="51" s="1"/>
  <c r="CQ17" i="51"/>
  <c r="CQ16" i="51" s="1"/>
  <c r="CQ11" i="51" s="1"/>
  <c r="CQ10" i="51" s="1"/>
  <c r="M37" i="46"/>
  <c r="M37" i="45"/>
  <c r="L37" i="45" s="1"/>
  <c r="R12" i="44"/>
  <c r="F35" i="154" s="1"/>
  <c r="BI12" i="41"/>
  <c r="BI10" i="41"/>
  <c r="EO11" i="51"/>
  <c r="EO10" i="51" s="1"/>
  <c r="FE23" i="47"/>
  <c r="FC23" i="47"/>
  <c r="P91" i="46"/>
  <c r="O55" i="46"/>
  <c r="P47" i="23"/>
  <c r="S47" i="23"/>
  <c r="D11" i="47"/>
  <c r="D9" i="47" s="1"/>
  <c r="D10" i="47" s="1"/>
  <c r="AT13" i="41"/>
  <c r="AH11" i="41"/>
  <c r="AO10" i="41"/>
  <c r="AO72" i="41" s="1"/>
  <c r="AO12" i="41"/>
  <c r="AR26" i="36"/>
  <c r="AR25" i="36" s="1"/>
  <c r="AS25" i="36"/>
  <c r="Z28" i="39"/>
  <c r="CM9" i="47"/>
  <c r="CT23" i="47"/>
  <c r="C64" i="40"/>
  <c r="BF9" i="47"/>
  <c r="M26" i="37"/>
  <c r="AU26" i="37"/>
  <c r="AJ43" i="37"/>
  <c r="AB43" i="37"/>
  <c r="Y16" i="37"/>
  <c r="AF46" i="36"/>
  <c r="AM46" i="36"/>
  <c r="AL46" i="36" s="1"/>
  <c r="K19" i="47"/>
  <c r="L19" i="47"/>
  <c r="BO12" i="41"/>
  <c r="D17" i="37"/>
  <c r="T30" i="37"/>
  <c r="K18" i="26"/>
  <c r="G17" i="26"/>
  <c r="V130" i="43"/>
  <c r="V98" i="36"/>
  <c r="V98" i="1"/>
  <c r="AT61" i="41"/>
  <c r="AH60" i="41"/>
  <c r="O12" i="25"/>
  <c r="O11" i="25" s="1"/>
  <c r="V13" i="25"/>
  <c r="V12" i="25" s="1"/>
  <c r="V11" i="25" s="1"/>
  <c r="BH34" i="5"/>
  <c r="L29" i="16"/>
  <c r="AE41" i="36"/>
  <c r="AA41" i="36"/>
  <c r="Z41" i="36" s="1"/>
  <c r="Z27" i="37"/>
  <c r="W27" i="4"/>
  <c r="Y55" i="22"/>
  <c r="Y54" i="22" s="1"/>
  <c r="Y88" i="22" s="1"/>
  <c r="AD57" i="22"/>
  <c r="AD55" i="22" s="1"/>
  <c r="AD54" i="22" s="1"/>
  <c r="O39" i="6"/>
  <c r="P76" i="6"/>
  <c r="O76" i="6" s="1"/>
  <c r="I17" i="23"/>
  <c r="I16" i="23" s="1"/>
  <c r="C16" i="23"/>
  <c r="R68" i="22"/>
  <c r="Q69" i="22"/>
  <c r="Q68" i="22" s="1"/>
  <c r="I16" i="45"/>
  <c r="J83" i="45"/>
  <c r="I83" i="45" s="1"/>
  <c r="J83" i="39"/>
  <c r="I83" i="39" s="1"/>
  <c r="I49" i="39"/>
  <c r="I37" i="30"/>
  <c r="I36" i="30" s="1"/>
  <c r="K17" i="30"/>
  <c r="F22" i="19"/>
  <c r="E13" i="19"/>
  <c r="E20" i="19"/>
  <c r="BS76" i="3"/>
  <c r="BS13" i="3"/>
  <c r="T53" i="36"/>
  <c r="AM53" i="36"/>
  <c r="AL53" i="36" s="1"/>
  <c r="Y48" i="39"/>
  <c r="Y48" i="38"/>
  <c r="X48" i="38" s="1"/>
  <c r="V48" i="7"/>
  <c r="U48" i="7" s="1"/>
  <c r="AO32" i="4"/>
  <c r="AG32" i="4"/>
  <c r="V48" i="6"/>
  <c r="M32" i="37"/>
  <c r="AT32" i="37"/>
  <c r="AQ32" i="37" s="1"/>
  <c r="Y14" i="7"/>
  <c r="AX42" i="1"/>
  <c r="AO13" i="37"/>
  <c r="AL13" i="37" s="1"/>
  <c r="AN13" i="37" s="1"/>
  <c r="AL12" i="44"/>
  <c r="AO13" i="4"/>
  <c r="X14" i="46"/>
  <c r="AB14" i="39"/>
  <c r="AA14" i="39" s="1"/>
  <c r="AB14" i="38"/>
  <c r="Y14" i="6"/>
  <c r="X14" i="6" s="1"/>
  <c r="H23" i="33"/>
  <c r="J31" i="4"/>
  <c r="J23" i="33" s="1"/>
  <c r="AF26" i="47"/>
  <c r="G26" i="47"/>
  <c r="AJ26" i="47"/>
  <c r="AL26" i="47"/>
  <c r="AK26" i="47"/>
  <c r="AI26" i="47"/>
  <c r="AA24" i="20"/>
  <c r="AA21" i="20"/>
  <c r="AA19" i="20"/>
  <c r="AA14" i="20"/>
  <c r="AC10" i="20"/>
  <c r="AA12" i="20"/>
  <c r="BP13" i="3"/>
  <c r="BP11" i="3" s="1"/>
  <c r="BP76" i="3"/>
  <c r="X15" i="16" s="1"/>
  <c r="BJ19" i="3"/>
  <c r="BV19" i="3" s="1"/>
  <c r="BT20" i="3"/>
  <c r="BT19" i="3" s="1"/>
  <c r="Q19" i="6"/>
  <c r="T19" i="6"/>
  <c r="R19" i="6" s="1"/>
  <c r="X11" i="1"/>
  <c r="W10" i="1"/>
  <c r="W12" i="1"/>
  <c r="AD11" i="1"/>
  <c r="X74" i="7"/>
  <c r="BJ30" i="3"/>
  <c r="BV30" i="3" s="1"/>
  <c r="BS52" i="41"/>
  <c r="BO51" i="41"/>
  <c r="BO10" i="41" s="1"/>
  <c r="BP52" i="41"/>
  <c r="I19" i="39"/>
  <c r="M60" i="38"/>
  <c r="R44" i="4"/>
  <c r="M60" i="6"/>
  <c r="U42" i="4"/>
  <c r="M60" i="39"/>
  <c r="Z44" i="4"/>
  <c r="M60" i="7"/>
  <c r="AR17" i="5"/>
  <c r="BV46" i="3"/>
  <c r="BT46" i="3"/>
  <c r="AB70" i="3"/>
  <c r="AB77" i="3"/>
  <c r="AB72" i="3" s="1"/>
  <c r="AB84" i="3" s="1"/>
  <c r="L16" i="7"/>
  <c r="M74" i="7"/>
  <c r="L74" i="7" s="1"/>
  <c r="I60" i="7"/>
  <c r="I58" i="7" s="1"/>
  <c r="J58" i="7"/>
  <c r="N72" i="7"/>
  <c r="N71" i="7" s="1"/>
  <c r="K72" i="7"/>
  <c r="K71" i="7" s="1"/>
  <c r="X57" i="45"/>
  <c r="BJ13" i="5"/>
  <c r="C58" i="1"/>
  <c r="V74" i="6"/>
  <c r="U74" i="6" s="1"/>
  <c r="U37" i="6"/>
  <c r="S19" i="39"/>
  <c r="U73" i="7"/>
  <c r="G30" i="31"/>
  <c r="G65" i="1"/>
  <c r="G29" i="31" s="1"/>
  <c r="AT65" i="3"/>
  <c r="O15" i="38"/>
  <c r="R15" i="38" s="1"/>
  <c r="S15" i="38"/>
  <c r="P73" i="38"/>
  <c r="O73" i="38" s="1"/>
  <c r="J52" i="38"/>
  <c r="I53" i="38"/>
  <c r="F42" i="44"/>
  <c r="D22" i="7"/>
  <c r="J60" i="1"/>
  <c r="F37" i="37"/>
  <c r="D22" i="6"/>
  <c r="D22" i="34"/>
  <c r="D22" i="39"/>
  <c r="F37" i="4"/>
  <c r="G60" i="1"/>
  <c r="G24" i="31" s="1"/>
  <c r="D22" i="38"/>
  <c r="D22" i="35"/>
  <c r="H24" i="31"/>
  <c r="M22" i="7"/>
  <c r="Z60" i="1"/>
  <c r="M22" i="6"/>
  <c r="M22" i="38"/>
  <c r="M22" i="39"/>
  <c r="AC60" i="1"/>
  <c r="AA59" i="1"/>
  <c r="S29" i="39"/>
  <c r="AA17" i="16"/>
  <c r="AI12" i="1"/>
  <c r="AI10" i="1"/>
  <c r="AJ11" i="1"/>
  <c r="Z44" i="37"/>
  <c r="R44" i="37"/>
  <c r="R42" i="37" s="1"/>
  <c r="U42" i="37"/>
  <c r="AA15" i="38"/>
  <c r="AB73" i="38"/>
  <c r="AA73" i="38" s="1"/>
  <c r="AY55" i="3"/>
  <c r="I18" i="16"/>
  <c r="AV58" i="3"/>
  <c r="O10" i="16"/>
  <c r="W19" i="4"/>
  <c r="P43" i="39"/>
  <c r="P43" i="7"/>
  <c r="O43" i="7" s="1"/>
  <c r="P43" i="38"/>
  <c r="P43" i="6"/>
  <c r="Z19" i="37"/>
  <c r="AU72" i="3"/>
  <c r="AU84" i="3" s="1"/>
  <c r="AV77" i="3"/>
  <c r="L35" i="6"/>
  <c r="M72" i="6"/>
  <c r="AG72" i="3"/>
  <c r="AG84" i="3" s="1"/>
  <c r="R12" i="139"/>
  <c r="Q11" i="139"/>
  <c r="W11" i="139" s="1"/>
  <c r="W12" i="139"/>
  <c r="AB12" i="139" s="1"/>
  <c r="AW154" i="88"/>
  <c r="L22" i="98"/>
  <c r="AW151" i="88"/>
  <c r="H20" i="7"/>
  <c r="H18" i="7" s="1"/>
  <c r="G62" i="7" s="1"/>
  <c r="BK49" i="43"/>
  <c r="S15" i="92"/>
  <c r="T16" i="92"/>
  <c r="T15" i="92" s="1"/>
  <c r="R13" i="139"/>
  <c r="X13" i="139" s="1"/>
  <c r="AC13" i="139" s="1"/>
  <c r="W13" i="139"/>
  <c r="E29" i="69"/>
  <c r="E12" i="69" s="1"/>
  <c r="E8" i="69" s="1"/>
  <c r="E7" i="69" s="1"/>
  <c r="C30" i="69"/>
  <c r="C29" i="69" s="1"/>
  <c r="R26" i="139"/>
  <c r="X26" i="139" s="1"/>
  <c r="AC26" i="139" s="1"/>
  <c r="W26" i="139"/>
  <c r="AB26" i="139" s="1"/>
  <c r="I35" i="140"/>
  <c r="F35" i="140" s="1"/>
  <c r="F36" i="140"/>
  <c r="I139" i="89"/>
  <c r="H145" i="89"/>
  <c r="G145" i="89"/>
  <c r="L42" i="139"/>
  <c r="X42" i="139" s="1"/>
  <c r="AC42" i="139" s="1"/>
  <c r="W42" i="139"/>
  <c r="AB42" i="139" s="1"/>
  <c r="Z78" i="88"/>
  <c r="Z159" i="88"/>
  <c r="Z75" i="88"/>
  <c r="AA9" i="88"/>
  <c r="AB9" i="88"/>
  <c r="AF160" i="88"/>
  <c r="Z67" i="88"/>
  <c r="AF67" i="88"/>
  <c r="Z160" i="88"/>
  <c r="AB160" i="88" s="1"/>
  <c r="G58" i="93"/>
  <c r="R22" i="97"/>
  <c r="G9" i="94"/>
  <c r="G7" i="94"/>
  <c r="G40" i="95"/>
  <c r="E40" i="95" s="1"/>
  <c r="H39" i="95"/>
  <c r="AX28" i="89"/>
  <c r="BH22" i="88"/>
  <c r="F52" i="99"/>
  <c r="G53" i="99"/>
  <c r="T21" i="100"/>
  <c r="S12" i="100"/>
  <c r="F13" i="98"/>
  <c r="F8" i="98"/>
  <c r="F48" i="98" s="1"/>
  <c r="O8" i="97"/>
  <c r="O7" i="97" s="1"/>
  <c r="W23" i="92"/>
  <c r="C22" i="92"/>
  <c r="C21" i="92" s="1"/>
  <c r="E23" i="92"/>
  <c r="E22" i="92" s="1"/>
  <c r="E21" i="92" s="1"/>
  <c r="BB154" i="88"/>
  <c r="BA154" i="88"/>
  <c r="AA112" i="89"/>
  <c r="P60" i="96"/>
  <c r="P63" i="96"/>
  <c r="N102" i="88"/>
  <c r="M103" i="88"/>
  <c r="M127" i="88"/>
  <c r="M102" i="88"/>
  <c r="M121" i="88"/>
  <c r="P101" i="88"/>
  <c r="M137" i="88"/>
  <c r="M109" i="88"/>
  <c r="M106" i="88"/>
  <c r="M155" i="88"/>
  <c r="M131" i="88"/>
  <c r="M140" i="88"/>
  <c r="M152" i="88"/>
  <c r="M143" i="88"/>
  <c r="M112" i="88"/>
  <c r="M149" i="88"/>
  <c r="M118" i="88"/>
  <c r="M146" i="88"/>
  <c r="M115" i="88"/>
  <c r="M130" i="88"/>
  <c r="M124" i="88"/>
  <c r="J53" i="99"/>
  <c r="AJ35" i="88"/>
  <c r="AJ33" i="88" s="1"/>
  <c r="AI33" i="88"/>
  <c r="AI31" i="88" s="1"/>
  <c r="M95" i="88"/>
  <c r="M99" i="88"/>
  <c r="AB72" i="88"/>
  <c r="L14" i="47"/>
  <c r="K14" i="47"/>
  <c r="I11" i="47"/>
  <c r="K15" i="47"/>
  <c r="L15" i="47"/>
  <c r="C23" i="14"/>
  <c r="F23" i="62"/>
  <c r="F21" i="14"/>
  <c r="H23" i="14"/>
  <c r="AF9" i="62"/>
  <c r="T91" i="46"/>
  <c r="Q91" i="46"/>
  <c r="C8" i="84"/>
  <c r="C9" i="84" s="1"/>
  <c r="E12" i="51"/>
  <c r="E11" i="51" s="1"/>
  <c r="E10" i="51" s="1"/>
  <c r="P49" i="90"/>
  <c r="P50" i="90" s="1"/>
  <c r="P57" i="90"/>
  <c r="DK10" i="47"/>
  <c r="DR9" i="47"/>
  <c r="DQ9" i="47"/>
  <c r="BQ11" i="41"/>
  <c r="AA9" i="47"/>
  <c r="AA10" i="47" s="1"/>
  <c r="AL17" i="47"/>
  <c r="DT39" i="47"/>
  <c r="DT41" i="47" s="1"/>
  <c r="DT10" i="47"/>
  <c r="CE9" i="48"/>
  <c r="CE8" i="48" s="1"/>
  <c r="CE30" i="48" s="1"/>
  <c r="H36" i="47"/>
  <c r="P45" i="43" s="1"/>
  <c r="BT44" i="41"/>
  <c r="BV44" i="41"/>
  <c r="AF52" i="43"/>
  <c r="AF51" i="43" s="1"/>
  <c r="AG51" i="43"/>
  <c r="AG51" i="150" s="1"/>
  <c r="AF51" i="150" s="1"/>
  <c r="BE51" i="150" s="1"/>
  <c r="BF45" i="5"/>
  <c r="AB12" i="41"/>
  <c r="AB10" i="41"/>
  <c r="AB72" i="41" s="1"/>
  <c r="N24" i="47"/>
  <c r="M24" i="47"/>
  <c r="L24" i="47"/>
  <c r="K24" i="47"/>
  <c r="EB9" i="47"/>
  <c r="DW10" i="47"/>
  <c r="ED9" i="47"/>
  <c r="EC9" i="47"/>
  <c r="BB31" i="5"/>
  <c r="J36" i="44"/>
  <c r="J36" i="23"/>
  <c r="P37" i="23"/>
  <c r="S37" i="23"/>
  <c r="I42" i="34"/>
  <c r="C17" i="47"/>
  <c r="AA21" i="40"/>
  <c r="J58" i="40"/>
  <c r="J12" i="40"/>
  <c r="BK11" i="41"/>
  <c r="L73" i="23"/>
  <c r="Y17" i="22" s="1"/>
  <c r="AD17" i="22" s="1"/>
  <c r="AZ39" i="47"/>
  <c r="AZ41" i="47" s="1"/>
  <c r="AZ10" i="47"/>
  <c r="AI9" i="48"/>
  <c r="AI8" i="48" s="1"/>
  <c r="AI30" i="48" s="1"/>
  <c r="AB48" i="44"/>
  <c r="AJ48" i="44"/>
  <c r="H34" i="40"/>
  <c r="AA36" i="40"/>
  <c r="AA34" i="40" s="1"/>
  <c r="U76" i="1"/>
  <c r="L35" i="47"/>
  <c r="K35" i="47"/>
  <c r="U17" i="62"/>
  <c r="W17" i="14"/>
  <c r="C17" i="14"/>
  <c r="C15" i="14" s="1"/>
  <c r="U15" i="14"/>
  <c r="AN45" i="36"/>
  <c r="AT45" i="36"/>
  <c r="AZ45" i="36" s="1"/>
  <c r="BF45" i="36" s="1"/>
  <c r="K72" i="39"/>
  <c r="I72" i="39" s="1"/>
  <c r="N72" i="39"/>
  <c r="K34" i="39"/>
  <c r="C9" i="28"/>
  <c r="N10" i="28"/>
  <c r="FD30" i="47"/>
  <c r="FF30" i="47"/>
  <c r="Y24" i="22"/>
  <c r="BL51" i="41"/>
  <c r="BR11" i="41"/>
  <c r="H63" i="36"/>
  <c r="D62" i="36"/>
  <c r="D58" i="36" s="1"/>
  <c r="D55" i="36" s="1"/>
  <c r="I35" i="34"/>
  <c r="K34" i="34"/>
  <c r="G68" i="26"/>
  <c r="K69" i="26"/>
  <c r="AD19" i="22"/>
  <c r="G66" i="36"/>
  <c r="G65" i="36" s="1"/>
  <c r="H65" i="36"/>
  <c r="J10" i="36"/>
  <c r="BK11" i="36"/>
  <c r="J12" i="36"/>
  <c r="K11" i="36"/>
  <c r="CB9" i="47"/>
  <c r="AU72" i="41"/>
  <c r="AU79" i="41"/>
  <c r="I15" i="23"/>
  <c r="I14" i="23" s="1"/>
  <c r="C14" i="23"/>
  <c r="C13" i="23" s="1"/>
  <c r="AM13" i="36"/>
  <c r="N18" i="47"/>
  <c r="M49" i="38"/>
  <c r="L49" i="38" s="1"/>
  <c r="Z33" i="4"/>
  <c r="M49" i="39"/>
  <c r="U33" i="37"/>
  <c r="R33" i="37" s="1"/>
  <c r="M49" i="6"/>
  <c r="R33" i="4"/>
  <c r="M49" i="7"/>
  <c r="L49" i="7" s="1"/>
  <c r="K34" i="35"/>
  <c r="AS51" i="36"/>
  <c r="AR52" i="36"/>
  <c r="AR51" i="36" s="1"/>
  <c r="BA12" i="36"/>
  <c r="BB12" i="36" s="1"/>
  <c r="BB11" i="36"/>
  <c r="BA10" i="36"/>
  <c r="K61" i="9"/>
  <c r="L61" i="9" s="1"/>
  <c r="M22" i="9"/>
  <c r="N22" i="9"/>
  <c r="BP45" i="5"/>
  <c r="X33" i="16" s="1"/>
  <c r="W33" i="16"/>
  <c r="M82" i="6"/>
  <c r="L82" i="6" s="1"/>
  <c r="I48" i="6"/>
  <c r="J82" i="6"/>
  <c r="I82" i="6" s="1"/>
  <c r="Q56" i="22"/>
  <c r="R55" i="22"/>
  <c r="R54" i="22" s="1"/>
  <c r="AE11" i="11"/>
  <c r="J18" i="37"/>
  <c r="AB11" i="22"/>
  <c r="AB10" i="22" s="1"/>
  <c r="O59" i="6"/>
  <c r="AD11" i="20"/>
  <c r="BL11" i="41"/>
  <c r="O45" i="36"/>
  <c r="N45" i="36" s="1"/>
  <c r="BN45" i="36" s="1"/>
  <c r="N24" i="22"/>
  <c r="BQ11" i="3"/>
  <c r="BS54" i="41"/>
  <c r="BN54" i="41"/>
  <c r="BT54" i="41" s="1"/>
  <c r="BM51" i="41"/>
  <c r="BM10" i="41" s="1"/>
  <c r="Q12" i="1"/>
  <c r="Q10" i="1"/>
  <c r="R11" i="1"/>
  <c r="R11" i="31" s="1"/>
  <c r="Q11" i="31"/>
  <c r="H9" i="40"/>
  <c r="H50" i="40" s="1"/>
  <c r="M57" i="6"/>
  <c r="L57" i="6" s="1"/>
  <c r="M57" i="38"/>
  <c r="L57" i="38" s="1"/>
  <c r="Z41" i="4"/>
  <c r="R41" i="4"/>
  <c r="BI41" i="5" s="1"/>
  <c r="M57" i="39"/>
  <c r="L57" i="39" s="1"/>
  <c r="M57" i="7"/>
  <c r="L57" i="7" s="1"/>
  <c r="AD10" i="1"/>
  <c r="R42" i="46"/>
  <c r="V85" i="46"/>
  <c r="U85" i="46" s="1"/>
  <c r="S85" i="46"/>
  <c r="D40" i="38"/>
  <c r="D40" i="34"/>
  <c r="D40" i="7"/>
  <c r="D40" i="6"/>
  <c r="D40" i="39"/>
  <c r="F17" i="33"/>
  <c r="D40" i="35"/>
  <c r="V73" i="38"/>
  <c r="U73" i="38" s="1"/>
  <c r="U15" i="38"/>
  <c r="P13" i="4"/>
  <c r="J14" i="7"/>
  <c r="T42" i="1"/>
  <c r="T16" i="31" s="1"/>
  <c r="J14" i="38"/>
  <c r="S14" i="38" s="1"/>
  <c r="J14" i="39"/>
  <c r="J14" i="34"/>
  <c r="I14" i="34" s="1"/>
  <c r="P13" i="37"/>
  <c r="J14" i="35"/>
  <c r="I14" i="35" s="1"/>
  <c r="U16" i="31"/>
  <c r="J14" i="6"/>
  <c r="I14" i="6" s="1"/>
  <c r="I19" i="6"/>
  <c r="H32" i="16"/>
  <c r="AM30" i="1"/>
  <c r="H16" i="21"/>
  <c r="AA12" i="3"/>
  <c r="AA10" i="3"/>
  <c r="Y83" i="45"/>
  <c r="X83" i="45" s="1"/>
  <c r="U16" i="45"/>
  <c r="V83" i="45"/>
  <c r="U83" i="45" s="1"/>
  <c r="L29" i="39"/>
  <c r="D19" i="92"/>
  <c r="Q19" i="92"/>
  <c r="Q18" i="92" s="1"/>
  <c r="Q8" i="92" s="1"/>
  <c r="Q7" i="92" s="1"/>
  <c r="P18" i="92"/>
  <c r="P8" i="92" s="1"/>
  <c r="R14" i="7"/>
  <c r="S72" i="7"/>
  <c r="U11" i="37"/>
  <c r="F28" i="35"/>
  <c r="F27" i="35" s="1"/>
  <c r="G27" i="35"/>
  <c r="V83" i="46"/>
  <c r="U83" i="46" s="1"/>
  <c r="U39" i="46"/>
  <c r="S19" i="38"/>
  <c r="O19" i="38"/>
  <c r="R19" i="38" s="1"/>
  <c r="F27" i="6"/>
  <c r="AN45" i="1"/>
  <c r="AG45" i="1"/>
  <c r="AF45" i="1" s="1"/>
  <c r="P28" i="33"/>
  <c r="BH25" i="3"/>
  <c r="BY25" i="3"/>
  <c r="BZ25" i="3" s="1"/>
  <c r="D58" i="1"/>
  <c r="D23" i="31"/>
  <c r="G16" i="7"/>
  <c r="G16" i="35"/>
  <c r="G16" i="38"/>
  <c r="N47" i="1"/>
  <c r="BH47" i="1" s="1"/>
  <c r="G16" i="39"/>
  <c r="G16" i="6"/>
  <c r="G16" i="34"/>
  <c r="BF30" i="3"/>
  <c r="Y14" i="37"/>
  <c r="C35" i="16"/>
  <c r="AW51" i="1"/>
  <c r="AN58" i="3"/>
  <c r="AN55" i="3" s="1"/>
  <c r="O52" i="1"/>
  <c r="M51" i="1"/>
  <c r="M18" i="31" s="1"/>
  <c r="I11" i="16"/>
  <c r="L36" i="7"/>
  <c r="AQ58" i="3"/>
  <c r="K21" i="16"/>
  <c r="BA78" i="3"/>
  <c r="AE46" i="1"/>
  <c r="AA46" i="1"/>
  <c r="Z46" i="1" s="1"/>
  <c r="BE50" i="3"/>
  <c r="BB89" i="3"/>
  <c r="BC89" i="3" s="1"/>
  <c r="W41" i="37"/>
  <c r="AT41" i="37"/>
  <c r="AQ41" i="37" s="1"/>
  <c r="AE41" i="37"/>
  <c r="L35" i="38"/>
  <c r="AT26" i="37"/>
  <c r="W26" i="37"/>
  <c r="AR61" i="3"/>
  <c r="BV17" i="47"/>
  <c r="AI14" i="37"/>
  <c r="D45" i="142"/>
  <c r="D22" i="142" s="1"/>
  <c r="BA98" i="88"/>
  <c r="AM28" i="86"/>
  <c r="AL9" i="86"/>
  <c r="AY17" i="86"/>
  <c r="AS17" i="86"/>
  <c r="AR9" i="86"/>
  <c r="AY9" i="86" s="1"/>
  <c r="D49" i="100"/>
  <c r="D47" i="100"/>
  <c r="D6" i="100"/>
  <c r="D7" i="100" s="1"/>
  <c r="R17" i="100"/>
  <c r="S15" i="100"/>
  <c r="R15" i="100" s="1"/>
  <c r="E21" i="98"/>
  <c r="E48" i="98" s="1"/>
  <c r="J22" i="98"/>
  <c r="Y103" i="89"/>
  <c r="Y97" i="89"/>
  <c r="Y88" i="89"/>
  <c r="Y91" i="89"/>
  <c r="Y94" i="89"/>
  <c r="Y75" i="89"/>
  <c r="Y72" i="89"/>
  <c r="Y85" i="89"/>
  <c r="Y100" i="89"/>
  <c r="Y66" i="89"/>
  <c r="AA62" i="89"/>
  <c r="Y69" i="89"/>
  <c r="Y79" i="89"/>
  <c r="Y82" i="89"/>
  <c r="P54" i="99"/>
  <c r="O53" i="99"/>
  <c r="M88" i="89"/>
  <c r="M82" i="89"/>
  <c r="M75" i="89"/>
  <c r="M91" i="89"/>
  <c r="M85" i="89"/>
  <c r="M103" i="89"/>
  <c r="M97" i="89"/>
  <c r="O62" i="89"/>
  <c r="M72" i="89"/>
  <c r="M63" i="89"/>
  <c r="M69" i="89"/>
  <c r="M100" i="89"/>
  <c r="M94" i="89"/>
  <c r="M79" i="89"/>
  <c r="M66" i="89"/>
  <c r="G13" i="93"/>
  <c r="H14" i="93"/>
  <c r="AX8" i="86"/>
  <c r="AX10" i="86"/>
  <c r="AR81" i="88"/>
  <c r="AR73" i="88"/>
  <c r="AR69" i="88"/>
  <c r="AF93" i="88"/>
  <c r="AF94" i="88"/>
  <c r="AF91" i="88"/>
  <c r="AF96" i="88"/>
  <c r="H95" i="88"/>
  <c r="I13" i="62"/>
  <c r="I9" i="14"/>
  <c r="K13" i="14"/>
  <c r="K9" i="14" s="1"/>
  <c r="EJ3" i="47"/>
  <c r="DX29" i="47"/>
  <c r="DX27" i="47" s="1"/>
  <c r="F14" i="51"/>
  <c r="T12" i="51"/>
  <c r="T11" i="51" s="1"/>
  <c r="T10" i="51" s="1"/>
  <c r="J65" i="43"/>
  <c r="O66" i="43"/>
  <c r="O66" i="150" s="1"/>
  <c r="BX39" i="47"/>
  <c r="BX41" i="47" s="1"/>
  <c r="AY9" i="48"/>
  <c r="AY8" i="48" s="1"/>
  <c r="AY30" i="48" s="1"/>
  <c r="BX10" i="47"/>
  <c r="AG7" i="62"/>
  <c r="AG8" i="62" s="1"/>
  <c r="CM9" i="48"/>
  <c r="CM8" i="48" s="1"/>
  <c r="CM30" i="48" s="1"/>
  <c r="EF10" i="47"/>
  <c r="EF39" i="47"/>
  <c r="EF41" i="47" s="1"/>
  <c r="BS13" i="41"/>
  <c r="BS78" i="41"/>
  <c r="FB17" i="47"/>
  <c r="EQ9" i="47"/>
  <c r="EQ10" i="47" s="1"/>
  <c r="I39" i="23"/>
  <c r="C36" i="23"/>
  <c r="CU20" i="51"/>
  <c r="CU21" i="51" s="1"/>
  <c r="BD17" i="48"/>
  <c r="F13" i="138" s="1"/>
  <c r="DX32" i="47"/>
  <c r="DX30" i="47" s="1"/>
  <c r="DX40" i="47" s="1"/>
  <c r="L30" i="23"/>
  <c r="J16" i="37"/>
  <c r="AA39" i="36"/>
  <c r="Z39" i="36" s="1"/>
  <c r="AH39" i="36"/>
  <c r="AP12" i="41"/>
  <c r="AP10" i="41"/>
  <c r="AP5" i="41" s="1"/>
  <c r="J74" i="23"/>
  <c r="P75" i="23"/>
  <c r="P74" i="23" s="1"/>
  <c r="O66" i="46"/>
  <c r="BL78" i="41"/>
  <c r="G49" i="45"/>
  <c r="F49" i="45" s="1"/>
  <c r="K22" i="44"/>
  <c r="G49" i="46"/>
  <c r="F49" i="46" s="1"/>
  <c r="H23" i="44"/>
  <c r="D47" i="154" s="1"/>
  <c r="U18" i="37"/>
  <c r="M42" i="39"/>
  <c r="M42" i="38"/>
  <c r="L42" i="38" s="1"/>
  <c r="Z18" i="4"/>
  <c r="M42" i="7"/>
  <c r="R18" i="4"/>
  <c r="M42" i="6"/>
  <c r="U17" i="4"/>
  <c r="J64" i="45"/>
  <c r="I64" i="45" s="1"/>
  <c r="J64" i="46"/>
  <c r="I64" i="46" s="1"/>
  <c r="C58" i="149"/>
  <c r="M46" i="44"/>
  <c r="C58" i="65"/>
  <c r="D40" i="58"/>
  <c r="U46" i="44"/>
  <c r="AM64" i="36"/>
  <c r="AL64" i="36" s="1"/>
  <c r="AF64" i="36"/>
  <c r="AO64" i="36"/>
  <c r="AS64" i="36" s="1"/>
  <c r="J48" i="44"/>
  <c r="H47" i="44"/>
  <c r="J47" i="44" s="1"/>
  <c r="C74" i="82"/>
  <c r="BT31" i="41"/>
  <c r="BT30" i="41" s="1"/>
  <c r="AA59" i="36"/>
  <c r="Z61" i="36"/>
  <c r="Z59" i="36" s="1"/>
  <c r="AC61" i="36"/>
  <c r="BD63" i="41"/>
  <c r="BE63" i="41"/>
  <c r="BE61" i="41" s="1"/>
  <c r="AD8" i="14"/>
  <c r="C18" i="17"/>
  <c r="T39" i="38"/>
  <c r="I39" i="38"/>
  <c r="F9" i="47"/>
  <c r="L39" i="39"/>
  <c r="M76" i="39"/>
  <c r="AT39" i="47"/>
  <c r="AT41" i="47" s="1"/>
  <c r="AT10" i="47"/>
  <c r="AD9" i="48"/>
  <c r="AV61" i="41"/>
  <c r="N18" i="22"/>
  <c r="S18" i="22" s="1"/>
  <c r="L47" i="36"/>
  <c r="H46" i="38"/>
  <c r="F46" i="38" s="1"/>
  <c r="H48" i="35"/>
  <c r="F48" i="35" s="1"/>
  <c r="H48" i="34"/>
  <c r="F48" i="34" s="1"/>
  <c r="L26" i="33"/>
  <c r="H46" i="7"/>
  <c r="H46" i="39"/>
  <c r="F46" i="39" s="1"/>
  <c r="H34" i="4"/>
  <c r="H46" i="6"/>
  <c r="F46" i="6" s="1"/>
  <c r="BP11" i="41"/>
  <c r="U51" i="36"/>
  <c r="J12" i="26"/>
  <c r="J11" i="26" s="1"/>
  <c r="AU22" i="37"/>
  <c r="M22" i="37"/>
  <c r="AO32" i="37"/>
  <c r="AL32" i="37" s="1"/>
  <c r="AG32" i="37"/>
  <c r="AI32" i="37" s="1"/>
  <c r="H55" i="39"/>
  <c r="H51" i="39" s="1"/>
  <c r="AD49" i="22"/>
  <c r="Z74" i="39"/>
  <c r="AC74" i="39"/>
  <c r="O59" i="7"/>
  <c r="AJ23" i="47"/>
  <c r="AL23" i="47"/>
  <c r="AQ12" i="37"/>
  <c r="E5" i="20"/>
  <c r="U45" i="36"/>
  <c r="T45" i="36" s="1"/>
  <c r="S11" i="36"/>
  <c r="Y45" i="36"/>
  <c r="W88" i="22"/>
  <c r="BT44" i="3"/>
  <c r="BV44" i="3"/>
  <c r="BR76" i="3"/>
  <c r="Z15" i="16" s="1"/>
  <c r="BR13" i="3"/>
  <c r="BR11" i="3" s="1"/>
  <c r="V20" i="37"/>
  <c r="R20" i="37" s="1"/>
  <c r="AA20" i="4"/>
  <c r="R20" i="4"/>
  <c r="AD12" i="1"/>
  <c r="F18" i="31"/>
  <c r="F10" i="1"/>
  <c r="I19" i="34"/>
  <c r="AV10" i="1"/>
  <c r="AJ53" i="5"/>
  <c r="AJ9" i="5"/>
  <c r="AJ50" i="5" s="1"/>
  <c r="Y19" i="38"/>
  <c r="X19" i="38" s="1"/>
  <c r="V19" i="7"/>
  <c r="U19" i="46"/>
  <c r="Y19" i="39"/>
  <c r="V19" i="6"/>
  <c r="I11" i="21"/>
  <c r="I16" i="21" s="1"/>
  <c r="J14" i="21"/>
  <c r="J11" i="21" s="1"/>
  <c r="J16" i="21" s="1"/>
  <c r="AH53" i="5"/>
  <c r="AH9" i="5"/>
  <c r="AN9" i="5"/>
  <c r="AN50" i="5" s="1"/>
  <c r="AN53" i="5"/>
  <c r="V36" i="6"/>
  <c r="K21" i="19"/>
  <c r="AG13" i="4"/>
  <c r="Y36" i="39"/>
  <c r="Y36" i="38"/>
  <c r="X36" i="38" s="1"/>
  <c r="V36" i="7"/>
  <c r="U36" i="7" s="1"/>
  <c r="U14" i="38"/>
  <c r="V72" i="38"/>
  <c r="N65" i="1"/>
  <c r="N29" i="31" s="1"/>
  <c r="N30" i="31"/>
  <c r="S27" i="16"/>
  <c r="BL32" i="5"/>
  <c r="V74" i="38"/>
  <c r="U74" i="38" s="1"/>
  <c r="U16" i="38"/>
  <c r="L24" i="19"/>
  <c r="K23" i="19"/>
  <c r="BI37" i="5"/>
  <c r="X22" i="16"/>
  <c r="BF13" i="1"/>
  <c r="L13" i="1"/>
  <c r="I53" i="39"/>
  <c r="J52" i="39"/>
  <c r="BJ67" i="41"/>
  <c r="Y12" i="1"/>
  <c r="Y10" i="1"/>
  <c r="Y70" i="1" s="1"/>
  <c r="AZ11" i="3"/>
  <c r="L36" i="6"/>
  <c r="BY30" i="3"/>
  <c r="BZ30" i="3" s="1"/>
  <c r="BH30" i="3"/>
  <c r="Z17" i="16"/>
  <c r="AM70" i="3"/>
  <c r="AM77" i="3"/>
  <c r="AM72" i="3" s="1"/>
  <c r="AM84" i="3" s="1"/>
  <c r="AZ59" i="3"/>
  <c r="AZ58" i="3" s="1"/>
  <c r="G27" i="6"/>
  <c r="AJ59" i="3"/>
  <c r="AR60" i="3"/>
  <c r="AR59" i="3" s="1"/>
  <c r="BA80" i="41"/>
  <c r="AV12" i="3"/>
  <c r="F9" i="16"/>
  <c r="AV10" i="3"/>
  <c r="L39" i="1"/>
  <c r="P39" i="1" s="1"/>
  <c r="BA39" i="3"/>
  <c r="BE39" i="3" s="1"/>
  <c r="H39" i="1"/>
  <c r="G39" i="1" s="1"/>
  <c r="BF39" i="1"/>
  <c r="BM70" i="41"/>
  <c r="BM68" i="3"/>
  <c r="G40" i="1"/>
  <c r="G15" i="31" s="1"/>
  <c r="H15" i="31"/>
  <c r="I70" i="1"/>
  <c r="E12" i="46"/>
  <c r="I10" i="31"/>
  <c r="E12" i="6"/>
  <c r="E12" i="39"/>
  <c r="E12" i="7"/>
  <c r="P88" i="1"/>
  <c r="E12" i="38"/>
  <c r="E12" i="35"/>
  <c r="E12" i="34"/>
  <c r="D14" i="16"/>
  <c r="D13" i="16" s="1"/>
  <c r="AR75" i="3"/>
  <c r="T12" i="4"/>
  <c r="BI12" i="5"/>
  <c r="O42" i="46"/>
  <c r="P85" i="46"/>
  <c r="L41" i="139"/>
  <c r="R41" i="139" s="1"/>
  <c r="W41" i="139"/>
  <c r="AB41" i="139" s="1"/>
  <c r="R45" i="95"/>
  <c r="AF45" i="95"/>
  <c r="BF51" i="41"/>
  <c r="BK25" i="43"/>
  <c r="C46" i="60"/>
  <c r="C45" i="60" s="1"/>
  <c r="C61" i="60"/>
  <c r="BI25" i="48"/>
  <c r="R33" i="48"/>
  <c r="P33" i="48"/>
  <c r="D14" i="15" s="1"/>
  <c r="Q33" i="48"/>
  <c r="I42" i="45"/>
  <c r="S44" i="139"/>
  <c r="Y44" i="139" s="1"/>
  <c r="AD44" i="139" s="1"/>
  <c r="P44" i="139"/>
  <c r="V105" i="88"/>
  <c r="V106" i="88"/>
  <c r="X105" i="88"/>
  <c r="V131" i="88"/>
  <c r="M39" i="139"/>
  <c r="Y39" i="139" s="1"/>
  <c r="AD39" i="139" s="1"/>
  <c r="J39" i="139"/>
  <c r="K39" i="139" s="1"/>
  <c r="G74" i="89"/>
  <c r="I73" i="89"/>
  <c r="H74" i="89"/>
  <c r="J10" i="86"/>
  <c r="J8" i="86"/>
  <c r="J60" i="86" s="1"/>
  <c r="C18" i="97"/>
  <c r="H20" i="97"/>
  <c r="M20" i="97"/>
  <c r="AQ136" i="88"/>
  <c r="AV135" i="88"/>
  <c r="BH135" i="88" s="1"/>
  <c r="AO136" i="88"/>
  <c r="AJ23" i="87"/>
  <c r="AL23" i="87" s="1"/>
  <c r="AR23" i="87"/>
  <c r="AM17" i="87"/>
  <c r="AM14" i="87" s="1"/>
  <c r="AM8" i="87" s="1"/>
  <c r="AM7" i="87" s="1"/>
  <c r="K54" i="96"/>
  <c r="AF54" i="96"/>
  <c r="H52" i="96"/>
  <c r="AJ20" i="89"/>
  <c r="AN20" i="89" s="1"/>
  <c r="AB20" i="89"/>
  <c r="AA73" i="89"/>
  <c r="E9" i="88"/>
  <c r="E7" i="88"/>
  <c r="E158" i="88"/>
  <c r="E157" i="88"/>
  <c r="F158" i="88"/>
  <c r="E71" i="88"/>
  <c r="I8" i="88"/>
  <c r="BH20" i="88"/>
  <c r="AP31" i="86"/>
  <c r="AP28" i="86" s="1"/>
  <c r="AP9" i="86" s="1"/>
  <c r="AO28" i="86"/>
  <c r="AO9" i="86" s="1"/>
  <c r="BA7" i="88"/>
  <c r="BA50" i="88" s="1"/>
  <c r="BA71" i="88"/>
  <c r="AE14" i="99"/>
  <c r="AD8" i="99"/>
  <c r="R24" i="100"/>
  <c r="I23" i="100"/>
  <c r="I22" i="100" s="1"/>
  <c r="P13" i="100"/>
  <c r="O15" i="100"/>
  <c r="AB14" i="100"/>
  <c r="AA14" i="100" s="1"/>
  <c r="AA10" i="100"/>
  <c r="N7" i="97"/>
  <c r="H81" i="88"/>
  <c r="H73" i="88"/>
  <c r="K69" i="88"/>
  <c r="W28" i="96"/>
  <c r="BH21" i="88"/>
  <c r="U14" i="87"/>
  <c r="AA63" i="89"/>
  <c r="AA57" i="89"/>
  <c r="AA154" i="89"/>
  <c r="AA104" i="89"/>
  <c r="AA8" i="89"/>
  <c r="AA105" i="89"/>
  <c r="R171" i="88"/>
  <c r="R176" i="88"/>
  <c r="R173" i="88"/>
  <c r="R167" i="88"/>
  <c r="R174" i="88"/>
  <c r="R165" i="88"/>
  <c r="P60" i="86"/>
  <c r="P67" i="86"/>
  <c r="BE141" i="88"/>
  <c r="BH141" i="88" s="1"/>
  <c r="BB40" i="86"/>
  <c r="BI40" i="86"/>
  <c r="D73" i="88"/>
  <c r="AK65" i="89"/>
  <c r="AB65" i="89"/>
  <c r="AJ65" i="89"/>
  <c r="AN65" i="89" s="1"/>
  <c r="BO18" i="51"/>
  <c r="F18" i="51"/>
  <c r="BJ16" i="51"/>
  <c r="BJ11" i="51" s="1"/>
  <c r="BJ10" i="51" s="1"/>
  <c r="DL27" i="47"/>
  <c r="EU18" i="51"/>
  <c r="EU16" i="51" s="1"/>
  <c r="EP16" i="51"/>
  <c r="C10" i="81"/>
  <c r="C8" i="81" s="1"/>
  <c r="C9" i="81" s="1"/>
  <c r="AG18" i="92"/>
  <c r="AG8" i="92" s="1"/>
  <c r="AH19" i="92"/>
  <c r="F34" i="14"/>
  <c r="I36" i="47"/>
  <c r="U33" i="47"/>
  <c r="W36" i="47"/>
  <c r="V36" i="47"/>
  <c r="X36" i="47"/>
  <c r="FW15" i="51"/>
  <c r="FW12" i="51" s="1"/>
  <c r="FR12" i="51"/>
  <c r="FR11" i="51" s="1"/>
  <c r="FR10" i="51" s="1"/>
  <c r="CN9" i="47"/>
  <c r="BX12" i="51"/>
  <c r="BX11" i="51" s="1"/>
  <c r="BX10" i="51" s="1"/>
  <c r="CC13" i="51"/>
  <c r="F13" i="51"/>
  <c r="CH17" i="47"/>
  <c r="C8" i="82"/>
  <c r="C9" i="82" s="1"/>
  <c r="BB33" i="5"/>
  <c r="J38" i="44"/>
  <c r="DH10" i="47"/>
  <c r="BW9" i="48"/>
  <c r="DH39" i="47"/>
  <c r="DH41" i="47" s="1"/>
  <c r="DD23" i="47"/>
  <c r="DF23" i="47"/>
  <c r="CY9" i="47"/>
  <c r="U10" i="48"/>
  <c r="AF40" i="47"/>
  <c r="BT17" i="48"/>
  <c r="DW20" i="51"/>
  <c r="DW21" i="51" s="1"/>
  <c r="DM10" i="47"/>
  <c r="DP9" i="47"/>
  <c r="DO9" i="47"/>
  <c r="G36" i="47"/>
  <c r="DQ26" i="47"/>
  <c r="DL26" i="47"/>
  <c r="DL23" i="47" s="1"/>
  <c r="DL9" i="47" s="1"/>
  <c r="DR26" i="47"/>
  <c r="DO26" i="47"/>
  <c r="DP26" i="47"/>
  <c r="G65" i="45"/>
  <c r="F66" i="45"/>
  <c r="F65" i="45" s="1"/>
  <c r="ER39" i="47"/>
  <c r="ER41" i="47" s="1"/>
  <c r="CU9" i="48"/>
  <c r="CU8" i="48" s="1"/>
  <c r="ER10" i="47"/>
  <c r="M29" i="23"/>
  <c r="M12" i="23" s="1"/>
  <c r="W15" i="22"/>
  <c r="W14" i="22" s="1"/>
  <c r="W13" i="22" s="1"/>
  <c r="W12" i="22" s="1"/>
  <c r="W11" i="22" s="1"/>
  <c r="W10" i="22" s="1"/>
  <c r="AM12" i="41"/>
  <c r="AM10" i="41"/>
  <c r="AN5" i="41" s="1"/>
  <c r="N29" i="23"/>
  <c r="N12" i="23" s="1"/>
  <c r="O66" i="45"/>
  <c r="AL67" i="41"/>
  <c r="AR69" i="41"/>
  <c r="AR67" i="41" s="1"/>
  <c r="AR60" i="41" s="1"/>
  <c r="AY12" i="41"/>
  <c r="AY10" i="41"/>
  <c r="AY72" i="41" s="1"/>
  <c r="AD58" i="40"/>
  <c r="AD49" i="40" s="1"/>
  <c r="AD64" i="40" s="1"/>
  <c r="AD24" i="40"/>
  <c r="AD23" i="40" s="1"/>
  <c r="AE32" i="40"/>
  <c r="T66" i="36"/>
  <c r="U65" i="36"/>
  <c r="U76" i="36"/>
  <c r="W66" i="36"/>
  <c r="S11" i="25"/>
  <c r="X33" i="62"/>
  <c r="C33" i="14"/>
  <c r="Z33" i="14"/>
  <c r="BV39" i="41"/>
  <c r="BT39" i="41"/>
  <c r="X50" i="9"/>
  <c r="D11" i="36"/>
  <c r="BL11" i="36" s="1"/>
  <c r="BL13" i="36"/>
  <c r="L13" i="36"/>
  <c r="K76" i="39"/>
  <c r="I76" i="39" s="1"/>
  <c r="N76" i="39"/>
  <c r="I39" i="39"/>
  <c r="T39" i="39"/>
  <c r="BJ30" i="41"/>
  <c r="K12" i="22"/>
  <c r="R13" i="22"/>
  <c r="AB76" i="39"/>
  <c r="AA76" i="39" s="1"/>
  <c r="AA39" i="39"/>
  <c r="BP39" i="47"/>
  <c r="BP41" i="47" s="1"/>
  <c r="BP42" i="47" s="1"/>
  <c r="BP43" i="47" s="1"/>
  <c r="BP10" i="47"/>
  <c r="AA30" i="37"/>
  <c r="W30" i="4"/>
  <c r="J9" i="21"/>
  <c r="T10" i="10"/>
  <c r="T8" i="10" s="1"/>
  <c r="N8" i="10"/>
  <c r="J17" i="47"/>
  <c r="AE9" i="47"/>
  <c r="G62" i="34"/>
  <c r="G62" i="35"/>
  <c r="K36" i="33"/>
  <c r="G60" i="38"/>
  <c r="G60" i="39"/>
  <c r="H44" i="4"/>
  <c r="K42" i="4"/>
  <c r="K34" i="33" s="1"/>
  <c r="G60" i="6"/>
  <c r="G60" i="7"/>
  <c r="D26" i="33"/>
  <c r="R19" i="26"/>
  <c r="Y59" i="9"/>
  <c r="Y50" i="9" s="1"/>
  <c r="Y65" i="9" s="1"/>
  <c r="Z33" i="9"/>
  <c r="M26" i="19"/>
  <c r="N27" i="19"/>
  <c r="U64" i="43"/>
  <c r="U64" i="150" s="1"/>
  <c r="T64" i="150" s="1"/>
  <c r="T62" i="150" s="1"/>
  <c r="Q62" i="43"/>
  <c r="BP78" i="41"/>
  <c r="J78" i="23"/>
  <c r="P79" i="23"/>
  <c r="P78" i="23" s="1"/>
  <c r="V21" i="37"/>
  <c r="R21" i="37" s="1"/>
  <c r="AA21" i="4"/>
  <c r="R21" i="4"/>
  <c r="M18" i="28"/>
  <c r="R23" i="26"/>
  <c r="AM51" i="36"/>
  <c r="AL52" i="36"/>
  <c r="AL51" i="36" s="1"/>
  <c r="U36" i="43"/>
  <c r="U36" i="150" s="1"/>
  <c r="T36" i="150" s="1"/>
  <c r="W13" i="94"/>
  <c r="I17" i="47"/>
  <c r="G23" i="26"/>
  <c r="K23" i="26" s="1"/>
  <c r="K20" i="6"/>
  <c r="K18" i="6" s="1"/>
  <c r="H56" i="36"/>
  <c r="I48" i="39"/>
  <c r="J82" i="39"/>
  <c r="I82" i="39" s="1"/>
  <c r="S48" i="39"/>
  <c r="R48" i="39" s="1"/>
  <c r="X25" i="9"/>
  <c r="X24" i="9" s="1"/>
  <c r="X13" i="9"/>
  <c r="AE27" i="5"/>
  <c r="AE14" i="5"/>
  <c r="AE26" i="5"/>
  <c r="AE18" i="5"/>
  <c r="AE28" i="5"/>
  <c r="AE33" i="5"/>
  <c r="AE32" i="5"/>
  <c r="AE12" i="5"/>
  <c r="AE9" i="5"/>
  <c r="AE16" i="5"/>
  <c r="AE25" i="5"/>
  <c r="AE31" i="5"/>
  <c r="AE24" i="5"/>
  <c r="AE20" i="5"/>
  <c r="AE29" i="5"/>
  <c r="AE15" i="5"/>
  <c r="AE23" i="5"/>
  <c r="AE11" i="5"/>
  <c r="AE30" i="5"/>
  <c r="AE22" i="5"/>
  <c r="AE21" i="5"/>
  <c r="AE13" i="5"/>
  <c r="AE19" i="5"/>
  <c r="AE34" i="5"/>
  <c r="AC72" i="38"/>
  <c r="AC71" i="38" s="1"/>
  <c r="Z72" i="38"/>
  <c r="Z71" i="38" s="1"/>
  <c r="J12" i="27"/>
  <c r="J11" i="27" s="1"/>
  <c r="G31" i="26"/>
  <c r="C19" i="17"/>
  <c r="AG8" i="14"/>
  <c r="AA11" i="11"/>
  <c r="P76" i="39"/>
  <c r="O76" i="39" s="1"/>
  <c r="AI31" i="37"/>
  <c r="AB41" i="1"/>
  <c r="U41" i="1"/>
  <c r="T41" i="1" s="1"/>
  <c r="G10" i="20"/>
  <c r="E10" i="20" s="1"/>
  <c r="G14" i="20"/>
  <c r="G11" i="20"/>
  <c r="G12" i="20"/>
  <c r="G17" i="20"/>
  <c r="BT20" i="41"/>
  <c r="BT19" i="41" s="1"/>
  <c r="BN19" i="41"/>
  <c r="BN11" i="41" s="1"/>
  <c r="BN78" i="41"/>
  <c r="AT31" i="37"/>
  <c r="AQ31" i="37" s="1"/>
  <c r="BT40" i="3"/>
  <c r="BV40" i="3"/>
  <c r="BI11" i="3"/>
  <c r="BL25" i="3"/>
  <c r="BL11" i="3" s="1"/>
  <c r="K40" i="38"/>
  <c r="K44" i="38" s="1"/>
  <c r="Q17" i="33"/>
  <c r="K40" i="39"/>
  <c r="K40" i="6"/>
  <c r="K44" i="6" s="1"/>
  <c r="K80" i="6" s="1"/>
  <c r="K40" i="34"/>
  <c r="K40" i="7"/>
  <c r="K40" i="35"/>
  <c r="K46" i="35" s="1"/>
  <c r="Z22" i="16"/>
  <c r="K12" i="25"/>
  <c r="M13" i="25"/>
  <c r="M12" i="25" s="1"/>
  <c r="N27" i="6"/>
  <c r="N20" i="6" s="1"/>
  <c r="N18" i="6" s="1"/>
  <c r="T28" i="6"/>
  <c r="Q28" i="6"/>
  <c r="Q27" i="6" s="1"/>
  <c r="Q20" i="6" s="1"/>
  <c r="BS15" i="5"/>
  <c r="BJ15" i="5"/>
  <c r="BT15" i="5" s="1"/>
  <c r="BW15" i="5" s="1"/>
  <c r="S76" i="6"/>
  <c r="R76" i="6" s="1"/>
  <c r="R39" i="6"/>
  <c r="BS19" i="3"/>
  <c r="I29" i="39"/>
  <c r="I27" i="39" s="1"/>
  <c r="AX12" i="5"/>
  <c r="AX11" i="5" s="1"/>
  <c r="O16" i="39"/>
  <c r="S16" i="39"/>
  <c r="R16" i="39" s="1"/>
  <c r="AQ35" i="5"/>
  <c r="C32" i="16" s="1"/>
  <c r="BM14" i="5"/>
  <c r="BN14" i="5" s="1"/>
  <c r="C28" i="8"/>
  <c r="BT34" i="3"/>
  <c r="BT30" i="3" s="1"/>
  <c r="S81" i="45"/>
  <c r="S80" i="45" s="1"/>
  <c r="R14" i="45"/>
  <c r="V43" i="1"/>
  <c r="O43" i="1"/>
  <c r="N43" i="1" s="1"/>
  <c r="BH43" i="1" s="1"/>
  <c r="AI14" i="4"/>
  <c r="BO14" i="5"/>
  <c r="BP14" i="5" s="1"/>
  <c r="Z36" i="4"/>
  <c r="P53" i="38"/>
  <c r="P53" i="7"/>
  <c r="AE37" i="4"/>
  <c r="P53" i="39"/>
  <c r="W37" i="4"/>
  <c r="P53" i="6"/>
  <c r="BT67" i="3"/>
  <c r="BJ65" i="3"/>
  <c r="BE60" i="3"/>
  <c r="BE59" i="3" s="1"/>
  <c r="V55" i="1"/>
  <c r="V19" i="31" s="1"/>
  <c r="V22" i="31"/>
  <c r="AP55" i="3"/>
  <c r="AP70" i="3" s="1"/>
  <c r="I53" i="7"/>
  <c r="J52" i="7"/>
  <c r="AO70" i="3"/>
  <c r="BV58" i="41"/>
  <c r="BT58" i="41"/>
  <c r="N13" i="1"/>
  <c r="BH14" i="1"/>
  <c r="V81" i="45"/>
  <c r="N30" i="1"/>
  <c r="BH31" i="1"/>
  <c r="BN71" i="41"/>
  <c r="Y73" i="38"/>
  <c r="X73" i="38" s="1"/>
  <c r="BJ63" i="41"/>
  <c r="AH58" i="3"/>
  <c r="S10" i="31"/>
  <c r="S70" i="1"/>
  <c r="S34" i="31" s="1"/>
  <c r="M79" i="39"/>
  <c r="L79" i="39" s="1"/>
  <c r="L43" i="39"/>
  <c r="BA19" i="3"/>
  <c r="D15" i="46"/>
  <c r="C15" i="46" s="1"/>
  <c r="F14" i="44"/>
  <c r="D15" i="39"/>
  <c r="C15" i="39" s="1"/>
  <c r="D15" i="7"/>
  <c r="D15" i="34"/>
  <c r="C15" i="34" s="1"/>
  <c r="D15" i="38"/>
  <c r="D15" i="6"/>
  <c r="C15" i="6" s="1"/>
  <c r="F14" i="4"/>
  <c r="F14" i="37"/>
  <c r="D15" i="35"/>
  <c r="C15" i="35" s="1"/>
  <c r="H17" i="31"/>
  <c r="G50" i="1"/>
  <c r="G17" i="31" s="1"/>
  <c r="AR67" i="3"/>
  <c r="AR65" i="3" s="1"/>
  <c r="BM39" i="43"/>
  <c r="O39" i="43"/>
  <c r="O39" i="150" s="1"/>
  <c r="E17" i="19"/>
  <c r="F18" i="19"/>
  <c r="AT21" i="37"/>
  <c r="BI23" i="5"/>
  <c r="BJ23" i="5" s="1"/>
  <c r="T23" i="4"/>
  <c r="G111" i="89"/>
  <c r="G61" i="89"/>
  <c r="G10" i="89"/>
  <c r="G56" i="89"/>
  <c r="I16" i="89"/>
  <c r="G54" i="89"/>
  <c r="G58" i="89"/>
  <c r="I9" i="94"/>
  <c r="I7" i="94"/>
  <c r="V92" i="60"/>
  <c r="V91" i="13"/>
  <c r="P92" i="13"/>
  <c r="C92" i="13" s="1"/>
  <c r="S85" i="13"/>
  <c r="S86" i="60"/>
  <c r="P86" i="13"/>
  <c r="C86" i="13" s="1"/>
  <c r="L57" i="46"/>
  <c r="M93" i="46"/>
  <c r="L93" i="46" s="1"/>
  <c r="P93" i="46"/>
  <c r="O57" i="46"/>
  <c r="Z59" i="139"/>
  <c r="U59" i="139"/>
  <c r="C5" i="146"/>
  <c r="E6" i="146"/>
  <c r="N8" i="139"/>
  <c r="N10" i="139"/>
  <c r="AJ121" i="89"/>
  <c r="AN121" i="89" s="1"/>
  <c r="AA122" i="89"/>
  <c r="AB121" i="89"/>
  <c r="AF122" i="89"/>
  <c r="AA123" i="89"/>
  <c r="X30" i="86"/>
  <c r="X28" i="86" s="1"/>
  <c r="W28" i="86"/>
  <c r="W9" i="86" s="1"/>
  <c r="BC91" i="88"/>
  <c r="BC94" i="88"/>
  <c r="AP7" i="88"/>
  <c r="AV7" i="88" s="1"/>
  <c r="AX8" i="88" s="1"/>
  <c r="AP9" i="88"/>
  <c r="K49" i="100"/>
  <c r="K6" i="100"/>
  <c r="K7" i="100" s="1"/>
  <c r="AC32" i="100" s="1"/>
  <c r="AC33" i="100" s="1"/>
  <c r="AC36" i="100" s="1"/>
  <c r="AC37" i="100" s="1"/>
  <c r="T45" i="100"/>
  <c r="K47" i="100"/>
  <c r="R14" i="100"/>
  <c r="M9" i="97"/>
  <c r="AB8" i="91"/>
  <c r="AB9" i="91"/>
  <c r="AB10" i="91"/>
  <c r="R163" i="88"/>
  <c r="R11" i="88"/>
  <c r="R19" i="88"/>
  <c r="R12" i="88"/>
  <c r="R27" i="88"/>
  <c r="R14" i="88"/>
  <c r="R22" i="88"/>
  <c r="R26" i="88"/>
  <c r="R13" i="88"/>
  <c r="R157" i="88"/>
  <c r="R23" i="88"/>
  <c r="R24" i="88"/>
  <c r="R10" i="88"/>
  <c r="AD7" i="88"/>
  <c r="R21" i="88"/>
  <c r="R7" i="88"/>
  <c r="R17" i="88"/>
  <c r="R9" i="88"/>
  <c r="P85" i="88"/>
  <c r="R28" i="88"/>
  <c r="R20" i="88"/>
  <c r="R8" i="88"/>
  <c r="R16" i="88"/>
  <c r="R18" i="88"/>
  <c r="R15" i="88"/>
  <c r="BG43" i="86"/>
  <c r="BH43" i="86" s="1"/>
  <c r="BL43" i="86"/>
  <c r="BM43" i="86" s="1"/>
  <c r="BN43" i="86" s="1"/>
  <c r="AY53" i="89"/>
  <c r="AK53" i="89"/>
  <c r="AJ53" i="89"/>
  <c r="AN53" i="89" s="1"/>
  <c r="AC52" i="86"/>
  <c r="AD53" i="86"/>
  <c r="AD52" i="86" s="1"/>
  <c r="H9" i="62"/>
  <c r="E11" i="62"/>
  <c r="DN16" i="51"/>
  <c r="DN11" i="51" s="1"/>
  <c r="DN10" i="51" s="1"/>
  <c r="DS17" i="51"/>
  <c r="DS16" i="51" s="1"/>
  <c r="DS11" i="51" s="1"/>
  <c r="DS10" i="51" s="1"/>
  <c r="BE16" i="41"/>
  <c r="BE13" i="41" s="1"/>
  <c r="BA13" i="41"/>
  <c r="C32" i="14"/>
  <c r="F32" i="62"/>
  <c r="F31" i="14"/>
  <c r="H32" i="14"/>
  <c r="AQ67" i="48"/>
  <c r="AS41" i="48"/>
  <c r="FE11" i="47"/>
  <c r="FC11" i="47"/>
  <c r="E9" i="47"/>
  <c r="CZ12" i="51"/>
  <c r="CZ11" i="51" s="1"/>
  <c r="CZ10" i="51" s="1"/>
  <c r="DE13" i="51"/>
  <c r="DE12" i="51" s="1"/>
  <c r="DE11" i="51" s="1"/>
  <c r="DE10" i="51" s="1"/>
  <c r="M82" i="45"/>
  <c r="L82" i="45" s="1"/>
  <c r="L15" i="45"/>
  <c r="BA20" i="41"/>
  <c r="BI20" i="43"/>
  <c r="DF30" i="47"/>
  <c r="DD30" i="47"/>
  <c r="G65" i="46"/>
  <c r="F66" i="46"/>
  <c r="F65" i="46" s="1"/>
  <c r="Y9" i="47"/>
  <c r="Z9" i="47"/>
  <c r="S10" i="47"/>
  <c r="AZ64" i="41"/>
  <c r="E29" i="23"/>
  <c r="E12" i="23" s="1"/>
  <c r="N15" i="22"/>
  <c r="X11" i="36"/>
  <c r="W10" i="36"/>
  <c r="W12" i="36"/>
  <c r="F29" i="23"/>
  <c r="F12" i="23" s="1"/>
  <c r="L15" i="22"/>
  <c r="L14" i="22" s="1"/>
  <c r="L13" i="22" s="1"/>
  <c r="L12" i="22" s="1"/>
  <c r="L11" i="22" s="1"/>
  <c r="L10" i="22" s="1"/>
  <c r="FE33" i="47"/>
  <c r="FC33" i="47"/>
  <c r="G62" i="43"/>
  <c r="G61" i="43" s="1"/>
  <c r="H61" i="43"/>
  <c r="H57" i="43" s="1"/>
  <c r="P53" i="23"/>
  <c r="S53" i="23"/>
  <c r="F46" i="7"/>
  <c r="S49" i="22"/>
  <c r="X34" i="14"/>
  <c r="CP36" i="47"/>
  <c r="CP33" i="47" s="1"/>
  <c r="CR36" i="47"/>
  <c r="CQ36" i="47"/>
  <c r="BY68" i="41"/>
  <c r="BZ68" i="41" s="1"/>
  <c r="BB67" i="41"/>
  <c r="BF68" i="41"/>
  <c r="BF67" i="41" s="1"/>
  <c r="AM19" i="36"/>
  <c r="AL21" i="36"/>
  <c r="AL19" i="36" s="1"/>
  <c r="G55" i="26"/>
  <c r="K59" i="26"/>
  <c r="K39" i="26"/>
  <c r="G38" i="26"/>
  <c r="U25" i="36"/>
  <c r="T26" i="36"/>
  <c r="T25" i="36" s="1"/>
  <c r="M18" i="37"/>
  <c r="Q17" i="37"/>
  <c r="R86" i="37" s="1"/>
  <c r="BE51" i="36"/>
  <c r="K34" i="38"/>
  <c r="Q10" i="36"/>
  <c r="Q12" i="36"/>
  <c r="R11" i="36"/>
  <c r="AJ11" i="36"/>
  <c r="H11" i="22"/>
  <c r="H10" i="22" s="1"/>
  <c r="Q30" i="14"/>
  <c r="S30" i="14"/>
  <c r="BV38" i="41"/>
  <c r="FB9" i="47"/>
  <c r="EU10" i="47"/>
  <c r="AM79" i="41"/>
  <c r="AM74" i="41" s="1"/>
  <c r="AM86" i="41" s="1"/>
  <c r="W29" i="39"/>
  <c r="Q29" i="39"/>
  <c r="Y12" i="37"/>
  <c r="C46" i="39"/>
  <c r="K81" i="39"/>
  <c r="I81" i="39" s="1"/>
  <c r="BL47" i="36"/>
  <c r="O21" i="37"/>
  <c r="R31" i="26"/>
  <c r="R30" i="26" s="1"/>
  <c r="T51" i="36"/>
  <c r="AC10" i="36"/>
  <c r="AD11" i="36"/>
  <c r="AC12" i="36"/>
  <c r="I35" i="39"/>
  <c r="G57" i="36"/>
  <c r="J57" i="36"/>
  <c r="N12" i="27"/>
  <c r="N11" i="27" s="1"/>
  <c r="S39" i="39"/>
  <c r="R39" i="39" s="1"/>
  <c r="V43" i="36"/>
  <c r="O43" i="36"/>
  <c r="N43" i="36" s="1"/>
  <c r="BN43" i="36" s="1"/>
  <c r="F43" i="35"/>
  <c r="S93" i="46"/>
  <c r="BS19" i="41"/>
  <c r="T35" i="38"/>
  <c r="W36" i="38"/>
  <c r="U36" i="38" s="1"/>
  <c r="I22" i="19"/>
  <c r="J22" i="19" s="1"/>
  <c r="T36" i="6"/>
  <c r="T73" i="6" s="1"/>
  <c r="T36" i="7"/>
  <c r="R36" i="7" s="1"/>
  <c r="T82" i="46"/>
  <c r="W36" i="39"/>
  <c r="U36" i="39" s="1"/>
  <c r="J50" i="9"/>
  <c r="Q85" i="4"/>
  <c r="Q86" i="4" s="1"/>
  <c r="R86" i="4" s="1"/>
  <c r="M37" i="39"/>
  <c r="M37" i="6"/>
  <c r="M37" i="38"/>
  <c r="L37" i="38" s="1"/>
  <c r="E24" i="19"/>
  <c r="E12" i="19" s="1"/>
  <c r="E11" i="19" s="1"/>
  <c r="M37" i="7"/>
  <c r="L37" i="7" s="1"/>
  <c r="R14" i="4"/>
  <c r="BD76" i="3"/>
  <c r="N15" i="16" s="1"/>
  <c r="P15" i="16" s="1"/>
  <c r="AE15" i="16" s="1"/>
  <c r="BJ16" i="5"/>
  <c r="BS16" i="5"/>
  <c r="P36" i="7"/>
  <c r="O36" i="7" s="1"/>
  <c r="P36" i="39"/>
  <c r="V73" i="39" s="1"/>
  <c r="P36" i="38"/>
  <c r="G21" i="19"/>
  <c r="W13" i="4"/>
  <c r="P36" i="6"/>
  <c r="BT14" i="3"/>
  <c r="T59" i="1"/>
  <c r="T24" i="31"/>
  <c r="O16" i="7"/>
  <c r="P74" i="7"/>
  <c r="O74" i="7" s="1"/>
  <c r="BS54" i="3"/>
  <c r="E36" i="35"/>
  <c r="E34" i="35" s="1"/>
  <c r="E33" i="35" s="1"/>
  <c r="E32" i="35" s="1"/>
  <c r="G13" i="33"/>
  <c r="E36" i="39"/>
  <c r="E34" i="39" s="1"/>
  <c r="E33" i="39" s="1"/>
  <c r="E32" i="39" s="1"/>
  <c r="E36" i="38"/>
  <c r="E34" i="38" s="1"/>
  <c r="E33" i="38" s="1"/>
  <c r="E32" i="38" s="1"/>
  <c r="E36" i="34"/>
  <c r="E34" i="34" s="1"/>
  <c r="E33" i="34" s="1"/>
  <c r="E32" i="34" s="1"/>
  <c r="E36" i="7"/>
  <c r="E34" i="7" s="1"/>
  <c r="E33" i="7" s="1"/>
  <c r="E32" i="7" s="1"/>
  <c r="E36" i="6"/>
  <c r="E34" i="6" s="1"/>
  <c r="E33" i="6" s="1"/>
  <c r="E32" i="6" s="1"/>
  <c r="G11" i="4"/>
  <c r="BT28" i="3"/>
  <c r="BT25" i="3" s="1"/>
  <c r="Q11" i="37"/>
  <c r="AU13" i="37"/>
  <c r="AU11" i="37" s="1"/>
  <c r="BD11" i="3"/>
  <c r="V74" i="7"/>
  <c r="U74" i="7" s="1"/>
  <c r="U36" i="4"/>
  <c r="BE14" i="3"/>
  <c r="BA13" i="3"/>
  <c r="J74" i="38"/>
  <c r="I74" i="38" s="1"/>
  <c r="BB11" i="3"/>
  <c r="BH11" i="3" s="1"/>
  <c r="O15" i="7"/>
  <c r="P73" i="7"/>
  <c r="S73" i="7"/>
  <c r="R73" i="7" s="1"/>
  <c r="I55" i="34"/>
  <c r="J54" i="34"/>
  <c r="BF76" i="3"/>
  <c r="BG76" i="3" s="1"/>
  <c r="BF19" i="3"/>
  <c r="N19" i="1"/>
  <c r="D19" i="1"/>
  <c r="D11" i="1" s="1"/>
  <c r="H20" i="1"/>
  <c r="BF20" i="1"/>
  <c r="BN69" i="3"/>
  <c r="BT69" i="3" s="1"/>
  <c r="U22" i="16"/>
  <c r="AA22" i="16" s="1"/>
  <c r="L35" i="4"/>
  <c r="L27" i="33" s="1"/>
  <c r="Y82" i="45"/>
  <c r="X82" i="45" s="1"/>
  <c r="X15" i="45"/>
  <c r="M23" i="38"/>
  <c r="L23" i="38" s="1"/>
  <c r="Z61" i="1"/>
  <c r="AC61" i="1"/>
  <c r="M23" i="6"/>
  <c r="L23" i="6" s="1"/>
  <c r="M23" i="7"/>
  <c r="L23" i="7" s="1"/>
  <c r="M23" i="39"/>
  <c r="L23" i="39" s="1"/>
  <c r="D26" i="34"/>
  <c r="C26" i="34" s="1"/>
  <c r="J64" i="1"/>
  <c r="G64" i="1"/>
  <c r="G28" i="31" s="1"/>
  <c r="F46" i="44"/>
  <c r="D26" i="39"/>
  <c r="C26" i="39" s="1"/>
  <c r="D26" i="7"/>
  <c r="C26" i="7" s="1"/>
  <c r="F41" i="37"/>
  <c r="F41" i="4"/>
  <c r="H28" i="31"/>
  <c r="D26" i="35"/>
  <c r="C26" i="35" s="1"/>
  <c r="D26" i="38"/>
  <c r="C26" i="38" s="1"/>
  <c r="D26" i="6"/>
  <c r="C26" i="6" s="1"/>
  <c r="AW77" i="3"/>
  <c r="AW70" i="3"/>
  <c r="H40" i="34"/>
  <c r="H40" i="7"/>
  <c r="H40" i="6"/>
  <c r="H40" i="38"/>
  <c r="H40" i="39"/>
  <c r="L17" i="33"/>
  <c r="H40" i="35"/>
  <c r="Z24" i="37"/>
  <c r="W24" i="4"/>
  <c r="F12" i="44"/>
  <c r="D14" i="34"/>
  <c r="C14" i="34" s="1"/>
  <c r="D14" i="38"/>
  <c r="C14" i="38" s="1"/>
  <c r="D14" i="7"/>
  <c r="C14" i="7" s="1"/>
  <c r="H16" i="31"/>
  <c r="F13" i="4"/>
  <c r="D14" i="35"/>
  <c r="C14" i="35" s="1"/>
  <c r="G42" i="1"/>
  <c r="G16" i="31" s="1"/>
  <c r="D14" i="39"/>
  <c r="C14" i="39" s="1"/>
  <c r="D14" i="46"/>
  <c r="C14" i="46" s="1"/>
  <c r="D14" i="6"/>
  <c r="C14" i="6" s="1"/>
  <c r="F13" i="37"/>
  <c r="T19" i="4"/>
  <c r="BI19" i="5"/>
  <c r="BJ19" i="5" s="1"/>
  <c r="M50" i="1"/>
  <c r="P50" i="1"/>
  <c r="L17" i="31"/>
  <c r="AG11" i="3"/>
  <c r="L35" i="39"/>
  <c r="M72" i="39"/>
  <c r="AR56" i="3"/>
  <c r="F15" i="63"/>
  <c r="C80" i="75" s="1"/>
  <c r="T12" i="17"/>
  <c r="W23" i="4"/>
  <c r="Z23" i="37"/>
  <c r="BB47" i="41"/>
  <c r="BB11" i="41" s="1"/>
  <c r="L47" i="43"/>
  <c r="BI47" i="43"/>
  <c r="K47" i="43"/>
  <c r="R47" i="43"/>
  <c r="M8" i="94"/>
  <c r="AA8" i="94"/>
  <c r="AC8" i="94" s="1"/>
  <c r="Z8" i="94"/>
  <c r="L7" i="94"/>
  <c r="L9" i="94"/>
  <c r="AO9" i="88"/>
  <c r="AO160" i="88" s="1"/>
  <c r="AO7" i="88"/>
  <c r="AO66" i="88" s="1"/>
  <c r="AO71" i="88"/>
  <c r="AO72" i="88" s="1"/>
  <c r="AO157" i="88"/>
  <c r="AQ158" i="88"/>
  <c r="AO158" i="88"/>
  <c r="BC42" i="5"/>
  <c r="BD43" i="5"/>
  <c r="BF43" i="5" s="1"/>
  <c r="F26" i="62"/>
  <c r="C26" i="14"/>
  <c r="H26" i="14"/>
  <c r="K29" i="140"/>
  <c r="P29" i="140" s="1"/>
  <c r="S29" i="140"/>
  <c r="V29" i="140" s="1"/>
  <c r="W159" i="88"/>
  <c r="AA159" i="88" s="1"/>
  <c r="X78" i="88"/>
  <c r="AG23" i="87"/>
  <c r="AE17" i="87"/>
  <c r="AE14" i="87" s="1"/>
  <c r="AE8" i="87" s="1"/>
  <c r="AF96" i="89"/>
  <c r="AJ95" i="89"/>
  <c r="AN95" i="89" s="1"/>
  <c r="AB95" i="89"/>
  <c r="AA97" i="89"/>
  <c r="AA96" i="89"/>
  <c r="BV13" i="41"/>
  <c r="C36" i="60"/>
  <c r="F23" i="140"/>
  <c r="H23" i="140" s="1"/>
  <c r="BA52" i="86"/>
  <c r="AW8" i="88"/>
  <c r="M13" i="63"/>
  <c r="C78" i="82" s="1"/>
  <c r="I72" i="46"/>
  <c r="Q85" i="46"/>
  <c r="T85" i="46"/>
  <c r="C18" i="147"/>
  <c r="C15" i="147" s="1"/>
  <c r="C9" i="147" s="1"/>
  <c r="L20" i="147"/>
  <c r="K20" i="147"/>
  <c r="C17" i="147"/>
  <c r="F27" i="14"/>
  <c r="V29" i="47"/>
  <c r="I29" i="47"/>
  <c r="U27" i="47"/>
  <c r="W29" i="47"/>
  <c r="W27" i="47" s="1"/>
  <c r="X29" i="47"/>
  <c r="H10" i="139"/>
  <c r="H8" i="139"/>
  <c r="N16" i="140"/>
  <c r="F16" i="140"/>
  <c r="H16" i="140" s="1"/>
  <c r="L29" i="139"/>
  <c r="L28" i="139" s="1"/>
  <c r="K28" i="139"/>
  <c r="W28" i="139" s="1"/>
  <c r="X24" i="139"/>
  <c r="AC24" i="139" s="1"/>
  <c r="R36" i="139"/>
  <c r="X36" i="139" s="1"/>
  <c r="AC36" i="139" s="1"/>
  <c r="W36" i="139"/>
  <c r="AB36" i="139" s="1"/>
  <c r="Y54" i="89"/>
  <c r="Y49" i="89"/>
  <c r="Y155" i="89"/>
  <c r="Y55" i="89"/>
  <c r="AA48" i="89"/>
  <c r="F13" i="140"/>
  <c r="P13" i="140" s="1"/>
  <c r="S13" i="140"/>
  <c r="V13" i="140" s="1"/>
  <c r="E22" i="142"/>
  <c r="E66" i="142" s="1"/>
  <c r="E73" i="142" s="1"/>
  <c r="E44" i="142"/>
  <c r="G5" i="99"/>
  <c r="F13" i="99"/>
  <c r="F5" i="99" s="1"/>
  <c r="X32" i="95"/>
  <c r="Z31" i="95"/>
  <c r="N13" i="91"/>
  <c r="Q8" i="91"/>
  <c r="O13" i="91"/>
  <c r="AS10" i="89"/>
  <c r="AS8" i="89" s="1"/>
  <c r="AS9" i="89" s="1"/>
  <c r="AT11" i="89"/>
  <c r="W39" i="88"/>
  <c r="W85" i="88"/>
  <c r="X70" i="88"/>
  <c r="W50" i="88"/>
  <c r="R23" i="139"/>
  <c r="X23" i="139" s="1"/>
  <c r="AC23" i="139" s="1"/>
  <c r="W23" i="139"/>
  <c r="AB23" i="139" s="1"/>
  <c r="M23" i="87"/>
  <c r="R23" i="87"/>
  <c r="W23" i="87"/>
  <c r="AA28" i="96"/>
  <c r="U28" i="96"/>
  <c r="R29" i="97"/>
  <c r="AD28" i="139"/>
  <c r="G49" i="100"/>
  <c r="G6" i="100"/>
  <c r="G7" i="100" s="1"/>
  <c r="F7" i="100" s="1"/>
  <c r="F45" i="100"/>
  <c r="F6" i="100" s="1"/>
  <c r="G47" i="100"/>
  <c r="U9" i="97"/>
  <c r="W9" i="97" s="1"/>
  <c r="W11" i="97"/>
  <c r="BB9" i="88"/>
  <c r="BB67" i="88" s="1"/>
  <c r="BB71" i="88"/>
  <c r="BB7" i="88"/>
  <c r="BB157" i="88"/>
  <c r="BC158" i="88"/>
  <c r="AF129" i="89"/>
  <c r="AF123" i="89"/>
  <c r="AF126" i="89"/>
  <c r="M104" i="89"/>
  <c r="M8" i="89"/>
  <c r="M154" i="89"/>
  <c r="M105" i="89"/>
  <c r="M57" i="89"/>
  <c r="C10" i="96"/>
  <c r="C8" i="96"/>
  <c r="C60" i="96" s="1"/>
  <c r="BD49" i="86"/>
  <c r="BE49" i="86" s="1"/>
  <c r="AH105" i="88"/>
  <c r="AV104" i="88"/>
  <c r="BH104" i="88" s="1"/>
  <c r="AO105" i="88"/>
  <c r="BJ10" i="86"/>
  <c r="BK9" i="86"/>
  <c r="AF109" i="89"/>
  <c r="U52" i="86"/>
  <c r="N82" i="86"/>
  <c r="AJ32" i="88"/>
  <c r="BD98" i="88"/>
  <c r="J85" i="88"/>
  <c r="X95" i="88"/>
  <c r="X99" i="88"/>
  <c r="Z99" i="88"/>
  <c r="AY130" i="89"/>
  <c r="U34" i="14"/>
  <c r="CE36" i="47"/>
  <c r="CC33" i="47"/>
  <c r="CF33" i="47" s="1"/>
  <c r="CD36" i="47"/>
  <c r="CD33" i="47" s="1"/>
  <c r="CF36" i="47"/>
  <c r="H37" i="46"/>
  <c r="H35" i="46" s="1"/>
  <c r="H34" i="46" s="1"/>
  <c r="H37" i="45"/>
  <c r="L10" i="44"/>
  <c r="L9" i="44" s="1"/>
  <c r="L8" i="44" s="1"/>
  <c r="BD11" i="47"/>
  <c r="BD9" i="47" s="1"/>
  <c r="H13" i="47"/>
  <c r="H11" i="47" s="1"/>
  <c r="BI11" i="51"/>
  <c r="BI10" i="51" s="1"/>
  <c r="Q93" i="46"/>
  <c r="T93" i="46"/>
  <c r="CG24" i="51"/>
  <c r="CG27" i="51" s="1"/>
  <c r="H21" i="15" s="1"/>
  <c r="H22" i="63" s="1"/>
  <c r="C89" i="77" s="1"/>
  <c r="AV17" i="48"/>
  <c r="CG20" i="51"/>
  <c r="CG21" i="51" s="1"/>
  <c r="AX33" i="47"/>
  <c r="P17" i="48"/>
  <c r="AC20" i="51"/>
  <c r="AC21" i="51" s="1"/>
  <c r="T83" i="46"/>
  <c r="R83" i="46" s="1"/>
  <c r="FD33" i="47"/>
  <c r="FF33" i="47"/>
  <c r="AS10" i="47"/>
  <c r="AU9" i="47"/>
  <c r="AV9" i="47"/>
  <c r="G23" i="47"/>
  <c r="J16" i="23"/>
  <c r="J13" i="23" s="1"/>
  <c r="BK19" i="36"/>
  <c r="K19" i="36"/>
  <c r="AR32" i="47"/>
  <c r="AU32" i="47"/>
  <c r="AU30" i="47" s="1"/>
  <c r="G32" i="47"/>
  <c r="AX32" i="47"/>
  <c r="AV32" i="47"/>
  <c r="AW32" i="47"/>
  <c r="AW30" i="47" s="1"/>
  <c r="AG79" i="41"/>
  <c r="AG72" i="41"/>
  <c r="S51" i="23"/>
  <c r="P51" i="23"/>
  <c r="D47" i="45"/>
  <c r="D47" i="46"/>
  <c r="AQ10" i="41"/>
  <c r="AQ72" i="41" s="1"/>
  <c r="AQ12" i="41"/>
  <c r="AR30" i="41"/>
  <c r="AR11" i="41" s="1"/>
  <c r="AC11" i="20"/>
  <c r="O66" i="36"/>
  <c r="J65" i="36"/>
  <c r="J98" i="36"/>
  <c r="D14" i="25"/>
  <c r="D11" i="25" s="1"/>
  <c r="O52" i="36"/>
  <c r="M51" i="36"/>
  <c r="C59" i="23"/>
  <c r="C58" i="23" s="1"/>
  <c r="BN13" i="36"/>
  <c r="K78" i="39"/>
  <c r="I42" i="39"/>
  <c r="O39" i="38"/>
  <c r="R39" i="38" s="1"/>
  <c r="S39" i="38"/>
  <c r="AV33" i="47"/>
  <c r="W19" i="39"/>
  <c r="Q19" i="39"/>
  <c r="AD52" i="22"/>
  <c r="Y16" i="22"/>
  <c r="AD16" i="22" s="1"/>
  <c r="I35" i="38"/>
  <c r="F11" i="27"/>
  <c r="M43" i="44"/>
  <c r="C55" i="65"/>
  <c r="C53" i="65" s="1"/>
  <c r="J61" i="46"/>
  <c r="I61" i="46" s="1"/>
  <c r="C55" i="149"/>
  <c r="C53" i="149" s="1"/>
  <c r="J61" i="45"/>
  <c r="I61" i="45" s="1"/>
  <c r="U43" i="44"/>
  <c r="D37" i="58"/>
  <c r="G29" i="23"/>
  <c r="G12" i="23" s="1"/>
  <c r="AX52" i="36"/>
  <c r="AX51" i="36" s="1"/>
  <c r="AY51" i="36"/>
  <c r="H13" i="36"/>
  <c r="H11" i="36" s="1"/>
  <c r="AD9" i="28"/>
  <c r="Y70" i="22" s="1"/>
  <c r="AD70" i="22" s="1"/>
  <c r="AB10" i="28"/>
  <c r="E14" i="11"/>
  <c r="E11" i="11"/>
  <c r="C12" i="17"/>
  <c r="L8" i="14"/>
  <c r="N34" i="39"/>
  <c r="T36" i="39"/>
  <c r="Q73" i="39"/>
  <c r="Q71" i="39" s="1"/>
  <c r="L36" i="39"/>
  <c r="T35" i="39"/>
  <c r="AA8" i="14"/>
  <c r="C17" i="17"/>
  <c r="I48" i="38"/>
  <c r="S48" i="38"/>
  <c r="AT41" i="36"/>
  <c r="AZ41" i="36" s="1"/>
  <c r="BF41" i="36" s="1"/>
  <c r="U130" i="43"/>
  <c r="T130" i="43" s="1"/>
  <c r="U98" i="1"/>
  <c r="T98" i="1" s="1"/>
  <c r="U98" i="36"/>
  <c r="AS12" i="37"/>
  <c r="H27" i="27"/>
  <c r="H23" i="27" s="1"/>
  <c r="H11" i="27" s="1"/>
  <c r="D23" i="27"/>
  <c r="N52" i="22"/>
  <c r="N54" i="22"/>
  <c r="BQ19" i="43"/>
  <c r="BR19" i="43" s="1"/>
  <c r="BH19" i="3"/>
  <c r="BP52" i="3"/>
  <c r="BP51" i="3" s="1"/>
  <c r="X10" i="16" s="1"/>
  <c r="BO51" i="3"/>
  <c r="W10" i="16" s="1"/>
  <c r="AA10" i="16" s="1"/>
  <c r="I26" i="19"/>
  <c r="J27" i="19"/>
  <c r="J26" i="19" s="1"/>
  <c r="BR53" i="3"/>
  <c r="BS53" i="3"/>
  <c r="BS51" i="3" s="1"/>
  <c r="AM9" i="5"/>
  <c r="O14" i="38"/>
  <c r="P72" i="38"/>
  <c r="M42" i="4"/>
  <c r="M36" i="33"/>
  <c r="BS69" i="41"/>
  <c r="BL69" i="41"/>
  <c r="BT69" i="41" s="1"/>
  <c r="AR39" i="5"/>
  <c r="I22" i="34"/>
  <c r="I21" i="34" s="1"/>
  <c r="J21" i="34"/>
  <c r="K77" i="6"/>
  <c r="L19" i="6"/>
  <c r="S74" i="6"/>
  <c r="R74" i="6" s="1"/>
  <c r="R37" i="6"/>
  <c r="D38" i="37"/>
  <c r="C38" i="37"/>
  <c r="K38" i="37"/>
  <c r="H38" i="37" s="1"/>
  <c r="BT15" i="3"/>
  <c r="AL36" i="5"/>
  <c r="AT38" i="5"/>
  <c r="AR38" i="5"/>
  <c r="AL12" i="5"/>
  <c r="U49" i="43"/>
  <c r="W25" i="94"/>
  <c r="U25" i="94" s="1"/>
  <c r="AR11" i="3"/>
  <c r="X37" i="38"/>
  <c r="L53" i="39"/>
  <c r="BC71" i="41"/>
  <c r="Q33" i="31"/>
  <c r="BC69" i="3"/>
  <c r="Y74" i="38"/>
  <c r="X74" i="38" s="1"/>
  <c r="AA65" i="1"/>
  <c r="Z66" i="1"/>
  <c r="Z65" i="1" s="1"/>
  <c r="M28" i="7"/>
  <c r="AC66" i="1"/>
  <c r="M28" i="39"/>
  <c r="M28" i="38"/>
  <c r="M28" i="6"/>
  <c r="K20" i="16"/>
  <c r="O20" i="16" s="1"/>
  <c r="BA65" i="3"/>
  <c r="BE66" i="3"/>
  <c r="BE65" i="3" s="1"/>
  <c r="Y72" i="38"/>
  <c r="Y73" i="7"/>
  <c r="X73" i="7" s="1"/>
  <c r="X15" i="7"/>
  <c r="BJ61" i="3"/>
  <c r="BJ59" i="3" s="1"/>
  <c r="G13" i="16"/>
  <c r="G12" i="16" s="1"/>
  <c r="G11" i="16" s="1"/>
  <c r="G35" i="16" s="1"/>
  <c r="BB88" i="3"/>
  <c r="BC88" i="3" s="1"/>
  <c r="BE42" i="3"/>
  <c r="AW41" i="1"/>
  <c r="C56" i="66"/>
  <c r="L35" i="7"/>
  <c r="L34" i="7" s="1"/>
  <c r="M34" i="7"/>
  <c r="AT56" i="3"/>
  <c r="AT30" i="37"/>
  <c r="BK37" i="43"/>
  <c r="BB95" i="41"/>
  <c r="S10" i="43"/>
  <c r="S73" i="43" s="1"/>
  <c r="BH13" i="41"/>
  <c r="BK36" i="43"/>
  <c r="W93" i="60"/>
  <c r="W80" i="60" s="1"/>
  <c r="W11" i="60" s="1"/>
  <c r="W10" i="60" s="1"/>
  <c r="P94" i="60"/>
  <c r="C94" i="60" s="1"/>
  <c r="P90" i="60"/>
  <c r="C90" i="60" s="1"/>
  <c r="U89" i="60"/>
  <c r="U80" i="60" s="1"/>
  <c r="U11" i="60" s="1"/>
  <c r="U10" i="60" s="1"/>
  <c r="O13" i="63"/>
  <c r="C76" i="84" s="1"/>
  <c r="R21" i="17"/>
  <c r="X193" i="13"/>
  <c r="P30" i="44"/>
  <c r="C16" i="60"/>
  <c r="BC31" i="5"/>
  <c r="O36" i="44"/>
  <c r="T36" i="44"/>
  <c r="C48" i="54"/>
  <c r="C48" i="66" s="1"/>
  <c r="C52" i="60"/>
  <c r="AC44" i="60"/>
  <c r="BC32" i="5"/>
  <c r="O37" i="44"/>
  <c r="T37" i="44"/>
  <c r="X44" i="60"/>
  <c r="C33" i="60"/>
  <c r="T19" i="17"/>
  <c r="F58" i="48"/>
  <c r="I33" i="48"/>
  <c r="G15" i="63"/>
  <c r="C81" i="76" s="1"/>
  <c r="T13" i="17"/>
  <c r="O15" i="63"/>
  <c r="C78" i="84" s="1"/>
  <c r="T21" i="17"/>
  <c r="H14" i="15"/>
  <c r="H33" i="48"/>
  <c r="E47" i="48" s="1"/>
  <c r="AI51" i="62"/>
  <c r="C43" i="81"/>
  <c r="L18" i="17"/>
  <c r="AF50" i="62"/>
  <c r="AF51" i="62" s="1"/>
  <c r="C43" i="73"/>
  <c r="L10" i="17"/>
  <c r="H50" i="62"/>
  <c r="H51" i="62" s="1"/>
  <c r="V71" i="43"/>
  <c r="K31" i="45"/>
  <c r="AD55" i="45" s="1"/>
  <c r="R13" i="17"/>
  <c r="G13" i="63"/>
  <c r="C79" i="76" s="1"/>
  <c r="G32" i="48"/>
  <c r="CM25" i="48"/>
  <c r="C26" i="48"/>
  <c r="G12" i="44"/>
  <c r="S8" i="48"/>
  <c r="Y13" i="48"/>
  <c r="L14" i="17"/>
  <c r="T50" i="62"/>
  <c r="J11" i="44"/>
  <c r="BB12" i="5"/>
  <c r="BH12" i="5" s="1"/>
  <c r="C75" i="76"/>
  <c r="C43" i="77"/>
  <c r="T40" i="62"/>
  <c r="H20" i="45"/>
  <c r="C20" i="45"/>
  <c r="C43" i="74"/>
  <c r="K40" i="62"/>
  <c r="I17" i="48"/>
  <c r="R11" i="64"/>
  <c r="CU26" i="48"/>
  <c r="AW13" i="48"/>
  <c r="L11" i="17"/>
  <c r="K50" i="62"/>
  <c r="AL38" i="62"/>
  <c r="C41" i="83"/>
  <c r="AO29" i="48"/>
  <c r="AL26" i="48"/>
  <c r="AN29" i="48"/>
  <c r="AP29" i="48"/>
  <c r="H30" i="45"/>
  <c r="AD26" i="48"/>
  <c r="AF29" i="48"/>
  <c r="AG29" i="48"/>
  <c r="AH29" i="48"/>
  <c r="L12" i="17"/>
  <c r="N50" i="62"/>
  <c r="N51" i="62" s="1"/>
  <c r="CC13" i="48"/>
  <c r="CD13" i="48"/>
  <c r="CB77" i="48"/>
  <c r="L20" i="15" s="1"/>
  <c r="E16" i="138"/>
  <c r="H15" i="48"/>
  <c r="C131" i="81"/>
  <c r="BM13" i="48"/>
  <c r="J21" i="63"/>
  <c r="E21" i="63"/>
  <c r="S12" i="138"/>
  <c r="E12" i="112"/>
  <c r="E17" i="112"/>
  <c r="S17" i="138"/>
  <c r="K21" i="63"/>
  <c r="BL70" i="48"/>
  <c r="BL71" i="48" s="1"/>
  <c r="D14" i="138"/>
  <c r="C131" i="79"/>
  <c r="P11" i="138"/>
  <c r="D11" i="112"/>
  <c r="F21" i="63"/>
  <c r="K25" i="138"/>
  <c r="J30" i="138"/>
  <c r="E26" i="45"/>
  <c r="H26" i="45" s="1"/>
  <c r="H27" i="138"/>
  <c r="E8" i="112"/>
  <c r="S8" i="138"/>
  <c r="M21" i="63"/>
  <c r="E15" i="112"/>
  <c r="S15" i="138"/>
  <c r="P9" i="138"/>
  <c r="D9" i="112"/>
  <c r="G85" i="43"/>
  <c r="AF70" i="48"/>
  <c r="AF71" i="48" s="1"/>
  <c r="D10" i="138"/>
  <c r="C135" i="75"/>
  <c r="D20" i="15"/>
  <c r="S11" i="138"/>
  <c r="E11" i="112"/>
  <c r="P8" i="138"/>
  <c r="D8" i="112"/>
  <c r="E10" i="112"/>
  <c r="S10" i="138"/>
  <c r="H72" i="48"/>
  <c r="H73" i="48" s="1"/>
  <c r="AA205" i="13"/>
  <c r="AD205" i="13" s="1"/>
  <c r="I14" i="48"/>
  <c r="AQ47" i="48"/>
  <c r="AQ45" i="48"/>
  <c r="AQ42" i="48"/>
  <c r="AQ44" i="48"/>
  <c r="G21" i="63"/>
  <c r="P12" i="138"/>
  <c r="D12" i="112"/>
  <c r="E9" i="112"/>
  <c r="S9" i="138"/>
  <c r="P15" i="138"/>
  <c r="D15" i="112"/>
  <c r="D19" i="112"/>
  <c r="P19" i="138"/>
  <c r="H14" i="48"/>
  <c r="H70" i="48" s="1"/>
  <c r="O21" i="63"/>
  <c r="E13" i="112"/>
  <c r="S13" i="138"/>
  <c r="S14" i="138"/>
  <c r="E14" i="112"/>
  <c r="E18" i="112"/>
  <c r="S18" i="138"/>
  <c r="AA204" i="13"/>
  <c r="AD204" i="13" s="1"/>
  <c r="I15" i="48"/>
  <c r="E19" i="112"/>
  <c r="S19" i="138"/>
  <c r="N21" i="63"/>
  <c r="I21" i="63"/>
  <c r="D13" i="112"/>
  <c r="P13" i="138"/>
  <c r="H21" i="63"/>
  <c r="P153" i="13"/>
  <c r="AF11" i="60"/>
  <c r="AF10" i="60" s="1"/>
  <c r="C120" i="60"/>
  <c r="C30" i="58"/>
  <c r="D40" i="68"/>
  <c r="C40" i="68" s="1"/>
  <c r="AG11" i="60"/>
  <c r="AG10" i="60" s="1"/>
  <c r="AK30" i="48"/>
  <c r="AF56" i="95"/>
  <c r="AE56" i="95"/>
  <c r="Q39" i="139"/>
  <c r="L37" i="139"/>
  <c r="X37" i="139" s="1"/>
  <c r="T22" i="140"/>
  <c r="W22" i="140" s="1"/>
  <c r="K22" i="140"/>
  <c r="P22" i="140" s="1"/>
  <c r="M11" i="140"/>
  <c r="P11" i="140"/>
  <c r="Q54" i="139"/>
  <c r="T54" i="139"/>
  <c r="O54" i="139"/>
  <c r="G6" i="99"/>
  <c r="G21" i="99"/>
  <c r="F44" i="99"/>
  <c r="F21" i="99" s="1"/>
  <c r="L37" i="95"/>
  <c r="AL10" i="87"/>
  <c r="AJ9" i="87"/>
  <c r="BH38" i="86"/>
  <c r="AY8" i="88"/>
  <c r="BH8" i="88"/>
  <c r="AC28" i="38"/>
  <c r="C62" i="38"/>
  <c r="AC19" i="38"/>
  <c r="I23" i="139"/>
  <c r="Z23" i="139"/>
  <c r="O23" i="139"/>
  <c r="U23" i="139"/>
  <c r="G53" i="139"/>
  <c r="AD53" i="139" s="1"/>
  <c r="AD56" i="139"/>
  <c r="H11" i="140"/>
  <c r="T23" i="140"/>
  <c r="W23" i="140" s="1"/>
  <c r="K23" i="140"/>
  <c r="H25" i="140"/>
  <c r="O31" i="140"/>
  <c r="I54" i="139"/>
  <c r="H53" i="139"/>
  <c r="K54" i="139"/>
  <c r="AY122" i="88"/>
  <c r="BE122" i="88" s="1"/>
  <c r="Z8" i="87"/>
  <c r="Z90" i="87" s="1"/>
  <c r="AQ10" i="86"/>
  <c r="AQ8" i="86"/>
  <c r="AQ60" i="86" s="1"/>
  <c r="AQ68" i="86" s="1"/>
  <c r="BC39" i="86"/>
  <c r="BI39" i="86" s="1"/>
  <c r="BO39" i="86" s="1"/>
  <c r="P7" i="97"/>
  <c r="Q8" i="97" s="1"/>
  <c r="P81" i="97"/>
  <c r="Y7" i="87"/>
  <c r="AY150" i="88"/>
  <c r="BE150" i="88" s="1"/>
  <c r="AH72" i="88"/>
  <c r="P30" i="62"/>
  <c r="N30" i="62"/>
  <c r="D64" i="34"/>
  <c r="E8" i="34"/>
  <c r="T28" i="38"/>
  <c r="AB13" i="24"/>
  <c r="AB10" i="24" s="1"/>
  <c r="R12" i="140"/>
  <c r="U12" i="140"/>
  <c r="Y37" i="139"/>
  <c r="I17" i="139"/>
  <c r="O17" i="139"/>
  <c r="Z17" i="139"/>
  <c r="U17" i="139"/>
  <c r="S25" i="140"/>
  <c r="V25" i="140" s="1"/>
  <c r="K25" i="140"/>
  <c r="C18" i="140"/>
  <c r="C15" i="140" s="1"/>
  <c r="D15" i="140"/>
  <c r="AN71" i="89"/>
  <c r="S8" i="96"/>
  <c r="S10" i="96"/>
  <c r="BG167" i="88"/>
  <c r="BG171" i="88"/>
  <c r="BG175" i="88"/>
  <c r="BG165" i="88"/>
  <c r="P82" i="97"/>
  <c r="Y52" i="87"/>
  <c r="U48" i="87"/>
  <c r="O62" i="99"/>
  <c r="Q63" i="99"/>
  <c r="Q64" i="99" s="1"/>
  <c r="Q65" i="99" s="1"/>
  <c r="Q66" i="99" s="1"/>
  <c r="AW10" i="87"/>
  <c r="AR9" i="87"/>
  <c r="AO10" i="87"/>
  <c r="AB17" i="87"/>
  <c r="AO193" i="88"/>
  <c r="AV165" i="88"/>
  <c r="I14" i="64"/>
  <c r="K20" i="7"/>
  <c r="K18" i="7" s="1"/>
  <c r="I22" i="17"/>
  <c r="N60" i="139"/>
  <c r="T60" i="139" s="1"/>
  <c r="K60" i="139"/>
  <c r="T10" i="140"/>
  <c r="O9" i="140"/>
  <c r="AT9" i="86"/>
  <c r="AV39" i="86"/>
  <c r="AU39" i="86" s="1"/>
  <c r="AU9" i="86" s="1"/>
  <c r="AZ39" i="86"/>
  <c r="Q25" i="87"/>
  <c r="Q38" i="87"/>
  <c r="Q16" i="87"/>
  <c r="Q30" i="87"/>
  <c r="Q15" i="87"/>
  <c r="Q11" i="87"/>
  <c r="Q20" i="87"/>
  <c r="Q29" i="87"/>
  <c r="Q36" i="87"/>
  <c r="Q24" i="87"/>
  <c r="Q26" i="87"/>
  <c r="Q28" i="87"/>
  <c r="Q12" i="87"/>
  <c r="P2" i="87"/>
  <c r="Q27" i="87"/>
  <c r="Q18" i="87"/>
  <c r="Q17" i="87"/>
  <c r="Q7" i="87"/>
  <c r="Q35" i="87"/>
  <c r="Q21" i="87"/>
  <c r="Q34" i="87"/>
  <c r="Q14" i="87"/>
  <c r="Q10" i="87"/>
  <c r="Q23" i="87"/>
  <c r="Q13" i="87"/>
  <c r="Q33" i="87"/>
  <c r="Q22" i="87"/>
  <c r="Q19" i="87"/>
  <c r="Q9" i="87"/>
  <c r="W19" i="7"/>
  <c r="R19" i="7"/>
  <c r="C62" i="7"/>
  <c r="I28" i="139"/>
  <c r="O28" i="139"/>
  <c r="Z28" i="139"/>
  <c r="U28" i="139"/>
  <c r="F28" i="140"/>
  <c r="I11" i="139"/>
  <c r="O11" i="139"/>
  <c r="Z11" i="139"/>
  <c r="U11" i="139"/>
  <c r="C9" i="139"/>
  <c r="R21" i="140"/>
  <c r="T14" i="140"/>
  <c r="W14" i="140" s="1"/>
  <c r="H20" i="140"/>
  <c r="E10" i="96"/>
  <c r="E8" i="96"/>
  <c r="V49" i="90"/>
  <c r="V50" i="90" s="1"/>
  <c r="X24" i="90"/>
  <c r="X23" i="90"/>
  <c r="V52" i="90"/>
  <c r="H72" i="96"/>
  <c r="H8" i="96"/>
  <c r="H10" i="96"/>
  <c r="I9" i="96"/>
  <c r="AK9" i="88"/>
  <c r="AU9" i="88"/>
  <c r="BM9" i="88"/>
  <c r="BN9" i="88" s="1"/>
  <c r="BO9" i="88" s="1"/>
  <c r="AG209" i="88"/>
  <c r="AN9" i="88"/>
  <c r="AH160" i="88"/>
  <c r="AL9" i="88"/>
  <c r="AH75" i="88"/>
  <c r="AW9" i="88"/>
  <c r="AH67" i="88"/>
  <c r="AG210" i="88"/>
  <c r="AH159" i="88"/>
  <c r="AH78" i="88"/>
  <c r="AV9" i="88"/>
  <c r="G9" i="30"/>
  <c r="G37" i="30" s="1"/>
  <c r="G36" i="30" s="1"/>
  <c r="T25" i="7"/>
  <c r="Q25" i="7"/>
  <c r="N24" i="7"/>
  <c r="F9" i="139"/>
  <c r="P43" i="139"/>
  <c r="S43" i="139"/>
  <c r="E56" i="139"/>
  <c r="E53" i="139" s="1"/>
  <c r="H12" i="140"/>
  <c r="K28" i="140"/>
  <c r="S28" i="140"/>
  <c r="V28" i="140" s="1"/>
  <c r="N20" i="140"/>
  <c r="AE21" i="100"/>
  <c r="AD21" i="100" s="1"/>
  <c r="AD14" i="100"/>
  <c r="AC21" i="100"/>
  <c r="F8" i="97"/>
  <c r="H9" i="97"/>
  <c r="AN7" i="88"/>
  <c r="AH209" i="88"/>
  <c r="BM7" i="88"/>
  <c r="BN7" i="88" s="1"/>
  <c r="BO7" i="88" s="1"/>
  <c r="AH156" i="88"/>
  <c r="AH51" i="88"/>
  <c r="AK7" i="88"/>
  <c r="AH68" i="88"/>
  <c r="AH73" i="88" s="1"/>
  <c r="AH65" i="88"/>
  <c r="AL7" i="88"/>
  <c r="AM8" i="88" s="1"/>
  <c r="AH101" i="88"/>
  <c r="AH52" i="88"/>
  <c r="AM52" i="88" s="1"/>
  <c r="AH85" i="88"/>
  <c r="AH70" i="88"/>
  <c r="AH97" i="88"/>
  <c r="AH50" i="88"/>
  <c r="AH66" i="88"/>
  <c r="AH53" i="88"/>
  <c r="AH39" i="88"/>
  <c r="AW129" i="88"/>
  <c r="Y65" i="86"/>
  <c r="Y60" i="86"/>
  <c r="G62" i="38"/>
  <c r="I29" i="7"/>
  <c r="I27" i="7" s="1"/>
  <c r="N29" i="7"/>
  <c r="T29" i="38"/>
  <c r="O29" i="38"/>
  <c r="R29" i="38" s="1"/>
  <c r="S19" i="140"/>
  <c r="V19" i="140" s="1"/>
  <c r="K19" i="140"/>
  <c r="AB13" i="139"/>
  <c r="E11" i="139"/>
  <c r="D44" i="142"/>
  <c r="D5" i="142"/>
  <c r="C9" i="140"/>
  <c r="AA11" i="139"/>
  <c r="D9" i="139"/>
  <c r="AY125" i="88"/>
  <c r="BE125" i="88" s="1"/>
  <c r="BG55" i="86"/>
  <c r="BG54" i="86" s="1"/>
  <c r="BG52" i="86" s="1"/>
  <c r="BD54" i="86"/>
  <c r="BD52" i="86" s="1"/>
  <c r="BJ55" i="86"/>
  <c r="BH55" i="86"/>
  <c r="BH54" i="86" s="1"/>
  <c r="BH52" i="86" s="1"/>
  <c r="AE8" i="86"/>
  <c r="AE114" i="86"/>
  <c r="AE10" i="86"/>
  <c r="AE112" i="86"/>
  <c r="Z30" i="100"/>
  <c r="AC30" i="99"/>
  <c r="I57" i="99"/>
  <c r="I58" i="99" s="1"/>
  <c r="I59" i="99" s="1"/>
  <c r="I60" i="99" s="1"/>
  <c r="N25" i="62"/>
  <c r="AQ24" i="87"/>
  <c r="I8" i="49"/>
  <c r="I20" i="49" s="1"/>
  <c r="C20" i="49"/>
  <c r="V27" i="62"/>
  <c r="T27" i="62"/>
  <c r="T25" i="62" s="1"/>
  <c r="N25" i="38"/>
  <c r="K24" i="38"/>
  <c r="K20" i="38" s="1"/>
  <c r="K18" i="38" s="1"/>
  <c r="Z29" i="38"/>
  <c r="Z27" i="38" s="1"/>
  <c r="U29" i="38"/>
  <c r="W28" i="7"/>
  <c r="R33" i="140"/>
  <c r="J43" i="139"/>
  <c r="M43" i="139"/>
  <c r="F27" i="140"/>
  <c r="H27" i="140" s="1"/>
  <c r="N27" i="140"/>
  <c r="Q56" i="139"/>
  <c r="T56" i="139"/>
  <c r="N55" i="139"/>
  <c r="T55" i="139" s="1"/>
  <c r="J9" i="140"/>
  <c r="F10" i="140"/>
  <c r="K10" i="140"/>
  <c r="BF117" i="88"/>
  <c r="M17" i="87"/>
  <c r="W17" i="87"/>
  <c r="AY19" i="87"/>
  <c r="AD59" i="95"/>
  <c r="AF59" i="95"/>
  <c r="J57" i="99"/>
  <c r="J58" i="99" s="1"/>
  <c r="J59" i="99" s="1"/>
  <c r="J60" i="99" s="1"/>
  <c r="C93" i="88"/>
  <c r="C96" i="88"/>
  <c r="C94" i="88"/>
  <c r="C91" i="88"/>
  <c r="C95" i="88" s="1"/>
  <c r="BB24" i="87"/>
  <c r="AT24" i="87"/>
  <c r="E37" i="14"/>
  <c r="I27" i="34"/>
  <c r="K24" i="34"/>
  <c r="R60" i="139"/>
  <c r="E15" i="140"/>
  <c r="K55" i="139"/>
  <c r="S35" i="140"/>
  <c r="V35" i="140" s="1"/>
  <c r="K35" i="140"/>
  <c r="P35" i="140" s="1"/>
  <c r="W15" i="97"/>
  <c r="AV19" i="87"/>
  <c r="BA159" i="88"/>
  <c r="BA67" i="88"/>
  <c r="BA160" i="88"/>
  <c r="BA75" i="88"/>
  <c r="K21" i="90"/>
  <c r="Z60" i="86"/>
  <c r="AY128" i="88"/>
  <c r="BE128" i="88" s="1"/>
  <c r="AK60" i="86"/>
  <c r="C13" i="61"/>
  <c r="C12" i="61" s="1"/>
  <c r="C8" i="61" s="1"/>
  <c r="C7" i="61" s="1"/>
  <c r="E12" i="61"/>
  <c r="E8" i="61" s="1"/>
  <c r="E7" i="61" s="1"/>
  <c r="D35" i="30"/>
  <c r="D30" i="30" s="1"/>
  <c r="D23" i="30"/>
  <c r="Q23" i="30"/>
  <c r="Q24" i="30" s="1"/>
  <c r="O19" i="7"/>
  <c r="K27" i="34"/>
  <c r="W29" i="45"/>
  <c r="Q28" i="46"/>
  <c r="Q21" i="46" s="1"/>
  <c r="Q18" i="46" s="1"/>
  <c r="P69" i="46" s="1"/>
  <c r="O69" i="46" s="1"/>
  <c r="W30" i="46"/>
  <c r="W28" i="46" s="1"/>
  <c r="C14" i="60"/>
  <c r="C18" i="60"/>
  <c r="T44" i="60"/>
  <c r="T11" i="60" s="1"/>
  <c r="T10" i="60" s="1"/>
  <c r="C77" i="60"/>
  <c r="C70" i="60"/>
  <c r="C62" i="60"/>
  <c r="C43" i="60"/>
  <c r="AH63" i="60"/>
  <c r="AJ51" i="60"/>
  <c r="AJ44" i="60" s="1"/>
  <c r="C55" i="60"/>
  <c r="AA44" i="60"/>
  <c r="P63" i="60"/>
  <c r="P51" i="60"/>
  <c r="AH63" i="13"/>
  <c r="C66" i="13"/>
  <c r="C63" i="13" s="1"/>
  <c r="C13" i="13"/>
  <c r="AH51" i="60"/>
  <c r="AH44" i="60" s="1"/>
  <c r="AI11" i="60"/>
  <c r="C60" i="60"/>
  <c r="AH59" i="60"/>
  <c r="AJ63" i="60"/>
  <c r="C66" i="60"/>
  <c r="Z105" i="60"/>
  <c r="Z100" i="60" s="1"/>
  <c r="D43" i="68"/>
  <c r="P59" i="60"/>
  <c r="J90" i="46"/>
  <c r="AA12" i="13"/>
  <c r="AA107" i="13" s="1"/>
  <c r="AA13" i="60"/>
  <c r="AA12" i="60" s="1"/>
  <c r="C31" i="58"/>
  <c r="D41" i="68"/>
  <c r="C41" i="68" s="1"/>
  <c r="W193" i="13"/>
  <c r="P29" i="44"/>
  <c r="Y80" i="60"/>
  <c r="Y11" i="60" s="1"/>
  <c r="Y10" i="60" s="1"/>
  <c r="P99" i="60"/>
  <c r="P97" i="13"/>
  <c r="C97" i="13" s="1"/>
  <c r="Y80" i="13"/>
  <c r="Y11" i="13" s="1"/>
  <c r="Y10" i="13" s="1"/>
  <c r="P110" i="60"/>
  <c r="C110" i="60" s="1"/>
  <c r="P108" i="13"/>
  <c r="AB80" i="13"/>
  <c r="AB11" i="13" s="1"/>
  <c r="AB10" i="13" s="1"/>
  <c r="AU58" i="43"/>
  <c r="AY58" i="43" s="1"/>
  <c r="AY59" i="43"/>
  <c r="AX59" i="43" s="1"/>
  <c r="J25" i="138"/>
  <c r="K20" i="112"/>
  <c r="AI10" i="43"/>
  <c r="AP10" i="43" s="1"/>
  <c r="J10" i="43"/>
  <c r="J12" i="43"/>
  <c r="AP11" i="43"/>
  <c r="AP12" i="43"/>
  <c r="BF19" i="41"/>
  <c r="G20" i="43"/>
  <c r="H19" i="43"/>
  <c r="D11" i="43"/>
  <c r="D15" i="92"/>
  <c r="E16" i="92"/>
  <c r="E15" i="92" s="1"/>
  <c r="AK16" i="92"/>
  <c r="AK15" i="92" s="1"/>
  <c r="O82" i="45"/>
  <c r="O80" i="45" s="1"/>
  <c r="P80" i="45"/>
  <c r="BB96" i="41"/>
  <c r="BB92" i="41"/>
  <c r="BC92" i="41" s="1"/>
  <c r="W26" i="46"/>
  <c r="T25" i="46"/>
  <c r="T21" i="46" s="1"/>
  <c r="T18" i="46" s="1"/>
  <c r="M60" i="46"/>
  <c r="Z42" i="44"/>
  <c r="Z43" i="151" s="1"/>
  <c r="M60" i="45"/>
  <c r="R42" i="44"/>
  <c r="F58" i="154" s="1"/>
  <c r="BD31" i="41"/>
  <c r="BC78" i="41"/>
  <c r="Z29" i="46"/>
  <c r="BE31" i="41"/>
  <c r="I60" i="45"/>
  <c r="I10" i="43"/>
  <c r="U66" i="43"/>
  <c r="U66" i="150" s="1"/>
  <c r="Q65" i="43"/>
  <c r="Q61" i="43" s="1"/>
  <c r="Q57" i="43" s="1"/>
  <c r="M41" i="44"/>
  <c r="BC37" i="5"/>
  <c r="C51" i="54"/>
  <c r="W70" i="43"/>
  <c r="J30" i="45"/>
  <c r="T70" i="43"/>
  <c r="T68" i="43" s="1"/>
  <c r="U68" i="43"/>
  <c r="J30" i="46"/>
  <c r="I60" i="46"/>
  <c r="BD33" i="41"/>
  <c r="BF33" i="41" s="1"/>
  <c r="BE33" i="41"/>
  <c r="T63" i="43"/>
  <c r="W63" i="43"/>
  <c r="J23" i="45"/>
  <c r="J23" i="46"/>
  <c r="T31" i="43"/>
  <c r="T38" i="43"/>
  <c r="V15" i="94"/>
  <c r="U15" i="94" s="1"/>
  <c r="BH25" i="41"/>
  <c r="BV25" i="41"/>
  <c r="Q83" i="46"/>
  <c r="N83" i="46"/>
  <c r="C32" i="54"/>
  <c r="C32" i="66" s="1"/>
  <c r="E10" i="70" s="1"/>
  <c r="E10" i="110" s="1"/>
  <c r="C17" i="58"/>
  <c r="D17" i="68"/>
  <c r="C17" i="68" s="1"/>
  <c r="BH19" i="41"/>
  <c r="G37" i="43"/>
  <c r="O19" i="46"/>
  <c r="N30" i="43"/>
  <c r="I39" i="46"/>
  <c r="J59" i="43"/>
  <c r="J59" i="150" s="1"/>
  <c r="G59" i="43"/>
  <c r="AX52" i="43"/>
  <c r="AX51" i="43" s="1"/>
  <c r="AY51" i="43"/>
  <c r="N49" i="43"/>
  <c r="AL32" i="43"/>
  <c r="AL30" i="43" s="1"/>
  <c r="AM30" i="43"/>
  <c r="M50" i="43"/>
  <c r="P50" i="43"/>
  <c r="BI51" i="43"/>
  <c r="L51" i="43"/>
  <c r="G36" i="43"/>
  <c r="BH51" i="41"/>
  <c r="AU10" i="43"/>
  <c r="AV11" i="43"/>
  <c r="AU12" i="43"/>
  <c r="AV12" i="43" s="1"/>
  <c r="BD47" i="41"/>
  <c r="BE47" i="41"/>
  <c r="L19" i="46"/>
  <c r="AW41" i="43"/>
  <c r="N46" i="43"/>
  <c r="C10" i="43"/>
  <c r="K11" i="43"/>
  <c r="C12" i="43"/>
  <c r="I19" i="46"/>
  <c r="G31" i="43"/>
  <c r="H30" i="43"/>
  <c r="BF13" i="41"/>
  <c r="M51" i="43"/>
  <c r="O52" i="43"/>
  <c r="BL25" i="43"/>
  <c r="BE26" i="41"/>
  <c r="BA25" i="41"/>
  <c r="W12" i="43"/>
  <c r="W10" i="43"/>
  <c r="L39" i="46"/>
  <c r="M83" i="46"/>
  <c r="P83" i="46"/>
  <c r="AF13" i="43"/>
  <c r="AD11" i="43"/>
  <c r="AC10" i="43"/>
  <c r="AJ11" i="43"/>
  <c r="AC12" i="43"/>
  <c r="P51" i="44"/>
  <c r="AM125" i="60"/>
  <c r="C125" i="13"/>
  <c r="AM10" i="13"/>
  <c r="BF56" i="41"/>
  <c r="U23" i="94"/>
  <c r="AW46" i="43"/>
  <c r="AS46" i="43"/>
  <c r="H15" i="30" l="1"/>
  <c r="H17" i="30" s="1"/>
  <c r="E60" i="96"/>
  <c r="I22" i="64"/>
  <c r="AB28" i="139"/>
  <c r="AI7" i="88"/>
  <c r="AJ9" i="88" s="1"/>
  <c r="Y120" i="89"/>
  <c r="Y108" i="89"/>
  <c r="Y10" i="89"/>
  <c r="AB11" i="89"/>
  <c r="H10" i="30"/>
  <c r="R23" i="100"/>
  <c r="R22" i="100" s="1"/>
  <c r="R51" i="100" s="1"/>
  <c r="C7" i="100"/>
  <c r="C37" i="30"/>
  <c r="C36" i="30" s="1"/>
  <c r="X9" i="96"/>
  <c r="X8" i="96" s="1"/>
  <c r="P50" i="87"/>
  <c r="P46" i="87" s="1"/>
  <c r="L13" i="100"/>
  <c r="L5" i="100" s="1"/>
  <c r="L45" i="100" s="1"/>
  <c r="M5" i="100"/>
  <c r="M45" i="100" s="1"/>
  <c r="AX15" i="89"/>
  <c r="AN15" i="89"/>
  <c r="D44" i="141"/>
  <c r="C45" i="100"/>
  <c r="C49" i="100" s="1"/>
  <c r="AV28" i="87"/>
  <c r="K9" i="96"/>
  <c r="AV157" i="88"/>
  <c r="AY157" i="88" s="1"/>
  <c r="W9" i="96"/>
  <c r="W22" i="92"/>
  <c r="W21" i="92" s="1"/>
  <c r="W7" i="92" s="1"/>
  <c r="G10" i="96"/>
  <c r="M65" i="96" s="1"/>
  <c r="G8" i="96"/>
  <c r="G60" i="96" s="1"/>
  <c r="AV86" i="88"/>
  <c r="AY86" i="88" s="1"/>
  <c r="AZ98" i="88"/>
  <c r="AR94" i="88"/>
  <c r="AB128" i="89"/>
  <c r="AM6" i="92"/>
  <c r="AH9" i="92"/>
  <c r="AJ11" i="92"/>
  <c r="AJ9" i="92" s="1"/>
  <c r="AJ11" i="89"/>
  <c r="AN11" i="89" s="1"/>
  <c r="AC8" i="96"/>
  <c r="AC10" i="96"/>
  <c r="K8" i="96"/>
  <c r="K10" i="96"/>
  <c r="N63" i="99"/>
  <c r="N64" i="99" s="1"/>
  <c r="N65" i="99" s="1"/>
  <c r="N66" i="99" s="1"/>
  <c r="L62" i="99"/>
  <c r="AY81" i="89"/>
  <c r="AJ81" i="89"/>
  <c r="AN81" i="89" s="1"/>
  <c r="AK81" i="89"/>
  <c r="AY70" i="89"/>
  <c r="AY137" i="89"/>
  <c r="AI10" i="89"/>
  <c r="AZ81" i="89" s="1"/>
  <c r="AY33" i="89"/>
  <c r="AY179" i="89"/>
  <c r="AY164" i="89"/>
  <c r="AY43" i="89"/>
  <c r="AY99" i="89"/>
  <c r="AY170" i="89"/>
  <c r="AY46" i="89"/>
  <c r="AY76" i="89"/>
  <c r="AY157" i="89"/>
  <c r="AY148" i="89"/>
  <c r="AY90" i="89"/>
  <c r="AY102" i="89"/>
  <c r="AY84" i="89"/>
  <c r="AY139" i="89"/>
  <c r="AY174" i="89"/>
  <c r="AY98" i="89"/>
  <c r="AY24" i="89"/>
  <c r="AY159" i="89"/>
  <c r="AY19" i="89"/>
  <c r="AY32" i="89"/>
  <c r="AY17" i="89"/>
  <c r="AY45" i="89"/>
  <c r="AY133" i="89"/>
  <c r="AY134" i="89"/>
  <c r="AY178" i="89"/>
  <c r="AY129" i="89"/>
  <c r="AY23" i="89"/>
  <c r="AI111" i="89"/>
  <c r="AY145" i="89"/>
  <c r="AY28" i="89"/>
  <c r="AY158" i="89"/>
  <c r="AY127" i="89"/>
  <c r="AY163" i="89"/>
  <c r="AY26" i="89"/>
  <c r="AY16" i="89"/>
  <c r="AI61" i="89"/>
  <c r="AY136" i="89"/>
  <c r="AY132" i="89"/>
  <c r="AY175" i="89"/>
  <c r="AY65" i="89"/>
  <c r="AY162" i="89"/>
  <c r="AY172" i="89"/>
  <c r="AY60" i="89"/>
  <c r="AY173" i="89"/>
  <c r="AY89" i="89"/>
  <c r="AY115" i="89"/>
  <c r="AY114" i="89"/>
  <c r="AI56" i="89"/>
  <c r="AY147" i="89"/>
  <c r="AY167" i="89"/>
  <c r="AY30" i="89"/>
  <c r="AY44" i="89"/>
  <c r="AY41" i="89"/>
  <c r="AY22" i="89"/>
  <c r="AY177" i="89"/>
  <c r="AY42" i="89"/>
  <c r="AY165" i="89"/>
  <c r="AY59" i="89"/>
  <c r="AY77" i="89"/>
  <c r="AY124" i="89"/>
  <c r="AY86" i="89"/>
  <c r="AY151" i="89"/>
  <c r="AY166" i="89"/>
  <c r="AY18" i="89"/>
  <c r="AY47" i="89"/>
  <c r="AY126" i="89"/>
  <c r="AY52" i="89"/>
  <c r="AY29" i="89"/>
  <c r="AY176" i="89"/>
  <c r="AY169" i="89"/>
  <c r="AY31" i="89"/>
  <c r="AY122" i="89"/>
  <c r="AY96" i="89"/>
  <c r="AY123" i="89"/>
  <c r="AY101" i="89"/>
  <c r="AY35" i="89"/>
  <c r="AY161" i="89"/>
  <c r="AY36" i="89"/>
  <c r="AY21" i="89"/>
  <c r="AY131" i="89"/>
  <c r="AY120" i="89"/>
  <c r="AY168" i="89"/>
  <c r="AY156" i="89"/>
  <c r="AI58" i="89"/>
  <c r="AY27" i="89"/>
  <c r="AY20" i="89"/>
  <c r="AY87" i="89"/>
  <c r="AY50" i="89"/>
  <c r="AY51" i="89"/>
  <c r="AY25" i="89"/>
  <c r="AY67" i="89"/>
  <c r="AY95" i="89"/>
  <c r="AY80" i="89"/>
  <c r="AY71" i="89"/>
  <c r="AY160" i="89"/>
  <c r="AY153" i="89"/>
  <c r="AY171" i="89"/>
  <c r="AY121" i="89"/>
  <c r="AY150" i="89"/>
  <c r="AY135" i="89"/>
  <c r="AY93" i="89"/>
  <c r="AY125" i="89"/>
  <c r="AY83" i="89"/>
  <c r="AY92" i="89"/>
  <c r="AY64" i="89"/>
  <c r="AY73" i="89"/>
  <c r="AY78" i="89"/>
  <c r="BD170" i="88"/>
  <c r="BD50" i="88"/>
  <c r="BD156" i="88"/>
  <c r="BD85" i="88"/>
  <c r="BD97" i="88"/>
  <c r="BD101" i="88"/>
  <c r="BD66" i="88"/>
  <c r="BD68" i="88"/>
  <c r="BD73" i="88" s="1"/>
  <c r="AX16" i="89"/>
  <c r="AK128" i="89"/>
  <c r="AJ128" i="89"/>
  <c r="AN128" i="89" s="1"/>
  <c r="BD75" i="88"/>
  <c r="BD159" i="88"/>
  <c r="BD67" i="88"/>
  <c r="BD160" i="88"/>
  <c r="AY128" i="89"/>
  <c r="AZ128" i="89"/>
  <c r="W21" i="100"/>
  <c r="U14" i="100"/>
  <c r="AH58" i="89"/>
  <c r="AH56" i="89"/>
  <c r="AH10" i="89"/>
  <c r="AH61" i="89"/>
  <c r="AH111" i="89"/>
  <c r="AJ16" i="89"/>
  <c r="Q54" i="99"/>
  <c r="O54" i="99" s="1"/>
  <c r="AI74" i="89"/>
  <c r="AH74" i="89"/>
  <c r="AW45" i="43"/>
  <c r="AQ11" i="43"/>
  <c r="O67" i="150"/>
  <c r="N67" i="150" s="1"/>
  <c r="G27" i="153"/>
  <c r="G27" i="152"/>
  <c r="N67" i="43"/>
  <c r="G27" i="46"/>
  <c r="F27" i="46" s="1"/>
  <c r="G27" i="45"/>
  <c r="F27" i="45" s="1"/>
  <c r="G11" i="64"/>
  <c r="G11" i="164"/>
  <c r="L14" i="64"/>
  <c r="L14" i="164"/>
  <c r="T13" i="64"/>
  <c r="T13" i="164"/>
  <c r="L18" i="64"/>
  <c r="L18" i="164"/>
  <c r="P31" i="151"/>
  <c r="M31" i="151" s="1"/>
  <c r="O31" i="151" s="1"/>
  <c r="C42" i="161"/>
  <c r="AA107" i="162"/>
  <c r="R21" i="64"/>
  <c r="R21" i="164"/>
  <c r="C19" i="64"/>
  <c r="C19" i="164"/>
  <c r="J74" i="89"/>
  <c r="L11" i="36"/>
  <c r="C45" i="154"/>
  <c r="C49" i="154" s="1"/>
  <c r="Z100" i="162"/>
  <c r="C31" i="74"/>
  <c r="I28" i="62"/>
  <c r="AM10" i="162"/>
  <c r="C125" i="162"/>
  <c r="D27" i="7"/>
  <c r="C28" i="7"/>
  <c r="C27" i="7" s="1"/>
  <c r="X10" i="48"/>
  <c r="Y10" i="48"/>
  <c r="V29" i="48"/>
  <c r="Z10" i="48"/>
  <c r="E55" i="154"/>
  <c r="C47" i="169"/>
  <c r="C48" i="158"/>
  <c r="Q104" i="89"/>
  <c r="Q57" i="89"/>
  <c r="Q105" i="89"/>
  <c r="Q8" i="89"/>
  <c r="Q154" i="89"/>
  <c r="K20" i="39"/>
  <c r="K18" i="39" s="1"/>
  <c r="R80" i="13"/>
  <c r="R11" i="13" s="1"/>
  <c r="R10" i="13" s="1"/>
  <c r="P83" i="13"/>
  <c r="C83" i="13" s="1"/>
  <c r="C36" i="160"/>
  <c r="C35" i="160" s="1"/>
  <c r="D35" i="160"/>
  <c r="N48" i="22"/>
  <c r="N90" i="22" s="1"/>
  <c r="C12" i="64"/>
  <c r="C12" i="164"/>
  <c r="T19" i="64"/>
  <c r="T19" i="164"/>
  <c r="DW24" i="51"/>
  <c r="DW27" i="51" s="1"/>
  <c r="K21" i="15" s="1"/>
  <c r="R36" i="4"/>
  <c r="F13" i="112"/>
  <c r="O10" i="164"/>
  <c r="O16" i="64"/>
  <c r="O16" i="164"/>
  <c r="AK11" i="43"/>
  <c r="AK10" i="43" s="1"/>
  <c r="AK73" i="43" s="1"/>
  <c r="J67" i="150"/>
  <c r="K19" i="150"/>
  <c r="W93" i="162"/>
  <c r="P94" i="162"/>
  <c r="C94" i="162" s="1"/>
  <c r="N96" i="88"/>
  <c r="N94" i="88"/>
  <c r="N93" i="88"/>
  <c r="N91" i="88"/>
  <c r="BK25" i="5"/>
  <c r="BL25" i="5" s="1"/>
  <c r="Y25" i="4"/>
  <c r="M9" i="48"/>
  <c r="M8" i="48" s="1"/>
  <c r="M32" i="48" s="1"/>
  <c r="M30" i="48" s="1"/>
  <c r="T39" i="47"/>
  <c r="T41" i="47" s="1"/>
  <c r="T10" i="47"/>
  <c r="AJ38" i="37"/>
  <c r="AB38" i="37"/>
  <c r="C28" i="39"/>
  <c r="C27" i="39" s="1"/>
  <c r="D27" i="39"/>
  <c r="O53" i="36"/>
  <c r="N53" i="36" s="1"/>
  <c r="AO181" i="88"/>
  <c r="AO64" i="88"/>
  <c r="AQ56" i="88"/>
  <c r="AO190" i="88"/>
  <c r="C66" i="162"/>
  <c r="C63" i="162" s="1"/>
  <c r="P63" i="162"/>
  <c r="AJ30" i="62"/>
  <c r="C30" i="14"/>
  <c r="C28" i="14" s="1"/>
  <c r="Q42" i="43" s="1"/>
  <c r="AJ28" i="14"/>
  <c r="V91" i="162"/>
  <c r="P92" i="162"/>
  <c r="C92" i="162" s="1"/>
  <c r="F20" i="45"/>
  <c r="L12" i="64"/>
  <c r="L22" i="64" s="1"/>
  <c r="L12" i="164"/>
  <c r="T34" i="39"/>
  <c r="AC24" i="51"/>
  <c r="AC27" i="51" s="1"/>
  <c r="AC28" i="51" s="1"/>
  <c r="J158" i="88"/>
  <c r="J61" i="43"/>
  <c r="J91" i="88"/>
  <c r="M22" i="98"/>
  <c r="F16" i="34"/>
  <c r="U9" i="86"/>
  <c r="D25" i="154"/>
  <c r="BP38" i="150"/>
  <c r="BO38" i="150" s="1"/>
  <c r="BE53" i="150"/>
  <c r="T15" i="151"/>
  <c r="N131" i="88"/>
  <c r="N112" i="88"/>
  <c r="N115" i="88"/>
  <c r="N109" i="88"/>
  <c r="N127" i="88"/>
  <c r="N155" i="88"/>
  <c r="N140" i="88"/>
  <c r="N103" i="88"/>
  <c r="N106" i="88"/>
  <c r="N152" i="88"/>
  <c r="N118" i="88"/>
  <c r="N149" i="88"/>
  <c r="N137" i="88"/>
  <c r="N146" i="88"/>
  <c r="N130" i="88"/>
  <c r="N143" i="88"/>
  <c r="N124" i="88"/>
  <c r="N121" i="88"/>
  <c r="O102" i="88"/>
  <c r="D27" i="34"/>
  <c r="C28" i="34"/>
  <c r="C27" i="34" s="1"/>
  <c r="BK26" i="5"/>
  <c r="BL26" i="5" s="1"/>
  <c r="Y26" i="4"/>
  <c r="K73" i="88"/>
  <c r="K81" i="88"/>
  <c r="L69" i="88"/>
  <c r="K77" i="88"/>
  <c r="N10" i="164"/>
  <c r="I22" i="164"/>
  <c r="C16" i="162"/>
  <c r="S29" i="38"/>
  <c r="D50" i="160"/>
  <c r="C64" i="161"/>
  <c r="P30" i="151"/>
  <c r="M30" i="151" s="1"/>
  <c r="O30" i="151" s="1"/>
  <c r="C41" i="161"/>
  <c r="L11" i="64"/>
  <c r="L11" i="164"/>
  <c r="O8" i="140"/>
  <c r="K65" i="96"/>
  <c r="E20" i="138"/>
  <c r="R21" i="138" s="1"/>
  <c r="L10" i="64"/>
  <c r="L10" i="164"/>
  <c r="L22" i="164" s="1"/>
  <c r="T21" i="64"/>
  <c r="T21" i="164"/>
  <c r="M11" i="25"/>
  <c r="FW11" i="51"/>
  <c r="FW10" i="51" s="1"/>
  <c r="AG9" i="89"/>
  <c r="AA11" i="20"/>
  <c r="AZ95" i="41"/>
  <c r="T8" i="86"/>
  <c r="AA8" i="86" s="1"/>
  <c r="U72" i="7"/>
  <c r="P13" i="162"/>
  <c r="C28" i="35"/>
  <c r="C27" i="35" s="1"/>
  <c r="D27" i="35"/>
  <c r="K91" i="88"/>
  <c r="K96" i="88"/>
  <c r="R96" i="88" s="1"/>
  <c r="K94" i="88"/>
  <c r="R94" i="88" s="1"/>
  <c r="K93" i="88"/>
  <c r="R93" i="88" s="1"/>
  <c r="Q85" i="88"/>
  <c r="P84" i="162"/>
  <c r="C84" i="162" s="1"/>
  <c r="R83" i="162"/>
  <c r="X95" i="60"/>
  <c r="X80" i="60" s="1"/>
  <c r="X11" i="60" s="1"/>
  <c r="X10" i="60" s="1"/>
  <c r="P96" i="60"/>
  <c r="BB61" i="3"/>
  <c r="J25" i="31"/>
  <c r="BB63" i="41"/>
  <c r="BY63" i="41" s="1"/>
  <c r="BZ63" i="41" s="1"/>
  <c r="O61" i="1"/>
  <c r="AJ7" i="14"/>
  <c r="AD31" i="37"/>
  <c r="AB108" i="162"/>
  <c r="P110" i="162"/>
  <c r="C110" i="162" s="1"/>
  <c r="FA9" i="47"/>
  <c r="K75" i="97"/>
  <c r="K76" i="97" s="1"/>
  <c r="C18" i="64"/>
  <c r="C18" i="164"/>
  <c r="AQ26" i="37"/>
  <c r="F16" i="39"/>
  <c r="Z11" i="11"/>
  <c r="AA9" i="86"/>
  <c r="H116" i="162"/>
  <c r="D19" i="6"/>
  <c r="C19" i="6" s="1"/>
  <c r="D19" i="39"/>
  <c r="C19" i="39" s="1"/>
  <c r="D19" i="45"/>
  <c r="C19" i="45" s="1"/>
  <c r="D19" i="153"/>
  <c r="C19" i="153" s="1"/>
  <c r="D19" i="38"/>
  <c r="C19" i="38" s="1"/>
  <c r="D19" i="152"/>
  <c r="C19" i="152" s="1"/>
  <c r="D19" i="34"/>
  <c r="C19" i="34" s="1"/>
  <c r="G56" i="1"/>
  <c r="G20" i="31" s="1"/>
  <c r="D19" i="46"/>
  <c r="C19" i="46" s="1"/>
  <c r="D19" i="35"/>
  <c r="C19" i="35" s="1"/>
  <c r="H20" i="31"/>
  <c r="D19" i="7"/>
  <c r="C19" i="7" s="1"/>
  <c r="U89" i="162"/>
  <c r="P90" i="162"/>
  <c r="C90" i="162" s="1"/>
  <c r="AC111" i="162"/>
  <c r="P112" i="162"/>
  <c r="C112" i="162" s="1"/>
  <c r="C111" i="162" s="1"/>
  <c r="Q97" i="89"/>
  <c r="Q63" i="89"/>
  <c r="Q91" i="89"/>
  <c r="Q103" i="89"/>
  <c r="Q66" i="89"/>
  <c r="Q79" i="89"/>
  <c r="Q100" i="89"/>
  <c r="Q88" i="89"/>
  <c r="Q94" i="89"/>
  <c r="Q72" i="89"/>
  <c r="Q82" i="89"/>
  <c r="Q75" i="89"/>
  <c r="Q85" i="89"/>
  <c r="Q62" i="89"/>
  <c r="Q69" i="89"/>
  <c r="Y11" i="162"/>
  <c r="Y10" i="162" s="1"/>
  <c r="H14" i="6"/>
  <c r="H14" i="35"/>
  <c r="H14" i="38"/>
  <c r="H72" i="38" s="1"/>
  <c r="H14" i="39"/>
  <c r="P16" i="31"/>
  <c r="H14" i="7"/>
  <c r="H72" i="7" s="1"/>
  <c r="L13" i="37"/>
  <c r="L11" i="37" s="1"/>
  <c r="L10" i="37" s="1"/>
  <c r="L9" i="37" s="1"/>
  <c r="O42" i="1"/>
  <c r="L13" i="4"/>
  <c r="H14" i="34"/>
  <c r="H19" i="33"/>
  <c r="I5" i="4"/>
  <c r="J18" i="4"/>
  <c r="J19" i="33" s="1"/>
  <c r="J5" i="4"/>
  <c r="AH51" i="162"/>
  <c r="AH44" i="162" s="1"/>
  <c r="C55" i="162"/>
  <c r="C51" i="162" s="1"/>
  <c r="C44" i="162" s="1"/>
  <c r="O18" i="4"/>
  <c r="O19" i="33" s="1"/>
  <c r="M19" i="33"/>
  <c r="M17" i="4"/>
  <c r="P59" i="162"/>
  <c r="C60" i="162"/>
  <c r="C59" i="162" s="1"/>
  <c r="E62" i="154"/>
  <c r="E60" i="154" s="1"/>
  <c r="C54" i="169"/>
  <c r="C52" i="169" s="1"/>
  <c r="C55" i="158"/>
  <c r="C53" i="158" s="1"/>
  <c r="L19" i="43"/>
  <c r="C33" i="77"/>
  <c r="C32" i="77" s="1"/>
  <c r="T32" i="62"/>
  <c r="T31" i="62" s="1"/>
  <c r="R31" i="62"/>
  <c r="S58" i="89"/>
  <c r="AB58" i="89" s="1"/>
  <c r="S54" i="89"/>
  <c r="S61" i="89"/>
  <c r="S56" i="89"/>
  <c r="AB56" i="89" s="1"/>
  <c r="S111" i="89"/>
  <c r="AB16" i="89"/>
  <c r="AE20" i="89" s="1"/>
  <c r="S10" i="89"/>
  <c r="K17" i="16"/>
  <c r="O17" i="16" s="1"/>
  <c r="BE56" i="3"/>
  <c r="AO60" i="36"/>
  <c r="AS60" i="36" s="1"/>
  <c r="AM60" i="36"/>
  <c r="AL60" i="36" s="1"/>
  <c r="AF60" i="36"/>
  <c r="D61" i="45"/>
  <c r="C61" i="45" s="1"/>
  <c r="K43" i="44"/>
  <c r="C43" i="44"/>
  <c r="C44" i="151" s="1"/>
  <c r="D61" i="46"/>
  <c r="C61" i="46" s="1"/>
  <c r="D43" i="44"/>
  <c r="F44" i="151"/>
  <c r="D61" i="153"/>
  <c r="C61" i="153" s="1"/>
  <c r="D61" i="152"/>
  <c r="C61" i="152" s="1"/>
  <c r="BT40" i="41"/>
  <c r="J40" i="39"/>
  <c r="J44" i="39" s="1"/>
  <c r="J40" i="34"/>
  <c r="J46" i="34" s="1"/>
  <c r="J40" i="7"/>
  <c r="P17" i="33"/>
  <c r="J40" i="35"/>
  <c r="J46" i="35" s="1"/>
  <c r="J40" i="6"/>
  <c r="J44" i="6" s="1"/>
  <c r="J40" i="38"/>
  <c r="J44" i="38" s="1"/>
  <c r="I44" i="38" s="1"/>
  <c r="C24" i="83"/>
  <c r="C22" i="83" s="1"/>
  <c r="AL23" i="62"/>
  <c r="AL21" i="62" s="1"/>
  <c r="AJ21" i="62"/>
  <c r="L83" i="46"/>
  <c r="T54" i="89"/>
  <c r="K8" i="87"/>
  <c r="K90" i="87" s="1"/>
  <c r="C61" i="150"/>
  <c r="C57" i="150" s="1"/>
  <c r="F17" i="112"/>
  <c r="BE54" i="150"/>
  <c r="BE46" i="150"/>
  <c r="C47" i="153"/>
  <c r="Q81" i="162"/>
  <c r="P82" i="162"/>
  <c r="C82" i="162" s="1"/>
  <c r="T79" i="6"/>
  <c r="Q79" i="6"/>
  <c r="N73" i="88"/>
  <c r="N77" i="88"/>
  <c r="N81" i="88"/>
  <c r="O69" i="88"/>
  <c r="Q69" i="88" s="1"/>
  <c r="H16" i="38"/>
  <c r="H74" i="38" s="1"/>
  <c r="H16" i="7"/>
  <c r="H74" i="7" s="1"/>
  <c r="H16" i="6"/>
  <c r="F16" i="6" s="1"/>
  <c r="H16" i="39"/>
  <c r="H16" i="35"/>
  <c r="H16" i="34"/>
  <c r="K19" i="45"/>
  <c r="L102" i="88"/>
  <c r="K127" i="88"/>
  <c r="K109" i="88"/>
  <c r="K140" i="88"/>
  <c r="K137" i="88"/>
  <c r="K143" i="88"/>
  <c r="K124" i="88"/>
  <c r="K118" i="88"/>
  <c r="K121" i="88"/>
  <c r="K152" i="88"/>
  <c r="K115" i="88"/>
  <c r="K103" i="88"/>
  <c r="K130" i="88"/>
  <c r="K149" i="88"/>
  <c r="K112" i="88"/>
  <c r="K155" i="88"/>
  <c r="K146" i="88"/>
  <c r="K131" i="88"/>
  <c r="K102" i="88"/>
  <c r="X95" i="162"/>
  <c r="X80" i="162" s="1"/>
  <c r="X11" i="162" s="1"/>
  <c r="X10" i="162" s="1"/>
  <c r="P96" i="162"/>
  <c r="EN30" i="47"/>
  <c r="EK2" i="47"/>
  <c r="EK9" i="47"/>
  <c r="EK10" i="47" s="1"/>
  <c r="I30" i="47"/>
  <c r="O10" i="13"/>
  <c r="O118" i="162"/>
  <c r="O10" i="162" s="1"/>
  <c r="O118" i="60"/>
  <c r="O10" i="60" s="1"/>
  <c r="D54" i="38"/>
  <c r="C54" i="38" s="1"/>
  <c r="D54" i="7"/>
  <c r="C54" i="7" s="1"/>
  <c r="D38" i="4"/>
  <c r="D30" i="33" s="1"/>
  <c r="D54" i="6"/>
  <c r="C54" i="6" s="1"/>
  <c r="D54" i="39"/>
  <c r="C54" i="39" s="1"/>
  <c r="C38" i="4"/>
  <c r="C30" i="33" s="1"/>
  <c r="D56" i="35"/>
  <c r="C56" i="35" s="1"/>
  <c r="K38" i="4"/>
  <c r="F30" i="33"/>
  <c r="D56" i="34"/>
  <c r="C56" i="34" s="1"/>
  <c r="I42" i="6"/>
  <c r="J78" i="6"/>
  <c r="I78" i="6" s="1"/>
  <c r="D45" i="160"/>
  <c r="C45" i="160" s="1"/>
  <c r="R13" i="64"/>
  <c r="R13" i="164"/>
  <c r="C17" i="64"/>
  <c r="C17" i="164"/>
  <c r="E59" i="154"/>
  <c r="E57" i="154" s="1"/>
  <c r="C51" i="169"/>
  <c r="C49" i="169" s="1"/>
  <c r="C48" i="169" s="1"/>
  <c r="C52" i="158"/>
  <c r="T12" i="64"/>
  <c r="T12" i="164"/>
  <c r="Y48" i="22"/>
  <c r="Y90" i="22" s="1"/>
  <c r="F16" i="35"/>
  <c r="BF154" i="88"/>
  <c r="R37" i="26"/>
  <c r="R13" i="26" s="1"/>
  <c r="R12" i="26" s="1"/>
  <c r="P88" i="36"/>
  <c r="I70" i="36"/>
  <c r="I72" i="36" s="1"/>
  <c r="P86" i="162"/>
  <c r="C86" i="162" s="1"/>
  <c r="S85" i="162"/>
  <c r="P85" i="162" s="1"/>
  <c r="C85" i="162" s="1"/>
  <c r="S80" i="162"/>
  <c r="S11" i="162" s="1"/>
  <c r="S10" i="162" s="1"/>
  <c r="W25" i="39"/>
  <c r="Q25" i="39"/>
  <c r="N24" i="39"/>
  <c r="N20" i="39" s="1"/>
  <c r="N18" i="39" s="1"/>
  <c r="S74" i="89"/>
  <c r="S75" i="89"/>
  <c r="Y74" i="89"/>
  <c r="K52" i="62"/>
  <c r="K28" i="14"/>
  <c r="D27" i="6"/>
  <c r="C28" i="6"/>
  <c r="C27" i="6" s="1"/>
  <c r="K30" i="62"/>
  <c r="Q112" i="89"/>
  <c r="Q113" i="89"/>
  <c r="C50" i="158"/>
  <c r="C49" i="158" s="1"/>
  <c r="K106" i="88"/>
  <c r="P99" i="162"/>
  <c r="Y97" i="162"/>
  <c r="Y80" i="162" s="1"/>
  <c r="J44" i="7"/>
  <c r="I42" i="7"/>
  <c r="G23" i="46"/>
  <c r="F23" i="46" s="1"/>
  <c r="F22" i="46" s="1"/>
  <c r="G24" i="153"/>
  <c r="F24" i="153" s="1"/>
  <c r="H33" i="152"/>
  <c r="W82" i="153"/>
  <c r="U82" i="153" s="1"/>
  <c r="J83" i="152"/>
  <c r="I83" i="152" s="1"/>
  <c r="N63" i="43"/>
  <c r="N62" i="43" s="1"/>
  <c r="G24" i="152"/>
  <c r="F24" i="152" s="1"/>
  <c r="S39" i="152"/>
  <c r="R39" i="152" s="1"/>
  <c r="T51" i="43"/>
  <c r="I73" i="43"/>
  <c r="G24" i="45"/>
  <c r="F24" i="45" s="1"/>
  <c r="G24" i="46"/>
  <c r="F24" i="46" s="1"/>
  <c r="D57" i="43"/>
  <c r="K81" i="97"/>
  <c r="R8" i="97"/>
  <c r="P89" i="13"/>
  <c r="C89" i="13" s="1"/>
  <c r="AP51" i="88"/>
  <c r="W9" i="87"/>
  <c r="M47" i="100"/>
  <c r="D66" i="141"/>
  <c r="AW7" i="88"/>
  <c r="N51" i="87"/>
  <c r="X9" i="86"/>
  <c r="X74" i="86" s="1"/>
  <c r="C30" i="45"/>
  <c r="C28" i="45" s="1"/>
  <c r="AD10" i="96"/>
  <c r="AV22" i="87"/>
  <c r="BA22" i="87"/>
  <c r="L41" i="151"/>
  <c r="BI19" i="43"/>
  <c r="K12" i="43"/>
  <c r="D22" i="46"/>
  <c r="C23" i="46"/>
  <c r="C22" i="46" s="1"/>
  <c r="AA67" i="150"/>
  <c r="Z67" i="150" s="1"/>
  <c r="M27" i="45"/>
  <c r="L27" i="45" s="1"/>
  <c r="J27" i="152"/>
  <c r="J65" i="150"/>
  <c r="D25" i="45"/>
  <c r="D21" i="45" s="1"/>
  <c r="D18" i="45" s="1"/>
  <c r="C19" i="154"/>
  <c r="C16" i="154" s="1"/>
  <c r="W67" i="150"/>
  <c r="E23" i="154"/>
  <c r="E19" i="154" s="1"/>
  <c r="E16" i="154" s="1"/>
  <c r="J27" i="45"/>
  <c r="I27" i="45" s="1"/>
  <c r="F25" i="154"/>
  <c r="J27" i="46"/>
  <c r="I27" i="46" s="1"/>
  <c r="J27" i="153"/>
  <c r="I27" i="153" s="1"/>
  <c r="D23" i="154"/>
  <c r="T67" i="43"/>
  <c r="D21" i="152"/>
  <c r="D18" i="152" s="1"/>
  <c r="BB20" i="5"/>
  <c r="BH20" i="5" s="1"/>
  <c r="J25" i="44"/>
  <c r="Q10" i="86"/>
  <c r="Q8" i="86"/>
  <c r="R8" i="86"/>
  <c r="R10" i="86"/>
  <c r="F47" i="151"/>
  <c r="D64" i="153"/>
  <c r="C64" i="153" s="1"/>
  <c r="D64" i="152"/>
  <c r="C64" i="152" s="1"/>
  <c r="M34" i="38"/>
  <c r="J59" i="46"/>
  <c r="I59" i="46" s="1"/>
  <c r="AX58" i="43"/>
  <c r="Y19" i="46"/>
  <c r="X19" i="46" s="1"/>
  <c r="Y19" i="45"/>
  <c r="R14" i="87"/>
  <c r="Q10" i="96"/>
  <c r="G13" i="151"/>
  <c r="G11" i="151" s="1"/>
  <c r="G10" i="151" s="1"/>
  <c r="G9" i="151" s="1"/>
  <c r="E37" i="153"/>
  <c r="E35" i="153" s="1"/>
  <c r="E34" i="153" s="1"/>
  <c r="E33" i="153" s="1"/>
  <c r="E71" i="153" s="1"/>
  <c r="E37" i="152"/>
  <c r="E35" i="152" s="1"/>
  <c r="E34" i="152" s="1"/>
  <c r="T49" i="43"/>
  <c r="U49" i="150"/>
  <c r="T49" i="150" s="1"/>
  <c r="BE49" i="150" s="1"/>
  <c r="T98" i="36"/>
  <c r="AD88" i="22"/>
  <c r="X12" i="36"/>
  <c r="I13" i="23"/>
  <c r="BM45" i="43"/>
  <c r="P45" i="150"/>
  <c r="BQ45" i="150" s="1"/>
  <c r="AF30" i="43"/>
  <c r="AA30" i="150"/>
  <c r="BE36" i="150"/>
  <c r="X83" i="153"/>
  <c r="U81" i="152"/>
  <c r="U80" i="152" s="1"/>
  <c r="W80" i="152"/>
  <c r="O18" i="151"/>
  <c r="J18" i="151"/>
  <c r="AA39" i="152"/>
  <c r="M83" i="153"/>
  <c r="L83" i="153" s="1"/>
  <c r="L39" i="153"/>
  <c r="BN41" i="150"/>
  <c r="V84" i="39"/>
  <c r="U84" i="39" s="1"/>
  <c r="U50" i="39"/>
  <c r="R50" i="6"/>
  <c r="S84" i="6"/>
  <c r="R84" i="6" s="1"/>
  <c r="S37" i="46"/>
  <c r="S82" i="46" s="1"/>
  <c r="R82" i="46" s="1"/>
  <c r="S37" i="45"/>
  <c r="R37" i="45" s="1"/>
  <c r="N49" i="150"/>
  <c r="BP49" i="150"/>
  <c r="BO49" i="150" s="1"/>
  <c r="J82" i="152"/>
  <c r="I82" i="152" s="1"/>
  <c r="AB38" i="151"/>
  <c r="AD38" i="151" s="1"/>
  <c r="AJ38" i="151"/>
  <c r="AK12" i="150"/>
  <c r="AK10" i="150"/>
  <c r="AK73" i="150" s="1"/>
  <c r="BH34" i="88"/>
  <c r="BJ34" i="88"/>
  <c r="BG34" i="88"/>
  <c r="BG33" i="88" s="1"/>
  <c r="BG31" i="88" s="1"/>
  <c r="G73" i="88"/>
  <c r="G75" i="88"/>
  <c r="G159" i="88"/>
  <c r="BE58" i="150"/>
  <c r="AS60" i="43"/>
  <c r="AU60" i="43"/>
  <c r="AY60" i="43" s="1"/>
  <c r="AQ45" i="150"/>
  <c r="F14" i="152"/>
  <c r="BM47" i="150"/>
  <c r="BV47" i="150"/>
  <c r="O59" i="39"/>
  <c r="S59" i="39"/>
  <c r="R59" i="39" s="1"/>
  <c r="J82" i="45"/>
  <c r="I82" i="45" s="1"/>
  <c r="AB37" i="151"/>
  <c r="AD37" i="151" s="1"/>
  <c r="AJ37" i="151"/>
  <c r="BB47" i="150"/>
  <c r="J8" i="52"/>
  <c r="J20" i="52" s="1"/>
  <c r="D20" i="52"/>
  <c r="R66" i="45"/>
  <c r="N46" i="150"/>
  <c r="BP46" i="150"/>
  <c r="BO46" i="150" s="1"/>
  <c r="Z30" i="150"/>
  <c r="Q61" i="150"/>
  <c r="Q57" i="150" s="1"/>
  <c r="J44" i="37"/>
  <c r="H42" i="37"/>
  <c r="J42" i="37" s="1"/>
  <c r="Q83" i="39"/>
  <c r="T49" i="39"/>
  <c r="T99" i="88"/>
  <c r="S95" i="88"/>
  <c r="AB83" i="153"/>
  <c r="AA83" i="153" s="1"/>
  <c r="AA39" i="153"/>
  <c r="H22" i="19"/>
  <c r="H13" i="19" s="1"/>
  <c r="G13" i="19"/>
  <c r="Y57" i="153"/>
  <c r="Y57" i="152"/>
  <c r="X57" i="152" s="1"/>
  <c r="AO31" i="4"/>
  <c r="AG31" i="4"/>
  <c r="V50" i="6"/>
  <c r="Y50" i="39"/>
  <c r="V50" i="7"/>
  <c r="U50" i="7" s="1"/>
  <c r="Y50" i="38"/>
  <c r="X50" i="38" s="1"/>
  <c r="AD13" i="151"/>
  <c r="Y13" i="151"/>
  <c r="D116" i="13"/>
  <c r="C116" i="13" s="1"/>
  <c r="H10" i="13"/>
  <c r="H116" i="60"/>
  <c r="Y82" i="153"/>
  <c r="X37" i="153"/>
  <c r="T29" i="4"/>
  <c r="BI29" i="5"/>
  <c r="BJ29" i="5" s="1"/>
  <c r="U37" i="153"/>
  <c r="AJ10" i="150"/>
  <c r="AD10" i="150"/>
  <c r="V37" i="46"/>
  <c r="V37" i="45"/>
  <c r="U37" i="45" s="1"/>
  <c r="AG12" i="44"/>
  <c r="AJ13" i="44" s="1"/>
  <c r="L10" i="151"/>
  <c r="L9" i="151" s="1"/>
  <c r="AL60" i="43"/>
  <c r="S20" i="46"/>
  <c r="R20" i="46" s="1"/>
  <c r="S20" i="45"/>
  <c r="K23" i="151"/>
  <c r="H24" i="151"/>
  <c r="F14" i="153"/>
  <c r="D7" i="154"/>
  <c r="Z82" i="153"/>
  <c r="V66" i="153"/>
  <c r="V66" i="152"/>
  <c r="S59" i="7"/>
  <c r="R59" i="7" s="1"/>
  <c r="AB43" i="4"/>
  <c r="BM43" i="5" s="1"/>
  <c r="BN43" i="5" s="1"/>
  <c r="V59" i="38"/>
  <c r="U59" i="38" s="1"/>
  <c r="V59" i="39"/>
  <c r="U59" i="39" s="1"/>
  <c r="S59" i="6"/>
  <c r="R59" i="6" s="1"/>
  <c r="AJ43" i="4"/>
  <c r="AB69" i="88"/>
  <c r="AO60" i="150"/>
  <c r="AM60" i="150"/>
  <c r="AL60" i="150" s="1"/>
  <c r="Q82" i="153"/>
  <c r="AB81" i="152"/>
  <c r="AA14" i="152"/>
  <c r="X55" i="153"/>
  <c r="Y91" i="153"/>
  <c r="X91" i="153" s="1"/>
  <c r="G48" i="150"/>
  <c r="BP48" i="150"/>
  <c r="BO48" i="150" s="1"/>
  <c r="BK46" i="43"/>
  <c r="BM50" i="43"/>
  <c r="P50" i="150"/>
  <c r="BQ50" i="150" s="1"/>
  <c r="H15" i="153"/>
  <c r="H15" i="152"/>
  <c r="H82" i="152" s="1"/>
  <c r="AB99" i="88"/>
  <c r="N39" i="150"/>
  <c r="BP39" i="150"/>
  <c r="BO39" i="150" s="1"/>
  <c r="F43" i="151"/>
  <c r="F42" i="151" s="1"/>
  <c r="D60" i="153"/>
  <c r="D60" i="152"/>
  <c r="K13" i="151"/>
  <c r="G37" i="153"/>
  <c r="G37" i="152"/>
  <c r="M69" i="86"/>
  <c r="BJ50" i="43"/>
  <c r="M50" i="150"/>
  <c r="BN50" i="150" s="1"/>
  <c r="M14" i="87"/>
  <c r="T71" i="43"/>
  <c r="V71" i="150"/>
  <c r="K31" i="153"/>
  <c r="I31" i="153" s="1"/>
  <c r="R36" i="6"/>
  <c r="J38" i="37"/>
  <c r="I40" i="35"/>
  <c r="AD12" i="36"/>
  <c r="I40" i="6"/>
  <c r="AB105" i="88"/>
  <c r="AR58" i="3"/>
  <c r="D18" i="16" s="1"/>
  <c r="AT44" i="47"/>
  <c r="FD11" i="47"/>
  <c r="G47" i="153"/>
  <c r="G47" i="152"/>
  <c r="Q102" i="88"/>
  <c r="AB37" i="153"/>
  <c r="AB37" i="152"/>
  <c r="AA37" i="152" s="1"/>
  <c r="CD9" i="47"/>
  <c r="CD39" i="47" s="1"/>
  <c r="V55" i="45"/>
  <c r="U55" i="45" s="1"/>
  <c r="V55" i="46"/>
  <c r="H42" i="150"/>
  <c r="G42" i="150" s="1"/>
  <c r="D14" i="152"/>
  <c r="C14" i="152" s="1"/>
  <c r="BH33" i="88"/>
  <c r="BH31" i="88" s="1"/>
  <c r="F65" i="152"/>
  <c r="AV10" i="5"/>
  <c r="F25" i="16"/>
  <c r="Y80" i="152"/>
  <c r="X81" i="152"/>
  <c r="X80" i="152" s="1"/>
  <c r="Z11" i="20"/>
  <c r="BL21" i="43"/>
  <c r="G21" i="43"/>
  <c r="H21" i="150"/>
  <c r="O69" i="150"/>
  <c r="G29" i="46"/>
  <c r="G29" i="153"/>
  <c r="G29" i="152"/>
  <c r="O68" i="43"/>
  <c r="G29" i="45"/>
  <c r="N69" i="43"/>
  <c r="N68" i="43" s="1"/>
  <c r="Y14" i="44"/>
  <c r="F37" i="154"/>
  <c r="BK22" i="5"/>
  <c r="BL22" i="5" s="1"/>
  <c r="Y22" i="4"/>
  <c r="J20" i="4"/>
  <c r="H17" i="4"/>
  <c r="P26" i="38"/>
  <c r="P26" i="39"/>
  <c r="AF64" i="1"/>
  <c r="P26" i="6"/>
  <c r="O26" i="6" s="1"/>
  <c r="P26" i="7"/>
  <c r="O26" i="7" s="1"/>
  <c r="AI64" i="1"/>
  <c r="BM31" i="5"/>
  <c r="AD31" i="4"/>
  <c r="J68" i="150"/>
  <c r="J130" i="150"/>
  <c r="G37" i="150"/>
  <c r="BP37" i="150"/>
  <c r="BO37" i="150" s="1"/>
  <c r="Z29" i="37"/>
  <c r="W29" i="4"/>
  <c r="E37" i="16"/>
  <c r="E11" i="16"/>
  <c r="E35" i="16" s="1"/>
  <c r="C36" i="58"/>
  <c r="D46" i="68"/>
  <c r="C46" i="68" s="1"/>
  <c r="AR15" i="151"/>
  <c r="Y15" i="151"/>
  <c r="AW41" i="150"/>
  <c r="U91" i="153"/>
  <c r="S19" i="152"/>
  <c r="R19" i="152" s="1"/>
  <c r="O19" i="152"/>
  <c r="N42" i="150"/>
  <c r="M16" i="33"/>
  <c r="O16" i="4"/>
  <c r="O16" i="33" s="1"/>
  <c r="T16" i="4"/>
  <c r="S59" i="38"/>
  <c r="O59" i="38"/>
  <c r="R59" i="38" s="1"/>
  <c r="P83" i="153"/>
  <c r="O83" i="153" s="1"/>
  <c r="BE40" i="150"/>
  <c r="D51" i="152"/>
  <c r="C51" i="152" s="1"/>
  <c r="C47" i="152"/>
  <c r="H37" i="154"/>
  <c r="K33" i="39"/>
  <c r="K32" i="39" s="1"/>
  <c r="Q34" i="150"/>
  <c r="Q30" i="43"/>
  <c r="BJ51" i="43"/>
  <c r="M51" i="150"/>
  <c r="BN51" i="150" s="1"/>
  <c r="D20" i="138"/>
  <c r="E40" i="62"/>
  <c r="M52" i="39"/>
  <c r="BD61" i="41"/>
  <c r="F13" i="151"/>
  <c r="D37" i="153"/>
  <c r="D37" i="152"/>
  <c r="I46" i="35"/>
  <c r="P22" i="19"/>
  <c r="W11" i="37"/>
  <c r="F15" i="151"/>
  <c r="D39" i="153"/>
  <c r="C39" i="153" s="1"/>
  <c r="D39" i="152"/>
  <c r="C39" i="152" s="1"/>
  <c r="V60" i="152"/>
  <c r="V60" i="153"/>
  <c r="K11" i="25"/>
  <c r="DW28" i="51"/>
  <c r="F12" i="51"/>
  <c r="C22" i="142"/>
  <c r="AN32" i="37"/>
  <c r="L76" i="39"/>
  <c r="FF11" i="47"/>
  <c r="J73" i="23"/>
  <c r="J58" i="23" s="1"/>
  <c r="BS11" i="41"/>
  <c r="I35" i="16"/>
  <c r="V66" i="46"/>
  <c r="V66" i="45"/>
  <c r="U66" i="45" s="1"/>
  <c r="J145" i="89"/>
  <c r="AB55" i="153"/>
  <c r="AB55" i="152"/>
  <c r="AA55" i="152" s="1"/>
  <c r="U32" i="43"/>
  <c r="T32" i="43" s="1"/>
  <c r="V32" i="150"/>
  <c r="G16" i="1"/>
  <c r="H13" i="1"/>
  <c r="AE12" i="150"/>
  <c r="AE10" i="150"/>
  <c r="AE73" i="150" s="1"/>
  <c r="BV51" i="150"/>
  <c r="J77" i="150"/>
  <c r="BM51" i="150"/>
  <c r="J5" i="150"/>
  <c r="W22" i="37"/>
  <c r="Y22" i="37" s="1"/>
  <c r="AT22" i="37"/>
  <c r="AQ22" i="37" s="1"/>
  <c r="V80" i="152"/>
  <c r="G40" i="6"/>
  <c r="G44" i="6" s="1"/>
  <c r="G40" i="39"/>
  <c r="G44" i="39" s="1"/>
  <c r="K17" i="33"/>
  <c r="G40" i="38"/>
  <c r="G44" i="38" s="1"/>
  <c r="G40" i="34"/>
  <c r="G46" i="34" s="1"/>
  <c r="G40" i="35"/>
  <c r="G46" i="35" s="1"/>
  <c r="G40" i="7"/>
  <c r="G44" i="7" s="1"/>
  <c r="V93" i="153"/>
  <c r="U93" i="153" s="1"/>
  <c r="U57" i="153"/>
  <c r="H58" i="150"/>
  <c r="G58" i="150" s="1"/>
  <c r="G58" i="43"/>
  <c r="G57" i="43" s="1"/>
  <c r="G16" i="43"/>
  <c r="H13" i="43"/>
  <c r="H11" i="43" s="1"/>
  <c r="BL16" i="43"/>
  <c r="H16" i="150"/>
  <c r="P80" i="152"/>
  <c r="F14" i="87"/>
  <c r="H17" i="87"/>
  <c r="O93" i="153"/>
  <c r="I39" i="153"/>
  <c r="D68" i="151"/>
  <c r="D70" i="151" s="1"/>
  <c r="J12" i="151"/>
  <c r="J12" i="150"/>
  <c r="J10" i="150"/>
  <c r="K11" i="150"/>
  <c r="Y37" i="45"/>
  <c r="Y37" i="46"/>
  <c r="L37" i="153"/>
  <c r="T29" i="37"/>
  <c r="I31" i="152"/>
  <c r="P42" i="151"/>
  <c r="M43" i="151"/>
  <c r="M42" i="151" s="1"/>
  <c r="M41" i="151" s="1"/>
  <c r="P82" i="153"/>
  <c r="C12" i="150"/>
  <c r="C10" i="150"/>
  <c r="BE38" i="150"/>
  <c r="G65" i="88"/>
  <c r="G101" i="88"/>
  <c r="G131" i="88" s="1"/>
  <c r="G85" i="88"/>
  <c r="G156" i="88"/>
  <c r="G68" i="88"/>
  <c r="H156" i="88"/>
  <c r="O19" i="153"/>
  <c r="S19" i="153"/>
  <c r="R19" i="153" s="1"/>
  <c r="O81" i="152"/>
  <c r="O80" i="152" s="1"/>
  <c r="Q80" i="152"/>
  <c r="X19" i="153"/>
  <c r="S99" i="88"/>
  <c r="J17" i="151"/>
  <c r="I39" i="6"/>
  <c r="J76" i="6"/>
  <c r="I76" i="6" s="1"/>
  <c r="S39" i="153"/>
  <c r="R39" i="153" s="1"/>
  <c r="O91" i="153"/>
  <c r="I10" i="86"/>
  <c r="H68" i="86"/>
  <c r="N8" i="52"/>
  <c r="E20" i="52"/>
  <c r="D23" i="52" s="1"/>
  <c r="K8" i="52"/>
  <c r="K20" i="52" s="1"/>
  <c r="G35" i="154"/>
  <c r="Z13" i="44"/>
  <c r="T37" i="43"/>
  <c r="U37" i="150"/>
  <c r="T37" i="150" s="1"/>
  <c r="BE37" i="150" s="1"/>
  <c r="C51" i="153"/>
  <c r="T14" i="44"/>
  <c r="BE26" i="150"/>
  <c r="T13" i="43"/>
  <c r="BK30" i="43"/>
  <c r="BB10" i="41"/>
  <c r="AW108" i="41"/>
  <c r="Q8" i="154" s="1"/>
  <c r="N36" i="150"/>
  <c r="BP36" i="150"/>
  <c r="BO36" i="150" s="1"/>
  <c r="AN12" i="44"/>
  <c r="AO13" i="44"/>
  <c r="S38" i="46"/>
  <c r="R38" i="46" s="1"/>
  <c r="AB13" i="44"/>
  <c r="S38" i="45"/>
  <c r="R38" i="45" s="1"/>
  <c r="AD114" i="86"/>
  <c r="Z114" i="86" s="1"/>
  <c r="AD112" i="86"/>
  <c r="AD8" i="86"/>
  <c r="H8" i="98"/>
  <c r="BC37" i="86"/>
  <c r="AV37" i="86"/>
  <c r="AV9" i="86" s="1"/>
  <c r="R24" i="140"/>
  <c r="X10" i="96"/>
  <c r="AR95" i="88"/>
  <c r="AZ101" i="88"/>
  <c r="AZ68" i="88"/>
  <c r="AZ170" i="88"/>
  <c r="AZ50" i="88"/>
  <c r="AZ85" i="88"/>
  <c r="AZ39" i="88"/>
  <c r="AZ97" i="88"/>
  <c r="AZ66" i="88"/>
  <c r="AZ156" i="88"/>
  <c r="I81" i="43"/>
  <c r="I28" i="153"/>
  <c r="U62" i="43"/>
  <c r="AC80" i="13"/>
  <c r="AC11" i="13" s="1"/>
  <c r="AC10" i="13" s="1"/>
  <c r="AC193" i="13" s="1"/>
  <c r="P111" i="13"/>
  <c r="C111" i="13" s="1"/>
  <c r="AM193" i="13"/>
  <c r="O202" i="13"/>
  <c r="P44" i="60"/>
  <c r="P112" i="60"/>
  <c r="C112" i="60" s="1"/>
  <c r="C111" i="60" s="1"/>
  <c r="AB205" i="13"/>
  <c r="AH209" i="13"/>
  <c r="AH210" i="13" s="1"/>
  <c r="Z80" i="13"/>
  <c r="Z11" i="13" s="1"/>
  <c r="Z10" i="13" s="1"/>
  <c r="N8" i="86"/>
  <c r="Q69" i="86" s="1"/>
  <c r="N69" i="86"/>
  <c r="O9" i="86"/>
  <c r="N94" i="86"/>
  <c r="N91" i="86"/>
  <c r="N10" i="86"/>
  <c r="BC10" i="87"/>
  <c r="BC9" i="87" s="1"/>
  <c r="AX9" i="87"/>
  <c r="BF9" i="88"/>
  <c r="AG14" i="87"/>
  <c r="AF106" i="89"/>
  <c r="M9" i="87"/>
  <c r="K83" i="87"/>
  <c r="K84" i="87" s="1"/>
  <c r="R9" i="87"/>
  <c r="BB160" i="88"/>
  <c r="BC25" i="87"/>
  <c r="AY25" i="87" s="1"/>
  <c r="AT25" i="87"/>
  <c r="AV25" i="87" s="1"/>
  <c r="BE9" i="88"/>
  <c r="BH9" i="88" s="1"/>
  <c r="BK10" i="86"/>
  <c r="N7" i="140"/>
  <c r="AW105" i="88"/>
  <c r="BE157" i="88"/>
  <c r="AK96" i="89"/>
  <c r="P52" i="151"/>
  <c r="M52" i="151" s="1"/>
  <c r="AR52" i="151" s="1"/>
  <c r="J70" i="153"/>
  <c r="J70" i="152"/>
  <c r="M68" i="154"/>
  <c r="H68" i="154"/>
  <c r="P93" i="60"/>
  <c r="C93" i="60" s="1"/>
  <c r="C51" i="60"/>
  <c r="J92" i="153"/>
  <c r="M53" i="154"/>
  <c r="H53" i="154"/>
  <c r="J101" i="152"/>
  <c r="S57" i="153"/>
  <c r="R57" i="153" s="1"/>
  <c r="I57" i="153"/>
  <c r="M93" i="153"/>
  <c r="L93" i="153" s="1"/>
  <c r="J93" i="153"/>
  <c r="I93" i="153" s="1"/>
  <c r="AR37" i="151"/>
  <c r="O37" i="151"/>
  <c r="T37" i="151"/>
  <c r="S57" i="152"/>
  <c r="R57" i="152" s="1"/>
  <c r="I57" i="152"/>
  <c r="AR49" i="151"/>
  <c r="BP25" i="150"/>
  <c r="D11" i="150"/>
  <c r="D12" i="150" s="1"/>
  <c r="J49" i="151"/>
  <c r="H48" i="151"/>
  <c r="J48" i="151" s="1"/>
  <c r="D63" i="154"/>
  <c r="H58" i="153"/>
  <c r="H33" i="153" s="1"/>
  <c r="AB49" i="151"/>
  <c r="AJ49" i="151"/>
  <c r="H33" i="46"/>
  <c r="U47" i="151"/>
  <c r="R47" i="151" s="1"/>
  <c r="M64" i="153"/>
  <c r="L64" i="153" s="1"/>
  <c r="M64" i="152"/>
  <c r="L64" i="152" s="1"/>
  <c r="U44" i="151"/>
  <c r="M61" i="153"/>
  <c r="L61" i="153" s="1"/>
  <c r="M61" i="152"/>
  <c r="L61" i="152" s="1"/>
  <c r="AA69" i="150"/>
  <c r="M29" i="152"/>
  <c r="L29" i="152" s="1"/>
  <c r="M29" i="46"/>
  <c r="L29" i="46" s="1"/>
  <c r="M29" i="153"/>
  <c r="L29" i="153" s="1"/>
  <c r="Z69" i="43"/>
  <c r="AC69" i="43"/>
  <c r="M29" i="45"/>
  <c r="L29" i="45" s="1"/>
  <c r="W70" i="150"/>
  <c r="W68" i="150" s="1"/>
  <c r="F28" i="154"/>
  <c r="G69" i="150"/>
  <c r="G68" i="150" s="1"/>
  <c r="H68" i="150"/>
  <c r="T66" i="150"/>
  <c r="T65" i="150" s="1"/>
  <c r="T61" i="150" s="1"/>
  <c r="U65" i="150"/>
  <c r="AC67" i="43"/>
  <c r="O65" i="150"/>
  <c r="N66" i="150"/>
  <c r="N65" i="150" s="1"/>
  <c r="D61" i="150"/>
  <c r="D57" i="150" s="1"/>
  <c r="M27" i="46"/>
  <c r="L27" i="46" s="1"/>
  <c r="M27" i="153"/>
  <c r="L27" i="153" s="1"/>
  <c r="Z67" i="43"/>
  <c r="M27" i="152"/>
  <c r="L27" i="152" s="1"/>
  <c r="C26" i="46"/>
  <c r="C25" i="46" s="1"/>
  <c r="C21" i="46" s="1"/>
  <c r="C18" i="46" s="1"/>
  <c r="D25" i="46"/>
  <c r="G66" i="150"/>
  <c r="H65" i="150"/>
  <c r="AE43" i="151"/>
  <c r="W43" i="151"/>
  <c r="O62" i="43"/>
  <c r="F21" i="154"/>
  <c r="W63" i="150"/>
  <c r="G23" i="45"/>
  <c r="G22" i="45" s="1"/>
  <c r="G23" i="153"/>
  <c r="F23" i="153" s="1"/>
  <c r="F22" i="153" s="1"/>
  <c r="G23" i="152"/>
  <c r="J62" i="150"/>
  <c r="D20" i="154"/>
  <c r="D19" i="154" s="1"/>
  <c r="U62" i="150"/>
  <c r="O62" i="150"/>
  <c r="N63" i="150"/>
  <c r="N62" i="150" s="1"/>
  <c r="AG30" i="150"/>
  <c r="AF31" i="150"/>
  <c r="BP31" i="150"/>
  <c r="O30" i="150"/>
  <c r="N31" i="150"/>
  <c r="N32" i="150"/>
  <c r="BP32" i="150"/>
  <c r="BO32" i="150" s="1"/>
  <c r="I82" i="150"/>
  <c r="I12" i="150"/>
  <c r="P122" i="150" s="1"/>
  <c r="I10" i="150"/>
  <c r="H30" i="150"/>
  <c r="G30" i="150"/>
  <c r="BE25" i="150"/>
  <c r="BO25" i="150"/>
  <c r="AK12" i="43"/>
  <c r="G23" i="150"/>
  <c r="BP23" i="150"/>
  <c r="BO23" i="150" s="1"/>
  <c r="G20" i="150"/>
  <c r="H19" i="150"/>
  <c r="BP20" i="150"/>
  <c r="BE20" i="150"/>
  <c r="AF19" i="150"/>
  <c r="BE19" i="150" s="1"/>
  <c r="N13" i="150"/>
  <c r="Z13" i="150"/>
  <c r="U13" i="150"/>
  <c r="T14" i="150"/>
  <c r="BE14" i="150" s="1"/>
  <c r="D10" i="43"/>
  <c r="D73" i="43" s="1"/>
  <c r="C8" i="154"/>
  <c r="C7" i="154" s="1"/>
  <c r="E12" i="45"/>
  <c r="E10" i="45" s="1"/>
  <c r="E11" i="45" s="1"/>
  <c r="E12" i="152"/>
  <c r="E17" i="152" s="1"/>
  <c r="BO14" i="150"/>
  <c r="AJ8" i="86"/>
  <c r="AJ60" i="86" s="1"/>
  <c r="AJ10" i="86"/>
  <c r="AI10" i="86"/>
  <c r="AV71" i="88"/>
  <c r="G8" i="139"/>
  <c r="G62" i="139" s="1"/>
  <c r="AD10" i="86"/>
  <c r="G5" i="141"/>
  <c r="M9" i="139"/>
  <c r="M10" i="139" s="1"/>
  <c r="R21" i="100"/>
  <c r="AX20" i="89"/>
  <c r="N90" i="96"/>
  <c r="BA28" i="87"/>
  <c r="AG32" i="92"/>
  <c r="AG31" i="92" s="1"/>
  <c r="AH33" i="92"/>
  <c r="AO18" i="87"/>
  <c r="AQ18" i="87" s="1"/>
  <c r="AX18" i="87"/>
  <c r="C7" i="92"/>
  <c r="AI9" i="96"/>
  <c r="F18" i="140"/>
  <c r="H18" i="140" s="1"/>
  <c r="V39" i="139"/>
  <c r="BF98" i="88"/>
  <c r="AX26" i="87"/>
  <c r="AO26" i="87"/>
  <c r="AQ26" i="87" s="1"/>
  <c r="P55" i="99"/>
  <c r="BA27" i="87"/>
  <c r="N87" i="96"/>
  <c r="Y56" i="87"/>
  <c r="AR76" i="88"/>
  <c r="AR77" i="88"/>
  <c r="E11" i="153"/>
  <c r="AG8" i="86"/>
  <c r="K20" i="34"/>
  <c r="K18" i="34" s="1"/>
  <c r="J64" i="34" s="1"/>
  <c r="BC15" i="87"/>
  <c r="AY15" i="87" s="1"/>
  <c r="AT15" i="87"/>
  <c r="AV15" i="87" s="1"/>
  <c r="N8" i="96"/>
  <c r="U8" i="97"/>
  <c r="C26" i="45"/>
  <c r="C25" i="45" s="1"/>
  <c r="C21" i="45" s="1"/>
  <c r="C18" i="45" s="1"/>
  <c r="AZ109" i="89"/>
  <c r="AY109" i="89"/>
  <c r="E26" i="152"/>
  <c r="G85" i="150"/>
  <c r="Q13" i="99"/>
  <c r="O13" i="99" s="1"/>
  <c r="O5" i="99" s="1"/>
  <c r="O15" i="99"/>
  <c r="R15" i="99" s="1"/>
  <c r="T15" i="99"/>
  <c r="AJ9" i="96"/>
  <c r="F10" i="96"/>
  <c r="C6" i="100"/>
  <c r="H48" i="98"/>
  <c r="AG9" i="96"/>
  <c r="AM232" i="88"/>
  <c r="BM35" i="88"/>
  <c r="BN35" i="88"/>
  <c r="BJ33" i="88"/>
  <c r="BJ31" i="88" s="1"/>
  <c r="N5" i="99"/>
  <c r="M44" i="99"/>
  <c r="L13" i="99"/>
  <c r="AJ19" i="88"/>
  <c r="AJ21" i="88"/>
  <c r="O9" i="96"/>
  <c r="N65" i="96"/>
  <c r="C44" i="141"/>
  <c r="D66" i="142"/>
  <c r="C66" i="142" s="1"/>
  <c r="C73" i="142" s="1"/>
  <c r="C74" i="142" s="1"/>
  <c r="C75" i="142" s="1"/>
  <c r="X60" i="96"/>
  <c r="H30" i="152"/>
  <c r="C30" i="152"/>
  <c r="C28" i="152" s="1"/>
  <c r="E28" i="152"/>
  <c r="P5" i="99"/>
  <c r="S5" i="99" s="1"/>
  <c r="S13" i="99"/>
  <c r="H20" i="152"/>
  <c r="C20" i="152"/>
  <c r="N10" i="96"/>
  <c r="E22" i="141"/>
  <c r="E66" i="141" s="1"/>
  <c r="C66" i="141" s="1"/>
  <c r="AF149" i="89"/>
  <c r="AF146" i="89"/>
  <c r="AF138" i="89"/>
  <c r="AF152" i="89"/>
  <c r="J24" i="152"/>
  <c r="I24" i="152" s="1"/>
  <c r="J24" i="153"/>
  <c r="I24" i="153" s="1"/>
  <c r="I27" i="152"/>
  <c r="L60" i="153"/>
  <c r="M59" i="153"/>
  <c r="I23" i="152"/>
  <c r="C21" i="153"/>
  <c r="L60" i="152"/>
  <c r="J28" i="152"/>
  <c r="I23" i="153"/>
  <c r="I22" i="153" s="1"/>
  <c r="J26" i="153"/>
  <c r="J26" i="152"/>
  <c r="G26" i="153"/>
  <c r="F26" i="153" s="1"/>
  <c r="G26" i="152"/>
  <c r="P60" i="153"/>
  <c r="S60" i="153" s="1"/>
  <c r="R60" i="153" s="1"/>
  <c r="P60" i="152"/>
  <c r="S60" i="152" s="1"/>
  <c r="R60" i="152" s="1"/>
  <c r="I59" i="153"/>
  <c r="F27" i="152"/>
  <c r="F23" i="152"/>
  <c r="F22" i="152" s="1"/>
  <c r="F27" i="153"/>
  <c r="J28" i="153"/>
  <c r="I59" i="152"/>
  <c r="D21" i="153"/>
  <c r="BN12" i="41"/>
  <c r="X10" i="86"/>
  <c r="X66" i="86" s="1"/>
  <c r="R8" i="96"/>
  <c r="R10" i="96"/>
  <c r="BL12" i="3"/>
  <c r="BL10" i="3"/>
  <c r="T9" i="16"/>
  <c r="T8" i="16" s="1"/>
  <c r="AO10" i="86"/>
  <c r="AO8" i="86"/>
  <c r="AO60" i="86" s="1"/>
  <c r="AO68" i="86" s="1"/>
  <c r="D11" i="31"/>
  <c r="D10" i="1"/>
  <c r="D12" i="1"/>
  <c r="D12" i="31" s="1"/>
  <c r="L11" i="1"/>
  <c r="L11" i="31" s="1"/>
  <c r="BF11" i="1"/>
  <c r="AP8" i="86"/>
  <c r="AP60" i="86" s="1"/>
  <c r="AP68" i="86" s="1"/>
  <c r="AP10" i="86"/>
  <c r="BI42" i="48"/>
  <c r="BG67" i="48"/>
  <c r="BG25" i="48"/>
  <c r="BG32" i="48"/>
  <c r="AD38" i="95"/>
  <c r="AC38" i="95"/>
  <c r="L72" i="39"/>
  <c r="BI14" i="5"/>
  <c r="T14" i="4"/>
  <c r="Q52" i="62"/>
  <c r="Q28" i="14"/>
  <c r="BE20" i="41"/>
  <c r="BE19" i="41" s="1"/>
  <c r="BA19" i="41"/>
  <c r="BA11" i="41" s="1"/>
  <c r="T6" i="100"/>
  <c r="T7" i="100" s="1"/>
  <c r="T47" i="100"/>
  <c r="T49" i="100"/>
  <c r="P91" i="13"/>
  <c r="C91" i="13" s="1"/>
  <c r="V80" i="13"/>
  <c r="V11" i="13" s="1"/>
  <c r="V10" i="13" s="1"/>
  <c r="D37" i="35"/>
  <c r="C37" i="35" s="1"/>
  <c r="D37" i="6"/>
  <c r="D37" i="39"/>
  <c r="F14" i="33"/>
  <c r="D37" i="7"/>
  <c r="C37" i="7" s="1"/>
  <c r="D14" i="4"/>
  <c r="D37" i="38"/>
  <c r="C37" i="38" s="1"/>
  <c r="D37" i="34"/>
  <c r="C37" i="34" s="1"/>
  <c r="K14" i="4"/>
  <c r="F15" i="138"/>
  <c r="M13" i="37"/>
  <c r="P11" i="37"/>
  <c r="P10" i="37" s="1"/>
  <c r="H62" i="36"/>
  <c r="J63" i="36"/>
  <c r="G63" i="36"/>
  <c r="L28" i="39"/>
  <c r="L27" i="39" s="1"/>
  <c r="M27" i="39"/>
  <c r="AR36" i="5"/>
  <c r="I78" i="39"/>
  <c r="AQ79" i="41"/>
  <c r="AQ74" i="41" s="1"/>
  <c r="AQ86" i="41" s="1"/>
  <c r="AG74" i="41"/>
  <c r="AG86" i="41" s="1"/>
  <c r="D13" i="37"/>
  <c r="C13" i="37"/>
  <c r="C11" i="37" s="1"/>
  <c r="C10" i="37" s="1"/>
  <c r="F11" i="37"/>
  <c r="F10" i="37" s="1"/>
  <c r="O73" i="7"/>
  <c r="O71" i="7" s="1"/>
  <c r="P71" i="7"/>
  <c r="T23" i="31"/>
  <c r="M74" i="6"/>
  <c r="L74" i="6" s="1"/>
  <c r="L37" i="6"/>
  <c r="L34" i="6" s="1"/>
  <c r="FB10" i="47"/>
  <c r="FA10" i="47"/>
  <c r="AJ12" i="36"/>
  <c r="R12" i="36"/>
  <c r="E32" i="14"/>
  <c r="R86" i="88"/>
  <c r="R92" i="88"/>
  <c r="R88" i="88"/>
  <c r="R85" i="88"/>
  <c r="R89" i="88"/>
  <c r="R90" i="88"/>
  <c r="R87" i="88"/>
  <c r="P91" i="88"/>
  <c r="R91" i="88" s="1"/>
  <c r="AP39" i="88"/>
  <c r="AP68" i="88"/>
  <c r="AQ69" i="88" s="1"/>
  <c r="AQ51" i="88"/>
  <c r="AW51" i="88" s="1"/>
  <c r="AB122" i="89"/>
  <c r="AJ122" i="89"/>
  <c r="AN122" i="89" s="1"/>
  <c r="AK122" i="89"/>
  <c r="G57" i="89"/>
  <c r="G8" i="89"/>
  <c r="G105" i="89"/>
  <c r="G113" i="89" s="1"/>
  <c r="G104" i="89"/>
  <c r="J104" i="89" s="1"/>
  <c r="J73" i="7"/>
  <c r="I73" i="7" s="1"/>
  <c r="C15" i="7"/>
  <c r="O53" i="6"/>
  <c r="K44" i="7"/>
  <c r="I44" i="7" s="1"/>
  <c r="I40" i="7"/>
  <c r="J24" i="45"/>
  <c r="I24" i="45" s="1"/>
  <c r="T64" i="43"/>
  <c r="T62" i="43" s="1"/>
  <c r="W64" i="43"/>
  <c r="J24" i="46"/>
  <c r="I24" i="46" s="1"/>
  <c r="F62" i="35"/>
  <c r="F60" i="35" s="1"/>
  <c r="G60" i="35"/>
  <c r="AU30" i="37"/>
  <c r="AQ30" i="37" s="1"/>
  <c r="W30" i="37"/>
  <c r="D10" i="36"/>
  <c r="D70" i="36" s="1"/>
  <c r="D12" i="36"/>
  <c r="L12" i="36" s="1"/>
  <c r="O13" i="100"/>
  <c r="P5" i="100"/>
  <c r="P45" i="100" s="1"/>
  <c r="S13" i="100"/>
  <c r="S5" i="100" s="1"/>
  <c r="E17" i="34"/>
  <c r="E10" i="34"/>
  <c r="E11" i="34" s="1"/>
  <c r="E10" i="46"/>
  <c r="E11" i="46" s="1"/>
  <c r="E17" i="46"/>
  <c r="E8" i="46"/>
  <c r="U72" i="38"/>
  <c r="U71" i="38" s="1"/>
  <c r="V71" i="38"/>
  <c r="K20" i="19"/>
  <c r="L21" i="19"/>
  <c r="L20" i="19" s="1"/>
  <c r="BI20" i="5"/>
  <c r="BJ20" i="5" s="1"/>
  <c r="T20" i="4"/>
  <c r="AE45" i="36"/>
  <c r="AA45" i="36"/>
  <c r="Z45" i="36" s="1"/>
  <c r="M47" i="36"/>
  <c r="P47" i="36"/>
  <c r="P11" i="36" s="1"/>
  <c r="AD38" i="48"/>
  <c r="AT45" i="47"/>
  <c r="M40" i="38"/>
  <c r="M40" i="7"/>
  <c r="M40" i="39"/>
  <c r="M40" i="6"/>
  <c r="AY32" i="48"/>
  <c r="AY67" i="48"/>
  <c r="AY25" i="48"/>
  <c r="EV3" i="47"/>
  <c r="EJ29" i="47"/>
  <c r="EJ32" i="47"/>
  <c r="EJ30" i="47" s="1"/>
  <c r="BB78" i="3"/>
  <c r="BF78" i="3" s="1"/>
  <c r="P37" i="92"/>
  <c r="P7" i="92"/>
  <c r="C40" i="6"/>
  <c r="D44" i="6"/>
  <c r="C44" i="6" s="1"/>
  <c r="W41" i="4"/>
  <c r="BK41" i="5" s="1"/>
  <c r="BL41" i="5" s="1"/>
  <c r="P57" i="6"/>
  <c r="O57" i="6" s="1"/>
  <c r="P57" i="39"/>
  <c r="P57" i="38"/>
  <c r="AE41" i="4"/>
  <c r="P57" i="7"/>
  <c r="O57" i="7" s="1"/>
  <c r="Q12" i="31"/>
  <c r="R12" i="1"/>
  <c r="R12" i="31" s="1"/>
  <c r="S24" i="22"/>
  <c r="N23" i="22"/>
  <c r="S23" i="22" s="1"/>
  <c r="BI33" i="5"/>
  <c r="T33" i="4"/>
  <c r="BL12" i="36"/>
  <c r="K12" i="36"/>
  <c r="BK12" i="36"/>
  <c r="BT78" i="41"/>
  <c r="K21" i="40"/>
  <c r="J49" i="40"/>
  <c r="S36" i="23"/>
  <c r="M34" i="6"/>
  <c r="M33" i="6" s="1"/>
  <c r="BK19" i="5"/>
  <c r="BL19" i="5" s="1"/>
  <c r="Y19" i="4"/>
  <c r="M21" i="38"/>
  <c r="L22" i="38"/>
  <c r="L21" i="38" s="1"/>
  <c r="D55" i="35"/>
  <c r="K37" i="4"/>
  <c r="D53" i="6"/>
  <c r="D53" i="39"/>
  <c r="D53" i="38"/>
  <c r="D55" i="34"/>
  <c r="D53" i="7"/>
  <c r="F29" i="33"/>
  <c r="D37" i="4"/>
  <c r="C37" i="4"/>
  <c r="F36" i="4"/>
  <c r="R42" i="4"/>
  <c r="BI44" i="5"/>
  <c r="AB72" i="38"/>
  <c r="AA14" i="38"/>
  <c r="Y72" i="7"/>
  <c r="X14" i="7"/>
  <c r="Y48" i="7"/>
  <c r="X48" i="7" s="1"/>
  <c r="AB48" i="39"/>
  <c r="Y48" i="6"/>
  <c r="AB48" i="38"/>
  <c r="AA48" i="38" s="1"/>
  <c r="AL32" i="4"/>
  <c r="AK41" i="36"/>
  <c r="AG41" i="36"/>
  <c r="BF10" i="47"/>
  <c r="BF39" i="47"/>
  <c r="BF41" i="47" s="1"/>
  <c r="BF44" i="47" s="1"/>
  <c r="AL9" i="48"/>
  <c r="J26" i="47"/>
  <c r="V23" i="47"/>
  <c r="AF133" i="88"/>
  <c r="AF132" i="88"/>
  <c r="AZ68" i="89"/>
  <c r="AY68" i="89"/>
  <c r="I10" i="89"/>
  <c r="U49" i="139"/>
  <c r="Z49" i="139"/>
  <c r="K8" i="86"/>
  <c r="K10" i="86"/>
  <c r="K69" i="86" s="1"/>
  <c r="S35" i="39"/>
  <c r="O35" i="39"/>
  <c r="P34" i="39"/>
  <c r="P72" i="39"/>
  <c r="K33" i="7"/>
  <c r="K32" i="7" s="1"/>
  <c r="U36" i="37"/>
  <c r="R37" i="37"/>
  <c r="R36" i="37" s="1"/>
  <c r="Z37" i="37"/>
  <c r="AM30" i="36"/>
  <c r="AL31" i="36"/>
  <c r="AL30" i="36" s="1"/>
  <c r="EW10" i="47"/>
  <c r="EZ9" i="47"/>
  <c r="EY9" i="47"/>
  <c r="AT10" i="88"/>
  <c r="AT14" i="88"/>
  <c r="AT20" i="88"/>
  <c r="AT18" i="88"/>
  <c r="AT16" i="88"/>
  <c r="AT27" i="88"/>
  <c r="AT28" i="88"/>
  <c r="AT7" i="88"/>
  <c r="AT23" i="88"/>
  <c r="AT9" i="88"/>
  <c r="AT12" i="88"/>
  <c r="AT13" i="88"/>
  <c r="AT26" i="88"/>
  <c r="AT15" i="88"/>
  <c r="AT8" i="88"/>
  <c r="AT24" i="88"/>
  <c r="AT11" i="88"/>
  <c r="AT19" i="88"/>
  <c r="AT25" i="88"/>
  <c r="AT17" i="88"/>
  <c r="AT22" i="88"/>
  <c r="AD7" i="95"/>
  <c r="AC7" i="95"/>
  <c r="Q7" i="95"/>
  <c r="R7" i="95"/>
  <c r="C203" i="13"/>
  <c r="Q81" i="13"/>
  <c r="Q80" i="13" s="1"/>
  <c r="AB203" i="13" s="1"/>
  <c r="AN14" i="4"/>
  <c r="BQ14" i="5"/>
  <c r="BR14" i="5" s="1"/>
  <c r="BK14" i="5"/>
  <c r="BL14" i="5" s="1"/>
  <c r="Y14" i="4"/>
  <c r="BJ38" i="5"/>
  <c r="D25" i="6"/>
  <c r="D25" i="39"/>
  <c r="H27" i="31"/>
  <c r="F40" i="37"/>
  <c r="D25" i="7"/>
  <c r="J63" i="1"/>
  <c r="D25" i="38"/>
  <c r="D25" i="34"/>
  <c r="D25" i="35"/>
  <c r="G63" i="1"/>
  <c r="G27" i="31" s="1"/>
  <c r="F40" i="4"/>
  <c r="H62" i="1"/>
  <c r="F45" i="44"/>
  <c r="AZ60" i="5"/>
  <c r="J32" i="16"/>
  <c r="Q27" i="14"/>
  <c r="S27" i="14"/>
  <c r="BH10" i="47"/>
  <c r="BG10" i="47"/>
  <c r="G37" i="46"/>
  <c r="F37" i="46" s="1"/>
  <c r="G37" i="45"/>
  <c r="F37" i="45" s="1"/>
  <c r="H12" i="44"/>
  <c r="AC10" i="86"/>
  <c r="AC8" i="86"/>
  <c r="AE71" i="86" s="1"/>
  <c r="AA2" i="86"/>
  <c r="T60" i="86"/>
  <c r="U60" i="86" s="1"/>
  <c r="U8" i="86"/>
  <c r="X10" i="94"/>
  <c r="Y10" i="94"/>
  <c r="AB10" i="94"/>
  <c r="CO10" i="47"/>
  <c r="CR9" i="47"/>
  <c r="CQ9" i="47"/>
  <c r="N30" i="47"/>
  <c r="M30" i="47"/>
  <c r="H71" i="48"/>
  <c r="H74" i="48" s="1"/>
  <c r="U34" i="62"/>
  <c r="W34" i="14"/>
  <c r="H44" i="39"/>
  <c r="F44" i="39" s="1"/>
  <c r="Z29" i="39"/>
  <c r="U29" i="39"/>
  <c r="N14" i="31"/>
  <c r="BH30" i="1"/>
  <c r="AB43" i="1"/>
  <c r="U43" i="1"/>
  <c r="T43" i="1" s="1"/>
  <c r="BB44" i="5"/>
  <c r="J44" i="4"/>
  <c r="J36" i="33" s="1"/>
  <c r="H36" i="33"/>
  <c r="H42" i="4"/>
  <c r="T65" i="36"/>
  <c r="T76" i="36"/>
  <c r="AD14" i="99"/>
  <c r="AE21" i="99"/>
  <c r="AD21" i="99" s="1"/>
  <c r="AA74" i="89"/>
  <c r="AF74" i="89"/>
  <c r="AA75" i="89"/>
  <c r="AB75" i="89" s="1"/>
  <c r="AJ73" i="89"/>
  <c r="AN73" i="89" s="1"/>
  <c r="AB73" i="89"/>
  <c r="U21" i="16"/>
  <c r="BN68" i="3"/>
  <c r="I52" i="39"/>
  <c r="E11" i="20"/>
  <c r="E12" i="20"/>
  <c r="E14" i="20"/>
  <c r="E17" i="20"/>
  <c r="Z17" i="4"/>
  <c r="Z10" i="4" s="1"/>
  <c r="Z18" i="37"/>
  <c r="P42" i="6"/>
  <c r="W18" i="4"/>
  <c r="P42" i="38"/>
  <c r="P42" i="39"/>
  <c r="P42" i="7"/>
  <c r="P49" i="39"/>
  <c r="Z33" i="37"/>
  <c r="P49" i="38"/>
  <c r="P49" i="6"/>
  <c r="W33" i="4"/>
  <c r="P49" i="7"/>
  <c r="O49" i="7" s="1"/>
  <c r="G67" i="26"/>
  <c r="K67" i="26" s="1"/>
  <c r="K68" i="26"/>
  <c r="F27" i="62"/>
  <c r="F25" i="62" s="1"/>
  <c r="C27" i="14"/>
  <c r="H27" i="14"/>
  <c r="AJ96" i="89"/>
  <c r="AN96" i="89" s="1"/>
  <c r="AB96" i="89"/>
  <c r="BD42" i="5"/>
  <c r="AO75" i="88"/>
  <c r="AQ160" i="88"/>
  <c r="AW160" i="88" s="1"/>
  <c r="AQ67" i="88"/>
  <c r="AO159" i="88"/>
  <c r="AV159" i="88" s="1"/>
  <c r="H46" i="34"/>
  <c r="D57" i="6"/>
  <c r="C57" i="6" s="1"/>
  <c r="D41" i="4"/>
  <c r="D59" i="35"/>
  <c r="C59" i="35" s="1"/>
  <c r="C41" i="4"/>
  <c r="C33" i="33" s="1"/>
  <c r="D59" i="34"/>
  <c r="C59" i="34" s="1"/>
  <c r="K41" i="4"/>
  <c r="D57" i="38"/>
  <c r="C57" i="38" s="1"/>
  <c r="D57" i="39"/>
  <c r="C57" i="39" s="1"/>
  <c r="F33" i="33"/>
  <c r="D57" i="7"/>
  <c r="C57" i="7" s="1"/>
  <c r="BY67" i="41"/>
  <c r="BZ67" i="41" s="1"/>
  <c r="BH67" i="41"/>
  <c r="BA78" i="41"/>
  <c r="P120" i="43"/>
  <c r="W14" i="87"/>
  <c r="I16" i="15"/>
  <c r="V15" i="17" s="1"/>
  <c r="BK68" i="41"/>
  <c r="BK66" i="3"/>
  <c r="AC65" i="1"/>
  <c r="AG66" i="1"/>
  <c r="M22" i="16"/>
  <c r="O22" i="16" s="1"/>
  <c r="BD69" i="3"/>
  <c r="BE69" i="3"/>
  <c r="BC38" i="5"/>
  <c r="BD38" i="5" s="1"/>
  <c r="C52" i="54"/>
  <c r="C52" i="66" s="1"/>
  <c r="T19" i="39"/>
  <c r="R19" i="39" s="1"/>
  <c r="CG28" i="51"/>
  <c r="BD10" i="47"/>
  <c r="BD39" i="47"/>
  <c r="BD41" i="47" s="1"/>
  <c r="BD42" i="47" s="1"/>
  <c r="BD43" i="47" s="1"/>
  <c r="W93" i="88"/>
  <c r="W91" i="88"/>
  <c r="AA91" i="88" s="1"/>
  <c r="AA85" i="88"/>
  <c r="AD85" i="88" s="1"/>
  <c r="AF32" i="95"/>
  <c r="AE32" i="95"/>
  <c r="X31" i="95"/>
  <c r="AC32" i="95"/>
  <c r="AD32" i="95"/>
  <c r="AA155" i="89"/>
  <c r="AF48" i="89"/>
  <c r="AA55" i="89"/>
  <c r="AB55" i="89" s="1"/>
  <c r="AA49" i="89"/>
  <c r="AB49" i="89" s="1"/>
  <c r="AB48" i="89"/>
  <c r="AA54" i="89"/>
  <c r="AB54" i="89" s="1"/>
  <c r="C14" i="147"/>
  <c r="C8" i="147"/>
  <c r="AB5" i="94"/>
  <c r="M9" i="94"/>
  <c r="AB4" i="94"/>
  <c r="AB6" i="94"/>
  <c r="AE9" i="94"/>
  <c r="AA9" i="94"/>
  <c r="AC9" i="94" s="1"/>
  <c r="Z9" i="94"/>
  <c r="AG12" i="3"/>
  <c r="AG10" i="3"/>
  <c r="AG70" i="3" s="1"/>
  <c r="K41" i="37"/>
  <c r="H41" i="37" s="1"/>
  <c r="D41" i="37"/>
  <c r="C41" i="37"/>
  <c r="BT13" i="3"/>
  <c r="BT76" i="3"/>
  <c r="BV16" i="5"/>
  <c r="BT16" i="5"/>
  <c r="BW16" i="5" s="1"/>
  <c r="L37" i="39"/>
  <c r="M74" i="39"/>
  <c r="L74" i="39" s="1"/>
  <c r="O57" i="36"/>
  <c r="J56" i="36"/>
  <c r="Y11" i="37"/>
  <c r="AJ10" i="36"/>
  <c r="R10" i="36"/>
  <c r="K38" i="26"/>
  <c r="G37" i="26"/>
  <c r="K37" i="26" s="1"/>
  <c r="O93" i="46"/>
  <c r="S85" i="60"/>
  <c r="P85" i="60" s="1"/>
  <c r="C85" i="60" s="1"/>
  <c r="S80" i="60"/>
  <c r="S11" i="60" s="1"/>
  <c r="S10" i="60" s="1"/>
  <c r="P86" i="60"/>
  <c r="C86" i="60" s="1"/>
  <c r="G69" i="89"/>
  <c r="G72" i="89"/>
  <c r="G91" i="89"/>
  <c r="G62" i="89"/>
  <c r="G66" i="89"/>
  <c r="G100" i="89"/>
  <c r="G85" i="89"/>
  <c r="G82" i="89"/>
  <c r="G63" i="89"/>
  <c r="H62" i="89"/>
  <c r="G79" i="89"/>
  <c r="G94" i="89"/>
  <c r="G97" i="89"/>
  <c r="G103" i="89"/>
  <c r="G88" i="89"/>
  <c r="BT71" i="41"/>
  <c r="BK37" i="5"/>
  <c r="AX10" i="5"/>
  <c r="H25" i="16"/>
  <c r="W28" i="6"/>
  <c r="T27" i="6"/>
  <c r="T20" i="6" s="1"/>
  <c r="K46" i="34"/>
  <c r="I46" i="34" s="1"/>
  <c r="I40" i="34"/>
  <c r="K17" i="47"/>
  <c r="L17" i="47"/>
  <c r="BI21" i="5"/>
  <c r="BJ21" i="5" s="1"/>
  <c r="T21" i="4"/>
  <c r="P27" i="19"/>
  <c r="P26" i="19" s="1"/>
  <c r="N26" i="19"/>
  <c r="F60" i="7"/>
  <c r="F58" i="7" s="1"/>
  <c r="G58" i="7"/>
  <c r="F62" i="34"/>
  <c r="F60" i="34" s="1"/>
  <c r="G60" i="34"/>
  <c r="AA66" i="36"/>
  <c r="W65" i="36"/>
  <c r="DO10" i="47"/>
  <c r="DP10" i="47"/>
  <c r="BH33" i="5"/>
  <c r="L28" i="16"/>
  <c r="AH18" i="92"/>
  <c r="AH8" i="92" s="1"/>
  <c r="AJ19" i="92"/>
  <c r="AJ18" i="92" s="1"/>
  <c r="J51" i="100"/>
  <c r="J52" i="100" s="1"/>
  <c r="I21" i="100"/>
  <c r="I45" i="100" s="1"/>
  <c r="L54" i="96"/>
  <c r="L52" i="96" s="1"/>
  <c r="K52" i="96"/>
  <c r="K60" i="96" s="1"/>
  <c r="K62" i="96" s="1"/>
  <c r="V133" i="88"/>
  <c r="V132" i="88"/>
  <c r="X132" i="88"/>
  <c r="E10" i="35"/>
  <c r="E11" i="35" s="1"/>
  <c r="E8" i="35"/>
  <c r="E65" i="35" s="1"/>
  <c r="E17" i="35"/>
  <c r="I72" i="1"/>
  <c r="I34" i="31"/>
  <c r="O39" i="1"/>
  <c r="V39" i="1"/>
  <c r="P11" i="1"/>
  <c r="I40" i="38"/>
  <c r="U37" i="46"/>
  <c r="V82" i="46"/>
  <c r="AA20" i="37"/>
  <c r="W20" i="4"/>
  <c r="S12" i="36"/>
  <c r="S10" i="36"/>
  <c r="S70" i="36" s="1"/>
  <c r="H26" i="33"/>
  <c r="J34" i="4"/>
  <c r="J26" i="33" s="1"/>
  <c r="R46" i="44"/>
  <c r="F62" i="154" s="1"/>
  <c r="Z46" i="44"/>
  <c r="M64" i="46"/>
  <c r="L64" i="46" s="1"/>
  <c r="M64" i="45"/>
  <c r="L64" i="45" s="1"/>
  <c r="M78" i="6"/>
  <c r="L42" i="6"/>
  <c r="AT39" i="36"/>
  <c r="AN39" i="36"/>
  <c r="AG39" i="36"/>
  <c r="CU28" i="51"/>
  <c r="Y26" i="37"/>
  <c r="AJ41" i="37"/>
  <c r="AB41" i="37"/>
  <c r="F16" i="38"/>
  <c r="G74" i="38"/>
  <c r="F74" i="38" s="1"/>
  <c r="I14" i="7"/>
  <c r="M72" i="7"/>
  <c r="J72" i="7"/>
  <c r="C40" i="7"/>
  <c r="D44" i="7"/>
  <c r="C44" i="7" s="1"/>
  <c r="H66" i="37"/>
  <c r="J17" i="37"/>
  <c r="BB10" i="36"/>
  <c r="L49" i="6"/>
  <c r="M83" i="6"/>
  <c r="L83" i="6" s="1"/>
  <c r="BT11" i="41"/>
  <c r="AA58" i="40"/>
  <c r="AA49" i="40" s="1"/>
  <c r="AA12" i="40"/>
  <c r="C24" i="73"/>
  <c r="C24" i="72" s="1"/>
  <c r="H23" i="62"/>
  <c r="E23" i="62" s="1"/>
  <c r="C23" i="62"/>
  <c r="AJ31" i="88"/>
  <c r="AC9" i="88"/>
  <c r="AD9" i="88"/>
  <c r="L72" i="6"/>
  <c r="H71" i="7"/>
  <c r="L22" i="6"/>
  <c r="L21" i="6" s="1"/>
  <c r="M21" i="6"/>
  <c r="D21" i="39"/>
  <c r="C22" i="39"/>
  <c r="C21" i="39" s="1"/>
  <c r="I52" i="38"/>
  <c r="D26" i="16"/>
  <c r="L60" i="38"/>
  <c r="L58" i="38" s="1"/>
  <c r="M58" i="38"/>
  <c r="AQ41" i="36"/>
  <c r="Y11" i="36"/>
  <c r="EP33" i="47"/>
  <c r="EN33" i="47"/>
  <c r="EI9" i="47"/>
  <c r="BE10" i="86"/>
  <c r="Q31" i="95"/>
  <c r="E28" i="95"/>
  <c r="R31" i="95"/>
  <c r="W45" i="139"/>
  <c r="AB45" i="139" s="1"/>
  <c r="R45" i="139"/>
  <c r="X45" i="139" s="1"/>
  <c r="AC45" i="139" s="1"/>
  <c r="D12" i="69"/>
  <c r="D8" i="69" s="1"/>
  <c r="D7" i="69" s="1"/>
  <c r="C13" i="69"/>
  <c r="L10" i="86"/>
  <c r="L69" i="86" s="1"/>
  <c r="L8" i="86"/>
  <c r="Y12" i="4"/>
  <c r="BK12" i="5"/>
  <c r="W5" i="4"/>
  <c r="W11" i="4"/>
  <c r="O40" i="1"/>
  <c r="M15" i="31"/>
  <c r="M11" i="1"/>
  <c r="R19" i="22"/>
  <c r="R12" i="22" s="1"/>
  <c r="Q20" i="22"/>
  <c r="FF23" i="47"/>
  <c r="FD23" i="47"/>
  <c r="O45" i="43"/>
  <c r="O45" i="150" s="1"/>
  <c r="R57" i="95"/>
  <c r="Q57" i="95"/>
  <c r="AC57" i="95"/>
  <c r="L56" i="95"/>
  <c r="AD57" i="95"/>
  <c r="W16" i="89"/>
  <c r="T56" i="89"/>
  <c r="T58" i="89"/>
  <c r="BF57" i="3"/>
  <c r="BY57" i="3"/>
  <c r="BZ57" i="3" s="1"/>
  <c r="X37" i="6"/>
  <c r="Y74" i="6"/>
  <c r="X74" i="6" s="1"/>
  <c r="O37" i="6"/>
  <c r="P74" i="6"/>
  <c r="O74" i="6" s="1"/>
  <c r="BA62" i="3"/>
  <c r="BA58" i="3" s="1"/>
  <c r="AB15" i="16"/>
  <c r="J25" i="16"/>
  <c r="AZ10" i="5"/>
  <c r="N25" i="14"/>
  <c r="N7" i="14" s="1"/>
  <c r="G12" i="17"/>
  <c r="O46" i="36"/>
  <c r="N46" i="36" s="1"/>
  <c r="BN46" i="36" s="1"/>
  <c r="AP79" i="41"/>
  <c r="AP74" i="41" s="1"/>
  <c r="AP86" i="41" s="1"/>
  <c r="AO74" i="41"/>
  <c r="AO86" i="41" s="1"/>
  <c r="G42" i="43"/>
  <c r="D14" i="45"/>
  <c r="BL42" i="43"/>
  <c r="BK42" i="43" s="1"/>
  <c r="U31" i="14"/>
  <c r="U7" i="14" s="1"/>
  <c r="T66" i="86"/>
  <c r="U10" i="86"/>
  <c r="U74" i="89"/>
  <c r="AH10" i="96"/>
  <c r="AA10" i="96"/>
  <c r="AQ10" i="47"/>
  <c r="AU10" i="47" s="1"/>
  <c r="AX9" i="47"/>
  <c r="AW9" i="47"/>
  <c r="W19" i="37"/>
  <c r="AT19" i="37"/>
  <c r="AQ19" i="37" s="1"/>
  <c r="F18" i="16"/>
  <c r="AV55" i="3"/>
  <c r="Z59" i="1"/>
  <c r="C22" i="34"/>
  <c r="C21" i="34" s="1"/>
  <c r="D21" i="34"/>
  <c r="N26" i="47"/>
  <c r="M26" i="47"/>
  <c r="O91" i="46"/>
  <c r="U13" i="44"/>
  <c r="Y12" i="44"/>
  <c r="AP9" i="89"/>
  <c r="AT8" i="89"/>
  <c r="AQ9" i="89"/>
  <c r="Z45" i="139"/>
  <c r="Z9" i="139" s="1"/>
  <c r="U45" i="139"/>
  <c r="AJ33" i="47"/>
  <c r="AG9" i="47"/>
  <c r="R83" i="60"/>
  <c r="P84" i="60"/>
  <c r="C84" i="60" s="1"/>
  <c r="S35" i="38"/>
  <c r="O35" i="38"/>
  <c r="P34" i="38"/>
  <c r="R37" i="46"/>
  <c r="Q11" i="33"/>
  <c r="Q10" i="4"/>
  <c r="AQ9" i="5"/>
  <c r="BN51" i="41"/>
  <c r="BI28" i="5"/>
  <c r="BJ28" i="5" s="1"/>
  <c r="T28" i="4"/>
  <c r="V17" i="37"/>
  <c r="V10" i="37" s="1"/>
  <c r="V9" i="37" s="1"/>
  <c r="I30" i="38"/>
  <c r="R30" i="38" s="1"/>
  <c r="S30" i="38"/>
  <c r="K9" i="48"/>
  <c r="P39" i="47"/>
  <c r="P41" i="47" s="1"/>
  <c r="T42" i="47" s="1"/>
  <c r="T43" i="47" s="1"/>
  <c r="P10" i="47"/>
  <c r="EP11" i="51"/>
  <c r="EP10" i="51" s="1"/>
  <c r="R7" i="14"/>
  <c r="C9" i="14"/>
  <c r="F16" i="51"/>
  <c r="F11" i="51" s="1"/>
  <c r="F10" i="51" s="1"/>
  <c r="AF119" i="89"/>
  <c r="X29" i="139"/>
  <c r="AC29" i="139" s="1"/>
  <c r="I57" i="46"/>
  <c r="J93" i="46"/>
  <c r="I93" i="46" s="1"/>
  <c r="N57" i="1"/>
  <c r="O21" i="31"/>
  <c r="O56" i="1"/>
  <c r="G19" i="153" s="1"/>
  <c r="F19" i="153" s="1"/>
  <c r="AL77" i="3"/>
  <c r="AL72" i="3" s="1"/>
  <c r="AL84" i="3" s="1"/>
  <c r="AL70" i="3"/>
  <c r="N24" i="19"/>
  <c r="M23" i="19"/>
  <c r="L54" i="7"/>
  <c r="M52" i="7"/>
  <c r="D11" i="27"/>
  <c r="C6" i="53"/>
  <c r="AI123" i="13"/>
  <c r="G6" i="53"/>
  <c r="G8" i="53" s="1"/>
  <c r="CG9" i="47"/>
  <c r="CH9" i="47"/>
  <c r="CA10" i="47"/>
  <c r="AP57" i="41"/>
  <c r="AP72" i="41" s="1"/>
  <c r="AR58" i="41"/>
  <c r="AR57" i="41" s="1"/>
  <c r="AT58" i="41"/>
  <c r="O20" i="51"/>
  <c r="O21" i="51" s="1"/>
  <c r="BS24" i="51"/>
  <c r="BS27" i="51" s="1"/>
  <c r="FM24" i="51"/>
  <c r="FM27" i="51" s="1"/>
  <c r="AQ24" i="51"/>
  <c r="AQ27" i="51" s="1"/>
  <c r="DI24" i="51"/>
  <c r="DI27" i="51" s="1"/>
  <c r="GA24" i="51"/>
  <c r="GA27" i="51" s="1"/>
  <c r="EY24" i="51"/>
  <c r="EY27" i="51" s="1"/>
  <c r="EK24" i="51"/>
  <c r="EK27" i="51" s="1"/>
  <c r="BE24" i="51"/>
  <c r="BE27" i="51" s="1"/>
  <c r="BQ10" i="47"/>
  <c r="BS9" i="47"/>
  <c r="BT9" i="47"/>
  <c r="W31" i="14"/>
  <c r="W8" i="16"/>
  <c r="Y32" i="100"/>
  <c r="Y33" i="100" s="1"/>
  <c r="Y36" i="100" s="1"/>
  <c r="Y37" i="100" s="1"/>
  <c r="I7" i="100"/>
  <c r="T60" i="96"/>
  <c r="AA8" i="96"/>
  <c r="Y43" i="139"/>
  <c r="AD43" i="139" s="1"/>
  <c r="G45" i="99"/>
  <c r="F45" i="99" s="1"/>
  <c r="I17" i="63"/>
  <c r="X72" i="38"/>
  <c r="X71" i="38" s="1"/>
  <c r="Y71" i="38"/>
  <c r="M27" i="7"/>
  <c r="L28" i="7"/>
  <c r="AL35" i="5"/>
  <c r="AT35" i="5" s="1"/>
  <c r="AT36" i="5"/>
  <c r="N88" i="22"/>
  <c r="S52" i="22"/>
  <c r="Z19" i="39"/>
  <c r="X19" i="39" s="1"/>
  <c r="M23" i="47"/>
  <c r="N23" i="47"/>
  <c r="R29" i="140"/>
  <c r="U29" i="140"/>
  <c r="AW158" i="88"/>
  <c r="AE10" i="94"/>
  <c r="AE23" i="94"/>
  <c r="M7" i="94"/>
  <c r="AE7" i="94"/>
  <c r="AE14" i="94"/>
  <c r="AE27" i="94"/>
  <c r="AE26" i="94"/>
  <c r="AE24" i="94"/>
  <c r="AE17" i="94"/>
  <c r="AE11" i="94"/>
  <c r="AE20" i="94"/>
  <c r="AE15" i="94"/>
  <c r="AE19" i="94"/>
  <c r="AE25" i="94"/>
  <c r="AE12" i="94"/>
  <c r="AE16" i="94"/>
  <c r="AE21" i="94"/>
  <c r="AE18" i="94"/>
  <c r="AE22" i="94"/>
  <c r="AE13" i="94"/>
  <c r="AA7" i="94"/>
  <c r="AC7" i="94" s="1"/>
  <c r="Z7" i="94"/>
  <c r="D17" i="16"/>
  <c r="D16" i="16" s="1"/>
  <c r="H46" i="35"/>
  <c r="F40" i="35"/>
  <c r="AX77" i="3"/>
  <c r="AX72" i="3" s="1"/>
  <c r="AX84" i="3" s="1"/>
  <c r="AW72" i="3"/>
  <c r="AW84" i="3" s="1"/>
  <c r="BF11" i="3"/>
  <c r="O36" i="6"/>
  <c r="P73" i="6"/>
  <c r="O73" i="6" s="1"/>
  <c r="H32" i="62"/>
  <c r="C33" i="73"/>
  <c r="C32" i="62"/>
  <c r="BC95" i="88"/>
  <c r="T10" i="139"/>
  <c r="P85" i="13"/>
  <c r="C85" i="13" s="1"/>
  <c r="S80" i="13"/>
  <c r="S11" i="13" s="1"/>
  <c r="S10" i="13" s="1"/>
  <c r="S193" i="13" s="1"/>
  <c r="G112" i="89"/>
  <c r="I111" i="89"/>
  <c r="H112" i="89"/>
  <c r="D39" i="45"/>
  <c r="C39" i="45" s="1"/>
  <c r="D14" i="44"/>
  <c r="D39" i="46"/>
  <c r="S53" i="39"/>
  <c r="R53" i="39" s="1"/>
  <c r="O53" i="39"/>
  <c r="K31" i="26"/>
  <c r="G30" i="26"/>
  <c r="K30" i="26" s="1"/>
  <c r="AA21" i="37"/>
  <c r="W21" i="4"/>
  <c r="F60" i="6"/>
  <c r="F58" i="6" s="1"/>
  <c r="G58" i="6"/>
  <c r="AL9" i="47"/>
  <c r="AK9" i="47"/>
  <c r="AE10" i="47"/>
  <c r="DE9" i="47"/>
  <c r="DF9" i="47"/>
  <c r="CY10" i="47"/>
  <c r="DC10" i="47" s="1"/>
  <c r="BO16" i="51"/>
  <c r="BO11" i="51" s="1"/>
  <c r="BO10" i="51" s="1"/>
  <c r="K18" i="51"/>
  <c r="E65" i="88"/>
  <c r="E85" i="88"/>
  <c r="E101" i="88"/>
  <c r="E131" i="88" s="1"/>
  <c r="F156" i="88"/>
  <c r="E68" i="88"/>
  <c r="E73" i="88" s="1"/>
  <c r="I7" i="88"/>
  <c r="E156" i="88"/>
  <c r="F46" i="34"/>
  <c r="E10" i="38"/>
  <c r="E11" i="38" s="1"/>
  <c r="E17" i="38"/>
  <c r="E8" i="38"/>
  <c r="E63" i="38" s="1"/>
  <c r="U36" i="6"/>
  <c r="V73" i="6"/>
  <c r="F10" i="31"/>
  <c r="F70" i="1"/>
  <c r="F34" i="31" s="1"/>
  <c r="T20" i="37"/>
  <c r="U66" i="46"/>
  <c r="D50" i="68"/>
  <c r="C50" i="68" s="1"/>
  <c r="C40" i="58"/>
  <c r="BI18" i="5"/>
  <c r="T18" i="4"/>
  <c r="R17" i="4"/>
  <c r="BS12" i="41"/>
  <c r="G26" i="46"/>
  <c r="O65" i="43"/>
  <c r="O61" i="43" s="1"/>
  <c r="N66" i="43"/>
  <c r="N65" i="43" s="1"/>
  <c r="N61" i="43" s="1"/>
  <c r="G26" i="45"/>
  <c r="G25" i="45" s="1"/>
  <c r="AF99" i="88"/>
  <c r="AF95" i="88"/>
  <c r="E19" i="92"/>
  <c r="E18" i="92" s="1"/>
  <c r="D18" i="92"/>
  <c r="AK19" i="92"/>
  <c r="AK18" i="92" s="1"/>
  <c r="J36" i="34"/>
  <c r="J36" i="7"/>
  <c r="P13" i="33"/>
  <c r="J36" i="35"/>
  <c r="J36" i="6"/>
  <c r="J36" i="39"/>
  <c r="M13" i="4"/>
  <c r="J36" i="38"/>
  <c r="P11" i="4"/>
  <c r="D46" i="34"/>
  <c r="C46" i="34" s="1"/>
  <c r="C40" i="34"/>
  <c r="BL12" i="41"/>
  <c r="BL10" i="41"/>
  <c r="T33" i="37"/>
  <c r="AU74" i="41"/>
  <c r="AU86" i="41" s="1"/>
  <c r="AV79" i="41"/>
  <c r="M10" i="28"/>
  <c r="M9" i="28" s="1"/>
  <c r="Q9" i="28" s="1"/>
  <c r="N9" i="28"/>
  <c r="N69" i="22" s="1"/>
  <c r="AR10" i="41"/>
  <c r="AR12" i="41"/>
  <c r="BQ12" i="41"/>
  <c r="BQ10" i="41"/>
  <c r="I53" i="99"/>
  <c r="J54" i="99"/>
  <c r="I54" i="99" s="1"/>
  <c r="R101" i="88"/>
  <c r="P140" i="88"/>
  <c r="R107" i="88"/>
  <c r="P121" i="88"/>
  <c r="P131" i="88"/>
  <c r="R138" i="88"/>
  <c r="P127" i="88"/>
  <c r="R144" i="88"/>
  <c r="P106" i="88"/>
  <c r="P118" i="88"/>
  <c r="R119" i="88"/>
  <c r="R147" i="88"/>
  <c r="P130" i="88"/>
  <c r="P146" i="88"/>
  <c r="P115" i="88"/>
  <c r="R141" i="88"/>
  <c r="R104" i="88"/>
  <c r="R110" i="88"/>
  <c r="R122" i="88"/>
  <c r="P103" i="88"/>
  <c r="R113" i="88"/>
  <c r="R153" i="88"/>
  <c r="P124" i="88"/>
  <c r="P143" i="88"/>
  <c r="P155" i="88"/>
  <c r="R128" i="88"/>
  <c r="P149" i="88"/>
  <c r="P137" i="88"/>
  <c r="R150" i="88"/>
  <c r="P112" i="88"/>
  <c r="P109" i="88"/>
  <c r="R125" i="88"/>
  <c r="R116" i="88"/>
  <c r="P152" i="88"/>
  <c r="Z77" i="88"/>
  <c r="Z76" i="88"/>
  <c r="AB76" i="88" s="1"/>
  <c r="AF76" i="88"/>
  <c r="AA75" i="88"/>
  <c r="AA77" i="88" s="1"/>
  <c r="O83" i="46"/>
  <c r="X30" i="100"/>
  <c r="C44" i="142"/>
  <c r="Z32" i="100"/>
  <c r="Z33" i="100" s="1"/>
  <c r="Z36" i="100" s="1"/>
  <c r="Z37" i="100" s="1"/>
  <c r="K31" i="46"/>
  <c r="I31" i="46" s="1"/>
  <c r="BD71" i="41"/>
  <c r="BE71" i="41"/>
  <c r="AR12" i="3"/>
  <c r="AR10" i="3"/>
  <c r="AS11" i="3" s="1"/>
  <c r="D9" i="16"/>
  <c r="D8" i="16" s="1"/>
  <c r="C37" i="58"/>
  <c r="D47" i="68"/>
  <c r="D35" i="58"/>
  <c r="D51" i="46"/>
  <c r="C51" i="46" s="1"/>
  <c r="C47" i="46"/>
  <c r="F12" i="138"/>
  <c r="H35" i="45"/>
  <c r="H34" i="45" s="1"/>
  <c r="H33" i="45" s="1"/>
  <c r="M107" i="89"/>
  <c r="M110" i="89"/>
  <c r="M116" i="89"/>
  <c r="M117" i="89"/>
  <c r="O106" i="89"/>
  <c r="M113" i="89"/>
  <c r="F56" i="100"/>
  <c r="F57" i="100" s="1"/>
  <c r="F49" i="100"/>
  <c r="AT10" i="89"/>
  <c r="AW11" i="89" s="1"/>
  <c r="M47" i="43"/>
  <c r="M47" i="150" s="1"/>
  <c r="BN47" i="150" s="1"/>
  <c r="P47" i="43"/>
  <c r="M34" i="39"/>
  <c r="H15" i="7"/>
  <c r="H73" i="7" s="1"/>
  <c r="H15" i="6"/>
  <c r="H15" i="39"/>
  <c r="H15" i="35"/>
  <c r="P17" i="31"/>
  <c r="H15" i="38"/>
  <c r="H73" i="38" s="1"/>
  <c r="H71" i="38" s="1"/>
  <c r="H15" i="34"/>
  <c r="F10" i="44"/>
  <c r="F9" i="44" s="1"/>
  <c r="D37" i="45"/>
  <c r="D37" i="46"/>
  <c r="AG61" i="1"/>
  <c r="BK61" i="3"/>
  <c r="BK63" i="41"/>
  <c r="V22" i="16"/>
  <c r="AB22" i="16" s="1"/>
  <c r="BB10" i="3"/>
  <c r="BB12" i="3"/>
  <c r="BY11" i="3"/>
  <c r="BZ11" i="3" s="1"/>
  <c r="L9" i="16"/>
  <c r="L8" i="16" s="1"/>
  <c r="G11" i="33"/>
  <c r="G10" i="4"/>
  <c r="Y13" i="4"/>
  <c r="BK13" i="5"/>
  <c r="BT52" i="3"/>
  <c r="U43" i="36"/>
  <c r="T43" i="36" s="1"/>
  <c r="T11" i="36" s="1"/>
  <c r="AB43" i="36"/>
  <c r="V11" i="36"/>
  <c r="T29" i="39"/>
  <c r="R29" i="39" s="1"/>
  <c r="Q27" i="39"/>
  <c r="T30" i="14"/>
  <c r="V30" i="14"/>
  <c r="K33" i="38"/>
  <c r="K32" i="38" s="1"/>
  <c r="AZ60" i="41"/>
  <c r="AZ57" i="41" s="1"/>
  <c r="AZ72" i="41" s="1"/>
  <c r="E10" i="47"/>
  <c r="Q70" i="86"/>
  <c r="Q71" i="86" s="1"/>
  <c r="Q103" i="86"/>
  <c r="Q104" i="86" s="1"/>
  <c r="Q67" i="86"/>
  <c r="Q78" i="86"/>
  <c r="S71" i="86"/>
  <c r="Q96" i="86"/>
  <c r="K7" i="97"/>
  <c r="L15" i="97" s="1"/>
  <c r="K48" i="97"/>
  <c r="N51" i="97"/>
  <c r="K62" i="97"/>
  <c r="K64" i="97" s="1"/>
  <c r="T8" i="139"/>
  <c r="N39" i="43"/>
  <c r="BL39" i="43"/>
  <c r="BK39" i="43" s="1"/>
  <c r="D14" i="37"/>
  <c r="K14" i="37"/>
  <c r="H14" i="37" s="1"/>
  <c r="J80" i="6"/>
  <c r="I44" i="6"/>
  <c r="V53" i="38"/>
  <c r="V53" i="39"/>
  <c r="S53" i="6"/>
  <c r="AB37" i="4"/>
  <c r="AJ37" i="4"/>
  <c r="S53" i="7"/>
  <c r="K44" i="39"/>
  <c r="I40" i="39"/>
  <c r="T36" i="43"/>
  <c r="V13" i="94"/>
  <c r="U13" i="94" s="1"/>
  <c r="T21" i="37"/>
  <c r="AA33" i="9"/>
  <c r="Z59" i="9"/>
  <c r="Z50" i="9" s="1"/>
  <c r="Z65" i="9" s="1"/>
  <c r="Z25" i="9"/>
  <c r="Z24" i="9" s="1"/>
  <c r="V33" i="47"/>
  <c r="J33" i="47" s="1"/>
  <c r="J36" i="47"/>
  <c r="AA117" i="89"/>
  <c r="AF118" i="89" s="1"/>
  <c r="AA116" i="89"/>
  <c r="AA113" i="89"/>
  <c r="AA110" i="89"/>
  <c r="AA107" i="89"/>
  <c r="E159" i="88"/>
  <c r="E75" i="88"/>
  <c r="I9" i="88"/>
  <c r="AW23" i="87"/>
  <c r="AO23" i="87"/>
  <c r="AQ23" i="87" s="1"/>
  <c r="AR17" i="87"/>
  <c r="AR14" i="87" s="1"/>
  <c r="AR8" i="87" s="1"/>
  <c r="AR7" i="87" s="1"/>
  <c r="H18" i="97"/>
  <c r="C15" i="97"/>
  <c r="BJ12" i="5"/>
  <c r="BI11" i="5"/>
  <c r="AJ58" i="3"/>
  <c r="AJ55" i="3" s="1"/>
  <c r="AT59" i="3"/>
  <c r="E30" i="19"/>
  <c r="T27" i="16"/>
  <c r="Z9" i="16"/>
  <c r="BR12" i="3"/>
  <c r="E13" i="20"/>
  <c r="O22" i="37"/>
  <c r="AS22" i="37"/>
  <c r="T22" i="37"/>
  <c r="FD9" i="47"/>
  <c r="FF9" i="47"/>
  <c r="F10" i="47"/>
  <c r="L42" i="7"/>
  <c r="BB18" i="5"/>
  <c r="J23" i="44"/>
  <c r="I4" i="44"/>
  <c r="J4" i="44"/>
  <c r="H22" i="44"/>
  <c r="P73" i="23"/>
  <c r="AS9" i="86"/>
  <c r="AR8" i="86"/>
  <c r="AY8" i="86" s="1"/>
  <c r="AR10" i="86"/>
  <c r="O51" i="1"/>
  <c r="O18" i="31" s="1"/>
  <c r="N52" i="1"/>
  <c r="N51" i="1" s="1"/>
  <c r="G74" i="7"/>
  <c r="F74" i="7" s="1"/>
  <c r="F16" i="7"/>
  <c r="AT45" i="1"/>
  <c r="AM45" i="1"/>
  <c r="AL45" i="1" s="1"/>
  <c r="D44" i="38"/>
  <c r="C44" i="38" s="1"/>
  <c r="C40" i="38"/>
  <c r="BV25" i="3"/>
  <c r="M83" i="39"/>
  <c r="L83" i="39" s="1"/>
  <c r="L49" i="39"/>
  <c r="BL10" i="36"/>
  <c r="K10" i="36"/>
  <c r="L10" i="36"/>
  <c r="BK10" i="36"/>
  <c r="W15" i="14"/>
  <c r="E17" i="14"/>
  <c r="M17" i="47"/>
  <c r="N17" i="47"/>
  <c r="C9" i="47"/>
  <c r="C10" i="47" s="1"/>
  <c r="O43" i="6"/>
  <c r="P79" i="6"/>
  <c r="O79" i="6" s="1"/>
  <c r="I16" i="16"/>
  <c r="W44" i="37"/>
  <c r="W42" i="37" s="1"/>
  <c r="AT44" i="37"/>
  <c r="Z42" i="37"/>
  <c r="AE44" i="37"/>
  <c r="O29" i="39"/>
  <c r="M21" i="7"/>
  <c r="L22" i="7"/>
  <c r="L21" i="7" s="1"/>
  <c r="C22" i="6"/>
  <c r="C21" i="6" s="1"/>
  <c r="D21" i="6"/>
  <c r="O19" i="39"/>
  <c r="Y93" i="46"/>
  <c r="X93" i="46" s="1"/>
  <c r="X57" i="46"/>
  <c r="L60" i="7"/>
  <c r="L58" i="7" s="1"/>
  <c r="M58" i="7"/>
  <c r="X12" i="1"/>
  <c r="H26" i="47"/>
  <c r="P41" i="43" s="1"/>
  <c r="P41" i="150" s="1"/>
  <c r="BQ41" i="150" s="1"/>
  <c r="AF23" i="47"/>
  <c r="Y36" i="7"/>
  <c r="X36" i="7" s="1"/>
  <c r="AB36" i="38"/>
  <c r="AA36" i="38" s="1"/>
  <c r="M21" i="19"/>
  <c r="O21" i="19" s="1"/>
  <c r="AB36" i="39"/>
  <c r="Y36" i="6"/>
  <c r="AL13" i="4"/>
  <c r="X37" i="45"/>
  <c r="X48" i="39"/>
  <c r="Y82" i="39"/>
  <c r="X82" i="39" s="1"/>
  <c r="F20" i="19"/>
  <c r="F13" i="19"/>
  <c r="K17" i="26"/>
  <c r="CM10" i="47"/>
  <c r="CT9" i="47"/>
  <c r="CS9" i="47"/>
  <c r="EG12" i="51"/>
  <c r="EG11" i="51" s="1"/>
  <c r="EG10" i="51" s="1"/>
  <c r="K15" i="51"/>
  <c r="BC16" i="87"/>
  <c r="AY16" i="87" s="1"/>
  <c r="AT16" i="87"/>
  <c r="P72" i="6"/>
  <c r="O35" i="6"/>
  <c r="P34" i="6"/>
  <c r="I54" i="35"/>
  <c r="K73" i="6"/>
  <c r="K71" i="6" s="1"/>
  <c r="K70" i="6" s="1"/>
  <c r="K34" i="6"/>
  <c r="K33" i="6" s="1"/>
  <c r="K32" i="6" s="1"/>
  <c r="C23" i="16"/>
  <c r="W82" i="46"/>
  <c r="Z28" i="37"/>
  <c r="W28" i="4"/>
  <c r="AA18" i="37"/>
  <c r="Q42" i="39"/>
  <c r="Q42" i="38"/>
  <c r="T42" i="38" s="1"/>
  <c r="Q42" i="7"/>
  <c r="Q42" i="6"/>
  <c r="Q78" i="6" s="1"/>
  <c r="AA17" i="4"/>
  <c r="Y68" i="22"/>
  <c r="O10" i="64"/>
  <c r="N10" i="64" s="1"/>
  <c r="N10" i="17"/>
  <c r="EU11" i="51"/>
  <c r="EU10" i="51" s="1"/>
  <c r="E13" i="14"/>
  <c r="T9" i="14"/>
  <c r="K17" i="51"/>
  <c r="K16" i="51" s="1"/>
  <c r="BA16" i="51"/>
  <c r="BA11" i="51" s="1"/>
  <c r="BA10" i="51" s="1"/>
  <c r="R9" i="95"/>
  <c r="Q9" i="95"/>
  <c r="AC9" i="95"/>
  <c r="AD9" i="95"/>
  <c r="X28" i="139"/>
  <c r="AC28" i="139" s="1"/>
  <c r="L97" i="89"/>
  <c r="L100" i="89"/>
  <c r="L88" i="89"/>
  <c r="L62" i="89"/>
  <c r="L91" i="89"/>
  <c r="L103" i="89"/>
  <c r="L72" i="89"/>
  <c r="L63" i="89"/>
  <c r="L66" i="89"/>
  <c r="L79" i="89"/>
  <c r="L69" i="89"/>
  <c r="L85" i="89"/>
  <c r="T61" i="89"/>
  <c r="V73" i="89" s="1"/>
  <c r="L82" i="89"/>
  <c r="L94" i="89"/>
  <c r="BB58" i="41"/>
  <c r="BH58" i="41" s="1"/>
  <c r="J20" i="31"/>
  <c r="BB56" i="3"/>
  <c r="G31" i="39"/>
  <c r="F31" i="39" s="1"/>
  <c r="G31" i="7"/>
  <c r="F31" i="7" s="1"/>
  <c r="G31" i="35"/>
  <c r="F31" i="35" s="1"/>
  <c r="O33" i="31"/>
  <c r="G31" i="6"/>
  <c r="F31" i="6" s="1"/>
  <c r="G31" i="38"/>
  <c r="F31" i="38" s="1"/>
  <c r="G32" i="45"/>
  <c r="F32" i="45" s="1"/>
  <c r="N69" i="1"/>
  <c r="N33" i="31" s="1"/>
  <c r="G31" i="34"/>
  <c r="F31" i="34" s="1"/>
  <c r="BA64" i="41"/>
  <c r="BA60" i="41" s="1"/>
  <c r="BA57" i="41" s="1"/>
  <c r="BA79" i="41" s="1"/>
  <c r="BB79" i="41" s="1"/>
  <c r="AZ96" i="41"/>
  <c r="AZ97" i="41" s="1"/>
  <c r="J12" i="31"/>
  <c r="K12" i="1"/>
  <c r="K12" i="31" s="1"/>
  <c r="L12" i="1"/>
  <c r="L12" i="31" s="1"/>
  <c r="BF12" i="1"/>
  <c r="BE12" i="1"/>
  <c r="N73" i="6"/>
  <c r="N71" i="6" s="1"/>
  <c r="BJ11" i="41"/>
  <c r="BI10" i="47"/>
  <c r="BJ10" i="47"/>
  <c r="C33" i="78"/>
  <c r="W32" i="62"/>
  <c r="U8" i="87"/>
  <c r="N50" i="87" s="1"/>
  <c r="BF142" i="88"/>
  <c r="AA14" i="99"/>
  <c r="AB21" i="99"/>
  <c r="AA21" i="99" s="1"/>
  <c r="L85" i="46"/>
  <c r="U71" i="7"/>
  <c r="L31" i="16"/>
  <c r="BH31" i="5"/>
  <c r="W139" i="89"/>
  <c r="AV72" i="3"/>
  <c r="AY70" i="3"/>
  <c r="AY77" i="3"/>
  <c r="K37" i="37"/>
  <c r="C37" i="37"/>
  <c r="C36" i="37" s="1"/>
  <c r="D37" i="37"/>
  <c r="F36" i="37"/>
  <c r="AE44" i="4"/>
  <c r="W44" i="4"/>
  <c r="Z42" i="4"/>
  <c r="P60" i="38"/>
  <c r="P60" i="6"/>
  <c r="P60" i="7"/>
  <c r="P60" i="39"/>
  <c r="X10" i="1"/>
  <c r="O32" i="37"/>
  <c r="AS32" i="37"/>
  <c r="T32" i="37"/>
  <c r="O22" i="19"/>
  <c r="BK27" i="5"/>
  <c r="BL27" i="5" s="1"/>
  <c r="Y27" i="4"/>
  <c r="AO43" i="37"/>
  <c r="AG43" i="37"/>
  <c r="AH10" i="41"/>
  <c r="AT10" i="41" s="1"/>
  <c r="AT11" i="41"/>
  <c r="AH12" i="41"/>
  <c r="AT12" i="41" s="1"/>
  <c r="L37" i="46"/>
  <c r="P82" i="46"/>
  <c r="O82" i="46" s="1"/>
  <c r="U9" i="47"/>
  <c r="I23" i="47"/>
  <c r="X23" i="47"/>
  <c r="V30" i="99"/>
  <c r="U30" i="99" s="1"/>
  <c r="D116" i="89"/>
  <c r="D113" i="89"/>
  <c r="D107" i="89"/>
  <c r="D117" i="89"/>
  <c r="I105" i="89"/>
  <c r="D110" i="89"/>
  <c r="D106" i="89"/>
  <c r="E106" i="89"/>
  <c r="O35" i="7"/>
  <c r="O34" i="7" s="1"/>
  <c r="P34" i="7"/>
  <c r="I8" i="16"/>
  <c r="K73" i="39"/>
  <c r="AT13" i="37"/>
  <c r="T28" i="37"/>
  <c r="AD68" i="22"/>
  <c r="I30" i="39"/>
  <c r="S30" i="39"/>
  <c r="R30" i="39" s="1"/>
  <c r="BC34" i="41"/>
  <c r="R30" i="43"/>
  <c r="AE9" i="95"/>
  <c r="K9" i="95"/>
  <c r="AF9" i="95"/>
  <c r="L112" i="89"/>
  <c r="T111" i="89"/>
  <c r="M112" i="89"/>
  <c r="AL21" i="87"/>
  <c r="AJ17" i="87"/>
  <c r="Q60" i="86"/>
  <c r="BF59" i="41"/>
  <c r="BY59" i="41"/>
  <c r="BZ59" i="41" s="1"/>
  <c r="I20" i="19"/>
  <c r="O37" i="38"/>
  <c r="R37" i="38" s="1"/>
  <c r="S37" i="38"/>
  <c r="DC9" i="47"/>
  <c r="FC17" i="47"/>
  <c r="CZ10" i="47"/>
  <c r="CZ39" i="47"/>
  <c r="CZ41" i="47" s="1"/>
  <c r="CZ42" i="47" s="1"/>
  <c r="CZ43" i="47" s="1"/>
  <c r="AF23" i="92"/>
  <c r="AE22" i="92"/>
  <c r="AE21" i="92" s="1"/>
  <c r="AE7" i="92" s="1"/>
  <c r="AE37" i="92"/>
  <c r="BL49" i="86"/>
  <c r="I85" i="46"/>
  <c r="BO10" i="3"/>
  <c r="K82" i="97"/>
  <c r="K43" i="97"/>
  <c r="R15" i="97"/>
  <c r="N45" i="97"/>
  <c r="S9" i="140"/>
  <c r="V71" i="7"/>
  <c r="BB170" i="88"/>
  <c r="BB50" i="88"/>
  <c r="BB68" i="88"/>
  <c r="BB101" i="88"/>
  <c r="BC156" i="88"/>
  <c r="BB66" i="88"/>
  <c r="BB97" i="88"/>
  <c r="BC66" i="88"/>
  <c r="BC97" i="88"/>
  <c r="BB85" i="88"/>
  <c r="E26" i="14"/>
  <c r="H25" i="14"/>
  <c r="H21" i="19"/>
  <c r="H20" i="19" s="1"/>
  <c r="G20" i="19"/>
  <c r="E33" i="14"/>
  <c r="D33" i="14" s="1"/>
  <c r="AI61" i="36"/>
  <c r="AI59" i="36" s="1"/>
  <c r="AG61" i="36"/>
  <c r="AC59" i="36"/>
  <c r="C14" i="74"/>
  <c r="K13" i="62"/>
  <c r="K9" i="62" s="1"/>
  <c r="I9" i="62"/>
  <c r="H63" i="40"/>
  <c r="H64" i="40"/>
  <c r="H13" i="40"/>
  <c r="AC30" i="100"/>
  <c r="H16" i="15"/>
  <c r="V14" i="17" s="1"/>
  <c r="L58" i="23"/>
  <c r="L29" i="23" s="1"/>
  <c r="L12" i="23" s="1"/>
  <c r="O65" i="36"/>
  <c r="N66" i="36"/>
  <c r="N65" i="36" s="1"/>
  <c r="H17" i="48"/>
  <c r="F8" i="138"/>
  <c r="P9" i="89"/>
  <c r="M152" i="89"/>
  <c r="M149" i="89"/>
  <c r="O9" i="89"/>
  <c r="M138" i="89"/>
  <c r="M146" i="89"/>
  <c r="BC72" i="88"/>
  <c r="X27" i="47"/>
  <c r="I27" i="47"/>
  <c r="C25" i="14"/>
  <c r="Q43" i="43" s="1"/>
  <c r="AE8" i="94"/>
  <c r="L34" i="39"/>
  <c r="Y24" i="4"/>
  <c r="BK24" i="5"/>
  <c r="BL24" i="5" s="1"/>
  <c r="H44" i="38"/>
  <c r="F44" i="38" s="1"/>
  <c r="F40" i="38"/>
  <c r="H19" i="1"/>
  <c r="H11" i="1" s="1"/>
  <c r="G20" i="1"/>
  <c r="I54" i="34"/>
  <c r="BA11" i="3"/>
  <c r="BD10" i="3"/>
  <c r="BD12" i="3"/>
  <c r="N9" i="16"/>
  <c r="N8" i="16" s="1"/>
  <c r="O36" i="38"/>
  <c r="S36" i="38"/>
  <c r="X34" i="62"/>
  <c r="Z34" i="14"/>
  <c r="Z31" i="14" s="1"/>
  <c r="X10" i="36"/>
  <c r="N43" i="97"/>
  <c r="V91" i="60"/>
  <c r="P92" i="60"/>
  <c r="C92" i="60" s="1"/>
  <c r="V80" i="45"/>
  <c r="U81" i="45"/>
  <c r="U80" i="45" s="1"/>
  <c r="O53" i="38"/>
  <c r="S53" i="38"/>
  <c r="G56" i="36"/>
  <c r="F60" i="39"/>
  <c r="F58" i="39" s="1"/>
  <c r="G58" i="39"/>
  <c r="X31" i="14"/>
  <c r="X7" i="14" s="1"/>
  <c r="CC12" i="51"/>
  <c r="CC11" i="51" s="1"/>
  <c r="CC10" i="51" s="1"/>
  <c r="K13" i="51"/>
  <c r="I33" i="47"/>
  <c r="X33" i="47"/>
  <c r="BB72" i="88"/>
  <c r="BA72" i="88"/>
  <c r="D15" i="63"/>
  <c r="C82" i="73" s="1"/>
  <c r="T10" i="17"/>
  <c r="S41" i="139"/>
  <c r="Y41" i="139" s="1"/>
  <c r="AD41" i="139" s="1"/>
  <c r="X41" i="139"/>
  <c r="AC41" i="139" s="1"/>
  <c r="D12" i="16"/>
  <c r="E10" i="39"/>
  <c r="E11" i="39" s="1"/>
  <c r="E17" i="39"/>
  <c r="E8" i="39"/>
  <c r="E63" i="39" s="1"/>
  <c r="BN70" i="41"/>
  <c r="BJ37" i="5"/>
  <c r="BI36" i="5"/>
  <c r="AV60" i="41"/>
  <c r="AR64" i="36"/>
  <c r="AU64" i="36"/>
  <c r="AY64" i="36" s="1"/>
  <c r="G47" i="46"/>
  <c r="G47" i="45"/>
  <c r="CM32" i="48"/>
  <c r="CM67" i="48"/>
  <c r="M33" i="38"/>
  <c r="C18" i="16"/>
  <c r="AQ55" i="3"/>
  <c r="AQ70" i="3" s="1"/>
  <c r="D22" i="31"/>
  <c r="D55" i="1"/>
  <c r="D19" i="31" s="1"/>
  <c r="R72" i="7"/>
  <c r="R71" i="7" s="1"/>
  <c r="S71" i="7"/>
  <c r="C40" i="35"/>
  <c r="D46" i="35"/>
  <c r="C46" i="35" s="1"/>
  <c r="BQ12" i="3"/>
  <c r="Y9" i="16"/>
  <c r="Y8" i="16" s="1"/>
  <c r="BQ10" i="3"/>
  <c r="Q55" i="22"/>
  <c r="Q54" i="22" s="1"/>
  <c r="S56" i="22"/>
  <c r="S55" i="22" s="1"/>
  <c r="S54" i="22" s="1"/>
  <c r="S48" i="22" s="1"/>
  <c r="S90" i="22" s="1"/>
  <c r="K33" i="34"/>
  <c r="K32" i="34" s="1"/>
  <c r="BR12" i="41"/>
  <c r="BR10" i="41"/>
  <c r="N71" i="39"/>
  <c r="J30" i="23"/>
  <c r="J29" i="23" s="1"/>
  <c r="P29" i="23" s="1"/>
  <c r="BK12" i="41"/>
  <c r="BK10" i="41"/>
  <c r="CE67" i="48"/>
  <c r="CE32" i="48"/>
  <c r="DR10" i="47"/>
  <c r="DQ10" i="47"/>
  <c r="M132" i="88"/>
  <c r="M133" i="88"/>
  <c r="N132" i="88"/>
  <c r="H38" i="95"/>
  <c r="H62" i="95" s="1"/>
  <c r="G62" i="95" s="1"/>
  <c r="E62" i="95" s="1"/>
  <c r="G39" i="95"/>
  <c r="C12" i="69"/>
  <c r="C8" i="69" s="1"/>
  <c r="C7" i="69" s="1"/>
  <c r="O43" i="38"/>
  <c r="R43" i="38" s="1"/>
  <c r="S43" i="38"/>
  <c r="AJ10" i="1"/>
  <c r="AP10" i="1"/>
  <c r="C22" i="35"/>
  <c r="C21" i="35" s="1"/>
  <c r="D21" i="35"/>
  <c r="BB62" i="41"/>
  <c r="J59" i="1"/>
  <c r="O60" i="1"/>
  <c r="J24" i="31"/>
  <c r="BB60" i="3"/>
  <c r="L60" i="39"/>
  <c r="L58" i="39" s="1"/>
  <c r="M58" i="39"/>
  <c r="BP51" i="41"/>
  <c r="BP10" i="41" s="1"/>
  <c r="BT52" i="41"/>
  <c r="BT51" i="41" s="1"/>
  <c r="Y81" i="45"/>
  <c r="X14" i="45"/>
  <c r="U48" i="6"/>
  <c r="V82" i="6"/>
  <c r="U82" i="6" s="1"/>
  <c r="L26" i="47"/>
  <c r="K26" i="47"/>
  <c r="M54" i="99"/>
  <c r="L54" i="99" s="1"/>
  <c r="AH10" i="47"/>
  <c r="AH39" i="47"/>
  <c r="AH41" i="47" s="1"/>
  <c r="AH44" i="47" s="1"/>
  <c r="V9" i="48"/>
  <c r="H18" i="19"/>
  <c r="G12" i="19"/>
  <c r="G11" i="19" s="1"/>
  <c r="G17" i="19"/>
  <c r="X74" i="39"/>
  <c r="BR45" i="5"/>
  <c r="Y33" i="16"/>
  <c r="CC9" i="47"/>
  <c r="AY46" i="36"/>
  <c r="AX46" i="36" s="1"/>
  <c r="BC46" i="36"/>
  <c r="BE46" i="36" s="1"/>
  <c r="BD46" i="36" s="1"/>
  <c r="D7" i="63"/>
  <c r="C76" i="73"/>
  <c r="C74" i="73" s="1"/>
  <c r="J59" i="36"/>
  <c r="O60" i="36"/>
  <c r="AE12" i="43"/>
  <c r="AE10" i="43"/>
  <c r="AE73" i="43" s="1"/>
  <c r="BO10" i="47"/>
  <c r="BV9" i="47"/>
  <c r="BU9" i="47"/>
  <c r="C14" i="77"/>
  <c r="C10" i="77" s="1"/>
  <c r="C8" i="77" s="1"/>
  <c r="C9" i="77" s="1"/>
  <c r="R9" i="62"/>
  <c r="T13" i="62"/>
  <c r="C13" i="62"/>
  <c r="AC39" i="95"/>
  <c r="AD39" i="95"/>
  <c r="X14" i="99"/>
  <c r="Y21" i="99"/>
  <c r="X21" i="99" s="1"/>
  <c r="H13" i="90"/>
  <c r="K13" i="90" s="1"/>
  <c r="H8" i="90"/>
  <c r="K15" i="90"/>
  <c r="J20" i="19"/>
  <c r="X39" i="46"/>
  <c r="Y83" i="46"/>
  <c r="X83" i="46" s="1"/>
  <c r="L54" i="6"/>
  <c r="M52" i="6"/>
  <c r="M28" i="33"/>
  <c r="W73" i="6"/>
  <c r="AV12" i="36"/>
  <c r="AP12" i="36"/>
  <c r="DD9" i="47"/>
  <c r="BN21" i="36"/>
  <c r="G19" i="36"/>
  <c r="BN19" i="36" s="1"/>
  <c r="FE17" i="47"/>
  <c r="K14" i="51"/>
  <c r="FI12" i="51"/>
  <c r="FI11" i="51" s="1"/>
  <c r="FI10" i="51" s="1"/>
  <c r="BJ49" i="86"/>
  <c r="AT21" i="88"/>
  <c r="M18" i="97"/>
  <c r="AC60" i="96"/>
  <c r="AE67" i="96"/>
  <c r="AD67" i="96"/>
  <c r="BD8" i="86"/>
  <c r="V9" i="140"/>
  <c r="T9" i="139"/>
  <c r="U9" i="139" s="1"/>
  <c r="L32" i="47"/>
  <c r="K32" i="47"/>
  <c r="N32" i="47"/>
  <c r="M32" i="47"/>
  <c r="DL39" i="47"/>
  <c r="DL41" i="47" s="1"/>
  <c r="DL42" i="47" s="1"/>
  <c r="DL43" i="47" s="1"/>
  <c r="BY9" i="48"/>
  <c r="BY8" i="48" s="1"/>
  <c r="BY32" i="48" s="1"/>
  <c r="BY30" i="48" s="1"/>
  <c r="DL10" i="47"/>
  <c r="AA152" i="89"/>
  <c r="AA149" i="89"/>
  <c r="AA146" i="89"/>
  <c r="AA138" i="89"/>
  <c r="AF9" i="89"/>
  <c r="BC41" i="5"/>
  <c r="M44" i="44"/>
  <c r="C55" i="54"/>
  <c r="AN77" i="3"/>
  <c r="AN72" i="3" s="1"/>
  <c r="AN84" i="3" s="1"/>
  <c r="AN70" i="3"/>
  <c r="AB14" i="87"/>
  <c r="BT53" i="3"/>
  <c r="BR51" i="3"/>
  <c r="BR10" i="3" s="1"/>
  <c r="H17" i="63"/>
  <c r="L22" i="17"/>
  <c r="M27" i="6"/>
  <c r="L28" i="6"/>
  <c r="L27" i="6" s="1"/>
  <c r="S73" i="6"/>
  <c r="R73" i="6" s="1"/>
  <c r="L52" i="39"/>
  <c r="M34" i="33"/>
  <c r="H73" i="36"/>
  <c r="H10" i="36"/>
  <c r="H12" i="36"/>
  <c r="O90" i="36" s="1"/>
  <c r="N90" i="36" s="1"/>
  <c r="O51" i="36"/>
  <c r="N52" i="36"/>
  <c r="N51" i="36" s="1"/>
  <c r="BN51" i="36" s="1"/>
  <c r="AR30" i="47"/>
  <c r="D21" i="15"/>
  <c r="BB75" i="88"/>
  <c r="BB159" i="88"/>
  <c r="BE159" i="88" s="1"/>
  <c r="BC67" i="88"/>
  <c r="BF67" i="88" s="1"/>
  <c r="BC160" i="88"/>
  <c r="S10" i="91"/>
  <c r="T8" i="91"/>
  <c r="S8" i="91"/>
  <c r="S9" i="91"/>
  <c r="S16" i="140"/>
  <c r="V16" i="140" s="1"/>
  <c r="K16" i="140"/>
  <c r="K29" i="47"/>
  <c r="L29" i="47"/>
  <c r="F25" i="14"/>
  <c r="F7" i="14" s="1"/>
  <c r="AQ72" i="88"/>
  <c r="AW72" i="88" s="1"/>
  <c r="AT23" i="37"/>
  <c r="AQ23" i="37" s="1"/>
  <c r="W23" i="37"/>
  <c r="D36" i="38"/>
  <c r="F13" i="33"/>
  <c r="D36" i="35"/>
  <c r="C13" i="4"/>
  <c r="D36" i="39"/>
  <c r="D13" i="4"/>
  <c r="D36" i="7"/>
  <c r="D36" i="34"/>
  <c r="D36" i="6"/>
  <c r="F11" i="4"/>
  <c r="H44" i="6"/>
  <c r="F44" i="6" s="1"/>
  <c r="F40" i="6"/>
  <c r="O64" i="1"/>
  <c r="BB66" i="41"/>
  <c r="J28" i="31"/>
  <c r="BB64" i="3"/>
  <c r="BF19" i="1"/>
  <c r="L19" i="1"/>
  <c r="BA76" i="3"/>
  <c r="K15" i="16" s="1"/>
  <c r="O15" i="16" s="1"/>
  <c r="S36" i="39"/>
  <c r="R36" i="39" s="1"/>
  <c r="P73" i="39"/>
  <c r="O73" i="39" s="1"/>
  <c r="O36" i="39"/>
  <c r="O24" i="19"/>
  <c r="O23" i="19" s="1"/>
  <c r="F24" i="19"/>
  <c r="F23" i="19" s="1"/>
  <c r="E23" i="19"/>
  <c r="W73" i="39"/>
  <c r="U73" i="39" s="1"/>
  <c r="Z73" i="39"/>
  <c r="AD10" i="36"/>
  <c r="AM72" i="41"/>
  <c r="O18" i="37"/>
  <c r="M17" i="37"/>
  <c r="I54" i="89"/>
  <c r="W54" i="89" s="1"/>
  <c r="I61" i="89"/>
  <c r="I75" i="89" s="1"/>
  <c r="K16" i="89"/>
  <c r="I58" i="89"/>
  <c r="I56" i="89"/>
  <c r="C15" i="38"/>
  <c r="J73" i="38"/>
  <c r="I73" i="38" s="1"/>
  <c r="I52" i="7"/>
  <c r="R81" i="45"/>
  <c r="R80" i="45" s="1"/>
  <c r="G58" i="38"/>
  <c r="F60" i="38"/>
  <c r="F58" i="38" s="1"/>
  <c r="Q13" i="22"/>
  <c r="AE58" i="40"/>
  <c r="AE49" i="40" s="1"/>
  <c r="AE64" i="40" s="1"/>
  <c r="AE24" i="40"/>
  <c r="AE23" i="40" s="1"/>
  <c r="N36" i="47"/>
  <c r="M36" i="47"/>
  <c r="BW8" i="48"/>
  <c r="BW30" i="48" s="1"/>
  <c r="K36" i="47"/>
  <c r="L36" i="47"/>
  <c r="AB21" i="100"/>
  <c r="AB30" i="100" s="1"/>
  <c r="BB156" i="88"/>
  <c r="BA68" i="88"/>
  <c r="BA73" i="88" s="1"/>
  <c r="BA66" i="88"/>
  <c r="BA97" i="88"/>
  <c r="BE7" i="88"/>
  <c r="BG9" i="88" s="1"/>
  <c r="BA101" i="88"/>
  <c r="BA85" i="88"/>
  <c r="BA156" i="88"/>
  <c r="BA170" i="88"/>
  <c r="BF7" i="88"/>
  <c r="AW136" i="88"/>
  <c r="G75" i="89"/>
  <c r="V44" i="139"/>
  <c r="AA44" i="139" s="1"/>
  <c r="Q44" i="139"/>
  <c r="O85" i="46"/>
  <c r="R11" i="4"/>
  <c r="E17" i="6"/>
  <c r="E8" i="6"/>
  <c r="E63" i="6" s="1"/>
  <c r="E10" i="6"/>
  <c r="E11" i="6" s="1"/>
  <c r="BB80" i="41"/>
  <c r="BF80" i="41" s="1"/>
  <c r="J18" i="16"/>
  <c r="AZ55" i="3"/>
  <c r="X36" i="39"/>
  <c r="Y73" i="39"/>
  <c r="AD48" i="22"/>
  <c r="AD90" i="22" s="1"/>
  <c r="AF9" i="48"/>
  <c r="AH9" i="48"/>
  <c r="AG9" i="48"/>
  <c r="AD37" i="48"/>
  <c r="L42" i="39"/>
  <c r="M78" i="39"/>
  <c r="Y15" i="22"/>
  <c r="R39" i="23"/>
  <c r="I36" i="23"/>
  <c r="R36" i="23" s="1"/>
  <c r="AL8" i="86"/>
  <c r="AL10" i="86"/>
  <c r="AM10" i="86" s="1"/>
  <c r="AM9" i="86"/>
  <c r="L34" i="38"/>
  <c r="I14" i="39"/>
  <c r="S14" i="39"/>
  <c r="R14" i="39" s="1"/>
  <c r="R85" i="46"/>
  <c r="N59" i="9"/>
  <c r="N13" i="9"/>
  <c r="K33" i="35"/>
  <c r="K32" i="35" s="1"/>
  <c r="K71" i="39"/>
  <c r="L11" i="47"/>
  <c r="K11" i="47"/>
  <c r="AE40" i="95"/>
  <c r="AF40" i="95"/>
  <c r="R40" i="95"/>
  <c r="Q40" i="95"/>
  <c r="AB67" i="88"/>
  <c r="AA67" i="88"/>
  <c r="R11" i="139"/>
  <c r="X11" i="139" s="1"/>
  <c r="AC11" i="139" s="1"/>
  <c r="X12" i="139"/>
  <c r="AC12" i="139" s="1"/>
  <c r="AQ77" i="3"/>
  <c r="AQ72" i="3" s="1"/>
  <c r="AQ84" i="3" s="1"/>
  <c r="U19" i="39"/>
  <c r="AJ12" i="1"/>
  <c r="AP12" i="1"/>
  <c r="BK60" i="3"/>
  <c r="AC59" i="1"/>
  <c r="BK62" i="41"/>
  <c r="AG60" i="1"/>
  <c r="C22" i="38"/>
  <c r="C21" i="38" s="1"/>
  <c r="D21" i="38"/>
  <c r="C22" i="7"/>
  <c r="C21" i="7" s="1"/>
  <c r="D21" i="7"/>
  <c r="C22" i="31"/>
  <c r="C55" i="1"/>
  <c r="C19" i="31" s="1"/>
  <c r="W19" i="6"/>
  <c r="T18" i="6"/>
  <c r="X9" i="16"/>
  <c r="X8" i="16" s="1"/>
  <c r="BP12" i="3"/>
  <c r="BP10" i="3"/>
  <c r="V91" i="46"/>
  <c r="U91" i="46" s="1"/>
  <c r="U55" i="46"/>
  <c r="AT27" i="37"/>
  <c r="AQ27" i="37" s="1"/>
  <c r="W27" i="37"/>
  <c r="AH57" i="41"/>
  <c r="O26" i="37"/>
  <c r="AS26" i="37"/>
  <c r="T26" i="37"/>
  <c r="W27" i="39"/>
  <c r="AK68" i="89"/>
  <c r="AJ68" i="89"/>
  <c r="AN68" i="89" s="1"/>
  <c r="T26" i="140"/>
  <c r="W26" i="140" s="1"/>
  <c r="K26" i="140"/>
  <c r="E22" i="62"/>
  <c r="I34" i="62"/>
  <c r="K34" i="14"/>
  <c r="K31" i="14" s="1"/>
  <c r="K7" i="14" s="1"/>
  <c r="I31" i="14"/>
  <c r="I7" i="14" s="1"/>
  <c r="AX60" i="86"/>
  <c r="AB17" i="16"/>
  <c r="Y13" i="37"/>
  <c r="M11" i="47"/>
  <c r="N11" i="47"/>
  <c r="G9" i="47"/>
  <c r="K64" i="22"/>
  <c r="K11" i="22" s="1"/>
  <c r="K10" i="22" s="1"/>
  <c r="R65" i="22"/>
  <c r="CD40" i="47"/>
  <c r="BB10" i="48"/>
  <c r="AA131" i="88"/>
  <c r="Q73" i="88"/>
  <c r="P81" i="88"/>
  <c r="AF7" i="95"/>
  <c r="AE7" i="95"/>
  <c r="K7" i="95"/>
  <c r="K37" i="95" s="1"/>
  <c r="L8" i="89"/>
  <c r="M9" i="89" s="1"/>
  <c r="L105" i="89"/>
  <c r="M106" i="89" s="1"/>
  <c r="L57" i="89"/>
  <c r="L154" i="89"/>
  <c r="T10" i="89"/>
  <c r="L104" i="89"/>
  <c r="AX21" i="87"/>
  <c r="AS17" i="87"/>
  <c r="AS14" i="87" s="1"/>
  <c r="AS8" i="87" s="1"/>
  <c r="AS7" i="87" s="1"/>
  <c r="AO21" i="87"/>
  <c r="X21" i="100"/>
  <c r="AB74" i="39"/>
  <c r="AA74" i="39" s="1"/>
  <c r="AA37" i="39"/>
  <c r="G23" i="19"/>
  <c r="H24" i="19"/>
  <c r="H23" i="19" s="1"/>
  <c r="W38" i="4"/>
  <c r="BK38" i="5" s="1"/>
  <c r="BL38" i="5" s="1"/>
  <c r="P54" i="39"/>
  <c r="P54" i="7"/>
  <c r="O54" i="7" s="1"/>
  <c r="AE38" i="4"/>
  <c r="P54" i="6"/>
  <c r="O54" i="6" s="1"/>
  <c r="P54" i="38"/>
  <c r="P52" i="38" s="1"/>
  <c r="AD12" i="44"/>
  <c r="AI12" i="44"/>
  <c r="DD10" i="47"/>
  <c r="R48" i="38"/>
  <c r="AX10" i="48"/>
  <c r="AV10" i="48"/>
  <c r="AT29" i="48"/>
  <c r="AW10" i="48"/>
  <c r="AG37" i="44"/>
  <c r="AI37" i="44" s="1"/>
  <c r="AO37" i="44"/>
  <c r="AZ77" i="88"/>
  <c r="AZ76" i="88"/>
  <c r="W73" i="89"/>
  <c r="BV19" i="41"/>
  <c r="BO47" i="48"/>
  <c r="BO42" i="48"/>
  <c r="BO45" i="48"/>
  <c r="BO44" i="48"/>
  <c r="CE25" i="48"/>
  <c r="M33" i="7"/>
  <c r="AF10" i="28"/>
  <c r="AF9" i="28" s="1"/>
  <c r="AB9" i="28"/>
  <c r="Z43" i="44"/>
  <c r="M61" i="45"/>
  <c r="L61" i="45" s="1"/>
  <c r="R43" i="44"/>
  <c r="M61" i="46"/>
  <c r="L61" i="46" s="1"/>
  <c r="D51" i="45"/>
  <c r="C51" i="45" s="1"/>
  <c r="C47" i="45"/>
  <c r="BY47" i="41"/>
  <c r="BZ47" i="41" s="1"/>
  <c r="BC90" i="41"/>
  <c r="O50" i="1"/>
  <c r="M17" i="31"/>
  <c r="C46" i="44"/>
  <c r="C47" i="151" s="1"/>
  <c r="K46" i="44"/>
  <c r="D46" i="44"/>
  <c r="D47" i="151" s="1"/>
  <c r="D64" i="46"/>
  <c r="C64" i="46" s="1"/>
  <c r="D64" i="45"/>
  <c r="C64" i="45" s="1"/>
  <c r="K55" i="26"/>
  <c r="G47" i="26"/>
  <c r="K47" i="26" s="1"/>
  <c r="Y10" i="47"/>
  <c r="Z10" i="47"/>
  <c r="AH55" i="3"/>
  <c r="O53" i="7"/>
  <c r="AH41" i="1"/>
  <c r="AA41" i="1"/>
  <c r="Z41" i="1" s="1"/>
  <c r="AL60" i="41"/>
  <c r="AL57" i="41" s="1"/>
  <c r="AT67" i="41"/>
  <c r="N69" i="97"/>
  <c r="N49" i="97"/>
  <c r="E17" i="7"/>
  <c r="E10" i="7"/>
  <c r="E11" i="7" s="1"/>
  <c r="E8" i="7"/>
  <c r="E63" i="7" s="1"/>
  <c r="F8" i="16"/>
  <c r="R48" i="22"/>
  <c r="R90" i="22" s="1"/>
  <c r="R88" i="22"/>
  <c r="CB10" i="47"/>
  <c r="BA9" i="48"/>
  <c r="BA8" i="48" s="1"/>
  <c r="BA32" i="48" s="1"/>
  <c r="BA30" i="48" s="1"/>
  <c r="CB39" i="47"/>
  <c r="CB41" i="47" s="1"/>
  <c r="CB42" i="47" s="1"/>
  <c r="CB43" i="47" s="1"/>
  <c r="C18" i="78"/>
  <c r="U15" i="62"/>
  <c r="W17" i="62"/>
  <c r="C17" i="62"/>
  <c r="C15" i="62" s="1"/>
  <c r="AA106" i="13"/>
  <c r="P106" i="13" s="1"/>
  <c r="C106" i="13" s="1"/>
  <c r="C205" i="13"/>
  <c r="J59" i="45"/>
  <c r="I59" i="45" s="1"/>
  <c r="U41" i="44"/>
  <c r="BC9" i="86"/>
  <c r="BC8" i="86" s="1"/>
  <c r="BC60" i="86" s="1"/>
  <c r="AU7" i="88"/>
  <c r="P28" i="140"/>
  <c r="R28" i="140" s="1"/>
  <c r="AO67" i="88"/>
  <c r="Q8" i="87"/>
  <c r="AG17" i="87"/>
  <c r="P23" i="140"/>
  <c r="R23" i="140" s="1"/>
  <c r="M27" i="38"/>
  <c r="L28" i="38"/>
  <c r="L27" i="38" s="1"/>
  <c r="AL11" i="5"/>
  <c r="AT12" i="5"/>
  <c r="AR12" i="5"/>
  <c r="O72" i="38"/>
  <c r="O71" i="38" s="1"/>
  <c r="P71" i="38"/>
  <c r="AS30" i="41"/>
  <c r="N33" i="47"/>
  <c r="M33" i="47"/>
  <c r="R13" i="91"/>
  <c r="V27" i="47"/>
  <c r="C27" i="73"/>
  <c r="H26" i="62"/>
  <c r="C26" i="62"/>
  <c r="AO68" i="88"/>
  <c r="AO81" i="88" s="1"/>
  <c r="AQ66" i="88"/>
  <c r="AW66" i="88" s="1"/>
  <c r="AO101" i="88"/>
  <c r="AO102" i="88" s="1"/>
  <c r="AQ156" i="88"/>
  <c r="AO85" i="88"/>
  <c r="AV85" i="88" s="1"/>
  <c r="AQ97" i="88"/>
  <c r="AO65" i="88"/>
  <c r="AO97" i="88"/>
  <c r="AO39" i="88"/>
  <c r="AO50" i="88"/>
  <c r="AO52" i="88"/>
  <c r="AO156" i="88"/>
  <c r="BK23" i="5"/>
  <c r="BL23" i="5" s="1"/>
  <c r="Y23" i="4"/>
  <c r="AT24" i="37"/>
  <c r="AQ24" i="37" s="1"/>
  <c r="W24" i="37"/>
  <c r="H44" i="7"/>
  <c r="F44" i="7" s="1"/>
  <c r="F40" i="7"/>
  <c r="BE76" i="3"/>
  <c r="BE13" i="3"/>
  <c r="BE11" i="3" s="1"/>
  <c r="Q10" i="37"/>
  <c r="Q9" i="37" s="1"/>
  <c r="R93" i="46"/>
  <c r="N14" i="22"/>
  <c r="N13" i="22" s="1"/>
  <c r="S15" i="22"/>
  <c r="S14" i="22" s="1"/>
  <c r="AC8" i="91"/>
  <c r="F12" i="19"/>
  <c r="F11" i="19" s="1"/>
  <c r="F17" i="19"/>
  <c r="T34" i="38"/>
  <c r="BI12" i="3"/>
  <c r="Q9" i="16"/>
  <c r="BI10" i="3"/>
  <c r="Y30" i="4"/>
  <c r="BK30" i="5"/>
  <c r="BL30" i="5" s="1"/>
  <c r="C34" i="79"/>
  <c r="X31" i="62"/>
  <c r="X7" i="62" s="1"/>
  <c r="X8" i="62" s="1"/>
  <c r="C33" i="62"/>
  <c r="Z33" i="62"/>
  <c r="CN10" i="47"/>
  <c r="CN39" i="47"/>
  <c r="CN41" i="47" s="1"/>
  <c r="CN42" i="47" s="1"/>
  <c r="CN43" i="47" s="1"/>
  <c r="F34" i="62"/>
  <c r="H34" i="14"/>
  <c r="C34" i="14"/>
  <c r="C31" i="14" s="1"/>
  <c r="BO40" i="86"/>
  <c r="BN40" i="86" s="1"/>
  <c r="BH40" i="86"/>
  <c r="W10" i="96"/>
  <c r="W8" i="96"/>
  <c r="I52" i="96"/>
  <c r="AF52" i="96"/>
  <c r="L39" i="139"/>
  <c r="J9" i="16"/>
  <c r="J8" i="16" s="1"/>
  <c r="AZ12" i="3"/>
  <c r="AZ10" i="3"/>
  <c r="BH10" i="3" s="1"/>
  <c r="L23" i="19"/>
  <c r="BO13" i="5"/>
  <c r="BP13" i="5" s="1"/>
  <c r="AI13" i="4"/>
  <c r="AH50" i="5"/>
  <c r="BP12" i="41"/>
  <c r="R18" i="37"/>
  <c r="U17" i="37"/>
  <c r="U10" i="37" s="1"/>
  <c r="DX9" i="47"/>
  <c r="I13" i="93"/>
  <c r="H13" i="93"/>
  <c r="G188" i="93"/>
  <c r="G187" i="93" s="1"/>
  <c r="G189" i="93" s="1"/>
  <c r="AK46" i="1"/>
  <c r="AG46" i="1"/>
  <c r="AF46" i="1" s="1"/>
  <c r="AE11" i="1"/>
  <c r="M72" i="38"/>
  <c r="I14" i="38"/>
  <c r="R14" i="38" s="1"/>
  <c r="J72" i="38"/>
  <c r="C40" i="39"/>
  <c r="D44" i="39"/>
  <c r="BJ41" i="5"/>
  <c r="R10" i="1"/>
  <c r="R10" i="31" s="1"/>
  <c r="Q10" i="31"/>
  <c r="M59" i="9"/>
  <c r="M13" i="9"/>
  <c r="AD24" i="22"/>
  <c r="Y23" i="22"/>
  <c r="AD23" i="22" s="1"/>
  <c r="AO48" i="44"/>
  <c r="AG48" i="44"/>
  <c r="P36" i="23"/>
  <c r="P30" i="23" s="1"/>
  <c r="EA10" i="47"/>
  <c r="EB10" i="47"/>
  <c r="ED10" i="47"/>
  <c r="EC10" i="47"/>
  <c r="E23" i="14"/>
  <c r="F53" i="99"/>
  <c r="G54" i="99"/>
  <c r="F54" i="99" s="1"/>
  <c r="S43" i="39"/>
  <c r="R43" i="39" s="1"/>
  <c r="O43" i="39"/>
  <c r="P79" i="39"/>
  <c r="O79" i="39" s="1"/>
  <c r="L22" i="39"/>
  <c r="L21" i="39" s="1"/>
  <c r="M21" i="39"/>
  <c r="D60" i="46"/>
  <c r="D60" i="45"/>
  <c r="C42" i="44"/>
  <c r="K42" i="44"/>
  <c r="F41" i="44"/>
  <c r="D42" i="44"/>
  <c r="L60" i="6"/>
  <c r="L58" i="6" s="1"/>
  <c r="M58" i="6"/>
  <c r="BS51" i="41"/>
  <c r="BS10" i="41" s="1"/>
  <c r="Q18" i="6"/>
  <c r="O19" i="6"/>
  <c r="BO32" i="5"/>
  <c r="AI32" i="4"/>
  <c r="BS11" i="3"/>
  <c r="AC28" i="39"/>
  <c r="Z27" i="39"/>
  <c r="F24" i="62"/>
  <c r="C24" i="14"/>
  <c r="C21" i="14" s="1"/>
  <c r="H24" i="14"/>
  <c r="E24" i="14" s="1"/>
  <c r="V41" i="43" s="1"/>
  <c r="V41" i="150" s="1"/>
  <c r="D154" i="89"/>
  <c r="D149" i="89"/>
  <c r="D9" i="89"/>
  <c r="D152" i="89"/>
  <c r="D146" i="89"/>
  <c r="D138" i="89"/>
  <c r="E9" i="89"/>
  <c r="C23" i="72"/>
  <c r="C10" i="31"/>
  <c r="BJ61" i="41"/>
  <c r="I52" i="6"/>
  <c r="R91" i="46"/>
  <c r="N40" i="6"/>
  <c r="N44" i="6" s="1"/>
  <c r="N80" i="6" s="1"/>
  <c r="N77" i="6" s="1"/>
  <c r="N40" i="39"/>
  <c r="N44" i="39" s="1"/>
  <c r="N80" i="39" s="1"/>
  <c r="N77" i="39" s="1"/>
  <c r="N40" i="38"/>
  <c r="N40" i="7"/>
  <c r="V10" i="4"/>
  <c r="V9" i="4" s="1"/>
  <c r="T76" i="1"/>
  <c r="T32" i="31"/>
  <c r="Q68" i="1"/>
  <c r="FF27" i="47"/>
  <c r="FD27" i="47"/>
  <c r="CP29" i="47"/>
  <c r="CP27" i="47" s="1"/>
  <c r="DB3" i="47"/>
  <c r="CP32" i="47"/>
  <c r="AB132" i="88"/>
  <c r="A4" i="78"/>
  <c r="A69" i="77"/>
  <c r="A132" i="77" s="1"/>
  <c r="E13" i="146"/>
  <c r="D5" i="146"/>
  <c r="E5" i="146" s="1"/>
  <c r="O37" i="39"/>
  <c r="S37" i="39"/>
  <c r="R37" i="39" s="1"/>
  <c r="V74" i="39"/>
  <c r="U74" i="39" s="1"/>
  <c r="P74" i="39"/>
  <c r="O74" i="39" s="1"/>
  <c r="L54" i="38"/>
  <c r="M52" i="38"/>
  <c r="AH12" i="3"/>
  <c r="AT12" i="3" s="1"/>
  <c r="AT11" i="3"/>
  <c r="AH10" i="3"/>
  <c r="AT10" i="3" s="1"/>
  <c r="J10" i="31"/>
  <c r="K10" i="1"/>
  <c r="K10" i="31" s="1"/>
  <c r="AZ92" i="41"/>
  <c r="AZ93" i="41" s="1"/>
  <c r="L10" i="1"/>
  <c r="L10" i="31" s="1"/>
  <c r="BE10" i="1"/>
  <c r="BF10" i="1"/>
  <c r="BJ11" i="3"/>
  <c r="BV13" i="3"/>
  <c r="AP10" i="36"/>
  <c r="O28" i="37"/>
  <c r="C30" i="23"/>
  <c r="C29" i="23" s="1"/>
  <c r="C12" i="23" s="1"/>
  <c r="BR9" i="47"/>
  <c r="AA67" i="48"/>
  <c r="AA32" i="48"/>
  <c r="AA25" i="48"/>
  <c r="AD101" i="88"/>
  <c r="L75" i="89"/>
  <c r="T75" i="89" s="1"/>
  <c r="BO46" i="48"/>
  <c r="AD13" i="4"/>
  <c r="M60" i="86"/>
  <c r="M71" i="86"/>
  <c r="U10" i="4"/>
  <c r="P27" i="44"/>
  <c r="C39" i="161" s="1"/>
  <c r="P25" i="44"/>
  <c r="C44" i="60"/>
  <c r="C42" i="149"/>
  <c r="M30" i="44"/>
  <c r="C42" i="65"/>
  <c r="F23" i="30"/>
  <c r="F37" i="30"/>
  <c r="F36" i="30" s="1"/>
  <c r="BD32" i="5"/>
  <c r="M27" i="16"/>
  <c r="O27" i="16" s="1"/>
  <c r="BD31" i="5"/>
  <c r="M31" i="16"/>
  <c r="O31" i="16" s="1"/>
  <c r="H15" i="63"/>
  <c r="T14" i="17"/>
  <c r="C14" i="15"/>
  <c r="Q38" i="44" s="1"/>
  <c r="C43" i="72"/>
  <c r="F9" i="15"/>
  <c r="AF26" i="48"/>
  <c r="AH26" i="48"/>
  <c r="AG26" i="48"/>
  <c r="K51" i="62"/>
  <c r="T51" i="62"/>
  <c r="I31" i="45"/>
  <c r="CU30" i="48"/>
  <c r="CU25" i="48" s="1"/>
  <c r="E37" i="45"/>
  <c r="E37" i="46"/>
  <c r="G10" i="44"/>
  <c r="G9" i="44" s="1"/>
  <c r="G8" i="44" s="1"/>
  <c r="D12" i="44"/>
  <c r="C12" i="44"/>
  <c r="CM42" i="48"/>
  <c r="CM45" i="48"/>
  <c r="CM46" i="48"/>
  <c r="CM47" i="48"/>
  <c r="CM44" i="48"/>
  <c r="H28" i="45"/>
  <c r="F30" i="45"/>
  <c r="G9" i="15"/>
  <c r="AN26" i="48"/>
  <c r="H77" i="48"/>
  <c r="G77" i="48" s="1"/>
  <c r="AP26" i="48"/>
  <c r="AO26" i="48"/>
  <c r="S30" i="48"/>
  <c r="AD203" i="13"/>
  <c r="AE204" i="13"/>
  <c r="C131" i="72"/>
  <c r="L21" i="63"/>
  <c r="D10" i="112"/>
  <c r="P10" i="138"/>
  <c r="C87" i="78"/>
  <c r="C83" i="78" s="1"/>
  <c r="C24" i="54"/>
  <c r="C39" i="159" s="1"/>
  <c r="Q71" i="43"/>
  <c r="C88" i="79"/>
  <c r="C84" i="84"/>
  <c r="C132" i="72"/>
  <c r="G132" i="72" s="1"/>
  <c r="C86" i="83"/>
  <c r="H75" i="48"/>
  <c r="AE205" i="13"/>
  <c r="AE206" i="13" s="1"/>
  <c r="C86" i="82"/>
  <c r="D14" i="112"/>
  <c r="P14" i="138"/>
  <c r="C83" i="74"/>
  <c r="C87" i="76"/>
  <c r="C86" i="75"/>
  <c r="E25" i="45"/>
  <c r="E21" i="45" s="1"/>
  <c r="C88" i="77"/>
  <c r="C84" i="77" s="1"/>
  <c r="D21" i="63"/>
  <c r="C20" i="15"/>
  <c r="Q45" i="44" s="1"/>
  <c r="C87" i="80"/>
  <c r="S16" i="138"/>
  <c r="S20" i="138" s="1"/>
  <c r="S22" i="138" s="1"/>
  <c r="E16" i="112"/>
  <c r="P100" i="13"/>
  <c r="C100" i="13" s="1"/>
  <c r="AA107" i="60"/>
  <c r="AA106" i="60" s="1"/>
  <c r="G64" i="34"/>
  <c r="J15" i="140"/>
  <c r="J8" i="140" s="1"/>
  <c r="E8" i="140"/>
  <c r="E7" i="140" s="1"/>
  <c r="C64" i="34"/>
  <c r="X60" i="139"/>
  <c r="AC60" i="139" s="1"/>
  <c r="Q60" i="139"/>
  <c r="W60" i="139" s="1"/>
  <c r="AB60" i="139" s="1"/>
  <c r="D50" i="58"/>
  <c r="D60" i="68" s="1"/>
  <c r="C64" i="149"/>
  <c r="C64" i="65"/>
  <c r="AY24" i="87"/>
  <c r="Q55" i="139"/>
  <c r="W55" i="139" s="1"/>
  <c r="AB55" i="139" s="1"/>
  <c r="W56" i="139"/>
  <c r="AB56" i="139" s="1"/>
  <c r="R56" i="139"/>
  <c r="X29" i="38"/>
  <c r="AC29" i="38"/>
  <c r="AA29" i="38" s="1"/>
  <c r="K64" i="96"/>
  <c r="M67" i="96"/>
  <c r="K63" i="96"/>
  <c r="T29" i="7"/>
  <c r="Q29" i="7"/>
  <c r="L29" i="7"/>
  <c r="N27" i="7"/>
  <c r="N20" i="7" s="1"/>
  <c r="N18" i="7" s="1"/>
  <c r="AH94" i="88"/>
  <c r="AH96" i="88"/>
  <c r="AH93" i="88"/>
  <c r="AH91" i="88"/>
  <c r="K20" i="140"/>
  <c r="S20" i="140"/>
  <c r="V20" i="140" s="1"/>
  <c r="Q43" i="139"/>
  <c r="V43" i="139"/>
  <c r="AA43" i="139" s="1"/>
  <c r="O7" i="140"/>
  <c r="AQ10" i="87"/>
  <c r="AO9" i="87"/>
  <c r="Q25" i="97"/>
  <c r="Q23" i="97"/>
  <c r="Q9" i="97"/>
  <c r="Q17" i="97"/>
  <c r="Q27" i="97"/>
  <c r="Q28" i="97"/>
  <c r="Q22" i="97"/>
  <c r="Q11" i="97"/>
  <c r="Q30" i="97"/>
  <c r="Q21" i="97"/>
  <c r="Q10" i="97"/>
  <c r="Q19" i="97"/>
  <c r="Q7" i="97"/>
  <c r="Q18" i="97"/>
  <c r="Q26" i="97"/>
  <c r="Q16" i="97"/>
  <c r="Q29" i="97"/>
  <c r="Q20" i="97"/>
  <c r="Q12" i="97"/>
  <c r="Q24" i="97"/>
  <c r="Q15" i="97"/>
  <c r="W8" i="86"/>
  <c r="W60" i="86" s="1"/>
  <c r="W10" i="86"/>
  <c r="L54" i="139"/>
  <c r="L53" i="139" s="1"/>
  <c r="K53" i="139"/>
  <c r="U56" i="139"/>
  <c r="Z56" i="139"/>
  <c r="Y27" i="62"/>
  <c r="W27" i="62"/>
  <c r="W25" i="62" s="1"/>
  <c r="AQ107" i="13"/>
  <c r="U7" i="97"/>
  <c r="V8" i="97" s="1"/>
  <c r="W8" i="97"/>
  <c r="U81" i="97"/>
  <c r="BA19" i="87"/>
  <c r="K27" i="140"/>
  <c r="S27" i="140"/>
  <c r="V27" i="140" s="1"/>
  <c r="N24" i="38"/>
  <c r="N20" i="38" s="1"/>
  <c r="N18" i="38" s="1"/>
  <c r="W25" i="38"/>
  <c r="Q25" i="38"/>
  <c r="E9" i="139"/>
  <c r="AB11" i="139"/>
  <c r="W10" i="140"/>
  <c r="W9" i="140" s="1"/>
  <c r="T9" i="140"/>
  <c r="D8" i="140"/>
  <c r="D7" i="140" s="1"/>
  <c r="I15" i="140"/>
  <c r="N15" i="140" s="1"/>
  <c r="BH150" i="88"/>
  <c r="I53" i="139"/>
  <c r="H62" i="139"/>
  <c r="U11" i="140"/>
  <c r="R11" i="140"/>
  <c r="M14" i="140"/>
  <c r="P14" i="140"/>
  <c r="S67" i="96"/>
  <c r="S60" i="96"/>
  <c r="U35" i="140"/>
  <c r="R35" i="140"/>
  <c r="AE60" i="86"/>
  <c r="BH125" i="88"/>
  <c r="AX10" i="88"/>
  <c r="AX26" i="88"/>
  <c r="AX25" i="88"/>
  <c r="AX27" i="88"/>
  <c r="AX12" i="88"/>
  <c r="AX16" i="88"/>
  <c r="AX14" i="88"/>
  <c r="AX19" i="88"/>
  <c r="AX21" i="88"/>
  <c r="AX23" i="88"/>
  <c r="AX18" i="88"/>
  <c r="AY7" i="88"/>
  <c r="AX11" i="88"/>
  <c r="AX7" i="88"/>
  <c r="AX20" i="88"/>
  <c r="AX28" i="88"/>
  <c r="AX13" i="88"/>
  <c r="AX24" i="88"/>
  <c r="AX17" i="88"/>
  <c r="AV50" i="88"/>
  <c r="AH146" i="88"/>
  <c r="AH106" i="88"/>
  <c r="AH140" i="88"/>
  <c r="AH121" i="88"/>
  <c r="AH124" i="88"/>
  <c r="AH109" i="88"/>
  <c r="AV101" i="88"/>
  <c r="AH127" i="88"/>
  <c r="AH112" i="88"/>
  <c r="AH149" i="88"/>
  <c r="AH118" i="88"/>
  <c r="AH131" i="88"/>
  <c r="AH137" i="88"/>
  <c r="AH102" i="88"/>
  <c r="AH152" i="88"/>
  <c r="AH115" i="88"/>
  <c r="AH143" i="88"/>
  <c r="AH155" i="88"/>
  <c r="AH130" i="88"/>
  <c r="F10" i="139"/>
  <c r="F8" i="139"/>
  <c r="F62" i="139" s="1"/>
  <c r="Q24" i="7"/>
  <c r="R60" i="96"/>
  <c r="R67" i="96"/>
  <c r="U30" i="140"/>
  <c r="AT10" i="87"/>
  <c r="BB10" i="87"/>
  <c r="AW9" i="87"/>
  <c r="AI69" i="86"/>
  <c r="AI103" i="86"/>
  <c r="AI104" i="86" s="1"/>
  <c r="AI60" i="86"/>
  <c r="N17" i="140"/>
  <c r="S17" i="140" s="1"/>
  <c r="V17" i="140" s="1"/>
  <c r="S18" i="140"/>
  <c r="V18" i="140" s="1"/>
  <c r="K18" i="140"/>
  <c r="AD37" i="139"/>
  <c r="Y57" i="87"/>
  <c r="U56" i="87"/>
  <c r="AW10" i="86"/>
  <c r="AW8" i="86"/>
  <c r="AW60" i="86" s="1"/>
  <c r="G7" i="99"/>
  <c r="F7" i="99" s="1"/>
  <c r="F6" i="99"/>
  <c r="P9" i="139"/>
  <c r="O10" i="96"/>
  <c r="AJ10" i="96"/>
  <c r="AI10" i="96"/>
  <c r="AG10" i="96"/>
  <c r="U10" i="96"/>
  <c r="N93" i="96"/>
  <c r="U82" i="97"/>
  <c r="P10" i="140"/>
  <c r="M10" i="140"/>
  <c r="K9" i="140"/>
  <c r="D10" i="139"/>
  <c r="D8" i="139"/>
  <c r="D62" i="139" s="1"/>
  <c r="P19" i="140"/>
  <c r="M19" i="140"/>
  <c r="F62" i="38"/>
  <c r="AM20" i="88"/>
  <c r="AM10" i="88"/>
  <c r="AM17" i="88"/>
  <c r="AM22" i="88"/>
  <c r="AM16" i="88"/>
  <c r="AM24" i="88"/>
  <c r="AM15" i="88"/>
  <c r="AM11" i="88"/>
  <c r="AM7" i="88"/>
  <c r="AM13" i="88"/>
  <c r="AM27" i="88"/>
  <c r="AM18" i="88"/>
  <c r="AM19" i="88"/>
  <c r="AM21" i="88"/>
  <c r="AM28" i="88"/>
  <c r="AM25" i="88"/>
  <c r="AM23" i="88"/>
  <c r="AM26" i="88"/>
  <c r="AM12" i="88"/>
  <c r="AM14" i="88"/>
  <c r="AM49" i="88"/>
  <c r="AE30" i="100"/>
  <c r="AD30" i="100" s="1"/>
  <c r="AC37" i="139"/>
  <c r="AZ9" i="86"/>
  <c r="BF39" i="86"/>
  <c r="BB39" i="86"/>
  <c r="BA39" i="86" s="1"/>
  <c r="BA9" i="86" s="1"/>
  <c r="H25" i="45"/>
  <c r="F26" i="45"/>
  <c r="F25" i="45" s="1"/>
  <c r="Z7" i="87"/>
  <c r="AB8" i="87"/>
  <c r="Z89" i="87"/>
  <c r="T31" i="140"/>
  <c r="W31" i="140" s="1"/>
  <c r="K31" i="140"/>
  <c r="P31" i="140" s="1"/>
  <c r="U22" i="140"/>
  <c r="R22" i="140"/>
  <c r="W39" i="139"/>
  <c r="R39" i="139"/>
  <c r="BH128" i="88"/>
  <c r="H10" i="140"/>
  <c r="F9" i="140"/>
  <c r="Z28" i="7"/>
  <c r="BN55" i="86"/>
  <c r="BN54" i="86" s="1"/>
  <c r="BN52" i="86" s="1"/>
  <c r="BM55" i="86"/>
  <c r="BM54" i="86" s="1"/>
  <c r="BM52" i="86" s="1"/>
  <c r="BJ54" i="86"/>
  <c r="BJ52" i="86" s="1"/>
  <c r="W25" i="7"/>
  <c r="T24" i="7"/>
  <c r="AE7" i="87"/>
  <c r="AF8" i="87" s="1"/>
  <c r="AG8" i="87"/>
  <c r="AO76" i="88"/>
  <c r="AV75" i="88"/>
  <c r="AH77" i="88"/>
  <c r="AH76" i="88"/>
  <c r="C8" i="139"/>
  <c r="I9" i="139"/>
  <c r="C10" i="139"/>
  <c r="O9" i="139"/>
  <c r="AU8" i="86"/>
  <c r="AU60" i="86" s="1"/>
  <c r="AU10" i="86"/>
  <c r="P25" i="140"/>
  <c r="M25" i="140"/>
  <c r="N28" i="62"/>
  <c r="N7" i="62" s="1"/>
  <c r="N53" i="62"/>
  <c r="N42" i="97"/>
  <c r="AA19" i="38"/>
  <c r="N53" i="139"/>
  <c r="AA39" i="139"/>
  <c r="AC112" i="86"/>
  <c r="AK67" i="48"/>
  <c r="AK25" i="48"/>
  <c r="P107" i="13"/>
  <c r="C107" i="13" s="1"/>
  <c r="N59" i="87"/>
  <c r="K89" i="87"/>
  <c r="M8" i="87"/>
  <c r="K70" i="87"/>
  <c r="K72" i="87" s="1"/>
  <c r="K7" i="87"/>
  <c r="BA76" i="88"/>
  <c r="BA77" i="88"/>
  <c r="BB76" i="88"/>
  <c r="AV10" i="86"/>
  <c r="AV8" i="86"/>
  <c r="AV60" i="86" s="1"/>
  <c r="K43" i="139"/>
  <c r="J9" i="139"/>
  <c r="C8" i="140"/>
  <c r="C7" i="140" s="1"/>
  <c r="AH69" i="88"/>
  <c r="AH81" i="88"/>
  <c r="AP69" i="88"/>
  <c r="AM9" i="88"/>
  <c r="H64" i="96"/>
  <c r="I10" i="96"/>
  <c r="AT10" i="86"/>
  <c r="AT8" i="86"/>
  <c r="AT60" i="86" s="1"/>
  <c r="U60" i="139"/>
  <c r="Z60" i="139"/>
  <c r="J62" i="7"/>
  <c r="AX165" i="88"/>
  <c r="AX171" i="88"/>
  <c r="AX167" i="88"/>
  <c r="AX173" i="88"/>
  <c r="AX174" i="88"/>
  <c r="AX176" i="88"/>
  <c r="S30" i="62"/>
  <c r="Q30" i="62"/>
  <c r="BH122" i="88"/>
  <c r="Z54" i="139"/>
  <c r="U54" i="139"/>
  <c r="AD60" i="86"/>
  <c r="J62" i="38"/>
  <c r="F7" i="97"/>
  <c r="G8" i="97" s="1"/>
  <c r="O23" i="30"/>
  <c r="W24" i="30"/>
  <c r="X23" i="30"/>
  <c r="D21" i="30"/>
  <c r="O8" i="96"/>
  <c r="U8" i="96"/>
  <c r="N60" i="96"/>
  <c r="N63" i="96"/>
  <c r="O17" i="140"/>
  <c r="T17" i="140" s="1"/>
  <c r="W17" i="140" s="1"/>
  <c r="T18" i="140"/>
  <c r="W18" i="140" s="1"/>
  <c r="AV24" i="87"/>
  <c r="L8" i="96"/>
  <c r="L10" i="96"/>
  <c r="Z55" i="139"/>
  <c r="U55" i="139"/>
  <c r="F62" i="7"/>
  <c r="AI67" i="48"/>
  <c r="AI32" i="48"/>
  <c r="AI25" i="48"/>
  <c r="AY9" i="88"/>
  <c r="AX9" i="88"/>
  <c r="Q66" i="96"/>
  <c r="Q67" i="96" s="1"/>
  <c r="Q92" i="96"/>
  <c r="Q74" i="96"/>
  <c r="Q63" i="96"/>
  <c r="Q60" i="96"/>
  <c r="I8" i="96"/>
  <c r="H60" i="96"/>
  <c r="AF60" i="96" s="1"/>
  <c r="U19" i="7"/>
  <c r="Z19" i="7"/>
  <c r="Y54" i="87"/>
  <c r="U52" i="87"/>
  <c r="U54" i="87" s="1"/>
  <c r="E65" i="34"/>
  <c r="U23" i="140"/>
  <c r="AL9" i="87"/>
  <c r="R54" i="139"/>
  <c r="W54" i="139"/>
  <c r="AB54" i="139" s="1"/>
  <c r="Z29" i="45"/>
  <c r="Z30" i="46"/>
  <c r="C63" i="60"/>
  <c r="C59" i="60"/>
  <c r="P105" i="60"/>
  <c r="C105" i="60" s="1"/>
  <c r="P82" i="13"/>
  <c r="C82" i="13" s="1"/>
  <c r="C81" i="13" s="1"/>
  <c r="Q82" i="60"/>
  <c r="P13" i="60"/>
  <c r="P12" i="60" s="1"/>
  <c r="P100" i="60"/>
  <c r="C100" i="60" s="1"/>
  <c r="Z80" i="60"/>
  <c r="Z11" i="60" s="1"/>
  <c r="Z10" i="60" s="1"/>
  <c r="P89" i="60"/>
  <c r="C89" i="60" s="1"/>
  <c r="C41" i="149"/>
  <c r="M29" i="44"/>
  <c r="C41" i="65"/>
  <c r="P31" i="44"/>
  <c r="Y193" i="13"/>
  <c r="P97" i="60"/>
  <c r="C97" i="60" s="1"/>
  <c r="C99" i="60"/>
  <c r="P34" i="44"/>
  <c r="AB193" i="13"/>
  <c r="AB80" i="60"/>
  <c r="AB11" i="60" s="1"/>
  <c r="AB10" i="60" s="1"/>
  <c r="P108" i="60"/>
  <c r="P35" i="44"/>
  <c r="C47" i="161" s="1"/>
  <c r="P111" i="60"/>
  <c r="AC80" i="60"/>
  <c r="D12" i="43"/>
  <c r="L12" i="43" s="1"/>
  <c r="L11" i="43"/>
  <c r="AJ10" i="43"/>
  <c r="BY11" i="41"/>
  <c r="BZ11" i="41" s="1"/>
  <c r="BB12" i="41"/>
  <c r="BY12" i="41" s="1"/>
  <c r="BZ12" i="41" s="1"/>
  <c r="I30" i="46"/>
  <c r="I28" i="46" s="1"/>
  <c r="J28" i="46"/>
  <c r="W66" i="43"/>
  <c r="U65" i="43"/>
  <c r="J26" i="45"/>
  <c r="J26" i="46"/>
  <c r="T66" i="43"/>
  <c r="T65" i="43" s="1"/>
  <c r="I23" i="46"/>
  <c r="M59" i="45"/>
  <c r="L60" i="45"/>
  <c r="W25" i="46"/>
  <c r="W21" i="46" s="1"/>
  <c r="W18" i="46" s="1"/>
  <c r="Z26" i="46"/>
  <c r="I23" i="45"/>
  <c r="W42" i="44"/>
  <c r="G58" i="154" s="1"/>
  <c r="P60" i="45"/>
  <c r="P60" i="46"/>
  <c r="AE42" i="44"/>
  <c r="J28" i="45"/>
  <c r="AA63" i="43"/>
  <c r="AA63" i="150" s="1"/>
  <c r="AC70" i="43"/>
  <c r="AA70" i="43"/>
  <c r="AA70" i="150" s="1"/>
  <c r="Z70" i="150" s="1"/>
  <c r="W68" i="43"/>
  <c r="C50" i="54"/>
  <c r="C51" i="66"/>
  <c r="C50" i="66" s="1"/>
  <c r="M59" i="46"/>
  <c r="L60" i="46"/>
  <c r="BC36" i="5"/>
  <c r="BD37" i="5"/>
  <c r="BD78" i="41"/>
  <c r="BF31" i="41"/>
  <c r="BE25" i="41"/>
  <c r="BE78" i="41"/>
  <c r="J58" i="43"/>
  <c r="O59" i="43"/>
  <c r="O59" i="150" s="1"/>
  <c r="N59" i="150" s="1"/>
  <c r="N58" i="150" s="1"/>
  <c r="BV47" i="41"/>
  <c r="BF47" i="41"/>
  <c r="BH47" i="41"/>
  <c r="H15" i="46"/>
  <c r="H15" i="45"/>
  <c r="H82" i="45" s="1"/>
  <c r="O50" i="43"/>
  <c r="BL30" i="43"/>
  <c r="BB93" i="41"/>
  <c r="BY10" i="41"/>
  <c r="BZ10" i="41" s="1"/>
  <c r="C73" i="43"/>
  <c r="K10" i="43"/>
  <c r="AD12" i="43"/>
  <c r="AJ12" i="43"/>
  <c r="M11" i="43"/>
  <c r="G30" i="43"/>
  <c r="G77" i="43"/>
  <c r="AV10" i="43"/>
  <c r="AD10" i="43"/>
  <c r="O51" i="43"/>
  <c r="N52" i="43"/>
  <c r="N51" i="43" s="1"/>
  <c r="C67" i="65"/>
  <c r="C67" i="161" s="1"/>
  <c r="M51" i="44"/>
  <c r="D45" i="58"/>
  <c r="D55" i="68" s="1"/>
  <c r="C55" i="68" s="1"/>
  <c r="J70" i="45"/>
  <c r="J70" i="46"/>
  <c r="AF36" i="46" s="1"/>
  <c r="AM10" i="60"/>
  <c r="C125" i="60"/>
  <c r="AR46" i="43"/>
  <c r="AY46" i="43"/>
  <c r="AW11" i="43"/>
  <c r="AQ12" i="43"/>
  <c r="AQ10" i="43"/>
  <c r="AQ73" i="43" s="1"/>
  <c r="L49" i="100" l="1"/>
  <c r="L6" i="100"/>
  <c r="AJ20" i="88"/>
  <c r="AJ17" i="88"/>
  <c r="N52" i="87"/>
  <c r="AJ22" i="88"/>
  <c r="AJ13" i="88"/>
  <c r="AJ28" i="88"/>
  <c r="AJ18" i="88"/>
  <c r="AJ25" i="88"/>
  <c r="M6" i="100"/>
  <c r="M7" i="100" s="1"/>
  <c r="M49" i="100"/>
  <c r="X68" i="86"/>
  <c r="U28" i="140"/>
  <c r="AJ26" i="88"/>
  <c r="AJ11" i="88"/>
  <c r="AJ27" i="88"/>
  <c r="AJ58" i="89"/>
  <c r="AN58" i="89" s="1"/>
  <c r="R50" i="100"/>
  <c r="AJ8" i="92"/>
  <c r="AJ15" i="88"/>
  <c r="AJ10" i="88"/>
  <c r="AJ16" i="88"/>
  <c r="Y63" i="89"/>
  <c r="Y154" i="89"/>
  <c r="Y8" i="89"/>
  <c r="Y57" i="89"/>
  <c r="Y105" i="89"/>
  <c r="AA185" i="89"/>
  <c r="Y104" i="89"/>
  <c r="AJ71" i="86"/>
  <c r="M8" i="139"/>
  <c r="M62" i="139" s="1"/>
  <c r="AX11" i="89"/>
  <c r="X32" i="100"/>
  <c r="X8" i="86"/>
  <c r="X65" i="86" s="1"/>
  <c r="AJ7" i="88"/>
  <c r="AJ8" i="88"/>
  <c r="AJ14" i="88"/>
  <c r="AA109" i="89"/>
  <c r="AB109" i="89" s="1"/>
  <c r="AJ108" i="89"/>
  <c r="AN108" i="89" s="1"/>
  <c r="Y109" i="89"/>
  <c r="AB108" i="89"/>
  <c r="AJ12" i="88"/>
  <c r="AJ23" i="88"/>
  <c r="AJ24" i="88"/>
  <c r="Y126" i="89"/>
  <c r="AB120" i="89"/>
  <c r="Y123" i="89"/>
  <c r="AJ120" i="89"/>
  <c r="AN120" i="89" s="1"/>
  <c r="Y129" i="89"/>
  <c r="AZ74" i="89"/>
  <c r="AY74" i="89"/>
  <c r="Q55" i="99"/>
  <c r="BD76" i="88"/>
  <c r="BD77" i="88"/>
  <c r="BD94" i="88"/>
  <c r="BD91" i="88"/>
  <c r="BD96" i="88"/>
  <c r="BD93" i="88"/>
  <c r="AY56" i="89"/>
  <c r="AZ56" i="89"/>
  <c r="AZ92" i="89"/>
  <c r="AZ124" i="89"/>
  <c r="AZ32" i="89"/>
  <c r="AZ29" i="89"/>
  <c r="AZ87" i="89"/>
  <c r="AZ46" i="89"/>
  <c r="AZ136" i="89"/>
  <c r="AZ71" i="89"/>
  <c r="AZ30" i="89"/>
  <c r="AZ10" i="89"/>
  <c r="AZ51" i="89"/>
  <c r="AZ12" i="89"/>
  <c r="AZ28" i="89"/>
  <c r="AZ86" i="89"/>
  <c r="AZ36" i="89"/>
  <c r="AZ25" i="89"/>
  <c r="AZ43" i="89"/>
  <c r="AZ99" i="89"/>
  <c r="AZ96" i="89"/>
  <c r="AZ41" i="89"/>
  <c r="AZ129" i="89"/>
  <c r="AZ125" i="89"/>
  <c r="AZ122" i="89"/>
  <c r="AZ90" i="89"/>
  <c r="AZ121" i="89"/>
  <c r="AZ31" i="89"/>
  <c r="AZ15" i="89"/>
  <c r="AZ133" i="89"/>
  <c r="AZ120" i="89"/>
  <c r="AZ35" i="89"/>
  <c r="AZ44" i="89"/>
  <c r="AZ65" i="89"/>
  <c r="AZ135" i="89"/>
  <c r="AI105" i="89"/>
  <c r="AZ131" i="89"/>
  <c r="AZ139" i="89"/>
  <c r="AZ126" i="89"/>
  <c r="AZ50" i="89"/>
  <c r="AZ67" i="89"/>
  <c r="AZ23" i="89"/>
  <c r="AZ45" i="89"/>
  <c r="AZ93" i="89"/>
  <c r="AZ27" i="89"/>
  <c r="AZ76" i="89"/>
  <c r="AZ42" i="89"/>
  <c r="AZ17" i="89"/>
  <c r="AZ98" i="89"/>
  <c r="AZ22" i="89"/>
  <c r="AZ52" i="89"/>
  <c r="AZ123" i="89"/>
  <c r="AZ80" i="89"/>
  <c r="AZ83" i="89"/>
  <c r="AI8" i="89"/>
  <c r="AZ78" i="89"/>
  <c r="AZ114" i="89"/>
  <c r="AZ13" i="89"/>
  <c r="AZ134" i="89"/>
  <c r="AZ89" i="89"/>
  <c r="AZ127" i="89"/>
  <c r="AZ95" i="89"/>
  <c r="AZ137" i="89"/>
  <c r="AZ64" i="89"/>
  <c r="AZ33" i="89"/>
  <c r="AZ11" i="89"/>
  <c r="AI154" i="89"/>
  <c r="AY154" i="89" s="1"/>
  <c r="AZ84" i="89"/>
  <c r="AZ132" i="89"/>
  <c r="AI57" i="89"/>
  <c r="AZ102" i="89"/>
  <c r="AZ60" i="89"/>
  <c r="AZ20" i="89"/>
  <c r="AZ101" i="89"/>
  <c r="AZ26" i="89"/>
  <c r="AI104" i="89"/>
  <c r="AZ77" i="89"/>
  <c r="AZ70" i="89"/>
  <c r="AZ19" i="89"/>
  <c r="AZ115" i="89"/>
  <c r="AZ59" i="89"/>
  <c r="AZ21" i="89"/>
  <c r="AZ24" i="89"/>
  <c r="AZ14" i="89"/>
  <c r="AZ18" i="89"/>
  <c r="AZ47" i="89"/>
  <c r="AZ108" i="89"/>
  <c r="AZ130" i="89"/>
  <c r="AZ53" i="89"/>
  <c r="AN16" i="89"/>
  <c r="AJ10" i="89"/>
  <c r="W30" i="100"/>
  <c r="U30" i="100" s="1"/>
  <c r="U21" i="100"/>
  <c r="AH112" i="89"/>
  <c r="AJ111" i="89"/>
  <c r="AN111" i="89" s="1"/>
  <c r="AZ16" i="89"/>
  <c r="O55" i="99"/>
  <c r="AH82" i="89"/>
  <c r="AH97" i="89"/>
  <c r="AH66" i="89"/>
  <c r="AH72" i="89"/>
  <c r="AH69" i="89"/>
  <c r="AH91" i="89"/>
  <c r="AH103" i="89"/>
  <c r="AH63" i="89"/>
  <c r="AJ63" i="89" s="1"/>
  <c r="AH94" i="89"/>
  <c r="AH85" i="89"/>
  <c r="AH79" i="89"/>
  <c r="AH100" i="89"/>
  <c r="AH62" i="89"/>
  <c r="AH75" i="89"/>
  <c r="AH88" i="89"/>
  <c r="AJ61" i="89"/>
  <c r="BD69" i="88"/>
  <c r="BD81" i="88"/>
  <c r="AY58" i="89"/>
  <c r="AZ58" i="89"/>
  <c r="AY61" i="89"/>
  <c r="AI100" i="89"/>
  <c r="AI79" i="89"/>
  <c r="AZ61" i="89"/>
  <c r="AI82" i="89"/>
  <c r="AI97" i="89"/>
  <c r="AI62" i="89"/>
  <c r="AI66" i="89"/>
  <c r="AI88" i="89"/>
  <c r="AI63" i="89"/>
  <c r="AI85" i="89"/>
  <c r="AI91" i="89"/>
  <c r="AI75" i="89"/>
  <c r="AI72" i="89"/>
  <c r="AI94" i="89"/>
  <c r="AI69" i="89"/>
  <c r="AI103" i="89"/>
  <c r="AY111" i="89"/>
  <c r="AZ111" i="89"/>
  <c r="AI112" i="89"/>
  <c r="AI113" i="89"/>
  <c r="AH105" i="89"/>
  <c r="AH104" i="89"/>
  <c r="AJ104" i="89" s="1"/>
  <c r="AH57" i="89"/>
  <c r="AJ57" i="89" s="1"/>
  <c r="AH154" i="89"/>
  <c r="AJ154" i="89" s="1"/>
  <c r="AH8" i="89"/>
  <c r="AJ56" i="89"/>
  <c r="BD137" i="88"/>
  <c r="BD109" i="88"/>
  <c r="BD118" i="88"/>
  <c r="BD131" i="88"/>
  <c r="BD143" i="88"/>
  <c r="BD106" i="88"/>
  <c r="BD130" i="88"/>
  <c r="BD140" i="88"/>
  <c r="BD102" i="88"/>
  <c r="BD146" i="88"/>
  <c r="BD152" i="88"/>
  <c r="BD121" i="88"/>
  <c r="BD149" i="88"/>
  <c r="BD124" i="88"/>
  <c r="BD115" i="88"/>
  <c r="BD155" i="88"/>
  <c r="BD112" i="88"/>
  <c r="BD127" i="88"/>
  <c r="AZ73" i="89"/>
  <c r="Y66" i="22"/>
  <c r="Y65" i="22" s="1"/>
  <c r="R11" i="26"/>
  <c r="E32" i="160"/>
  <c r="C32" i="160" s="1"/>
  <c r="BH12" i="3"/>
  <c r="C99" i="162"/>
  <c r="P97" i="162"/>
  <c r="C97" i="162" s="1"/>
  <c r="P81" i="162"/>
  <c r="C81" i="162" s="1"/>
  <c r="Q80" i="162"/>
  <c r="Q11" i="162" s="1"/>
  <c r="Q10" i="162" s="1"/>
  <c r="C59" i="154"/>
  <c r="D44" i="151"/>
  <c r="S105" i="89"/>
  <c r="S154" i="89"/>
  <c r="S185" i="89"/>
  <c r="Y185" i="89"/>
  <c r="S57" i="89"/>
  <c r="AB57" i="89" s="1"/>
  <c r="S104" i="89"/>
  <c r="AB104" i="89" s="1"/>
  <c r="S8" i="89"/>
  <c r="AB10" i="89"/>
  <c r="M67" i="48"/>
  <c r="M25" i="48"/>
  <c r="C29" i="74"/>
  <c r="P32" i="151"/>
  <c r="C43" i="161"/>
  <c r="L65" i="96"/>
  <c r="AC27" i="38"/>
  <c r="S9" i="139"/>
  <c r="T14" i="164"/>
  <c r="M40" i="44"/>
  <c r="Q43" i="150"/>
  <c r="C22" i="159"/>
  <c r="V14" i="64"/>
  <c r="V14" i="164"/>
  <c r="G22" i="152"/>
  <c r="C15" i="159"/>
  <c r="G54" i="7"/>
  <c r="F54" i="7" s="1"/>
  <c r="G54" i="38"/>
  <c r="F54" i="38" s="1"/>
  <c r="G54" i="6"/>
  <c r="F54" i="6" s="1"/>
  <c r="G56" i="35"/>
  <c r="F56" i="35" s="1"/>
  <c r="G56" i="34"/>
  <c r="F56" i="34" s="1"/>
  <c r="G54" i="39"/>
  <c r="F54" i="39" s="1"/>
  <c r="H38" i="4"/>
  <c r="K30" i="33"/>
  <c r="AE25" i="89"/>
  <c r="AE19" i="89"/>
  <c r="AE28" i="89"/>
  <c r="AE17" i="89"/>
  <c r="AE26" i="89"/>
  <c r="AE18" i="89"/>
  <c r="AE24" i="89"/>
  <c r="AE22" i="89"/>
  <c r="AE27" i="89"/>
  <c r="AE23" i="89"/>
  <c r="AE16" i="89"/>
  <c r="AE29" i="89"/>
  <c r="AE21" i="89"/>
  <c r="H36" i="38"/>
  <c r="H34" i="38" s="1"/>
  <c r="H33" i="38" s="1"/>
  <c r="H32" i="38" s="1"/>
  <c r="H36" i="7"/>
  <c r="H34" i="7" s="1"/>
  <c r="H33" i="7" s="1"/>
  <c r="H32" i="7" s="1"/>
  <c r="H36" i="39"/>
  <c r="H34" i="39" s="1"/>
  <c r="H33" i="39" s="1"/>
  <c r="H32" i="39" s="1"/>
  <c r="L13" i="33"/>
  <c r="H36" i="6"/>
  <c r="H34" i="6" s="1"/>
  <c r="H33" i="6" s="1"/>
  <c r="H32" i="6" s="1"/>
  <c r="H36" i="35"/>
  <c r="H34" i="35" s="1"/>
  <c r="H33" i="35" s="1"/>
  <c r="H32" i="35" s="1"/>
  <c r="H36" i="34"/>
  <c r="H34" i="34" s="1"/>
  <c r="H33" i="34" s="1"/>
  <c r="H32" i="34" s="1"/>
  <c r="L11" i="4"/>
  <c r="P108" i="162"/>
  <c r="AB80" i="162"/>
  <c r="AB11" i="162" s="1"/>
  <c r="AB10" i="162" s="1"/>
  <c r="P24" i="44"/>
  <c r="R193" i="13"/>
  <c r="C96" i="162"/>
  <c r="P95" i="162"/>
  <c r="C95" i="162" s="1"/>
  <c r="AR60" i="36"/>
  <c r="AU60" i="36"/>
  <c r="AY60" i="36" s="1"/>
  <c r="S112" i="89"/>
  <c r="Y112" i="89"/>
  <c r="AB111" i="89"/>
  <c r="AD111" i="89" s="1"/>
  <c r="S113" i="89"/>
  <c r="G14" i="7"/>
  <c r="G14" i="34"/>
  <c r="F14" i="34" s="1"/>
  <c r="K13" i="4"/>
  <c r="K13" i="37"/>
  <c r="G14" i="35"/>
  <c r="F14" i="35" s="1"/>
  <c r="G14" i="38"/>
  <c r="G14" i="39"/>
  <c r="F14" i="39" s="1"/>
  <c r="O16" i="31"/>
  <c r="G14" i="6"/>
  <c r="F14" i="6" s="1"/>
  <c r="N42" i="1"/>
  <c r="P111" i="162"/>
  <c r="AC80" i="162"/>
  <c r="AC11" i="162" s="1"/>
  <c r="AC10" i="162" s="1"/>
  <c r="BF61" i="3"/>
  <c r="BY61" i="3"/>
  <c r="BZ61" i="3" s="1"/>
  <c r="C13" i="162"/>
  <c r="P12" i="162"/>
  <c r="AG38" i="37"/>
  <c r="AO38" i="37"/>
  <c r="AL38" i="37" s="1"/>
  <c r="J22" i="46"/>
  <c r="C70" i="1"/>
  <c r="C34" i="31" s="1"/>
  <c r="U104" i="89"/>
  <c r="E17" i="45"/>
  <c r="AD9" i="139"/>
  <c r="E39" i="160"/>
  <c r="E38" i="160" s="1"/>
  <c r="P52" i="7"/>
  <c r="T10" i="64"/>
  <c r="T10" i="164"/>
  <c r="T22" i="164" s="1"/>
  <c r="F46" i="35"/>
  <c r="D18" i="153"/>
  <c r="D21" i="46"/>
  <c r="D18" i="46" s="1"/>
  <c r="C23" i="169"/>
  <c r="C24" i="158"/>
  <c r="T25" i="39"/>
  <c r="Q24" i="39"/>
  <c r="T24" i="39" s="1"/>
  <c r="G61" i="45"/>
  <c r="F61" i="45" s="1"/>
  <c r="H43" i="44"/>
  <c r="G61" i="46"/>
  <c r="F61" i="46" s="1"/>
  <c r="G61" i="152"/>
  <c r="F61" i="152" s="1"/>
  <c r="G61" i="153"/>
  <c r="F61" i="153" s="1"/>
  <c r="K44" i="151"/>
  <c r="H44" i="151" s="1"/>
  <c r="P83" i="162"/>
  <c r="C83" i="162" s="1"/>
  <c r="R80" i="162"/>
  <c r="R11" i="162" s="1"/>
  <c r="R10" i="162" s="1"/>
  <c r="P93" i="162"/>
  <c r="C93" i="162" s="1"/>
  <c r="W80" i="162"/>
  <c r="W11" i="162" s="1"/>
  <c r="W10" i="162" s="1"/>
  <c r="P100" i="162"/>
  <c r="C100" i="162" s="1"/>
  <c r="Z80" i="162"/>
  <c r="Z11" i="162" s="1"/>
  <c r="Z10" i="162" s="1"/>
  <c r="T154" i="89"/>
  <c r="T69" i="89"/>
  <c r="J112" i="89"/>
  <c r="AI123" i="162"/>
  <c r="V15" i="64"/>
  <c r="V15" i="164"/>
  <c r="CD10" i="47"/>
  <c r="G13" i="43"/>
  <c r="K28" i="62"/>
  <c r="K53" i="62"/>
  <c r="Z25" i="39"/>
  <c r="W24" i="39"/>
  <c r="W20" i="39" s="1"/>
  <c r="W18" i="39" s="1"/>
  <c r="BF63" i="41"/>
  <c r="N19" i="45"/>
  <c r="I19" i="45"/>
  <c r="C8" i="83"/>
  <c r="C9" i="83" s="1"/>
  <c r="S94" i="89"/>
  <c r="AB94" i="89" s="1"/>
  <c r="S69" i="89"/>
  <c r="AB69" i="89" s="1"/>
  <c r="AD69" i="89" s="1"/>
  <c r="S85" i="89"/>
  <c r="AB85" i="89" s="1"/>
  <c r="S88" i="89"/>
  <c r="AB88" i="89" s="1"/>
  <c r="S100" i="89"/>
  <c r="AB100" i="89" s="1"/>
  <c r="S91" i="89"/>
  <c r="AB91" i="89" s="1"/>
  <c r="AD91" i="89" s="1"/>
  <c r="S62" i="89"/>
  <c r="U62" i="89" s="1"/>
  <c r="S82" i="89"/>
  <c r="AB82" i="89" s="1"/>
  <c r="AD82" i="89" s="1"/>
  <c r="S66" i="89"/>
  <c r="AB66" i="89" s="1"/>
  <c r="S72" i="89"/>
  <c r="AB72" i="89" s="1"/>
  <c r="AD72" i="89" s="1"/>
  <c r="S103" i="89"/>
  <c r="AB103" i="89" s="1"/>
  <c r="AD103" i="89" s="1"/>
  <c r="S79" i="89"/>
  <c r="AB79" i="89" s="1"/>
  <c r="S97" i="89"/>
  <c r="AB97" i="89" s="1"/>
  <c r="S63" i="89"/>
  <c r="AB63" i="89" s="1"/>
  <c r="AD63" i="89" s="1"/>
  <c r="Y62" i="89"/>
  <c r="AB61" i="89"/>
  <c r="AD61" i="89" s="1"/>
  <c r="U80" i="162"/>
  <c r="U11" i="162" s="1"/>
  <c r="U10" i="162" s="1"/>
  <c r="P89" i="162"/>
  <c r="C89" i="162" s="1"/>
  <c r="D116" i="162"/>
  <c r="C116" i="162" s="1"/>
  <c r="H10" i="162"/>
  <c r="K95" i="88"/>
  <c r="R95" i="88" s="1"/>
  <c r="K99" i="88"/>
  <c r="L99" i="88"/>
  <c r="Q91" i="88"/>
  <c r="N95" i="88"/>
  <c r="N99" i="88"/>
  <c r="O99" i="88"/>
  <c r="C59" i="169"/>
  <c r="C60" i="158"/>
  <c r="L27" i="7"/>
  <c r="P26" i="151"/>
  <c r="M26" i="151" s="1"/>
  <c r="O26" i="151" s="1"/>
  <c r="C35" i="161"/>
  <c r="G11" i="36"/>
  <c r="AV10" i="47"/>
  <c r="AR55" i="3"/>
  <c r="G12" i="64"/>
  <c r="G12" i="164"/>
  <c r="BB9" i="48"/>
  <c r="G22" i="46"/>
  <c r="C73" i="150"/>
  <c r="G19" i="43"/>
  <c r="K30" i="47"/>
  <c r="L30" i="47"/>
  <c r="O17" i="4"/>
  <c r="O17" i="33" s="1"/>
  <c r="N5" i="4"/>
  <c r="M17" i="33"/>
  <c r="C96" i="60"/>
  <c r="P95" i="60"/>
  <c r="C95" i="60" s="1"/>
  <c r="N133" i="88"/>
  <c r="O132" i="88"/>
  <c r="Q146" i="89"/>
  <c r="Q149" i="89"/>
  <c r="Q138" i="89"/>
  <c r="Q152" i="89"/>
  <c r="Q9" i="89"/>
  <c r="AH183" i="89"/>
  <c r="AZ8" i="89"/>
  <c r="AW67" i="88"/>
  <c r="O52" i="7"/>
  <c r="AT60" i="41"/>
  <c r="P35" i="151"/>
  <c r="M35" i="151" s="1"/>
  <c r="O35" i="151" s="1"/>
  <c r="C46" i="161"/>
  <c r="AK10" i="96"/>
  <c r="E18" i="45"/>
  <c r="D69" i="45" s="1"/>
  <c r="T66" i="89"/>
  <c r="C18" i="153"/>
  <c r="K133" i="88"/>
  <c r="L132" i="88"/>
  <c r="K132" i="88"/>
  <c r="Q132" i="88" s="1"/>
  <c r="C20" i="17"/>
  <c r="AJ8" i="14"/>
  <c r="C11" i="169"/>
  <c r="C12" i="158"/>
  <c r="C21" i="159"/>
  <c r="Q42" i="150"/>
  <c r="S19" i="94"/>
  <c r="C12" i="54"/>
  <c r="C12" i="66" s="1"/>
  <c r="C21" i="57"/>
  <c r="C21" i="67" s="1"/>
  <c r="BC42" i="41"/>
  <c r="X42" i="43"/>
  <c r="R42" i="43"/>
  <c r="AQ65" i="88"/>
  <c r="AQ181" i="88"/>
  <c r="AQ64" i="88"/>
  <c r="AR56" i="88"/>
  <c r="AQ190" i="88"/>
  <c r="Q110" i="89"/>
  <c r="Q117" i="89"/>
  <c r="Q116" i="89"/>
  <c r="Q107" i="89"/>
  <c r="Q106" i="89"/>
  <c r="AA106" i="162"/>
  <c r="P107" i="162"/>
  <c r="C107" i="162" s="1"/>
  <c r="G23" i="38"/>
  <c r="F23" i="38" s="1"/>
  <c r="N61" i="1"/>
  <c r="N25" i="31" s="1"/>
  <c r="O25" i="31"/>
  <c r="G23" i="6"/>
  <c r="F23" i="6" s="1"/>
  <c r="G23" i="34"/>
  <c r="F23" i="34" s="1"/>
  <c r="G23" i="7"/>
  <c r="F23" i="7" s="1"/>
  <c r="G23" i="39"/>
  <c r="F23" i="39" s="1"/>
  <c r="G23" i="35"/>
  <c r="F23" i="35" s="1"/>
  <c r="P91" i="162"/>
  <c r="C91" i="162" s="1"/>
  <c r="V80" i="162"/>
  <c r="V11" i="162" s="1"/>
  <c r="V10" i="162" s="1"/>
  <c r="C31" i="83"/>
  <c r="C29" i="83" s="1"/>
  <c r="AJ28" i="62"/>
  <c r="AJ7" i="62" s="1"/>
  <c r="AJ8" i="62" s="1"/>
  <c r="C30" i="62"/>
  <c r="C28" i="62" s="1"/>
  <c r="K22" i="63"/>
  <c r="K16" i="15"/>
  <c r="V17" i="17" s="1"/>
  <c r="M55" i="154"/>
  <c r="H55" i="154"/>
  <c r="Z29" i="48"/>
  <c r="Y29" i="48"/>
  <c r="X29" i="48"/>
  <c r="E9" i="15" s="1"/>
  <c r="K12" i="150"/>
  <c r="C15" i="154"/>
  <c r="N77" i="43"/>
  <c r="AK9" i="96"/>
  <c r="U61" i="43"/>
  <c r="C35" i="58"/>
  <c r="O82" i="153"/>
  <c r="BA10" i="41"/>
  <c r="BA12" i="41"/>
  <c r="H12" i="43"/>
  <c r="O122" i="43" s="1"/>
  <c r="N122" i="43" s="1"/>
  <c r="H10" i="43"/>
  <c r="D12" i="152" s="1"/>
  <c r="D8" i="152" s="1"/>
  <c r="H82" i="43"/>
  <c r="J22" i="44"/>
  <c r="D45" i="154"/>
  <c r="D49" i="154" s="1"/>
  <c r="Y60" i="153"/>
  <c r="Y60" i="152"/>
  <c r="P47" i="150"/>
  <c r="BQ47" i="150" s="1"/>
  <c r="BQ11" i="150" s="1"/>
  <c r="H16" i="153"/>
  <c r="H16" i="152"/>
  <c r="H83" i="152" s="1"/>
  <c r="H80" i="152" s="1"/>
  <c r="AR70" i="3"/>
  <c r="F46" i="151"/>
  <c r="F45" i="151" s="1"/>
  <c r="F41" i="151" s="1"/>
  <c r="D63" i="153"/>
  <c r="D63" i="152"/>
  <c r="D24" i="52"/>
  <c r="D25" i="52"/>
  <c r="D26" i="52" s="1"/>
  <c r="H14" i="87"/>
  <c r="F8" i="87"/>
  <c r="U60" i="153"/>
  <c r="V59" i="153"/>
  <c r="W29" i="37"/>
  <c r="AT29" i="37"/>
  <c r="AQ29" i="37" s="1"/>
  <c r="O26" i="38"/>
  <c r="R26" i="38" s="1"/>
  <c r="S26" i="38"/>
  <c r="F29" i="45"/>
  <c r="F28" i="45" s="1"/>
  <c r="G28" i="45"/>
  <c r="G28" i="46"/>
  <c r="F29" i="46"/>
  <c r="F28" i="46" s="1"/>
  <c r="G51" i="152"/>
  <c r="F51" i="152" s="1"/>
  <c r="F47" i="152"/>
  <c r="F37" i="153"/>
  <c r="U66" i="153"/>
  <c r="I5" i="151"/>
  <c r="J24" i="151"/>
  <c r="J5" i="151"/>
  <c r="H23" i="151"/>
  <c r="J23" i="151" s="1"/>
  <c r="T71" i="150"/>
  <c r="BO31" i="5"/>
  <c r="AI31" i="4"/>
  <c r="P11" i="150"/>
  <c r="C35" i="154"/>
  <c r="D13" i="151"/>
  <c r="J58" i="150"/>
  <c r="D17" i="154"/>
  <c r="D16" i="154" s="1"/>
  <c r="Q46" i="151"/>
  <c r="Q45" i="151" s="1"/>
  <c r="K63" i="153"/>
  <c r="K62" i="153" s="1"/>
  <c r="K63" i="152"/>
  <c r="K62" i="152" s="1"/>
  <c r="E34" i="14"/>
  <c r="N33" i="39"/>
  <c r="N32" i="39" s="1"/>
  <c r="AL37" i="44"/>
  <c r="Y55" i="46"/>
  <c r="Y55" i="45"/>
  <c r="X55" i="45" s="1"/>
  <c r="AE36" i="4"/>
  <c r="V61" i="153"/>
  <c r="U61" i="153" s="1"/>
  <c r="V61" i="152"/>
  <c r="U61" i="152" s="1"/>
  <c r="FC9" i="47"/>
  <c r="J156" i="88"/>
  <c r="AJ75" i="89"/>
  <c r="AN75" i="89" s="1"/>
  <c r="O27" i="51"/>
  <c r="BV51" i="41"/>
  <c r="F40" i="39"/>
  <c r="U32" i="150"/>
  <c r="T32" i="150" s="1"/>
  <c r="J61" i="150"/>
  <c r="J57" i="150" s="1"/>
  <c r="J73" i="150" s="1"/>
  <c r="L12" i="150"/>
  <c r="AL13" i="44"/>
  <c r="Y38" i="46"/>
  <c r="X38" i="46" s="1"/>
  <c r="Y38" i="45"/>
  <c r="X38" i="45" s="1"/>
  <c r="Z14" i="151"/>
  <c r="W14" i="151" s="1"/>
  <c r="P38" i="153"/>
  <c r="P38" i="152"/>
  <c r="W13" i="44"/>
  <c r="G36" i="154" s="1"/>
  <c r="P38" i="45"/>
  <c r="O38" i="45" s="1"/>
  <c r="P38" i="46"/>
  <c r="O38" i="46" s="1"/>
  <c r="P8" i="52"/>
  <c r="P20" i="52" s="1"/>
  <c r="N20" i="52"/>
  <c r="G81" i="88"/>
  <c r="G69" i="88"/>
  <c r="H69" i="88"/>
  <c r="J83" i="153"/>
  <c r="I83" i="153" s="1"/>
  <c r="AA55" i="153"/>
  <c r="AB91" i="153"/>
  <c r="AA91" i="153" s="1"/>
  <c r="U60" i="152"/>
  <c r="U59" i="152" s="1"/>
  <c r="V59" i="152"/>
  <c r="C37" i="152"/>
  <c r="C35" i="152" s="1"/>
  <c r="D35" i="152"/>
  <c r="D34" i="152" s="1"/>
  <c r="H17" i="33"/>
  <c r="J17" i="4"/>
  <c r="J17" i="33" s="1"/>
  <c r="H66" i="4"/>
  <c r="O68" i="150"/>
  <c r="N69" i="150"/>
  <c r="N68" i="150" s="1"/>
  <c r="N61" i="150" s="1"/>
  <c r="N57" i="150" s="1"/>
  <c r="BK21" i="43"/>
  <c r="BK19" i="43" s="1"/>
  <c r="BL19" i="43"/>
  <c r="G51" i="153"/>
  <c r="F51" i="153" s="1"/>
  <c r="F47" i="153"/>
  <c r="H13" i="151"/>
  <c r="Y66" i="153"/>
  <c r="Y66" i="152"/>
  <c r="AO43" i="4"/>
  <c r="Y59" i="39"/>
  <c r="X59" i="39" s="1"/>
  <c r="AG43" i="4"/>
  <c r="BO43" i="5" s="1"/>
  <c r="V59" i="6"/>
  <c r="U59" i="6" s="1"/>
  <c r="V59" i="7"/>
  <c r="U59" i="7" s="1"/>
  <c r="Y59" i="38"/>
  <c r="X59" i="38" s="1"/>
  <c r="X82" i="153"/>
  <c r="AB57" i="153"/>
  <c r="AB57" i="152"/>
  <c r="AA57" i="152" s="1"/>
  <c r="AB50" i="38"/>
  <c r="AA50" i="38" s="1"/>
  <c r="AL31" i="4"/>
  <c r="Y50" i="6"/>
  <c r="Y50" i="7"/>
  <c r="X50" i="7" s="1"/>
  <c r="AB50" i="39"/>
  <c r="AW45" i="150"/>
  <c r="AW11" i="150" s="1"/>
  <c r="AQ11" i="150"/>
  <c r="BM34" i="88"/>
  <c r="BM33" i="88" s="1"/>
  <c r="BM31" i="88" s="1"/>
  <c r="BN34" i="88"/>
  <c r="BN33" i="88" s="1"/>
  <c r="BN31" i="88" s="1"/>
  <c r="AO38" i="151"/>
  <c r="AL38" i="151" s="1"/>
  <c r="AG38" i="151"/>
  <c r="AI38" i="151" s="1"/>
  <c r="BL51" i="43"/>
  <c r="BK51" i="43" s="1"/>
  <c r="O51" i="150"/>
  <c r="G11" i="43"/>
  <c r="G10" i="43" s="1"/>
  <c r="BL50" i="43"/>
  <c r="BK50" i="43" s="1"/>
  <c r="O50" i="150"/>
  <c r="G15" i="153"/>
  <c r="F15" i="153" s="1"/>
  <c r="G15" i="152"/>
  <c r="AO69" i="88"/>
  <c r="Q39" i="151"/>
  <c r="M39" i="151" s="1"/>
  <c r="K56" i="153"/>
  <c r="K56" i="152"/>
  <c r="H21" i="14"/>
  <c r="Y66" i="46"/>
  <c r="Y66" i="45"/>
  <c r="BB43" i="150"/>
  <c r="BC43" i="150"/>
  <c r="V67" i="153"/>
  <c r="U67" i="153" s="1"/>
  <c r="V67" i="152"/>
  <c r="U67" i="152" s="1"/>
  <c r="D35" i="45"/>
  <c r="D34" i="45" s="1"/>
  <c r="U14" i="151"/>
  <c r="R14" i="151" s="1"/>
  <c r="M38" i="153"/>
  <c r="L38" i="153" s="1"/>
  <c r="M38" i="152"/>
  <c r="L38" i="152" s="1"/>
  <c r="D39" i="47"/>
  <c r="D41" i="47" s="1"/>
  <c r="AD91" i="88"/>
  <c r="F40" i="34"/>
  <c r="M59" i="152"/>
  <c r="L59" i="152" s="1"/>
  <c r="G16" i="150"/>
  <c r="G13" i="150" s="1"/>
  <c r="BP16" i="150"/>
  <c r="H13" i="150"/>
  <c r="C37" i="153"/>
  <c r="C35" i="153" s="1"/>
  <c r="D35" i="153"/>
  <c r="D34" i="153" s="1"/>
  <c r="BP42" i="150"/>
  <c r="BO42" i="150" s="1"/>
  <c r="U31" i="16"/>
  <c r="BN31" i="5"/>
  <c r="V31" i="16" s="1"/>
  <c r="F29" i="152"/>
  <c r="G28" i="152"/>
  <c r="F24" i="16"/>
  <c r="F38" i="16" s="1"/>
  <c r="AB82" i="153"/>
  <c r="AA82" i="153" s="1"/>
  <c r="AA37" i="153"/>
  <c r="D59" i="152"/>
  <c r="C60" i="152"/>
  <c r="AA81" i="152"/>
  <c r="AA80" i="152" s="1"/>
  <c r="AB80" i="152"/>
  <c r="AS60" i="150"/>
  <c r="AR60" i="150" s="1"/>
  <c r="AU60" i="150"/>
  <c r="AY60" i="150" s="1"/>
  <c r="AX60" i="150" s="1"/>
  <c r="V38" i="46"/>
  <c r="U38" i="46" s="1"/>
  <c r="AG13" i="44"/>
  <c r="V38" i="45"/>
  <c r="U38" i="45" s="1"/>
  <c r="H10" i="60"/>
  <c r="D116" i="60"/>
  <c r="C116" i="60" s="1"/>
  <c r="Y84" i="39"/>
  <c r="X84" i="39" s="1"/>
  <c r="X50" i="39"/>
  <c r="AO37" i="151"/>
  <c r="AL37" i="151" s="1"/>
  <c r="AG37" i="151"/>
  <c r="AI37" i="151" s="1"/>
  <c r="G81" i="152"/>
  <c r="AX60" i="43"/>
  <c r="Y20" i="45"/>
  <c r="Y20" i="46"/>
  <c r="X20" i="46" s="1"/>
  <c r="M11" i="150"/>
  <c r="S60" i="46"/>
  <c r="R60" i="46" s="1"/>
  <c r="S60" i="45"/>
  <c r="C10" i="44"/>
  <c r="C13" i="151"/>
  <c r="C11" i="151" s="1"/>
  <c r="I9" i="47"/>
  <c r="L9" i="47" s="1"/>
  <c r="AS12" i="41"/>
  <c r="O14" i="44"/>
  <c r="C37" i="154"/>
  <c r="D15" i="151"/>
  <c r="O15" i="151" s="1"/>
  <c r="W56" i="89"/>
  <c r="N45" i="150"/>
  <c r="BP45" i="150"/>
  <c r="BO45" i="150" s="1"/>
  <c r="BB13" i="5"/>
  <c r="BH13" i="5" s="1"/>
  <c r="D35" i="154"/>
  <c r="V64" i="153"/>
  <c r="U64" i="153" s="1"/>
  <c r="V64" i="152"/>
  <c r="U64" i="152" s="1"/>
  <c r="G96" i="88"/>
  <c r="G91" i="88"/>
  <c r="G95" i="88" s="1"/>
  <c r="G94" i="88"/>
  <c r="G93" i="88"/>
  <c r="K10" i="150"/>
  <c r="BK16" i="43"/>
  <c r="BL13" i="43"/>
  <c r="BH16" i="1"/>
  <c r="G13" i="1"/>
  <c r="BH13" i="1" s="1"/>
  <c r="F11" i="151"/>
  <c r="F10" i="151" s="1"/>
  <c r="BB34" i="150"/>
  <c r="BC34" i="150"/>
  <c r="Q30" i="150"/>
  <c r="Y29" i="4"/>
  <c r="BK29" i="5"/>
  <c r="BL29" i="5" s="1"/>
  <c r="AM64" i="1"/>
  <c r="BM66" i="41"/>
  <c r="BN66" i="41" s="1"/>
  <c r="BM64" i="3"/>
  <c r="BN64" i="3" s="1"/>
  <c r="O26" i="39"/>
  <c r="S26" i="39"/>
  <c r="R26" i="39" s="1"/>
  <c r="G28" i="153"/>
  <c r="F29" i="153"/>
  <c r="F28" i="153" s="1"/>
  <c r="G21" i="150"/>
  <c r="G19" i="150" s="1"/>
  <c r="BP21" i="150"/>
  <c r="BO21" i="150" s="1"/>
  <c r="AV9" i="5"/>
  <c r="AV50" i="5" s="1"/>
  <c r="AV53" i="5"/>
  <c r="F37" i="152"/>
  <c r="C60" i="153"/>
  <c r="D59" i="153"/>
  <c r="U66" i="152"/>
  <c r="U65" i="152" s="1"/>
  <c r="V65" i="152"/>
  <c r="U50" i="6"/>
  <c r="V84" i="6"/>
  <c r="U84" i="6" s="1"/>
  <c r="X57" i="153"/>
  <c r="Y93" i="153"/>
  <c r="X93" i="153" s="1"/>
  <c r="AR60" i="43"/>
  <c r="V20" i="46"/>
  <c r="U20" i="46" s="1"/>
  <c r="V20" i="45"/>
  <c r="BN11" i="150"/>
  <c r="C34" i="152"/>
  <c r="E33" i="152"/>
  <c r="R65" i="86"/>
  <c r="R60" i="86"/>
  <c r="R71" i="86"/>
  <c r="J96" i="43"/>
  <c r="J92" i="43"/>
  <c r="L11" i="150"/>
  <c r="Q7" i="154"/>
  <c r="R8" i="154"/>
  <c r="D10" i="150"/>
  <c r="D98" i="150" s="1"/>
  <c r="BB4" i="41"/>
  <c r="AW107" i="41"/>
  <c r="E10" i="152"/>
  <c r="E11" i="152" s="1"/>
  <c r="H11" i="150"/>
  <c r="H82" i="150" s="1"/>
  <c r="AZ93" i="88"/>
  <c r="AZ96" i="88"/>
  <c r="AZ94" i="88"/>
  <c r="AZ91" i="88"/>
  <c r="AW97" i="88"/>
  <c r="BB37" i="86"/>
  <c r="BB9" i="86" s="1"/>
  <c r="BI37" i="86"/>
  <c r="AZ81" i="88"/>
  <c r="BA81" i="88"/>
  <c r="AZ73" i="88"/>
  <c r="AZ69" i="88"/>
  <c r="Q53" i="139"/>
  <c r="AZ143" i="88"/>
  <c r="AZ137" i="88"/>
  <c r="AZ124" i="88"/>
  <c r="AZ127" i="88"/>
  <c r="AZ102" i="88"/>
  <c r="AZ130" i="88"/>
  <c r="AZ118" i="88"/>
  <c r="AZ149" i="88"/>
  <c r="AZ131" i="88"/>
  <c r="AZ155" i="88"/>
  <c r="AZ109" i="88"/>
  <c r="AZ112" i="88"/>
  <c r="AZ106" i="88"/>
  <c r="AZ146" i="88"/>
  <c r="AZ140" i="88"/>
  <c r="AZ152" i="88"/>
  <c r="AZ115" i="88"/>
  <c r="AZ121" i="88"/>
  <c r="AD71" i="86"/>
  <c r="AV51" i="88"/>
  <c r="M55" i="99"/>
  <c r="L55" i="99" s="1"/>
  <c r="I22" i="46"/>
  <c r="I22" i="152"/>
  <c r="E29" i="154"/>
  <c r="Q71" i="150"/>
  <c r="J22" i="152"/>
  <c r="J22" i="153"/>
  <c r="G22" i="153"/>
  <c r="AA80" i="13"/>
  <c r="Q11" i="13"/>
  <c r="Q10" i="13" s="1"/>
  <c r="Q193" i="13" s="1"/>
  <c r="AF205" i="13"/>
  <c r="E67" i="154"/>
  <c r="H67" i="154" s="1"/>
  <c r="J68" i="154" s="1"/>
  <c r="C60" i="66"/>
  <c r="AB207" i="13"/>
  <c r="AC205" i="13" s="1"/>
  <c r="AS17" i="13"/>
  <c r="P32" i="44"/>
  <c r="Z193" i="13"/>
  <c r="BA25" i="87"/>
  <c r="P77" i="86"/>
  <c r="N67" i="86"/>
  <c r="O8" i="86"/>
  <c r="N60" i="86"/>
  <c r="O10" i="86"/>
  <c r="N97" i="86"/>
  <c r="S70" i="152"/>
  <c r="R70" i="152" s="1"/>
  <c r="I70" i="152"/>
  <c r="S70" i="153"/>
  <c r="R70" i="153" s="1"/>
  <c r="I70" i="153"/>
  <c r="AI36" i="153"/>
  <c r="M67" i="154"/>
  <c r="O61" i="150"/>
  <c r="N77" i="150"/>
  <c r="M27" i="44"/>
  <c r="BC22" i="5" s="1"/>
  <c r="BD22" i="5" s="1"/>
  <c r="BF22" i="5" s="1"/>
  <c r="P28" i="151"/>
  <c r="M35" i="44"/>
  <c r="P36" i="151"/>
  <c r="M36" i="151" s="1"/>
  <c r="O36" i="151" s="1"/>
  <c r="AG49" i="151"/>
  <c r="AO49" i="151"/>
  <c r="G64" i="153"/>
  <c r="F64" i="153" s="1"/>
  <c r="G64" i="152"/>
  <c r="F64" i="152" s="1"/>
  <c r="K47" i="151"/>
  <c r="H47" i="151" s="1"/>
  <c r="J47" i="151" s="1"/>
  <c r="Z47" i="151"/>
  <c r="P64" i="153"/>
  <c r="P64" i="152"/>
  <c r="E56" i="154"/>
  <c r="D41" i="44"/>
  <c r="C58" i="154"/>
  <c r="C57" i="154" s="1"/>
  <c r="C56" i="154" s="1"/>
  <c r="D43" i="151"/>
  <c r="G60" i="152"/>
  <c r="K43" i="151"/>
  <c r="G60" i="153"/>
  <c r="R41" i="44"/>
  <c r="F59" i="154"/>
  <c r="C41" i="44"/>
  <c r="C43" i="151"/>
  <c r="P61" i="153"/>
  <c r="P59" i="153" s="1"/>
  <c r="P61" i="152"/>
  <c r="Z44" i="151"/>
  <c r="R44" i="151"/>
  <c r="R42" i="151" s="1"/>
  <c r="U42" i="151"/>
  <c r="AC70" i="150"/>
  <c r="G28" i="154"/>
  <c r="G26" i="154" s="1"/>
  <c r="AG69" i="43"/>
  <c r="AC69" i="150"/>
  <c r="Z28" i="46"/>
  <c r="F26" i="154"/>
  <c r="AA68" i="150"/>
  <c r="Z69" i="150"/>
  <c r="Z68" i="150" s="1"/>
  <c r="U61" i="150"/>
  <c r="U87" i="150" s="1"/>
  <c r="T87" i="150"/>
  <c r="T57" i="150"/>
  <c r="G65" i="150"/>
  <c r="G61" i="150" s="1"/>
  <c r="G57" i="150" s="1"/>
  <c r="H61" i="150"/>
  <c r="H57" i="150" s="1"/>
  <c r="W66" i="150"/>
  <c r="W65" i="150" s="1"/>
  <c r="F24" i="154"/>
  <c r="AG67" i="43"/>
  <c r="AC67" i="150"/>
  <c r="BC67" i="150" s="1"/>
  <c r="G25" i="154"/>
  <c r="H25" i="154" s="1"/>
  <c r="T61" i="43"/>
  <c r="H58" i="154"/>
  <c r="Z63" i="150"/>
  <c r="AA64" i="43"/>
  <c r="AA64" i="150" s="1"/>
  <c r="Z64" i="150" s="1"/>
  <c r="W64" i="150"/>
  <c r="W62" i="150" s="1"/>
  <c r="F22" i="154"/>
  <c r="AR43" i="151"/>
  <c r="F23" i="45"/>
  <c r="F22" i="45" s="1"/>
  <c r="AJ43" i="151"/>
  <c r="AB43" i="151"/>
  <c r="N30" i="150"/>
  <c r="BE31" i="150"/>
  <c r="AF30" i="150"/>
  <c r="BO31" i="150"/>
  <c r="BO30" i="150" s="1"/>
  <c r="BP30" i="150"/>
  <c r="I73" i="150"/>
  <c r="I81" i="150" s="1"/>
  <c r="P120" i="150"/>
  <c r="D99" i="43"/>
  <c r="D98" i="43"/>
  <c r="D97" i="43"/>
  <c r="D100" i="43"/>
  <c r="L10" i="43"/>
  <c r="H12" i="150"/>
  <c r="O122" i="150" s="1"/>
  <c r="N122" i="150" s="1"/>
  <c r="H10" i="150"/>
  <c r="O120" i="150" s="1"/>
  <c r="BO20" i="150"/>
  <c r="BP19" i="150"/>
  <c r="D100" i="150"/>
  <c r="T13" i="150"/>
  <c r="BM14" i="150"/>
  <c r="BH7" i="88"/>
  <c r="AT18" i="87"/>
  <c r="AV18" i="87" s="1"/>
  <c r="BC18" i="87"/>
  <c r="AY18" i="87" s="1"/>
  <c r="BF156" i="88"/>
  <c r="BC26" i="87"/>
  <c r="AY26" i="87" s="1"/>
  <c r="AT26" i="87"/>
  <c r="AV26" i="87" s="1"/>
  <c r="AH32" i="92"/>
  <c r="AH31" i="92" s="1"/>
  <c r="AJ33" i="92"/>
  <c r="AJ32" i="92" s="1"/>
  <c r="AJ31" i="92" s="1"/>
  <c r="AK33" i="92"/>
  <c r="AK32" i="92" s="1"/>
  <c r="AK31" i="92" s="1"/>
  <c r="BC10" i="86"/>
  <c r="AM96" i="89"/>
  <c r="R7" i="97"/>
  <c r="AO73" i="88"/>
  <c r="AA46" i="48"/>
  <c r="BA15" i="87"/>
  <c r="T13" i="99"/>
  <c r="V9" i="139"/>
  <c r="AX10" i="89"/>
  <c r="BA16" i="87"/>
  <c r="BG46" i="48"/>
  <c r="AA9" i="139"/>
  <c r="F20" i="152"/>
  <c r="X69" i="86"/>
  <c r="X72" i="86" s="1"/>
  <c r="W73" i="86" s="1"/>
  <c r="H26" i="152"/>
  <c r="H25" i="152" s="1"/>
  <c r="E25" i="152"/>
  <c r="E21" i="152" s="1"/>
  <c r="E18" i="152" s="1"/>
  <c r="C26" i="152"/>
  <c r="C25" i="152" s="1"/>
  <c r="C21" i="152" s="1"/>
  <c r="C18" i="152" s="1"/>
  <c r="G55" i="99"/>
  <c r="F55" i="99" s="1"/>
  <c r="H28" i="152"/>
  <c r="F30" i="152"/>
  <c r="Q5" i="99"/>
  <c r="Q45" i="99" s="1"/>
  <c r="P44" i="99"/>
  <c r="X60" i="86"/>
  <c r="AB30" i="99"/>
  <c r="AA30" i="99" s="1"/>
  <c r="N45" i="99"/>
  <c r="Y9" i="139"/>
  <c r="O15" i="140"/>
  <c r="T15" i="140" s="1"/>
  <c r="W15" i="140" s="1"/>
  <c r="L5" i="99"/>
  <c r="R13" i="99"/>
  <c r="M21" i="99"/>
  <c r="M6" i="99"/>
  <c r="M7" i="99" s="1"/>
  <c r="L44" i="99"/>
  <c r="F25" i="153"/>
  <c r="J25" i="152"/>
  <c r="J21" i="152" s="1"/>
  <c r="J18" i="152" s="1"/>
  <c r="I22" i="45"/>
  <c r="G21" i="45"/>
  <c r="M23" i="152"/>
  <c r="M23" i="153"/>
  <c r="J22" i="45"/>
  <c r="G25" i="152"/>
  <c r="G21" i="152" s="1"/>
  <c r="O60" i="153"/>
  <c r="M30" i="152"/>
  <c r="M30" i="153"/>
  <c r="W62" i="43"/>
  <c r="J25" i="153"/>
  <c r="I26" i="153"/>
  <c r="I25" i="153" s="1"/>
  <c r="I21" i="153" s="1"/>
  <c r="I18" i="153" s="1"/>
  <c r="G25" i="153"/>
  <c r="G21" i="153" s="1"/>
  <c r="G18" i="153" s="1"/>
  <c r="O60" i="152"/>
  <c r="P59" i="152"/>
  <c r="L59" i="153"/>
  <c r="C11" i="17"/>
  <c r="I8" i="14"/>
  <c r="P73" i="36"/>
  <c r="P12" i="36"/>
  <c r="P10" i="36"/>
  <c r="U8" i="14"/>
  <c r="C15" i="17"/>
  <c r="I10" i="47"/>
  <c r="K9" i="47"/>
  <c r="F8" i="14"/>
  <c r="C10" i="17"/>
  <c r="AD22" i="16"/>
  <c r="BE12" i="3"/>
  <c r="BE10" i="3"/>
  <c r="Q65" i="22"/>
  <c r="Q64" i="22" s="1"/>
  <c r="R64" i="22"/>
  <c r="R11" i="22" s="1"/>
  <c r="R10" i="22" s="1"/>
  <c r="C13" i="33"/>
  <c r="C11" i="4"/>
  <c r="C54" i="4" s="1"/>
  <c r="AE10" i="1"/>
  <c r="AE70" i="1" s="1"/>
  <c r="AE12" i="1"/>
  <c r="P61" i="45"/>
  <c r="O61" i="45" s="1"/>
  <c r="W43" i="44"/>
  <c r="P61" i="46"/>
  <c r="O61" i="46" s="1"/>
  <c r="AE43" i="44"/>
  <c r="G10" i="47"/>
  <c r="M9" i="47"/>
  <c r="N9" i="47"/>
  <c r="P22" i="9"/>
  <c r="N50" i="9"/>
  <c r="D26" i="14"/>
  <c r="AU21" i="37"/>
  <c r="AQ21" i="37" s="1"/>
  <c r="W21" i="37"/>
  <c r="F16" i="16"/>
  <c r="F11" i="16"/>
  <c r="H26" i="31"/>
  <c r="G62" i="1"/>
  <c r="H58" i="1"/>
  <c r="AM41" i="36"/>
  <c r="AL41" i="36" s="1"/>
  <c r="AF41" i="36"/>
  <c r="C53" i="6"/>
  <c r="D52" i="6"/>
  <c r="M44" i="39"/>
  <c r="L40" i="39"/>
  <c r="AD109" i="89"/>
  <c r="J62" i="36"/>
  <c r="O63" i="36"/>
  <c r="BB37" i="48"/>
  <c r="BD9" i="48"/>
  <c r="BE9" i="48"/>
  <c r="BF9" i="48"/>
  <c r="BB8" i="48"/>
  <c r="BS12" i="3"/>
  <c r="BS10" i="3"/>
  <c r="W64" i="96"/>
  <c r="Y67" i="96"/>
  <c r="W60" i="96"/>
  <c r="E96" i="7"/>
  <c r="E91" i="7"/>
  <c r="AX29" i="48"/>
  <c r="AT26" i="48"/>
  <c r="AW29" i="48"/>
  <c r="AV29" i="48"/>
  <c r="V22" i="89"/>
  <c r="V14" i="89"/>
  <c r="V147" i="89"/>
  <c r="V25" i="89"/>
  <c r="V21" i="89"/>
  <c r="V32" i="89"/>
  <c r="V24" i="89"/>
  <c r="V20" i="89"/>
  <c r="V23" i="89"/>
  <c r="V12" i="89"/>
  <c r="V11" i="89"/>
  <c r="V19" i="89"/>
  <c r="V35" i="89"/>
  <c r="W10" i="89"/>
  <c r="V150" i="89"/>
  <c r="V17" i="89"/>
  <c r="V28" i="89"/>
  <c r="T57" i="89"/>
  <c r="V26" i="89"/>
  <c r="V27" i="89"/>
  <c r="V29" i="89"/>
  <c r="V13" i="89"/>
  <c r="T8" i="89"/>
  <c r="V30" i="89"/>
  <c r="V10" i="89"/>
  <c r="V18" i="89"/>
  <c r="V33" i="89"/>
  <c r="P22" i="7"/>
  <c r="P22" i="38"/>
  <c r="AI60" i="1"/>
  <c r="AG59" i="1"/>
  <c r="P22" i="39"/>
  <c r="P22" i="6"/>
  <c r="AF60" i="1"/>
  <c r="BA152" i="88"/>
  <c r="BA112" i="88"/>
  <c r="BA115" i="88"/>
  <c r="BA124" i="88"/>
  <c r="BA131" i="88"/>
  <c r="BA140" i="88"/>
  <c r="BA137" i="88"/>
  <c r="BA109" i="88"/>
  <c r="BA106" i="88"/>
  <c r="BA143" i="88"/>
  <c r="BA127" i="88"/>
  <c r="BA149" i="88"/>
  <c r="BA130" i="88"/>
  <c r="BA146" i="88"/>
  <c r="BA121" i="88"/>
  <c r="BA118" i="88"/>
  <c r="BA102" i="88"/>
  <c r="BA155" i="88"/>
  <c r="C36" i="6"/>
  <c r="D34" i="6"/>
  <c r="D33" i="6" s="1"/>
  <c r="C36" i="38"/>
  <c r="C34" i="38" s="1"/>
  <c r="D34" i="38"/>
  <c r="D33" i="38" s="1"/>
  <c r="D22" i="63"/>
  <c r="BD41" i="5"/>
  <c r="BD39" i="5" s="1"/>
  <c r="BC39" i="5"/>
  <c r="BC35" i="5" s="1"/>
  <c r="M32" i="16" s="1"/>
  <c r="O32" i="16" s="1"/>
  <c r="CC10" i="47"/>
  <c r="CF9" i="47"/>
  <c r="CE9" i="47"/>
  <c r="AF62" i="95"/>
  <c r="R62" i="95"/>
  <c r="Q48" i="22"/>
  <c r="Q90" i="22" s="1"/>
  <c r="Q88" i="22"/>
  <c r="K33" i="47"/>
  <c r="L33" i="47"/>
  <c r="BB81" i="88"/>
  <c r="BC69" i="88"/>
  <c r="BD34" i="41"/>
  <c r="BE34" i="41"/>
  <c r="BE30" i="41" s="1"/>
  <c r="BC30" i="41"/>
  <c r="O60" i="6"/>
  <c r="O58" i="6" s="1"/>
  <c r="P58" i="6"/>
  <c r="N70" i="6"/>
  <c r="T42" i="39"/>
  <c r="Q78" i="39"/>
  <c r="O34" i="6"/>
  <c r="Y73" i="6"/>
  <c r="X73" i="6" s="1"/>
  <c r="X36" i="6"/>
  <c r="V12" i="36"/>
  <c r="V82" i="36" s="1"/>
  <c r="V10" i="36"/>
  <c r="V70" i="36" s="1"/>
  <c r="V80" i="36"/>
  <c r="V73" i="36"/>
  <c r="BL61" i="3"/>
  <c r="AS10" i="41"/>
  <c r="AS50" i="41"/>
  <c r="AS46" i="41"/>
  <c r="AS43" i="41"/>
  <c r="AS40" i="41"/>
  <c r="AS41" i="41"/>
  <c r="AS37" i="41"/>
  <c r="AS44" i="41"/>
  <c r="AS47" i="41"/>
  <c r="AS38" i="41"/>
  <c r="AS42" i="41"/>
  <c r="AS36" i="41"/>
  <c r="AS19" i="41"/>
  <c r="AS51" i="41"/>
  <c r="AS39" i="41"/>
  <c r="AS25" i="41"/>
  <c r="AS49" i="41"/>
  <c r="AS13" i="41"/>
  <c r="AS45" i="41"/>
  <c r="M13" i="33"/>
  <c r="O13" i="4"/>
  <c r="O13" i="33" s="1"/>
  <c r="M11" i="4"/>
  <c r="T13" i="4"/>
  <c r="J21" i="15"/>
  <c r="DI28" i="51"/>
  <c r="C7" i="14"/>
  <c r="C8" i="14" s="1"/>
  <c r="O34" i="38"/>
  <c r="R35" i="38"/>
  <c r="AZ9" i="5"/>
  <c r="AZ50" i="5" s="1"/>
  <c r="AZ53" i="5"/>
  <c r="AZ55" i="5" s="1"/>
  <c r="O15" i="31"/>
  <c r="N40" i="1"/>
  <c r="L78" i="6"/>
  <c r="I47" i="100"/>
  <c r="I49" i="100"/>
  <c r="I6" i="100"/>
  <c r="I56" i="100" s="1"/>
  <c r="I57" i="100" s="1"/>
  <c r="I59" i="100" s="1"/>
  <c r="N57" i="36"/>
  <c r="N56" i="36" s="1"/>
  <c r="O56" i="36"/>
  <c r="AD54" i="89"/>
  <c r="AF31" i="95"/>
  <c r="AE31" i="95"/>
  <c r="AC31" i="95"/>
  <c r="AD31" i="95"/>
  <c r="X28" i="95"/>
  <c r="BL68" i="41"/>
  <c r="BK67" i="41"/>
  <c r="AD96" i="89"/>
  <c r="V21" i="16"/>
  <c r="J42" i="4"/>
  <c r="J34" i="33" s="1"/>
  <c r="H34" i="33"/>
  <c r="V27" i="14"/>
  <c r="T27" i="14"/>
  <c r="D56" i="38"/>
  <c r="D58" i="35"/>
  <c r="D58" i="34"/>
  <c r="D56" i="7"/>
  <c r="F39" i="4"/>
  <c r="F31" i="33" s="1"/>
  <c r="K40" i="4"/>
  <c r="D40" i="4"/>
  <c r="D56" i="6"/>
  <c r="F32" i="33"/>
  <c r="D56" i="39"/>
  <c r="C40" i="4"/>
  <c r="C36" i="4"/>
  <c r="C29" i="33"/>
  <c r="K29" i="33"/>
  <c r="G53" i="38"/>
  <c r="G55" i="34"/>
  <c r="G53" i="7"/>
  <c r="G53" i="39"/>
  <c r="G55" i="35"/>
  <c r="G53" i="6"/>
  <c r="K36" i="4"/>
  <c r="H37" i="4"/>
  <c r="V57" i="39"/>
  <c r="U57" i="39" s="1"/>
  <c r="AJ41" i="4"/>
  <c r="S57" i="7"/>
  <c r="R57" i="7" s="1"/>
  <c r="AB41" i="4"/>
  <c r="BM41" i="5" s="1"/>
  <c r="V57" i="38"/>
  <c r="U57" i="38" s="1"/>
  <c r="S57" i="6"/>
  <c r="R57" i="6" s="1"/>
  <c r="EJ40" i="47"/>
  <c r="CO10" i="48"/>
  <c r="L40" i="7"/>
  <c r="M44" i="7"/>
  <c r="O52" i="6"/>
  <c r="U11" i="36"/>
  <c r="G62" i="36"/>
  <c r="G58" i="36" s="1"/>
  <c r="G55" i="36" s="1"/>
  <c r="H58" i="36"/>
  <c r="H55" i="36" s="1"/>
  <c r="H70" i="36" s="1"/>
  <c r="H72" i="36" s="1"/>
  <c r="K73" i="89"/>
  <c r="D14" i="33"/>
  <c r="O14" i="4"/>
  <c r="O14" i="33" s="1"/>
  <c r="CD41" i="47"/>
  <c r="CD44" i="47" s="1"/>
  <c r="C25" i="73"/>
  <c r="H24" i="62"/>
  <c r="C24" i="62"/>
  <c r="C21" i="62" s="1"/>
  <c r="C34" i="72"/>
  <c r="N50" i="1"/>
  <c r="G15" i="34"/>
  <c r="F15" i="34" s="1"/>
  <c r="G15" i="38"/>
  <c r="G15" i="35"/>
  <c r="F15" i="35" s="1"/>
  <c r="G15" i="39"/>
  <c r="F15" i="39" s="1"/>
  <c r="O17" i="31"/>
  <c r="G15" i="7"/>
  <c r="G15" i="6"/>
  <c r="F15" i="6" s="1"/>
  <c r="N65" i="87"/>
  <c r="Y64" i="22"/>
  <c r="AD65" i="22"/>
  <c r="AD64" i="22" s="1"/>
  <c r="Q11" i="43"/>
  <c r="C15" i="57"/>
  <c r="X30" i="43"/>
  <c r="S12" i="94"/>
  <c r="F21" i="62"/>
  <c r="O60" i="7"/>
  <c r="O58" i="7" s="1"/>
  <c r="P58" i="7"/>
  <c r="U7" i="87"/>
  <c r="W7" i="87" s="1"/>
  <c r="U89" i="87"/>
  <c r="AZ45" i="1"/>
  <c r="AY45" i="1" s="1"/>
  <c r="AX45" i="1" s="1"/>
  <c r="AS45" i="1"/>
  <c r="AR45" i="1" s="1"/>
  <c r="AJ77" i="3"/>
  <c r="AJ72" i="3" s="1"/>
  <c r="AJ84" i="3" s="1"/>
  <c r="AJ70" i="3"/>
  <c r="FE10" i="47"/>
  <c r="FC10" i="47"/>
  <c r="BL63" i="41"/>
  <c r="M119" i="89"/>
  <c r="O118" i="89"/>
  <c r="BI17" i="5"/>
  <c r="Q26" i="16" s="1"/>
  <c r="BJ18" i="5"/>
  <c r="BJ17" i="5" s="1"/>
  <c r="R26" i="16" s="1"/>
  <c r="C39" i="46"/>
  <c r="J83" i="46"/>
  <c r="I83" i="46" s="1"/>
  <c r="GA28" i="51"/>
  <c r="O21" i="15"/>
  <c r="P83" i="39"/>
  <c r="O83" i="39" s="1"/>
  <c r="S49" i="39"/>
  <c r="R49" i="39" s="1"/>
  <c r="O49" i="39"/>
  <c r="AB74" i="89"/>
  <c r="AK74" i="89"/>
  <c r="AJ74" i="89"/>
  <c r="C35" i="78"/>
  <c r="C32" i="78" s="1"/>
  <c r="W34" i="62"/>
  <c r="W31" i="62" s="1"/>
  <c r="D40" i="37"/>
  <c r="C40" i="37"/>
  <c r="C39" i="37" s="1"/>
  <c r="K40" i="37"/>
  <c r="F39" i="37"/>
  <c r="F35" i="37" s="1"/>
  <c r="F9" i="37" s="1"/>
  <c r="R35" i="39"/>
  <c r="R34" i="39" s="1"/>
  <c r="S34" i="39"/>
  <c r="F28" i="33"/>
  <c r="AD122" i="89"/>
  <c r="AR35" i="5"/>
  <c r="W8" i="87"/>
  <c r="G10" i="93"/>
  <c r="AO121" i="88"/>
  <c r="AO106" i="88"/>
  <c r="AO112" i="88"/>
  <c r="AO146" i="88"/>
  <c r="AO155" i="88"/>
  <c r="AO109" i="88"/>
  <c r="AO124" i="88"/>
  <c r="AQ102" i="88"/>
  <c r="AW102" i="88" s="1"/>
  <c r="AO140" i="88"/>
  <c r="AO115" i="88"/>
  <c r="AO118" i="88"/>
  <c r="AO152" i="88"/>
  <c r="AO149" i="88"/>
  <c r="AO143" i="88"/>
  <c r="AO127" i="88"/>
  <c r="AO130" i="88"/>
  <c r="AO131" i="88"/>
  <c r="AO137" i="88"/>
  <c r="AM68" i="89"/>
  <c r="CP30" i="47"/>
  <c r="BJ10" i="48"/>
  <c r="C60" i="45"/>
  <c r="D59" i="45"/>
  <c r="AQ46" i="1"/>
  <c r="AM46" i="1"/>
  <c r="AL46" i="1" s="1"/>
  <c r="AK11" i="1"/>
  <c r="N12" i="22"/>
  <c r="S13" i="22"/>
  <c r="W15" i="62"/>
  <c r="E17" i="62"/>
  <c r="AT55" i="3"/>
  <c r="AH77" i="3"/>
  <c r="AH70" i="3"/>
  <c r="S54" i="38"/>
  <c r="O54" i="38"/>
  <c r="R54" i="38" s="1"/>
  <c r="Y27" i="37"/>
  <c r="AS27" i="37"/>
  <c r="Z19" i="6"/>
  <c r="BL62" i="41"/>
  <c r="BK61" i="41"/>
  <c r="X73" i="39"/>
  <c r="BG17" i="88"/>
  <c r="BG11" i="88"/>
  <c r="BG14" i="88"/>
  <c r="BG16" i="88"/>
  <c r="BG21" i="88"/>
  <c r="BG24" i="88"/>
  <c r="BG15" i="88"/>
  <c r="BE50" i="88"/>
  <c r="BG25" i="88"/>
  <c r="BG7" i="88"/>
  <c r="BG13" i="88"/>
  <c r="BG18" i="88"/>
  <c r="BG27" i="88"/>
  <c r="BG28" i="88"/>
  <c r="BG26" i="88"/>
  <c r="BG19" i="88"/>
  <c r="BG12" i="88"/>
  <c r="BG10" i="88"/>
  <c r="BG23" i="88"/>
  <c r="BG8" i="88"/>
  <c r="BG22" i="88"/>
  <c r="BG20" i="88"/>
  <c r="O17" i="37"/>
  <c r="BY64" i="3"/>
  <c r="BZ64" i="3" s="1"/>
  <c r="BF64" i="3"/>
  <c r="C36" i="34"/>
  <c r="C34" i="34" s="1"/>
  <c r="D34" i="34"/>
  <c r="D33" i="34" s="1"/>
  <c r="Y30" i="99"/>
  <c r="X30" i="99" s="1"/>
  <c r="Y80" i="45"/>
  <c r="X81" i="45"/>
  <c r="X80" i="45" s="1"/>
  <c r="BB59" i="3"/>
  <c r="BY60" i="3"/>
  <c r="BZ60" i="3" s="1"/>
  <c r="BF60" i="3"/>
  <c r="BF59" i="3" s="1"/>
  <c r="AV57" i="41"/>
  <c r="K12" i="51"/>
  <c r="K11" i="51" s="1"/>
  <c r="K10" i="51" s="1"/>
  <c r="BD4" i="3"/>
  <c r="BB96" i="88"/>
  <c r="BB93" i="88"/>
  <c r="BB91" i="88"/>
  <c r="BB94" i="88"/>
  <c r="L113" i="89"/>
  <c r="T113" i="89" s="1"/>
  <c r="S60" i="38"/>
  <c r="O60" i="38"/>
  <c r="P58" i="38"/>
  <c r="S58" i="38" s="1"/>
  <c r="AU18" i="37"/>
  <c r="AA17" i="37"/>
  <c r="AA10" i="37" s="1"/>
  <c r="AA9" i="37" s="1"/>
  <c r="O72" i="6"/>
  <c r="O71" i="6" s="1"/>
  <c r="P71" i="6"/>
  <c r="AA36" i="39"/>
  <c r="AB73" i="39"/>
  <c r="AA73" i="39" s="1"/>
  <c r="D17" i="14"/>
  <c r="E15" i="14"/>
  <c r="Q25" i="16"/>
  <c r="AA119" i="89"/>
  <c r="BM37" i="5"/>
  <c r="I80" i="6"/>
  <c r="I77" i="6" s="1"/>
  <c r="J77" i="6"/>
  <c r="AH43" i="36"/>
  <c r="AA43" i="36"/>
  <c r="AB11" i="36"/>
  <c r="P23" i="6"/>
  <c r="O23" i="6" s="1"/>
  <c r="P23" i="38"/>
  <c r="P23" i="7"/>
  <c r="O23" i="7" s="1"/>
  <c r="AF61" i="1"/>
  <c r="AI61" i="1"/>
  <c r="P23" i="39"/>
  <c r="J55" i="99"/>
  <c r="N68" i="22"/>
  <c r="S69" i="22"/>
  <c r="S68" i="22" s="1"/>
  <c r="I36" i="39"/>
  <c r="I34" i="39" s="1"/>
  <c r="J34" i="39"/>
  <c r="J33" i="39" s="1"/>
  <c r="J73" i="39"/>
  <c r="M73" i="39"/>
  <c r="G25" i="46"/>
  <c r="G21" i="46" s="1"/>
  <c r="F26" i="46"/>
  <c r="F25" i="46" s="1"/>
  <c r="F21" i="46" s="1"/>
  <c r="U73" i="6"/>
  <c r="AL10" i="47"/>
  <c r="AK10" i="47"/>
  <c r="AC19" i="39"/>
  <c r="AQ28" i="51"/>
  <c r="E21" i="15"/>
  <c r="CG10" i="47"/>
  <c r="CH10" i="47"/>
  <c r="L52" i="7"/>
  <c r="N21" i="31"/>
  <c r="N56" i="1"/>
  <c r="C14" i="17"/>
  <c r="R8" i="14"/>
  <c r="Q9" i="4"/>
  <c r="Q9" i="33" s="1"/>
  <c r="Q10" i="33"/>
  <c r="AV21" i="89"/>
  <c r="AV36" i="89"/>
  <c r="AV44" i="89"/>
  <c r="AV22" i="89"/>
  <c r="AV72" i="89"/>
  <c r="AV83" i="89"/>
  <c r="AV129" i="89"/>
  <c r="AV105" i="89"/>
  <c r="AV69" i="89"/>
  <c r="AV63" i="89"/>
  <c r="AV55" i="89"/>
  <c r="AV138" i="89"/>
  <c r="AV82" i="89"/>
  <c r="AV102" i="89"/>
  <c r="AV95" i="89"/>
  <c r="AV106" i="89"/>
  <c r="AV97" i="89"/>
  <c r="AV58" i="89"/>
  <c r="AV80" i="89"/>
  <c r="AV137" i="89"/>
  <c r="AV119" i="89"/>
  <c r="AV133" i="89"/>
  <c r="AV131" i="89"/>
  <c r="AV27" i="89"/>
  <c r="AV86" i="89"/>
  <c r="AV24" i="89"/>
  <c r="AV68" i="89"/>
  <c r="AV76" i="89"/>
  <c r="AV66" i="89"/>
  <c r="AV14" i="89"/>
  <c r="AV71" i="89"/>
  <c r="AV62" i="89"/>
  <c r="AV54" i="89"/>
  <c r="AV123" i="89"/>
  <c r="AV53" i="89"/>
  <c r="AV47" i="89"/>
  <c r="AV28" i="89"/>
  <c r="AV15" i="89"/>
  <c r="AV57" i="89"/>
  <c r="AV67" i="89"/>
  <c r="AV125" i="89"/>
  <c r="AV87" i="89"/>
  <c r="AV18" i="89"/>
  <c r="AV111" i="89"/>
  <c r="AV139" i="89"/>
  <c r="AV45" i="89"/>
  <c r="AV31" i="89"/>
  <c r="AV73" i="89"/>
  <c r="AV56" i="89"/>
  <c r="AV88" i="89"/>
  <c r="AV104" i="89"/>
  <c r="AV120" i="89"/>
  <c r="AV130" i="89"/>
  <c r="AV107" i="89"/>
  <c r="AV112" i="89"/>
  <c r="AV33" i="89"/>
  <c r="AV16" i="89"/>
  <c r="AV101" i="89"/>
  <c r="AV20" i="89"/>
  <c r="AV99" i="89"/>
  <c r="AV84" i="89"/>
  <c r="AV30" i="89"/>
  <c r="AV121" i="89"/>
  <c r="AV109" i="89"/>
  <c r="AV49" i="89"/>
  <c r="AV93" i="89"/>
  <c r="AV19" i="89"/>
  <c r="AV92" i="89"/>
  <c r="AV64" i="89"/>
  <c r="AV29" i="89"/>
  <c r="AV118" i="89"/>
  <c r="AV50" i="89"/>
  <c r="AV132" i="89"/>
  <c r="AV26" i="89"/>
  <c r="AV59" i="89"/>
  <c r="AV61" i="89"/>
  <c r="AV43" i="89"/>
  <c r="AV100" i="89"/>
  <c r="AV126" i="89"/>
  <c r="AV25" i="89"/>
  <c r="AV127" i="89"/>
  <c r="AV74" i="89"/>
  <c r="AV41" i="89"/>
  <c r="AV77" i="89"/>
  <c r="AV52" i="89"/>
  <c r="AV103" i="89"/>
  <c r="AV94" i="89"/>
  <c r="AV32" i="89"/>
  <c r="AV116" i="89"/>
  <c r="AV134" i="89"/>
  <c r="AV98" i="89"/>
  <c r="AV110" i="89"/>
  <c r="AV11" i="89"/>
  <c r="AV115" i="89"/>
  <c r="AV135" i="89"/>
  <c r="AV17" i="89"/>
  <c r="AV65" i="89"/>
  <c r="AV70" i="89"/>
  <c r="AV79" i="89"/>
  <c r="AV108" i="89"/>
  <c r="AV113" i="89"/>
  <c r="AV96" i="89"/>
  <c r="AV124" i="89"/>
  <c r="AV23" i="89"/>
  <c r="AV51" i="89"/>
  <c r="AV12" i="89"/>
  <c r="AV85" i="89"/>
  <c r="AV35" i="89"/>
  <c r="AV89" i="89"/>
  <c r="AV117" i="89"/>
  <c r="AV128" i="89"/>
  <c r="AV91" i="89"/>
  <c r="AV13" i="89"/>
  <c r="AV81" i="89"/>
  <c r="AV78" i="89"/>
  <c r="AV42" i="89"/>
  <c r="AV122" i="89"/>
  <c r="AV46" i="89"/>
  <c r="AV114" i="89"/>
  <c r="AV90" i="89"/>
  <c r="AV136" i="89"/>
  <c r="AV75" i="89"/>
  <c r="AV8" i="89"/>
  <c r="AV60" i="89"/>
  <c r="C14" i="45"/>
  <c r="G81" i="45"/>
  <c r="F81" i="45" s="1"/>
  <c r="J24" i="16"/>
  <c r="J38" i="16" s="1"/>
  <c r="AC56" i="95"/>
  <c r="AD56" i="95"/>
  <c r="Q56" i="95"/>
  <c r="R56" i="95"/>
  <c r="AC66" i="36"/>
  <c r="Z66" i="36"/>
  <c r="Z65" i="36" s="1"/>
  <c r="AA65" i="36"/>
  <c r="W27" i="6"/>
  <c r="W20" i="6" s="1"/>
  <c r="W18" i="6" s="1"/>
  <c r="Z28" i="6"/>
  <c r="Z27" i="6" s="1"/>
  <c r="Z20" i="6" s="1"/>
  <c r="AD48" i="89"/>
  <c r="J12" i="23"/>
  <c r="O42" i="7"/>
  <c r="AC29" i="39"/>
  <c r="AA29" i="39" s="1"/>
  <c r="X29" i="39"/>
  <c r="AA21" i="100"/>
  <c r="G13" i="17"/>
  <c r="Q25" i="14"/>
  <c r="Q7" i="14" s="1"/>
  <c r="C25" i="39"/>
  <c r="C24" i="39" s="1"/>
  <c r="D24" i="39"/>
  <c r="D20" i="39" s="1"/>
  <c r="D18" i="39" s="1"/>
  <c r="K71" i="86"/>
  <c r="H2" i="86"/>
  <c r="K60" i="86"/>
  <c r="K66" i="86" s="1"/>
  <c r="K67" i="86"/>
  <c r="K68" i="86"/>
  <c r="V9" i="47"/>
  <c r="J23" i="47"/>
  <c r="BQ32" i="5"/>
  <c r="BS32" i="5" s="1"/>
  <c r="AN32" i="4"/>
  <c r="X72" i="7"/>
  <c r="X71" i="7" s="1"/>
  <c r="Y71" i="7"/>
  <c r="D29" i="33"/>
  <c r="D36" i="4"/>
  <c r="D54" i="35"/>
  <c r="C55" i="35"/>
  <c r="BA60" i="36"/>
  <c r="AX60" i="36"/>
  <c r="O57" i="38"/>
  <c r="R57" i="38" s="1"/>
  <c r="S57" i="38"/>
  <c r="P38" i="92"/>
  <c r="D38" i="92" s="1"/>
  <c r="D39" i="92" s="1"/>
  <c r="D37" i="92"/>
  <c r="EJ27" i="47"/>
  <c r="L40" i="38"/>
  <c r="M44" i="38"/>
  <c r="AG45" i="36"/>
  <c r="AK45" i="36"/>
  <c r="AK11" i="36" s="1"/>
  <c r="AQ45" i="36"/>
  <c r="P6" i="100"/>
  <c r="P7" i="100" s="1"/>
  <c r="P49" i="100"/>
  <c r="P47" i="100"/>
  <c r="S45" i="100"/>
  <c r="P52" i="6"/>
  <c r="BB137" i="88"/>
  <c r="BB109" i="88"/>
  <c r="BB131" i="88"/>
  <c r="BB140" i="88"/>
  <c r="BB124" i="88"/>
  <c r="BB149" i="88"/>
  <c r="BB146" i="88"/>
  <c r="BB102" i="88"/>
  <c r="BB152" i="88"/>
  <c r="BB155" i="88"/>
  <c r="BB127" i="88"/>
  <c r="BB112" i="88"/>
  <c r="BB130" i="88"/>
  <c r="BB118" i="88"/>
  <c r="BB115" i="88"/>
  <c r="BB121" i="88"/>
  <c r="BC102" i="88"/>
  <c r="BB106" i="88"/>
  <c r="BB143" i="88"/>
  <c r="AT11" i="37"/>
  <c r="AQ13" i="37"/>
  <c r="BJ12" i="41"/>
  <c r="BJ10" i="41"/>
  <c r="D13" i="14"/>
  <c r="V34" i="43"/>
  <c r="V34" i="150" s="1"/>
  <c r="V30" i="150" s="1"/>
  <c r="F12" i="112"/>
  <c r="E12" i="17"/>
  <c r="N46" i="62"/>
  <c r="N42" i="14"/>
  <c r="N8" i="14"/>
  <c r="D17" i="63"/>
  <c r="BR39" i="47"/>
  <c r="BR41" i="47" s="1"/>
  <c r="BR44" i="47" s="1"/>
  <c r="BR10" i="47"/>
  <c r="AT9" i="48"/>
  <c r="DN3" i="47"/>
  <c r="DB29" i="47"/>
  <c r="DB32" i="47"/>
  <c r="N44" i="7"/>
  <c r="N33" i="7"/>
  <c r="N32" i="7" s="1"/>
  <c r="BP32" i="5"/>
  <c r="W27" i="16"/>
  <c r="D59" i="46"/>
  <c r="C60" i="46"/>
  <c r="C44" i="39"/>
  <c r="J80" i="39"/>
  <c r="G9" i="93"/>
  <c r="E33" i="62"/>
  <c r="Y24" i="37"/>
  <c r="AS24" i="37"/>
  <c r="AR11" i="5"/>
  <c r="AT58" i="3"/>
  <c r="H46" i="44"/>
  <c r="G64" i="46"/>
  <c r="F64" i="46" s="1"/>
  <c r="G64" i="45"/>
  <c r="F64" i="45" s="1"/>
  <c r="AD131" i="88"/>
  <c r="AA133" i="88"/>
  <c r="C35" i="74"/>
  <c r="C32" i="74" s="1"/>
  <c r="I31" i="62"/>
  <c r="I7" i="62" s="1"/>
  <c r="I8" i="62" s="1"/>
  <c r="K34" i="62"/>
  <c r="K31" i="62" s="1"/>
  <c r="K7" i="62" s="1"/>
  <c r="Y14" i="22"/>
  <c r="Y13" i="22" s="1"/>
  <c r="Y12" i="22" s="1"/>
  <c r="Y11" i="22" s="1"/>
  <c r="Y10" i="22" s="1"/>
  <c r="AD15" i="22"/>
  <c r="AD14" i="22" s="1"/>
  <c r="AD13" i="22" s="1"/>
  <c r="AD12" i="22" s="1"/>
  <c r="C36" i="7"/>
  <c r="C34" i="7" s="1"/>
  <c r="D34" i="7"/>
  <c r="D33" i="7" s="1"/>
  <c r="P16" i="140"/>
  <c r="M16" i="140"/>
  <c r="BY67" i="48"/>
  <c r="BY25" i="48"/>
  <c r="T9" i="62"/>
  <c r="E9" i="62" s="1"/>
  <c r="E13" i="62"/>
  <c r="N60" i="36"/>
  <c r="N59" i="36" s="1"/>
  <c r="O59" i="36"/>
  <c r="Z33" i="16"/>
  <c r="BT45" i="5"/>
  <c r="H12" i="19"/>
  <c r="H11" i="19" s="1"/>
  <c r="H17" i="19"/>
  <c r="X66" i="45"/>
  <c r="BA10" i="3"/>
  <c r="BC4" i="3" s="1"/>
  <c r="K9" i="16"/>
  <c r="BA12" i="3"/>
  <c r="U112" i="89"/>
  <c r="L23" i="47"/>
  <c r="K23" i="47"/>
  <c r="D36" i="37"/>
  <c r="AV84" i="3"/>
  <c r="N21" i="19"/>
  <c r="M20" i="19"/>
  <c r="BH51" i="1"/>
  <c r="N18" i="31"/>
  <c r="BH18" i="5"/>
  <c r="BB17" i="5"/>
  <c r="U19" i="6"/>
  <c r="R53" i="6"/>
  <c r="AS14" i="37"/>
  <c r="J14" i="37"/>
  <c r="L8" i="97"/>
  <c r="L23" i="97"/>
  <c r="Q37" i="97"/>
  <c r="K61" i="97"/>
  <c r="V36" i="97"/>
  <c r="L17" i="97"/>
  <c r="L19" i="97"/>
  <c r="L11" i="97"/>
  <c r="Q39" i="97"/>
  <c r="L24" i="97"/>
  <c r="L12" i="97"/>
  <c r="L26" i="97"/>
  <c r="L36" i="97"/>
  <c r="L16" i="97"/>
  <c r="L28" i="97"/>
  <c r="V39" i="97"/>
  <c r="L7" i="97"/>
  <c r="L10" i="97"/>
  <c r="L20" i="97"/>
  <c r="L25" i="97"/>
  <c r="L30" i="97"/>
  <c r="Q36" i="97"/>
  <c r="P84" i="97"/>
  <c r="L27" i="97"/>
  <c r="L39" i="97"/>
  <c r="L21" i="97"/>
  <c r="V37" i="97"/>
  <c r="L35" i="97"/>
  <c r="L9" i="97"/>
  <c r="L18" i="97"/>
  <c r="Q35" i="97"/>
  <c r="L29" i="97"/>
  <c r="L22" i="97"/>
  <c r="L37" i="97"/>
  <c r="T73" i="36"/>
  <c r="T12" i="36"/>
  <c r="T10" i="36"/>
  <c r="D35" i="46"/>
  <c r="D34" i="46" s="1"/>
  <c r="AW132" i="89"/>
  <c r="AW105" i="89"/>
  <c r="AW127" i="89"/>
  <c r="AW109" i="89"/>
  <c r="AW94" i="89"/>
  <c r="AW89" i="89"/>
  <c r="AW75" i="89"/>
  <c r="AW68" i="89"/>
  <c r="AW43" i="89"/>
  <c r="AW71" i="89"/>
  <c r="AW124" i="89"/>
  <c r="AW63" i="89"/>
  <c r="AW139" i="89"/>
  <c r="AW36" i="89"/>
  <c r="AW19" i="89"/>
  <c r="AW135" i="89"/>
  <c r="AW136" i="89"/>
  <c r="AW110" i="89"/>
  <c r="AW103" i="89"/>
  <c r="AW85" i="89"/>
  <c r="AW81" i="89"/>
  <c r="AW99" i="89"/>
  <c r="AW55" i="89"/>
  <c r="AW84" i="89"/>
  <c r="AW62" i="89"/>
  <c r="AW120" i="89"/>
  <c r="AW44" i="89"/>
  <c r="AW24" i="89"/>
  <c r="AW29" i="89"/>
  <c r="AW118" i="89"/>
  <c r="AW130" i="89"/>
  <c r="AW119" i="89"/>
  <c r="AW104" i="89"/>
  <c r="AW77" i="89"/>
  <c r="AW92" i="89"/>
  <c r="AW64" i="89"/>
  <c r="AW65" i="89"/>
  <c r="AW66" i="89"/>
  <c r="AW31" i="89"/>
  <c r="AW32" i="89"/>
  <c r="AW131" i="89"/>
  <c r="AW111" i="89"/>
  <c r="AW101" i="89"/>
  <c r="AW88" i="89"/>
  <c r="AW57" i="89"/>
  <c r="AW54" i="89"/>
  <c r="AW50" i="89"/>
  <c r="AW47" i="89"/>
  <c r="AW23" i="89"/>
  <c r="AW14" i="89"/>
  <c r="AW15" i="89"/>
  <c r="AW138" i="89"/>
  <c r="AW129" i="89"/>
  <c r="AW108" i="89"/>
  <c r="AW125" i="89"/>
  <c r="AW86" i="89"/>
  <c r="AW52" i="89"/>
  <c r="AW46" i="89"/>
  <c r="AW49" i="89"/>
  <c r="AW42" i="89"/>
  <c r="AW45" i="89"/>
  <c r="AW30" i="89"/>
  <c r="AW22" i="89"/>
  <c r="AW126" i="89"/>
  <c r="AW115" i="89"/>
  <c r="AW97" i="89"/>
  <c r="AW112" i="89"/>
  <c r="AW121" i="89"/>
  <c r="AW78" i="89"/>
  <c r="AW76" i="89"/>
  <c r="AW87" i="89"/>
  <c r="AW107" i="89"/>
  <c r="AW10" i="89"/>
  <c r="AW18" i="89"/>
  <c r="AW41" i="89"/>
  <c r="AW137" i="89"/>
  <c r="AW100" i="89"/>
  <c r="AW93" i="89"/>
  <c r="AW56" i="89"/>
  <c r="AW90" i="89"/>
  <c r="AW12" i="89"/>
  <c r="AW128" i="89"/>
  <c r="AW98" i="89"/>
  <c r="AW79" i="89"/>
  <c r="AW72" i="89"/>
  <c r="AW73" i="89"/>
  <c r="AW26" i="89"/>
  <c r="AW113" i="89"/>
  <c r="AW96" i="89"/>
  <c r="AW70" i="89"/>
  <c r="AW80" i="89"/>
  <c r="AW33" i="89"/>
  <c r="AW17" i="89"/>
  <c r="AW133" i="89"/>
  <c r="AW83" i="89"/>
  <c r="AW106" i="89"/>
  <c r="AW67" i="89"/>
  <c r="AW25" i="89"/>
  <c r="AW114" i="89"/>
  <c r="AW60" i="89"/>
  <c r="AW35" i="89"/>
  <c r="AW123" i="89"/>
  <c r="AW59" i="89"/>
  <c r="AW21" i="89"/>
  <c r="AW82" i="89"/>
  <c r="AW51" i="89"/>
  <c r="AW117" i="89"/>
  <c r="AW69" i="89"/>
  <c r="AW13" i="89"/>
  <c r="AW102" i="89"/>
  <c r="AW58" i="89"/>
  <c r="AW61" i="89"/>
  <c r="AW95" i="89"/>
  <c r="AW74" i="89"/>
  <c r="AW53" i="89"/>
  <c r="AW27" i="89"/>
  <c r="AW134" i="89"/>
  <c r="AW122" i="89"/>
  <c r="AW116" i="89"/>
  <c r="AW91" i="89"/>
  <c r="AW28" i="89"/>
  <c r="AV10" i="89"/>
  <c r="AW20" i="89"/>
  <c r="J73" i="6"/>
  <c r="I36" i="6"/>
  <c r="I34" i="6" s="1"/>
  <c r="J34" i="6"/>
  <c r="J33" i="6" s="1"/>
  <c r="M73" i="6"/>
  <c r="N21" i="15"/>
  <c r="FM28" i="51"/>
  <c r="AX10" i="47"/>
  <c r="AW10" i="47"/>
  <c r="AD15" i="16"/>
  <c r="AC15" i="16"/>
  <c r="BL45" i="43"/>
  <c r="BK45" i="43" s="1"/>
  <c r="N45" i="43"/>
  <c r="Y11" i="4"/>
  <c r="Y12" i="36"/>
  <c r="Y10" i="36"/>
  <c r="Y70" i="36" s="1"/>
  <c r="BT12" i="41"/>
  <c r="BT10" i="41"/>
  <c r="BU11" i="41" s="1"/>
  <c r="P73" i="1"/>
  <c r="P10" i="1"/>
  <c r="P11" i="31"/>
  <c r="P12" i="1"/>
  <c r="H24" i="16"/>
  <c r="H38" i="16" s="1"/>
  <c r="AD49" i="89"/>
  <c r="G57" i="39"/>
  <c r="F57" i="39" s="1"/>
  <c r="G57" i="6"/>
  <c r="F57" i="6" s="1"/>
  <c r="H41" i="4"/>
  <c r="G57" i="38"/>
  <c r="F57" i="38" s="1"/>
  <c r="G57" i="7"/>
  <c r="F57" i="7" s="1"/>
  <c r="G59" i="35"/>
  <c r="F59" i="35" s="1"/>
  <c r="G59" i="34"/>
  <c r="F59" i="34" s="1"/>
  <c r="K33" i="33"/>
  <c r="G10" i="17"/>
  <c r="O42" i="39"/>
  <c r="S42" i="39"/>
  <c r="R42" i="39" s="1"/>
  <c r="P78" i="39"/>
  <c r="AE30" i="99"/>
  <c r="AD30" i="99" s="1"/>
  <c r="D24" i="35"/>
  <c r="D20" i="35" s="1"/>
  <c r="D18" i="35" s="1"/>
  <c r="C25" i="35"/>
  <c r="C24" i="35" s="1"/>
  <c r="C20" i="35" s="1"/>
  <c r="C18" i="35" s="1"/>
  <c r="D24" i="6"/>
  <c r="D20" i="6" s="1"/>
  <c r="D18" i="6" s="1"/>
  <c r="C25" i="6"/>
  <c r="C24" i="6" s="1"/>
  <c r="C20" i="6" s="1"/>
  <c r="C18" i="6" s="1"/>
  <c r="EZ10" i="47"/>
  <c r="EY10" i="47"/>
  <c r="BJ33" i="5"/>
  <c r="R28" i="16" s="1"/>
  <c r="Q28" i="16"/>
  <c r="S57" i="39"/>
  <c r="R57" i="39" s="1"/>
  <c r="O57" i="39"/>
  <c r="EV29" i="47"/>
  <c r="EV27" i="47" s="1"/>
  <c r="EV32" i="47"/>
  <c r="AT48" i="47"/>
  <c r="AD39" i="48"/>
  <c r="AD35" i="48" s="1"/>
  <c r="AG35" i="48" s="1"/>
  <c r="G18" i="50"/>
  <c r="G13" i="50" s="1"/>
  <c r="G5" i="50" s="1"/>
  <c r="G31" i="50" s="1"/>
  <c r="R13" i="100"/>
  <c r="R5" i="100" s="1"/>
  <c r="O5" i="100"/>
  <c r="O45" i="100" s="1"/>
  <c r="G106" i="89"/>
  <c r="G117" i="89"/>
  <c r="I117" i="89" s="1"/>
  <c r="I119" i="89" s="1"/>
  <c r="G116" i="89"/>
  <c r="G110" i="89"/>
  <c r="I110" i="89" s="1"/>
  <c r="H106" i="89"/>
  <c r="G107" i="89"/>
  <c r="K107" i="89" s="1"/>
  <c r="D16" i="15"/>
  <c r="M11" i="37"/>
  <c r="T13" i="37"/>
  <c r="O13" i="37"/>
  <c r="U90" i="87"/>
  <c r="BS14" i="5"/>
  <c r="BJ14" i="5"/>
  <c r="BJ11" i="5" s="1"/>
  <c r="AL48" i="44"/>
  <c r="H34" i="62"/>
  <c r="C35" i="73"/>
  <c r="C34" i="62"/>
  <c r="C31" i="62" s="1"/>
  <c r="AH79" i="41"/>
  <c r="AH72" i="41"/>
  <c r="AT57" i="41"/>
  <c r="BU10" i="47"/>
  <c r="BV10" i="47"/>
  <c r="E39" i="95"/>
  <c r="G38" i="95"/>
  <c r="E38" i="95" s="1"/>
  <c r="K27" i="47"/>
  <c r="L27" i="47"/>
  <c r="AA30" i="100"/>
  <c r="AN13" i="4"/>
  <c r="BQ13" i="5"/>
  <c r="BR13" i="5" s="1"/>
  <c r="I36" i="38"/>
  <c r="I34" i="38" s="1"/>
  <c r="J34" i="38"/>
  <c r="J33" i="38" s="1"/>
  <c r="I33" i="38" s="1"/>
  <c r="E32" i="62"/>
  <c r="H31" i="62"/>
  <c r="G19" i="7"/>
  <c r="G19" i="46"/>
  <c r="F19" i="46" s="1"/>
  <c r="O20" i="31"/>
  <c r="G19" i="39"/>
  <c r="G19" i="35"/>
  <c r="G19" i="38"/>
  <c r="G19" i="34"/>
  <c r="G19" i="6"/>
  <c r="P40" i="39"/>
  <c r="P33" i="39" s="1"/>
  <c r="P40" i="38"/>
  <c r="P33" i="38" s="1"/>
  <c r="P40" i="7"/>
  <c r="P40" i="6"/>
  <c r="P33" i="6" s="1"/>
  <c r="R66" i="96"/>
  <c r="R9" i="16"/>
  <c r="BJ10" i="3"/>
  <c r="BV10" i="3" s="1"/>
  <c r="BJ12" i="3"/>
  <c r="BV12" i="3" s="1"/>
  <c r="BV11" i="3"/>
  <c r="N44" i="38"/>
  <c r="N33" i="38"/>
  <c r="N32" i="38" s="1"/>
  <c r="U41" i="43"/>
  <c r="U41" i="150" s="1"/>
  <c r="T41" i="150" s="1"/>
  <c r="AB41" i="43"/>
  <c r="AB41" i="150" s="1"/>
  <c r="W18" i="94"/>
  <c r="R18" i="94" s="1"/>
  <c r="X67" i="96"/>
  <c r="C16" i="78"/>
  <c r="C18" i="72"/>
  <c r="C16" i="72" s="1"/>
  <c r="AJ38" i="4"/>
  <c r="AB38" i="4"/>
  <c r="BM38" i="5" s="1"/>
  <c r="BN38" i="5" s="1"/>
  <c r="V54" i="39"/>
  <c r="U54" i="39" s="1"/>
  <c r="S54" i="6"/>
  <c r="R54" i="6" s="1"/>
  <c r="V54" i="38"/>
  <c r="U54" i="38" s="1"/>
  <c r="S54" i="7"/>
  <c r="R54" i="7" s="1"/>
  <c r="L117" i="89"/>
  <c r="L116" i="89"/>
  <c r="L107" i="89"/>
  <c r="L106" i="89"/>
  <c r="L110" i="89"/>
  <c r="T105" i="89"/>
  <c r="BB29" i="48"/>
  <c r="BD10" i="48"/>
  <c r="BE10" i="48"/>
  <c r="BF10" i="48"/>
  <c r="BL60" i="3"/>
  <c r="BK59" i="3"/>
  <c r="AZ70" i="3"/>
  <c r="T11" i="4"/>
  <c r="R10" i="4"/>
  <c r="BF66" i="88"/>
  <c r="BY66" i="41"/>
  <c r="BZ66" i="41" s="1"/>
  <c r="BF66" i="41"/>
  <c r="D13" i="33"/>
  <c r="D11" i="4"/>
  <c r="Y23" i="37"/>
  <c r="AS23" i="37"/>
  <c r="AR40" i="47"/>
  <c r="AR9" i="47"/>
  <c r="R7" i="62"/>
  <c r="R8" i="62" s="1"/>
  <c r="C9" i="62"/>
  <c r="J58" i="36"/>
  <c r="J55" i="36" s="1"/>
  <c r="J70" i="36" s="1"/>
  <c r="Z9" i="48"/>
  <c r="X9" i="48"/>
  <c r="Y9" i="48"/>
  <c r="V37" i="48"/>
  <c r="V8" i="48"/>
  <c r="O59" i="1"/>
  <c r="G22" i="7"/>
  <c r="G22" i="38"/>
  <c r="G22" i="39"/>
  <c r="O24" i="31"/>
  <c r="G22" i="35"/>
  <c r="N60" i="1"/>
  <c r="G22" i="34"/>
  <c r="G22" i="6"/>
  <c r="N70" i="39"/>
  <c r="C16" i="16"/>
  <c r="C11" i="16"/>
  <c r="F47" i="45"/>
  <c r="G51" i="45"/>
  <c r="F51" i="45" s="1"/>
  <c r="X66" i="46"/>
  <c r="X8" i="14"/>
  <c r="C16" i="17"/>
  <c r="BB73" i="88"/>
  <c r="O20" i="19"/>
  <c r="I116" i="89"/>
  <c r="U10" i="47"/>
  <c r="X9" i="47"/>
  <c r="W9" i="47"/>
  <c r="AL43" i="37"/>
  <c r="BK44" i="5"/>
  <c r="W42" i="4"/>
  <c r="C35" i="37"/>
  <c r="C9" i="37" s="1"/>
  <c r="V63" i="89"/>
  <c r="V70" i="89"/>
  <c r="V86" i="89"/>
  <c r="V98" i="89"/>
  <c r="V101" i="89"/>
  <c r="V83" i="89"/>
  <c r="W61" i="89"/>
  <c r="V67" i="89"/>
  <c r="V64" i="89"/>
  <c r="V95" i="89"/>
  <c r="V89" i="89"/>
  <c r="V92" i="89"/>
  <c r="V61" i="89"/>
  <c r="Y28" i="4"/>
  <c r="BK28" i="5"/>
  <c r="BL28" i="5" s="1"/>
  <c r="C69" i="97"/>
  <c r="H15" i="97"/>
  <c r="C8" i="97"/>
  <c r="U53" i="39"/>
  <c r="O14" i="37"/>
  <c r="W30" i="14"/>
  <c r="Y30" i="14"/>
  <c r="BT51" i="3"/>
  <c r="BY12" i="3"/>
  <c r="BZ12" i="3" s="1"/>
  <c r="AS41" i="3"/>
  <c r="AS50" i="3"/>
  <c r="AS40" i="3"/>
  <c r="AS46" i="3"/>
  <c r="AS19" i="3"/>
  <c r="AS49" i="3"/>
  <c r="AS36" i="3"/>
  <c r="AS51" i="3"/>
  <c r="AS25" i="3"/>
  <c r="AS44" i="3"/>
  <c r="AS10" i="3"/>
  <c r="AS39" i="3"/>
  <c r="AS42" i="3"/>
  <c r="AS47" i="3"/>
  <c r="AS45" i="3"/>
  <c r="AS37" i="3"/>
  <c r="AS38" i="3"/>
  <c r="AS30" i="3"/>
  <c r="AS13" i="3"/>
  <c r="AS43" i="3"/>
  <c r="I55" i="99"/>
  <c r="J34" i="35"/>
  <c r="J33" i="35" s="1"/>
  <c r="I36" i="35"/>
  <c r="I34" i="35" s="1"/>
  <c r="E81" i="88"/>
  <c r="E69" i="88"/>
  <c r="J69" i="88" s="1"/>
  <c r="F69" i="88"/>
  <c r="BF10" i="3"/>
  <c r="BG11" i="3" s="1"/>
  <c r="BF12" i="3"/>
  <c r="S88" i="22"/>
  <c r="BT10" i="47"/>
  <c r="BS10" i="47"/>
  <c r="G21" i="15"/>
  <c r="BS28" i="51"/>
  <c r="P83" i="60"/>
  <c r="C83" i="60" s="1"/>
  <c r="R80" i="60"/>
  <c r="R11" i="60" s="1"/>
  <c r="R10" i="60" s="1"/>
  <c r="Y19" i="37"/>
  <c r="AS19" i="37"/>
  <c r="AS41" i="36"/>
  <c r="AR41" i="36" s="1"/>
  <c r="AW41" i="36"/>
  <c r="AG41" i="37"/>
  <c r="AO41" i="37"/>
  <c r="AL41" i="37" s="1"/>
  <c r="AM39" i="36"/>
  <c r="AF39" i="36"/>
  <c r="AE46" i="44"/>
  <c r="P64" i="46"/>
  <c r="O64" i="46" s="1"/>
  <c r="W46" i="44"/>
  <c r="G62" i="154" s="1"/>
  <c r="P64" i="45"/>
  <c r="O64" i="45" s="1"/>
  <c r="AB39" i="1"/>
  <c r="U39" i="1"/>
  <c r="V11" i="1"/>
  <c r="AX53" i="5"/>
  <c r="AX9" i="5"/>
  <c r="AX50" i="5" s="1"/>
  <c r="J41" i="37"/>
  <c r="AD55" i="89"/>
  <c r="N22" i="16"/>
  <c r="P22" i="16" s="1"/>
  <c r="AE22" i="16" s="1"/>
  <c r="BH69" i="3"/>
  <c r="BF69" i="3"/>
  <c r="BK33" i="5"/>
  <c r="Y33" i="4"/>
  <c r="S42" i="38"/>
  <c r="O42" i="38"/>
  <c r="R42" i="38" s="1"/>
  <c r="AD73" i="89"/>
  <c r="BF44" i="5"/>
  <c r="BF42" i="5" s="1"/>
  <c r="BB42" i="5"/>
  <c r="BH42" i="5" s="1"/>
  <c r="C25" i="34"/>
  <c r="C24" i="34" s="1"/>
  <c r="C20" i="34" s="1"/>
  <c r="C18" i="34" s="1"/>
  <c r="D24" i="34"/>
  <c r="D20" i="34" s="1"/>
  <c r="D18" i="34" s="1"/>
  <c r="AP9" i="48"/>
  <c r="AO9" i="48"/>
  <c r="AL8" i="48"/>
  <c r="AL37" i="48"/>
  <c r="AN9" i="48"/>
  <c r="AB71" i="38"/>
  <c r="AA72" i="38"/>
  <c r="AA71" i="38" s="1"/>
  <c r="C53" i="7"/>
  <c r="D52" i="7"/>
  <c r="AY46" i="48"/>
  <c r="AY47" i="48"/>
  <c r="AY44" i="48"/>
  <c r="AY42" i="48"/>
  <c r="AY45" i="48"/>
  <c r="AD40" i="48"/>
  <c r="M24" i="45"/>
  <c r="L24" i="45" s="1"/>
  <c r="Z64" i="43"/>
  <c r="G138" i="89"/>
  <c r="G152" i="89"/>
  <c r="G149" i="89"/>
  <c r="G9" i="89"/>
  <c r="H9" i="89"/>
  <c r="G154" i="89"/>
  <c r="I154" i="89" s="1"/>
  <c r="G146" i="89"/>
  <c r="C37" i="39"/>
  <c r="J74" i="39"/>
  <c r="I74" i="39" s="1"/>
  <c r="BG42" i="48"/>
  <c r="BG45" i="48"/>
  <c r="BG44" i="48"/>
  <c r="BG47" i="48"/>
  <c r="BN10" i="41"/>
  <c r="BA25" i="48"/>
  <c r="BA67" i="48"/>
  <c r="S54" i="39"/>
  <c r="R54" i="39" s="1"/>
  <c r="O54" i="39"/>
  <c r="O52" i="39" s="1"/>
  <c r="AD17" i="16"/>
  <c r="W53" i="139"/>
  <c r="AB53" i="139" s="1"/>
  <c r="AW8" i="87"/>
  <c r="AW7" i="87" s="1"/>
  <c r="A4" i="79"/>
  <c r="A68" i="78"/>
  <c r="A128" i="78" s="1"/>
  <c r="G60" i="45"/>
  <c r="G60" i="46"/>
  <c r="H42" i="44"/>
  <c r="D58" i="154" s="1"/>
  <c r="K41" i="44"/>
  <c r="AL60" i="86"/>
  <c r="AM8" i="86"/>
  <c r="F10" i="4"/>
  <c r="F11" i="33"/>
  <c r="O88" i="36"/>
  <c r="N88" i="36" s="1"/>
  <c r="G73" i="36"/>
  <c r="G10" i="36"/>
  <c r="G12" i="36"/>
  <c r="L52" i="6"/>
  <c r="AM61" i="36"/>
  <c r="AO61" i="36"/>
  <c r="AF61" i="36"/>
  <c r="AF59" i="36" s="1"/>
  <c r="AG59" i="36"/>
  <c r="BB23" i="87"/>
  <c r="AT23" i="87"/>
  <c r="AV23" i="87" s="1"/>
  <c r="AW17" i="87"/>
  <c r="AW14" i="87" s="1"/>
  <c r="G10" i="33"/>
  <c r="G9" i="4"/>
  <c r="G9" i="33" s="1"/>
  <c r="U82" i="46"/>
  <c r="S20" i="16"/>
  <c r="BL66" i="3"/>
  <c r="BK65" i="3"/>
  <c r="AW69" i="88"/>
  <c r="Z41" i="44"/>
  <c r="AV68" i="88"/>
  <c r="O22" i="9"/>
  <c r="M50" i="9"/>
  <c r="I72" i="38"/>
  <c r="I71" i="38" s="1"/>
  <c r="J71" i="38"/>
  <c r="DX39" i="47"/>
  <c r="DX41" i="47" s="1"/>
  <c r="DX42" i="47" s="1"/>
  <c r="DX43" i="47" s="1"/>
  <c r="DX10" i="47"/>
  <c r="AA9" i="16"/>
  <c r="AA8" i="16" s="1"/>
  <c r="Q8" i="16"/>
  <c r="E26" i="62"/>
  <c r="AL10" i="5"/>
  <c r="AT11" i="5"/>
  <c r="P9" i="16"/>
  <c r="AL72" i="41"/>
  <c r="AL79" i="41"/>
  <c r="AL74" i="41" s="1"/>
  <c r="AL86" i="41" s="1"/>
  <c r="AN37" i="44"/>
  <c r="AQ21" i="87"/>
  <c r="AO17" i="87"/>
  <c r="L146" i="89"/>
  <c r="L138" i="89"/>
  <c r="L152" i="89"/>
  <c r="L149" i="89"/>
  <c r="L9" i="89"/>
  <c r="BV45" i="5"/>
  <c r="L78" i="39"/>
  <c r="J16" i="16"/>
  <c r="J11" i="16"/>
  <c r="BB69" i="88"/>
  <c r="BA69" i="88"/>
  <c r="BW67" i="48"/>
  <c r="BW32" i="48"/>
  <c r="BW25" i="48"/>
  <c r="G26" i="35"/>
  <c r="F26" i="35" s="1"/>
  <c r="O28" i="31"/>
  <c r="G26" i="34"/>
  <c r="F26" i="34" s="1"/>
  <c r="G26" i="39"/>
  <c r="F26" i="39" s="1"/>
  <c r="G26" i="7"/>
  <c r="F26" i="7" s="1"/>
  <c r="G26" i="38"/>
  <c r="F26" i="38" s="1"/>
  <c r="G26" i="6"/>
  <c r="F26" i="6" s="1"/>
  <c r="N64" i="1"/>
  <c r="N28" i="31" s="1"/>
  <c r="C36" i="39"/>
  <c r="D34" i="39"/>
  <c r="D33" i="39" s="1"/>
  <c r="BB77" i="88"/>
  <c r="BC76" i="88"/>
  <c r="BF76" i="88" s="1"/>
  <c r="BK49" i="86"/>
  <c r="BJ8" i="86"/>
  <c r="BK8" i="86" s="1"/>
  <c r="AH45" i="47"/>
  <c r="V38" i="48"/>
  <c r="J23" i="31"/>
  <c r="G51" i="46"/>
  <c r="F51" i="46" s="1"/>
  <c r="F47" i="46"/>
  <c r="O52" i="38"/>
  <c r="R53" i="38"/>
  <c r="Z34" i="62"/>
  <c r="Z31" i="62" s="1"/>
  <c r="C35" i="79"/>
  <c r="C32" i="79" s="1"/>
  <c r="C8" i="79" s="1"/>
  <c r="C9" i="79" s="1"/>
  <c r="F8" i="112"/>
  <c r="F20" i="138"/>
  <c r="K30" i="152" s="1"/>
  <c r="BF97" i="88"/>
  <c r="M15" i="97"/>
  <c r="AF22" i="92"/>
  <c r="AF21" i="92" s="1"/>
  <c r="AF7" i="92" s="1"/>
  <c r="AG23" i="92"/>
  <c r="AF37" i="92"/>
  <c r="P33" i="7"/>
  <c r="D118" i="89"/>
  <c r="D119" i="89"/>
  <c r="E118" i="89"/>
  <c r="V60" i="38"/>
  <c r="AJ44" i="4"/>
  <c r="S60" i="7"/>
  <c r="S60" i="6"/>
  <c r="AE42" i="4"/>
  <c r="V60" i="39"/>
  <c r="AB44" i="4"/>
  <c r="K36" i="37"/>
  <c r="H37" i="37"/>
  <c r="U31" i="62"/>
  <c r="U7" i="62" s="1"/>
  <c r="U8" i="62" s="1"/>
  <c r="BY56" i="3"/>
  <c r="BZ56" i="3" s="1"/>
  <c r="L17" i="16"/>
  <c r="BF56" i="3"/>
  <c r="BH56" i="3"/>
  <c r="Q40" i="39"/>
  <c r="Q40" i="6"/>
  <c r="AA10" i="4"/>
  <c r="AA9" i="4" s="1"/>
  <c r="Q40" i="7"/>
  <c r="Q40" i="38"/>
  <c r="W28" i="37"/>
  <c r="AT28" i="37"/>
  <c r="AQ28" i="37" s="1"/>
  <c r="AV16" i="87"/>
  <c r="CS10" i="47"/>
  <c r="CT10" i="47"/>
  <c r="AJ44" i="37"/>
  <c r="AB44" i="37"/>
  <c r="AB42" i="37" s="1"/>
  <c r="AE42" i="37"/>
  <c r="FF10" i="47"/>
  <c r="FD10" i="47"/>
  <c r="BP43" i="5"/>
  <c r="K80" i="39"/>
  <c r="K77" i="39" s="1"/>
  <c r="K70" i="39" s="1"/>
  <c r="I44" i="39"/>
  <c r="U53" i="38"/>
  <c r="U52" i="38" s="1"/>
  <c r="V52" i="38"/>
  <c r="R70" i="86"/>
  <c r="T52" i="62"/>
  <c r="T28" i="14"/>
  <c r="BY10" i="3"/>
  <c r="BZ10" i="3" s="1"/>
  <c r="M33" i="39"/>
  <c r="C47" i="68"/>
  <c r="C45" i="68" s="1"/>
  <c r="D45" i="68"/>
  <c r="AS12" i="3"/>
  <c r="P133" i="88"/>
  <c r="R131" i="88"/>
  <c r="T17" i="4"/>
  <c r="P52" i="39"/>
  <c r="I113" i="89"/>
  <c r="BE28" i="51"/>
  <c r="F21" i="15"/>
  <c r="N23" i="19"/>
  <c r="P24" i="19"/>
  <c r="P23" i="19" s="1"/>
  <c r="AI9" i="47"/>
  <c r="AJ9" i="47"/>
  <c r="AG10" i="47"/>
  <c r="W58" i="89"/>
  <c r="BK11" i="5"/>
  <c r="BL12" i="5"/>
  <c r="AW16" i="89"/>
  <c r="N39" i="1"/>
  <c r="O11" i="1"/>
  <c r="W36" i="4"/>
  <c r="AF49" i="89"/>
  <c r="AH48" i="89"/>
  <c r="AF155" i="89"/>
  <c r="AF54" i="89"/>
  <c r="AF55" i="89"/>
  <c r="C28" i="73"/>
  <c r="C28" i="72" s="1"/>
  <c r="C27" i="62"/>
  <c r="C25" i="62" s="1"/>
  <c r="H27" i="62"/>
  <c r="H25" i="62" s="1"/>
  <c r="P83" i="6"/>
  <c r="O83" i="6" s="1"/>
  <c r="O49" i="6"/>
  <c r="Y18" i="4"/>
  <c r="BK18" i="5"/>
  <c r="W17" i="4"/>
  <c r="W10" i="4" s="1"/>
  <c r="C25" i="38"/>
  <c r="C24" i="38" s="1"/>
  <c r="C20" i="38" s="1"/>
  <c r="C18" i="38" s="1"/>
  <c r="D24" i="38"/>
  <c r="O72" i="39"/>
  <c r="O71" i="39" s="1"/>
  <c r="P71" i="39"/>
  <c r="K12" i="89"/>
  <c r="K23" i="89"/>
  <c r="K147" i="89"/>
  <c r="I8" i="89"/>
  <c r="K27" i="89"/>
  <c r="K21" i="89"/>
  <c r="K26" i="89"/>
  <c r="K18" i="89"/>
  <c r="K14" i="89"/>
  <c r="K20" i="89"/>
  <c r="K17" i="89"/>
  <c r="K10" i="89"/>
  <c r="K150" i="89"/>
  <c r="K30" i="89"/>
  <c r="K13" i="89"/>
  <c r="I57" i="89"/>
  <c r="K24" i="89"/>
  <c r="K29" i="89"/>
  <c r="K25" i="89"/>
  <c r="K22" i="89"/>
  <c r="K11" i="89"/>
  <c r="K19" i="89"/>
  <c r="K28" i="89"/>
  <c r="AL38" i="48"/>
  <c r="BF45" i="47"/>
  <c r="X48" i="6"/>
  <c r="Y82" i="6"/>
  <c r="X82" i="6" s="1"/>
  <c r="BI42" i="5"/>
  <c r="BJ44" i="5"/>
  <c r="C55" i="34"/>
  <c r="D54" i="34"/>
  <c r="F15" i="112"/>
  <c r="J74" i="6"/>
  <c r="I74" i="6" s="1"/>
  <c r="C37" i="6"/>
  <c r="W44" i="139"/>
  <c r="AB44" i="139" s="1"/>
  <c r="R44" i="139"/>
  <c r="X44" i="139" s="1"/>
  <c r="AC44" i="139" s="1"/>
  <c r="K70" i="89"/>
  <c r="I66" i="89"/>
  <c r="K61" i="89"/>
  <c r="I69" i="89"/>
  <c r="K92" i="89"/>
  <c r="I72" i="89"/>
  <c r="K95" i="89"/>
  <c r="K63" i="89"/>
  <c r="K98" i="89"/>
  <c r="K86" i="89"/>
  <c r="K89" i="89"/>
  <c r="K77" i="89"/>
  <c r="K64" i="89"/>
  <c r="K101" i="89"/>
  <c r="K67" i="89"/>
  <c r="K80" i="89"/>
  <c r="K83" i="89"/>
  <c r="AD97" i="89"/>
  <c r="AI66" i="1"/>
  <c r="AF66" i="1"/>
  <c r="AF65" i="1" s="1"/>
  <c r="P28" i="38"/>
  <c r="P28" i="39"/>
  <c r="AG65" i="1"/>
  <c r="P28" i="6"/>
  <c r="P28" i="7"/>
  <c r="AO77" i="88"/>
  <c r="AQ76" i="88"/>
  <c r="AW76" i="88" s="1"/>
  <c r="O49" i="38"/>
  <c r="R49" i="38" s="1"/>
  <c r="S49" i="38"/>
  <c r="P78" i="6"/>
  <c r="O42" i="6"/>
  <c r="AD75" i="89"/>
  <c r="AA43" i="1"/>
  <c r="Z43" i="1" s="1"/>
  <c r="AH43" i="1"/>
  <c r="AC60" i="86"/>
  <c r="AC66" i="86" s="1"/>
  <c r="AC103" i="86"/>
  <c r="AC104" i="86" s="1"/>
  <c r="AC2" i="86"/>
  <c r="AC69" i="86"/>
  <c r="BB65" i="41"/>
  <c r="J62" i="1"/>
  <c r="J26" i="31" s="1"/>
  <c r="O63" i="1"/>
  <c r="BB63" i="3"/>
  <c r="J27" i="31"/>
  <c r="C207" i="13"/>
  <c r="AA48" i="39"/>
  <c r="AB82" i="39"/>
  <c r="AA82" i="39" s="1"/>
  <c r="D52" i="38"/>
  <c r="C53" i="38"/>
  <c r="O47" i="36"/>
  <c r="N47" i="36" s="1"/>
  <c r="BN47" i="36" s="1"/>
  <c r="M11" i="36"/>
  <c r="E31" i="14"/>
  <c r="V45" i="43" s="1"/>
  <c r="V45" i="150" s="1"/>
  <c r="D32" i="14"/>
  <c r="AM73" i="89"/>
  <c r="K14" i="33"/>
  <c r="G37" i="38"/>
  <c r="F37" i="38" s="1"/>
  <c r="G37" i="34"/>
  <c r="F37" i="34" s="1"/>
  <c r="H14" i="4"/>
  <c r="G37" i="7"/>
  <c r="F37" i="7" s="1"/>
  <c r="G37" i="39"/>
  <c r="F37" i="39" s="1"/>
  <c r="G37" i="6"/>
  <c r="F37" i="6" s="1"/>
  <c r="G37" i="35"/>
  <c r="F37" i="35" s="1"/>
  <c r="D10" i="31"/>
  <c r="D70" i="1"/>
  <c r="D34" i="31" s="1"/>
  <c r="CE44" i="48"/>
  <c r="CE42" i="48"/>
  <c r="CE45" i="48"/>
  <c r="CE47" i="48"/>
  <c r="P26" i="140"/>
  <c r="M26" i="140"/>
  <c r="Z10" i="16"/>
  <c r="AB10" i="16" s="1"/>
  <c r="BV51" i="3"/>
  <c r="K8" i="90"/>
  <c r="P8" i="90"/>
  <c r="BY62" i="41"/>
  <c r="BZ62" i="41" s="1"/>
  <c r="BB61" i="41"/>
  <c r="BF62" i="41"/>
  <c r="BF61" i="41" s="1"/>
  <c r="AX64" i="36"/>
  <c r="BA64" i="36"/>
  <c r="BE64" i="36" s="1"/>
  <c r="BD64" i="36" s="1"/>
  <c r="BJ36" i="5"/>
  <c r="S52" i="38"/>
  <c r="V80" i="60"/>
  <c r="V11" i="60" s="1"/>
  <c r="V10" i="60" s="1"/>
  <c r="P91" i="60"/>
  <c r="C91" i="60" s="1"/>
  <c r="G19" i="1"/>
  <c r="BH20" i="1"/>
  <c r="C14" i="72"/>
  <c r="C10" i="72" s="1"/>
  <c r="C10" i="74"/>
  <c r="AL17" i="87"/>
  <c r="AJ14" i="87"/>
  <c r="AF9" i="47"/>
  <c r="H23" i="47"/>
  <c r="AY10" i="86"/>
  <c r="AS10" i="86"/>
  <c r="E29" i="19"/>
  <c r="F30" i="19"/>
  <c r="F29" i="19" s="1"/>
  <c r="R53" i="7"/>
  <c r="R60" i="45"/>
  <c r="T27" i="39"/>
  <c r="Q20" i="39"/>
  <c r="BL13" i="5"/>
  <c r="BT13" i="5" s="1"/>
  <c r="BM47" i="43"/>
  <c r="H16" i="45"/>
  <c r="H83" i="45" s="1"/>
  <c r="H80" i="45" s="1"/>
  <c r="H16" i="46"/>
  <c r="AV74" i="41"/>
  <c r="AV86" i="41" s="1"/>
  <c r="I36" i="7"/>
  <c r="I34" i="7" s="1"/>
  <c r="J34" i="7"/>
  <c r="J33" i="7" s="1"/>
  <c r="I33" i="7" s="1"/>
  <c r="K42" i="14"/>
  <c r="K8" i="14"/>
  <c r="K46" i="62"/>
  <c r="E11" i="17"/>
  <c r="DE10" i="47"/>
  <c r="DF10" i="47"/>
  <c r="R52" i="39"/>
  <c r="F31" i="62"/>
  <c r="EK28" i="51"/>
  <c r="L21" i="15"/>
  <c r="AI123" i="60"/>
  <c r="AH123" i="13"/>
  <c r="C123" i="13" s="1"/>
  <c r="AI10" i="13"/>
  <c r="K8" i="48"/>
  <c r="K30" i="48" s="1"/>
  <c r="C9" i="48"/>
  <c r="C8" i="48" s="1"/>
  <c r="N33" i="6"/>
  <c r="N32" i="6" s="1"/>
  <c r="R13" i="44"/>
  <c r="F36" i="154" s="1"/>
  <c r="M38" i="46"/>
  <c r="L38" i="46" s="1"/>
  <c r="M38" i="45"/>
  <c r="L38" i="45" s="1"/>
  <c r="K18" i="16"/>
  <c r="BA55" i="3"/>
  <c r="I72" i="7"/>
  <c r="I71" i="7" s="1"/>
  <c r="J71" i="7"/>
  <c r="AS39" i="36"/>
  <c r="AZ39" i="36"/>
  <c r="BK20" i="5"/>
  <c r="BL20" i="5" s="1"/>
  <c r="Y20" i="4"/>
  <c r="BK36" i="5"/>
  <c r="BL37" i="5"/>
  <c r="BL36" i="5" s="1"/>
  <c r="J62" i="89"/>
  <c r="H21" i="45"/>
  <c r="AA47" i="48"/>
  <c r="AA44" i="48"/>
  <c r="AA45" i="48"/>
  <c r="L52" i="38"/>
  <c r="Q32" i="31"/>
  <c r="Q76" i="1"/>
  <c r="BC68" i="3"/>
  <c r="BC70" i="41"/>
  <c r="E21" i="14"/>
  <c r="M71" i="38"/>
  <c r="L72" i="38"/>
  <c r="L71" i="38" s="1"/>
  <c r="T18" i="37"/>
  <c r="R17" i="37"/>
  <c r="D34" i="14"/>
  <c r="AO96" i="88"/>
  <c r="AX96" i="88" s="1"/>
  <c r="AO91" i="88"/>
  <c r="AV91" i="88" s="1"/>
  <c r="AO93" i="88"/>
  <c r="AX93" i="88" s="1"/>
  <c r="AO94" i="88"/>
  <c r="AX94" i="88" s="1"/>
  <c r="C27" i="72"/>
  <c r="AN41" i="1"/>
  <c r="AG41" i="1"/>
  <c r="AF41" i="1" s="1"/>
  <c r="I30" i="23"/>
  <c r="I29" i="23" s="1"/>
  <c r="I12" i="23" s="1"/>
  <c r="BC21" i="87"/>
  <c r="AX17" i="87"/>
  <c r="AX14" i="87" s="1"/>
  <c r="AX8" i="87" s="1"/>
  <c r="AX7" i="87" s="1"/>
  <c r="AT21" i="87"/>
  <c r="D20" i="38"/>
  <c r="D18" i="38" s="1"/>
  <c r="BA96" i="88"/>
  <c r="BA93" i="88"/>
  <c r="BA91" i="88"/>
  <c r="BA94" i="88"/>
  <c r="C36" i="35"/>
  <c r="C34" i="35" s="1"/>
  <c r="D34" i="35"/>
  <c r="D33" i="35" s="1"/>
  <c r="C55" i="66"/>
  <c r="C53" i="66" s="1"/>
  <c r="C49" i="66" s="1"/>
  <c r="C53" i="54"/>
  <c r="C49" i="54" s="1"/>
  <c r="BD60" i="86"/>
  <c r="BE8" i="86"/>
  <c r="CE46" i="48"/>
  <c r="D11" i="16"/>
  <c r="BF72" i="88"/>
  <c r="H11" i="31"/>
  <c r="H73" i="1"/>
  <c r="H12" i="1"/>
  <c r="H10" i="1"/>
  <c r="D12" i="153" s="1"/>
  <c r="D8" i="153" s="1"/>
  <c r="BC43" i="41"/>
  <c r="C22" i="57"/>
  <c r="C22" i="67" s="1"/>
  <c r="X43" i="43"/>
  <c r="R43" i="43"/>
  <c r="S20" i="94"/>
  <c r="S60" i="39"/>
  <c r="R60" i="39" s="1"/>
  <c r="R58" i="39" s="1"/>
  <c r="P58" i="39"/>
  <c r="S58" i="39" s="1"/>
  <c r="O60" i="39"/>
  <c r="O58" i="39" s="1"/>
  <c r="AZ77" i="3"/>
  <c r="AY72" i="3"/>
  <c r="AY84" i="3" s="1"/>
  <c r="BF58" i="41"/>
  <c r="BY58" i="41"/>
  <c r="BZ58" i="41" s="1"/>
  <c r="E9" i="14"/>
  <c r="G13" i="26"/>
  <c r="Y82" i="46"/>
  <c r="X82" i="46" s="1"/>
  <c r="X37" i="46"/>
  <c r="BM41" i="43"/>
  <c r="P11" i="43"/>
  <c r="O41" i="43"/>
  <c r="O41" i="150" s="1"/>
  <c r="AT42" i="37"/>
  <c r="AQ44" i="37"/>
  <c r="AQ42" i="37" s="1"/>
  <c r="AS8" i="86"/>
  <c r="AR60" i="86"/>
  <c r="AA25" i="9"/>
  <c r="AA24" i="9" s="1"/>
  <c r="AB33" i="9"/>
  <c r="AA59" i="9"/>
  <c r="AA50" i="9" s="1"/>
  <c r="AA65" i="9" s="1"/>
  <c r="V53" i="6"/>
  <c r="V53" i="7"/>
  <c r="AJ36" i="4"/>
  <c r="Y53" i="38"/>
  <c r="Y53" i="39"/>
  <c r="AG37" i="4"/>
  <c r="AO37" i="4"/>
  <c r="FE9" i="47"/>
  <c r="BJ47" i="43"/>
  <c r="BJ11" i="43" s="1"/>
  <c r="O47" i="43"/>
  <c r="BH71" i="41"/>
  <c r="BF71" i="41"/>
  <c r="AS11" i="41"/>
  <c r="P11" i="33"/>
  <c r="P10" i="4"/>
  <c r="I36" i="34"/>
  <c r="I34" i="34" s="1"/>
  <c r="J34" i="34"/>
  <c r="J33" i="34" s="1"/>
  <c r="I33" i="34" s="1"/>
  <c r="E96" i="38"/>
  <c r="E91" i="38"/>
  <c r="E96" i="88"/>
  <c r="E93" i="88"/>
  <c r="E91" i="88"/>
  <c r="E95" i="88" s="1"/>
  <c r="E94" i="88"/>
  <c r="Y21" i="4"/>
  <c r="BK21" i="5"/>
  <c r="BL21" i="5" s="1"/>
  <c r="C33" i="72"/>
  <c r="M21" i="15"/>
  <c r="EY28" i="51"/>
  <c r="AR72" i="41"/>
  <c r="AV70" i="3"/>
  <c r="V16" i="89"/>
  <c r="Q19" i="22"/>
  <c r="S19" i="22" s="1"/>
  <c r="S12" i="22" s="1"/>
  <c r="S20" i="22"/>
  <c r="M10" i="1"/>
  <c r="M11" i="31"/>
  <c r="M12" i="1"/>
  <c r="M12" i="31" s="1"/>
  <c r="L60" i="86"/>
  <c r="L71" i="86"/>
  <c r="E37" i="95"/>
  <c r="Q28" i="95"/>
  <c r="R28" i="95"/>
  <c r="EI10" i="47"/>
  <c r="EP9" i="47"/>
  <c r="EO9" i="47"/>
  <c r="EN9" i="47"/>
  <c r="EM9" i="47"/>
  <c r="C20" i="39"/>
  <c r="C18" i="39" s="1"/>
  <c r="L72" i="7"/>
  <c r="L71" i="7" s="1"/>
  <c r="M71" i="7"/>
  <c r="AU20" i="37"/>
  <c r="AQ20" i="37" s="1"/>
  <c r="W20" i="37"/>
  <c r="G30" i="19"/>
  <c r="BT11" i="3"/>
  <c r="G9" i="147"/>
  <c r="F7" i="147"/>
  <c r="D33" i="33"/>
  <c r="AT33" i="37"/>
  <c r="AQ33" i="37" s="1"/>
  <c r="W33" i="37"/>
  <c r="AT18" i="37"/>
  <c r="Z17" i="37"/>
  <c r="Z10" i="37" s="1"/>
  <c r="W18" i="37"/>
  <c r="CQ10" i="47"/>
  <c r="CR10" i="47"/>
  <c r="AB2" i="86"/>
  <c r="AC3" i="86"/>
  <c r="F44" i="44"/>
  <c r="F40" i="44" s="1"/>
  <c r="F8" i="44" s="1"/>
  <c r="D63" i="46"/>
  <c r="K45" i="44"/>
  <c r="D45" i="44"/>
  <c r="D63" i="45"/>
  <c r="C45" i="44"/>
  <c r="D24" i="7"/>
  <c r="D20" i="7" s="1"/>
  <c r="D18" i="7" s="1"/>
  <c r="C25" i="7"/>
  <c r="C24" i="7" s="1"/>
  <c r="C20" i="7" s="1"/>
  <c r="C18" i="7" s="1"/>
  <c r="Z36" i="37"/>
  <c r="AT37" i="37"/>
  <c r="AE37" i="37"/>
  <c r="W37" i="37"/>
  <c r="W36" i="37" s="1"/>
  <c r="O34" i="39"/>
  <c r="AE11" i="36"/>
  <c r="X55" i="46"/>
  <c r="Y91" i="46"/>
  <c r="X91" i="46" s="1"/>
  <c r="D52" i="39"/>
  <c r="C53" i="39"/>
  <c r="K58" i="40"/>
  <c r="K12" i="40"/>
  <c r="M44" i="6"/>
  <c r="L40" i="6"/>
  <c r="Y30" i="37"/>
  <c r="AS30" i="37"/>
  <c r="H31" i="14"/>
  <c r="H7" i="14" s="1"/>
  <c r="D11" i="37"/>
  <c r="P28" i="44"/>
  <c r="V193" i="13"/>
  <c r="C39" i="149"/>
  <c r="C39" i="65"/>
  <c r="M25" i="44"/>
  <c r="C35" i="149"/>
  <c r="C35" i="65"/>
  <c r="BC25" i="5"/>
  <c r="BD25" i="5" s="1"/>
  <c r="BF25" i="5" s="1"/>
  <c r="O30" i="44"/>
  <c r="BF31" i="5"/>
  <c r="N31" i="16"/>
  <c r="P31" i="16" s="1"/>
  <c r="BF32" i="5"/>
  <c r="N27" i="16"/>
  <c r="P27" i="16" s="1"/>
  <c r="K56" i="46"/>
  <c r="M38" i="44"/>
  <c r="E32" i="58"/>
  <c r="K56" i="45"/>
  <c r="T14" i="64"/>
  <c r="T22" i="64" s="1"/>
  <c r="T22" i="17"/>
  <c r="C82" i="77"/>
  <c r="C80" i="72" s="1"/>
  <c r="C15" i="63"/>
  <c r="E20" i="112"/>
  <c r="P107" i="60"/>
  <c r="C107" i="60" s="1"/>
  <c r="CU47" i="48"/>
  <c r="CU45" i="48"/>
  <c r="CU42" i="48"/>
  <c r="CU44" i="48"/>
  <c r="F10" i="63"/>
  <c r="P12" i="17"/>
  <c r="F6" i="15"/>
  <c r="E35" i="46"/>
  <c r="E34" i="46" s="1"/>
  <c r="C37" i="46"/>
  <c r="C35" i="46" s="1"/>
  <c r="G10" i="63"/>
  <c r="P13" i="17"/>
  <c r="G6" i="15"/>
  <c r="C37" i="45"/>
  <c r="C35" i="45" s="1"/>
  <c r="E35" i="45"/>
  <c r="E34" i="45" s="1"/>
  <c r="S32" i="48"/>
  <c r="S67" i="48"/>
  <c r="S25" i="48"/>
  <c r="C60" i="44"/>
  <c r="C59" i="44"/>
  <c r="C9" i="44"/>
  <c r="C57" i="44"/>
  <c r="D20" i="112"/>
  <c r="P20" i="138"/>
  <c r="P22" i="138" s="1"/>
  <c r="D10" i="44"/>
  <c r="J12" i="44"/>
  <c r="CU67" i="48"/>
  <c r="CU32" i="48"/>
  <c r="E10" i="63"/>
  <c r="P11" i="17"/>
  <c r="V10" i="17"/>
  <c r="AJ38" i="13"/>
  <c r="C86" i="81"/>
  <c r="C21" i="63"/>
  <c r="C88" i="73"/>
  <c r="G131" i="72"/>
  <c r="C69" i="45"/>
  <c r="C39" i="57"/>
  <c r="C38" i="67" s="1"/>
  <c r="C24" i="66"/>
  <c r="S15" i="140"/>
  <c r="V15" i="140" s="1"/>
  <c r="J7" i="140"/>
  <c r="T7" i="140" s="1"/>
  <c r="W7" i="140" s="1"/>
  <c r="T8" i="140"/>
  <c r="W8" i="140" s="1"/>
  <c r="N8" i="62"/>
  <c r="N44" i="62"/>
  <c r="N47" i="62"/>
  <c r="X19" i="7"/>
  <c r="BB10" i="86"/>
  <c r="BB8" i="86"/>
  <c r="BB60" i="86" s="1"/>
  <c r="I8" i="139"/>
  <c r="C62" i="139"/>
  <c r="O8" i="139"/>
  <c r="U8" i="139"/>
  <c r="Z8" i="139"/>
  <c r="AF27" i="87"/>
  <c r="AF28" i="87"/>
  <c r="AF30" i="87"/>
  <c r="AF23" i="87"/>
  <c r="AF11" i="87"/>
  <c r="AF18" i="87"/>
  <c r="AF35" i="87"/>
  <c r="AF7" i="87"/>
  <c r="AF21" i="87"/>
  <c r="AF25" i="87"/>
  <c r="AG7" i="87"/>
  <c r="AF12" i="87"/>
  <c r="AF16" i="87"/>
  <c r="AF17" i="87"/>
  <c r="AF26" i="87"/>
  <c r="AF22" i="87"/>
  <c r="AF24" i="87"/>
  <c r="AF9" i="87"/>
  <c r="AE2" i="87"/>
  <c r="AF34" i="87"/>
  <c r="AF29" i="87"/>
  <c r="AF36" i="87"/>
  <c r="AF10" i="87"/>
  <c r="AF20" i="87"/>
  <c r="AF19" i="87"/>
  <c r="AF33" i="87"/>
  <c r="AF15" i="87"/>
  <c r="AF14" i="87"/>
  <c r="U31" i="140"/>
  <c r="R31" i="140"/>
  <c r="K8" i="140"/>
  <c r="M9" i="140"/>
  <c r="AY10" i="87"/>
  <c r="BB9" i="87"/>
  <c r="M62" i="38"/>
  <c r="P20" i="140"/>
  <c r="M20" i="140"/>
  <c r="BA24" i="87"/>
  <c r="W43" i="139"/>
  <c r="AB43" i="139" s="1"/>
  <c r="R43" i="139"/>
  <c r="K69" i="87"/>
  <c r="L29" i="87"/>
  <c r="AZ38" i="87"/>
  <c r="AU38" i="87"/>
  <c r="AP38" i="87"/>
  <c r="U92" i="87"/>
  <c r="L11" i="87"/>
  <c r="AA35" i="87"/>
  <c r="AF38" i="87"/>
  <c r="L25" i="87"/>
  <c r="K87" i="87"/>
  <c r="L38" i="87"/>
  <c r="L26" i="87"/>
  <c r="L12" i="87"/>
  <c r="L10" i="87"/>
  <c r="L28" i="87"/>
  <c r="M7" i="87"/>
  <c r="L35" i="87"/>
  <c r="L22" i="87"/>
  <c r="AA36" i="87"/>
  <c r="V36" i="87"/>
  <c r="L7" i="87"/>
  <c r="L18" i="87"/>
  <c r="L16" i="87"/>
  <c r="AK38" i="87"/>
  <c r="V35" i="87"/>
  <c r="L24" i="87"/>
  <c r="L20" i="87"/>
  <c r="L23" i="87"/>
  <c r="L36" i="87"/>
  <c r="AA38" i="87"/>
  <c r="L21" i="87"/>
  <c r="L19" i="87"/>
  <c r="V38" i="87"/>
  <c r="L15" i="87"/>
  <c r="V34" i="87"/>
  <c r="L27" i="87"/>
  <c r="L9" i="87"/>
  <c r="L34" i="87"/>
  <c r="L14" i="87"/>
  <c r="L17" i="87"/>
  <c r="AZ10" i="86"/>
  <c r="AZ8" i="86"/>
  <c r="AZ60" i="86" s="1"/>
  <c r="AI47" i="48"/>
  <c r="AI42" i="48"/>
  <c r="AI44" i="48"/>
  <c r="AI45" i="48"/>
  <c r="K17" i="140"/>
  <c r="P18" i="140"/>
  <c r="M18" i="140"/>
  <c r="AT9" i="87"/>
  <c r="AV10" i="87"/>
  <c r="AQ9" i="87"/>
  <c r="F64" i="34"/>
  <c r="I10" i="139"/>
  <c r="Z10" i="139"/>
  <c r="U10" i="139"/>
  <c r="O10" i="139"/>
  <c r="BL39" i="86"/>
  <c r="BH39" i="86"/>
  <c r="BG39" i="86" s="1"/>
  <c r="BG9" i="86" s="1"/>
  <c r="BF9" i="86"/>
  <c r="R14" i="140"/>
  <c r="U14" i="140"/>
  <c r="O53" i="139"/>
  <c r="T53" i="139"/>
  <c r="N61" i="139"/>
  <c r="T61" i="139" s="1"/>
  <c r="AB27" i="62"/>
  <c r="Z27" i="62"/>
  <c r="AI46" i="48"/>
  <c r="E27" i="30"/>
  <c r="W21" i="30"/>
  <c r="M21" i="30"/>
  <c r="M37" i="30" s="1"/>
  <c r="M36" i="30" s="1"/>
  <c r="D37" i="30"/>
  <c r="D36" i="30" s="1"/>
  <c r="G21" i="97"/>
  <c r="G28" i="97"/>
  <c r="G17" i="97"/>
  <c r="G26" i="97"/>
  <c r="G18" i="97"/>
  <c r="G20" i="97"/>
  <c r="G29" i="97"/>
  <c r="G35" i="97"/>
  <c r="G23" i="97"/>
  <c r="G24" i="97"/>
  <c r="G16" i="97"/>
  <c r="G30" i="97"/>
  <c r="G27" i="97"/>
  <c r="G10" i="97"/>
  <c r="G11" i="97"/>
  <c r="G15" i="97"/>
  <c r="G19" i="97"/>
  <c r="G22" i="97"/>
  <c r="G7" i="97"/>
  <c r="G12" i="97"/>
  <c r="G25" i="97"/>
  <c r="G9" i="97"/>
  <c r="Q28" i="62"/>
  <c r="Q7" i="62" s="1"/>
  <c r="Q53" i="62"/>
  <c r="J8" i="139"/>
  <c r="J62" i="139" s="1"/>
  <c r="J10" i="139"/>
  <c r="R25" i="140"/>
  <c r="U25" i="140"/>
  <c r="P9" i="140"/>
  <c r="U10" i="140"/>
  <c r="U9" i="140" s="1"/>
  <c r="R10" i="140"/>
  <c r="AX144" i="88"/>
  <c r="AX101" i="88"/>
  <c r="AX113" i="88"/>
  <c r="AX153" i="88"/>
  <c r="AX138" i="88"/>
  <c r="AX119" i="88"/>
  <c r="AX147" i="88"/>
  <c r="AY101" i="88"/>
  <c r="BE101" i="88" s="1"/>
  <c r="AX110" i="88"/>
  <c r="AX141" i="88"/>
  <c r="AX107" i="88"/>
  <c r="AX116" i="88"/>
  <c r="AX128" i="88"/>
  <c r="AX122" i="88"/>
  <c r="AX125" i="88"/>
  <c r="AX150" i="88"/>
  <c r="M62" i="7"/>
  <c r="P27" i="140"/>
  <c r="M27" i="140"/>
  <c r="I64" i="34"/>
  <c r="AX89" i="88"/>
  <c r="AX88" i="88"/>
  <c r="AX85" i="88"/>
  <c r="AX90" i="88"/>
  <c r="AX87" i="88"/>
  <c r="AX92" i="88"/>
  <c r="AX86" i="88"/>
  <c r="AY85" i="88"/>
  <c r="S8" i="139"/>
  <c r="S10" i="139"/>
  <c r="Y10" i="139" s="1"/>
  <c r="AD10" i="139" s="1"/>
  <c r="Z25" i="38"/>
  <c r="W24" i="38"/>
  <c r="W20" i="38" s="1"/>
  <c r="W18" i="38" s="1"/>
  <c r="L67" i="96"/>
  <c r="L60" i="96"/>
  <c r="T30" i="62"/>
  <c r="V30" i="62"/>
  <c r="L43" i="139"/>
  <c r="L9" i="139" s="1"/>
  <c r="K9" i="139"/>
  <c r="X39" i="139"/>
  <c r="R19" i="140"/>
  <c r="U19" i="140"/>
  <c r="AH95" i="88"/>
  <c r="AH99" i="88"/>
  <c r="O29" i="7"/>
  <c r="Q27" i="7"/>
  <c r="Q20" i="7" s="1"/>
  <c r="Q18" i="7" s="1"/>
  <c r="R55" i="139"/>
  <c r="X55" i="139" s="1"/>
  <c r="AC55" i="139" s="1"/>
  <c r="X56" i="139"/>
  <c r="AC56" i="139" s="1"/>
  <c r="F15" i="140"/>
  <c r="F8" i="140" s="1"/>
  <c r="I8" i="140"/>
  <c r="X54" i="139"/>
  <c r="AC54" i="139" s="1"/>
  <c r="I62" i="7"/>
  <c r="N44" i="97"/>
  <c r="N46" i="97"/>
  <c r="W24" i="7"/>
  <c r="Z25" i="7"/>
  <c r="Q9" i="139"/>
  <c r="AA22" i="87"/>
  <c r="AA27" i="87"/>
  <c r="AA26" i="87"/>
  <c r="Z2" i="87"/>
  <c r="AA11" i="87"/>
  <c r="AA10" i="87"/>
  <c r="AA15" i="87"/>
  <c r="AA21" i="87"/>
  <c r="AA34" i="87"/>
  <c r="AA25" i="87"/>
  <c r="AA23" i="87"/>
  <c r="AA19" i="87"/>
  <c r="AA28" i="87"/>
  <c r="AA29" i="87"/>
  <c r="AA16" i="87"/>
  <c r="AA7" i="87"/>
  <c r="AA12" i="87"/>
  <c r="AB7" i="87"/>
  <c r="AA30" i="87"/>
  <c r="AA20" i="87"/>
  <c r="AA24" i="87"/>
  <c r="AA18" i="87"/>
  <c r="AA14" i="87"/>
  <c r="AA17" i="87"/>
  <c r="P8" i="139"/>
  <c r="P10" i="139"/>
  <c r="AH133" i="88"/>
  <c r="AV131" i="88"/>
  <c r="AH132" i="88"/>
  <c r="AO132" i="88"/>
  <c r="E8" i="139"/>
  <c r="E62" i="139" s="1"/>
  <c r="E10" i="139"/>
  <c r="V11" i="97"/>
  <c r="V16" i="97"/>
  <c r="V18" i="97"/>
  <c r="V30" i="97"/>
  <c r="V24" i="97"/>
  <c r="V23" i="97"/>
  <c r="V7" i="97"/>
  <c r="V25" i="97"/>
  <c r="V17" i="97"/>
  <c r="V26" i="97"/>
  <c r="V20" i="97"/>
  <c r="V10" i="97"/>
  <c r="V27" i="97"/>
  <c r="V28" i="97"/>
  <c r="V21" i="97"/>
  <c r="V9" i="97"/>
  <c r="W7" i="97"/>
  <c r="V35" i="97"/>
  <c r="V19" i="97"/>
  <c r="V31" i="97"/>
  <c r="V29" i="97"/>
  <c r="V22" i="97"/>
  <c r="V12" i="97"/>
  <c r="V15" i="97"/>
  <c r="W29" i="7"/>
  <c r="R29" i="7"/>
  <c r="T27" i="7"/>
  <c r="T20" i="7" s="1"/>
  <c r="T18" i="7" s="1"/>
  <c r="I62" i="38"/>
  <c r="H9" i="140"/>
  <c r="AB39" i="139"/>
  <c r="BA10" i="86"/>
  <c r="BA8" i="86"/>
  <c r="BA60" i="86" s="1"/>
  <c r="Q24" i="38"/>
  <c r="T25" i="38"/>
  <c r="C13" i="60"/>
  <c r="Q81" i="60"/>
  <c r="Q80" i="60" s="1"/>
  <c r="P82" i="60"/>
  <c r="C82" i="60" s="1"/>
  <c r="P81" i="13"/>
  <c r="C44" i="149"/>
  <c r="BC24" i="5"/>
  <c r="BD24" i="5" s="1"/>
  <c r="O29" i="44"/>
  <c r="C43" i="149"/>
  <c r="C43" i="65"/>
  <c r="P106" i="60"/>
  <c r="C106" i="60" s="1"/>
  <c r="AA80" i="60"/>
  <c r="AA11" i="60" s="1"/>
  <c r="AA10" i="60" s="1"/>
  <c r="AA11" i="13"/>
  <c r="AA10" i="13" s="1"/>
  <c r="C46" i="149"/>
  <c r="M34" i="44"/>
  <c r="C46" i="65"/>
  <c r="AC11" i="60"/>
  <c r="AC10" i="60" s="1"/>
  <c r="C47" i="149"/>
  <c r="C47" i="65"/>
  <c r="M30" i="46"/>
  <c r="M30" i="45"/>
  <c r="Z70" i="43"/>
  <c r="Z68" i="43" s="1"/>
  <c r="AA68" i="43"/>
  <c r="AJ42" i="44"/>
  <c r="AE41" i="44"/>
  <c r="AB42" i="44"/>
  <c r="AI70" i="43"/>
  <c r="AG70" i="43"/>
  <c r="AG70" i="150" s="1"/>
  <c r="AF70" i="150" s="1"/>
  <c r="BE70" i="150" s="1"/>
  <c r="AC68" i="43"/>
  <c r="C15" i="149"/>
  <c r="C12" i="149" s="1"/>
  <c r="C15" i="65"/>
  <c r="C12" i="65" s="1"/>
  <c r="U57" i="43"/>
  <c r="O60" i="46"/>
  <c r="J25" i="46"/>
  <c r="J21" i="46" s="1"/>
  <c r="J18" i="46" s="1"/>
  <c r="I26" i="46"/>
  <c r="I25" i="46" s="1"/>
  <c r="I21" i="46" s="1"/>
  <c r="I18" i="46" s="1"/>
  <c r="M23" i="45"/>
  <c r="Z63" i="43"/>
  <c r="AC63" i="43"/>
  <c r="M23" i="46"/>
  <c r="O60" i="45"/>
  <c r="P59" i="45"/>
  <c r="J25" i="45"/>
  <c r="J21" i="45" s="1"/>
  <c r="J18" i="45" s="1"/>
  <c r="Z25" i="46"/>
  <c r="Z21" i="46" s="1"/>
  <c r="Z18" i="46" s="1"/>
  <c r="C23" i="54"/>
  <c r="C38" i="159" s="1"/>
  <c r="C35" i="159" s="1"/>
  <c r="BF78" i="41"/>
  <c r="BG78" i="41" s="1"/>
  <c r="L59" i="46"/>
  <c r="AA66" i="43"/>
  <c r="AA66" i="150" s="1"/>
  <c r="W65" i="43"/>
  <c r="BD36" i="5"/>
  <c r="L59" i="45"/>
  <c r="C155" i="13"/>
  <c r="N59" i="43"/>
  <c r="N58" i="43" s="1"/>
  <c r="O58" i="43"/>
  <c r="J57" i="43"/>
  <c r="J73" i="43" s="1"/>
  <c r="J79" i="43"/>
  <c r="J80" i="43" s="1"/>
  <c r="J78" i="43"/>
  <c r="M12" i="43"/>
  <c r="M10" i="43"/>
  <c r="M73" i="43" s="1"/>
  <c r="K14" i="44"/>
  <c r="G15" i="45"/>
  <c r="G15" i="46"/>
  <c r="F15" i="46" s="1"/>
  <c r="N50" i="43"/>
  <c r="O11" i="43"/>
  <c r="BA72" i="41"/>
  <c r="I70" i="46"/>
  <c r="I70" i="45"/>
  <c r="C45" i="58"/>
  <c r="C60" i="54"/>
  <c r="BC46" i="5"/>
  <c r="C67" i="149"/>
  <c r="AW12" i="43"/>
  <c r="AW10" i="43"/>
  <c r="AW73" i="43" s="1"/>
  <c r="AX46" i="43"/>
  <c r="AJ123" i="89" l="1"/>
  <c r="AN123" i="89" s="1"/>
  <c r="AB123" i="89"/>
  <c r="AD100" i="89"/>
  <c r="AD88" i="89"/>
  <c r="AB126" i="89"/>
  <c r="AJ126" i="89"/>
  <c r="AN126" i="89" s="1"/>
  <c r="AM75" i="89"/>
  <c r="AJ88" i="89"/>
  <c r="AM88" i="89" s="1"/>
  <c r="AJ103" i="89"/>
  <c r="AM103" i="89" s="1"/>
  <c r="AA106" i="89"/>
  <c r="Y107" i="89"/>
  <c r="Y110" i="89"/>
  <c r="Y116" i="89"/>
  <c r="Y113" i="89"/>
  <c r="AB113" i="89" s="1"/>
  <c r="Y117" i="89"/>
  <c r="AD66" i="89"/>
  <c r="L7" i="100"/>
  <c r="AA32" i="100" s="1"/>
  <c r="AB32" i="100"/>
  <c r="AB33" i="100" s="1"/>
  <c r="AB36" i="100" s="1"/>
  <c r="AB37" i="100" s="1"/>
  <c r="AD57" i="89"/>
  <c r="AM111" i="89"/>
  <c r="AB129" i="89"/>
  <c r="AJ129" i="89"/>
  <c r="AN129" i="89" s="1"/>
  <c r="Y146" i="89"/>
  <c r="AA183" i="89"/>
  <c r="Y149" i="89"/>
  <c r="Y138" i="89"/>
  <c r="Y152" i="89"/>
  <c r="AA9" i="89"/>
  <c r="AM57" i="89"/>
  <c r="AJ100" i="89"/>
  <c r="AM100" i="89" s="1"/>
  <c r="AJ72" i="89"/>
  <c r="AM72" i="89" s="1"/>
  <c r="AK109" i="89"/>
  <c r="AJ109" i="89"/>
  <c r="AN109" i="89" s="1"/>
  <c r="AZ103" i="89"/>
  <c r="AY103" i="89"/>
  <c r="AY88" i="89"/>
  <c r="AZ88" i="89"/>
  <c r="AJ69" i="89"/>
  <c r="AI149" i="89"/>
  <c r="AY149" i="89" s="1"/>
  <c r="AI146" i="89"/>
  <c r="AY146" i="89" s="1"/>
  <c r="AI152" i="89"/>
  <c r="AY152" i="89" s="1"/>
  <c r="AO9" i="89"/>
  <c r="AU9" i="89" s="1"/>
  <c r="AI138" i="89"/>
  <c r="AZ9" i="89"/>
  <c r="AI183" i="89"/>
  <c r="AY69" i="89"/>
  <c r="AZ69" i="89"/>
  <c r="AY66" i="89"/>
  <c r="AZ66" i="89"/>
  <c r="AY57" i="89"/>
  <c r="AZ57" i="89"/>
  <c r="BD95" i="88"/>
  <c r="BD99" i="88"/>
  <c r="BD133" i="88"/>
  <c r="BD132" i="88"/>
  <c r="AM104" i="89"/>
  <c r="AN104" i="89"/>
  <c r="AY94" i="89"/>
  <c r="AZ94" i="89"/>
  <c r="AY62" i="89"/>
  <c r="AZ62" i="89"/>
  <c r="AJ79" i="89"/>
  <c r="AJ66" i="89"/>
  <c r="AJ105" i="89"/>
  <c r="AH110" i="89"/>
  <c r="AH117" i="89"/>
  <c r="AH106" i="89"/>
  <c r="AH116" i="89"/>
  <c r="AH113" i="89"/>
  <c r="AJ113" i="89" s="1"/>
  <c r="AH107" i="89"/>
  <c r="AY72" i="89"/>
  <c r="AZ72" i="89"/>
  <c r="AZ97" i="89"/>
  <c r="AY97" i="89"/>
  <c r="AJ85" i="89"/>
  <c r="AJ97" i="89"/>
  <c r="AY104" i="89"/>
  <c r="AZ104" i="89"/>
  <c r="AI110" i="89"/>
  <c r="AY105" i="89"/>
  <c r="AI117" i="89"/>
  <c r="AZ105" i="89"/>
  <c r="AI107" i="89"/>
  <c r="AI116" i="89"/>
  <c r="AI106" i="89"/>
  <c r="AZ113" i="89"/>
  <c r="AY113" i="89"/>
  <c r="AY75" i="89"/>
  <c r="AZ75" i="89"/>
  <c r="AY82" i="89"/>
  <c r="AZ82" i="89"/>
  <c r="AJ94" i="89"/>
  <c r="AJ82" i="89"/>
  <c r="AM24" i="89"/>
  <c r="AM127" i="89"/>
  <c r="AM115" i="89"/>
  <c r="AM46" i="89"/>
  <c r="AM139" i="89"/>
  <c r="AM98" i="89"/>
  <c r="AM133" i="89"/>
  <c r="AM32" i="89"/>
  <c r="AM20" i="89"/>
  <c r="AM23" i="89"/>
  <c r="AM16" i="89"/>
  <c r="AM52" i="89"/>
  <c r="AM30" i="89"/>
  <c r="AM12" i="89"/>
  <c r="AM29" i="89"/>
  <c r="AM21" i="89"/>
  <c r="AM84" i="89"/>
  <c r="AM131" i="89"/>
  <c r="AM135" i="89"/>
  <c r="AM60" i="89"/>
  <c r="AM129" i="89"/>
  <c r="AM71" i="89"/>
  <c r="AM130" i="89"/>
  <c r="AM35" i="89"/>
  <c r="AM121" i="89"/>
  <c r="AM134" i="89"/>
  <c r="AM114" i="89"/>
  <c r="AM80" i="89"/>
  <c r="AM92" i="89"/>
  <c r="AM41" i="89"/>
  <c r="AM83" i="89"/>
  <c r="AM59" i="89"/>
  <c r="AM123" i="89"/>
  <c r="AM137" i="89"/>
  <c r="AM26" i="89"/>
  <c r="AM19" i="89"/>
  <c r="AM67" i="89"/>
  <c r="AM17" i="89"/>
  <c r="AM33" i="89"/>
  <c r="AM22" i="89"/>
  <c r="AM126" i="89"/>
  <c r="AM81" i="89"/>
  <c r="AM101" i="89"/>
  <c r="AM122" i="89"/>
  <c r="AM28" i="89"/>
  <c r="AM93" i="89"/>
  <c r="AM14" i="89"/>
  <c r="AM70" i="89"/>
  <c r="AM99" i="89"/>
  <c r="AM87" i="89"/>
  <c r="AM86" i="89"/>
  <c r="AM90" i="89"/>
  <c r="AJ8" i="89"/>
  <c r="AM53" i="89"/>
  <c r="AM50" i="89"/>
  <c r="AM10" i="89"/>
  <c r="AM125" i="89"/>
  <c r="AM77" i="89"/>
  <c r="AM13" i="89"/>
  <c r="AM65" i="89"/>
  <c r="AM128" i="89"/>
  <c r="AM95" i="89"/>
  <c r="AM15" i="89"/>
  <c r="AM25" i="89"/>
  <c r="AM108" i="89"/>
  <c r="AM11" i="89"/>
  <c r="AM136" i="89"/>
  <c r="AM45" i="89"/>
  <c r="AM64" i="89"/>
  <c r="AM42" i="89"/>
  <c r="AM132" i="89"/>
  <c r="AM102" i="89"/>
  <c r="AM51" i="89"/>
  <c r="AM124" i="89"/>
  <c r="AM109" i="89"/>
  <c r="AM120" i="89"/>
  <c r="AM47" i="89"/>
  <c r="AM43" i="89"/>
  <c r="AM78" i="89"/>
  <c r="AM44" i="89"/>
  <c r="AM18" i="89"/>
  <c r="AM76" i="89"/>
  <c r="AM27" i="89"/>
  <c r="AM89" i="89"/>
  <c r="AM31" i="89"/>
  <c r="AM58" i="89"/>
  <c r="AZ112" i="89"/>
  <c r="AY112" i="89"/>
  <c r="AZ91" i="89"/>
  <c r="AY91" i="89"/>
  <c r="AM61" i="89"/>
  <c r="AN61" i="89"/>
  <c r="AN63" i="89"/>
  <c r="AM63" i="89"/>
  <c r="AN66" i="89"/>
  <c r="AN69" i="89"/>
  <c r="AM56" i="89"/>
  <c r="AN56" i="89"/>
  <c r="AY85" i="89"/>
  <c r="AZ85" i="89"/>
  <c r="AZ79" i="89"/>
  <c r="AY79" i="89"/>
  <c r="AI9" i="89"/>
  <c r="AH138" i="89"/>
  <c r="AH146" i="89"/>
  <c r="AH9" i="89"/>
  <c r="AH152" i="89"/>
  <c r="AH149" i="89"/>
  <c r="AJ149" i="89" s="1"/>
  <c r="AY63" i="89"/>
  <c r="AZ63" i="89"/>
  <c r="AZ100" i="89"/>
  <c r="AY100" i="89"/>
  <c r="AJ91" i="89"/>
  <c r="L33" i="7"/>
  <c r="C14" i="64"/>
  <c r="C14" i="164"/>
  <c r="C11" i="64"/>
  <c r="C11" i="164"/>
  <c r="AR190" i="88"/>
  <c r="AV190" i="88" s="1"/>
  <c r="AR65" i="88"/>
  <c r="AR181" i="88"/>
  <c r="AR64" i="88"/>
  <c r="AW64" i="88" s="1"/>
  <c r="AZ56" i="88"/>
  <c r="C20" i="64"/>
  <c r="C20" i="164"/>
  <c r="AD85" i="89"/>
  <c r="G36" i="6"/>
  <c r="F36" i="6" s="1"/>
  <c r="K11" i="4"/>
  <c r="H13" i="4"/>
  <c r="K13" i="33"/>
  <c r="G36" i="34"/>
  <c r="F36" i="34" s="1"/>
  <c r="G36" i="7"/>
  <c r="F36" i="7" s="1"/>
  <c r="G36" i="39"/>
  <c r="F36" i="39" s="1"/>
  <c r="G36" i="35"/>
  <c r="F36" i="35" s="1"/>
  <c r="G36" i="38"/>
  <c r="F36" i="38" s="1"/>
  <c r="C33" i="154"/>
  <c r="E54" i="154"/>
  <c r="C45" i="169"/>
  <c r="C46" i="158"/>
  <c r="C26" i="73"/>
  <c r="AD11" i="22"/>
  <c r="AD10" i="22" s="1"/>
  <c r="J21" i="153"/>
  <c r="J18" i="153" s="1"/>
  <c r="BH42" i="1"/>
  <c r="N16" i="31"/>
  <c r="AK112" i="89"/>
  <c r="AJ112" i="89"/>
  <c r="AB112" i="89"/>
  <c r="AA186" i="89"/>
  <c r="AB9" i="139"/>
  <c r="AJ38" i="162"/>
  <c r="J9" i="89"/>
  <c r="G10" i="164"/>
  <c r="C15" i="64"/>
  <c r="C15" i="164"/>
  <c r="F28" i="152"/>
  <c r="F9" i="151"/>
  <c r="AV181" i="88"/>
  <c r="AB19" i="94"/>
  <c r="X19" i="94"/>
  <c r="Y19" i="94"/>
  <c r="T100" i="89"/>
  <c r="AN100" i="89" s="1"/>
  <c r="AD94" i="89"/>
  <c r="F14" i="7"/>
  <c r="G72" i="7"/>
  <c r="F72" i="7" s="1"/>
  <c r="C34" i="161"/>
  <c r="D28" i="160"/>
  <c r="C28" i="160" s="1"/>
  <c r="J50" i="153"/>
  <c r="C34" i="149"/>
  <c r="P25" i="151"/>
  <c r="M25" i="151" s="1"/>
  <c r="J50" i="152"/>
  <c r="J50" i="46"/>
  <c r="D28" i="58"/>
  <c r="J50" i="45"/>
  <c r="C34" i="65"/>
  <c r="M24" i="44"/>
  <c r="J38" i="4"/>
  <c r="J30" i="33" s="1"/>
  <c r="BB38" i="5"/>
  <c r="BF38" i="5" s="1"/>
  <c r="H30" i="33"/>
  <c r="V10" i="164"/>
  <c r="P12" i="164"/>
  <c r="N12" i="164" s="1"/>
  <c r="R36" i="38"/>
  <c r="C34" i="39"/>
  <c r="C16" i="64"/>
  <c r="C16" i="164"/>
  <c r="P33" i="151"/>
  <c r="C44" i="161"/>
  <c r="E8" i="45"/>
  <c r="AN38" i="151"/>
  <c r="U59" i="153"/>
  <c r="Q118" i="89"/>
  <c r="Q119" i="89"/>
  <c r="BB42" i="150"/>
  <c r="BC42" i="150"/>
  <c r="T97" i="89"/>
  <c r="AN97" i="89" s="1"/>
  <c r="T79" i="89"/>
  <c r="AN79" i="89" s="1"/>
  <c r="Q99" i="88"/>
  <c r="T88" i="89"/>
  <c r="T85" i="89"/>
  <c r="AN85" i="89" s="1"/>
  <c r="S117" i="89"/>
  <c r="T117" i="89" s="1"/>
  <c r="T119" i="89" s="1"/>
  <c r="S106" i="89"/>
  <c r="U106" i="89" s="1"/>
  <c r="S116" i="89"/>
  <c r="AB116" i="89" s="1"/>
  <c r="S110" i="89"/>
  <c r="AB110" i="89" s="1"/>
  <c r="Y106" i="89"/>
  <c r="AB105" i="89"/>
  <c r="G70" i="36"/>
  <c r="G72" i="36" s="1"/>
  <c r="G13" i="64"/>
  <c r="G13" i="164"/>
  <c r="C22" i="169"/>
  <c r="C19" i="169" s="1"/>
  <c r="C23" i="158"/>
  <c r="C20" i="158" s="1"/>
  <c r="AK62" i="89"/>
  <c r="AB62" i="89"/>
  <c r="AJ62" i="89"/>
  <c r="AH123" i="162"/>
  <c r="C123" i="162" s="1"/>
  <c r="AI10" i="162"/>
  <c r="D59" i="154"/>
  <c r="D57" i="154" s="1"/>
  <c r="J43" i="44"/>
  <c r="AD56" i="89"/>
  <c r="AD120" i="89"/>
  <c r="AD89" i="89"/>
  <c r="AD76" i="89"/>
  <c r="AD52" i="89"/>
  <c r="AD45" i="89"/>
  <c r="AD136" i="89"/>
  <c r="AD43" i="89"/>
  <c r="AD26" i="89"/>
  <c r="AD24" i="89"/>
  <c r="AD77" i="89"/>
  <c r="AD128" i="89"/>
  <c r="AD11" i="89"/>
  <c r="AD114" i="89"/>
  <c r="AD65" i="89"/>
  <c r="AD44" i="89"/>
  <c r="AD80" i="89"/>
  <c r="AD15" i="89"/>
  <c r="AD22" i="89"/>
  <c r="AD25" i="89"/>
  <c r="AD115" i="89"/>
  <c r="AD133" i="89"/>
  <c r="AD31" i="89"/>
  <c r="AD70" i="89"/>
  <c r="AD20" i="89"/>
  <c r="AD51" i="89"/>
  <c r="AD102" i="89"/>
  <c r="AD36" i="89"/>
  <c r="AD27" i="89"/>
  <c r="AD50" i="89"/>
  <c r="AD46" i="89"/>
  <c r="AD19" i="89"/>
  <c r="AD135" i="89"/>
  <c r="AD29" i="89"/>
  <c r="AD139" i="89"/>
  <c r="AD101" i="89"/>
  <c r="AD127" i="89"/>
  <c r="AD129" i="89"/>
  <c r="AD12" i="89"/>
  <c r="AD131" i="89"/>
  <c r="AD78" i="89"/>
  <c r="AD137" i="89"/>
  <c r="AD98" i="89"/>
  <c r="AD53" i="89"/>
  <c r="AD33" i="89"/>
  <c r="AD132" i="89"/>
  <c r="AD68" i="89"/>
  <c r="AD59" i="89"/>
  <c r="AD64" i="89"/>
  <c r="AD108" i="89"/>
  <c r="AD121" i="89"/>
  <c r="AD123" i="89"/>
  <c r="AD87" i="89"/>
  <c r="AD60" i="89"/>
  <c r="AD17" i="89"/>
  <c r="AD35" i="89"/>
  <c r="AD124" i="89"/>
  <c r="AD42" i="89"/>
  <c r="AD58" i="89"/>
  <c r="AD14" i="89"/>
  <c r="AD93" i="89"/>
  <c r="AD83" i="89"/>
  <c r="AD90" i="89"/>
  <c r="AD10" i="89"/>
  <c r="AD126" i="89"/>
  <c r="AD71" i="89"/>
  <c r="AD92" i="89"/>
  <c r="AD30" i="89"/>
  <c r="AD13" i="89"/>
  <c r="AD134" i="89"/>
  <c r="AD41" i="89"/>
  <c r="AD16" i="89"/>
  <c r="AD99" i="89"/>
  <c r="AD32" i="89"/>
  <c r="AD18" i="89"/>
  <c r="AD95" i="89"/>
  <c r="AD130" i="89"/>
  <c r="AD86" i="89"/>
  <c r="AD28" i="89"/>
  <c r="AD84" i="89"/>
  <c r="AD21" i="89"/>
  <c r="AD23" i="89"/>
  <c r="AD125" i="89"/>
  <c r="AD47" i="89"/>
  <c r="AD67" i="89"/>
  <c r="AD81" i="89"/>
  <c r="J44" i="151"/>
  <c r="P11" i="164"/>
  <c r="S52" i="7"/>
  <c r="E12" i="164"/>
  <c r="G72" i="38"/>
  <c r="F72" i="38" s="1"/>
  <c r="F14" i="38"/>
  <c r="T91" i="89"/>
  <c r="AN91" i="89" s="1"/>
  <c r="T103" i="89"/>
  <c r="AN103" i="89" s="1"/>
  <c r="S107" i="89"/>
  <c r="AB107" i="89" s="1"/>
  <c r="S149" i="89"/>
  <c r="AB8" i="89"/>
  <c r="S183" i="89"/>
  <c r="Y9" i="89"/>
  <c r="S138" i="89"/>
  <c r="AB138" i="89" s="1"/>
  <c r="S152" i="89"/>
  <c r="Y183" i="89"/>
  <c r="S9" i="89"/>
  <c r="U9" i="89" s="1"/>
  <c r="S146" i="89"/>
  <c r="T146" i="89" s="1"/>
  <c r="T72" i="89"/>
  <c r="AN72" i="89" s="1"/>
  <c r="P13" i="164"/>
  <c r="N13" i="164" s="1"/>
  <c r="BM11" i="43"/>
  <c r="T149" i="89"/>
  <c r="BI10" i="5"/>
  <c r="C10" i="164"/>
  <c r="U87" i="43"/>
  <c r="C15" i="161"/>
  <c r="C12" i="161" s="1"/>
  <c r="V17" i="64"/>
  <c r="V17" i="164"/>
  <c r="Z24" i="39"/>
  <c r="Z20" i="39" s="1"/>
  <c r="Z18" i="39" s="1"/>
  <c r="AC25" i="39"/>
  <c r="AC24" i="39" s="1"/>
  <c r="L10" i="4"/>
  <c r="L11" i="33"/>
  <c r="C11" i="159"/>
  <c r="C10" i="159" s="1"/>
  <c r="T82" i="89"/>
  <c r="AN82" i="89" s="1"/>
  <c r="C31" i="72"/>
  <c r="AK104" i="89"/>
  <c r="AD104" i="89"/>
  <c r="T94" i="89"/>
  <c r="AN94" i="89" s="1"/>
  <c r="P29" i="151"/>
  <c r="M29" i="151" s="1"/>
  <c r="O29" i="151" s="1"/>
  <c r="C40" i="161"/>
  <c r="E11" i="164"/>
  <c r="F11" i="164" s="1"/>
  <c r="T152" i="89"/>
  <c r="E8" i="154"/>
  <c r="C9" i="169"/>
  <c r="C8" i="169" s="1"/>
  <c r="C10" i="158"/>
  <c r="C9" i="158" s="1"/>
  <c r="C88" i="80"/>
  <c r="C83" i="80" s="1"/>
  <c r="K17" i="63"/>
  <c r="P106" i="162"/>
  <c r="C106" i="162" s="1"/>
  <c r="AA80" i="162"/>
  <c r="AA11" i="162" s="1"/>
  <c r="AA10" i="162" s="1"/>
  <c r="AV56" i="88"/>
  <c r="AY56" i="88" s="1"/>
  <c r="BD42" i="41"/>
  <c r="BE42" i="41"/>
  <c r="AC79" i="89"/>
  <c r="AD79" i="89"/>
  <c r="L19" i="45"/>
  <c r="T19" i="45"/>
  <c r="Q19" i="45"/>
  <c r="O19" i="45" s="1"/>
  <c r="K11" i="37"/>
  <c r="K10" i="37" s="1"/>
  <c r="H13" i="37"/>
  <c r="AA62" i="43"/>
  <c r="AC64" i="43"/>
  <c r="J96" i="150"/>
  <c r="BO19" i="150"/>
  <c r="J92" i="150"/>
  <c r="T57" i="43"/>
  <c r="D97" i="150"/>
  <c r="N57" i="43"/>
  <c r="M24" i="152"/>
  <c r="L24" i="152" s="1"/>
  <c r="D73" i="150"/>
  <c r="H18" i="45"/>
  <c r="G69" i="45" s="1"/>
  <c r="F69" i="45" s="1"/>
  <c r="D99" i="150"/>
  <c r="M24" i="153"/>
  <c r="L24" i="153" s="1"/>
  <c r="L10" i="150"/>
  <c r="C13" i="154"/>
  <c r="D15" i="154"/>
  <c r="M24" i="46"/>
  <c r="L24" i="46" s="1"/>
  <c r="C12" i="152"/>
  <c r="D17" i="152"/>
  <c r="C17" i="152" s="1"/>
  <c r="G82" i="43"/>
  <c r="G12" i="43"/>
  <c r="H73" i="43"/>
  <c r="H81" i="43" s="1"/>
  <c r="O120" i="43"/>
  <c r="N120" i="43" s="1"/>
  <c r="D12" i="45"/>
  <c r="G77" i="150"/>
  <c r="G11" i="150"/>
  <c r="G82" i="150" s="1"/>
  <c r="D10" i="152"/>
  <c r="D11" i="152" s="1"/>
  <c r="F21" i="45"/>
  <c r="F21" i="153"/>
  <c r="F18" i="153" s="1"/>
  <c r="F18" i="46"/>
  <c r="C8" i="153"/>
  <c r="BQ12" i="150"/>
  <c r="BQ10" i="150"/>
  <c r="V60" i="46"/>
  <c r="V60" i="45"/>
  <c r="N41" i="150"/>
  <c r="BP41" i="150"/>
  <c r="BO41" i="150" s="1"/>
  <c r="F20" i="112"/>
  <c r="G34" i="6"/>
  <c r="G33" i="6" s="1"/>
  <c r="G18" i="46"/>
  <c r="AC27" i="39"/>
  <c r="Y64" i="153"/>
  <c r="X64" i="153" s="1"/>
  <c r="Y64" i="152"/>
  <c r="X64" i="152" s="1"/>
  <c r="R30" i="150"/>
  <c r="BC30" i="150"/>
  <c r="BB30" i="150"/>
  <c r="Q11" i="150"/>
  <c r="X30" i="150"/>
  <c r="AN37" i="151"/>
  <c r="C34" i="153"/>
  <c r="K92" i="153"/>
  <c r="I92" i="153" s="1"/>
  <c r="I56" i="153"/>
  <c r="F15" i="152"/>
  <c r="G82" i="152"/>
  <c r="F82" i="152" s="1"/>
  <c r="AN31" i="4"/>
  <c r="BQ31" i="5"/>
  <c r="X66" i="153"/>
  <c r="O38" i="152"/>
  <c r="P10" i="150"/>
  <c r="P82" i="150"/>
  <c r="P12" i="150"/>
  <c r="V65" i="153"/>
  <c r="G34" i="39"/>
  <c r="G33" i="39" s="1"/>
  <c r="S64" i="46"/>
  <c r="R64" i="46" s="1"/>
  <c r="S64" i="45"/>
  <c r="R64" i="45" s="1"/>
  <c r="J106" i="89"/>
  <c r="BU51" i="41"/>
  <c r="BE4" i="3"/>
  <c r="O57" i="150"/>
  <c r="C59" i="153"/>
  <c r="BI16" i="43"/>
  <c r="BI13" i="43" s="1"/>
  <c r="BI11" i="43" s="1"/>
  <c r="BK13" i="43"/>
  <c r="C58" i="151"/>
  <c r="C10" i="151"/>
  <c r="M81" i="151"/>
  <c r="M82" i="151" s="1"/>
  <c r="O39" i="151"/>
  <c r="N51" i="150"/>
  <c r="BP51" i="150"/>
  <c r="BO51" i="150" s="1"/>
  <c r="AA50" i="39"/>
  <c r="AB84" i="39"/>
  <c r="AA84" i="39" s="1"/>
  <c r="O38" i="153"/>
  <c r="AD113" i="89"/>
  <c r="AC113" i="89"/>
  <c r="J78" i="150"/>
  <c r="J79" i="150"/>
  <c r="J80" i="150" s="1"/>
  <c r="U65" i="153"/>
  <c r="F7" i="87"/>
  <c r="F50" i="87"/>
  <c r="H8" i="87"/>
  <c r="R8" i="87" s="1"/>
  <c r="X60" i="152"/>
  <c r="K15" i="151"/>
  <c r="G39" i="153"/>
  <c r="G39" i="152"/>
  <c r="AB60" i="153"/>
  <c r="AB60" i="152"/>
  <c r="F34" i="39"/>
  <c r="BL11" i="5"/>
  <c r="F34" i="35"/>
  <c r="Y61" i="153"/>
  <c r="X61" i="153" s="1"/>
  <c r="Y61" i="152"/>
  <c r="X61" i="152" s="1"/>
  <c r="AW10" i="150"/>
  <c r="AW73" i="150" s="1"/>
  <c r="AW12" i="150"/>
  <c r="M10" i="150"/>
  <c r="M73" i="150" s="1"/>
  <c r="M12" i="150"/>
  <c r="F81" i="152"/>
  <c r="C59" i="152"/>
  <c r="F23" i="16"/>
  <c r="F35" i="16" s="1"/>
  <c r="F39" i="16"/>
  <c r="F37" i="16"/>
  <c r="N50" i="150"/>
  <c r="BP50" i="150"/>
  <c r="BO50" i="150" s="1"/>
  <c r="AQ12" i="150"/>
  <c r="AQ10" i="150"/>
  <c r="AQ73" i="150" s="1"/>
  <c r="AB66" i="153"/>
  <c r="AB66" i="152"/>
  <c r="AB59" i="38"/>
  <c r="AA59" i="38" s="1"/>
  <c r="Y59" i="6"/>
  <c r="X59" i="6" s="1"/>
  <c r="Y59" i="7"/>
  <c r="X59" i="7" s="1"/>
  <c r="AB59" i="39"/>
  <c r="AA59" i="39" s="1"/>
  <c r="AL43" i="4"/>
  <c r="BQ43" i="5" s="1"/>
  <c r="BS43" i="5" s="1"/>
  <c r="J13" i="151"/>
  <c r="D11" i="151"/>
  <c r="D10" i="151" s="1"/>
  <c r="BP31" i="5"/>
  <c r="W31" i="16"/>
  <c r="Y29" i="37"/>
  <c r="AS29" i="37"/>
  <c r="C63" i="152"/>
  <c r="D62" i="152"/>
  <c r="C62" i="152" s="1"/>
  <c r="X60" i="153"/>
  <c r="Y59" i="153"/>
  <c r="O58" i="150"/>
  <c r="G19" i="152"/>
  <c r="F19" i="152" s="1"/>
  <c r="O47" i="150"/>
  <c r="G16" i="153"/>
  <c r="F16" i="153" s="1"/>
  <c r="G16" i="152"/>
  <c r="D10" i="153"/>
  <c r="D17" i="153"/>
  <c r="C17" i="153" s="1"/>
  <c r="C12" i="153"/>
  <c r="Y67" i="153"/>
  <c r="X67" i="153" s="1"/>
  <c r="Y67" i="152"/>
  <c r="X67" i="152" s="1"/>
  <c r="K28" i="152"/>
  <c r="N30" i="152"/>
  <c r="I30" i="152"/>
  <c r="I28" i="152" s="1"/>
  <c r="G34" i="38"/>
  <c r="G33" i="38" s="1"/>
  <c r="R52" i="6"/>
  <c r="L44" i="38"/>
  <c r="S61" i="46"/>
  <c r="R61" i="46" s="1"/>
  <c r="S61" i="45"/>
  <c r="BN12" i="150"/>
  <c r="BN10" i="150"/>
  <c r="V27" i="153"/>
  <c r="U27" i="153" s="1"/>
  <c r="V27" i="152"/>
  <c r="U27" i="152" s="1"/>
  <c r="AL64" i="1"/>
  <c r="S26" i="6"/>
  <c r="R26" i="6" s="1"/>
  <c r="V26" i="38"/>
  <c r="U26" i="38" s="1"/>
  <c r="V26" i="39"/>
  <c r="U26" i="39" s="1"/>
  <c r="S26" i="7"/>
  <c r="R26" i="7" s="1"/>
  <c r="AO64" i="1"/>
  <c r="BO16" i="150"/>
  <c r="BP13" i="150"/>
  <c r="K101" i="152"/>
  <c r="I56" i="152"/>
  <c r="X50" i="6"/>
  <c r="Y84" i="6"/>
  <c r="X84" i="6" s="1"/>
  <c r="AB93" i="153"/>
  <c r="AA93" i="153" s="1"/>
  <c r="AA57" i="153"/>
  <c r="X66" i="152"/>
  <c r="D62" i="153"/>
  <c r="C62" i="153" s="1"/>
  <c r="C63" i="153"/>
  <c r="K15" i="140"/>
  <c r="BI9" i="86"/>
  <c r="BO37" i="86"/>
  <c r="BH37" i="86"/>
  <c r="BH9" i="86" s="1"/>
  <c r="AZ133" i="88"/>
  <c r="AZ132" i="88"/>
  <c r="R9" i="139"/>
  <c r="R8" i="139" s="1"/>
  <c r="AZ95" i="88"/>
  <c r="AZ99" i="88"/>
  <c r="O59" i="45"/>
  <c r="P59" i="46"/>
  <c r="O59" i="46"/>
  <c r="H28" i="154"/>
  <c r="H26" i="154" s="1"/>
  <c r="O27" i="44"/>
  <c r="C44" i="65"/>
  <c r="AC203" i="13"/>
  <c r="AC206" i="13"/>
  <c r="AC204" i="13"/>
  <c r="Q205" i="13"/>
  <c r="Q203" i="13"/>
  <c r="BA26" i="87"/>
  <c r="C26" i="72"/>
  <c r="C8" i="74"/>
  <c r="C9" i="74" s="1"/>
  <c r="C35" i="72"/>
  <c r="C32" i="72" s="1"/>
  <c r="BA18" i="87"/>
  <c r="U57" i="150"/>
  <c r="N120" i="150"/>
  <c r="P121" i="150"/>
  <c r="M28" i="151"/>
  <c r="AL49" i="151"/>
  <c r="C44" i="44"/>
  <c r="C61" i="44" s="1"/>
  <c r="C46" i="151"/>
  <c r="C45" i="151" s="1"/>
  <c r="C62" i="151" s="1"/>
  <c r="S64" i="152"/>
  <c r="R64" i="152" s="1"/>
  <c r="O64" i="152"/>
  <c r="S64" i="153"/>
  <c r="R64" i="153" s="1"/>
  <c r="O64" i="153"/>
  <c r="D44" i="44"/>
  <c r="D46" i="151"/>
  <c r="D45" i="151" s="1"/>
  <c r="H62" i="154"/>
  <c r="AE47" i="151"/>
  <c r="W47" i="151"/>
  <c r="AR47" i="151" s="1"/>
  <c r="G63" i="152"/>
  <c r="G63" i="153"/>
  <c r="K46" i="151"/>
  <c r="J46" i="44"/>
  <c r="D62" i="154"/>
  <c r="M62" i="154" s="1"/>
  <c r="C62" i="44"/>
  <c r="F57" i="154"/>
  <c r="W44" i="151"/>
  <c r="AE44" i="151"/>
  <c r="Z42" i="151"/>
  <c r="G59" i="153"/>
  <c r="F60" i="153"/>
  <c r="M58" i="154"/>
  <c r="S61" i="152"/>
  <c r="R61" i="152" s="1"/>
  <c r="O61" i="152"/>
  <c r="O59" i="152" s="1"/>
  <c r="K42" i="151"/>
  <c r="H43" i="151"/>
  <c r="W41" i="44"/>
  <c r="G59" i="154"/>
  <c r="G57" i="154" s="1"/>
  <c r="S61" i="153"/>
  <c r="R61" i="153" s="1"/>
  <c r="O61" i="153"/>
  <c r="O59" i="153" s="1"/>
  <c r="G59" i="152"/>
  <c r="F60" i="152"/>
  <c r="D42" i="151"/>
  <c r="C42" i="151"/>
  <c r="C61" i="151"/>
  <c r="BC69" i="150"/>
  <c r="AC68" i="150"/>
  <c r="BC68" i="150" s="1"/>
  <c r="AG69" i="150"/>
  <c r="P29" i="152"/>
  <c r="P29" i="153"/>
  <c r="P29" i="46"/>
  <c r="O29" i="46" s="1"/>
  <c r="AF69" i="43"/>
  <c r="AI69" i="43"/>
  <c r="AM69" i="43" s="1"/>
  <c r="P29" i="45"/>
  <c r="O29" i="45" s="1"/>
  <c r="T87" i="43"/>
  <c r="H73" i="150"/>
  <c r="H81" i="150" s="1"/>
  <c r="BC70" i="150"/>
  <c r="AI70" i="150"/>
  <c r="AG67" i="150"/>
  <c r="P27" i="45"/>
  <c r="O27" i="45" s="1"/>
  <c r="AF67" i="43"/>
  <c r="P27" i="46"/>
  <c r="O27" i="46" s="1"/>
  <c r="AI67" i="43"/>
  <c r="AM67" i="43" s="1"/>
  <c r="P27" i="153"/>
  <c r="P27" i="152"/>
  <c r="F23" i="154"/>
  <c r="Z66" i="150"/>
  <c r="Z65" i="150" s="1"/>
  <c r="AA65" i="150"/>
  <c r="W61" i="43"/>
  <c r="W57" i="43" s="1"/>
  <c r="W61" i="150"/>
  <c r="W57" i="150" s="1"/>
  <c r="AG43" i="151"/>
  <c r="AO43" i="151"/>
  <c r="AA62" i="150"/>
  <c r="F20" i="154"/>
  <c r="Z62" i="150"/>
  <c r="Z61" i="150" s="1"/>
  <c r="Z57" i="150" s="1"/>
  <c r="Z62" i="43"/>
  <c r="AG64" i="43"/>
  <c r="AG64" i="150" s="1"/>
  <c r="G22" i="154"/>
  <c r="H22" i="154" s="1"/>
  <c r="AC64" i="150"/>
  <c r="BC64" i="150" s="1"/>
  <c r="S59" i="152"/>
  <c r="R59" i="152" s="1"/>
  <c r="AC63" i="150"/>
  <c r="G21" i="154"/>
  <c r="S59" i="153"/>
  <c r="R59" i="153" s="1"/>
  <c r="BE32" i="150"/>
  <c r="C10" i="152"/>
  <c r="BE13" i="150"/>
  <c r="C12" i="154"/>
  <c r="C11" i="154" s="1"/>
  <c r="C14" i="154"/>
  <c r="M8" i="154"/>
  <c r="H8" i="154"/>
  <c r="E7" i="154"/>
  <c r="M7" i="154" s="1"/>
  <c r="AO99" i="88"/>
  <c r="D69" i="152"/>
  <c r="E8" i="152"/>
  <c r="P21" i="99"/>
  <c r="P45" i="99" s="1"/>
  <c r="O44" i="99"/>
  <c r="P6" i="99"/>
  <c r="P7" i="99" s="1"/>
  <c r="R5" i="99"/>
  <c r="T45" i="99"/>
  <c r="C11" i="152"/>
  <c r="S44" i="99"/>
  <c r="H21" i="152"/>
  <c r="H18" i="152" s="1"/>
  <c r="L21" i="99"/>
  <c r="L45" i="99" s="1"/>
  <c r="L6" i="99"/>
  <c r="T5" i="99"/>
  <c r="F26" i="152"/>
  <c r="F25" i="152" s="1"/>
  <c r="F21" i="152" s="1"/>
  <c r="F18" i="152" s="1"/>
  <c r="L7" i="99"/>
  <c r="AB32" i="99"/>
  <c r="AB33" i="99" s="1"/>
  <c r="AB36" i="99" s="1"/>
  <c r="AB37" i="99" s="1"/>
  <c r="M57" i="99"/>
  <c r="M58" i="99" s="1"/>
  <c r="M59" i="99" s="1"/>
  <c r="M60" i="99" s="1"/>
  <c r="M45" i="99"/>
  <c r="S21" i="99"/>
  <c r="L30" i="153"/>
  <c r="L28" i="153" s="1"/>
  <c r="M28" i="153"/>
  <c r="L30" i="152"/>
  <c r="L28" i="152" s="1"/>
  <c r="M28" i="152"/>
  <c r="M26" i="152"/>
  <c r="M26" i="153"/>
  <c r="P30" i="153"/>
  <c r="S30" i="153" s="1"/>
  <c r="R30" i="153" s="1"/>
  <c r="P30" i="152"/>
  <c r="S30" i="152" s="1"/>
  <c r="L23" i="153"/>
  <c r="L22" i="153" s="1"/>
  <c r="M22" i="153"/>
  <c r="M22" i="152"/>
  <c r="L23" i="152"/>
  <c r="Y10" i="4"/>
  <c r="W4" i="4"/>
  <c r="G8" i="19"/>
  <c r="S33" i="38"/>
  <c r="AK12" i="36"/>
  <c r="AK10" i="36"/>
  <c r="AK70" i="36" s="1"/>
  <c r="BJ10" i="5"/>
  <c r="BJ51" i="5" s="1"/>
  <c r="R25" i="16"/>
  <c r="K25" i="48"/>
  <c r="K67" i="48"/>
  <c r="K32" i="48"/>
  <c r="T20" i="39"/>
  <c r="Q18" i="39"/>
  <c r="T18" i="39" s="1"/>
  <c r="E9" i="19"/>
  <c r="F9" i="19" s="1"/>
  <c r="AB45" i="43"/>
  <c r="AB45" i="150" s="1"/>
  <c r="U45" i="43"/>
  <c r="U45" i="150" s="1"/>
  <c r="T45" i="150" s="1"/>
  <c r="W22" i="94"/>
  <c r="R22" i="94" s="1"/>
  <c r="O27" i="31"/>
  <c r="G25" i="35"/>
  <c r="G25" i="39"/>
  <c r="Q63" i="1"/>
  <c r="N63" i="1"/>
  <c r="G25" i="7"/>
  <c r="G25" i="6"/>
  <c r="G25" i="38"/>
  <c r="G25" i="34"/>
  <c r="O62" i="1"/>
  <c r="O26" i="31" s="1"/>
  <c r="S52" i="39"/>
  <c r="BM44" i="5"/>
  <c r="AB42" i="4"/>
  <c r="U60" i="38"/>
  <c r="U58" i="38" s="1"/>
  <c r="V58" i="38"/>
  <c r="R52" i="38"/>
  <c r="O59" i="9"/>
  <c r="O13" i="9"/>
  <c r="AY23" i="87"/>
  <c r="BA23" i="87" s="1"/>
  <c r="BB17" i="87"/>
  <c r="BB14" i="87" s="1"/>
  <c r="BB8" i="87" s="1"/>
  <c r="BB7" i="87" s="1"/>
  <c r="C7" i="97"/>
  <c r="H8" i="97"/>
  <c r="M8" i="97"/>
  <c r="G21" i="39"/>
  <c r="F22" i="39"/>
  <c r="F21" i="39" s="1"/>
  <c r="E8" i="19"/>
  <c r="BL59" i="3"/>
  <c r="P44" i="39"/>
  <c r="O40" i="39"/>
  <c r="S40" i="39"/>
  <c r="S33" i="39" s="1"/>
  <c r="F19" i="35"/>
  <c r="P91" i="1"/>
  <c r="P92" i="1"/>
  <c r="P93" i="1" s="1"/>
  <c r="P101" i="1" s="1"/>
  <c r="P12" i="31"/>
  <c r="P84" i="1"/>
  <c r="P85" i="1" s="1"/>
  <c r="P102" i="1" s="1"/>
  <c r="P103" i="1" s="1"/>
  <c r="P83" i="1"/>
  <c r="L73" i="6"/>
  <c r="L71" i="6" s="1"/>
  <c r="M71" i="6"/>
  <c r="C33" i="7"/>
  <c r="G11" i="93"/>
  <c r="I9" i="93"/>
  <c r="H9" i="93"/>
  <c r="AT37" i="48"/>
  <c r="AX9" i="48"/>
  <c r="AW9" i="48"/>
  <c r="AV9" i="48"/>
  <c r="AT8" i="48"/>
  <c r="V30" i="43"/>
  <c r="U34" i="43"/>
  <c r="U34" i="150" s="1"/>
  <c r="AE32" i="100"/>
  <c r="AE33" i="100" s="1"/>
  <c r="AE36" i="100" s="1"/>
  <c r="AE37" i="100" s="1"/>
  <c r="O7" i="100"/>
  <c r="AD32" i="100" s="1"/>
  <c r="C54" i="35"/>
  <c r="F33" i="6"/>
  <c r="O23" i="38"/>
  <c r="R23" i="38" s="1"/>
  <c r="S23" i="38"/>
  <c r="AB36" i="4"/>
  <c r="BN10" i="48"/>
  <c r="BM10" i="48"/>
  <c r="BJ29" i="48"/>
  <c r="BL10" i="48"/>
  <c r="O22" i="63"/>
  <c r="O16" i="15"/>
  <c r="F7" i="62"/>
  <c r="F8" i="62" s="1"/>
  <c r="F15" i="38"/>
  <c r="G73" i="38"/>
  <c r="G52" i="38"/>
  <c r="F53" i="38"/>
  <c r="G56" i="6"/>
  <c r="G56" i="39"/>
  <c r="K32" i="33"/>
  <c r="G56" i="38"/>
  <c r="G56" i="7"/>
  <c r="G58" i="34"/>
  <c r="G58" i="35"/>
  <c r="H40" i="4"/>
  <c r="K39" i="4"/>
  <c r="K31" i="33" s="1"/>
  <c r="BC11" i="41"/>
  <c r="C33" i="6"/>
  <c r="AM60" i="1"/>
  <c r="AI59" i="1"/>
  <c r="BM60" i="3"/>
  <c r="BM62" i="41"/>
  <c r="H22" i="31"/>
  <c r="H55" i="1"/>
  <c r="H19" i="31" s="1"/>
  <c r="K10" i="47"/>
  <c r="L10" i="47"/>
  <c r="C52" i="39"/>
  <c r="X53" i="38"/>
  <c r="X20" i="94"/>
  <c r="Y20" i="94"/>
  <c r="AB20" i="94"/>
  <c r="AQ37" i="37"/>
  <c r="AQ36" i="37" s="1"/>
  <c r="AT36" i="37"/>
  <c r="C63" i="46"/>
  <c r="D62" i="46"/>
  <c r="C62" i="46" s="1"/>
  <c r="R37" i="95"/>
  <c r="U60" i="45"/>
  <c r="AV21" i="87"/>
  <c r="AT17" i="87"/>
  <c r="T17" i="37"/>
  <c r="R10" i="37"/>
  <c r="BA77" i="3"/>
  <c r="BA70" i="3"/>
  <c r="AI193" i="13"/>
  <c r="AI149" i="13"/>
  <c r="J14" i="4"/>
  <c r="J14" i="33" s="1"/>
  <c r="H14" i="33"/>
  <c r="M12" i="36"/>
  <c r="M10" i="36"/>
  <c r="M70" i="36" s="1"/>
  <c r="P27" i="7"/>
  <c r="O28" i="7"/>
  <c r="O27" i="7" s="1"/>
  <c r="F33" i="39"/>
  <c r="T25" i="16"/>
  <c r="L33" i="39"/>
  <c r="U60" i="39"/>
  <c r="U58" i="39" s="1"/>
  <c r="V58" i="39"/>
  <c r="C33" i="39"/>
  <c r="T20" i="16"/>
  <c r="BL65" i="3"/>
  <c r="C52" i="7"/>
  <c r="BL33" i="5"/>
  <c r="T28" i="16" s="1"/>
  <c r="S28" i="16"/>
  <c r="AY41" i="36"/>
  <c r="AX41" i="36" s="1"/>
  <c r="BC41" i="36"/>
  <c r="G21" i="38"/>
  <c r="F22" i="38"/>
  <c r="F21" i="38" s="1"/>
  <c r="AH41" i="43"/>
  <c r="AH41" i="150" s="1"/>
  <c r="AN41" i="150" s="1"/>
  <c r="AA41" i="43"/>
  <c r="F19" i="39"/>
  <c r="R38" i="95"/>
  <c r="AF38" i="95"/>
  <c r="AE38" i="95"/>
  <c r="Q38" i="95"/>
  <c r="N11" i="36"/>
  <c r="I33" i="6"/>
  <c r="I80" i="39"/>
  <c r="I77" i="39" s="1"/>
  <c r="J77" i="39"/>
  <c r="AS45" i="36"/>
  <c r="AR45" i="36" s="1"/>
  <c r="AW45" i="36"/>
  <c r="V39" i="47"/>
  <c r="V41" i="47" s="1"/>
  <c r="V44" i="47" s="1"/>
  <c r="V2" i="47"/>
  <c r="V10" i="47"/>
  <c r="N9" i="48"/>
  <c r="AC65" i="36"/>
  <c r="AG66" i="36"/>
  <c r="AI66" i="36"/>
  <c r="AI65" i="36" s="1"/>
  <c r="BM36" i="5"/>
  <c r="BN37" i="5"/>
  <c r="R60" i="38"/>
  <c r="O58" i="38"/>
  <c r="R58" i="38" s="1"/>
  <c r="C33" i="34"/>
  <c r="BL61" i="41"/>
  <c r="AK10" i="1"/>
  <c r="AK70" i="1" s="1"/>
  <c r="AK12" i="1"/>
  <c r="CP40" i="47"/>
  <c r="AO133" i="88"/>
  <c r="AQ132" i="88"/>
  <c r="AW132" i="88" s="1"/>
  <c r="D32" i="16"/>
  <c r="Y12" i="94"/>
  <c r="AB12" i="94"/>
  <c r="X12" i="94"/>
  <c r="X8" i="94" s="1"/>
  <c r="S8" i="94"/>
  <c r="J37" i="4"/>
  <c r="J29" i="33" s="1"/>
  <c r="BB37" i="5"/>
  <c r="H36" i="4"/>
  <c r="H29" i="33"/>
  <c r="R34" i="38"/>
  <c r="CE10" i="47"/>
  <c r="CF10" i="47"/>
  <c r="C34" i="6"/>
  <c r="O22" i="38"/>
  <c r="P21" i="38"/>
  <c r="S22" i="38"/>
  <c r="AX26" i="48"/>
  <c r="AW26" i="48"/>
  <c r="BE8" i="48"/>
  <c r="BF8" i="48"/>
  <c r="G26" i="31"/>
  <c r="G58" i="1"/>
  <c r="P59" i="9"/>
  <c r="P13" i="9"/>
  <c r="AE36" i="37"/>
  <c r="AJ37" i="37"/>
  <c r="AB37" i="37"/>
  <c r="AB36" i="37" s="1"/>
  <c r="BM10" i="43"/>
  <c r="BM12" i="43"/>
  <c r="C33" i="35"/>
  <c r="C40" i="65"/>
  <c r="C40" i="149"/>
  <c r="M28" i="44"/>
  <c r="AT17" i="37"/>
  <c r="AT10" i="37" s="1"/>
  <c r="AQ18" i="37"/>
  <c r="BL47" i="43"/>
  <c r="BK47" i="43" s="1"/>
  <c r="G16" i="45"/>
  <c r="G16" i="46"/>
  <c r="F16" i="46" s="1"/>
  <c r="N47" i="43"/>
  <c r="AZ72" i="3"/>
  <c r="BF39" i="36"/>
  <c r="AY39" i="36"/>
  <c r="K16" i="16"/>
  <c r="E11" i="64"/>
  <c r="F11" i="64" s="1"/>
  <c r="F11" i="17"/>
  <c r="V39" i="48"/>
  <c r="V35" i="48" s="1"/>
  <c r="Y35" i="48" s="1"/>
  <c r="F18" i="50"/>
  <c r="F13" i="50" s="1"/>
  <c r="F5" i="50" s="1"/>
  <c r="F31" i="50" s="1"/>
  <c r="AH47" i="47"/>
  <c r="H41" i="44"/>
  <c r="J42" i="44"/>
  <c r="AD46" i="48"/>
  <c r="AD22" i="48"/>
  <c r="AH44" i="48"/>
  <c r="AH42" i="48"/>
  <c r="AH47" i="48"/>
  <c r="AJ46" i="44"/>
  <c r="AB46" i="44"/>
  <c r="BF5" i="3"/>
  <c r="BG12" i="3"/>
  <c r="I33" i="35"/>
  <c r="AB30" i="14"/>
  <c r="Z30" i="14"/>
  <c r="G21" i="7"/>
  <c r="F22" i="7"/>
  <c r="F21" i="7" s="1"/>
  <c r="C7" i="62"/>
  <c r="C8" i="62" s="1"/>
  <c r="D53" i="4"/>
  <c r="D55" i="4" s="1"/>
  <c r="D11" i="33"/>
  <c r="D10" i="4"/>
  <c r="AO38" i="4"/>
  <c r="Y54" i="39"/>
  <c r="X54" i="39" s="1"/>
  <c r="V54" i="7"/>
  <c r="U54" i="7" s="1"/>
  <c r="AG38" i="4"/>
  <c r="BO38" i="5" s="1"/>
  <c r="BP38" i="5" s="1"/>
  <c r="V54" i="6"/>
  <c r="U54" i="6" s="1"/>
  <c r="Y54" i="38"/>
  <c r="X54" i="38" s="1"/>
  <c r="V18" i="94"/>
  <c r="T41" i="43"/>
  <c r="AB9" i="16"/>
  <c r="R8" i="16"/>
  <c r="S34" i="38"/>
  <c r="AF39" i="95"/>
  <c r="AE39" i="95"/>
  <c r="R39" i="95"/>
  <c r="Q39" i="95"/>
  <c r="E34" i="62"/>
  <c r="EV30" i="47"/>
  <c r="EV9" i="47" s="1"/>
  <c r="H32" i="47"/>
  <c r="P81" i="1"/>
  <c r="P89" i="1"/>
  <c r="H12" i="6"/>
  <c r="H12" i="38"/>
  <c r="H12" i="35"/>
  <c r="P10" i="31"/>
  <c r="P70" i="1"/>
  <c r="H12" i="39"/>
  <c r="H12" i="34"/>
  <c r="H12" i="7"/>
  <c r="S52" i="6"/>
  <c r="K8" i="16"/>
  <c r="O9" i="16"/>
  <c r="O8" i="16" s="1"/>
  <c r="AR10" i="5"/>
  <c r="D25" i="16"/>
  <c r="D24" i="16" s="1"/>
  <c r="BR45" i="47"/>
  <c r="AT38" i="48"/>
  <c r="BJ60" i="86"/>
  <c r="D28" i="33"/>
  <c r="AB80" i="36"/>
  <c r="AB73" i="36"/>
  <c r="AB12" i="36"/>
  <c r="AB82" i="36" s="1"/>
  <c r="AB10" i="36"/>
  <c r="AB70" i="36" s="1"/>
  <c r="AB72" i="36" s="1"/>
  <c r="BY59" i="3"/>
  <c r="BZ59" i="3" s="1"/>
  <c r="BH59" i="3"/>
  <c r="Z18" i="6"/>
  <c r="X19" i="6"/>
  <c r="G12" i="93"/>
  <c r="I10" i="93"/>
  <c r="AM74" i="89"/>
  <c r="AN74" i="89"/>
  <c r="N17" i="31"/>
  <c r="BH50" i="1"/>
  <c r="K28" i="33"/>
  <c r="D55" i="7"/>
  <c r="C55" i="7" s="1"/>
  <c r="C56" i="7"/>
  <c r="BL67" i="41"/>
  <c r="O11" i="36"/>
  <c r="BF34" i="41"/>
  <c r="BF30" i="41" s="1"/>
  <c r="BD30" i="41"/>
  <c r="O22" i="7"/>
  <c r="O21" i="7" s="1"/>
  <c r="P21" i="7"/>
  <c r="C40" i="44"/>
  <c r="C8" i="44" s="1"/>
  <c r="C10" i="64"/>
  <c r="C22" i="64" s="1"/>
  <c r="C22" i="17"/>
  <c r="H8" i="14"/>
  <c r="H42" i="14"/>
  <c r="E10" i="17"/>
  <c r="H46" i="62"/>
  <c r="G34" i="7"/>
  <c r="G33" i="7" s="1"/>
  <c r="BB64" i="41"/>
  <c r="BB60" i="41" s="1"/>
  <c r="BY65" i="41"/>
  <c r="BZ65" i="41" s="1"/>
  <c r="O28" i="6"/>
  <c r="O27" i="6" s="1"/>
  <c r="P27" i="6"/>
  <c r="BJ42" i="5"/>
  <c r="AI48" i="89"/>
  <c r="AJ48" i="89" s="1"/>
  <c r="AH55" i="89"/>
  <c r="AH49" i="89"/>
  <c r="AH155" i="89"/>
  <c r="AH54" i="89"/>
  <c r="S25" i="16"/>
  <c r="Y28" i="37"/>
  <c r="AS28" i="37"/>
  <c r="L8" i="87"/>
  <c r="D10" i="37"/>
  <c r="M80" i="6"/>
  <c r="L44" i="6"/>
  <c r="AE12" i="36"/>
  <c r="AE10" i="36"/>
  <c r="AE70" i="36" s="1"/>
  <c r="BT12" i="3"/>
  <c r="BT10" i="3"/>
  <c r="BU51" i="3" s="1"/>
  <c r="BJ12" i="43"/>
  <c r="BJ10" i="43"/>
  <c r="U53" i="7"/>
  <c r="G12" i="26"/>
  <c r="K13" i="26"/>
  <c r="BA95" i="88"/>
  <c r="BA99" i="88"/>
  <c r="BC17" i="87"/>
  <c r="BC14" i="87" s="1"/>
  <c r="BC8" i="87" s="1"/>
  <c r="BC7" i="87" s="1"/>
  <c r="AY21" i="87"/>
  <c r="BD70" i="41"/>
  <c r="BC80" i="41"/>
  <c r="BE80" i="41" s="1"/>
  <c r="BE70" i="41"/>
  <c r="AH123" i="60"/>
  <c r="C123" i="60" s="1"/>
  <c r="AI10" i="60"/>
  <c r="AD10" i="16"/>
  <c r="AC10" i="16"/>
  <c r="F34" i="7"/>
  <c r="I138" i="89"/>
  <c r="I152" i="89"/>
  <c r="I149" i="89"/>
  <c r="K139" i="89"/>
  <c r="I146" i="89"/>
  <c r="AG44" i="37"/>
  <c r="AG42" i="37" s="1"/>
  <c r="AO44" i="37"/>
  <c r="AJ42" i="37"/>
  <c r="Q33" i="38"/>
  <c r="Q44" i="38"/>
  <c r="T44" i="38" s="1"/>
  <c r="T40" i="38"/>
  <c r="P17" i="16"/>
  <c r="F26" i="138"/>
  <c r="K30" i="45"/>
  <c r="BR43" i="5"/>
  <c r="BV43" i="5" s="1"/>
  <c r="Q12" i="22"/>
  <c r="Q11" i="22" s="1"/>
  <c r="Q10" i="22" s="1"/>
  <c r="AS61" i="36"/>
  <c r="AO59" i="36"/>
  <c r="G59" i="46"/>
  <c r="F60" i="46"/>
  <c r="G34" i="35"/>
  <c r="G33" i="35" s="1"/>
  <c r="AQ11" i="36"/>
  <c r="W28" i="14"/>
  <c r="W52" i="62"/>
  <c r="X10" i="47"/>
  <c r="W10" i="47"/>
  <c r="G21" i="6"/>
  <c r="F22" i="6"/>
  <c r="F21" i="6" s="1"/>
  <c r="O23" i="31"/>
  <c r="O58" i="1"/>
  <c r="L119" i="89"/>
  <c r="L118" i="89"/>
  <c r="G119" i="89"/>
  <c r="G118" i="89"/>
  <c r="H118" i="89"/>
  <c r="O78" i="39"/>
  <c r="I73" i="6"/>
  <c r="I71" i="6" s="1"/>
  <c r="I70" i="6" s="1"/>
  <c r="J71" i="6"/>
  <c r="J70" i="6" s="1"/>
  <c r="AF45" i="36"/>
  <c r="AM45" i="36"/>
  <c r="AL45" i="36" s="1"/>
  <c r="E13" i="17"/>
  <c r="Q42" i="14"/>
  <c r="Q8" i="14"/>
  <c r="Q46" i="62"/>
  <c r="E22" i="63"/>
  <c r="E16" i="15"/>
  <c r="Z43" i="36"/>
  <c r="Z11" i="36" s="1"/>
  <c r="AA11" i="36"/>
  <c r="AR77" i="3"/>
  <c r="AR72" i="3" s="1"/>
  <c r="AR84" i="3" s="1"/>
  <c r="AT77" i="3"/>
  <c r="AH72" i="3"/>
  <c r="AS46" i="1"/>
  <c r="AR46" i="1" s="1"/>
  <c r="AW46" i="1"/>
  <c r="AQ11" i="1"/>
  <c r="U80" i="36"/>
  <c r="U73" i="36"/>
  <c r="U12" i="36"/>
  <c r="U82" i="36" s="1"/>
  <c r="U10" i="36"/>
  <c r="F53" i="6"/>
  <c r="G52" i="6"/>
  <c r="C39" i="4"/>
  <c r="C32" i="33"/>
  <c r="D57" i="34"/>
  <c r="C57" i="34" s="1"/>
  <c r="C58" i="34"/>
  <c r="X37" i="95"/>
  <c r="AE28" i="95"/>
  <c r="AF28" i="95"/>
  <c r="AD28" i="95"/>
  <c r="AC28" i="95"/>
  <c r="V88" i="36"/>
  <c r="V89" i="36" s="1"/>
  <c r="V81" i="36"/>
  <c r="BF102" i="88"/>
  <c r="M80" i="39"/>
  <c r="L44" i="39"/>
  <c r="AO95" i="88"/>
  <c r="AX95" i="88" s="1"/>
  <c r="AQ99" i="88"/>
  <c r="M21" i="16"/>
  <c r="O21" i="16" s="1"/>
  <c r="BD68" i="3"/>
  <c r="BC78" i="3"/>
  <c r="BE78" i="3" s="1"/>
  <c r="BE68" i="3"/>
  <c r="AR39" i="36"/>
  <c r="L22" i="63"/>
  <c r="L16" i="15"/>
  <c r="V18" i="17" s="1"/>
  <c r="AF39" i="47"/>
  <c r="U9" i="48"/>
  <c r="AF10" i="47"/>
  <c r="G11" i="1"/>
  <c r="BH19" i="1"/>
  <c r="Q206" i="13"/>
  <c r="Q204" i="13"/>
  <c r="O78" i="6"/>
  <c r="P27" i="39"/>
  <c r="S27" i="39" s="1"/>
  <c r="S28" i="39"/>
  <c r="R28" i="39" s="1"/>
  <c r="R27" i="39" s="1"/>
  <c r="O28" i="39"/>
  <c r="O27" i="39" s="1"/>
  <c r="F22" i="63"/>
  <c r="F16" i="15"/>
  <c r="V12" i="17" s="1"/>
  <c r="Q44" i="7"/>
  <c r="Q33" i="7"/>
  <c r="Q32" i="7" s="1"/>
  <c r="BW47" i="48"/>
  <c r="BW45" i="48"/>
  <c r="BW42" i="48"/>
  <c r="BW44" i="48"/>
  <c r="P8" i="16"/>
  <c r="AE8" i="16" s="1"/>
  <c r="AE9" i="16"/>
  <c r="AL61" i="36"/>
  <c r="AL59" i="36" s="1"/>
  <c r="AM59" i="36"/>
  <c r="F60" i="45"/>
  <c r="G59" i="45"/>
  <c r="F33" i="38"/>
  <c r="V80" i="1"/>
  <c r="V11" i="31"/>
  <c r="V10" i="1"/>
  <c r="V73" i="1"/>
  <c r="V12" i="1"/>
  <c r="BG41" i="3"/>
  <c r="BG40" i="3"/>
  <c r="BG13" i="3"/>
  <c r="BE5" i="3"/>
  <c r="BG10" i="3"/>
  <c r="BG38" i="3"/>
  <c r="BG37" i="3"/>
  <c r="BG44" i="3"/>
  <c r="BG47" i="3"/>
  <c r="BG36" i="3"/>
  <c r="BG49" i="3"/>
  <c r="BG46" i="3"/>
  <c r="BG39" i="3"/>
  <c r="BG42" i="3"/>
  <c r="BG45" i="3"/>
  <c r="BG25" i="3"/>
  <c r="BG43" i="3"/>
  <c r="BG51" i="3"/>
  <c r="BG19" i="3"/>
  <c r="BG50" i="3"/>
  <c r="BG30" i="3"/>
  <c r="G21" i="34"/>
  <c r="F22" i="34"/>
  <c r="F21" i="34" s="1"/>
  <c r="Z8" i="48"/>
  <c r="Y8" i="48"/>
  <c r="F19" i="7"/>
  <c r="C59" i="46"/>
  <c r="F12" i="17"/>
  <c r="E12" i="64"/>
  <c r="F12" i="64" s="1"/>
  <c r="AQ11" i="37"/>
  <c r="O28" i="51"/>
  <c r="O23" i="39"/>
  <c r="S23" i="39"/>
  <c r="R23" i="39" s="1"/>
  <c r="AG43" i="36"/>
  <c r="AN43" i="36"/>
  <c r="AN11" i="36" s="1"/>
  <c r="AT43" i="36"/>
  <c r="AH11" i="36"/>
  <c r="AC74" i="89"/>
  <c r="AD74" i="89"/>
  <c r="C15" i="67"/>
  <c r="C11" i="67" s="1"/>
  <c r="C10" i="67" s="1"/>
  <c r="C11" i="57"/>
  <c r="C10" i="57" s="1"/>
  <c r="G73" i="7"/>
  <c r="F15" i="7"/>
  <c r="CD45" i="47"/>
  <c r="BB38" i="48"/>
  <c r="BE38" i="48" s="1"/>
  <c r="BN41" i="5"/>
  <c r="G54" i="35"/>
  <c r="F55" i="35"/>
  <c r="C28" i="33"/>
  <c r="C35" i="4"/>
  <c r="C27" i="33" s="1"/>
  <c r="C56" i="39"/>
  <c r="D55" i="39"/>
  <c r="C55" i="39" s="1"/>
  <c r="C58" i="35"/>
  <c r="D57" i="35"/>
  <c r="C57" i="35" s="1"/>
  <c r="BH40" i="1"/>
  <c r="N15" i="31"/>
  <c r="V72" i="36"/>
  <c r="C21" i="15"/>
  <c r="AF59" i="1"/>
  <c r="W57" i="89"/>
  <c r="AN57" i="89"/>
  <c r="C52" i="6"/>
  <c r="M10" i="47"/>
  <c r="N10" i="47"/>
  <c r="C51" i="4"/>
  <c r="C53" i="4"/>
  <c r="C10" i="4"/>
  <c r="C11" i="33"/>
  <c r="P10" i="33"/>
  <c r="F34" i="34"/>
  <c r="Y20" i="37"/>
  <c r="AS20" i="37"/>
  <c r="AB53" i="38"/>
  <c r="AO36" i="4"/>
  <c r="Y53" i="6"/>
  <c r="Y53" i="7"/>
  <c r="AB53" i="39"/>
  <c r="AL37" i="4"/>
  <c r="U53" i="6"/>
  <c r="U52" i="6" s="1"/>
  <c r="V52" i="6"/>
  <c r="BD43" i="41"/>
  <c r="BE43" i="41"/>
  <c r="R52" i="7"/>
  <c r="R26" i="140"/>
  <c r="U26" i="140"/>
  <c r="P27" i="38"/>
  <c r="S27" i="38" s="1"/>
  <c r="S28" i="38"/>
  <c r="O28" i="38"/>
  <c r="O12" i="1"/>
  <c r="O11" i="31"/>
  <c r="O73" i="1"/>
  <c r="O10" i="1"/>
  <c r="R60" i="6"/>
  <c r="R58" i="6" s="1"/>
  <c r="S58" i="6"/>
  <c r="O33" i="7"/>
  <c r="BW46" i="48"/>
  <c r="F34" i="38"/>
  <c r="T39" i="1"/>
  <c r="T11" i="1" s="1"/>
  <c r="U11" i="1"/>
  <c r="AL39" i="36"/>
  <c r="K105" i="89"/>
  <c r="N24" i="31"/>
  <c r="N59" i="1"/>
  <c r="AR10" i="47"/>
  <c r="AR39" i="47"/>
  <c r="AR41" i="47" s="1"/>
  <c r="AR42" i="47" s="1"/>
  <c r="AR43" i="47" s="1"/>
  <c r="BD29" i="48"/>
  <c r="I9" i="15" s="1"/>
  <c r="BF29" i="48"/>
  <c r="BE29" i="48"/>
  <c r="C8" i="78"/>
  <c r="C9" i="78" s="1"/>
  <c r="O40" i="6"/>
  <c r="P44" i="6"/>
  <c r="F19" i="6"/>
  <c r="M10" i="37"/>
  <c r="O11" i="37"/>
  <c r="T11" i="37"/>
  <c r="O49" i="100"/>
  <c r="O6" i="100"/>
  <c r="J41" i="4"/>
  <c r="J33" i="33" s="1"/>
  <c r="BB41" i="5"/>
  <c r="BF41" i="5" s="1"/>
  <c r="H33" i="33"/>
  <c r="H23" i="16"/>
  <c r="H35" i="16" s="1"/>
  <c r="H37" i="16"/>
  <c r="H39" i="16"/>
  <c r="L26" i="16"/>
  <c r="BH17" i="5"/>
  <c r="P21" i="19"/>
  <c r="P20" i="19" s="1"/>
  <c r="N20" i="19"/>
  <c r="DB30" i="47"/>
  <c r="DB40" i="47" s="1"/>
  <c r="BR10" i="48"/>
  <c r="S6" i="100"/>
  <c r="S7" i="100" s="1"/>
  <c r="R7" i="100" s="1"/>
  <c r="S47" i="100"/>
  <c r="S49" i="100"/>
  <c r="BE60" i="36"/>
  <c r="N20" i="31"/>
  <c r="AA19" i="39"/>
  <c r="L73" i="39"/>
  <c r="L71" i="39" s="1"/>
  <c r="M71" i="39"/>
  <c r="BM63" i="41"/>
  <c r="BM61" i="3"/>
  <c r="AM61" i="1"/>
  <c r="Q37" i="16"/>
  <c r="E15" i="62"/>
  <c r="D17" i="62"/>
  <c r="K39" i="37"/>
  <c r="H40" i="37"/>
  <c r="S59" i="46"/>
  <c r="V18" i="87"/>
  <c r="V20" i="87"/>
  <c r="V21" i="87"/>
  <c r="V10" i="87"/>
  <c r="V27" i="87"/>
  <c r="V29" i="87"/>
  <c r="U2" i="87"/>
  <c r="V24" i="87"/>
  <c r="V19" i="87"/>
  <c r="V26" i="87"/>
  <c r="V28" i="87"/>
  <c r="U41" i="87"/>
  <c r="V16" i="87"/>
  <c r="V12" i="87"/>
  <c r="AA9" i="87"/>
  <c r="AA8" i="87" s="1"/>
  <c r="V23" i="87"/>
  <c r="V15" i="87"/>
  <c r="V22" i="87"/>
  <c r="V11" i="87"/>
  <c r="V7" i="87"/>
  <c r="V25" i="87"/>
  <c r="V9" i="87"/>
  <c r="V17" i="87"/>
  <c r="V14" i="87"/>
  <c r="C10" i="54"/>
  <c r="Q12" i="43"/>
  <c r="R12" i="43" s="1"/>
  <c r="X11" i="43"/>
  <c r="R11" i="43"/>
  <c r="Q10" i="43"/>
  <c r="L44" i="7"/>
  <c r="G52" i="39"/>
  <c r="F53" i="39"/>
  <c r="D55" i="38"/>
  <c r="C55" i="38" s="1"/>
  <c r="C56" i="38"/>
  <c r="J22" i="63"/>
  <c r="J16" i="15"/>
  <c r="V83" i="36"/>
  <c r="V90" i="36"/>
  <c r="V84" i="36"/>
  <c r="V85" i="36" s="1"/>
  <c r="V109" i="36" s="1"/>
  <c r="C89" i="73"/>
  <c r="C84" i="73" s="1"/>
  <c r="P21" i="6"/>
  <c r="O22" i="6"/>
  <c r="O21" i="6" s="1"/>
  <c r="AB43" i="44"/>
  <c r="AB41" i="44" s="1"/>
  <c r="AJ43" i="44"/>
  <c r="AJ41" i="44" s="1"/>
  <c r="AC22" i="16"/>
  <c r="Y18" i="37"/>
  <c r="W17" i="37"/>
  <c r="AS17" i="37" s="1"/>
  <c r="AS18" i="37"/>
  <c r="H30" i="19"/>
  <c r="H29" i="19" s="1"/>
  <c r="G29" i="19"/>
  <c r="N57" i="97"/>
  <c r="N62" i="139"/>
  <c r="V10" i="139"/>
  <c r="AA10" i="139" s="1"/>
  <c r="K60" i="40"/>
  <c r="O60" i="40" s="1"/>
  <c r="K49" i="40"/>
  <c r="L21" i="40"/>
  <c r="Q21" i="40"/>
  <c r="P21" i="40"/>
  <c r="G34" i="34"/>
  <c r="G33" i="34" s="1"/>
  <c r="C63" i="45"/>
  <c r="D62" i="45"/>
  <c r="C62" i="45" s="1"/>
  <c r="EP10" i="47"/>
  <c r="EO10" i="47"/>
  <c r="EM10" i="47"/>
  <c r="EN10" i="47"/>
  <c r="M70" i="1"/>
  <c r="M34" i="31" s="1"/>
  <c r="M10" i="31"/>
  <c r="M22" i="63"/>
  <c r="M16" i="15"/>
  <c r="V19" i="17" s="1"/>
  <c r="AG36" i="4"/>
  <c r="BO37" i="5"/>
  <c r="K30" i="19"/>
  <c r="BL41" i="43"/>
  <c r="N41" i="43"/>
  <c r="D12" i="6"/>
  <c r="H70" i="1"/>
  <c r="D12" i="39"/>
  <c r="D12" i="38"/>
  <c r="D12" i="35"/>
  <c r="D12" i="46"/>
  <c r="D12" i="7"/>
  <c r="H10" i="31"/>
  <c r="D12" i="34"/>
  <c r="O88" i="1"/>
  <c r="N88" i="1" s="1"/>
  <c r="I66" i="7"/>
  <c r="BS13" i="5"/>
  <c r="BY61" i="41"/>
  <c r="BZ61" i="41" s="1"/>
  <c r="BH61" i="41"/>
  <c r="C52" i="38"/>
  <c r="H18" i="50"/>
  <c r="H13" i="50" s="1"/>
  <c r="H5" i="50" s="1"/>
  <c r="H31" i="50" s="1"/>
  <c r="AL39" i="48"/>
  <c r="AL35" i="48" s="1"/>
  <c r="AO35" i="48" s="1"/>
  <c r="BF47" i="47"/>
  <c r="Y17" i="4"/>
  <c r="BH39" i="1"/>
  <c r="N11" i="1"/>
  <c r="Q44" i="6"/>
  <c r="Q80" i="6" s="1"/>
  <c r="Q77" i="6" s="1"/>
  <c r="Q70" i="6" s="1"/>
  <c r="Q33" i="6"/>
  <c r="Q32" i="6" s="1"/>
  <c r="H36" i="37"/>
  <c r="J37" i="37"/>
  <c r="R60" i="7"/>
  <c r="R58" i="7" s="1"/>
  <c r="S58" i="7"/>
  <c r="L33" i="38"/>
  <c r="AL53" i="5"/>
  <c r="AR53" i="5" s="1"/>
  <c r="AL9" i="5"/>
  <c r="AT10" i="5"/>
  <c r="F10" i="33"/>
  <c r="A4" i="80"/>
  <c r="A69" i="79"/>
  <c r="A126" i="79" s="1"/>
  <c r="AH39" i="1"/>
  <c r="AA39" i="1"/>
  <c r="AB11" i="1"/>
  <c r="G22" i="63"/>
  <c r="G16" i="15"/>
  <c r="V13" i="17" s="1"/>
  <c r="U52" i="39"/>
  <c r="BL44" i="5"/>
  <c r="BL42" i="5" s="1"/>
  <c r="BK42" i="5"/>
  <c r="G21" i="35"/>
  <c r="F22" i="35"/>
  <c r="F21" i="35" s="1"/>
  <c r="V105" i="89"/>
  <c r="T116" i="89"/>
  <c r="CP9" i="47"/>
  <c r="P44" i="7"/>
  <c r="O44" i="7" s="1"/>
  <c r="O40" i="7"/>
  <c r="F19" i="34"/>
  <c r="E31" i="62"/>
  <c r="BT14" i="5"/>
  <c r="BV14" i="5"/>
  <c r="BU48" i="41"/>
  <c r="BU42" i="41"/>
  <c r="BU10" i="41"/>
  <c r="BU40" i="41"/>
  <c r="BU45" i="41"/>
  <c r="BU41" i="41"/>
  <c r="BU49" i="41"/>
  <c r="BU50" i="41"/>
  <c r="BU38" i="41"/>
  <c r="BU47" i="41"/>
  <c r="BU46" i="41"/>
  <c r="BU36" i="41"/>
  <c r="BU43" i="41"/>
  <c r="BU44" i="41"/>
  <c r="BU25" i="41"/>
  <c r="BU30" i="41"/>
  <c r="BU19" i="41"/>
  <c r="BU13" i="41"/>
  <c r="BU39" i="41"/>
  <c r="N22" i="63"/>
  <c r="N16" i="15"/>
  <c r="K44" i="62"/>
  <c r="K47" i="62"/>
  <c r="K8" i="62"/>
  <c r="DB27" i="47"/>
  <c r="BB133" i="88"/>
  <c r="BB132" i="88"/>
  <c r="BC132" i="88"/>
  <c r="H29" i="47"/>
  <c r="I73" i="39"/>
  <c r="I71" i="39" s="1"/>
  <c r="I70" i="39" s="1"/>
  <c r="J71" i="39"/>
  <c r="J70" i="39" s="1"/>
  <c r="Q24" i="16"/>
  <c r="Q39" i="16" s="1"/>
  <c r="AU17" i="37"/>
  <c r="AU10" i="37" s="1"/>
  <c r="AU9" i="37" s="1"/>
  <c r="BB95" i="88"/>
  <c r="BB99" i="88"/>
  <c r="BC99" i="88"/>
  <c r="C59" i="45"/>
  <c r="L33" i="6"/>
  <c r="R59" i="46"/>
  <c r="E24" i="62"/>
  <c r="E21" i="62" s="1"/>
  <c r="H21" i="62"/>
  <c r="H7" i="62" s="1"/>
  <c r="Y57" i="38"/>
  <c r="X57" i="38" s="1"/>
  <c r="V57" i="7"/>
  <c r="U57" i="7" s="1"/>
  <c r="AO41" i="4"/>
  <c r="AG41" i="4"/>
  <c r="BO41" i="5" s="1"/>
  <c r="BP41" i="5" s="1"/>
  <c r="Y57" i="39"/>
  <c r="X57" i="39" s="1"/>
  <c r="V57" i="6"/>
  <c r="U57" i="6" s="1"/>
  <c r="F53" i="7"/>
  <c r="G52" i="7"/>
  <c r="C56" i="6"/>
  <c r="D55" i="6"/>
  <c r="C55" i="6" s="1"/>
  <c r="T25" i="14"/>
  <c r="T7" i="14" s="1"/>
  <c r="G14" i="17"/>
  <c r="R45" i="100"/>
  <c r="Z8" i="16"/>
  <c r="C33" i="38"/>
  <c r="I66" i="38" s="1"/>
  <c r="O22" i="39"/>
  <c r="O21" i="39" s="1"/>
  <c r="S22" i="39"/>
  <c r="R22" i="39" s="1"/>
  <c r="R21" i="39" s="1"/>
  <c r="P21" i="39"/>
  <c r="Q63" i="36"/>
  <c r="N63" i="36"/>
  <c r="N62" i="36" s="1"/>
  <c r="N58" i="36" s="1"/>
  <c r="N55" i="36" s="1"/>
  <c r="O62" i="36"/>
  <c r="O58" i="36" s="1"/>
  <c r="O55" i="36" s="1"/>
  <c r="Y21" i="37"/>
  <c r="AS21" i="37"/>
  <c r="P81" i="36"/>
  <c r="P70" i="36"/>
  <c r="P72" i="36" s="1"/>
  <c r="P89" i="36"/>
  <c r="G63" i="45"/>
  <c r="K44" i="44"/>
  <c r="K40" i="44" s="1"/>
  <c r="G63" i="46"/>
  <c r="H45" i="44"/>
  <c r="D61" i="154" s="1"/>
  <c r="Y33" i="37"/>
  <c r="AS33" i="37"/>
  <c r="U60" i="46"/>
  <c r="C32" i="73"/>
  <c r="X53" i="39"/>
  <c r="X52" i="39" s="1"/>
  <c r="Y52" i="39"/>
  <c r="AB59" i="9"/>
  <c r="AB50" i="9" s="1"/>
  <c r="AB65" i="9" s="1"/>
  <c r="AB25" i="9"/>
  <c r="AB24" i="9" s="1"/>
  <c r="P12" i="43"/>
  <c r="P82" i="43"/>
  <c r="P10" i="43"/>
  <c r="O90" i="1"/>
  <c r="N90" i="1" s="1"/>
  <c r="H12" i="31"/>
  <c r="AT41" i="1"/>
  <c r="AM41" i="1"/>
  <c r="AL41" i="1" s="1"/>
  <c r="AL14" i="87"/>
  <c r="AJ8" i="87"/>
  <c r="BY63" i="3"/>
  <c r="BZ63" i="3" s="1"/>
  <c r="BB62" i="3"/>
  <c r="BB58" i="3" s="1"/>
  <c r="AG43" i="1"/>
  <c r="AF43" i="1" s="1"/>
  <c r="AN43" i="1"/>
  <c r="BM66" i="3"/>
  <c r="AI65" i="1"/>
  <c r="BM68" i="41"/>
  <c r="AM66" i="1"/>
  <c r="C54" i="34"/>
  <c r="BL18" i="5"/>
  <c r="BL17" i="5" s="1"/>
  <c r="T26" i="16" s="1"/>
  <c r="BK17" i="5"/>
  <c r="S26" i="16" s="1"/>
  <c r="AI10" i="47"/>
  <c r="AJ10" i="47"/>
  <c r="Q44" i="39"/>
  <c r="T40" i="39"/>
  <c r="T33" i="39" s="1"/>
  <c r="T32" i="39" s="1"/>
  <c r="Q33" i="39"/>
  <c r="Q32" i="39" s="1"/>
  <c r="K35" i="37"/>
  <c r="K9" i="37" s="1"/>
  <c r="AO44" i="4"/>
  <c r="AG44" i="4"/>
  <c r="Y60" i="38"/>
  <c r="V60" i="6"/>
  <c r="V60" i="7"/>
  <c r="Y60" i="39"/>
  <c r="AJ42" i="4"/>
  <c r="AH23" i="92"/>
  <c r="AG22" i="92"/>
  <c r="AG21" i="92" s="1"/>
  <c r="AG7" i="92" s="1"/>
  <c r="AG37" i="92"/>
  <c r="J58" i="1"/>
  <c r="BF69" i="88"/>
  <c r="AQ17" i="87"/>
  <c r="AO14" i="87"/>
  <c r="AL30" i="48"/>
  <c r="AO8" i="48"/>
  <c r="AP8" i="48"/>
  <c r="V52" i="39"/>
  <c r="S40" i="38"/>
  <c r="P44" i="38"/>
  <c r="O40" i="38"/>
  <c r="R40" i="38" s="1"/>
  <c r="F19" i="38"/>
  <c r="AH74" i="41"/>
  <c r="AT79" i="41"/>
  <c r="AR79" i="41"/>
  <c r="AR74" i="41" s="1"/>
  <c r="AR86" i="41" s="1"/>
  <c r="G32" i="50"/>
  <c r="G89" i="50" s="1"/>
  <c r="AF12" i="48"/>
  <c r="L38" i="14" s="1"/>
  <c r="G33" i="50"/>
  <c r="AF35" i="48"/>
  <c r="F15" i="15" s="1"/>
  <c r="G10" i="64"/>
  <c r="BU12" i="41"/>
  <c r="R16" i="140"/>
  <c r="U16" i="140"/>
  <c r="X27" i="16"/>
  <c r="DZ3" i="47"/>
  <c r="DN29" i="47"/>
  <c r="DN27" i="47" s="1"/>
  <c r="DN32" i="47"/>
  <c r="EJ9" i="47"/>
  <c r="H27" i="47"/>
  <c r="BR32" i="5"/>
  <c r="BT32" i="5" s="1"/>
  <c r="Y27" i="16"/>
  <c r="AA27" i="16" s="1"/>
  <c r="F34" i="6"/>
  <c r="J23" i="16"/>
  <c r="J35" i="16" s="1"/>
  <c r="J39" i="16"/>
  <c r="J37" i="16"/>
  <c r="I33" i="39"/>
  <c r="I30" i="19"/>
  <c r="D15" i="14"/>
  <c r="V39" i="43"/>
  <c r="AV72" i="41"/>
  <c r="F35" i="4"/>
  <c r="F27" i="33" s="1"/>
  <c r="D39" i="37"/>
  <c r="D35" i="37" s="1"/>
  <c r="M118" i="89"/>
  <c r="C25" i="72"/>
  <c r="C22" i="72" s="1"/>
  <c r="C22" i="73"/>
  <c r="F55" i="34"/>
  <c r="G54" i="34"/>
  <c r="D32" i="33"/>
  <c r="D39" i="4"/>
  <c r="D35" i="4" s="1"/>
  <c r="W27" i="14"/>
  <c r="Y27" i="14"/>
  <c r="M11" i="33"/>
  <c r="O11" i="4"/>
  <c r="O11" i="33" s="1"/>
  <c r="M10" i="4"/>
  <c r="T10" i="4" s="1"/>
  <c r="BA132" i="88"/>
  <c r="BA133" i="88"/>
  <c r="V139" i="89"/>
  <c r="W8" i="89"/>
  <c r="H9" i="15"/>
  <c r="AV26" i="48"/>
  <c r="P84" i="36"/>
  <c r="P85" i="36" s="1"/>
  <c r="P102" i="36" s="1"/>
  <c r="P92" i="36"/>
  <c r="P93" i="36" s="1"/>
  <c r="P101" i="36" s="1"/>
  <c r="P91" i="36"/>
  <c r="P83" i="36"/>
  <c r="AQ115" i="13"/>
  <c r="AQ116" i="13" s="1"/>
  <c r="AA163" i="13"/>
  <c r="AA165" i="13" s="1"/>
  <c r="BC20" i="5"/>
  <c r="BD20" i="5" s="1"/>
  <c r="BF20" i="5" s="1"/>
  <c r="O25" i="44"/>
  <c r="AE27" i="16"/>
  <c r="AE31" i="16"/>
  <c r="I56" i="45"/>
  <c r="K101" i="45"/>
  <c r="E42" i="68"/>
  <c r="C42" i="68" s="1"/>
  <c r="C32" i="58"/>
  <c r="M80" i="44"/>
  <c r="M81" i="44" s="1"/>
  <c r="C46" i="54"/>
  <c r="C46" i="66" s="1"/>
  <c r="O38" i="44"/>
  <c r="BC33" i="5"/>
  <c r="K92" i="46"/>
  <c r="I92" i="46" s="1"/>
  <c r="I56" i="46"/>
  <c r="E33" i="45"/>
  <c r="E71" i="45" s="1"/>
  <c r="C34" i="45"/>
  <c r="P12" i="64"/>
  <c r="N12" i="64" s="1"/>
  <c r="N12" i="17"/>
  <c r="P11" i="64"/>
  <c r="C75" i="75"/>
  <c r="C72" i="75" s="1"/>
  <c r="F7" i="63"/>
  <c r="C72" i="74"/>
  <c r="P13" i="64"/>
  <c r="N13" i="64" s="1"/>
  <c r="N13" i="17"/>
  <c r="C76" i="76"/>
  <c r="C73" i="76" s="1"/>
  <c r="G7" i="63"/>
  <c r="C34" i="46"/>
  <c r="E33" i="46"/>
  <c r="S44" i="48"/>
  <c r="S42" i="48"/>
  <c r="S47" i="48"/>
  <c r="S45" i="48"/>
  <c r="D9" i="44"/>
  <c r="C32" i="154" s="1"/>
  <c r="C31" i="154" s="1"/>
  <c r="D59" i="44"/>
  <c r="D61" i="44" s="1"/>
  <c r="E61" i="44" s="1"/>
  <c r="CU46" i="48"/>
  <c r="S46" i="48"/>
  <c r="V10" i="64"/>
  <c r="AH38" i="13"/>
  <c r="AJ38" i="60"/>
  <c r="AJ12" i="13"/>
  <c r="C86" i="72"/>
  <c r="V45" i="44"/>
  <c r="E39" i="58"/>
  <c r="Q44" i="44"/>
  <c r="P45" i="44"/>
  <c r="K63" i="45"/>
  <c r="K62" i="45" s="1"/>
  <c r="K63" i="46"/>
  <c r="K62" i="46" s="1"/>
  <c r="S62" i="7"/>
  <c r="P62" i="7"/>
  <c r="V62" i="38"/>
  <c r="V8" i="139"/>
  <c r="P61" i="139"/>
  <c r="V61" i="139" s="1"/>
  <c r="AA61" i="139" s="1"/>
  <c r="Z24" i="7"/>
  <c r="I7" i="140"/>
  <c r="S7" i="140" s="1"/>
  <c r="V7" i="140" s="1"/>
  <c r="S8" i="140"/>
  <c r="V8" i="140" s="1"/>
  <c r="T28" i="62"/>
  <c r="T7" i="62" s="1"/>
  <c r="T53" i="62"/>
  <c r="AC25" i="38"/>
  <c r="Z24" i="38"/>
  <c r="Z20" i="38" s="1"/>
  <c r="Z18" i="38" s="1"/>
  <c r="R27" i="140"/>
  <c r="U27" i="140"/>
  <c r="R9" i="140"/>
  <c r="Z25" i="62"/>
  <c r="U20" i="140"/>
  <c r="R20" i="140"/>
  <c r="L62" i="38"/>
  <c r="AY9" i="87"/>
  <c r="BA10" i="87"/>
  <c r="Q10" i="139"/>
  <c r="Q8" i="139"/>
  <c r="BG135" i="88"/>
  <c r="BG141" i="88"/>
  <c r="BG119" i="88"/>
  <c r="BG101" i="88"/>
  <c r="BG147" i="88"/>
  <c r="BG113" i="88"/>
  <c r="BG107" i="88"/>
  <c r="BH101" i="88"/>
  <c r="BG138" i="88"/>
  <c r="BG153" i="88"/>
  <c r="BG110" i="88"/>
  <c r="BG144" i="88"/>
  <c r="BG116" i="88"/>
  <c r="BG104" i="88"/>
  <c r="BG150" i="88"/>
  <c r="BG125" i="88"/>
  <c r="BG128" i="88"/>
  <c r="BG122" i="88"/>
  <c r="U29" i="7"/>
  <c r="Z29" i="7"/>
  <c r="W27" i="7"/>
  <c r="W20" i="7" s="1"/>
  <c r="W18" i="7" s="1"/>
  <c r="H15" i="140"/>
  <c r="AE27" i="62"/>
  <c r="AC27" i="62"/>
  <c r="AC25" i="62" s="1"/>
  <c r="W30" i="62"/>
  <c r="Y30" i="62"/>
  <c r="W9" i="139"/>
  <c r="L62" i="7"/>
  <c r="U61" i="139"/>
  <c r="Z61" i="139"/>
  <c r="BF8" i="86"/>
  <c r="BF60" i="86" s="1"/>
  <c r="BF10" i="86"/>
  <c r="AV9" i="87"/>
  <c r="T24" i="38"/>
  <c r="Q20" i="38"/>
  <c r="S61" i="139"/>
  <c r="Y61" i="139" s="1"/>
  <c r="AD61" i="139" s="1"/>
  <c r="Y8" i="139"/>
  <c r="Q8" i="62"/>
  <c r="Q44" i="62"/>
  <c r="Q47" i="62"/>
  <c r="U53" i="139"/>
  <c r="Z53" i="139"/>
  <c r="T62" i="139"/>
  <c r="BG10" i="86"/>
  <c r="BG8" i="86"/>
  <c r="BG60" i="86" s="1"/>
  <c r="K7" i="140"/>
  <c r="L8" i="140" s="1"/>
  <c r="P8" i="140"/>
  <c r="M8" i="140"/>
  <c r="M15" i="140"/>
  <c r="P15" i="140"/>
  <c r="AX131" i="88"/>
  <c r="AY131" i="88"/>
  <c r="BE131" i="88" s="1"/>
  <c r="R53" i="139"/>
  <c r="X53" i="139" s="1"/>
  <c r="AC53" i="139" s="1"/>
  <c r="AC39" i="139"/>
  <c r="K10" i="139"/>
  <c r="K8" i="139"/>
  <c r="K62" i="139" s="1"/>
  <c r="BN39" i="86"/>
  <c r="BM39" i="86" s="1"/>
  <c r="BM9" i="86" s="1"/>
  <c r="BL9" i="86"/>
  <c r="R18" i="140"/>
  <c r="U18" i="140"/>
  <c r="H8" i="140"/>
  <c r="F7" i="140"/>
  <c r="G15" i="140" s="1"/>
  <c r="AX91" i="88"/>
  <c r="AY91" i="88"/>
  <c r="L8" i="139"/>
  <c r="L62" i="139" s="1"/>
  <c r="L10" i="139"/>
  <c r="P17" i="140"/>
  <c r="M17" i="140"/>
  <c r="X43" i="139"/>
  <c r="AC43" i="139" s="1"/>
  <c r="P23" i="44"/>
  <c r="P81" i="60"/>
  <c r="C81" i="60" s="1"/>
  <c r="P80" i="13"/>
  <c r="BF24" i="5"/>
  <c r="P33" i="44"/>
  <c r="AA193" i="13"/>
  <c r="P193" i="13" s="1"/>
  <c r="P194" i="13" s="1"/>
  <c r="O34" i="44"/>
  <c r="BC29" i="5"/>
  <c r="BD29" i="5" s="1"/>
  <c r="O35" i="44"/>
  <c r="BC30" i="5"/>
  <c r="M26" i="45"/>
  <c r="AC66" i="43"/>
  <c r="M26" i="46"/>
  <c r="Z66" i="43"/>
  <c r="Z65" i="43" s="1"/>
  <c r="AA65" i="43"/>
  <c r="AA61" i="43" s="1"/>
  <c r="AA57" i="43" s="1"/>
  <c r="AC62" i="43"/>
  <c r="AG63" i="43"/>
  <c r="AG63" i="150" s="1"/>
  <c r="AG42" i="44"/>
  <c r="AO42" i="44"/>
  <c r="C38" i="57"/>
  <c r="C23" i="66"/>
  <c r="C20" i="66" s="1"/>
  <c r="C20" i="54"/>
  <c r="M22" i="46"/>
  <c r="L23" i="46"/>
  <c r="L22" i="46" s="1"/>
  <c r="AO70" i="43"/>
  <c r="AM70" i="43"/>
  <c r="M28" i="46"/>
  <c r="L30" i="46"/>
  <c r="L28" i="46" s="1"/>
  <c r="L23" i="45"/>
  <c r="L22" i="45" s="1"/>
  <c r="M22" i="45"/>
  <c r="P30" i="45"/>
  <c r="P30" i="46"/>
  <c r="AF70" i="43"/>
  <c r="AG68" i="43"/>
  <c r="M28" i="45"/>
  <c r="BD35" i="5"/>
  <c r="H14" i="44"/>
  <c r="D37" i="154" s="1"/>
  <c r="M37" i="154" s="1"/>
  <c r="G39" i="46"/>
  <c r="G39" i="45"/>
  <c r="K10" i="44"/>
  <c r="K9" i="44" s="1"/>
  <c r="F15" i="45"/>
  <c r="G82" i="45"/>
  <c r="G76" i="43"/>
  <c r="G73" i="43"/>
  <c r="D17" i="45"/>
  <c r="C17" i="45" s="1"/>
  <c r="D8" i="45"/>
  <c r="D10" i="45"/>
  <c r="C12" i="45"/>
  <c r="O82" i="43"/>
  <c r="O10" i="43"/>
  <c r="O12" i="43"/>
  <c r="G19" i="45"/>
  <c r="O57" i="43"/>
  <c r="BD46" i="5"/>
  <c r="AA118" i="89" l="1"/>
  <c r="Y119" i="89"/>
  <c r="AJ138" i="89"/>
  <c r="T110" i="89"/>
  <c r="W110" i="89" s="1"/>
  <c r="AK9" i="89"/>
  <c r="R10" i="139"/>
  <c r="X10" i="139" s="1"/>
  <c r="AC10" i="139" s="1"/>
  <c r="AL88" i="89"/>
  <c r="AN88" i="89"/>
  <c r="AJ152" i="89"/>
  <c r="AM91" i="89"/>
  <c r="AL91" i="89"/>
  <c r="AL105" i="89"/>
  <c r="AN105" i="89"/>
  <c r="AM105" i="89"/>
  <c r="AW99" i="88"/>
  <c r="AL138" i="89"/>
  <c r="AM138" i="89"/>
  <c r="AZ110" i="89"/>
  <c r="AY110" i="89"/>
  <c r="AM66" i="89"/>
  <c r="AL66" i="89"/>
  <c r="AA184" i="89"/>
  <c r="AJ107" i="89"/>
  <c r="AM79" i="89"/>
  <c r="AL79" i="89"/>
  <c r="AM82" i="89"/>
  <c r="AL82" i="89"/>
  <c r="AZ106" i="89"/>
  <c r="AY106" i="89"/>
  <c r="AM113" i="89"/>
  <c r="AL113" i="89"/>
  <c r="AN113" i="89"/>
  <c r="AM69" i="89"/>
  <c r="AL69" i="89"/>
  <c r="AM94" i="89"/>
  <c r="AL94" i="89"/>
  <c r="AZ116" i="89"/>
  <c r="AY116" i="89"/>
  <c r="AM97" i="89"/>
  <c r="AL97" i="89"/>
  <c r="AJ116" i="89"/>
  <c r="AY107" i="89"/>
  <c r="AZ107" i="89"/>
  <c r="AM85" i="89"/>
  <c r="AL85" i="89"/>
  <c r="AL123" i="89"/>
  <c r="AL61" i="89"/>
  <c r="AL76" i="89"/>
  <c r="AL93" i="89"/>
  <c r="AL121" i="89"/>
  <c r="AL43" i="89"/>
  <c r="AL128" i="89"/>
  <c r="AL92" i="89"/>
  <c r="AL89" i="89"/>
  <c r="AL83" i="89"/>
  <c r="AL28" i="89"/>
  <c r="AL81" i="89"/>
  <c r="AL30" i="89"/>
  <c r="AL16" i="89"/>
  <c r="AL114" i="89"/>
  <c r="AL65" i="89"/>
  <c r="AL96" i="89"/>
  <c r="AL32" i="89"/>
  <c r="AL35" i="89"/>
  <c r="AL71" i="89"/>
  <c r="AL129" i="89"/>
  <c r="AL57" i="89"/>
  <c r="AL104" i="89"/>
  <c r="AL47" i="89"/>
  <c r="AL78" i="89"/>
  <c r="AL132" i="89"/>
  <c r="AL87" i="89"/>
  <c r="AL50" i="89"/>
  <c r="AL136" i="89"/>
  <c r="AL130" i="89"/>
  <c r="AL13" i="89"/>
  <c r="AL60" i="89"/>
  <c r="AN8" i="89"/>
  <c r="AL8" i="89"/>
  <c r="AL56" i="89"/>
  <c r="AL33" i="89"/>
  <c r="AL18" i="89"/>
  <c r="AL126" i="89"/>
  <c r="AL20" i="89"/>
  <c r="AL72" i="89"/>
  <c r="AL41" i="89"/>
  <c r="AL108" i="89"/>
  <c r="AL68" i="89"/>
  <c r="AL14" i="89"/>
  <c r="AL131" i="89"/>
  <c r="AL31" i="89"/>
  <c r="AL51" i="89"/>
  <c r="AL124" i="89"/>
  <c r="AL90" i="89"/>
  <c r="AL133" i="89"/>
  <c r="AL58" i="89"/>
  <c r="AL11" i="89"/>
  <c r="AL12" i="89"/>
  <c r="AL59" i="89"/>
  <c r="AL77" i="89"/>
  <c r="AL21" i="89"/>
  <c r="AL135" i="89"/>
  <c r="AL42" i="89"/>
  <c r="AL45" i="89"/>
  <c r="AL102" i="89"/>
  <c r="AL25" i="89"/>
  <c r="AL115" i="89"/>
  <c r="AX8" i="89"/>
  <c r="AL120" i="89"/>
  <c r="AL67" i="89"/>
  <c r="AL27" i="89"/>
  <c r="AL46" i="89"/>
  <c r="AL122" i="89"/>
  <c r="AL10" i="89"/>
  <c r="AL70" i="89"/>
  <c r="AL24" i="89"/>
  <c r="AL80" i="89"/>
  <c r="AL95" i="89"/>
  <c r="AL101" i="89"/>
  <c r="AL100" i="89"/>
  <c r="AL103" i="89"/>
  <c r="AL19" i="89"/>
  <c r="AL44" i="89"/>
  <c r="AL111" i="89"/>
  <c r="AL98" i="89"/>
  <c r="AL17" i="89"/>
  <c r="AL22" i="89"/>
  <c r="AL137" i="89"/>
  <c r="AL53" i="89"/>
  <c r="AL64" i="89"/>
  <c r="AL84" i="89"/>
  <c r="AL74" i="89"/>
  <c r="AL63" i="89"/>
  <c r="AL75" i="89"/>
  <c r="AL109" i="89"/>
  <c r="AL125" i="89"/>
  <c r="AL26" i="89"/>
  <c r="AL52" i="89"/>
  <c r="AL99" i="89"/>
  <c r="AL86" i="89"/>
  <c r="AL23" i="89"/>
  <c r="AL139" i="89"/>
  <c r="AL134" i="89"/>
  <c r="AL15" i="89"/>
  <c r="AL127" i="89"/>
  <c r="AL73" i="89"/>
  <c r="AL29" i="89"/>
  <c r="AH119" i="89"/>
  <c r="AH118" i="89"/>
  <c r="AJ117" i="89"/>
  <c r="AZ138" i="89"/>
  <c r="AY138" i="89"/>
  <c r="AI119" i="89"/>
  <c r="AY117" i="89"/>
  <c r="AZ117" i="89"/>
  <c r="AI118" i="89"/>
  <c r="AJ110" i="89"/>
  <c r="BH8" i="86"/>
  <c r="BH60" i="86" s="1"/>
  <c r="BH10" i="86"/>
  <c r="AB106" i="89"/>
  <c r="AJ106" i="89"/>
  <c r="AK106" i="89"/>
  <c r="AG49" i="152"/>
  <c r="I50" i="152"/>
  <c r="H13" i="33"/>
  <c r="J13" i="4"/>
  <c r="J13" i="33" s="1"/>
  <c r="P103" i="36"/>
  <c r="AL40" i="48"/>
  <c r="V18" i="64"/>
  <c r="V18" i="164"/>
  <c r="X65" i="152"/>
  <c r="R19" i="45"/>
  <c r="W19" i="45"/>
  <c r="BV42" i="41"/>
  <c r="BH42" i="41"/>
  <c r="BF42" i="41"/>
  <c r="AC65" i="89"/>
  <c r="AC121" i="89"/>
  <c r="AC123" i="89"/>
  <c r="AC129" i="89"/>
  <c r="AC108" i="89"/>
  <c r="AC103" i="89"/>
  <c r="AC66" i="89"/>
  <c r="AC176" i="89"/>
  <c r="AC84" i="89"/>
  <c r="AC177" i="89"/>
  <c r="AC124" i="89"/>
  <c r="AC28" i="89"/>
  <c r="AC76" i="89"/>
  <c r="AC31" i="89"/>
  <c r="AC43" i="89"/>
  <c r="AC33" i="89"/>
  <c r="AC135" i="89"/>
  <c r="AC160" i="89"/>
  <c r="AC53" i="89"/>
  <c r="AC14" i="89"/>
  <c r="AC11" i="89"/>
  <c r="AC36" i="89"/>
  <c r="AC20" i="89"/>
  <c r="AC100" i="89"/>
  <c r="AC122" i="89"/>
  <c r="AC55" i="89"/>
  <c r="AC166" i="89"/>
  <c r="AC98" i="89"/>
  <c r="AC149" i="89"/>
  <c r="AC174" i="89"/>
  <c r="AC80" i="89"/>
  <c r="AC101" i="89"/>
  <c r="AC22" i="89"/>
  <c r="AC87" i="89"/>
  <c r="AC52" i="89"/>
  <c r="AC18" i="89"/>
  <c r="AC131" i="89"/>
  <c r="AC151" i="89"/>
  <c r="AC50" i="89"/>
  <c r="AC128" i="89"/>
  <c r="AC91" i="89"/>
  <c r="AC72" i="89"/>
  <c r="AC69" i="89"/>
  <c r="AC10" i="89"/>
  <c r="AC95" i="89"/>
  <c r="AC73" i="89"/>
  <c r="AC150" i="89"/>
  <c r="AC77" i="89"/>
  <c r="AC9" i="89"/>
  <c r="AC171" i="89"/>
  <c r="AC21" i="89"/>
  <c r="AC32" i="89"/>
  <c r="AC26" i="89"/>
  <c r="AC92" i="89"/>
  <c r="AC67" i="89"/>
  <c r="AC70" i="89"/>
  <c r="AC86" i="89"/>
  <c r="AC30" i="89"/>
  <c r="AC165" i="89"/>
  <c r="AC64" i="89"/>
  <c r="AC88" i="89"/>
  <c r="AC63" i="89"/>
  <c r="AC49" i="89"/>
  <c r="AC147" i="89"/>
  <c r="AC15" i="89"/>
  <c r="AC44" i="89"/>
  <c r="AC163" i="89"/>
  <c r="AC125" i="89"/>
  <c r="AC17" i="89"/>
  <c r="AC179" i="89"/>
  <c r="AC78" i="89"/>
  <c r="AC146" i="89"/>
  <c r="AJ146" i="89" s="1"/>
  <c r="AC170" i="89"/>
  <c r="AC25" i="89"/>
  <c r="AC152" i="89"/>
  <c r="AC99" i="89"/>
  <c r="AC93" i="89"/>
  <c r="AC109" i="89"/>
  <c r="AC48" i="89"/>
  <c r="AC57" i="89"/>
  <c r="AC115" i="89"/>
  <c r="AC81" i="89"/>
  <c r="AC45" i="89"/>
  <c r="AC154" i="89"/>
  <c r="AC169" i="89"/>
  <c r="AC168" i="89"/>
  <c r="AC167" i="89"/>
  <c r="AC178" i="89"/>
  <c r="AC155" i="89"/>
  <c r="AC136" i="89"/>
  <c r="AC102" i="89"/>
  <c r="AC42" i="89"/>
  <c r="AC58" i="89"/>
  <c r="AC120" i="89"/>
  <c r="AC164" i="89"/>
  <c r="AC59" i="89"/>
  <c r="AC27" i="89"/>
  <c r="AC173" i="89"/>
  <c r="AC51" i="89"/>
  <c r="AC12" i="89"/>
  <c r="AC61" i="89"/>
  <c r="AC97" i="89"/>
  <c r="AC41" i="89"/>
  <c r="AC130" i="89"/>
  <c r="AC35" i="89"/>
  <c r="AC148" i="89"/>
  <c r="AC175" i="89"/>
  <c r="AC153" i="89"/>
  <c r="AC156" i="89"/>
  <c r="AC161" i="89"/>
  <c r="AC132" i="89"/>
  <c r="AC46" i="89"/>
  <c r="AC8" i="89"/>
  <c r="AC83" i="89"/>
  <c r="AC16" i="89"/>
  <c r="AC89" i="89"/>
  <c r="AC75" i="89"/>
  <c r="AC104" i="89"/>
  <c r="AC82" i="89"/>
  <c r="AC54" i="89"/>
  <c r="AC96" i="89"/>
  <c r="AC90" i="89"/>
  <c r="AC134" i="89"/>
  <c r="AC172" i="89"/>
  <c r="AC127" i="89"/>
  <c r="AC47" i="89"/>
  <c r="AC159" i="89"/>
  <c r="AC157" i="89"/>
  <c r="AC60" i="89"/>
  <c r="AC145" i="89"/>
  <c r="AC23" i="89"/>
  <c r="AC114" i="89"/>
  <c r="AC13" i="89"/>
  <c r="AC162" i="89"/>
  <c r="AC139" i="89"/>
  <c r="AC56" i="89"/>
  <c r="AC111" i="89"/>
  <c r="AC71" i="89"/>
  <c r="AC137" i="89"/>
  <c r="AC19" i="89"/>
  <c r="AC133" i="89"/>
  <c r="AC29" i="89"/>
  <c r="AC24" i="89"/>
  <c r="AC68" i="89"/>
  <c r="AC158" i="89"/>
  <c r="AC126" i="89"/>
  <c r="AD110" i="89"/>
  <c r="AC110" i="89"/>
  <c r="M75" i="151"/>
  <c r="M76" i="151" s="1"/>
  <c r="O25" i="151"/>
  <c r="AH38" i="162"/>
  <c r="AJ12" i="162"/>
  <c r="K11" i="33"/>
  <c r="K10" i="4"/>
  <c r="K10" i="33" s="1"/>
  <c r="C33" i="161"/>
  <c r="D27" i="160"/>
  <c r="D53" i="34"/>
  <c r="C53" i="34" s="1"/>
  <c r="V19" i="64"/>
  <c r="V19" i="164"/>
  <c r="AS13" i="37"/>
  <c r="J13" i="37"/>
  <c r="H11" i="37"/>
  <c r="AC116" i="89"/>
  <c r="AD116" i="89"/>
  <c r="AD112" i="89"/>
  <c r="AC112" i="89"/>
  <c r="E10" i="164"/>
  <c r="AC107" i="89"/>
  <c r="AD107" i="89"/>
  <c r="F12" i="164"/>
  <c r="AM62" i="89"/>
  <c r="AL62" i="89"/>
  <c r="AN62" i="89"/>
  <c r="E48" i="154"/>
  <c r="C42" i="169"/>
  <c r="C43" i="158"/>
  <c r="BC19" i="5"/>
  <c r="BD19" i="5" s="1"/>
  <c r="BF19" i="5" s="1"/>
  <c r="C43" i="54"/>
  <c r="C43" i="66" s="1"/>
  <c r="M74" i="44"/>
  <c r="M75" i="44" s="1"/>
  <c r="O24" i="44"/>
  <c r="I50" i="153"/>
  <c r="J88" i="153"/>
  <c r="I88" i="153" s="1"/>
  <c r="AN112" i="89"/>
  <c r="AM112" i="89"/>
  <c r="AL112" i="89"/>
  <c r="G14" i="64"/>
  <c r="G14" i="164"/>
  <c r="H11" i="4"/>
  <c r="V12" i="64"/>
  <c r="V12" i="164"/>
  <c r="X59" i="153"/>
  <c r="X65" i="153"/>
  <c r="AC20" i="39"/>
  <c r="AC18" i="39" s="1"/>
  <c r="L9" i="4"/>
  <c r="L9" i="33" s="1"/>
  <c r="L10" i="33"/>
  <c r="AD62" i="89"/>
  <c r="AC62" i="89"/>
  <c r="S119" i="89"/>
  <c r="AB119" i="89" s="1"/>
  <c r="S118" i="89"/>
  <c r="U118" i="89" s="1"/>
  <c r="AB117" i="89"/>
  <c r="Y118" i="89"/>
  <c r="AC85" i="89"/>
  <c r="E13" i="164"/>
  <c r="F13" i="164" s="1"/>
  <c r="D40" i="44"/>
  <c r="O40" i="44" s="1"/>
  <c r="I50" i="45"/>
  <c r="AD49" i="45"/>
  <c r="AC94" i="89"/>
  <c r="V107" i="89"/>
  <c r="T138" i="89"/>
  <c r="AN138" i="89" s="1"/>
  <c r="V13" i="64"/>
  <c r="V13" i="164"/>
  <c r="N11" i="43"/>
  <c r="W138" i="89"/>
  <c r="V52" i="7"/>
  <c r="E31" i="72"/>
  <c r="C29" i="72"/>
  <c r="C22" i="164"/>
  <c r="AD138" i="89"/>
  <c r="AC138" i="89"/>
  <c r="C28" i="58"/>
  <c r="D28" i="68"/>
  <c r="C28" i="68" s="1"/>
  <c r="P80" i="162"/>
  <c r="P34" i="151"/>
  <c r="M34" i="151" s="1"/>
  <c r="C45" i="161"/>
  <c r="C32" i="161" s="1"/>
  <c r="AF68" i="43"/>
  <c r="P62" i="139"/>
  <c r="C57" i="161"/>
  <c r="C56" i="161" s="1"/>
  <c r="D39" i="160"/>
  <c r="BE11" i="41"/>
  <c r="L22" i="152"/>
  <c r="C63" i="151"/>
  <c r="AD105" i="89"/>
  <c r="AC105" i="89"/>
  <c r="J88" i="46"/>
  <c r="I88" i="46" s="1"/>
  <c r="I50" i="46"/>
  <c r="AZ64" i="88"/>
  <c r="AZ65" i="88"/>
  <c r="BA56" i="88"/>
  <c r="AA61" i="150"/>
  <c r="AA57" i="150" s="1"/>
  <c r="D58" i="46"/>
  <c r="C58" i="46" s="1"/>
  <c r="G12" i="150"/>
  <c r="G10" i="150"/>
  <c r="Y60" i="46"/>
  <c r="X60" i="46" s="1"/>
  <c r="Y60" i="45"/>
  <c r="X60" i="45" s="1"/>
  <c r="V61" i="45"/>
  <c r="U61" i="45" s="1"/>
  <c r="U59" i="45" s="1"/>
  <c r="V61" i="46"/>
  <c r="U61" i="46" s="1"/>
  <c r="V24" i="153"/>
  <c r="U24" i="153" s="1"/>
  <c r="V24" i="152"/>
  <c r="U24" i="152" s="1"/>
  <c r="D51" i="6"/>
  <c r="C51" i="6" s="1"/>
  <c r="C22" i="63"/>
  <c r="D51" i="39"/>
  <c r="C51" i="39" s="1"/>
  <c r="V23" i="153"/>
  <c r="V23" i="152"/>
  <c r="S29" i="46"/>
  <c r="S29" i="45"/>
  <c r="AE65" i="152"/>
  <c r="AE57" i="152"/>
  <c r="AF57" i="152"/>
  <c r="AF56" i="152"/>
  <c r="R61" i="45"/>
  <c r="R59" i="45" s="1"/>
  <c r="S59" i="45"/>
  <c r="N47" i="150"/>
  <c r="N11" i="150" s="1"/>
  <c r="BP47" i="150"/>
  <c r="BO47" i="150" s="1"/>
  <c r="AA60" i="153"/>
  <c r="AA59" i="153" s="1"/>
  <c r="H15" i="151"/>
  <c r="K11" i="151"/>
  <c r="K10" i="151" s="1"/>
  <c r="S30" i="46"/>
  <c r="R30" i="46" s="1"/>
  <c r="S30" i="45"/>
  <c r="Q38" i="16"/>
  <c r="J118" i="89"/>
  <c r="AB61" i="153"/>
  <c r="AA61" i="153" s="1"/>
  <c r="AB61" i="152"/>
  <c r="AA61" i="152" s="1"/>
  <c r="Z41" i="43"/>
  <c r="AA41" i="150"/>
  <c r="Z41" i="150" s="1"/>
  <c r="AI64" i="43"/>
  <c r="AM64" i="43" s="1"/>
  <c r="AO64" i="43" s="1"/>
  <c r="AS64" i="43" s="1"/>
  <c r="P24" i="152"/>
  <c r="O24" i="152" s="1"/>
  <c r="BO64" i="3"/>
  <c r="BP64" i="3" s="1"/>
  <c r="AS64" i="1"/>
  <c r="BO66" i="41"/>
  <c r="BP66" i="41" s="1"/>
  <c r="D11" i="153"/>
  <c r="C11" i="153" s="1"/>
  <c r="C10" i="153"/>
  <c r="AA66" i="152"/>
  <c r="AB65" i="152"/>
  <c r="Y59" i="152"/>
  <c r="G11" i="87"/>
  <c r="G23" i="87"/>
  <c r="G15" i="87"/>
  <c r="G19" i="87"/>
  <c r="G25" i="87"/>
  <c r="G20" i="87"/>
  <c r="G26" i="87"/>
  <c r="G16" i="87"/>
  <c r="G24" i="87"/>
  <c r="G18" i="87"/>
  <c r="G7" i="87"/>
  <c r="G10" i="87"/>
  <c r="G21" i="87"/>
  <c r="G27" i="87"/>
  <c r="G28" i="87"/>
  <c r="G17" i="87"/>
  <c r="G12" i="87"/>
  <c r="G14" i="87"/>
  <c r="G34" i="87"/>
  <c r="H7" i="87"/>
  <c r="R7" i="87" s="1"/>
  <c r="G22" i="87"/>
  <c r="G9" i="87"/>
  <c r="G29" i="87"/>
  <c r="BI12" i="43"/>
  <c r="BI10" i="43"/>
  <c r="P113" i="150"/>
  <c r="P73" i="150"/>
  <c r="P81" i="150" s="1"/>
  <c r="Y65" i="153"/>
  <c r="V39" i="150"/>
  <c r="V77" i="43"/>
  <c r="AB67" i="153"/>
  <c r="AA67" i="153" s="1"/>
  <c r="AB67" i="152"/>
  <c r="AA67" i="152" s="1"/>
  <c r="V29" i="153"/>
  <c r="V29" i="152"/>
  <c r="AB64" i="153"/>
  <c r="AA64" i="153" s="1"/>
  <c r="AB64" i="152"/>
  <c r="AA64" i="152" s="1"/>
  <c r="AT41" i="150"/>
  <c r="AM41" i="150"/>
  <c r="AL41" i="150" s="1"/>
  <c r="X52" i="38"/>
  <c r="S27" i="46"/>
  <c r="R27" i="46" s="1"/>
  <c r="S27" i="45"/>
  <c r="R27" i="45" s="1"/>
  <c r="O11" i="150"/>
  <c r="Y65" i="152"/>
  <c r="W30" i="152"/>
  <c r="N28" i="152"/>
  <c r="Q30" i="152"/>
  <c r="F16" i="152"/>
  <c r="G83" i="152"/>
  <c r="X31" i="16"/>
  <c r="AA66" i="153"/>
  <c r="D58" i="152"/>
  <c r="C58" i="152" s="1"/>
  <c r="F39" i="152"/>
  <c r="F35" i="152" s="1"/>
  <c r="G35" i="152"/>
  <c r="G34" i="152" s="1"/>
  <c r="F34" i="152" s="1"/>
  <c r="X59" i="152"/>
  <c r="G8" i="87"/>
  <c r="Y31" i="16"/>
  <c r="AA31" i="16" s="1"/>
  <c r="BS31" i="5"/>
  <c r="BR31" i="5"/>
  <c r="BV31" i="5" s="1"/>
  <c r="Q10" i="150"/>
  <c r="R11" i="150"/>
  <c r="BC11" i="150"/>
  <c r="Q12" i="150"/>
  <c r="BB11" i="150"/>
  <c r="X11" i="150"/>
  <c r="G18" i="152"/>
  <c r="V64" i="45"/>
  <c r="U64" i="45" s="1"/>
  <c r="V64" i="46"/>
  <c r="U64" i="46" s="1"/>
  <c r="H59" i="154"/>
  <c r="H57" i="154" s="1"/>
  <c r="BM16" i="150"/>
  <c r="BM13" i="150" s="1"/>
  <c r="BM11" i="150" s="1"/>
  <c r="BO13" i="150"/>
  <c r="AA60" i="152"/>
  <c r="AA59" i="152" s="1"/>
  <c r="AB59" i="152"/>
  <c r="F39" i="153"/>
  <c r="F35" i="153" s="1"/>
  <c r="G35" i="153"/>
  <c r="G34" i="153" s="1"/>
  <c r="F34" i="153" s="1"/>
  <c r="D58" i="153"/>
  <c r="P115" i="150"/>
  <c r="P116" i="150"/>
  <c r="P117" i="150" s="1"/>
  <c r="P123" i="150"/>
  <c r="P124" i="150"/>
  <c r="P125" i="150" s="1"/>
  <c r="R7" i="154"/>
  <c r="H7" i="154"/>
  <c r="BN37" i="86"/>
  <c r="BN9" i="86" s="1"/>
  <c r="BO9" i="86"/>
  <c r="BI10" i="86"/>
  <c r="BI8" i="86"/>
  <c r="BI60" i="86" s="1"/>
  <c r="M59" i="154"/>
  <c r="AC207" i="13"/>
  <c r="C8" i="72"/>
  <c r="C9" i="72" s="1"/>
  <c r="J49" i="152"/>
  <c r="J49" i="153"/>
  <c r="P24" i="151"/>
  <c r="O34" i="151"/>
  <c r="O28" i="151"/>
  <c r="F63" i="152"/>
  <c r="G62" i="152"/>
  <c r="F62" i="152" s="1"/>
  <c r="G62" i="153"/>
  <c r="F62" i="153" s="1"/>
  <c r="F63" i="153"/>
  <c r="P46" i="151"/>
  <c r="P45" i="151" s="1"/>
  <c r="J63" i="153"/>
  <c r="J63" i="152"/>
  <c r="V46" i="151"/>
  <c r="V45" i="151" s="1"/>
  <c r="N63" i="153"/>
  <c r="N62" i="153" s="1"/>
  <c r="N63" i="152"/>
  <c r="N62" i="152" s="1"/>
  <c r="AJ47" i="151"/>
  <c r="AB47" i="151"/>
  <c r="D60" i="154"/>
  <c r="H46" i="151"/>
  <c r="K45" i="151"/>
  <c r="K41" i="151" s="1"/>
  <c r="K9" i="151" s="1"/>
  <c r="D41" i="151"/>
  <c r="D60" i="151"/>
  <c r="D62" i="151" s="1"/>
  <c r="H42" i="151"/>
  <c r="J43" i="151"/>
  <c r="AB44" i="151"/>
  <c r="AB42" i="151" s="1"/>
  <c r="AJ44" i="151"/>
  <c r="AE42" i="151"/>
  <c r="D33" i="46"/>
  <c r="C33" i="46" s="1"/>
  <c r="AR44" i="151"/>
  <c r="W42" i="151"/>
  <c r="F59" i="152"/>
  <c r="M57" i="154"/>
  <c r="C41" i="151"/>
  <c r="C9" i="151" s="1"/>
  <c r="C60" i="151"/>
  <c r="F59" i="153"/>
  <c r="AL69" i="43"/>
  <c r="AO69" i="43"/>
  <c r="AS69" i="43" s="1"/>
  <c r="S29" i="152"/>
  <c r="R29" i="152" s="1"/>
  <c r="O29" i="152"/>
  <c r="AM70" i="150"/>
  <c r="AL70" i="150" s="1"/>
  <c r="AO70" i="150"/>
  <c r="AI68" i="43"/>
  <c r="AF69" i="150"/>
  <c r="AI69" i="150"/>
  <c r="AG68" i="150"/>
  <c r="S29" i="153"/>
  <c r="R29" i="153" s="1"/>
  <c r="O29" i="153"/>
  <c r="S27" i="153"/>
  <c r="R27" i="153" s="1"/>
  <c r="O27" i="153"/>
  <c r="AL67" i="43"/>
  <c r="AO67" i="43"/>
  <c r="AS67" i="43" s="1"/>
  <c r="G24" i="154"/>
  <c r="AC66" i="150"/>
  <c r="O27" i="152"/>
  <c r="S27" i="152"/>
  <c r="R27" i="152" s="1"/>
  <c r="F19" i="154"/>
  <c r="F16" i="154" s="1"/>
  <c r="AF67" i="150"/>
  <c r="BE67" i="150" s="1"/>
  <c r="AI67" i="150"/>
  <c r="AM67" i="150" s="1"/>
  <c r="BC63" i="150"/>
  <c r="AC62" i="150"/>
  <c r="P24" i="46"/>
  <c r="O24" i="46" s="1"/>
  <c r="P24" i="153"/>
  <c r="AF64" i="43"/>
  <c r="AF63" i="150"/>
  <c r="AI63" i="150"/>
  <c r="AG62" i="150"/>
  <c r="P24" i="45"/>
  <c r="O24" i="45" s="1"/>
  <c r="Z61" i="43"/>
  <c r="Z57" i="43" s="1"/>
  <c r="G20" i="154"/>
  <c r="H21" i="154"/>
  <c r="H20" i="154" s="1"/>
  <c r="AF64" i="150"/>
  <c r="BE64" i="150" s="1"/>
  <c r="AI64" i="150"/>
  <c r="AM64" i="150" s="1"/>
  <c r="AL43" i="151"/>
  <c r="T34" i="150"/>
  <c r="U30" i="150"/>
  <c r="G12" i="152"/>
  <c r="G12" i="153"/>
  <c r="H12" i="152"/>
  <c r="H12" i="153"/>
  <c r="S62" i="139"/>
  <c r="S45" i="99"/>
  <c r="S6" i="99" s="1"/>
  <c r="S7" i="99" s="1"/>
  <c r="G69" i="152"/>
  <c r="O7" i="99"/>
  <c r="P57" i="99"/>
  <c r="P58" i="99" s="1"/>
  <c r="P59" i="99" s="1"/>
  <c r="P60" i="99" s="1"/>
  <c r="AE32" i="99"/>
  <c r="AE33" i="99" s="1"/>
  <c r="AE36" i="99" s="1"/>
  <c r="AE37" i="99" s="1"/>
  <c r="O6" i="99"/>
  <c r="O21" i="99"/>
  <c r="Z62" i="139"/>
  <c r="AA32" i="99"/>
  <c r="L57" i="99"/>
  <c r="L58" i="99" s="1"/>
  <c r="L59" i="99" s="1"/>
  <c r="L60" i="99" s="1"/>
  <c r="E71" i="152"/>
  <c r="C8" i="152"/>
  <c r="C69" i="152"/>
  <c r="R44" i="99"/>
  <c r="M25" i="153"/>
  <c r="M21" i="153" s="1"/>
  <c r="M18" i="153" s="1"/>
  <c r="L26" i="153"/>
  <c r="L25" i="153" s="1"/>
  <c r="L21" i="153" s="1"/>
  <c r="L18" i="153" s="1"/>
  <c r="M25" i="152"/>
  <c r="M21" i="152" s="1"/>
  <c r="M18" i="152" s="1"/>
  <c r="O30" i="153"/>
  <c r="P28" i="153"/>
  <c r="S28" i="153" s="1"/>
  <c r="R28" i="153" s="1"/>
  <c r="P23" i="152"/>
  <c r="S23" i="152" s="1"/>
  <c r="R23" i="152" s="1"/>
  <c r="P23" i="153"/>
  <c r="S23" i="153" s="1"/>
  <c r="R23" i="153" s="1"/>
  <c r="O30" i="152"/>
  <c r="P28" i="152"/>
  <c r="N12" i="43"/>
  <c r="N123" i="43" s="1"/>
  <c r="N82" i="43"/>
  <c r="N10" i="43"/>
  <c r="AN48" i="89"/>
  <c r="AM48" i="89"/>
  <c r="AL48" i="89"/>
  <c r="K8" i="44"/>
  <c r="AO8" i="87"/>
  <c r="AQ14" i="87"/>
  <c r="F63" i="45"/>
  <c r="G62" i="45"/>
  <c r="F62" i="45" s="1"/>
  <c r="C87" i="82"/>
  <c r="C82" i="82" s="1"/>
  <c r="M17" i="63"/>
  <c r="X53" i="6"/>
  <c r="CD48" i="47"/>
  <c r="BB39" i="48"/>
  <c r="J18" i="50"/>
  <c r="J13" i="50" s="1"/>
  <c r="J5" i="50" s="1"/>
  <c r="J31" i="50" s="1"/>
  <c r="F52" i="6"/>
  <c r="AQ10" i="36"/>
  <c r="AQ70" i="36" s="1"/>
  <c r="AQ12" i="36"/>
  <c r="H10" i="35"/>
  <c r="H11" i="35" s="1"/>
  <c r="H8" i="35"/>
  <c r="H65" i="35" s="1"/>
  <c r="H17" i="35"/>
  <c r="Q18" i="94"/>
  <c r="P18" i="94" s="1"/>
  <c r="U18" i="94"/>
  <c r="Z52" i="62"/>
  <c r="Z28" i="14"/>
  <c r="X7" i="94"/>
  <c r="X9" i="94"/>
  <c r="BC12" i="41"/>
  <c r="BC10" i="41"/>
  <c r="F56" i="39"/>
  <c r="G55" i="39"/>
  <c r="F55" i="39" s="1"/>
  <c r="C85" i="84"/>
  <c r="C80" i="84" s="1"/>
  <c r="O17" i="63"/>
  <c r="F8" i="19"/>
  <c r="E15" i="19"/>
  <c r="M7" i="97"/>
  <c r="H7" i="97"/>
  <c r="O50" i="9"/>
  <c r="Q22" i="9"/>
  <c r="N62" i="1"/>
  <c r="N26" i="31" s="1"/>
  <c r="N27" i="31"/>
  <c r="R24" i="16"/>
  <c r="R38" i="16" s="1"/>
  <c r="AJ23" i="92"/>
  <c r="AJ22" i="92" s="1"/>
  <c r="AJ21" i="92" s="1"/>
  <c r="AJ7" i="92" s="1"/>
  <c r="AK23" i="92"/>
  <c r="AK22" i="92" s="1"/>
  <c r="AK21" i="92" s="1"/>
  <c r="AH22" i="92"/>
  <c r="AH21" i="92" s="1"/>
  <c r="AH7" i="92" s="1"/>
  <c r="AH37" i="92"/>
  <c r="CP10" i="47"/>
  <c r="BJ9" i="48"/>
  <c r="CP39" i="47"/>
  <c r="CP41" i="47" s="1"/>
  <c r="CP44" i="47" s="1"/>
  <c r="AF41" i="47"/>
  <c r="AF42" i="47" s="1"/>
  <c r="Z73" i="36"/>
  <c r="Z12" i="36"/>
  <c r="Z10" i="36"/>
  <c r="C88" i="76"/>
  <c r="C83" i="76" s="1"/>
  <c r="G17" i="63"/>
  <c r="N23" i="31"/>
  <c r="V12" i="31"/>
  <c r="V82" i="1"/>
  <c r="Q207" i="13"/>
  <c r="AH84" i="3"/>
  <c r="AT72" i="3"/>
  <c r="Q32" i="38"/>
  <c r="T32" i="38" s="1"/>
  <c r="T33" i="38"/>
  <c r="BU11" i="3"/>
  <c r="D27" i="33"/>
  <c r="AE30" i="14"/>
  <c r="AC30" i="14"/>
  <c r="N73" i="36"/>
  <c r="N12" i="36"/>
  <c r="N10" i="36"/>
  <c r="BN11" i="36"/>
  <c r="AV17" i="87"/>
  <c r="AT14" i="87"/>
  <c r="Y52" i="38"/>
  <c r="G55" i="6"/>
  <c r="F55" i="6" s="1"/>
  <c r="F56" i="6"/>
  <c r="M44" i="33"/>
  <c r="DZ29" i="47"/>
  <c r="DZ27" i="47" s="1"/>
  <c r="EL3" i="47"/>
  <c r="DZ32" i="47"/>
  <c r="AT74" i="41"/>
  <c r="AH86" i="41"/>
  <c r="X60" i="39"/>
  <c r="X58" i="39" s="1"/>
  <c r="Y58" i="39"/>
  <c r="BM65" i="3"/>
  <c r="BN66" i="3"/>
  <c r="U20" i="16"/>
  <c r="R49" i="100"/>
  <c r="R6" i="100"/>
  <c r="H44" i="62"/>
  <c r="H8" i="62"/>
  <c r="H47" i="62"/>
  <c r="AB12" i="1"/>
  <c r="AB82" i="1" s="1"/>
  <c r="AB10" i="1"/>
  <c r="AB80" i="1"/>
  <c r="AB73" i="1"/>
  <c r="F33" i="34"/>
  <c r="T10" i="1"/>
  <c r="T12" i="1"/>
  <c r="T12" i="31" s="1"/>
  <c r="T11" i="31"/>
  <c r="T73" i="1"/>
  <c r="O89" i="1"/>
  <c r="G12" i="34"/>
  <c r="G12" i="35"/>
  <c r="O81" i="1"/>
  <c r="G12" i="39"/>
  <c r="G12" i="7"/>
  <c r="G12" i="38"/>
  <c r="G12" i="6"/>
  <c r="O10" i="31"/>
  <c r="AA53" i="38"/>
  <c r="F73" i="7"/>
  <c r="F71" i="7" s="1"/>
  <c r="G71" i="7"/>
  <c r="AH73" i="36"/>
  <c r="AH80" i="36"/>
  <c r="AH12" i="36"/>
  <c r="AH82" i="36" s="1"/>
  <c r="AH10" i="36"/>
  <c r="AH70" i="36" s="1"/>
  <c r="BF68" i="3"/>
  <c r="N21" i="16"/>
  <c r="P21" i="16" s="1"/>
  <c r="AE21" i="16" s="1"/>
  <c r="BH68" i="3"/>
  <c r="C84" i="74"/>
  <c r="C79" i="74" s="1"/>
  <c r="E17" i="63"/>
  <c r="BU12" i="3"/>
  <c r="S24" i="16"/>
  <c r="H10" i="6"/>
  <c r="H11" i="6" s="1"/>
  <c r="H17" i="6"/>
  <c r="H8" i="6"/>
  <c r="H63" i="6" s="1"/>
  <c r="X35" i="48"/>
  <c r="E15" i="15" s="1"/>
  <c r="X12" i="48"/>
  <c r="I38" i="14" s="1"/>
  <c r="F32" i="50"/>
  <c r="F89" i="50" s="1"/>
  <c r="F33" i="50"/>
  <c r="AX39" i="36"/>
  <c r="F16" i="45"/>
  <c r="G83" i="45"/>
  <c r="F83" i="45" s="1"/>
  <c r="R22" i="9"/>
  <c r="P50" i="9"/>
  <c r="S21" i="38"/>
  <c r="BN36" i="5"/>
  <c r="N38" i="48"/>
  <c r="V45" i="47"/>
  <c r="D51" i="7"/>
  <c r="BN62" i="41"/>
  <c r="BM61" i="41"/>
  <c r="BB40" i="5"/>
  <c r="J40" i="4"/>
  <c r="J32" i="33" s="1"/>
  <c r="H32" i="33"/>
  <c r="H39" i="4"/>
  <c r="H35" i="4" s="1"/>
  <c r="BN29" i="48"/>
  <c r="BM29" i="48"/>
  <c r="BL29" i="48"/>
  <c r="BJ26" i="48"/>
  <c r="T34" i="43"/>
  <c r="T30" i="43" s="1"/>
  <c r="U30" i="43"/>
  <c r="R40" i="39"/>
  <c r="F25" i="39"/>
  <c r="F24" i="39" s="1"/>
  <c r="G24" i="39"/>
  <c r="G20" i="39" s="1"/>
  <c r="G18" i="39" s="1"/>
  <c r="E33" i="19"/>
  <c r="O33" i="38"/>
  <c r="R33" i="38" s="1"/>
  <c r="F9" i="4"/>
  <c r="F9" i="33" s="1"/>
  <c r="BY60" i="41"/>
  <c r="BZ60" i="41" s="1"/>
  <c r="BB57" i="41"/>
  <c r="D17" i="34"/>
  <c r="C17" i="34" s="1"/>
  <c r="C12" i="34"/>
  <c r="D8" i="34"/>
  <c r="D10" i="34"/>
  <c r="Y17" i="37"/>
  <c r="W10" i="37"/>
  <c r="C10" i="66"/>
  <c r="C9" i="66" s="1"/>
  <c r="C9" i="54"/>
  <c r="P80" i="6"/>
  <c r="O44" i="6"/>
  <c r="F33" i="35"/>
  <c r="I30" i="45"/>
  <c r="I28" i="45" s="1"/>
  <c r="K28" i="45"/>
  <c r="N30" i="45"/>
  <c r="BK10" i="5"/>
  <c r="AN41" i="43"/>
  <c r="AG41" i="43"/>
  <c r="U63" i="1"/>
  <c r="Q27" i="31"/>
  <c r="BC63" i="3"/>
  <c r="BC65" i="41"/>
  <c r="Q62" i="1"/>
  <c r="Z27" i="14"/>
  <c r="AB27" i="14"/>
  <c r="Z39" i="1"/>
  <c r="Z11" i="1" s="1"/>
  <c r="AA11" i="1"/>
  <c r="AL50" i="5"/>
  <c r="AR50" i="5" s="1"/>
  <c r="AT9" i="5"/>
  <c r="D17" i="7"/>
  <c r="C12" i="7"/>
  <c r="D10" i="7"/>
  <c r="D8" i="7"/>
  <c r="BK41" i="43"/>
  <c r="BK11" i="43" s="1"/>
  <c r="BL11" i="43"/>
  <c r="P58" i="40"/>
  <c r="P12" i="40"/>
  <c r="G33" i="19"/>
  <c r="G9" i="19"/>
  <c r="H9" i="19" s="1"/>
  <c r="F59" i="46"/>
  <c r="AL44" i="37"/>
  <c r="AL42" i="37" s="1"/>
  <c r="AO42" i="37"/>
  <c r="G11" i="26"/>
  <c r="K11" i="26" s="1"/>
  <c r="M11" i="26" s="1"/>
  <c r="K12" i="26"/>
  <c r="N66" i="22"/>
  <c r="E10" i="64"/>
  <c r="F10" i="17"/>
  <c r="AF22" i="48"/>
  <c r="AD13" i="48"/>
  <c r="BE39" i="36"/>
  <c r="G22" i="31"/>
  <c r="G55" i="1"/>
  <c r="G19" i="31" s="1"/>
  <c r="R22" i="38"/>
  <c r="O21" i="38"/>
  <c r="R21" i="38" s="1"/>
  <c r="R33" i="39"/>
  <c r="AY45" i="36"/>
  <c r="AX45" i="36" s="1"/>
  <c r="BC45" i="36"/>
  <c r="BE45" i="36" s="1"/>
  <c r="BD45" i="36" s="1"/>
  <c r="BL10" i="5"/>
  <c r="O33" i="39"/>
  <c r="V59" i="45"/>
  <c r="BM59" i="3"/>
  <c r="BN60" i="3"/>
  <c r="F58" i="35"/>
  <c r="G57" i="35"/>
  <c r="F57" i="35" s="1"/>
  <c r="F52" i="38"/>
  <c r="W12" i="94"/>
  <c r="F20" i="39"/>
  <c r="F18" i="39" s="1"/>
  <c r="F25" i="35"/>
  <c r="F24" i="35" s="1"/>
  <c r="F20" i="35" s="1"/>
  <c r="F18" i="35" s="1"/>
  <c r="G24" i="35"/>
  <c r="G20" i="35" s="1"/>
  <c r="G18" i="35" s="1"/>
  <c r="H8" i="19"/>
  <c r="H15" i="19" s="1"/>
  <c r="G15" i="19"/>
  <c r="V20" i="17"/>
  <c r="AN39" i="1"/>
  <c r="AH11" i="1"/>
  <c r="AG39" i="1"/>
  <c r="D17" i="46"/>
  <c r="C17" i="46" s="1"/>
  <c r="D10" i="46"/>
  <c r="C12" i="46"/>
  <c r="D8" i="46"/>
  <c r="L30" i="19"/>
  <c r="L29" i="19" s="1"/>
  <c r="K29" i="19"/>
  <c r="Q58" i="40"/>
  <c r="Q12" i="40"/>
  <c r="V91" i="36"/>
  <c r="V92" i="36"/>
  <c r="V93" i="36" s="1"/>
  <c r="V110" i="36" s="1"/>
  <c r="V8" i="87"/>
  <c r="J40" i="37"/>
  <c r="H39" i="37"/>
  <c r="S23" i="6"/>
  <c r="R23" i="6" s="1"/>
  <c r="V23" i="39"/>
  <c r="U23" i="39" s="1"/>
  <c r="AO61" i="1"/>
  <c r="S23" i="7"/>
  <c r="R23" i="7" s="1"/>
  <c r="AL61" i="1"/>
  <c r="V23" i="38"/>
  <c r="U23" i="38" s="1"/>
  <c r="BU10" i="48"/>
  <c r="BT10" i="48"/>
  <c r="BR29" i="48"/>
  <c r="BV10" i="48"/>
  <c r="AA53" i="39"/>
  <c r="F54" i="35"/>
  <c r="G53" i="35"/>
  <c r="F53" i="35" s="1"/>
  <c r="AN10" i="36"/>
  <c r="AN70" i="36" s="1"/>
  <c r="AN73" i="36"/>
  <c r="AN12" i="36"/>
  <c r="U52" i="7"/>
  <c r="BD11" i="41"/>
  <c r="BV30" i="41"/>
  <c r="BH30" i="41"/>
  <c r="K35" i="4"/>
  <c r="I12" i="93"/>
  <c r="H12" i="93"/>
  <c r="AB83" i="36"/>
  <c r="AB90" i="36"/>
  <c r="AB84" i="36"/>
  <c r="AB85" i="36" s="1"/>
  <c r="BR47" i="47"/>
  <c r="AT39" i="48"/>
  <c r="AT35" i="48" s="1"/>
  <c r="AW35" i="48" s="1"/>
  <c r="I18" i="50"/>
  <c r="I13" i="50" s="1"/>
  <c r="I5" i="50" s="1"/>
  <c r="I31" i="50" s="1"/>
  <c r="H17" i="34"/>
  <c r="H10" i="34"/>
  <c r="H8" i="34"/>
  <c r="H65" i="34" s="1"/>
  <c r="E55" i="4"/>
  <c r="AD43" i="48"/>
  <c r="AD41" i="48" s="1"/>
  <c r="AH46" i="48"/>
  <c r="AD50" i="48"/>
  <c r="L10" i="71" s="1"/>
  <c r="C10" i="71" s="1"/>
  <c r="AQ17" i="37"/>
  <c r="AQ10" i="37" s="1"/>
  <c r="H28" i="33"/>
  <c r="J36" i="4"/>
  <c r="J28" i="33" s="1"/>
  <c r="V40" i="48"/>
  <c r="G57" i="34"/>
  <c r="F57" i="34" s="1"/>
  <c r="F58" i="34"/>
  <c r="F73" i="38"/>
  <c r="F71" i="38" s="1"/>
  <c r="G71" i="38"/>
  <c r="AW8" i="48"/>
  <c r="AX8" i="48"/>
  <c r="O44" i="39"/>
  <c r="P80" i="39"/>
  <c r="S44" i="39"/>
  <c r="G24" i="34"/>
  <c r="G20" i="34" s="1"/>
  <c r="G18" i="34" s="1"/>
  <c r="F25" i="34"/>
  <c r="F24" i="34" s="1"/>
  <c r="F20" i="34" s="1"/>
  <c r="F18" i="34" s="1"/>
  <c r="BO44" i="5"/>
  <c r="AG42" i="4"/>
  <c r="AL8" i="87"/>
  <c r="AJ7" i="87"/>
  <c r="F52" i="7"/>
  <c r="H72" i="1"/>
  <c r="H34" i="31"/>
  <c r="X12" i="43"/>
  <c r="BH43" i="41"/>
  <c r="BV43" i="41"/>
  <c r="BF43" i="41"/>
  <c r="AJ109" i="13"/>
  <c r="Q49" i="44"/>
  <c r="L80" i="39"/>
  <c r="L77" i="39" s="1"/>
  <c r="L70" i="39" s="1"/>
  <c r="M77" i="39"/>
  <c r="M70" i="39" s="1"/>
  <c r="O22" i="31"/>
  <c r="O55" i="1"/>
  <c r="O19" i="31" s="1"/>
  <c r="BU10" i="3"/>
  <c r="BU45" i="3"/>
  <c r="BU47" i="3"/>
  <c r="BU41" i="3"/>
  <c r="BU39" i="3"/>
  <c r="BU43" i="3"/>
  <c r="BU50" i="3"/>
  <c r="BU49" i="3"/>
  <c r="BU36" i="3"/>
  <c r="BU42" i="3"/>
  <c r="BU48" i="3"/>
  <c r="BU25" i="3"/>
  <c r="BU46" i="3"/>
  <c r="BU40" i="3"/>
  <c r="BU30" i="3"/>
  <c r="BU38" i="3"/>
  <c r="BU19" i="3"/>
  <c r="BU44" i="3"/>
  <c r="BU13" i="3"/>
  <c r="U63" i="36"/>
  <c r="Q62" i="36"/>
  <c r="Q58" i="36" s="1"/>
  <c r="Q55" i="36" s="1"/>
  <c r="Q70" i="36" s="1"/>
  <c r="J36" i="37"/>
  <c r="AC119" i="89"/>
  <c r="AD119" i="89"/>
  <c r="F59" i="45"/>
  <c r="V11" i="17"/>
  <c r="C16" i="15"/>
  <c r="F33" i="7"/>
  <c r="C8" i="73"/>
  <c r="C9" i="73" s="1"/>
  <c r="AB39" i="43"/>
  <c r="AB39" i="150" s="1"/>
  <c r="U39" i="43"/>
  <c r="W16" i="94"/>
  <c r="R16" i="94" s="1"/>
  <c r="U60" i="7"/>
  <c r="U58" i="7" s="1"/>
  <c r="V58" i="7"/>
  <c r="AT43" i="1"/>
  <c r="AM43" i="1"/>
  <c r="AL43" i="1" s="1"/>
  <c r="P115" i="43"/>
  <c r="P123" i="43"/>
  <c r="P124" i="43"/>
  <c r="P125" i="43" s="1"/>
  <c r="P116" i="43"/>
  <c r="P117" i="43" s="1"/>
  <c r="S21" i="39"/>
  <c r="K12" i="6"/>
  <c r="V70" i="1"/>
  <c r="V10" i="31"/>
  <c r="K12" i="39"/>
  <c r="K12" i="7"/>
  <c r="K12" i="38"/>
  <c r="K12" i="35"/>
  <c r="K12" i="34"/>
  <c r="AE37" i="95"/>
  <c r="AC37" i="95"/>
  <c r="AD37" i="95"/>
  <c r="W25" i="14"/>
  <c r="W7" i="14" s="1"/>
  <c r="G15" i="17"/>
  <c r="U60" i="6"/>
  <c r="U58" i="6" s="1"/>
  <c r="V58" i="6"/>
  <c r="AN22" i="48"/>
  <c r="AP47" i="48"/>
  <c r="AM44" i="48"/>
  <c r="AP46" i="48"/>
  <c r="AP44" i="48"/>
  <c r="AM47" i="48"/>
  <c r="AM42" i="48"/>
  <c r="AP42" i="48"/>
  <c r="AM46" i="48"/>
  <c r="E14" i="17"/>
  <c r="T8" i="14"/>
  <c r="T46" i="62"/>
  <c r="T47" i="62" s="1"/>
  <c r="T42" i="14"/>
  <c r="BF132" i="88"/>
  <c r="J30" i="19"/>
  <c r="J29" i="19" s="1"/>
  <c r="I29" i="19"/>
  <c r="Z27" i="16"/>
  <c r="AB27" i="16" s="1"/>
  <c r="BV32" i="5"/>
  <c r="J22" i="31"/>
  <c r="J55" i="1"/>
  <c r="Q80" i="39"/>
  <c r="Q77" i="39" s="1"/>
  <c r="Q70" i="39" s="1"/>
  <c r="T44" i="39"/>
  <c r="AZ41" i="1"/>
  <c r="AY41" i="1" s="1"/>
  <c r="AX41" i="1" s="1"/>
  <c r="AS41" i="1"/>
  <c r="AR41" i="1" s="1"/>
  <c r="J45" i="44"/>
  <c r="H44" i="44"/>
  <c r="Y57" i="6"/>
  <c r="X57" i="6" s="1"/>
  <c r="AB57" i="39"/>
  <c r="AA57" i="39" s="1"/>
  <c r="AB57" i="38"/>
  <c r="AA57" i="38" s="1"/>
  <c r="AL41" i="4"/>
  <c r="BQ41" i="5" s="1"/>
  <c r="BR41" i="5" s="1"/>
  <c r="BV41" i="5" s="1"/>
  <c r="Y57" i="7"/>
  <c r="X57" i="7" s="1"/>
  <c r="C87" i="83"/>
  <c r="C82" i="83" s="1"/>
  <c r="N17" i="63"/>
  <c r="BT43" i="5"/>
  <c r="AN12" i="48"/>
  <c r="O38" i="14" s="1"/>
  <c r="H33" i="50"/>
  <c r="H32" i="50"/>
  <c r="H89" i="50" s="1"/>
  <c r="D10" i="35"/>
  <c r="C12" i="35"/>
  <c r="D17" i="35"/>
  <c r="C17" i="35" s="1"/>
  <c r="D8" i="35"/>
  <c r="BP37" i="5"/>
  <c r="BP36" i="5" s="1"/>
  <c r="BO36" i="5"/>
  <c r="L58" i="40"/>
  <c r="L12" i="40"/>
  <c r="AG43" i="44"/>
  <c r="AG41" i="44" s="1"/>
  <c r="AO43" i="44"/>
  <c r="Q73" i="43"/>
  <c r="Q77" i="43"/>
  <c r="X10" i="43"/>
  <c r="R10" i="43"/>
  <c r="Q79" i="43"/>
  <c r="BN61" i="3"/>
  <c r="BD60" i="36"/>
  <c r="O12" i="31"/>
  <c r="O84" i="1"/>
  <c r="O85" i="1" s="1"/>
  <c r="O83" i="1"/>
  <c r="O91" i="1"/>
  <c r="O92" i="1"/>
  <c r="O93" i="1" s="1"/>
  <c r="X53" i="7"/>
  <c r="C10" i="33"/>
  <c r="C9" i="4"/>
  <c r="C9" i="33" s="1"/>
  <c r="AF43" i="36"/>
  <c r="AF11" i="36" s="1"/>
  <c r="AM43" i="36"/>
  <c r="AG11" i="36"/>
  <c r="V81" i="1"/>
  <c r="V88" i="1"/>
  <c r="V89" i="1" s="1"/>
  <c r="G12" i="1"/>
  <c r="G12" i="31" s="1"/>
  <c r="G11" i="31"/>
  <c r="G73" i="1"/>
  <c r="G10" i="1"/>
  <c r="U88" i="36"/>
  <c r="T80" i="36"/>
  <c r="U81" i="36"/>
  <c r="T81" i="36" s="1"/>
  <c r="AU61" i="36"/>
  <c r="AR61" i="36"/>
  <c r="AR59" i="36" s="1"/>
  <c r="AS59" i="36"/>
  <c r="AE17" i="16"/>
  <c r="AC17" i="16"/>
  <c r="BH70" i="41"/>
  <c r="BF70" i="41"/>
  <c r="D23" i="16"/>
  <c r="D35" i="16"/>
  <c r="H17" i="39"/>
  <c r="H10" i="39"/>
  <c r="H11" i="39" s="1"/>
  <c r="H8" i="39"/>
  <c r="H63" i="39" s="1"/>
  <c r="BB36" i="5"/>
  <c r="BF37" i="5"/>
  <c r="BF36" i="5" s="1"/>
  <c r="AG65" i="36"/>
  <c r="AO66" i="36"/>
  <c r="AM66" i="36"/>
  <c r="AF66" i="36"/>
  <c r="AF65" i="36" s="1"/>
  <c r="BE41" i="36"/>
  <c r="BD41" i="36" s="1"/>
  <c r="BC11" i="36"/>
  <c r="T24" i="16"/>
  <c r="BB77" i="3"/>
  <c r="V22" i="38"/>
  <c r="S22" i="7"/>
  <c r="AO60" i="1"/>
  <c r="V22" i="39"/>
  <c r="AM59" i="1"/>
  <c r="S22" i="6"/>
  <c r="AL60" i="1"/>
  <c r="G55" i="7"/>
  <c r="F55" i="7" s="1"/>
  <c r="F56" i="7"/>
  <c r="G24" i="38"/>
  <c r="G20" i="38" s="1"/>
  <c r="G18" i="38" s="1"/>
  <c r="F25" i="38"/>
  <c r="F24" i="38" s="1"/>
  <c r="F20" i="38" s="1"/>
  <c r="F18" i="38" s="1"/>
  <c r="C32" i="48"/>
  <c r="C30" i="48" s="1"/>
  <c r="C25" i="48" s="1"/>
  <c r="C42" i="48" s="1"/>
  <c r="K46" i="48"/>
  <c r="O33" i="6"/>
  <c r="H10" i="63"/>
  <c r="P14" i="17"/>
  <c r="H6" i="15"/>
  <c r="F54" i="34"/>
  <c r="DN30" i="47"/>
  <c r="BZ10" i="48"/>
  <c r="BM67" i="41"/>
  <c r="BN68" i="41"/>
  <c r="BF99" i="88"/>
  <c r="AI155" i="89"/>
  <c r="AY155" i="89" s="1"/>
  <c r="AI54" i="89"/>
  <c r="AJ54" i="89" s="1"/>
  <c r="AI55" i="89"/>
  <c r="AJ55" i="89" s="1"/>
  <c r="AI49" i="89"/>
  <c r="AY48" i="89"/>
  <c r="AZ48" i="89"/>
  <c r="DN9" i="47"/>
  <c r="AB60" i="39"/>
  <c r="Y60" i="6"/>
  <c r="AB60" i="38"/>
  <c r="Y60" i="7"/>
  <c r="AL44" i="4"/>
  <c r="AO42" i="4"/>
  <c r="P73" i="43"/>
  <c r="P81" i="43" s="1"/>
  <c r="H12" i="45"/>
  <c r="P121" i="43"/>
  <c r="H12" i="46"/>
  <c r="P113" i="43"/>
  <c r="D17" i="6"/>
  <c r="C17" i="6" s="1"/>
  <c r="D8" i="6"/>
  <c r="D10" i="6"/>
  <c r="C12" i="6"/>
  <c r="U12" i="1"/>
  <c r="U11" i="31"/>
  <c r="U10" i="1"/>
  <c r="U80" i="1"/>
  <c r="U73" i="1"/>
  <c r="C87" i="75"/>
  <c r="C82" i="75" s="1"/>
  <c r="F17" i="63"/>
  <c r="EV39" i="47"/>
  <c r="CW9" i="48"/>
  <c r="CW8" i="48" s="1"/>
  <c r="EV10" i="47"/>
  <c r="L18" i="16"/>
  <c r="BY58" i="3"/>
  <c r="BZ58" i="3" s="1"/>
  <c r="BB55" i="3"/>
  <c r="H10" i="38"/>
  <c r="H11" i="38" s="1"/>
  <c r="H17" i="38"/>
  <c r="H70" i="38"/>
  <c r="H75" i="38" s="1"/>
  <c r="H76" i="38" s="1"/>
  <c r="H8" i="38"/>
  <c r="H63" i="38" s="1"/>
  <c r="D10" i="33"/>
  <c r="D9" i="4"/>
  <c r="E35" i="4" s="1"/>
  <c r="E27" i="33" s="1"/>
  <c r="D31" i="33"/>
  <c r="E39" i="4"/>
  <c r="E31" i="33" s="1"/>
  <c r="L38" i="62"/>
  <c r="N38" i="14"/>
  <c r="J12" i="17" s="1"/>
  <c r="X60" i="38"/>
  <c r="X58" i="38" s="1"/>
  <c r="Y58" i="38"/>
  <c r="BY62" i="3"/>
  <c r="BZ62" i="3" s="1"/>
  <c r="V59" i="46"/>
  <c r="G62" i="46"/>
  <c r="F62" i="46" s="1"/>
  <c r="F63" i="46"/>
  <c r="D58" i="45"/>
  <c r="DB9" i="47"/>
  <c r="D51" i="38"/>
  <c r="D17" i="38"/>
  <c r="D8" i="38"/>
  <c r="D10" i="38"/>
  <c r="C12" i="38"/>
  <c r="V16" i="17"/>
  <c r="BN63" i="41"/>
  <c r="O10" i="37"/>
  <c r="I10" i="63"/>
  <c r="C76" i="78" s="1"/>
  <c r="P15" i="17"/>
  <c r="O27" i="38"/>
  <c r="R27" i="38" s="1"/>
  <c r="R28" i="38"/>
  <c r="AQ12" i="1"/>
  <c r="AQ10" i="1"/>
  <c r="AQ70" i="1" s="1"/>
  <c r="F13" i="17"/>
  <c r="E13" i="64"/>
  <c r="F13" i="64" s="1"/>
  <c r="BA21" i="87"/>
  <c r="AY17" i="87"/>
  <c r="L80" i="6"/>
  <c r="L77" i="6" s="1"/>
  <c r="L70" i="6" s="1"/>
  <c r="M77" i="6"/>
  <c r="M70" i="6" s="1"/>
  <c r="AJ49" i="89"/>
  <c r="O73" i="36"/>
  <c r="O10" i="36"/>
  <c r="O12" i="36"/>
  <c r="AB81" i="36"/>
  <c r="AB88" i="36"/>
  <c r="AB89" i="36" s="1"/>
  <c r="P34" i="31"/>
  <c r="P72" i="1"/>
  <c r="EV40" i="47"/>
  <c r="CW10" i="48"/>
  <c r="H30" i="47"/>
  <c r="AB8" i="16"/>
  <c r="AC9" i="16"/>
  <c r="AD9" i="16"/>
  <c r="H40" i="44"/>
  <c r="J40" i="44" s="1"/>
  <c r="J41" i="44"/>
  <c r="AZ84" i="3"/>
  <c r="D32" i="34"/>
  <c r="C32" i="34" s="1"/>
  <c r="AW11" i="36"/>
  <c r="T10" i="37"/>
  <c r="AF37" i="95"/>
  <c r="G55" i="38"/>
  <c r="F55" i="38" s="1"/>
  <c r="F56" i="38"/>
  <c r="F25" i="6"/>
  <c r="F24" i="6" s="1"/>
  <c r="F20" i="6" s="1"/>
  <c r="F18" i="6" s="1"/>
  <c r="G24" i="6"/>
  <c r="G20" i="6" s="1"/>
  <c r="G18" i="6" s="1"/>
  <c r="V22" i="94"/>
  <c r="T45" i="43"/>
  <c r="F52" i="39"/>
  <c r="BQ37" i="5"/>
  <c r="AS43" i="36"/>
  <c r="AZ43" i="36"/>
  <c r="AT11" i="36"/>
  <c r="C87" i="81"/>
  <c r="C82" i="81" s="1"/>
  <c r="L17" i="63"/>
  <c r="U90" i="36"/>
  <c r="U84" i="36"/>
  <c r="T82" i="36"/>
  <c r="T83" i="36" s="1"/>
  <c r="U83" i="36"/>
  <c r="H17" i="7"/>
  <c r="H10" i="7"/>
  <c r="H11" i="7" s="1"/>
  <c r="H70" i="7"/>
  <c r="H75" i="7" s="1"/>
  <c r="H76" i="7" s="1"/>
  <c r="H8" i="7"/>
  <c r="H63" i="7" s="1"/>
  <c r="F16" i="63"/>
  <c r="C81" i="75" s="1"/>
  <c r="U12" i="17"/>
  <c r="O10" i="4"/>
  <c r="O10" i="33" s="1"/>
  <c r="M10" i="33"/>
  <c r="M46" i="33" s="1"/>
  <c r="CO9" i="48"/>
  <c r="CO8" i="48" s="1"/>
  <c r="CO32" i="48" s="1"/>
  <c r="CO30" i="48" s="1"/>
  <c r="EJ10" i="47"/>
  <c r="EJ39" i="47"/>
  <c r="EJ41" i="47" s="1"/>
  <c r="EJ42" i="47" s="1"/>
  <c r="EJ43" i="47" s="1"/>
  <c r="S44" i="38"/>
  <c r="O44" i="38"/>
  <c r="R44" i="38" s="1"/>
  <c r="AL67" i="48"/>
  <c r="AP30" i="48"/>
  <c r="AP67" i="48" s="1"/>
  <c r="AO30" i="48"/>
  <c r="AO67" i="48" s="1"/>
  <c r="AL32" i="48"/>
  <c r="AL25" i="48"/>
  <c r="AM65" i="1"/>
  <c r="V28" i="38"/>
  <c r="AO66" i="1"/>
  <c r="S28" i="6"/>
  <c r="S28" i="7"/>
  <c r="AL66" i="1"/>
  <c r="AL65" i="1" s="1"/>
  <c r="V28" i="39"/>
  <c r="U59" i="46"/>
  <c r="J11" i="4"/>
  <c r="J11" i="33" s="1"/>
  <c r="H11" i="33"/>
  <c r="H10" i="4"/>
  <c r="A4" i="81"/>
  <c r="A68" i="80"/>
  <c r="A128" i="80" s="1"/>
  <c r="BH11" i="1"/>
  <c r="N11" i="31"/>
  <c r="N73" i="1"/>
  <c r="N10" i="1"/>
  <c r="N12" i="1"/>
  <c r="D10" i="39"/>
  <c r="D17" i="39"/>
  <c r="C17" i="39" s="1"/>
  <c r="C12" i="39"/>
  <c r="D8" i="39"/>
  <c r="C89" i="79"/>
  <c r="C84" i="79" s="1"/>
  <c r="J17" i="63"/>
  <c r="BE10" i="41"/>
  <c r="BE12" i="41"/>
  <c r="U8" i="48"/>
  <c r="U32" i="48" s="1"/>
  <c r="C31" i="33"/>
  <c r="C55" i="4"/>
  <c r="C56" i="4" s="1"/>
  <c r="AY46" i="1"/>
  <c r="AX46" i="1" s="1"/>
  <c r="AW11" i="1"/>
  <c r="AA10" i="36"/>
  <c r="AA80" i="36"/>
  <c r="AA73" i="36"/>
  <c r="AA12" i="36"/>
  <c r="AA82" i="36" s="1"/>
  <c r="D9" i="37"/>
  <c r="E39" i="37" s="1"/>
  <c r="BY64" i="41"/>
  <c r="BZ64" i="41" s="1"/>
  <c r="AR9" i="5"/>
  <c r="Y54" i="7"/>
  <c r="X54" i="7" s="1"/>
  <c r="AB54" i="39"/>
  <c r="AA54" i="39" s="1"/>
  <c r="Y54" i="6"/>
  <c r="X54" i="6" s="1"/>
  <c r="AB54" i="38"/>
  <c r="AA54" i="38" s="1"/>
  <c r="AL38" i="4"/>
  <c r="BQ38" i="5" s="1"/>
  <c r="AO46" i="44"/>
  <c r="AG46" i="44"/>
  <c r="BC23" i="5"/>
  <c r="BD23" i="5" s="1"/>
  <c r="BF23" i="5" s="1"/>
  <c r="O28" i="44"/>
  <c r="AO37" i="37"/>
  <c r="AG37" i="37"/>
  <c r="AG36" i="37" s="1"/>
  <c r="AJ36" i="37"/>
  <c r="S7" i="94"/>
  <c r="AB8" i="94"/>
  <c r="Y8" i="94"/>
  <c r="S9" i="94"/>
  <c r="P9" i="48"/>
  <c r="Q9" i="48"/>
  <c r="N37" i="48"/>
  <c r="L44" i="48" s="1"/>
  <c r="R9" i="48"/>
  <c r="D32" i="6"/>
  <c r="C32" i="6" s="1"/>
  <c r="V21" i="17"/>
  <c r="D53" i="35"/>
  <c r="BN44" i="5"/>
  <c r="U33" i="16"/>
  <c r="AA33" i="16" s="1"/>
  <c r="BM42" i="5"/>
  <c r="F25" i="7"/>
  <c r="F24" i="7" s="1"/>
  <c r="F20" i="7" s="1"/>
  <c r="F18" i="7" s="1"/>
  <c r="G24" i="7"/>
  <c r="G20" i="7" s="1"/>
  <c r="G18" i="7" s="1"/>
  <c r="AH45" i="43"/>
  <c r="AH45" i="150" s="1"/>
  <c r="AN45" i="150" s="1"/>
  <c r="AA45" i="43"/>
  <c r="K47" i="48"/>
  <c r="K45" i="48"/>
  <c r="K44" i="48"/>
  <c r="P11" i="13"/>
  <c r="M28" i="16"/>
  <c r="O28" i="16" s="1"/>
  <c r="BD33" i="5"/>
  <c r="AB57" i="45"/>
  <c r="AC57" i="45"/>
  <c r="AC56" i="45"/>
  <c r="AB65" i="45"/>
  <c r="E71" i="46"/>
  <c r="D8" i="44"/>
  <c r="AH38" i="60"/>
  <c r="AJ12" i="60"/>
  <c r="P44" i="44"/>
  <c r="D39" i="58"/>
  <c r="U45" i="44"/>
  <c r="J63" i="46"/>
  <c r="C57" i="65"/>
  <c r="C56" i="65" s="1"/>
  <c r="J63" i="45"/>
  <c r="C57" i="149"/>
  <c r="C56" i="149" s="1"/>
  <c r="C38" i="13"/>
  <c r="C12" i="13" s="1"/>
  <c r="AH12" i="13"/>
  <c r="E49" i="68"/>
  <c r="E48" i="68" s="1"/>
  <c r="E38" i="58"/>
  <c r="AA45" i="44"/>
  <c r="AF45" i="44" s="1"/>
  <c r="N63" i="45"/>
  <c r="N62" i="45" s="1"/>
  <c r="N63" i="46"/>
  <c r="N62" i="46" s="1"/>
  <c r="V44" i="44"/>
  <c r="AH27" i="62"/>
  <c r="AF27" i="62"/>
  <c r="AF25" i="62" s="1"/>
  <c r="Y62" i="38"/>
  <c r="G8" i="140"/>
  <c r="X9" i="139"/>
  <c r="AC24" i="38"/>
  <c r="AC20" i="38" s="1"/>
  <c r="AC18" i="38" s="1"/>
  <c r="G16" i="140"/>
  <c r="H7" i="140"/>
  <c r="G7" i="140"/>
  <c r="G19" i="140"/>
  <c r="G30" i="140"/>
  <c r="G12" i="140"/>
  <c r="G25" i="140"/>
  <c r="G11" i="140"/>
  <c r="G14" i="140"/>
  <c r="G10" i="140"/>
  <c r="G9" i="140"/>
  <c r="AC9" i="139"/>
  <c r="X8" i="139"/>
  <c r="R61" i="139"/>
  <c r="X61" i="139" s="1"/>
  <c r="AC61" i="139" s="1"/>
  <c r="BA9" i="87"/>
  <c r="U62" i="38"/>
  <c r="T20" i="38"/>
  <c r="Q18" i="38"/>
  <c r="BL8" i="86"/>
  <c r="BL60" i="86" s="1"/>
  <c r="BL10" i="86"/>
  <c r="AB30" i="62"/>
  <c r="Z30" i="62"/>
  <c r="V62" i="7"/>
  <c r="T44" i="62"/>
  <c r="T8" i="62"/>
  <c r="BM10" i="86"/>
  <c r="BM8" i="86"/>
  <c r="BM60" i="86" s="1"/>
  <c r="R8" i="140"/>
  <c r="U8" i="140"/>
  <c r="AD8" i="139"/>
  <c r="AD62" i="139" s="1"/>
  <c r="Y62" i="139"/>
  <c r="W28" i="62"/>
  <c r="W7" i="62" s="1"/>
  <c r="W53" i="62"/>
  <c r="AA8" i="139"/>
  <c r="AA62" i="139" s="1"/>
  <c r="V62" i="139"/>
  <c r="O62" i="7"/>
  <c r="U17" i="140"/>
  <c r="R17" i="140"/>
  <c r="U15" i="140"/>
  <c r="R15" i="140"/>
  <c r="P7" i="140"/>
  <c r="L7" i="140"/>
  <c r="M7" i="140"/>
  <c r="L16" i="140"/>
  <c r="L30" i="140"/>
  <c r="L11" i="140"/>
  <c r="L10" i="140"/>
  <c r="L19" i="140"/>
  <c r="L14" i="140"/>
  <c r="L25" i="140"/>
  <c r="L9" i="140"/>
  <c r="BH131" i="88"/>
  <c r="BG131" i="88"/>
  <c r="L15" i="140"/>
  <c r="W8" i="139"/>
  <c r="Q61" i="139"/>
  <c r="W61" i="139" s="1"/>
  <c r="AB61" i="139" s="1"/>
  <c r="R62" i="7"/>
  <c r="X29" i="7"/>
  <c r="Z27" i="7"/>
  <c r="Z20" i="7" s="1"/>
  <c r="Z18" i="7" s="1"/>
  <c r="W10" i="139"/>
  <c r="AB10" i="139" s="1"/>
  <c r="C33" i="65"/>
  <c r="D27" i="58"/>
  <c r="J49" i="45"/>
  <c r="J49" i="46"/>
  <c r="C33" i="149"/>
  <c r="Q11" i="60"/>
  <c r="Q10" i="60" s="1"/>
  <c r="P80" i="60"/>
  <c r="C45" i="149"/>
  <c r="M33" i="44"/>
  <c r="C45" i="65"/>
  <c r="P22" i="44"/>
  <c r="BF29" i="5"/>
  <c r="BD30" i="5"/>
  <c r="P110" i="43"/>
  <c r="O110" i="43"/>
  <c r="AZ5" i="3"/>
  <c r="C37" i="67"/>
  <c r="C34" i="67" s="1"/>
  <c r="C35" i="57"/>
  <c r="M25" i="46"/>
  <c r="M21" i="46" s="1"/>
  <c r="M18" i="46" s="1"/>
  <c r="L26" i="46"/>
  <c r="L25" i="46" s="1"/>
  <c r="L21" i="46" s="1"/>
  <c r="L18" i="46" s="1"/>
  <c r="AL42" i="44"/>
  <c r="AG66" i="43"/>
  <c r="AG66" i="150" s="1"/>
  <c r="AC65" i="43"/>
  <c r="AC61" i="43" s="1"/>
  <c r="AC57" i="43" s="1"/>
  <c r="AU70" i="43"/>
  <c r="AS70" i="43"/>
  <c r="AI63" i="43"/>
  <c r="AG62" i="43"/>
  <c r="P23" i="45"/>
  <c r="P23" i="46"/>
  <c r="AF63" i="43"/>
  <c r="M25" i="45"/>
  <c r="M21" i="45" s="1"/>
  <c r="M18" i="45" s="1"/>
  <c r="AL70" i="43"/>
  <c r="AL68" i="43" s="1"/>
  <c r="AM68" i="43"/>
  <c r="O30" i="46"/>
  <c r="O28" i="46" s="1"/>
  <c r="P28" i="46"/>
  <c r="N32" i="16"/>
  <c r="P28" i="45"/>
  <c r="BB14" i="5"/>
  <c r="J14" i="44"/>
  <c r="H10" i="44"/>
  <c r="C10" i="45"/>
  <c r="D11" i="45"/>
  <c r="C11" i="45" s="1"/>
  <c r="BB75" i="41"/>
  <c r="N121" i="43"/>
  <c r="N73" i="43"/>
  <c r="H60" i="151" s="1"/>
  <c r="N113" i="43"/>
  <c r="F19" i="45"/>
  <c r="F18" i="45" s="1"/>
  <c r="G18" i="45"/>
  <c r="C8" i="45"/>
  <c r="O124" i="43"/>
  <c r="G75" i="152" s="1"/>
  <c r="O115" i="43"/>
  <c r="O116" i="43"/>
  <c r="O117" i="43" s="1"/>
  <c r="O123" i="43"/>
  <c r="N116" i="43"/>
  <c r="N124" i="43"/>
  <c r="F82" i="45"/>
  <c r="G12" i="45"/>
  <c r="G12" i="46"/>
  <c r="O73" i="43"/>
  <c r="O81" i="43" s="1"/>
  <c r="O113" i="43"/>
  <c r="O121" i="43"/>
  <c r="G81" i="43"/>
  <c r="G84" i="43"/>
  <c r="G86" i="43" s="1"/>
  <c r="G35" i="45"/>
  <c r="G34" i="45" s="1"/>
  <c r="F39" i="45"/>
  <c r="F35" i="45" s="1"/>
  <c r="F39" i="46"/>
  <c r="F35" i="46" s="1"/>
  <c r="G35" i="46"/>
  <c r="G34" i="46" s="1"/>
  <c r="BF46" i="5"/>
  <c r="AJ119" i="89" l="1"/>
  <c r="AN107" i="89"/>
  <c r="AM107" i="89"/>
  <c r="AL107" i="89"/>
  <c r="AN117" i="89"/>
  <c r="AM117" i="89"/>
  <c r="AL117" i="89"/>
  <c r="AL110" i="89"/>
  <c r="AN110" i="89"/>
  <c r="AM110" i="89"/>
  <c r="AY118" i="89"/>
  <c r="AZ118" i="89"/>
  <c r="AY119" i="89"/>
  <c r="AZ119" i="89"/>
  <c r="AM116" i="89"/>
  <c r="AL116" i="89"/>
  <c r="AN116" i="89"/>
  <c r="BN10" i="86"/>
  <c r="BN8" i="86"/>
  <c r="BN60" i="86" s="1"/>
  <c r="C47" i="48"/>
  <c r="E9" i="48"/>
  <c r="E8" i="48" s="1"/>
  <c r="P14" i="164"/>
  <c r="E43" i="160"/>
  <c r="D32" i="39"/>
  <c r="C32" i="39" s="1"/>
  <c r="BA64" i="88"/>
  <c r="BB56" i="88"/>
  <c r="BA65" i="88"/>
  <c r="F10" i="164"/>
  <c r="H10" i="37"/>
  <c r="J10" i="37" s="1"/>
  <c r="AS11" i="37"/>
  <c r="J11" i="37"/>
  <c r="C44" i="48"/>
  <c r="U12" i="64"/>
  <c r="U12" i="164"/>
  <c r="P15" i="64"/>
  <c r="P15" i="164"/>
  <c r="AJ109" i="162"/>
  <c r="AL64" i="43"/>
  <c r="C39" i="160"/>
  <c r="C38" i="160" s="1"/>
  <c r="D38" i="160"/>
  <c r="P11" i="162"/>
  <c r="P10" i="162" s="1"/>
  <c r="V21" i="64"/>
  <c r="V21" i="164"/>
  <c r="BS41" i="5"/>
  <c r="J44" i="44"/>
  <c r="E14" i="164"/>
  <c r="V11" i="164"/>
  <c r="G15" i="164"/>
  <c r="D25" i="160"/>
  <c r="V20" i="64"/>
  <c r="V20" i="164"/>
  <c r="AH72" i="36"/>
  <c r="AS10" i="37"/>
  <c r="Z19" i="45"/>
  <c r="X19" i="45" s="1"/>
  <c r="U19" i="45"/>
  <c r="J12" i="64"/>
  <c r="J12" i="164"/>
  <c r="V16" i="64"/>
  <c r="V16" i="164"/>
  <c r="AJ118" i="89"/>
  <c r="AK118" i="89"/>
  <c r="AB118" i="89"/>
  <c r="AN106" i="89"/>
  <c r="AM106" i="89"/>
  <c r="AL106" i="89"/>
  <c r="G58" i="152"/>
  <c r="F58" i="152" s="1"/>
  <c r="AC117" i="89"/>
  <c r="AD117" i="89"/>
  <c r="C38" i="162"/>
  <c r="C12" i="162" s="1"/>
  <c r="AH12" i="162"/>
  <c r="AD106" i="89"/>
  <c r="AC106" i="89"/>
  <c r="D13" i="154"/>
  <c r="N76" i="43"/>
  <c r="D33" i="154"/>
  <c r="D33" i="152"/>
  <c r="C33" i="152" s="1"/>
  <c r="G76" i="150"/>
  <c r="G73" i="150"/>
  <c r="AO68" i="43"/>
  <c r="AF41" i="43"/>
  <c r="AG41" i="150"/>
  <c r="AF41" i="150" s="1"/>
  <c r="BE41" i="150" s="1"/>
  <c r="V27" i="46"/>
  <c r="U27" i="46" s="1"/>
  <c r="V27" i="45"/>
  <c r="U27" i="45" s="1"/>
  <c r="AA65" i="153"/>
  <c r="AF62" i="43"/>
  <c r="T63" i="46"/>
  <c r="T62" i="46" s="1"/>
  <c r="T63" i="45"/>
  <c r="T62" i="45" s="1"/>
  <c r="AK45" i="44"/>
  <c r="AF44" i="44"/>
  <c r="G51" i="7"/>
  <c r="R44" i="39"/>
  <c r="AA52" i="39"/>
  <c r="M45" i="33"/>
  <c r="T30" i="152"/>
  <c r="R30" i="152" s="1"/>
  <c r="Q28" i="152"/>
  <c r="T28" i="152" s="1"/>
  <c r="O12" i="150"/>
  <c r="O10" i="150"/>
  <c r="O82" i="150"/>
  <c r="V28" i="152"/>
  <c r="U29" i="152"/>
  <c r="AA65" i="152"/>
  <c r="N82" i="150"/>
  <c r="N12" i="150"/>
  <c r="N10" i="150"/>
  <c r="X52" i="6"/>
  <c r="C58" i="153"/>
  <c r="D33" i="153"/>
  <c r="J15" i="151"/>
  <c r="H11" i="151"/>
  <c r="V22" i="153"/>
  <c r="U23" i="153"/>
  <c r="U22" i="153" s="1"/>
  <c r="G80" i="45"/>
  <c r="Z45" i="43"/>
  <c r="AA45" i="150"/>
  <c r="Z45" i="150" s="1"/>
  <c r="X52" i="7"/>
  <c r="AL43" i="44"/>
  <c r="Y61" i="45"/>
  <c r="X61" i="45" s="1"/>
  <c r="X59" i="45" s="1"/>
  <c r="Y61" i="46"/>
  <c r="X61" i="46" s="1"/>
  <c r="AB52" i="39"/>
  <c r="V24" i="46"/>
  <c r="V24" i="45"/>
  <c r="C17" i="63"/>
  <c r="O70" i="1"/>
  <c r="S24" i="152"/>
  <c r="R24" i="152" s="1"/>
  <c r="V29" i="46"/>
  <c r="V29" i="45"/>
  <c r="BO11" i="150"/>
  <c r="Q79" i="150"/>
  <c r="R10" i="150"/>
  <c r="BB10" i="150"/>
  <c r="Q77" i="150"/>
  <c r="X10" i="150"/>
  <c r="BC10" i="150"/>
  <c r="Q73" i="150"/>
  <c r="AZ41" i="150"/>
  <c r="AY41" i="150" s="1"/>
  <c r="AX41" i="150" s="1"/>
  <c r="AS41" i="150"/>
  <c r="AR41" i="150" s="1"/>
  <c r="V28" i="153"/>
  <c r="U29" i="153"/>
  <c r="U28" i="153" s="1"/>
  <c r="V77" i="150"/>
  <c r="Y27" i="153"/>
  <c r="X27" i="153" s="1"/>
  <c r="Y27" i="152"/>
  <c r="X27" i="152" s="1"/>
  <c r="AR64" i="1"/>
  <c r="V26" i="6"/>
  <c r="U26" i="6" s="1"/>
  <c r="Y26" i="38"/>
  <c r="X26" i="38" s="1"/>
  <c r="AU64" i="1"/>
  <c r="V26" i="7"/>
  <c r="U26" i="7" s="1"/>
  <c r="Y26" i="39"/>
  <c r="X26" i="39" s="1"/>
  <c r="S24" i="46"/>
  <c r="R24" i="46" s="1"/>
  <c r="S24" i="45"/>
  <c r="R24" i="45" s="1"/>
  <c r="AB59" i="153"/>
  <c r="V30" i="46"/>
  <c r="U30" i="46" s="1"/>
  <c r="V30" i="45"/>
  <c r="AT45" i="150"/>
  <c r="AM45" i="150"/>
  <c r="AL45" i="150" s="1"/>
  <c r="AL46" i="44"/>
  <c r="Y64" i="45"/>
  <c r="X64" i="45" s="1"/>
  <c r="Y64" i="46"/>
  <c r="X64" i="46" s="1"/>
  <c r="U39" i="150"/>
  <c r="U77" i="43"/>
  <c r="C11" i="161" s="1"/>
  <c r="Q50" i="151"/>
  <c r="Q48" i="151" s="1"/>
  <c r="Q41" i="151" s="1"/>
  <c r="K67" i="152"/>
  <c r="K65" i="152" s="1"/>
  <c r="K58" i="152" s="1"/>
  <c r="K67" i="153"/>
  <c r="K65" i="153" s="1"/>
  <c r="K58" i="153" s="1"/>
  <c r="G32" i="35"/>
  <c r="F32" i="35" s="1"/>
  <c r="G51" i="6"/>
  <c r="F51" i="6" s="1"/>
  <c r="O28" i="152"/>
  <c r="O28" i="153"/>
  <c r="BM10" i="150"/>
  <c r="BM12" i="150"/>
  <c r="BC12" i="150"/>
  <c r="BB12" i="150"/>
  <c r="X12" i="150"/>
  <c r="R12" i="150"/>
  <c r="Z31" i="16"/>
  <c r="AB31" i="16" s="1"/>
  <c r="BT31" i="5"/>
  <c r="AB65" i="153"/>
  <c r="F83" i="152"/>
  <c r="F80" i="152" s="1"/>
  <c r="G80" i="152"/>
  <c r="Z30" i="152"/>
  <c r="W28" i="152"/>
  <c r="U30" i="152"/>
  <c r="U28" i="152" s="1"/>
  <c r="U23" i="152"/>
  <c r="U22" i="152" s="1"/>
  <c r="V22" i="152"/>
  <c r="BP11" i="150"/>
  <c r="C46" i="48"/>
  <c r="BO8" i="86"/>
  <c r="BO60" i="86" s="1"/>
  <c r="BO10" i="86"/>
  <c r="G58" i="153"/>
  <c r="G33" i="153" s="1"/>
  <c r="F33" i="153" s="1"/>
  <c r="T6" i="99"/>
  <c r="T7" i="99" s="1"/>
  <c r="R7" i="99" s="1"/>
  <c r="P23" i="151"/>
  <c r="J87" i="153"/>
  <c r="F80" i="45"/>
  <c r="J47" i="152"/>
  <c r="J47" i="153"/>
  <c r="J62" i="152"/>
  <c r="I63" i="152"/>
  <c r="I63" i="153"/>
  <c r="J62" i="153"/>
  <c r="Q63" i="152"/>
  <c r="AA46" i="151"/>
  <c r="AA45" i="151" s="1"/>
  <c r="Q63" i="153"/>
  <c r="H45" i="151"/>
  <c r="J45" i="151" s="1"/>
  <c r="J46" i="151"/>
  <c r="AO47" i="151"/>
  <c r="AL47" i="151" s="1"/>
  <c r="AG47" i="151"/>
  <c r="U46" i="151"/>
  <c r="M63" i="153"/>
  <c r="M63" i="152"/>
  <c r="D56" i="154"/>
  <c r="AO41" i="44"/>
  <c r="AO44" i="151"/>
  <c r="AG44" i="151"/>
  <c r="AG42" i="151" s="1"/>
  <c r="AJ42" i="151"/>
  <c r="AR42" i="151"/>
  <c r="J42" i="151"/>
  <c r="H41" i="151"/>
  <c r="E62" i="151"/>
  <c r="AL41" i="44"/>
  <c r="D9" i="151"/>
  <c r="O41" i="151"/>
  <c r="AU70" i="150"/>
  <c r="AY70" i="150" s="1"/>
  <c r="AX70" i="150" s="1"/>
  <c r="AS70" i="150"/>
  <c r="AR70" i="150" s="1"/>
  <c r="BE69" i="150"/>
  <c r="AF68" i="150"/>
  <c r="BE68" i="150" s="1"/>
  <c r="AR69" i="43"/>
  <c r="AU69" i="43"/>
  <c r="AY69" i="43" s="1"/>
  <c r="S28" i="152"/>
  <c r="AI68" i="150"/>
  <c r="AM69" i="150"/>
  <c r="BC66" i="150"/>
  <c r="AC65" i="150"/>
  <c r="BC65" i="150" s="1"/>
  <c r="G23" i="154"/>
  <c r="G19" i="154" s="1"/>
  <c r="G16" i="154" s="1"/>
  <c r="H24" i="154"/>
  <c r="H23" i="154" s="1"/>
  <c r="H19" i="154" s="1"/>
  <c r="H16" i="154" s="1"/>
  <c r="AU67" i="43"/>
  <c r="AY67" i="43" s="1"/>
  <c r="AR67" i="43"/>
  <c r="AF66" i="150"/>
  <c r="AG65" i="150"/>
  <c r="AG61" i="150" s="1"/>
  <c r="AG57" i="150" s="1"/>
  <c r="AI66" i="150"/>
  <c r="AL67" i="150"/>
  <c r="AO67" i="150"/>
  <c r="AS67" i="150" s="1"/>
  <c r="AF62" i="150"/>
  <c r="BE63" i="150"/>
  <c r="AM63" i="150"/>
  <c r="AI62" i="150"/>
  <c r="BC62" i="150"/>
  <c r="AO64" i="150"/>
  <c r="AS64" i="150" s="1"/>
  <c r="AL64" i="150"/>
  <c r="O24" i="153"/>
  <c r="S24" i="153"/>
  <c r="R24" i="153" s="1"/>
  <c r="BE34" i="150"/>
  <c r="T30" i="150"/>
  <c r="N115" i="43"/>
  <c r="G17" i="152"/>
  <c r="F12" i="152"/>
  <c r="G10" i="152"/>
  <c r="G79" i="152"/>
  <c r="G8" i="152"/>
  <c r="D12" i="154"/>
  <c r="D11" i="154" s="1"/>
  <c r="D14" i="154"/>
  <c r="H10" i="153"/>
  <c r="H11" i="153" s="1"/>
  <c r="H17" i="153"/>
  <c r="H8" i="153"/>
  <c r="H71" i="153" s="1"/>
  <c r="H17" i="152"/>
  <c r="H94" i="152" s="1"/>
  <c r="H95" i="152" s="1"/>
  <c r="H96" i="152" s="1"/>
  <c r="H79" i="152"/>
  <c r="H84" i="152" s="1"/>
  <c r="H85" i="152" s="1"/>
  <c r="H10" i="152"/>
  <c r="H11" i="152" s="1"/>
  <c r="H8" i="152"/>
  <c r="H71" i="152" s="1"/>
  <c r="F12" i="153"/>
  <c r="G17" i="153"/>
  <c r="G10" i="153"/>
  <c r="G8" i="153"/>
  <c r="AD32" i="99"/>
  <c r="O57" i="99"/>
  <c r="O58" i="99" s="1"/>
  <c r="O59" i="99" s="1"/>
  <c r="O60" i="99" s="1"/>
  <c r="D71" i="152"/>
  <c r="C71" i="152" s="1"/>
  <c r="F69" i="152"/>
  <c r="R21" i="99"/>
  <c r="O45" i="99"/>
  <c r="R45" i="99" s="1"/>
  <c r="O23" i="153"/>
  <c r="P22" i="153"/>
  <c r="S22" i="153" s="1"/>
  <c r="R22" i="153" s="1"/>
  <c r="O23" i="152"/>
  <c r="O22" i="152" s="1"/>
  <c r="P22" i="152"/>
  <c r="S22" i="152" s="1"/>
  <c r="R22" i="152" s="1"/>
  <c r="P26" i="152"/>
  <c r="S26" i="152" s="1"/>
  <c r="P26" i="153"/>
  <c r="S26" i="153" s="1"/>
  <c r="R26" i="153" s="1"/>
  <c r="AN55" i="89"/>
  <c r="AM55" i="89"/>
  <c r="AL55" i="89"/>
  <c r="A4" i="82"/>
  <c r="A67" i="81"/>
  <c r="A125" i="81" s="1"/>
  <c r="AT12" i="36"/>
  <c r="AT10" i="36"/>
  <c r="AT70" i="36" s="1"/>
  <c r="CW29" i="48"/>
  <c r="E10" i="48"/>
  <c r="L16" i="16"/>
  <c r="AN54" i="89"/>
  <c r="AM54" i="89"/>
  <c r="AL54" i="89"/>
  <c r="G10" i="34"/>
  <c r="G11" i="34" s="1"/>
  <c r="G17" i="34"/>
  <c r="F17" i="34" s="1"/>
  <c r="G8" i="34"/>
  <c r="F12" i="34"/>
  <c r="C53" i="35"/>
  <c r="D32" i="35"/>
  <c r="C32" i="35" s="1"/>
  <c r="D11" i="38"/>
  <c r="C11" i="38" s="1"/>
  <c r="C10" i="38"/>
  <c r="BO62" i="41"/>
  <c r="BO60" i="3"/>
  <c r="AO59" i="1"/>
  <c r="AS60" i="1"/>
  <c r="BF11" i="41"/>
  <c r="G15" i="64"/>
  <c r="AM39" i="1"/>
  <c r="AT39" i="1"/>
  <c r="AN11" i="1"/>
  <c r="AH83" i="36"/>
  <c r="AH90" i="36"/>
  <c r="AH84" i="36"/>
  <c r="AH85" i="36" s="1"/>
  <c r="V83" i="1"/>
  <c r="V90" i="1"/>
  <c r="V84" i="1"/>
  <c r="V85" i="1" s="1"/>
  <c r="V109" i="1" s="1"/>
  <c r="Q59" i="9"/>
  <c r="Q13" i="9"/>
  <c r="BB35" i="48"/>
  <c r="BE35" i="48" s="1"/>
  <c r="BB42" i="48"/>
  <c r="AO32" i="48"/>
  <c r="AP32" i="48"/>
  <c r="AR43" i="36"/>
  <c r="AR11" i="36" s="1"/>
  <c r="AS11" i="36"/>
  <c r="C8" i="38"/>
  <c r="BN67" i="41"/>
  <c r="BN59" i="3"/>
  <c r="F10" i="64"/>
  <c r="H31" i="33"/>
  <c r="J39" i="4"/>
  <c r="J31" i="33" s="1"/>
  <c r="M53" i="4"/>
  <c r="M54" i="4" s="1"/>
  <c r="M53" i="37"/>
  <c r="M54" i="37" s="1"/>
  <c r="H39" i="47"/>
  <c r="BB40" i="48"/>
  <c r="BO66" i="3"/>
  <c r="AO65" i="1"/>
  <c r="AS66" i="1"/>
  <c r="BO68" i="41"/>
  <c r="AL36" i="4"/>
  <c r="D91" i="38"/>
  <c r="C17" i="38"/>
  <c r="D96" i="38"/>
  <c r="AA60" i="38"/>
  <c r="AA58" i="38" s="1"/>
  <c r="AB58" i="38"/>
  <c r="O80" i="39"/>
  <c r="O77" i="39" s="1"/>
  <c r="O70" i="39" s="1"/>
  <c r="P77" i="39"/>
  <c r="P70" i="39" s="1"/>
  <c r="BD39" i="36"/>
  <c r="AT41" i="43"/>
  <c r="AM41" i="43"/>
  <c r="AL41" i="43" s="1"/>
  <c r="N58" i="1"/>
  <c r="AF43" i="47"/>
  <c r="AO7" i="87"/>
  <c r="AQ8" i="87"/>
  <c r="AW12" i="1"/>
  <c r="AW10" i="1"/>
  <c r="AW70" i="1" s="1"/>
  <c r="V27" i="38"/>
  <c r="U28" i="38"/>
  <c r="U27" i="38" s="1"/>
  <c r="M30" i="19"/>
  <c r="AW12" i="36"/>
  <c r="AW10" i="36"/>
  <c r="AW70" i="36" s="1"/>
  <c r="AY14" i="87"/>
  <c r="BA17" i="87"/>
  <c r="BT41" i="5"/>
  <c r="C51" i="38"/>
  <c r="D32" i="38"/>
  <c r="C32" i="38" s="1"/>
  <c r="H80" i="38"/>
  <c r="H81" i="38" s="1"/>
  <c r="H82" i="38" s="1"/>
  <c r="H77" i="38"/>
  <c r="U82" i="1"/>
  <c r="U12" i="31"/>
  <c r="H10" i="46"/>
  <c r="H11" i="46" s="1"/>
  <c r="H17" i="46"/>
  <c r="H8" i="46"/>
  <c r="H71" i="46" s="1"/>
  <c r="AZ49" i="89"/>
  <c r="AY49" i="89"/>
  <c r="AK49" i="89"/>
  <c r="AO48" i="89" s="1"/>
  <c r="BZ29" i="48"/>
  <c r="CD10" i="48"/>
  <c r="CC10" i="48"/>
  <c r="CB10" i="48"/>
  <c r="AL59" i="1"/>
  <c r="AM65" i="36"/>
  <c r="AL66" i="36"/>
  <c r="AL65" i="36" s="1"/>
  <c r="Y52" i="7"/>
  <c r="C8" i="35"/>
  <c r="D65" i="35"/>
  <c r="C65" i="35" s="1"/>
  <c r="C140" i="76"/>
  <c r="C130" i="76" s="1"/>
  <c r="I11" i="138"/>
  <c r="AN13" i="48"/>
  <c r="V11" i="64"/>
  <c r="V22" i="17"/>
  <c r="AV12" i="48"/>
  <c r="R38" i="14" s="1"/>
  <c r="I32" i="50"/>
  <c r="I89" i="50" s="1"/>
  <c r="I33" i="50"/>
  <c r="K27" i="33"/>
  <c r="K9" i="4"/>
  <c r="K9" i="33" s="1"/>
  <c r="AS61" i="1"/>
  <c r="BO61" i="3"/>
  <c r="BO63" i="41"/>
  <c r="AG13" i="48"/>
  <c r="AD8" i="48"/>
  <c r="BK12" i="43"/>
  <c r="BK10" i="43"/>
  <c r="Q58" i="1"/>
  <c r="Q26" i="31"/>
  <c r="C8" i="34"/>
  <c r="D65" i="34"/>
  <c r="C65" i="34" s="1"/>
  <c r="V12" i="94"/>
  <c r="K38" i="14"/>
  <c r="J11" i="17" s="1"/>
  <c r="I38" i="62"/>
  <c r="G17" i="7"/>
  <c r="F17" i="7" s="1"/>
  <c r="F12" i="7"/>
  <c r="G10" i="7"/>
  <c r="G8" i="7"/>
  <c r="G70" i="7"/>
  <c r="AB70" i="1"/>
  <c r="AB72" i="1" s="1"/>
  <c r="N12" i="6"/>
  <c r="N12" i="38"/>
  <c r="N12" i="39"/>
  <c r="N12" i="7"/>
  <c r="AC52" i="62"/>
  <c r="AC28" i="14"/>
  <c r="Y52" i="6"/>
  <c r="AN45" i="43"/>
  <c r="AG45" i="43"/>
  <c r="AA84" i="36"/>
  <c r="Z82" i="36"/>
  <c r="Z83" i="36" s="1"/>
  <c r="AA83" i="36"/>
  <c r="AA90" i="36"/>
  <c r="DN39" i="47"/>
  <c r="BZ9" i="48"/>
  <c r="DN10" i="47"/>
  <c r="H27" i="33"/>
  <c r="J35" i="4"/>
  <c r="J27" i="33" s="1"/>
  <c r="AB91" i="36"/>
  <c r="AB92" i="36"/>
  <c r="AB93" i="36" s="1"/>
  <c r="J39" i="37"/>
  <c r="D91" i="7"/>
  <c r="D96" i="7"/>
  <c r="C17" i="7"/>
  <c r="Y10" i="37"/>
  <c r="BN61" i="41"/>
  <c r="O34" i="31"/>
  <c r="O72" i="1"/>
  <c r="BD35" i="48"/>
  <c r="I15" i="15" s="1"/>
  <c r="J33" i="50"/>
  <c r="J90" i="50" s="1"/>
  <c r="J32" i="50"/>
  <c r="J89" i="50" s="1"/>
  <c r="BR38" i="5"/>
  <c r="BS38" i="5"/>
  <c r="H9" i="4"/>
  <c r="J10" i="4"/>
  <c r="J10" i="33" s="1"/>
  <c r="H10" i="33"/>
  <c r="AY43" i="36"/>
  <c r="BF43" i="36"/>
  <c r="AZ11" i="36"/>
  <c r="BQ44" i="5"/>
  <c r="AL42" i="4"/>
  <c r="H35" i="37"/>
  <c r="AA88" i="36"/>
  <c r="Z80" i="36"/>
  <c r="AA81" i="36"/>
  <c r="Z81" i="36" s="1"/>
  <c r="N12" i="31"/>
  <c r="BH12" i="1"/>
  <c r="N91" i="1"/>
  <c r="N92" i="1"/>
  <c r="N93" i="1" s="1"/>
  <c r="H57" i="151" s="1"/>
  <c r="H58" i="151" s="1"/>
  <c r="N83" i="1"/>
  <c r="N84" i="1"/>
  <c r="N85" i="1" s="1"/>
  <c r="S28" i="45"/>
  <c r="R29" i="45"/>
  <c r="T84" i="36"/>
  <c r="T85" i="36" s="1"/>
  <c r="U85" i="36"/>
  <c r="U109" i="36" s="1"/>
  <c r="BH36" i="5"/>
  <c r="O38" i="62"/>
  <c r="Q38" i="14"/>
  <c r="J13" i="17" s="1"/>
  <c r="F10" i="34"/>
  <c r="H11" i="34"/>
  <c r="R21" i="40"/>
  <c r="P49" i="40"/>
  <c r="AH81" i="36"/>
  <c r="AH88" i="36"/>
  <c r="AH89" i="36" s="1"/>
  <c r="N92" i="36"/>
  <c r="N93" i="36" s="1"/>
  <c r="N84" i="36"/>
  <c r="N85" i="36" s="1"/>
  <c r="BN12" i="36"/>
  <c r="N91" i="36"/>
  <c r="N83" i="36"/>
  <c r="AL37" i="37"/>
  <c r="AL36" i="37" s="1"/>
  <c r="AO36" i="37"/>
  <c r="N10" i="31"/>
  <c r="N81" i="1"/>
  <c r="N89" i="1"/>
  <c r="J9" i="9"/>
  <c r="BB73" i="3"/>
  <c r="BH10" i="1"/>
  <c r="J8" i="40"/>
  <c r="EV41" i="47"/>
  <c r="EV42" i="47" s="1"/>
  <c r="EV43" i="47" s="1"/>
  <c r="N65" i="22"/>
  <c r="S66" i="22"/>
  <c r="N117" i="43"/>
  <c r="AC5" i="94"/>
  <c r="AD5" i="94" s="1"/>
  <c r="AC6" i="94"/>
  <c r="AD6" i="94" s="1"/>
  <c r="AD9" i="94"/>
  <c r="AC4" i="94"/>
  <c r="AD4" i="94" s="1"/>
  <c r="Y9" i="94"/>
  <c r="AG9" i="94"/>
  <c r="AB9" i="94"/>
  <c r="E27" i="37"/>
  <c r="E9" i="37"/>
  <c r="E31" i="37"/>
  <c r="E32" i="37"/>
  <c r="E28" i="37"/>
  <c r="E33" i="37"/>
  <c r="E15" i="37"/>
  <c r="E19" i="37"/>
  <c r="E23" i="37"/>
  <c r="E29" i="37"/>
  <c r="E12" i="37"/>
  <c r="E30" i="37"/>
  <c r="E22" i="37"/>
  <c r="E25" i="37"/>
  <c r="E34" i="37"/>
  <c r="E21" i="37"/>
  <c r="E18" i="37"/>
  <c r="E16" i="37"/>
  <c r="E24" i="37"/>
  <c r="E26" i="37"/>
  <c r="E20" i="37"/>
  <c r="E38" i="37"/>
  <c r="E17" i="37"/>
  <c r="E13" i="37"/>
  <c r="E41" i="37"/>
  <c r="E14" i="37"/>
  <c r="E37" i="37"/>
  <c r="E36" i="37"/>
  <c r="E40" i="37"/>
  <c r="E11" i="37"/>
  <c r="Y59" i="46"/>
  <c r="BQ36" i="5"/>
  <c r="BR37" i="5"/>
  <c r="BS37" i="5"/>
  <c r="BB70" i="3"/>
  <c r="BY70" i="3" s="1"/>
  <c r="BZ70" i="3" s="1"/>
  <c r="BY55" i="3"/>
  <c r="BZ55" i="3" s="1"/>
  <c r="X60" i="6"/>
  <c r="X58" i="6" s="1"/>
  <c r="Y58" i="6"/>
  <c r="AZ55" i="89"/>
  <c r="AY55" i="89"/>
  <c r="DN40" i="47"/>
  <c r="S21" i="6"/>
  <c r="R22" i="6"/>
  <c r="R21" i="6" s="1"/>
  <c r="AS66" i="36"/>
  <c r="AO65" i="36"/>
  <c r="U89" i="36"/>
  <c r="T89" i="36" s="1"/>
  <c r="T88" i="36"/>
  <c r="AG10" i="36"/>
  <c r="AG73" i="36"/>
  <c r="AG80" i="36"/>
  <c r="AG12" i="36"/>
  <c r="AG82" i="36" s="1"/>
  <c r="V34" i="31"/>
  <c r="V72" i="1"/>
  <c r="V16" i="94"/>
  <c r="T39" i="43"/>
  <c r="T77" i="43" s="1"/>
  <c r="W63" i="36"/>
  <c r="U62" i="36"/>
  <c r="U58" i="36" s="1"/>
  <c r="U55" i="36" s="1"/>
  <c r="U70" i="36" s="1"/>
  <c r="U72" i="36" s="1"/>
  <c r="T63" i="36"/>
  <c r="T62" i="36" s="1"/>
  <c r="T58" i="36" s="1"/>
  <c r="T55" i="36" s="1"/>
  <c r="T70" i="36" s="1"/>
  <c r="T72" i="36" s="1"/>
  <c r="BP44" i="5"/>
  <c r="BP42" i="5" s="1"/>
  <c r="BO42" i="5"/>
  <c r="BT29" i="48"/>
  <c r="BR26" i="48"/>
  <c r="BU29" i="48"/>
  <c r="BV29" i="48"/>
  <c r="C10" i="46"/>
  <c r="D11" i="46"/>
  <c r="C11" i="46" s="1"/>
  <c r="C144" i="75"/>
  <c r="C134" i="75" s="1"/>
  <c r="I10" i="138"/>
  <c r="AF13" i="48"/>
  <c r="C8" i="7"/>
  <c r="BC64" i="41"/>
  <c r="BC60" i="41" s="1"/>
  <c r="BC57" i="41" s="1"/>
  <c r="BC79" i="41" s="1"/>
  <c r="BD65" i="41"/>
  <c r="BE65" i="41"/>
  <c r="BE64" i="41" s="1"/>
  <c r="BE60" i="41" s="1"/>
  <c r="BE57" i="41" s="1"/>
  <c r="BE72" i="41" s="1"/>
  <c r="O80" i="6"/>
  <c r="O77" i="6" s="1"/>
  <c r="O70" i="6" s="1"/>
  <c r="P77" i="6"/>
  <c r="P70" i="6" s="1"/>
  <c r="BF40" i="5"/>
  <c r="BF39" i="5" s="1"/>
  <c r="BB39" i="5"/>
  <c r="BH39" i="5" s="1"/>
  <c r="E18" i="50"/>
  <c r="V48" i="47"/>
  <c r="N39" i="48"/>
  <c r="N40" i="48" s="1"/>
  <c r="R13" i="9"/>
  <c r="R59" i="9"/>
  <c r="E16" i="63"/>
  <c r="C78" i="74" s="1"/>
  <c r="U11" i="17"/>
  <c r="F12" i="39"/>
  <c r="G8" i="39"/>
  <c r="G17" i="39"/>
  <c r="F17" i="39" s="1"/>
  <c r="G10" i="39"/>
  <c r="T10" i="31"/>
  <c r="K8" i="40"/>
  <c r="BD73" i="3"/>
  <c r="K9" i="9"/>
  <c r="BC73" i="3"/>
  <c r="AB84" i="1"/>
  <c r="AB85" i="1" s="1"/>
  <c r="AB83" i="1"/>
  <c r="AB90" i="1"/>
  <c r="V20" i="16"/>
  <c r="BN65" i="3"/>
  <c r="DZ30" i="47"/>
  <c r="DZ40" i="47" s="1"/>
  <c r="CH10" i="48"/>
  <c r="AH30" i="14"/>
  <c r="AF30" i="14"/>
  <c r="BJ38" i="48"/>
  <c r="CP45" i="47"/>
  <c r="BC4" i="41"/>
  <c r="E35" i="37"/>
  <c r="U30" i="48"/>
  <c r="C10" i="6"/>
  <c r="D11" i="6"/>
  <c r="C11" i="6" s="1"/>
  <c r="AD27" i="16"/>
  <c r="AC27" i="16"/>
  <c r="AH80" i="1"/>
  <c r="AH12" i="1"/>
  <c r="AH82" i="1" s="1"/>
  <c r="AH10" i="1"/>
  <c r="AH73" i="1"/>
  <c r="W63" i="1"/>
  <c r="P40" i="37"/>
  <c r="J25" i="39"/>
  <c r="J25" i="34"/>
  <c r="J25" i="7"/>
  <c r="U27" i="31"/>
  <c r="P40" i="4"/>
  <c r="J25" i="6"/>
  <c r="J25" i="38"/>
  <c r="U62" i="1"/>
  <c r="T63" i="1"/>
  <c r="J25" i="35"/>
  <c r="R28" i="6"/>
  <c r="R27" i="6" s="1"/>
  <c r="S27" i="6"/>
  <c r="U22" i="94"/>
  <c r="Q22" i="94"/>
  <c r="P22" i="94" s="1"/>
  <c r="C8" i="6"/>
  <c r="D63" i="6"/>
  <c r="C63" i="6" s="1"/>
  <c r="BF35" i="5"/>
  <c r="M21" i="40"/>
  <c r="L49" i="40"/>
  <c r="K17" i="38"/>
  <c r="K70" i="38"/>
  <c r="K75" i="38" s="1"/>
  <c r="K76" i="38" s="1"/>
  <c r="K10" i="38"/>
  <c r="K11" i="38" s="1"/>
  <c r="K8" i="38"/>
  <c r="K63" i="38" s="1"/>
  <c r="G58" i="46"/>
  <c r="F58" i="46" s="1"/>
  <c r="Z25" i="14"/>
  <c r="Z7" i="14" s="1"/>
  <c r="G16" i="17"/>
  <c r="N89" i="36"/>
  <c r="N81" i="36"/>
  <c r="N70" i="36"/>
  <c r="N72" i="36" s="1"/>
  <c r="BN10" i="36"/>
  <c r="S21" i="7"/>
  <c r="R22" i="7"/>
  <c r="R21" i="7" s="1"/>
  <c r="F14" i="17"/>
  <c r="E14" i="64"/>
  <c r="F14" i="64" s="1"/>
  <c r="K70" i="7"/>
  <c r="K75" i="7" s="1"/>
  <c r="K76" i="7" s="1"/>
  <c r="K17" i="7"/>
  <c r="K10" i="7"/>
  <c r="K11" i="7" s="1"/>
  <c r="K8" i="7"/>
  <c r="K63" i="7" s="1"/>
  <c r="K10" i="39"/>
  <c r="K11" i="39" s="1"/>
  <c r="K17" i="39"/>
  <c r="K8" i="39"/>
  <c r="K63" i="39" s="1"/>
  <c r="C8" i="46"/>
  <c r="D71" i="46"/>
  <c r="C71" i="46" s="1"/>
  <c r="C10" i="34"/>
  <c r="D11" i="34"/>
  <c r="C11" i="34" s="1"/>
  <c r="C51" i="7"/>
  <c r="D32" i="7"/>
  <c r="C32" i="7" s="1"/>
  <c r="G8" i="38"/>
  <c r="G70" i="38"/>
  <c r="F12" i="38"/>
  <c r="G10" i="38"/>
  <c r="G17" i="38"/>
  <c r="F17" i="38" s="1"/>
  <c r="AB81" i="1"/>
  <c r="AB88" i="1"/>
  <c r="AB89" i="1" s="1"/>
  <c r="V33" i="16"/>
  <c r="AB33" i="16" s="1"/>
  <c r="BN42" i="5"/>
  <c r="E10" i="37"/>
  <c r="X59" i="46"/>
  <c r="C8" i="39"/>
  <c r="D63" i="39"/>
  <c r="C63" i="39" s="1"/>
  <c r="V27" i="39"/>
  <c r="U28" i="39"/>
  <c r="U27" i="39" s="1"/>
  <c r="S28" i="46"/>
  <c r="R29" i="46"/>
  <c r="R28" i="46" s="1"/>
  <c r="H80" i="7"/>
  <c r="H81" i="7" s="1"/>
  <c r="H82" i="7" s="1"/>
  <c r="H77" i="7"/>
  <c r="AC8" i="16"/>
  <c r="AD8" i="16"/>
  <c r="O83" i="36"/>
  <c r="O92" i="36"/>
  <c r="O93" i="36" s="1"/>
  <c r="O84" i="36"/>
  <c r="O85" i="36" s="1"/>
  <c r="O91" i="36"/>
  <c r="DB39" i="47"/>
  <c r="DB41" i="47" s="1"/>
  <c r="DB44" i="47" s="1"/>
  <c r="BR9" i="48"/>
  <c r="DB10" i="47"/>
  <c r="E10" i="4"/>
  <c r="E10" i="33" s="1"/>
  <c r="C87" i="72"/>
  <c r="C82" i="72" s="1"/>
  <c r="H8" i="45"/>
  <c r="H71" i="45" s="1"/>
  <c r="H10" i="45"/>
  <c r="H11" i="45" s="1"/>
  <c r="H17" i="45"/>
  <c r="H94" i="45" s="1"/>
  <c r="H95" i="45" s="1"/>
  <c r="H96" i="45" s="1"/>
  <c r="H79" i="45"/>
  <c r="H84" i="45" s="1"/>
  <c r="H85" i="45" s="1"/>
  <c r="AA60" i="39"/>
  <c r="AA58" i="39" s="1"/>
  <c r="AB58" i="39"/>
  <c r="AY54" i="89"/>
  <c r="AZ54" i="89"/>
  <c r="G53" i="34"/>
  <c r="AL43" i="36"/>
  <c r="AL11" i="36" s="1"/>
  <c r="AM11" i="36"/>
  <c r="K8" i="6"/>
  <c r="K63" i="6" s="1"/>
  <c r="K17" i="6"/>
  <c r="K10" i="6"/>
  <c r="K11" i="6" s="1"/>
  <c r="AH39" i="43"/>
  <c r="AH39" i="150" s="1"/>
  <c r="AA39" i="43"/>
  <c r="AA39" i="150" s="1"/>
  <c r="G58" i="45"/>
  <c r="F58" i="45" s="1"/>
  <c r="V49" i="44"/>
  <c r="K67" i="45"/>
  <c r="P49" i="44"/>
  <c r="Q47" i="44"/>
  <c r="Q40" i="44" s="1"/>
  <c r="E43" i="58"/>
  <c r="K67" i="46"/>
  <c r="K65" i="46" s="1"/>
  <c r="K58" i="46" s="1"/>
  <c r="AT30" i="48"/>
  <c r="V42" i="48"/>
  <c r="Z44" i="48"/>
  <c r="W46" i="48"/>
  <c r="W44" i="48"/>
  <c r="W47" i="48"/>
  <c r="X22" i="48"/>
  <c r="Z47" i="48"/>
  <c r="Z46" i="48"/>
  <c r="AN72" i="36"/>
  <c r="H33" i="19"/>
  <c r="G51" i="38"/>
  <c r="AT40" i="48"/>
  <c r="C10" i="7"/>
  <c r="D11" i="7"/>
  <c r="C11" i="7" s="1"/>
  <c r="AA80" i="1"/>
  <c r="AA12" i="1"/>
  <c r="AA82" i="1" s="1"/>
  <c r="AA10" i="1"/>
  <c r="AA73" i="1"/>
  <c r="BC62" i="3"/>
  <c r="BC58" i="3" s="1"/>
  <c r="BD63" i="3"/>
  <c r="BE63" i="3"/>
  <c r="BE62" i="3" s="1"/>
  <c r="BE58" i="3" s="1"/>
  <c r="BE55" i="3" s="1"/>
  <c r="BE70" i="3" s="1"/>
  <c r="L30" i="45"/>
  <c r="L28" i="45" s="1"/>
  <c r="Q30" i="45"/>
  <c r="T30" i="45"/>
  <c r="N28" i="45"/>
  <c r="BM26" i="48"/>
  <c r="BN26" i="48"/>
  <c r="Q38" i="48"/>
  <c r="Q40" i="48" s="1"/>
  <c r="AB52" i="38"/>
  <c r="EX3" i="47"/>
  <c r="EL29" i="47"/>
  <c r="EL32" i="47"/>
  <c r="AV14" i="87"/>
  <c r="AT8" i="87"/>
  <c r="BL9" i="48"/>
  <c r="BN9" i="48"/>
  <c r="BJ37" i="48"/>
  <c r="BM9" i="48"/>
  <c r="BJ8" i="48"/>
  <c r="R39" i="16"/>
  <c r="F15" i="19"/>
  <c r="F33" i="19"/>
  <c r="AG8" i="94"/>
  <c r="AG23" i="94"/>
  <c r="AG17" i="94"/>
  <c r="AG19" i="94"/>
  <c r="AB7" i="94"/>
  <c r="AG13" i="94"/>
  <c r="AG21" i="94"/>
  <c r="AG22" i="94"/>
  <c r="AG11" i="94"/>
  <c r="AG24" i="94"/>
  <c r="Y7" i="94"/>
  <c r="AG7" i="94"/>
  <c r="AG10" i="94"/>
  <c r="AG15" i="94"/>
  <c r="AG12" i="94"/>
  <c r="AG16" i="94"/>
  <c r="AG26" i="94"/>
  <c r="AG14" i="94"/>
  <c r="AG18" i="94"/>
  <c r="AG20" i="94"/>
  <c r="AG25" i="94"/>
  <c r="AG27" i="94"/>
  <c r="AS32" i="5"/>
  <c r="AS26" i="5"/>
  <c r="AS30" i="5"/>
  <c r="AS24" i="5"/>
  <c r="AS40" i="5"/>
  <c r="AS19" i="5"/>
  <c r="AS15" i="5"/>
  <c r="AS20" i="5"/>
  <c r="AS22" i="5"/>
  <c r="AS31" i="5"/>
  <c r="AS28" i="5"/>
  <c r="AS43" i="5"/>
  <c r="AS45" i="5"/>
  <c r="AS9" i="5"/>
  <c r="AS29" i="5"/>
  <c r="AS34" i="5"/>
  <c r="AS42" i="5"/>
  <c r="AS13" i="5"/>
  <c r="AS25" i="5"/>
  <c r="AS44" i="5"/>
  <c r="AS23" i="5"/>
  <c r="AS37" i="5"/>
  <c r="AS21" i="5"/>
  <c r="AS33" i="5"/>
  <c r="AS14" i="5"/>
  <c r="AS16" i="5"/>
  <c r="AS41" i="5"/>
  <c r="AS27" i="5"/>
  <c r="AS18" i="5"/>
  <c r="AS38" i="5"/>
  <c r="AS17" i="5"/>
  <c r="AS39" i="5"/>
  <c r="AS36" i="5"/>
  <c r="AS12" i="5"/>
  <c r="AS11" i="5"/>
  <c r="AS35" i="5"/>
  <c r="S27" i="7"/>
  <c r="R28" i="7"/>
  <c r="R27" i="7" s="1"/>
  <c r="K8" i="35"/>
  <c r="K65" i="35" s="1"/>
  <c r="K17" i="35"/>
  <c r="K10" i="35"/>
  <c r="K11" i="35" s="1"/>
  <c r="S21" i="40"/>
  <c r="Q49" i="40"/>
  <c r="AE27" i="14"/>
  <c r="AC27" i="14"/>
  <c r="BY57" i="41"/>
  <c r="BZ57" i="41" s="1"/>
  <c r="BB72" i="41"/>
  <c r="BY72" i="41" s="1"/>
  <c r="BZ72" i="41" s="1"/>
  <c r="AS10" i="5"/>
  <c r="C10" i="39"/>
  <c r="D11" i="39"/>
  <c r="C11" i="39" s="1"/>
  <c r="AL49" i="48"/>
  <c r="AP25" i="48"/>
  <c r="AO25" i="48"/>
  <c r="AN49" i="89"/>
  <c r="AM49" i="89"/>
  <c r="AL49" i="89"/>
  <c r="N38" i="62"/>
  <c r="C41" i="75"/>
  <c r="T80" i="1"/>
  <c r="U81" i="1"/>
  <c r="T81" i="1" s="1"/>
  <c r="U88" i="1"/>
  <c r="BC10" i="36"/>
  <c r="BC70" i="36" s="1"/>
  <c r="BC12" i="36"/>
  <c r="CO67" i="48"/>
  <c r="CO25" i="48"/>
  <c r="J12" i="39"/>
  <c r="U10" i="31"/>
  <c r="J12" i="7"/>
  <c r="J12" i="35"/>
  <c r="J12" i="6"/>
  <c r="J12" i="34"/>
  <c r="J12" i="38"/>
  <c r="X60" i="7"/>
  <c r="X58" i="7" s="1"/>
  <c r="Y58" i="7"/>
  <c r="P14" i="64"/>
  <c r="N14" i="17"/>
  <c r="AY61" i="36"/>
  <c r="AU59" i="36"/>
  <c r="AK35" i="87"/>
  <c r="AK28" i="87"/>
  <c r="AK19" i="87"/>
  <c r="AK26" i="87"/>
  <c r="AK11" i="87"/>
  <c r="AK16" i="87"/>
  <c r="AK30" i="87"/>
  <c r="AK15" i="87"/>
  <c r="AK17" i="87"/>
  <c r="AK34" i="87"/>
  <c r="AK21" i="87"/>
  <c r="AK22" i="87"/>
  <c r="AJ2" i="87"/>
  <c r="AK25" i="87"/>
  <c r="AK23" i="87"/>
  <c r="AK7" i="87"/>
  <c r="AL7" i="87"/>
  <c r="AK27" i="87"/>
  <c r="AK13" i="87"/>
  <c r="AK9" i="87"/>
  <c r="AK36" i="87"/>
  <c r="AK29" i="87"/>
  <c r="AK18" i="87"/>
  <c r="AK24" i="87"/>
  <c r="AK12" i="87"/>
  <c r="AK20" i="87"/>
  <c r="AK14" i="87"/>
  <c r="AK10" i="87"/>
  <c r="AK8" i="87"/>
  <c r="AK33" i="87"/>
  <c r="AU64" i="43"/>
  <c r="AY64" i="43" s="1"/>
  <c r="AR64" i="43"/>
  <c r="F12" i="6"/>
  <c r="G17" i="6"/>
  <c r="F17" i="6" s="1"/>
  <c r="G10" i="6"/>
  <c r="G8" i="6"/>
  <c r="T90" i="36"/>
  <c r="T91" i="36" s="1"/>
  <c r="U91" i="36"/>
  <c r="U92" i="36"/>
  <c r="H7" i="63"/>
  <c r="C77" i="77"/>
  <c r="V21" i="38"/>
  <c r="U22" i="38"/>
  <c r="U21" i="38" s="1"/>
  <c r="W8" i="14"/>
  <c r="E15" i="17"/>
  <c r="W46" i="62"/>
  <c r="W47" i="62" s="1"/>
  <c r="W42" i="14"/>
  <c r="BL10" i="43"/>
  <c r="BL12" i="43"/>
  <c r="BO12" i="43" s="1"/>
  <c r="G51" i="39"/>
  <c r="H40" i="47"/>
  <c r="H9" i="47"/>
  <c r="H10" i="47" s="1"/>
  <c r="O89" i="36"/>
  <c r="O81" i="36"/>
  <c r="O70" i="36"/>
  <c r="O72" i="36" s="1"/>
  <c r="C58" i="45"/>
  <c r="D33" i="45"/>
  <c r="E18" i="4"/>
  <c r="E19" i="33" s="1"/>
  <c r="E28" i="4"/>
  <c r="E20" i="4"/>
  <c r="D9" i="33"/>
  <c r="E23" i="4"/>
  <c r="E32" i="4"/>
  <c r="E24" i="33" s="1"/>
  <c r="E17" i="4"/>
  <c r="E17" i="33" s="1"/>
  <c r="E24" i="4"/>
  <c r="E30" i="4"/>
  <c r="E16" i="4"/>
  <c r="E16" i="33" s="1"/>
  <c r="E21" i="4"/>
  <c r="E22" i="4"/>
  <c r="E21" i="33" s="1"/>
  <c r="E29" i="4"/>
  <c r="E12" i="4"/>
  <c r="E12" i="33" s="1"/>
  <c r="E31" i="4"/>
  <c r="E23" i="33" s="1"/>
  <c r="E9" i="4"/>
  <c r="E9" i="33" s="1"/>
  <c r="E26" i="4"/>
  <c r="E22" i="33" s="1"/>
  <c r="E27" i="4"/>
  <c r="E33" i="4"/>
  <c r="E25" i="33" s="1"/>
  <c r="E15" i="4"/>
  <c r="E15" i="33" s="1"/>
  <c r="E19" i="4"/>
  <c r="E20" i="33" s="1"/>
  <c r="E25" i="4"/>
  <c r="E38" i="4"/>
  <c r="E30" i="33" s="1"/>
  <c r="E34" i="4"/>
  <c r="E26" i="33" s="1"/>
  <c r="E41" i="4"/>
  <c r="E33" i="33" s="1"/>
  <c r="E14" i="4"/>
  <c r="E14" i="33" s="1"/>
  <c r="E13" i="4"/>
  <c r="E13" i="33" s="1"/>
  <c r="E37" i="4"/>
  <c r="E29" i="33" s="1"/>
  <c r="E36" i="4"/>
  <c r="E28" i="33" s="1"/>
  <c r="E40" i="4"/>
  <c r="E32" i="33" s="1"/>
  <c r="E11" i="4"/>
  <c r="E11" i="33" s="1"/>
  <c r="U22" i="39"/>
  <c r="U21" i="39" s="1"/>
  <c r="V21" i="39"/>
  <c r="T38" i="16"/>
  <c r="I9" i="9"/>
  <c r="BA73" i="3"/>
  <c r="BA75" i="41"/>
  <c r="I8" i="40"/>
  <c r="G10" i="31"/>
  <c r="G70" i="1"/>
  <c r="AF10" i="36"/>
  <c r="AF12" i="36"/>
  <c r="AF73" i="36"/>
  <c r="D11" i="35"/>
  <c r="C11" i="35" s="1"/>
  <c r="C10" i="35"/>
  <c r="J19" i="31"/>
  <c r="J70" i="1"/>
  <c r="J34" i="31" s="1"/>
  <c r="K17" i="34"/>
  <c r="K10" i="34"/>
  <c r="K11" i="34" s="1"/>
  <c r="K8" i="34"/>
  <c r="K65" i="34" s="1"/>
  <c r="AS43" i="1"/>
  <c r="AR43" i="1" s="1"/>
  <c r="AZ43" i="1"/>
  <c r="AY43" i="1" s="1"/>
  <c r="AX43" i="1" s="1"/>
  <c r="AR110" i="13"/>
  <c r="AR112" i="13" s="1"/>
  <c r="AJ108" i="13"/>
  <c r="AJ80" i="13" s="1"/>
  <c r="AJ11" i="13" s="1"/>
  <c r="AT109" i="13"/>
  <c r="AH109" i="13"/>
  <c r="AJ109" i="60"/>
  <c r="BD12" i="41"/>
  <c r="BH11" i="41"/>
  <c r="BD10" i="41"/>
  <c r="BV11" i="41"/>
  <c r="AF39" i="1"/>
  <c r="AF11" i="1" s="1"/>
  <c r="AG11" i="1"/>
  <c r="BL51" i="5"/>
  <c r="Z73" i="1"/>
  <c r="Z10" i="1"/>
  <c r="Z12" i="1"/>
  <c r="J9" i="15"/>
  <c r="BL26" i="48"/>
  <c r="BT37" i="5"/>
  <c r="AA52" i="38"/>
  <c r="F12" i="35"/>
  <c r="G10" i="35"/>
  <c r="G17" i="35"/>
  <c r="F17" i="35" s="1"/>
  <c r="G8" i="35"/>
  <c r="T39" i="16"/>
  <c r="AJ155" i="89"/>
  <c r="P10" i="13"/>
  <c r="N28" i="16"/>
  <c r="P28" i="16" s="1"/>
  <c r="AE28" i="16" s="1"/>
  <c r="BF33" i="5"/>
  <c r="E8" i="44"/>
  <c r="E27" i="44"/>
  <c r="E14" i="44"/>
  <c r="E30" i="44"/>
  <c r="E34" i="44"/>
  <c r="E38" i="44"/>
  <c r="E29" i="44"/>
  <c r="E35" i="44"/>
  <c r="E45" i="44"/>
  <c r="E36" i="44"/>
  <c r="E46" i="44"/>
  <c r="E37" i="44"/>
  <c r="E23" i="44"/>
  <c r="E11" i="44"/>
  <c r="E44" i="44"/>
  <c r="E43" i="44"/>
  <c r="E22" i="44"/>
  <c r="E32" i="44"/>
  <c r="E24" i="44"/>
  <c r="E41" i="44"/>
  <c r="E28" i="44"/>
  <c r="E39" i="44"/>
  <c r="E33" i="44"/>
  <c r="E16" i="44"/>
  <c r="E40" i="44"/>
  <c r="E17" i="44"/>
  <c r="E31" i="44"/>
  <c r="E25" i="44"/>
  <c r="E42" i="44"/>
  <c r="E12" i="44"/>
  <c r="E10" i="44"/>
  <c r="E9" i="44"/>
  <c r="Q63" i="45"/>
  <c r="Q62" i="45" s="1"/>
  <c r="AA44" i="44"/>
  <c r="Q63" i="46"/>
  <c r="Q62" i="46" s="1"/>
  <c r="I63" i="45"/>
  <c r="J62" i="45"/>
  <c r="C38" i="60"/>
  <c r="C12" i="60" s="1"/>
  <c r="AH12" i="60"/>
  <c r="C39" i="58"/>
  <c r="C38" i="58" s="1"/>
  <c r="D49" i="68"/>
  <c r="D38" i="58"/>
  <c r="J62" i="46"/>
  <c r="I63" i="46"/>
  <c r="M63" i="46"/>
  <c r="Z45" i="44"/>
  <c r="M63" i="45"/>
  <c r="U44" i="44"/>
  <c r="R45" i="44"/>
  <c r="Y62" i="7"/>
  <c r="Q62" i="139"/>
  <c r="T18" i="38"/>
  <c r="P62" i="38"/>
  <c r="W62" i="139"/>
  <c r="AB8" i="139"/>
  <c r="AB62" i="139" s="1"/>
  <c r="R62" i="139"/>
  <c r="U7" i="140"/>
  <c r="R7" i="140"/>
  <c r="Q7" i="140"/>
  <c r="Q33" i="140"/>
  <c r="Q34" i="140"/>
  <c r="Q26" i="140"/>
  <c r="Q16" i="140"/>
  <c r="Q29" i="140"/>
  <c r="Q32" i="140"/>
  <c r="Q12" i="140"/>
  <c r="Q21" i="140"/>
  <c r="Q24" i="140"/>
  <c r="Q28" i="140"/>
  <c r="Q11" i="140"/>
  <c r="Q30" i="140"/>
  <c r="Q35" i="140"/>
  <c r="Q23" i="140"/>
  <c r="Q22" i="140"/>
  <c r="Q10" i="140"/>
  <c r="Q25" i="140"/>
  <c r="Q19" i="140"/>
  <c r="Q14" i="140"/>
  <c r="Q31" i="140"/>
  <c r="Q9" i="140"/>
  <c r="Q20" i="140"/>
  <c r="Q18" i="140"/>
  <c r="Q27" i="140"/>
  <c r="Q8" i="140"/>
  <c r="AC8" i="139"/>
  <c r="AC62" i="139" s="1"/>
  <c r="X62" i="139"/>
  <c r="X62" i="38"/>
  <c r="Q15" i="140"/>
  <c r="U62" i="7"/>
  <c r="AC30" i="62"/>
  <c r="AE30" i="62"/>
  <c r="AB62" i="38"/>
  <c r="AK27" i="62"/>
  <c r="AI27" i="62"/>
  <c r="Q17" i="140"/>
  <c r="W44" i="62"/>
  <c r="W8" i="62"/>
  <c r="Z28" i="62"/>
  <c r="Z7" i="62" s="1"/>
  <c r="Z53" i="62"/>
  <c r="C32" i="65"/>
  <c r="P11" i="60"/>
  <c r="P10" i="60" s="1"/>
  <c r="J87" i="46"/>
  <c r="C32" i="149"/>
  <c r="D27" i="68"/>
  <c r="D25" i="58"/>
  <c r="J47" i="46"/>
  <c r="J47" i="45"/>
  <c r="BC28" i="5"/>
  <c r="O33" i="44"/>
  <c r="BF30" i="5"/>
  <c r="AI62" i="43"/>
  <c r="AM63" i="43"/>
  <c r="AR70" i="43"/>
  <c r="AR68" i="43" s="1"/>
  <c r="AS68" i="43"/>
  <c r="AY70" i="43"/>
  <c r="P22" i="46"/>
  <c r="O23" i="46"/>
  <c r="O22" i="46" s="1"/>
  <c r="AG65" i="43"/>
  <c r="AG61" i="43" s="1"/>
  <c r="AG57" i="43" s="1"/>
  <c r="P26" i="45"/>
  <c r="P26" i="46"/>
  <c r="AI66" i="43"/>
  <c r="AF66" i="43"/>
  <c r="AF65" i="43" s="1"/>
  <c r="AF61" i="43" s="1"/>
  <c r="AF57" i="43" s="1"/>
  <c r="P22" i="45"/>
  <c r="O23" i="45"/>
  <c r="O22" i="45" s="1"/>
  <c r="H59" i="44"/>
  <c r="N81" i="43"/>
  <c r="F34" i="46"/>
  <c r="BA5" i="41"/>
  <c r="BB83" i="41"/>
  <c r="BF83" i="41" s="1"/>
  <c r="BB77" i="41"/>
  <c r="F12" i="45"/>
  <c r="G17" i="45"/>
  <c r="G8" i="45"/>
  <c r="G79" i="45"/>
  <c r="G10" i="45"/>
  <c r="F34" i="45"/>
  <c r="H9" i="44"/>
  <c r="D32" i="154" s="1"/>
  <c r="J10" i="44"/>
  <c r="G75" i="45"/>
  <c r="O125" i="43"/>
  <c r="N125" i="43" s="1"/>
  <c r="G17" i="46"/>
  <c r="G10" i="46"/>
  <c r="G8" i="46"/>
  <c r="F12" i="46"/>
  <c r="BF14" i="5"/>
  <c r="BH14" i="5"/>
  <c r="BB11" i="5"/>
  <c r="AN119" i="89" l="1"/>
  <c r="AL119" i="89"/>
  <c r="AM119" i="89"/>
  <c r="C18" i="169"/>
  <c r="C19" i="158"/>
  <c r="C61" i="161"/>
  <c r="C59" i="161" s="1"/>
  <c r="C52" i="161" s="1"/>
  <c r="D43" i="160"/>
  <c r="V22" i="64"/>
  <c r="G33" i="152"/>
  <c r="F33" i="152" s="1"/>
  <c r="AD118" i="89"/>
  <c r="AC118" i="89"/>
  <c r="BC56" i="88"/>
  <c r="BB64" i="88"/>
  <c r="BB65" i="88"/>
  <c r="U11" i="64"/>
  <c r="U11" i="164"/>
  <c r="R28" i="152"/>
  <c r="AH109" i="162"/>
  <c r="AJ108" i="162"/>
  <c r="AJ80" i="162" s="1"/>
  <c r="AJ11" i="162" s="1"/>
  <c r="AJ10" i="162" s="1"/>
  <c r="J43" i="160"/>
  <c r="E41" i="160"/>
  <c r="E34" i="160" s="1"/>
  <c r="G16" i="64"/>
  <c r="G16" i="164"/>
  <c r="E15" i="164"/>
  <c r="AN118" i="89"/>
  <c r="AM118" i="89"/>
  <c r="AL118" i="89"/>
  <c r="V22" i="164"/>
  <c r="D29" i="160"/>
  <c r="P3" i="162"/>
  <c r="BC72" i="41"/>
  <c r="J13" i="164"/>
  <c r="J11" i="164"/>
  <c r="F14" i="164"/>
  <c r="N14" i="164"/>
  <c r="G81" i="150"/>
  <c r="G84" i="150"/>
  <c r="G86" i="150" s="1"/>
  <c r="AC61" i="150"/>
  <c r="BC61" i="150" s="1"/>
  <c r="AD31" i="16"/>
  <c r="AC31" i="16"/>
  <c r="AX69" i="43"/>
  <c r="Y29" i="46"/>
  <c r="Y29" i="45"/>
  <c r="BP10" i="150"/>
  <c r="BP12" i="150"/>
  <c r="BS12" i="150" s="1"/>
  <c r="J11" i="151"/>
  <c r="H10" i="151"/>
  <c r="J10" i="151" s="1"/>
  <c r="O113" i="150"/>
  <c r="O73" i="150"/>
  <c r="O81" i="150" s="1"/>
  <c r="O121" i="150"/>
  <c r="F51" i="7"/>
  <c r="G32" i="7"/>
  <c r="F32" i="7" s="1"/>
  <c r="W63" i="46"/>
  <c r="W62" i="46" s="1"/>
  <c r="W63" i="45"/>
  <c r="W62" i="45" s="1"/>
  <c r="AP45" i="44"/>
  <c r="AK44" i="44"/>
  <c r="G33" i="45"/>
  <c r="F33" i="45" s="1"/>
  <c r="G32" i="6"/>
  <c r="F32" i="6" s="1"/>
  <c r="F58" i="153"/>
  <c r="AZ45" i="150"/>
  <c r="AY45" i="150" s="1"/>
  <c r="AX45" i="150" s="1"/>
  <c r="AS45" i="150"/>
  <c r="AR45" i="150" s="1"/>
  <c r="O110" i="150"/>
  <c r="N113" i="150"/>
  <c r="N76" i="150"/>
  <c r="P110" i="150"/>
  <c r="N73" i="150"/>
  <c r="N81" i="150" s="1"/>
  <c r="N121" i="150"/>
  <c r="O116" i="150"/>
  <c r="O117" i="150" s="1"/>
  <c r="N117" i="150" s="1"/>
  <c r="O115" i="150"/>
  <c r="O124" i="150"/>
  <c r="O125" i="150" s="1"/>
  <c r="N125" i="150" s="1"/>
  <c r="O123" i="150"/>
  <c r="AN39" i="150"/>
  <c r="Y59" i="45"/>
  <c r="AF45" i="43"/>
  <c r="AG45" i="150"/>
  <c r="AF45" i="150" s="1"/>
  <c r="BE45" i="150" s="1"/>
  <c r="Y24" i="153"/>
  <c r="X24" i="153" s="1"/>
  <c r="Y24" i="152"/>
  <c r="X24" i="152" s="1"/>
  <c r="Y29" i="153"/>
  <c r="Y29" i="152"/>
  <c r="H41" i="47"/>
  <c r="AC30" i="152"/>
  <c r="Z28" i="152"/>
  <c r="X30" i="152"/>
  <c r="C11" i="149"/>
  <c r="C11" i="65"/>
  <c r="BQ66" i="41"/>
  <c r="BQ64" i="3"/>
  <c r="AY64" i="1"/>
  <c r="BO12" i="150"/>
  <c r="BO10" i="150"/>
  <c r="C33" i="153"/>
  <c r="D71" i="153"/>
  <c r="C71" i="153" s="1"/>
  <c r="N115" i="150"/>
  <c r="N116" i="150"/>
  <c r="N124" i="150"/>
  <c r="N123" i="150"/>
  <c r="AX64" i="43"/>
  <c r="Y24" i="46"/>
  <c r="Y24" i="45"/>
  <c r="Y23" i="153"/>
  <c r="Y23" i="152"/>
  <c r="AU68" i="43"/>
  <c r="S23" i="45"/>
  <c r="S23" i="46"/>
  <c r="Y30" i="46"/>
  <c r="X30" i="46" s="1"/>
  <c r="Y30" i="45"/>
  <c r="AX67" i="43"/>
  <c r="Y27" i="45"/>
  <c r="X27" i="45" s="1"/>
  <c r="Y27" i="46"/>
  <c r="X27" i="46" s="1"/>
  <c r="D31" i="154"/>
  <c r="T39" i="150"/>
  <c r="T77" i="150" s="1"/>
  <c r="U77" i="150"/>
  <c r="Z39" i="150"/>
  <c r="J51" i="153"/>
  <c r="J51" i="152"/>
  <c r="V50" i="151"/>
  <c r="V48" i="151" s="1"/>
  <c r="V41" i="151" s="1"/>
  <c r="N67" i="152"/>
  <c r="N67" i="153"/>
  <c r="N65" i="153" s="1"/>
  <c r="N58" i="153" s="1"/>
  <c r="J67" i="153"/>
  <c r="P50" i="151"/>
  <c r="P48" i="151" s="1"/>
  <c r="P41" i="151" s="1"/>
  <c r="J67" i="152"/>
  <c r="L63" i="152"/>
  <c r="M62" i="152"/>
  <c r="T63" i="153"/>
  <c r="Q62" i="153"/>
  <c r="P63" i="152"/>
  <c r="Z46" i="151"/>
  <c r="P63" i="153"/>
  <c r="M62" i="153"/>
  <c r="L63" i="153"/>
  <c r="R46" i="151"/>
  <c r="R45" i="151" s="1"/>
  <c r="U45" i="151"/>
  <c r="T63" i="152"/>
  <c r="Q62" i="152"/>
  <c r="I62" i="153"/>
  <c r="R44" i="44"/>
  <c r="F61" i="154"/>
  <c r="I62" i="152"/>
  <c r="E10" i="151"/>
  <c r="E17" i="151"/>
  <c r="E38" i="151"/>
  <c r="E28" i="151"/>
  <c r="E11" i="151"/>
  <c r="E37" i="151"/>
  <c r="E31" i="151"/>
  <c r="E29" i="151"/>
  <c r="E34" i="151"/>
  <c r="E18" i="151"/>
  <c r="E36" i="151"/>
  <c r="E32" i="151"/>
  <c r="E35" i="151"/>
  <c r="E25" i="151"/>
  <c r="E23" i="151"/>
  <c r="E40" i="151"/>
  <c r="E30" i="151"/>
  <c r="E46" i="151"/>
  <c r="E39" i="151"/>
  <c r="E12" i="151"/>
  <c r="E33" i="151"/>
  <c r="E24" i="151"/>
  <c r="E47" i="151"/>
  <c r="E26" i="151"/>
  <c r="E13" i="151"/>
  <c r="E15" i="151"/>
  <c r="E45" i="151"/>
  <c r="E9" i="151"/>
  <c r="E44" i="151"/>
  <c r="E43" i="151"/>
  <c r="E42" i="151"/>
  <c r="H9" i="151"/>
  <c r="I41" i="151" s="1"/>
  <c r="J41" i="151"/>
  <c r="AL44" i="151"/>
  <c r="AL42" i="151" s="1"/>
  <c r="AO42" i="151"/>
  <c r="E41" i="151"/>
  <c r="AL69" i="150"/>
  <c r="AL68" i="150" s="1"/>
  <c r="AO69" i="150"/>
  <c r="AM68" i="150"/>
  <c r="AU67" i="150"/>
  <c r="AY67" i="150" s="1"/>
  <c r="AX67" i="150" s="1"/>
  <c r="AR67" i="150"/>
  <c r="AM66" i="150"/>
  <c r="AI65" i="150"/>
  <c r="AI61" i="150" s="1"/>
  <c r="AI57" i="150" s="1"/>
  <c r="AI73" i="150" s="1"/>
  <c r="BE66" i="150"/>
  <c r="AF65" i="150"/>
  <c r="BE65" i="150" s="1"/>
  <c r="AU64" i="150"/>
  <c r="AY64" i="150" s="1"/>
  <c r="AX64" i="150" s="1"/>
  <c r="AR64" i="150"/>
  <c r="O22" i="153"/>
  <c r="AO63" i="150"/>
  <c r="AL63" i="150"/>
  <c r="AL62" i="150" s="1"/>
  <c r="AM62" i="150"/>
  <c r="BE62" i="150"/>
  <c r="BE30" i="150"/>
  <c r="F17" i="46"/>
  <c r="F8" i="152"/>
  <c r="G71" i="153"/>
  <c r="F71" i="153" s="1"/>
  <c r="F8" i="153"/>
  <c r="G11" i="153"/>
  <c r="F11" i="153" s="1"/>
  <c r="F10" i="153"/>
  <c r="F17" i="153"/>
  <c r="C19" i="54"/>
  <c r="E15" i="154"/>
  <c r="F79" i="152"/>
  <c r="G84" i="152"/>
  <c r="G11" i="152"/>
  <c r="F10" i="152"/>
  <c r="H86" i="152"/>
  <c r="H89" i="152"/>
  <c r="H90" i="152" s="1"/>
  <c r="H91" i="152" s="1"/>
  <c r="G94" i="152"/>
  <c r="G95" i="152" s="1"/>
  <c r="G96" i="152" s="1"/>
  <c r="F17" i="152"/>
  <c r="F94" i="152" s="1"/>
  <c r="F95" i="152" s="1"/>
  <c r="F96" i="152" s="1"/>
  <c r="O26" i="153"/>
  <c r="O25" i="153" s="1"/>
  <c r="P25" i="153"/>
  <c r="P25" i="152"/>
  <c r="S25" i="152" s="1"/>
  <c r="BJ75" i="41"/>
  <c r="BI73" i="3"/>
  <c r="BI75" i="41"/>
  <c r="P8" i="40"/>
  <c r="P9" i="40" s="1"/>
  <c r="L8" i="40"/>
  <c r="L9" i="40" s="1"/>
  <c r="L13" i="40" s="1"/>
  <c r="BJ73" i="3"/>
  <c r="M9" i="9"/>
  <c r="M10" i="9" s="1"/>
  <c r="BH10" i="41"/>
  <c r="BV10" i="41"/>
  <c r="BD4" i="41"/>
  <c r="BE4" i="41" s="1"/>
  <c r="BA75" i="3"/>
  <c r="K14" i="16" s="1"/>
  <c r="BE73" i="3"/>
  <c r="BA72" i="3"/>
  <c r="BA84" i="3" s="1"/>
  <c r="I12" i="39"/>
  <c r="J17" i="39"/>
  <c r="I17" i="39" s="1"/>
  <c r="J10" i="39"/>
  <c r="AV8" i="87"/>
  <c r="AT7" i="87"/>
  <c r="AU8" i="87" s="1"/>
  <c r="X13" i="48"/>
  <c r="C135" i="74"/>
  <c r="I9" i="138"/>
  <c r="J43" i="58"/>
  <c r="E41" i="58"/>
  <c r="E34" i="58" s="1"/>
  <c r="E53" i="68"/>
  <c r="E51" i="68" s="1"/>
  <c r="E44" i="68" s="1"/>
  <c r="F53" i="34"/>
  <c r="G32" i="34"/>
  <c r="F32" i="34" s="1"/>
  <c r="F8" i="38"/>
  <c r="K85" i="7"/>
  <c r="K96" i="7"/>
  <c r="K97" i="7" s="1"/>
  <c r="K98" i="7" s="1"/>
  <c r="K99" i="7" s="1"/>
  <c r="K91" i="7"/>
  <c r="K92" i="7" s="1"/>
  <c r="K93" i="7" s="1"/>
  <c r="K94" i="7" s="1"/>
  <c r="K87" i="7"/>
  <c r="K88" i="7" s="1"/>
  <c r="U26" i="31"/>
  <c r="U58" i="1"/>
  <c r="U40" i="37"/>
  <c r="M40" i="37"/>
  <c r="M39" i="37" s="1"/>
  <c r="P39" i="37"/>
  <c r="P35" i="37" s="1"/>
  <c r="P9" i="37" s="1"/>
  <c r="CK10" i="48"/>
  <c r="CH29" i="48"/>
  <c r="CL10" i="48"/>
  <c r="CJ10" i="48"/>
  <c r="BC75" i="3"/>
  <c r="M14" i="16" s="1"/>
  <c r="M13" i="16" s="1"/>
  <c r="M12" i="16" s="1"/>
  <c r="F8" i="39"/>
  <c r="N35" i="48"/>
  <c r="BT26" i="48"/>
  <c r="K9" i="15"/>
  <c r="I33" i="4"/>
  <c r="I25" i="33" s="1"/>
  <c r="I12" i="4"/>
  <c r="I12" i="33" s="1"/>
  <c r="I29" i="4"/>
  <c r="I18" i="4"/>
  <c r="I19" i="33" s="1"/>
  <c r="H9" i="33"/>
  <c r="J44" i="33" s="1"/>
  <c r="I22" i="4"/>
  <c r="I21" i="33" s="1"/>
  <c r="J9" i="4"/>
  <c r="J9" i="33" s="1"/>
  <c r="I9" i="4"/>
  <c r="I9" i="33" s="1"/>
  <c r="I20" i="4"/>
  <c r="I15" i="4"/>
  <c r="I15" i="33" s="1"/>
  <c r="I24" i="4"/>
  <c r="I16" i="4"/>
  <c r="I16" i="33" s="1"/>
  <c r="I21" i="4"/>
  <c r="I28" i="4"/>
  <c r="I26" i="4"/>
  <c r="I22" i="33" s="1"/>
  <c r="I23" i="4"/>
  <c r="I30" i="4"/>
  <c r="I27" i="4"/>
  <c r="I25" i="4"/>
  <c r="I19" i="4"/>
  <c r="I20" i="33" s="1"/>
  <c r="I32" i="4"/>
  <c r="I24" i="33" s="1"/>
  <c r="I17" i="4"/>
  <c r="I17" i="33" s="1"/>
  <c r="I31" i="4"/>
  <c r="I23" i="33" s="1"/>
  <c r="I34" i="4"/>
  <c r="I26" i="33" s="1"/>
  <c r="I13" i="4"/>
  <c r="I13" i="33" s="1"/>
  <c r="I42" i="4"/>
  <c r="I34" i="33" s="1"/>
  <c r="I14" i="4"/>
  <c r="I14" i="33" s="1"/>
  <c r="I36" i="4"/>
  <c r="I28" i="33" s="1"/>
  <c r="I11" i="4"/>
  <c r="I11" i="33" s="1"/>
  <c r="Z84" i="36"/>
  <c r="Z85" i="36" s="1"/>
  <c r="AA85" i="36"/>
  <c r="N8" i="39"/>
  <c r="N63" i="39" s="1"/>
  <c r="N17" i="39"/>
  <c r="N10" i="39"/>
  <c r="N11" i="39" s="1"/>
  <c r="Q22" i="31"/>
  <c r="Q55" i="1"/>
  <c r="Y23" i="38"/>
  <c r="X23" i="38" s="1"/>
  <c r="U24" i="45"/>
  <c r="V23" i="7"/>
  <c r="U23" i="7" s="1"/>
  <c r="V23" i="6"/>
  <c r="U23" i="6" s="1"/>
  <c r="AU61" i="1"/>
  <c r="AR61" i="1"/>
  <c r="Y23" i="39"/>
  <c r="X23" i="39" s="1"/>
  <c r="U24" i="46"/>
  <c r="N30" i="19"/>
  <c r="M29" i="19"/>
  <c r="O30" i="19"/>
  <c r="O29" i="19" s="1"/>
  <c r="BF47" i="48"/>
  <c r="BC47" i="48"/>
  <c r="BB46" i="48"/>
  <c r="BC44" i="48"/>
  <c r="BD22" i="48"/>
  <c r="BF44" i="48"/>
  <c r="Q50" i="9"/>
  <c r="S22" i="9"/>
  <c r="AN12" i="1"/>
  <c r="AN10" i="1"/>
  <c r="BP60" i="3"/>
  <c r="BO59" i="3"/>
  <c r="F8" i="34"/>
  <c r="G65" i="34"/>
  <c r="F65" i="34" s="1"/>
  <c r="N46" i="48"/>
  <c r="R42" i="48"/>
  <c r="O42" i="48"/>
  <c r="R44" i="48"/>
  <c r="P22" i="48"/>
  <c r="N22" i="48"/>
  <c r="R47" i="48"/>
  <c r="O44" i="48"/>
  <c r="O47" i="48"/>
  <c r="BO61" i="41"/>
  <c r="BP62" i="41"/>
  <c r="G33" i="46"/>
  <c r="F33" i="46" s="1"/>
  <c r="BD62" i="3"/>
  <c r="BF63" i="3"/>
  <c r="BF62" i="3" s="1"/>
  <c r="BF58" i="3" s="1"/>
  <c r="BF55" i="3" s="1"/>
  <c r="BF70" i="3" s="1"/>
  <c r="C61" i="149"/>
  <c r="C59" i="149" s="1"/>
  <c r="C52" i="149" s="1"/>
  <c r="D43" i="58"/>
  <c r="C61" i="65"/>
  <c r="C59" i="65" s="1"/>
  <c r="C52" i="65" s="1"/>
  <c r="L20" i="65" s="1"/>
  <c r="J67" i="45"/>
  <c r="AD67" i="45" s="1"/>
  <c r="P47" i="44"/>
  <c r="J67" i="46"/>
  <c r="U49" i="44"/>
  <c r="I25" i="6"/>
  <c r="I24" i="6" s="1"/>
  <c r="I20" i="6" s="1"/>
  <c r="I18" i="6" s="1"/>
  <c r="J24" i="6"/>
  <c r="J20" i="6" s="1"/>
  <c r="J18" i="6" s="1"/>
  <c r="J8" i="6" s="1"/>
  <c r="Q16" i="94"/>
  <c r="U16" i="94"/>
  <c r="AT45" i="43"/>
  <c r="AM45" i="43"/>
  <c r="AL45" i="43" s="1"/>
  <c r="BC55" i="3"/>
  <c r="M18" i="16"/>
  <c r="K65" i="45"/>
  <c r="K58" i="45" s="1"/>
  <c r="E26" i="138" s="1"/>
  <c r="DN41" i="47"/>
  <c r="DN44" i="47" s="1"/>
  <c r="CW26" i="48"/>
  <c r="E29" i="48"/>
  <c r="E26" i="48" s="1"/>
  <c r="AG12" i="1"/>
  <c r="AG82" i="1" s="1"/>
  <c r="AG80" i="1"/>
  <c r="AG10" i="1"/>
  <c r="AG73" i="1"/>
  <c r="C109" i="13"/>
  <c r="AH108" i="13"/>
  <c r="G72" i="1"/>
  <c r="G34" i="31"/>
  <c r="I12" i="35"/>
  <c r="J17" i="35"/>
  <c r="I17" i="35" s="1"/>
  <c r="J10" i="35"/>
  <c r="S12" i="40"/>
  <c r="S58" i="40"/>
  <c r="EX32" i="47"/>
  <c r="EX29" i="47"/>
  <c r="EX27" i="47" s="1"/>
  <c r="N67" i="45"/>
  <c r="N65" i="45" s="1"/>
  <c r="N58" i="45" s="1"/>
  <c r="N67" i="46"/>
  <c r="N65" i="46" s="1"/>
  <c r="N58" i="46" s="1"/>
  <c r="AA49" i="44"/>
  <c r="AF49" i="44" s="1"/>
  <c r="V47" i="44"/>
  <c r="V40" i="44" s="1"/>
  <c r="AL10" i="36"/>
  <c r="AL73" i="36"/>
  <c r="AQ53" i="37" s="1"/>
  <c r="AQ54" i="37" s="1"/>
  <c r="AL12" i="36"/>
  <c r="BU9" i="48"/>
  <c r="BV9" i="48"/>
  <c r="BR37" i="48"/>
  <c r="BT9" i="48"/>
  <c r="K87" i="38"/>
  <c r="K88" i="38" s="1"/>
  <c r="K85" i="38"/>
  <c r="K91" i="38"/>
  <c r="K92" i="38" s="1"/>
  <c r="K93" i="38" s="1"/>
  <c r="K94" i="38" s="1"/>
  <c r="K96" i="38"/>
  <c r="K97" i="38" s="1"/>
  <c r="K98" i="38" s="1"/>
  <c r="K99" i="38" s="1"/>
  <c r="AH90" i="1"/>
  <c r="AH83" i="1"/>
  <c r="AH84" i="1"/>
  <c r="AH85" i="1" s="1"/>
  <c r="O8" i="40"/>
  <c r="O9" i="40" s="1"/>
  <c r="K9" i="40"/>
  <c r="D63" i="7"/>
  <c r="C63" i="7" s="1"/>
  <c r="BB35" i="5"/>
  <c r="H56" i="44"/>
  <c r="H57" i="44" s="1"/>
  <c r="H50" i="37"/>
  <c r="H51" i="37" s="1"/>
  <c r="H50" i="4"/>
  <c r="H51" i="4" s="1"/>
  <c r="AX43" i="36"/>
  <c r="AX11" i="36" s="1"/>
  <c r="AY11" i="36"/>
  <c r="G75" i="7"/>
  <c r="F70" i="7"/>
  <c r="U12" i="94"/>
  <c r="AO49" i="89"/>
  <c r="AP48" i="89" s="1"/>
  <c r="H43" i="47"/>
  <c r="BO67" i="41"/>
  <c r="BP68" i="41"/>
  <c r="I39" i="4"/>
  <c r="I31" i="33" s="1"/>
  <c r="R53" i="37"/>
  <c r="R54" i="37" s="1"/>
  <c r="R53" i="4"/>
  <c r="R54" i="4" s="1"/>
  <c r="W9" i="9"/>
  <c r="W10" i="9" s="1"/>
  <c r="I10" i="9"/>
  <c r="T92" i="36"/>
  <c r="U93" i="36"/>
  <c r="T93" i="36" s="1"/>
  <c r="J17" i="38"/>
  <c r="J70" i="38"/>
  <c r="J10" i="38"/>
  <c r="I12" i="38"/>
  <c r="BI63" i="3"/>
  <c r="W62" i="1"/>
  <c r="W58" i="1" s="1"/>
  <c r="W55" i="1" s="1"/>
  <c r="W70" i="1" s="1"/>
  <c r="BI65" i="41"/>
  <c r="AA63" i="1"/>
  <c r="L9" i="9"/>
  <c r="L10" i="9" s="1"/>
  <c r="K10" i="9"/>
  <c r="J13" i="64"/>
  <c r="BR44" i="5"/>
  <c r="BQ42" i="5"/>
  <c r="BS44" i="5"/>
  <c r="BS42" i="5" s="1"/>
  <c r="F15" i="17"/>
  <c r="E15" i="64"/>
  <c r="I12" i="34"/>
  <c r="J17" i="34"/>
  <c r="I17" i="34" s="1"/>
  <c r="J10" i="34"/>
  <c r="AF27" i="14"/>
  <c r="AH27" i="14"/>
  <c r="AZ12" i="36"/>
  <c r="AZ10" i="36"/>
  <c r="N8" i="6"/>
  <c r="N63" i="6" s="1"/>
  <c r="N17" i="6"/>
  <c r="N10" i="6"/>
  <c r="N11" i="6" s="1"/>
  <c r="V92" i="1"/>
  <c r="V93" i="1" s="1"/>
  <c r="V110" i="1" s="1"/>
  <c r="V91" i="1"/>
  <c r="DZ9" i="47"/>
  <c r="AX61" i="36"/>
  <c r="AX59" i="36" s="1"/>
  <c r="BA61" i="36"/>
  <c r="AY59" i="36"/>
  <c r="AM12" i="36"/>
  <c r="AM10" i="36"/>
  <c r="AM73" i="36"/>
  <c r="BR36" i="5"/>
  <c r="BV37" i="5"/>
  <c r="J9" i="40"/>
  <c r="AA8" i="40"/>
  <c r="AA9" i="40" s="1"/>
  <c r="F8" i="35"/>
  <c r="G65" i="35"/>
  <c r="F65" i="35" s="1"/>
  <c r="AF10" i="1"/>
  <c r="AF73" i="1"/>
  <c r="AF12" i="1"/>
  <c r="F51" i="39"/>
  <c r="G32" i="39"/>
  <c r="F32" i="39" s="1"/>
  <c r="G63" i="6"/>
  <c r="F63" i="6" s="1"/>
  <c r="F8" i="6"/>
  <c r="M12" i="7"/>
  <c r="M12" i="6"/>
  <c r="M12" i="39"/>
  <c r="M12" i="38"/>
  <c r="Z42" i="48"/>
  <c r="V41" i="48"/>
  <c r="W42" i="48"/>
  <c r="F42" i="48"/>
  <c r="V27" i="48"/>
  <c r="DB45" i="47"/>
  <c r="BR38" i="48"/>
  <c r="AC33" i="16"/>
  <c r="AD33" i="16"/>
  <c r="G11" i="38"/>
  <c r="F10" i="38"/>
  <c r="J24" i="7"/>
  <c r="J20" i="7" s="1"/>
  <c r="J18" i="7" s="1"/>
  <c r="J8" i="7" s="1"/>
  <c r="I25" i="7"/>
  <c r="I24" i="7" s="1"/>
  <c r="I20" i="7" s="1"/>
  <c r="I18" i="7" s="1"/>
  <c r="AH81" i="1"/>
  <c r="AH88" i="1"/>
  <c r="AH89" i="1" s="1"/>
  <c r="U67" i="48"/>
  <c r="U25" i="48"/>
  <c r="AF52" i="62"/>
  <c r="AF28" i="14"/>
  <c r="AB92" i="1"/>
  <c r="AB93" i="1" s="1"/>
  <c r="AB91" i="1"/>
  <c r="T22" i="9"/>
  <c r="R50" i="9"/>
  <c r="AA63" i="36"/>
  <c r="W62" i="36"/>
  <c r="W58" i="36" s="1"/>
  <c r="W55" i="36" s="1"/>
  <c r="W70" i="36" s="1"/>
  <c r="AU66" i="36"/>
  <c r="AS65" i="36"/>
  <c r="AR66" i="36"/>
  <c r="AR65" i="36" s="1"/>
  <c r="BB72" i="3"/>
  <c r="BB75" i="3"/>
  <c r="L14" i="16" s="1"/>
  <c r="BF73" i="3"/>
  <c r="BH73" i="3"/>
  <c r="I35" i="4"/>
  <c r="I27" i="33" s="1"/>
  <c r="AA91" i="36"/>
  <c r="AA92" i="36"/>
  <c r="Z90" i="36"/>
  <c r="Z91" i="36" s="1"/>
  <c r="F8" i="7"/>
  <c r="R38" i="62"/>
  <c r="T38" i="14"/>
  <c r="J14" i="17" s="1"/>
  <c r="U83" i="1"/>
  <c r="T82" i="1"/>
  <c r="T83" i="1" s="1"/>
  <c r="U90" i="1"/>
  <c r="U84" i="1"/>
  <c r="BA14" i="87"/>
  <c r="AY8" i="87"/>
  <c r="N22" i="31"/>
  <c r="N55" i="1"/>
  <c r="Y28" i="39"/>
  <c r="V28" i="6"/>
  <c r="AS65" i="1"/>
  <c r="Y28" i="38"/>
  <c r="V28" i="7"/>
  <c r="AU66" i="1"/>
  <c r="AR66" i="1"/>
  <c r="AR65" i="1" s="1"/>
  <c r="BC42" i="48"/>
  <c r="BF42" i="48"/>
  <c r="BB27" i="48"/>
  <c r="AH91" i="36"/>
  <c r="AH92" i="36"/>
  <c r="AH93" i="36" s="1"/>
  <c r="BF12" i="41"/>
  <c r="BF5" i="41" s="1"/>
  <c r="BF10" i="41"/>
  <c r="EL30" i="47"/>
  <c r="EL40" i="47" s="1"/>
  <c r="CP10" i="48"/>
  <c r="AX47" i="48"/>
  <c r="AX44" i="48"/>
  <c r="AU47" i="48"/>
  <c r="AU46" i="48"/>
  <c r="AX46" i="48"/>
  <c r="AX42" i="48"/>
  <c r="AU44" i="48"/>
  <c r="AU42" i="48"/>
  <c r="AV22" i="48"/>
  <c r="I12" i="6"/>
  <c r="J17" i="6"/>
  <c r="I17" i="6" s="1"/>
  <c r="J10" i="6"/>
  <c r="BM8" i="48"/>
  <c r="BN8" i="48"/>
  <c r="F51" i="38"/>
  <c r="G32" i="38"/>
  <c r="F32" i="38" s="1"/>
  <c r="Q12" i="38"/>
  <c r="Q12" i="39"/>
  <c r="Q12" i="7"/>
  <c r="Q12" i="6"/>
  <c r="AH70" i="1"/>
  <c r="AH72" i="1" s="1"/>
  <c r="AG8" i="48"/>
  <c r="AD30" i="48"/>
  <c r="AH8" i="48"/>
  <c r="C11" i="138"/>
  <c r="I11" i="112"/>
  <c r="C11" i="112" s="1"/>
  <c r="CD29" i="48"/>
  <c r="BZ26" i="48"/>
  <c r="CB29" i="48"/>
  <c r="CC29" i="48"/>
  <c r="J6" i="15"/>
  <c r="P16" i="17"/>
  <c r="J10" i="63"/>
  <c r="AQ51" i="13"/>
  <c r="AQ52" i="13" s="1"/>
  <c r="AJ10" i="13"/>
  <c r="P195" i="13" s="1"/>
  <c r="I9" i="40"/>
  <c r="Z8" i="40"/>
  <c r="Z9" i="40" s="1"/>
  <c r="C33" i="45"/>
  <c r="D71" i="45"/>
  <c r="C71" i="45" s="1"/>
  <c r="F10" i="6"/>
  <c r="G11" i="6"/>
  <c r="F11" i="6" s="1"/>
  <c r="N14" i="64"/>
  <c r="J70" i="7"/>
  <c r="J10" i="7"/>
  <c r="J17" i="7"/>
  <c r="I12" i="7"/>
  <c r="T88" i="1"/>
  <c r="U89" i="1"/>
  <c r="T89" i="1" s="1"/>
  <c r="J32" i="47"/>
  <c r="R30" i="45"/>
  <c r="R28" i="45" s="1"/>
  <c r="W30" i="45"/>
  <c r="U30" i="45" s="1"/>
  <c r="T28" i="45"/>
  <c r="AA90" i="1"/>
  <c r="Z82" i="1"/>
  <c r="AA84" i="1"/>
  <c r="AA83" i="1"/>
  <c r="AT67" i="48"/>
  <c r="AS42" i="48"/>
  <c r="AX30" i="48"/>
  <c r="AX67" i="48" s="1"/>
  <c r="AT32" i="48"/>
  <c r="AT25" i="48"/>
  <c r="AW30" i="48"/>
  <c r="AW67" i="48" s="1"/>
  <c r="Z39" i="43"/>
  <c r="Z77" i="43" s="1"/>
  <c r="F15" i="154" s="1"/>
  <c r="M58" i="40"/>
  <c r="M49" i="40" s="1"/>
  <c r="M12" i="40"/>
  <c r="I25" i="35"/>
  <c r="I24" i="35" s="1"/>
  <c r="I20" i="35" s="1"/>
  <c r="I18" i="35" s="1"/>
  <c r="J24" i="35"/>
  <c r="J20" i="35" s="1"/>
  <c r="J18" i="35" s="1"/>
  <c r="J8" i="35" s="1"/>
  <c r="J24" i="34"/>
  <c r="J20" i="34" s="1"/>
  <c r="J18" i="34" s="1"/>
  <c r="J8" i="34" s="1"/>
  <c r="I25" i="34"/>
  <c r="I24" i="34" s="1"/>
  <c r="I20" i="34" s="1"/>
  <c r="I18" i="34" s="1"/>
  <c r="AK30" i="14"/>
  <c r="AI30" i="14"/>
  <c r="F10" i="39"/>
  <c r="G11" i="39"/>
  <c r="F11" i="39" s="1"/>
  <c r="L39" i="14"/>
  <c r="AF8" i="48"/>
  <c r="AF30" i="48" s="1"/>
  <c r="AF82" i="36"/>
  <c r="AF83" i="36" s="1"/>
  <c r="AG83" i="36"/>
  <c r="AG90" i="36"/>
  <c r="AG84" i="36"/>
  <c r="R58" i="40"/>
  <c r="R12" i="40"/>
  <c r="J35" i="37"/>
  <c r="H9" i="37"/>
  <c r="I35" i="37" s="1"/>
  <c r="I16" i="63"/>
  <c r="C82" i="78" s="1"/>
  <c r="U15" i="17"/>
  <c r="F10" i="7"/>
  <c r="G11" i="7"/>
  <c r="BP63" i="41"/>
  <c r="AS59" i="1"/>
  <c r="V22" i="7"/>
  <c r="Y22" i="39"/>
  <c r="AR60" i="1"/>
  <c r="AU60" i="1"/>
  <c r="Y22" i="38"/>
  <c r="V22" i="6"/>
  <c r="AC25" i="14"/>
  <c r="AC7" i="14" s="1"/>
  <c r="G17" i="17"/>
  <c r="J24" i="38"/>
  <c r="J20" i="38" s="1"/>
  <c r="J18" i="38" s="1"/>
  <c r="J8" i="38" s="1"/>
  <c r="I25" i="38"/>
  <c r="I24" i="38" s="1"/>
  <c r="I20" i="38" s="1"/>
  <c r="I18" i="38" s="1"/>
  <c r="N17" i="38"/>
  <c r="N96" i="38" s="1"/>
  <c r="N70" i="38"/>
  <c r="N75" i="38" s="1"/>
  <c r="N76" i="38" s="1"/>
  <c r="N10" i="38"/>
  <c r="N11" i="38" s="1"/>
  <c r="N8" i="38"/>
  <c r="N63" i="38" s="1"/>
  <c r="K38" i="62"/>
  <c r="C41" i="74"/>
  <c r="AS10" i="36"/>
  <c r="AS12" i="36"/>
  <c r="AS39" i="1"/>
  <c r="AT11" i="1"/>
  <c r="AZ39" i="1"/>
  <c r="BV12" i="41"/>
  <c r="BH12" i="41"/>
  <c r="K77" i="38"/>
  <c r="K78" i="38" s="1"/>
  <c r="K79" i="38" s="1"/>
  <c r="K80" i="38"/>
  <c r="K81" i="38" s="1"/>
  <c r="K82" i="38" s="1"/>
  <c r="E13" i="50"/>
  <c r="BD64" i="41"/>
  <c r="BF65" i="41"/>
  <c r="BF64" i="41" s="1"/>
  <c r="BF60" i="41" s="1"/>
  <c r="BF57" i="41" s="1"/>
  <c r="BS36" i="5"/>
  <c r="C41" i="76"/>
  <c r="Q38" i="62"/>
  <c r="Z88" i="36"/>
  <c r="AA89" i="36"/>
  <c r="Z89" i="36" s="1"/>
  <c r="BV38" i="5"/>
  <c r="BT38" i="5"/>
  <c r="BT36" i="5" s="1"/>
  <c r="CB9" i="48"/>
  <c r="CC9" i="48"/>
  <c r="BZ37" i="48"/>
  <c r="BZ8" i="48"/>
  <c r="CD9" i="48"/>
  <c r="J11" i="64"/>
  <c r="O39" i="14"/>
  <c r="AN8" i="48"/>
  <c r="AN30" i="48" s="1"/>
  <c r="AQ7" i="87"/>
  <c r="AP34" i="87"/>
  <c r="AP19" i="87"/>
  <c r="AP26" i="87"/>
  <c r="AP21" i="87"/>
  <c r="AP12" i="87"/>
  <c r="AP22" i="87"/>
  <c r="AP35" i="87"/>
  <c r="AP36" i="87"/>
  <c r="AP13" i="87"/>
  <c r="AP16" i="87"/>
  <c r="AP30" i="87"/>
  <c r="AP33" i="87"/>
  <c r="AP25" i="87"/>
  <c r="AP29" i="87"/>
  <c r="AP24" i="87"/>
  <c r="AP10" i="87"/>
  <c r="AP8" i="87"/>
  <c r="AP23" i="87"/>
  <c r="AP15" i="87"/>
  <c r="AP9" i="87"/>
  <c r="AP11" i="87"/>
  <c r="AP14" i="87"/>
  <c r="AP27" i="87"/>
  <c r="AP18" i="87"/>
  <c r="AP7" i="87"/>
  <c r="AP28" i="87"/>
  <c r="AP17" i="87"/>
  <c r="AO2" i="87"/>
  <c r="AP20" i="87"/>
  <c r="AR12" i="36"/>
  <c r="AR10" i="36"/>
  <c r="AL39" i="1"/>
  <c r="AL11" i="1" s="1"/>
  <c r="AM11" i="1"/>
  <c r="AH109" i="60"/>
  <c r="AJ108" i="60"/>
  <c r="AJ80" i="60" s="1"/>
  <c r="AJ11" i="60" s="1"/>
  <c r="AJ10" i="60" s="1"/>
  <c r="EL27" i="47"/>
  <c r="P39" i="4"/>
  <c r="M40" i="4"/>
  <c r="J58" i="34"/>
  <c r="J58" i="35"/>
  <c r="U40" i="4"/>
  <c r="J56" i="38"/>
  <c r="P32" i="33"/>
  <c r="J56" i="6"/>
  <c r="J56" i="7"/>
  <c r="J56" i="39"/>
  <c r="BJ39" i="48"/>
  <c r="BJ35" i="48" s="1"/>
  <c r="BM35" i="48" s="1"/>
  <c r="CP47" i="47"/>
  <c r="K18" i="50"/>
  <c r="K13" i="50" s="1"/>
  <c r="K5" i="50" s="1"/>
  <c r="K31" i="50" s="1"/>
  <c r="BD75" i="3"/>
  <c r="N14" i="16" s="1"/>
  <c r="N13" i="16" s="1"/>
  <c r="N12" i="16" s="1"/>
  <c r="BD79" i="41"/>
  <c r="BE79" i="41"/>
  <c r="BE43" i="36"/>
  <c r="BF11" i="36"/>
  <c r="H42" i="47"/>
  <c r="F10" i="35"/>
  <c r="G11" i="35"/>
  <c r="F11" i="35" s="1"/>
  <c r="BA74" i="41"/>
  <c r="BA86" i="41" s="1"/>
  <c r="BA77" i="41"/>
  <c r="C74" i="77"/>
  <c r="Q28" i="45"/>
  <c r="O30" i="45"/>
  <c r="O28" i="45" s="1"/>
  <c r="Z80" i="1"/>
  <c r="AA81" i="1"/>
  <c r="Z81" i="1" s="1"/>
  <c r="AA88" i="1"/>
  <c r="AG39" i="43"/>
  <c r="AG39" i="150" s="1"/>
  <c r="AN39" i="43"/>
  <c r="H86" i="45"/>
  <c r="H89" i="45"/>
  <c r="H90" i="45" s="1"/>
  <c r="H91" i="45" s="1"/>
  <c r="F70" i="38"/>
  <c r="G75" i="38"/>
  <c r="K80" i="7"/>
  <c r="K81" i="7" s="1"/>
  <c r="K82" i="7" s="1"/>
  <c r="K77" i="7"/>
  <c r="K78" i="7" s="1"/>
  <c r="K79" i="7" s="1"/>
  <c r="Z42" i="14"/>
  <c r="Z8" i="14"/>
  <c r="E16" i="17"/>
  <c r="Z46" i="62"/>
  <c r="Z47" i="62" s="1"/>
  <c r="T27" i="31"/>
  <c r="T62" i="1"/>
  <c r="J24" i="39"/>
  <c r="J20" i="39" s="1"/>
  <c r="J18" i="39" s="1"/>
  <c r="J8" i="39" s="1"/>
  <c r="I25" i="39"/>
  <c r="I24" i="39" s="1"/>
  <c r="I20" i="39" s="1"/>
  <c r="I18" i="39" s="1"/>
  <c r="I10" i="112"/>
  <c r="C10" i="112" s="1"/>
  <c r="C10" i="138"/>
  <c r="BV26" i="48"/>
  <c r="BU26" i="48"/>
  <c r="AG81" i="36"/>
  <c r="AF81" i="36" s="1"/>
  <c r="AG88" i="36"/>
  <c r="AF80" i="36"/>
  <c r="N64" i="22"/>
  <c r="N11" i="22" s="1"/>
  <c r="N10" i="22" s="1"/>
  <c r="S65" i="22"/>
  <c r="S64" i="22" s="1"/>
  <c r="S11" i="22" s="1"/>
  <c r="S10" i="22" s="1"/>
  <c r="J10" i="9"/>
  <c r="F11" i="34"/>
  <c r="I10" i="4"/>
  <c r="I10" i="33" s="1"/>
  <c r="N17" i="7"/>
  <c r="N96" i="7" s="1"/>
  <c r="N70" i="7"/>
  <c r="N75" i="7" s="1"/>
  <c r="N76" i="7" s="1"/>
  <c r="N10" i="7"/>
  <c r="N11" i="7" s="1"/>
  <c r="N8" i="7"/>
  <c r="N63" i="7" s="1"/>
  <c r="BP61" i="3"/>
  <c r="AZ41" i="43"/>
  <c r="AY41" i="43" s="1"/>
  <c r="AX41" i="43" s="1"/>
  <c r="AS41" i="43"/>
  <c r="AR41" i="43" s="1"/>
  <c r="BP66" i="3"/>
  <c r="W20" i="16"/>
  <c r="BO65" i="3"/>
  <c r="D63" i="38"/>
  <c r="C63" i="38" s="1"/>
  <c r="A4" i="83"/>
  <c r="A67" i="82"/>
  <c r="A124" i="82" s="1"/>
  <c r="P3" i="60"/>
  <c r="P63" i="46"/>
  <c r="W45" i="44"/>
  <c r="AE45" i="44"/>
  <c r="Z44" i="44"/>
  <c r="P63" i="45"/>
  <c r="D48" i="68"/>
  <c r="C49" i="68"/>
  <c r="C48" i="68" s="1"/>
  <c r="M62" i="46"/>
  <c r="L63" i="46"/>
  <c r="I62" i="45"/>
  <c r="M62" i="45"/>
  <c r="L63" i="45"/>
  <c r="I62" i="46"/>
  <c r="S62" i="38"/>
  <c r="R62" i="38" s="1"/>
  <c r="O62" i="38"/>
  <c r="AA62" i="38"/>
  <c r="Z44" i="62"/>
  <c r="Z8" i="62"/>
  <c r="AH30" i="62"/>
  <c r="AF30" i="62"/>
  <c r="AI25" i="62"/>
  <c r="AC28" i="62"/>
  <c r="AC7" i="62" s="1"/>
  <c r="AC53" i="62"/>
  <c r="AL27" i="62"/>
  <c r="AL25" i="62" s="1"/>
  <c r="AN27" i="62"/>
  <c r="AO27" i="62" s="1"/>
  <c r="AO25" i="62" s="1"/>
  <c r="X62" i="7"/>
  <c r="J51" i="45"/>
  <c r="BD28" i="5"/>
  <c r="J51" i="46"/>
  <c r="J89" i="46" s="1"/>
  <c r="J86" i="46" s="1"/>
  <c r="D29" i="58"/>
  <c r="D25" i="68"/>
  <c r="P25" i="46"/>
  <c r="P21" i="46" s="1"/>
  <c r="P18" i="46" s="1"/>
  <c r="O26" i="46"/>
  <c r="O25" i="46" s="1"/>
  <c r="O21" i="46" s="1"/>
  <c r="O18" i="46" s="1"/>
  <c r="AX70" i="43"/>
  <c r="AX68" i="43" s="1"/>
  <c r="AY68" i="43"/>
  <c r="AO63" i="43"/>
  <c r="AL63" i="43"/>
  <c r="AL62" i="43" s="1"/>
  <c r="AM62" i="43"/>
  <c r="AI65" i="43"/>
  <c r="AI61" i="43" s="1"/>
  <c r="AI57" i="43" s="1"/>
  <c r="AM66" i="43"/>
  <c r="P25" i="45"/>
  <c r="P21" i="45" s="1"/>
  <c r="P18" i="45" s="1"/>
  <c r="J9" i="44"/>
  <c r="H8" i="44"/>
  <c r="F8" i="46"/>
  <c r="BB74" i="41"/>
  <c r="F8" i="45"/>
  <c r="F10" i="46"/>
  <c r="G11" i="46"/>
  <c r="F11" i="46" s="1"/>
  <c r="G94" i="45"/>
  <c r="G95" i="45" s="1"/>
  <c r="G96" i="45" s="1"/>
  <c r="F17" i="45"/>
  <c r="F94" i="45" s="1"/>
  <c r="F95" i="45" s="1"/>
  <c r="F96" i="45" s="1"/>
  <c r="L25" i="16"/>
  <c r="BB10" i="5"/>
  <c r="BH11" i="5"/>
  <c r="G11" i="45"/>
  <c r="F10" i="45"/>
  <c r="BW14" i="5"/>
  <c r="G84" i="45"/>
  <c r="F79" i="45"/>
  <c r="G63" i="7" l="1"/>
  <c r="G71" i="152"/>
  <c r="E16" i="164"/>
  <c r="G17" i="164"/>
  <c r="F15" i="164"/>
  <c r="P16" i="164"/>
  <c r="J14" i="164"/>
  <c r="C43" i="160"/>
  <c r="C41" i="160" s="1"/>
  <c r="C34" i="160" s="1"/>
  <c r="D41" i="160"/>
  <c r="D34" i="160" s="1"/>
  <c r="AH108" i="162"/>
  <c r="C109" i="162"/>
  <c r="U15" i="64"/>
  <c r="U15" i="164"/>
  <c r="BC64" i="88"/>
  <c r="BC65" i="88"/>
  <c r="BD56" i="88"/>
  <c r="AC57" i="150"/>
  <c r="BC57" i="150" s="1"/>
  <c r="G78" i="43"/>
  <c r="C34" i="159"/>
  <c r="G71" i="45"/>
  <c r="F71" i="45" s="1"/>
  <c r="Z77" i="150"/>
  <c r="S22" i="46"/>
  <c r="R23" i="46"/>
  <c r="R22" i="46" s="1"/>
  <c r="Y22" i="153"/>
  <c r="X23" i="153"/>
  <c r="X22" i="153" s="1"/>
  <c r="BS66" i="41"/>
  <c r="BR66" i="41"/>
  <c r="BT66" i="41" s="1"/>
  <c r="BB51" i="5"/>
  <c r="BB5" i="5"/>
  <c r="AF39" i="150"/>
  <c r="T67" i="46"/>
  <c r="T65" i="46" s="1"/>
  <c r="T58" i="46" s="1"/>
  <c r="T67" i="45"/>
  <c r="T65" i="45" s="1"/>
  <c r="T58" i="45" s="1"/>
  <c r="AK49" i="44"/>
  <c r="AF47" i="44"/>
  <c r="AF40" i="44" s="1"/>
  <c r="W12" i="153"/>
  <c r="W12" i="152"/>
  <c r="S22" i="45"/>
  <c r="R23" i="45"/>
  <c r="R22" i="45" s="1"/>
  <c r="X29" i="152"/>
  <c r="X28" i="152" s="1"/>
  <c r="Y28" i="152"/>
  <c r="AM39" i="150"/>
  <c r="AT39" i="150"/>
  <c r="S26" i="46"/>
  <c r="S26" i="45"/>
  <c r="AB27" i="153"/>
  <c r="AA27" i="153" s="1"/>
  <c r="AB27" i="152"/>
  <c r="AA27" i="152" s="1"/>
  <c r="AB26" i="38"/>
  <c r="AA26" i="38" s="1"/>
  <c r="AX64" i="1"/>
  <c r="AB26" i="39"/>
  <c r="AA26" i="39" s="1"/>
  <c r="Y26" i="6"/>
  <c r="X26" i="6" s="1"/>
  <c r="Y26" i="7"/>
  <c r="X26" i="7" s="1"/>
  <c r="AA30" i="152"/>
  <c r="AC28" i="152"/>
  <c r="X29" i="153"/>
  <c r="X28" i="153" s="1"/>
  <c r="Y28" i="153"/>
  <c r="S63" i="46"/>
  <c r="S63" i="45"/>
  <c r="J29" i="47"/>
  <c r="X23" i="152"/>
  <c r="X22" i="152" s="1"/>
  <c r="Y22" i="152"/>
  <c r="BR64" i="3"/>
  <c r="BT64" i="3" s="1"/>
  <c r="BS64" i="3"/>
  <c r="Z63" i="46"/>
  <c r="Z62" i="46" s="1"/>
  <c r="Z63" i="45"/>
  <c r="Z62" i="45" s="1"/>
  <c r="AP44" i="44"/>
  <c r="BG11" i="41"/>
  <c r="BF4" i="41"/>
  <c r="G78" i="150"/>
  <c r="N97" i="38"/>
  <c r="N98" i="38" s="1"/>
  <c r="N99" i="38" s="1"/>
  <c r="P40" i="44"/>
  <c r="J89" i="153"/>
  <c r="I67" i="152"/>
  <c r="I65" i="152" s="1"/>
  <c r="J65" i="152"/>
  <c r="J58" i="152" s="1"/>
  <c r="I58" i="152" s="1"/>
  <c r="AG67" i="152"/>
  <c r="J65" i="153"/>
  <c r="J58" i="153" s="1"/>
  <c r="I58" i="153" s="1"/>
  <c r="I67" i="153"/>
  <c r="I65" i="153" s="1"/>
  <c r="M67" i="153"/>
  <c r="U50" i="151"/>
  <c r="M67" i="152"/>
  <c r="M65" i="152" s="1"/>
  <c r="M58" i="152" s="1"/>
  <c r="N65" i="152"/>
  <c r="N58" i="152" s="1"/>
  <c r="Q67" i="152"/>
  <c r="Q67" i="153"/>
  <c r="AA50" i="151"/>
  <c r="AA48" i="151" s="1"/>
  <c r="AA41" i="151" s="1"/>
  <c r="T62" i="152"/>
  <c r="S63" i="153"/>
  <c r="R63" i="153" s="1"/>
  <c r="P62" i="153"/>
  <c r="Z45" i="151"/>
  <c r="AE46" i="151"/>
  <c r="W46" i="151"/>
  <c r="O63" i="152"/>
  <c r="O62" i="152" s="1"/>
  <c r="S63" i="152"/>
  <c r="R63" i="152" s="1"/>
  <c r="P62" i="152"/>
  <c r="T62" i="153"/>
  <c r="F60" i="154"/>
  <c r="W44" i="44"/>
  <c r="G61" i="154"/>
  <c r="G60" i="154" s="1"/>
  <c r="O63" i="153"/>
  <c r="O62" i="153" s="1"/>
  <c r="L62" i="153"/>
  <c r="L62" i="152"/>
  <c r="I10" i="151"/>
  <c r="I28" i="151"/>
  <c r="I29" i="151"/>
  <c r="I26" i="151"/>
  <c r="I18" i="151"/>
  <c r="I37" i="151"/>
  <c r="I11" i="151"/>
  <c r="I30" i="151"/>
  <c r="I17" i="151"/>
  <c r="I19" i="151"/>
  <c r="I33" i="151"/>
  <c r="I40" i="151"/>
  <c r="I12" i="151"/>
  <c r="I35" i="151"/>
  <c r="I36" i="151"/>
  <c r="I9" i="151"/>
  <c r="I25" i="151"/>
  <c r="I32" i="151"/>
  <c r="I38" i="151"/>
  <c r="I39" i="151"/>
  <c r="J9" i="151"/>
  <c r="I45" i="151"/>
  <c r="I48" i="151"/>
  <c r="I34" i="151"/>
  <c r="I31" i="151"/>
  <c r="I15" i="151"/>
  <c r="I23" i="151"/>
  <c r="I13" i="151"/>
  <c r="I24" i="151"/>
  <c r="I42" i="151"/>
  <c r="H61" i="151"/>
  <c r="AO68" i="150"/>
  <c r="AS69" i="150"/>
  <c r="AF61" i="150"/>
  <c r="BE61" i="150" s="1"/>
  <c r="P21" i="153"/>
  <c r="S21" i="153" s="1"/>
  <c r="R21" i="153" s="1"/>
  <c r="S25" i="153"/>
  <c r="R25" i="153" s="1"/>
  <c r="AL66" i="150"/>
  <c r="AL65" i="150" s="1"/>
  <c r="AL61" i="150" s="1"/>
  <c r="AL57" i="150" s="1"/>
  <c r="AO66" i="150"/>
  <c r="AM65" i="150"/>
  <c r="AM61" i="150" s="1"/>
  <c r="AM57" i="150" s="1"/>
  <c r="O21" i="153"/>
  <c r="O18" i="153" s="1"/>
  <c r="AS63" i="150"/>
  <c r="AO62" i="150"/>
  <c r="P18" i="153"/>
  <c r="S18" i="153" s="1"/>
  <c r="R18" i="153" s="1"/>
  <c r="C34" i="57"/>
  <c r="C33" i="67" s="1"/>
  <c r="C19" i="66"/>
  <c r="G86" i="152"/>
  <c r="F86" i="152" s="1"/>
  <c r="G89" i="152"/>
  <c r="G90" i="152" s="1"/>
  <c r="G91" i="152" s="1"/>
  <c r="F11" i="152"/>
  <c r="F89" i="152" s="1"/>
  <c r="F90" i="152" s="1"/>
  <c r="F91" i="152" s="1"/>
  <c r="F84" i="152"/>
  <c r="G85" i="152"/>
  <c r="F85" i="152" s="1"/>
  <c r="F71" i="152"/>
  <c r="G76" i="152"/>
  <c r="P21" i="152"/>
  <c r="G71" i="46"/>
  <c r="F71" i="46" s="1"/>
  <c r="I8" i="7"/>
  <c r="AP49" i="89"/>
  <c r="I8" i="38"/>
  <c r="I8" i="6"/>
  <c r="I8" i="35"/>
  <c r="AA89" i="1"/>
  <c r="Z89" i="1" s="1"/>
  <c r="Z88" i="1"/>
  <c r="I56" i="39"/>
  <c r="J55" i="39"/>
  <c r="G17" i="64"/>
  <c r="I17" i="7"/>
  <c r="J91" i="7"/>
  <c r="J92" i="7" s="1"/>
  <c r="J93" i="7" s="1"/>
  <c r="J94" i="7" s="1"/>
  <c r="J85" i="7"/>
  <c r="J87" i="7"/>
  <c r="J88" i="7" s="1"/>
  <c r="J96" i="7"/>
  <c r="J97" i="7" s="1"/>
  <c r="J98" i="7" s="1"/>
  <c r="J99" i="7" s="1"/>
  <c r="J11" i="6"/>
  <c r="I11" i="6" s="1"/>
  <c r="I10" i="6"/>
  <c r="I5" i="6" s="1"/>
  <c r="L12" i="39"/>
  <c r="M17" i="39"/>
  <c r="L17" i="39" s="1"/>
  <c r="M10" i="39"/>
  <c r="AI27" i="14"/>
  <c r="AK27" i="14"/>
  <c r="G76" i="7"/>
  <c r="F76" i="7" s="1"/>
  <c r="F75" i="7"/>
  <c r="AH80" i="13"/>
  <c r="C108" i="13"/>
  <c r="D53" i="68"/>
  <c r="D41" i="58"/>
  <c r="D34" i="58" s="1"/>
  <c r="C43" i="58"/>
  <c r="C41" i="58" s="1"/>
  <c r="C34" i="58" s="1"/>
  <c r="Q19" i="31"/>
  <c r="Q70" i="1"/>
  <c r="Q34" i="31" s="1"/>
  <c r="Q35" i="48"/>
  <c r="CJ29" i="48"/>
  <c r="CH26" i="48"/>
  <c r="CK29" i="48"/>
  <c r="CL29" i="48"/>
  <c r="BE75" i="3"/>
  <c r="K65" i="9"/>
  <c r="K64" i="9"/>
  <c r="K51" i="9"/>
  <c r="K14" i="9"/>
  <c r="M16" i="16"/>
  <c r="O18" i="16"/>
  <c r="O16" i="16" s="1"/>
  <c r="AL12" i="1"/>
  <c r="AL10" i="1"/>
  <c r="X28" i="39"/>
  <c r="X27" i="39" s="1"/>
  <c r="Y27" i="39"/>
  <c r="AC46" i="62"/>
  <c r="AC8" i="14"/>
  <c r="AC42" i="14"/>
  <c r="E17" i="17"/>
  <c r="Z64" i="40"/>
  <c r="Z63" i="40"/>
  <c r="V28" i="45"/>
  <c r="U29" i="45"/>
  <c r="U28" i="45" s="1"/>
  <c r="L14" i="9"/>
  <c r="L64" i="9"/>
  <c r="L65" i="9"/>
  <c r="CW32" i="48"/>
  <c r="BC77" i="3"/>
  <c r="BC70" i="3"/>
  <c r="BP59" i="3"/>
  <c r="G63" i="39"/>
  <c r="F63" i="39" s="1"/>
  <c r="P64" i="40"/>
  <c r="P63" i="40"/>
  <c r="P13" i="40"/>
  <c r="BF79" i="41"/>
  <c r="BH79" i="41"/>
  <c r="BF72" i="41"/>
  <c r="E16" i="64"/>
  <c r="F16" i="64" s="1"/>
  <c r="F16" i="17"/>
  <c r="BD60" i="41"/>
  <c r="BH64" i="41"/>
  <c r="AF84" i="36"/>
  <c r="AF85" i="36" s="1"/>
  <c r="AG85" i="36"/>
  <c r="AJ193" i="13"/>
  <c r="AJ149" i="13"/>
  <c r="AH149" i="13" s="1"/>
  <c r="AY7" i="87"/>
  <c r="AZ8" i="87" s="1"/>
  <c r="BA8" i="87"/>
  <c r="AX12" i="36"/>
  <c r="AX10" i="36"/>
  <c r="P12" i="7"/>
  <c r="P12" i="6"/>
  <c r="P12" i="38"/>
  <c r="P12" i="39"/>
  <c r="Z49" i="44"/>
  <c r="M67" i="46"/>
  <c r="M67" i="45"/>
  <c r="U47" i="44"/>
  <c r="U40" i="44" s="1"/>
  <c r="R49" i="44"/>
  <c r="BD58" i="3"/>
  <c r="BH62" i="3"/>
  <c r="N50" i="48"/>
  <c r="O46" i="48"/>
  <c r="R46" i="48"/>
  <c r="N43" i="48"/>
  <c r="N41" i="48" s="1"/>
  <c r="BQ63" i="41"/>
  <c r="AY61" i="1"/>
  <c r="BQ61" i="3"/>
  <c r="M11" i="16"/>
  <c r="I10" i="39"/>
  <c r="J11" i="39"/>
  <c r="I11" i="39" s="1"/>
  <c r="BI86" i="3"/>
  <c r="BI75" i="3"/>
  <c r="Q14" i="16" s="1"/>
  <c r="N97" i="7"/>
  <c r="N98" i="7" s="1"/>
  <c r="N99" i="7" s="1"/>
  <c r="I56" i="38"/>
  <c r="J55" i="38"/>
  <c r="E5" i="50"/>
  <c r="X22" i="38"/>
  <c r="X21" i="38" s="1"/>
  <c r="Y21" i="38"/>
  <c r="J9" i="37"/>
  <c r="I32" i="37"/>
  <c r="I23" i="37"/>
  <c r="I34" i="37"/>
  <c r="I21" i="37"/>
  <c r="I28" i="37"/>
  <c r="I29" i="37"/>
  <c r="I19" i="37"/>
  <c r="I33" i="37"/>
  <c r="I9" i="37"/>
  <c r="I30" i="37"/>
  <c r="I12" i="37"/>
  <c r="I26" i="37"/>
  <c r="I24" i="37"/>
  <c r="I25" i="37"/>
  <c r="I42" i="37"/>
  <c r="I15" i="37"/>
  <c r="I22" i="37"/>
  <c r="I27" i="37"/>
  <c r="I31" i="37"/>
  <c r="I16" i="37"/>
  <c r="I20" i="37"/>
  <c r="I18" i="37"/>
  <c r="I17" i="37"/>
  <c r="I14" i="37"/>
  <c r="I13" i="37"/>
  <c r="I11" i="37"/>
  <c r="I36" i="37"/>
  <c r="I10" i="37"/>
  <c r="I39" i="37"/>
  <c r="AG92" i="36"/>
  <c r="AF90" i="36"/>
  <c r="AF91" i="36" s="1"/>
  <c r="AG91" i="36"/>
  <c r="AI52" i="62"/>
  <c r="AI28" i="14"/>
  <c r="CD26" i="48"/>
  <c r="CC26" i="48"/>
  <c r="Y27" i="38"/>
  <c r="X28" i="38"/>
  <c r="X27" i="38" s="1"/>
  <c r="BF75" i="3"/>
  <c r="BG75" i="3" s="1"/>
  <c r="AC63" i="36"/>
  <c r="AA62" i="36"/>
  <c r="AA58" i="36" s="1"/>
  <c r="AA55" i="36" s="1"/>
  <c r="AA70" i="36" s="1"/>
  <c r="AA72" i="36" s="1"/>
  <c r="Z63" i="36"/>
  <c r="Z62" i="36" s="1"/>
  <c r="Z58" i="36" s="1"/>
  <c r="Z55" i="36" s="1"/>
  <c r="Z70" i="36" s="1"/>
  <c r="Z72" i="36" s="1"/>
  <c r="Q8" i="40"/>
  <c r="Q9" i="40" s="1"/>
  <c r="BL73" i="3"/>
  <c r="BL75" i="41"/>
  <c r="BK73" i="3"/>
  <c r="R8" i="40"/>
  <c r="O9" i="9"/>
  <c r="M8" i="40"/>
  <c r="M9" i="40" s="1"/>
  <c r="M13" i="40" s="1"/>
  <c r="BK75" i="41"/>
  <c r="N9" i="9"/>
  <c r="N10" i="9" s="1"/>
  <c r="J64" i="40"/>
  <c r="J63" i="40"/>
  <c r="J13" i="40"/>
  <c r="J50" i="40"/>
  <c r="BE61" i="36"/>
  <c r="BA59" i="36"/>
  <c r="O64" i="40"/>
  <c r="O63" i="40"/>
  <c r="O13" i="40"/>
  <c r="AF80" i="1"/>
  <c r="AG88" i="1"/>
  <c r="AG81" i="1"/>
  <c r="AF81" i="1" s="1"/>
  <c r="AZ45" i="43"/>
  <c r="AY45" i="43" s="1"/>
  <c r="AX45" i="43" s="1"/>
  <c r="AS45" i="43"/>
  <c r="AR45" i="43" s="1"/>
  <c r="J65" i="46"/>
  <c r="J58" i="46" s="1"/>
  <c r="I58" i="46" s="1"/>
  <c r="I67" i="46"/>
  <c r="I65" i="46" s="1"/>
  <c r="S13" i="9"/>
  <c r="S59" i="9"/>
  <c r="S50" i="9" s="1"/>
  <c r="M35" i="37"/>
  <c r="G63" i="38"/>
  <c r="I9" i="112"/>
  <c r="C9" i="112" s="1"/>
  <c r="C9" i="138"/>
  <c r="BJ77" i="41"/>
  <c r="BJ88" i="41"/>
  <c r="BJ89" i="41" s="1"/>
  <c r="J64" i="9"/>
  <c r="J14" i="9"/>
  <c r="J65" i="9"/>
  <c r="J51" i="9"/>
  <c r="BD43" i="36"/>
  <c r="BD11" i="36" s="1"/>
  <c r="BE11" i="36"/>
  <c r="AR39" i="1"/>
  <c r="AR11" i="1" s="1"/>
  <c r="AS11" i="1"/>
  <c r="G77" i="7"/>
  <c r="F77" i="7" s="1"/>
  <c r="G80" i="7"/>
  <c r="G81" i="7" s="1"/>
  <c r="G82" i="7" s="1"/>
  <c r="F11" i="7"/>
  <c r="F80" i="7" s="1"/>
  <c r="F81" i="7" s="1"/>
  <c r="F82" i="7" s="1"/>
  <c r="G76" i="38"/>
  <c r="F76" i="38" s="1"/>
  <c r="F75" i="38"/>
  <c r="AN32" i="48"/>
  <c r="AN25" i="48"/>
  <c r="G10" i="15"/>
  <c r="AN67" i="48"/>
  <c r="V21" i="7"/>
  <c r="U22" i="7"/>
  <c r="U21" i="7" s="1"/>
  <c r="J14" i="64"/>
  <c r="AH92" i="1"/>
  <c r="AH93" i="1" s="1"/>
  <c r="AH91" i="1"/>
  <c r="N80" i="7"/>
  <c r="N81" i="7" s="1"/>
  <c r="N82" i="7" s="1"/>
  <c r="N77" i="7"/>
  <c r="N78" i="7" s="1"/>
  <c r="I63" i="40"/>
  <c r="I13" i="40"/>
  <c r="I64" i="40"/>
  <c r="V26" i="48"/>
  <c r="Z27" i="48"/>
  <c r="F27" i="48"/>
  <c r="Y27" i="48"/>
  <c r="X27" i="48"/>
  <c r="M17" i="6"/>
  <c r="L17" i="6" s="1"/>
  <c r="L12" i="6"/>
  <c r="M10" i="6"/>
  <c r="J87" i="38"/>
  <c r="J88" i="38" s="1"/>
  <c r="I17" i="38"/>
  <c r="J85" i="38"/>
  <c r="J91" i="38"/>
  <c r="J92" i="38" s="1"/>
  <c r="J93" i="38" s="1"/>
  <c r="J94" i="38" s="1"/>
  <c r="J96" i="38"/>
  <c r="J97" i="38" s="1"/>
  <c r="J98" i="38" s="1"/>
  <c r="J99" i="38" s="1"/>
  <c r="Q67" i="45"/>
  <c r="Q65" i="45" s="1"/>
  <c r="Q58" i="45" s="1"/>
  <c r="Q67" i="46"/>
  <c r="Q65" i="46" s="1"/>
  <c r="Q58" i="46" s="1"/>
  <c r="AA47" i="44"/>
  <c r="AA40" i="44" s="1"/>
  <c r="AN70" i="1"/>
  <c r="W12" i="38"/>
  <c r="T12" i="7"/>
  <c r="T12" i="6"/>
  <c r="W12" i="39"/>
  <c r="BI77" i="41"/>
  <c r="BI88" i="41"/>
  <c r="V21" i="6"/>
  <c r="U22" i="6"/>
  <c r="U21" i="6" s="1"/>
  <c r="M10" i="7"/>
  <c r="M70" i="7"/>
  <c r="M17" i="7"/>
  <c r="L12" i="7"/>
  <c r="AA63" i="40"/>
  <c r="AA64" i="40"/>
  <c r="I8" i="34"/>
  <c r="BI64" i="41"/>
  <c r="BI60" i="41" s="1"/>
  <c r="BI57" i="41" s="1"/>
  <c r="BJ65" i="41"/>
  <c r="AT39" i="43"/>
  <c r="AM39" i="43"/>
  <c r="BL35" i="48"/>
  <c r="J15" i="15" s="1"/>
  <c r="K32" i="50"/>
  <c r="K89" i="50" s="1"/>
  <c r="BL12" i="48"/>
  <c r="X38" i="14" s="1"/>
  <c r="K33" i="50"/>
  <c r="BQ62" i="41"/>
  <c r="AY60" i="1"/>
  <c r="BQ60" i="3"/>
  <c r="AU59" i="1"/>
  <c r="AL30" i="14"/>
  <c r="AN30" i="14"/>
  <c r="AO30" i="14" s="1"/>
  <c r="AA85" i="1"/>
  <c r="Z84" i="1"/>
  <c r="Z85" i="1" s="1"/>
  <c r="I12" i="138"/>
  <c r="C146" i="77"/>
  <c r="C136" i="77" s="1"/>
  <c r="AV13" i="48"/>
  <c r="BF27" i="48"/>
  <c r="BB26" i="48"/>
  <c r="BD27" i="48"/>
  <c r="BE27" i="48"/>
  <c r="T84" i="1"/>
  <c r="T85" i="1" s="1"/>
  <c r="U85" i="1"/>
  <c r="U109" i="1" s="1"/>
  <c r="L13" i="16"/>
  <c r="L12" i="16" s="1"/>
  <c r="L11" i="16" s="1"/>
  <c r="P14" i="16"/>
  <c r="G80" i="38"/>
  <c r="G81" i="38" s="1"/>
  <c r="G82" i="38" s="1"/>
  <c r="G77" i="38"/>
  <c r="F77" i="38" s="1"/>
  <c r="F11" i="38"/>
  <c r="F80" i="38" s="1"/>
  <c r="F81" i="38" s="1"/>
  <c r="F82" i="38" s="1"/>
  <c r="BR42" i="5"/>
  <c r="BV42" i="5" s="1"/>
  <c r="BT44" i="5"/>
  <c r="BT42" i="5" s="1"/>
  <c r="BJ63" i="3"/>
  <c r="BI62" i="3"/>
  <c r="BI58" i="3" s="1"/>
  <c r="I65" i="9"/>
  <c r="I64" i="9"/>
  <c r="I14" i="9"/>
  <c r="AG83" i="1"/>
  <c r="AF82" i="1"/>
  <c r="AF83" i="1" s="1"/>
  <c r="AG84" i="1"/>
  <c r="AG90" i="1"/>
  <c r="DN45" i="47"/>
  <c r="BZ38" i="48"/>
  <c r="N13" i="48"/>
  <c r="K10" i="63"/>
  <c r="K6" i="15"/>
  <c r="P17" i="17"/>
  <c r="R40" i="37"/>
  <c r="R39" i="37" s="1"/>
  <c r="R35" i="37" s="1"/>
  <c r="R9" i="37" s="1"/>
  <c r="Z40" i="37"/>
  <c r="U39" i="37"/>
  <c r="U35" i="37" s="1"/>
  <c r="U9" i="37" s="1"/>
  <c r="C125" i="74"/>
  <c r="M65" i="9"/>
  <c r="M64" i="9"/>
  <c r="M14" i="9"/>
  <c r="Y21" i="39"/>
  <c r="X22" i="39"/>
  <c r="X21" i="39" s="1"/>
  <c r="L39" i="62"/>
  <c r="N39" i="14"/>
  <c r="K12" i="17" s="1"/>
  <c r="L36" i="14"/>
  <c r="N36" i="14" s="1"/>
  <c r="T12" i="39"/>
  <c r="Q17" i="39"/>
  <c r="T17" i="39" s="1"/>
  <c r="Q10" i="39"/>
  <c r="Q11" i="39" s="1"/>
  <c r="Q8" i="39"/>
  <c r="Q63" i="39" s="1"/>
  <c r="T63" i="39" s="1"/>
  <c r="I10" i="38"/>
  <c r="J11" i="38"/>
  <c r="P16" i="94"/>
  <c r="P31" i="33"/>
  <c r="P35" i="4"/>
  <c r="T21" i="40"/>
  <c r="R49" i="40"/>
  <c r="J11" i="7"/>
  <c r="I10" i="7"/>
  <c r="Q17" i="38"/>
  <c r="T12" i="38"/>
  <c r="Q70" i="38"/>
  <c r="Q75" i="38" s="1"/>
  <c r="Q76" i="38" s="1"/>
  <c r="Q10" i="38"/>
  <c r="Q8" i="38"/>
  <c r="BG46" i="41"/>
  <c r="BG45" i="41"/>
  <c r="BG40" i="41"/>
  <c r="BG10" i="41"/>
  <c r="BG49" i="41"/>
  <c r="BG30" i="41"/>
  <c r="BG39" i="41"/>
  <c r="BE5" i="41"/>
  <c r="BG51" i="41"/>
  <c r="BG50" i="41"/>
  <c r="BG13" i="41"/>
  <c r="BG36" i="41"/>
  <c r="BG38" i="41"/>
  <c r="BG41" i="41"/>
  <c r="BG19" i="41"/>
  <c r="BG44" i="41"/>
  <c r="BG37" i="41"/>
  <c r="BG25" i="41"/>
  <c r="BG42" i="41"/>
  <c r="BG47" i="41"/>
  <c r="BG43" i="41"/>
  <c r="DB48" i="47"/>
  <c r="BR39" i="48"/>
  <c r="BR35" i="48" s="1"/>
  <c r="BU35" i="48" s="1"/>
  <c r="L18" i="50"/>
  <c r="L13" i="50" s="1"/>
  <c r="L5" i="50" s="1"/>
  <c r="L31" i="50" s="1"/>
  <c r="AF25" i="14"/>
  <c r="AF7" i="14" s="1"/>
  <c r="G18" i="17"/>
  <c r="I70" i="38"/>
  <c r="J75" i="38"/>
  <c r="BB50" i="48"/>
  <c r="BB43" i="48"/>
  <c r="BB41" i="48" s="1"/>
  <c r="BC46" i="48"/>
  <c r="BF46" i="48"/>
  <c r="K13" i="16"/>
  <c r="K12" i="16" s="1"/>
  <c r="K11" i="16" s="1"/>
  <c r="K35" i="16" s="1"/>
  <c r="O14" i="16"/>
  <c r="O13" i="16" s="1"/>
  <c r="O12" i="16" s="1"/>
  <c r="O11" i="16" s="1"/>
  <c r="A4" i="84"/>
  <c r="A65" i="84" s="1"/>
  <c r="A124" i="84" s="1"/>
  <c r="A67" i="83"/>
  <c r="A124" i="83" s="1"/>
  <c r="BG12" i="41"/>
  <c r="C41" i="77"/>
  <c r="T38" i="62"/>
  <c r="AY66" i="36"/>
  <c r="AU65" i="36"/>
  <c r="EL9" i="47"/>
  <c r="J27" i="47"/>
  <c r="V27" i="7"/>
  <c r="U28" i="7"/>
  <c r="U27" i="7" s="1"/>
  <c r="F63" i="7"/>
  <c r="G107" i="7"/>
  <c r="F87" i="7"/>
  <c r="F88" i="7" s="1"/>
  <c r="W53" i="37"/>
  <c r="W54" i="37" s="1"/>
  <c r="W53" i="4"/>
  <c r="W54" i="4" s="1"/>
  <c r="K64" i="40"/>
  <c r="K63" i="40"/>
  <c r="K13" i="40"/>
  <c r="K50" i="40"/>
  <c r="AG89" i="36"/>
  <c r="AF89" i="36" s="1"/>
  <c r="AF88" i="36"/>
  <c r="M56" i="39"/>
  <c r="M56" i="6"/>
  <c r="M56" i="38"/>
  <c r="Z40" i="4"/>
  <c r="R40" i="4"/>
  <c r="M56" i="7"/>
  <c r="U39" i="4"/>
  <c r="U35" i="4" s="1"/>
  <c r="U9" i="4" s="1"/>
  <c r="AF39" i="43"/>
  <c r="J57" i="35"/>
  <c r="I58" i="35"/>
  <c r="AH108" i="60"/>
  <c r="C109" i="60"/>
  <c r="CC8" i="48"/>
  <c r="CD8" i="48"/>
  <c r="AZ11" i="1"/>
  <c r="AY39" i="1"/>
  <c r="Z83" i="1"/>
  <c r="J7" i="63"/>
  <c r="C77" i="79"/>
  <c r="Q8" i="6"/>
  <c r="Q63" i="6" s="1"/>
  <c r="Q17" i="6"/>
  <c r="Q10" i="6"/>
  <c r="Q11" i="6" s="1"/>
  <c r="BJ30" i="48"/>
  <c r="CT10" i="48"/>
  <c r="CP29" i="48"/>
  <c r="CR10" i="48"/>
  <c r="CS10" i="48"/>
  <c r="V28" i="46"/>
  <c r="U29" i="46"/>
  <c r="U28" i="46" s="1"/>
  <c r="T90" i="1"/>
  <c r="T91" i="1" s="1"/>
  <c r="U91" i="1"/>
  <c r="U92" i="1"/>
  <c r="Z92" i="36"/>
  <c r="AA93" i="36"/>
  <c r="Z93" i="36" s="1"/>
  <c r="BB84" i="3"/>
  <c r="BV36" i="5"/>
  <c r="CH9" i="48"/>
  <c r="DZ39" i="47"/>
  <c r="DZ41" i="47" s="1"/>
  <c r="DZ44" i="47" s="1"/>
  <c r="DZ10" i="47"/>
  <c r="W64" i="9"/>
  <c r="W65" i="9"/>
  <c r="BJ40" i="48"/>
  <c r="CX10" i="48"/>
  <c r="EX30" i="47"/>
  <c r="EX40" i="47" s="1"/>
  <c r="J65" i="45"/>
  <c r="J58" i="45" s="1"/>
  <c r="I58" i="45" s="1"/>
  <c r="I67" i="45"/>
  <c r="I65" i="45" s="1"/>
  <c r="P13" i="48"/>
  <c r="I8" i="138"/>
  <c r="N29" i="19"/>
  <c r="P30" i="19"/>
  <c r="P29" i="19" s="1"/>
  <c r="U22" i="31"/>
  <c r="U55" i="1"/>
  <c r="I39" i="14"/>
  <c r="X8" i="48"/>
  <c r="M39" i="4"/>
  <c r="M32" i="33"/>
  <c r="AX32" i="48"/>
  <c r="AW32" i="48"/>
  <c r="BP65" i="3"/>
  <c r="X20" i="16"/>
  <c r="J55" i="7"/>
  <c r="I56" i="7"/>
  <c r="Z30" i="45"/>
  <c r="W28" i="45"/>
  <c r="AD25" i="48"/>
  <c r="AD67" i="48"/>
  <c r="AG30" i="48"/>
  <c r="AG67" i="48" s="1"/>
  <c r="AD32" i="48"/>
  <c r="AH30" i="48"/>
  <c r="AH67" i="48" s="1"/>
  <c r="N19" i="31"/>
  <c r="N70" i="1"/>
  <c r="I56" i="6"/>
  <c r="J55" i="6"/>
  <c r="O36" i="14"/>
  <c r="Q36" i="14" s="1"/>
  <c r="Q39" i="14"/>
  <c r="K13" i="17" s="1"/>
  <c r="O39" i="62"/>
  <c r="J75" i="7"/>
  <c r="I70" i="7"/>
  <c r="BQ66" i="3"/>
  <c r="AY66" i="1"/>
  <c r="BQ68" i="41"/>
  <c r="AU65" i="1"/>
  <c r="J11" i="34"/>
  <c r="I11" i="34" s="1"/>
  <c r="I10" i="34"/>
  <c r="M25" i="6"/>
  <c r="AC63" i="1"/>
  <c r="M25" i="39"/>
  <c r="Z63" i="1"/>
  <c r="Z62" i="1" s="1"/>
  <c r="Z58" i="1" s="1"/>
  <c r="Z55" i="1" s="1"/>
  <c r="Z70" i="1" s="1"/>
  <c r="M25" i="7"/>
  <c r="M25" i="38"/>
  <c r="AA62" i="1"/>
  <c r="AA58" i="1" s="1"/>
  <c r="AA55" i="1" s="1"/>
  <c r="AA70" i="1" s="1"/>
  <c r="AA72" i="1" s="1"/>
  <c r="AY12" i="36"/>
  <c r="AY10" i="36"/>
  <c r="I10" i="35"/>
  <c r="J11" i="35"/>
  <c r="I11" i="35" s="1"/>
  <c r="I8" i="39"/>
  <c r="L9" i="15"/>
  <c r="CB26" i="48"/>
  <c r="X9" i="9"/>
  <c r="X10" i="9" s="1"/>
  <c r="T26" i="31"/>
  <c r="T58" i="1"/>
  <c r="BF10" i="36"/>
  <c r="BF12" i="36"/>
  <c r="J57" i="34"/>
  <c r="I58" i="34"/>
  <c r="AM12" i="1"/>
  <c r="AM10" i="1"/>
  <c r="AT10" i="1"/>
  <c r="AT12" i="1"/>
  <c r="N80" i="38"/>
  <c r="N81" i="38" s="1"/>
  <c r="N82" i="38" s="1"/>
  <c r="N77" i="38"/>
  <c r="N78" i="38" s="1"/>
  <c r="AR59" i="1"/>
  <c r="U110" i="36"/>
  <c r="T110" i="36" s="1"/>
  <c r="F10" i="15"/>
  <c r="AF25" i="48"/>
  <c r="AF32" i="48"/>
  <c r="AF67" i="48"/>
  <c r="AT49" i="48"/>
  <c r="AW25" i="48"/>
  <c r="AX25" i="48"/>
  <c r="AA92" i="1"/>
  <c r="Z90" i="1"/>
  <c r="AA91" i="1"/>
  <c r="N16" i="17"/>
  <c r="P16" i="64"/>
  <c r="Q17" i="7"/>
  <c r="Q96" i="7" s="1"/>
  <c r="Q97" i="7" s="1"/>
  <c r="Q98" i="7" s="1"/>
  <c r="Q99" i="7" s="1"/>
  <c r="Q70" i="7"/>
  <c r="Q75" i="7" s="1"/>
  <c r="Q76" i="7" s="1"/>
  <c r="Q10" i="7"/>
  <c r="Q11" i="7" s="1"/>
  <c r="Q8" i="7"/>
  <c r="Q63" i="7" s="1"/>
  <c r="U28" i="6"/>
  <c r="U27" i="6" s="1"/>
  <c r="V27" i="6"/>
  <c r="T59" i="9"/>
  <c r="T50" i="9" s="1"/>
  <c r="T13" i="9"/>
  <c r="M17" i="38"/>
  <c r="M10" i="38"/>
  <c r="L12" i="38"/>
  <c r="M70" i="38"/>
  <c r="BV44" i="5"/>
  <c r="F15" i="64"/>
  <c r="BP67" i="41"/>
  <c r="L32" i="16"/>
  <c r="P32" i="16" s="1"/>
  <c r="AE32" i="16" s="1"/>
  <c r="BH35" i="5"/>
  <c r="U21" i="40"/>
  <c r="S49" i="40"/>
  <c r="BP61" i="41"/>
  <c r="BD13" i="48"/>
  <c r="I13" i="138"/>
  <c r="AV7" i="87"/>
  <c r="AU23" i="87"/>
  <c r="AU19" i="87"/>
  <c r="AU33" i="87"/>
  <c r="AU29" i="87"/>
  <c r="AT2" i="87"/>
  <c r="AU26" i="87"/>
  <c r="AU28" i="87"/>
  <c r="AU16" i="87"/>
  <c r="AU36" i="87"/>
  <c r="AU34" i="87"/>
  <c r="AU24" i="87"/>
  <c r="AU22" i="87"/>
  <c r="AU11" i="87"/>
  <c r="AU30" i="87"/>
  <c r="AU18" i="87"/>
  <c r="AU7" i="87"/>
  <c r="AU25" i="87"/>
  <c r="AU13" i="87"/>
  <c r="AU12" i="87"/>
  <c r="AU14" i="87"/>
  <c r="AU35" i="87"/>
  <c r="AU17" i="87"/>
  <c r="AU27" i="87"/>
  <c r="AU10" i="87"/>
  <c r="AU15" i="87"/>
  <c r="AU9" i="87"/>
  <c r="AU21" i="87"/>
  <c r="AU20" i="87"/>
  <c r="BJ75" i="3"/>
  <c r="R14" i="16" s="1"/>
  <c r="BJ86" i="3"/>
  <c r="BJ87" i="3" s="1"/>
  <c r="O63" i="45"/>
  <c r="O62" i="45" s="1"/>
  <c r="P62" i="45"/>
  <c r="L62" i="46"/>
  <c r="L62" i="45"/>
  <c r="AJ45" i="44"/>
  <c r="AB45" i="44"/>
  <c r="AB44" i="44" s="1"/>
  <c r="AE44" i="44"/>
  <c r="P62" i="46"/>
  <c r="O63" i="46"/>
  <c r="O62" i="46" s="1"/>
  <c r="D27" i="62"/>
  <c r="AF28" i="62"/>
  <c r="AF7" i="62" s="1"/>
  <c r="AF53" i="62"/>
  <c r="AK30" i="62"/>
  <c r="AI30" i="62"/>
  <c r="AC44" i="62"/>
  <c r="AC8" i="62"/>
  <c r="AC47" i="62"/>
  <c r="E27" i="62"/>
  <c r="E25" i="62" s="1"/>
  <c r="BF28" i="5"/>
  <c r="D29" i="68"/>
  <c r="I9" i="44"/>
  <c r="H60" i="44"/>
  <c r="AS63" i="43"/>
  <c r="AO62" i="43"/>
  <c r="AL66" i="43"/>
  <c r="AL65" i="43" s="1"/>
  <c r="AL61" i="43" s="1"/>
  <c r="AL57" i="43" s="1"/>
  <c r="AM65" i="43"/>
  <c r="AM61" i="43" s="1"/>
  <c r="AM57" i="43" s="1"/>
  <c r="AO66" i="43"/>
  <c r="F11" i="45"/>
  <c r="F89" i="45" s="1"/>
  <c r="F90" i="45" s="1"/>
  <c r="F91" i="45" s="1"/>
  <c r="G86" i="45"/>
  <c r="F86" i="45" s="1"/>
  <c r="G89" i="45"/>
  <c r="G90" i="45" s="1"/>
  <c r="G91" i="45" s="1"/>
  <c r="F84" i="45"/>
  <c r="G85" i="45"/>
  <c r="F85" i="45" s="1"/>
  <c r="BH10" i="5"/>
  <c r="BB9" i="5"/>
  <c r="BH9" i="5" s="1"/>
  <c r="L24" i="16"/>
  <c r="BB86" i="41"/>
  <c r="I33" i="44"/>
  <c r="I35" i="44"/>
  <c r="I11" i="44"/>
  <c r="I12" i="44"/>
  <c r="I36" i="44"/>
  <c r="I27" i="44"/>
  <c r="I17" i="44"/>
  <c r="I28" i="44"/>
  <c r="J8" i="44"/>
  <c r="I47" i="44"/>
  <c r="I30" i="44"/>
  <c r="I24" i="44"/>
  <c r="I18" i="44"/>
  <c r="I39" i="44"/>
  <c r="I32" i="44"/>
  <c r="I29" i="44"/>
  <c r="I31" i="44"/>
  <c r="I34" i="44"/>
  <c r="I16" i="44"/>
  <c r="I8" i="44"/>
  <c r="I44" i="44"/>
  <c r="I23" i="44"/>
  <c r="I41" i="44"/>
  <c r="I25" i="44"/>
  <c r="I40" i="44"/>
  <c r="I37" i="44"/>
  <c r="I38" i="44"/>
  <c r="I22" i="44"/>
  <c r="I14" i="44"/>
  <c r="I10" i="44"/>
  <c r="BD65" i="88" l="1"/>
  <c r="BD64" i="88"/>
  <c r="BF64" i="88" s="1"/>
  <c r="K13" i="164"/>
  <c r="H13" i="164" s="1"/>
  <c r="D13" i="164" s="1"/>
  <c r="K12" i="164"/>
  <c r="H12" i="164" s="1"/>
  <c r="D12" i="164" s="1"/>
  <c r="Z91" i="1"/>
  <c r="F16" i="164"/>
  <c r="E17" i="164"/>
  <c r="F49" i="54"/>
  <c r="F48" i="169"/>
  <c r="F49" i="158"/>
  <c r="G18" i="64"/>
  <c r="G18" i="164"/>
  <c r="P17" i="164"/>
  <c r="N17" i="164" s="1"/>
  <c r="C108" i="162"/>
  <c r="AH80" i="162"/>
  <c r="F34" i="159"/>
  <c r="N16" i="164"/>
  <c r="G76" i="45"/>
  <c r="H61" i="154"/>
  <c r="H60" i="154" s="1"/>
  <c r="AF57" i="150"/>
  <c r="BE57" i="150" s="1"/>
  <c r="L58" i="152"/>
  <c r="Z12" i="153"/>
  <c r="Z12" i="152"/>
  <c r="AB29" i="153"/>
  <c r="AB29" i="152"/>
  <c r="AL39" i="150"/>
  <c r="W67" i="46"/>
  <c r="W65" i="46" s="1"/>
  <c r="W58" i="46" s="1"/>
  <c r="W67" i="45"/>
  <c r="W65" i="45" s="1"/>
  <c r="W58" i="45" s="1"/>
  <c r="AP49" i="44"/>
  <c r="AK47" i="44"/>
  <c r="AK40" i="44" s="1"/>
  <c r="BE39" i="150"/>
  <c r="AF77" i="150"/>
  <c r="V23" i="46"/>
  <c r="V23" i="45"/>
  <c r="V63" i="46"/>
  <c r="V63" i="45"/>
  <c r="V12" i="153"/>
  <c r="V12" i="152"/>
  <c r="W17" i="152"/>
  <c r="W10" i="152"/>
  <c r="W11" i="152" s="1"/>
  <c r="AB23" i="153"/>
  <c r="AB23" i="152"/>
  <c r="W17" i="153"/>
  <c r="W10" i="153"/>
  <c r="W11" i="153" s="1"/>
  <c r="W8" i="153"/>
  <c r="AB24" i="153"/>
  <c r="AA24" i="153" s="1"/>
  <c r="AB24" i="152"/>
  <c r="AA24" i="152" s="1"/>
  <c r="AS39" i="150"/>
  <c r="AZ39" i="150"/>
  <c r="J86" i="153"/>
  <c r="R50" i="151"/>
  <c r="R48" i="151" s="1"/>
  <c r="R41" i="151" s="1"/>
  <c r="U48" i="151"/>
  <c r="U41" i="151" s="1"/>
  <c r="L67" i="153"/>
  <c r="L65" i="153" s="1"/>
  <c r="M65" i="153"/>
  <c r="M58" i="153" s="1"/>
  <c r="L58" i="153" s="1"/>
  <c r="R47" i="44"/>
  <c r="R40" i="44" s="1"/>
  <c r="F65" i="154"/>
  <c r="Q65" i="153"/>
  <c r="T67" i="153"/>
  <c r="T67" i="152"/>
  <c r="Q65" i="152"/>
  <c r="L67" i="152"/>
  <c r="L65" i="152" s="1"/>
  <c r="Z50" i="151"/>
  <c r="P67" i="152"/>
  <c r="P67" i="153"/>
  <c r="AB46" i="151"/>
  <c r="AB45" i="151" s="1"/>
  <c r="AE45" i="151"/>
  <c r="AJ46" i="151"/>
  <c r="M60" i="154"/>
  <c r="S62" i="153"/>
  <c r="R62" i="153" s="1"/>
  <c r="S62" i="152"/>
  <c r="R62" i="152" s="1"/>
  <c r="M61" i="154"/>
  <c r="W45" i="151"/>
  <c r="AR46" i="151"/>
  <c r="AR69" i="150"/>
  <c r="AR68" i="150" s="1"/>
  <c r="AS68" i="150"/>
  <c r="AU69" i="150"/>
  <c r="AS66" i="150"/>
  <c r="AO65" i="150"/>
  <c r="AO61" i="150" s="1"/>
  <c r="AO57" i="150" s="1"/>
  <c r="AO73" i="150" s="1"/>
  <c r="AU63" i="150"/>
  <c r="AR63" i="150"/>
  <c r="AR62" i="150" s="1"/>
  <c r="AS62" i="150"/>
  <c r="F34" i="57"/>
  <c r="P18" i="152"/>
  <c r="S18" i="152" s="1"/>
  <c r="S21" i="152"/>
  <c r="R13" i="16"/>
  <c r="R12" i="16" s="1"/>
  <c r="I13" i="112"/>
  <c r="C13" i="112" s="1"/>
  <c r="C13" i="138"/>
  <c r="Q77" i="7"/>
  <c r="Q78" i="7" s="1"/>
  <c r="Q80" i="7"/>
  <c r="Q81" i="7" s="1"/>
  <c r="Q82" i="7" s="1"/>
  <c r="Z92" i="1"/>
  <c r="AA93" i="1"/>
  <c r="Z93" i="1" s="1"/>
  <c r="S12" i="7"/>
  <c r="S12" i="6"/>
  <c r="V12" i="39"/>
  <c r="V12" i="38"/>
  <c r="X64" i="9"/>
  <c r="X65" i="9"/>
  <c r="M24" i="38"/>
  <c r="M20" i="38" s="1"/>
  <c r="M18" i="38" s="1"/>
  <c r="M8" i="38" s="1"/>
  <c r="L25" i="38"/>
  <c r="L24" i="38" s="1"/>
  <c r="L20" i="38" s="1"/>
  <c r="L18" i="38" s="1"/>
  <c r="Q41" i="14"/>
  <c r="Q46" i="14" s="1"/>
  <c r="Q48" i="62"/>
  <c r="I8" i="112"/>
  <c r="C8" i="138"/>
  <c r="AE40" i="4"/>
  <c r="Z39" i="4"/>
  <c r="Z35" i="4" s="1"/>
  <c r="Z9" i="4" s="1"/>
  <c r="P56" i="39"/>
  <c r="P56" i="38"/>
  <c r="P56" i="6"/>
  <c r="W40" i="4"/>
  <c r="P56" i="7"/>
  <c r="J80" i="7"/>
  <c r="J81" i="7" s="1"/>
  <c r="J82" i="7" s="1"/>
  <c r="J77" i="7"/>
  <c r="I11" i="7"/>
  <c r="J80" i="38"/>
  <c r="J81" i="38" s="1"/>
  <c r="J82" i="38" s="1"/>
  <c r="J77" i="38"/>
  <c r="I11" i="38"/>
  <c r="C42" i="75"/>
  <c r="N39" i="62"/>
  <c r="L36" i="62"/>
  <c r="N36" i="62" s="1"/>
  <c r="EX9" i="47"/>
  <c r="I27" i="48"/>
  <c r="J27" i="48"/>
  <c r="E42" i="48"/>
  <c r="BD10" i="36"/>
  <c r="BD12" i="36"/>
  <c r="BK86" i="3"/>
  <c r="BK75" i="3"/>
  <c r="S14" i="16" s="1"/>
  <c r="S13" i="16" s="1"/>
  <c r="S12" i="16" s="1"/>
  <c r="BR61" i="3"/>
  <c r="BT61" i="3" s="1"/>
  <c r="BS61" i="3"/>
  <c r="N18" i="16"/>
  <c r="BD55" i="3"/>
  <c r="BH58" i="3"/>
  <c r="AZ18" i="87"/>
  <c r="AZ25" i="87"/>
  <c r="AZ19" i="87"/>
  <c r="AZ12" i="87"/>
  <c r="AZ36" i="87"/>
  <c r="AZ10" i="87"/>
  <c r="AZ27" i="87"/>
  <c r="AZ21" i="87"/>
  <c r="AZ7" i="87"/>
  <c r="AZ33" i="87"/>
  <c r="BA7" i="87"/>
  <c r="AZ24" i="87"/>
  <c r="AZ23" i="87"/>
  <c r="AZ30" i="87"/>
  <c r="AZ17" i="87"/>
  <c r="AY2" i="87"/>
  <c r="AZ9" i="87"/>
  <c r="AZ11" i="87"/>
  <c r="AZ22" i="87"/>
  <c r="AZ26" i="87"/>
  <c r="AZ28" i="87"/>
  <c r="AZ13" i="87"/>
  <c r="AZ34" i="87"/>
  <c r="AZ29" i="87"/>
  <c r="AZ20" i="87"/>
  <c r="AZ16" i="87"/>
  <c r="AZ14" i="87"/>
  <c r="AZ15" i="87"/>
  <c r="AZ35" i="87"/>
  <c r="BD57" i="41"/>
  <c r="BH60" i="41"/>
  <c r="F17" i="17"/>
  <c r="E17" i="64"/>
  <c r="C53" i="68"/>
  <c r="C51" i="68" s="1"/>
  <c r="C44" i="68" s="1"/>
  <c r="D51" i="68"/>
  <c r="D44" i="68" s="1"/>
  <c r="M11" i="39"/>
  <c r="L11" i="39" s="1"/>
  <c r="L10" i="39"/>
  <c r="L17" i="38"/>
  <c r="M96" i="38"/>
  <c r="M97" i="38" s="1"/>
  <c r="M98" i="38" s="1"/>
  <c r="M99" i="38" s="1"/>
  <c r="BD8" i="48"/>
  <c r="U39" i="14"/>
  <c r="L10" i="38"/>
  <c r="M11" i="38"/>
  <c r="M24" i="7"/>
  <c r="M20" i="7" s="1"/>
  <c r="M18" i="7" s="1"/>
  <c r="M8" i="7" s="1"/>
  <c r="L25" i="7"/>
  <c r="L24" i="7" s="1"/>
  <c r="L20" i="7" s="1"/>
  <c r="L18" i="7" s="1"/>
  <c r="BR68" i="41"/>
  <c r="BQ67" i="41"/>
  <c r="BS68" i="41"/>
  <c r="BS67" i="41" s="1"/>
  <c r="I55" i="6"/>
  <c r="J51" i="6"/>
  <c r="AH25" i="48"/>
  <c r="AD49" i="48"/>
  <c r="AG25" i="48"/>
  <c r="AB47" i="48"/>
  <c r="AC47" i="48" s="1"/>
  <c r="AX39" i="1"/>
  <c r="AX11" i="1" s="1"/>
  <c r="AY11" i="1"/>
  <c r="I57" i="35"/>
  <c r="J53" i="35"/>
  <c r="L56" i="38"/>
  <c r="M55" i="38"/>
  <c r="AF42" i="14"/>
  <c r="AF8" i="14"/>
  <c r="E18" i="17"/>
  <c r="AF46" i="62"/>
  <c r="Q13" i="48"/>
  <c r="N8" i="48"/>
  <c r="BJ64" i="41"/>
  <c r="L17" i="7"/>
  <c r="M96" i="7"/>
  <c r="M97" i="7" s="1"/>
  <c r="M98" i="7" s="1"/>
  <c r="M99" i="7" s="1"/>
  <c r="BL77" i="41"/>
  <c r="BL88" i="41"/>
  <c r="BL89" i="41" s="1"/>
  <c r="Q13" i="16"/>
  <c r="Q12" i="16" s="1"/>
  <c r="AB23" i="38"/>
  <c r="AA23" i="38" s="1"/>
  <c r="X24" i="46"/>
  <c r="AX61" i="1"/>
  <c r="Y23" i="7"/>
  <c r="X23" i="7" s="1"/>
  <c r="AB23" i="39"/>
  <c r="AA23" i="39" s="1"/>
  <c r="Y23" i="6"/>
  <c r="X23" i="6" s="1"/>
  <c r="X24" i="45"/>
  <c r="O12" i="6"/>
  <c r="P10" i="6"/>
  <c r="P17" i="6"/>
  <c r="O17" i="6" s="1"/>
  <c r="Z72" i="1"/>
  <c r="R51" i="4"/>
  <c r="R51" i="37"/>
  <c r="R52" i="37" s="1"/>
  <c r="AB28" i="39"/>
  <c r="AY65" i="1"/>
  <c r="AB28" i="38"/>
  <c r="Y28" i="7"/>
  <c r="Y28" i="6"/>
  <c r="AX66" i="1"/>
  <c r="AX65" i="1" s="1"/>
  <c r="I39" i="62"/>
  <c r="K39" i="14"/>
  <c r="K11" i="17" s="1"/>
  <c r="I36" i="14"/>
  <c r="K36" i="14" s="1"/>
  <c r="F39" i="14"/>
  <c r="AZ10" i="1"/>
  <c r="AZ12" i="1"/>
  <c r="L56" i="6"/>
  <c r="M55" i="6"/>
  <c r="BT12" i="48"/>
  <c r="AA38" i="14" s="1"/>
  <c r="L32" i="50"/>
  <c r="L89" i="50" s="1"/>
  <c r="L33" i="50"/>
  <c r="Q63" i="38"/>
  <c r="T8" i="38"/>
  <c r="T12" i="40"/>
  <c r="T58" i="40"/>
  <c r="I8" i="15"/>
  <c r="BD26" i="48"/>
  <c r="AO52" i="62"/>
  <c r="AO28" i="14"/>
  <c r="Z38" i="14"/>
  <c r="J16" i="17" s="1"/>
  <c r="X38" i="62"/>
  <c r="BI79" i="41"/>
  <c r="BI72" i="41"/>
  <c r="M75" i="7"/>
  <c r="L70" i="7"/>
  <c r="W8" i="39"/>
  <c r="W17" i="39"/>
  <c r="W10" i="39"/>
  <c r="W11" i="39" s="1"/>
  <c r="L10" i="6"/>
  <c r="L5" i="6" s="1"/>
  <c r="M11" i="6"/>
  <c r="L11" i="6" s="1"/>
  <c r="Y26" i="48"/>
  <c r="Z26" i="48"/>
  <c r="V30" i="48"/>
  <c r="N65" i="9"/>
  <c r="N64" i="9"/>
  <c r="N14" i="9"/>
  <c r="N51" i="9"/>
  <c r="BL75" i="3"/>
  <c r="T14" i="16" s="1"/>
  <c r="T13" i="16" s="1"/>
  <c r="T12" i="16" s="1"/>
  <c r="BL86" i="3"/>
  <c r="BL87" i="3" s="1"/>
  <c r="AG93" i="36"/>
  <c r="AF93" i="36" s="1"/>
  <c r="AF92" i="36"/>
  <c r="BR63" i="41"/>
  <c r="BT63" i="41" s="1"/>
  <c r="BS63" i="41"/>
  <c r="P17" i="7"/>
  <c r="O12" i="7"/>
  <c r="P70" i="7"/>
  <c r="P10" i="7"/>
  <c r="BM75" i="41"/>
  <c r="BN73" i="3"/>
  <c r="BN75" i="41"/>
  <c r="BM73" i="3"/>
  <c r="T8" i="40"/>
  <c r="Q9" i="9"/>
  <c r="C80" i="13"/>
  <c r="C11" i="13" s="1"/>
  <c r="AH11" i="13"/>
  <c r="AH10" i="13" s="1"/>
  <c r="AH193" i="13" s="1"/>
  <c r="AQ48" i="89"/>
  <c r="I57" i="34"/>
  <c r="J53" i="34"/>
  <c r="L10" i="63"/>
  <c r="L6" i="15"/>
  <c r="P18" i="17"/>
  <c r="BR66" i="3"/>
  <c r="BQ65" i="3"/>
  <c r="Y20" i="16"/>
  <c r="AA20" i="16" s="1"/>
  <c r="BS66" i="3"/>
  <c r="BS65" i="3" s="1"/>
  <c r="N72" i="1"/>
  <c r="N34" i="31"/>
  <c r="X30" i="45"/>
  <c r="Z28" i="45"/>
  <c r="U19" i="31"/>
  <c r="U70" i="1"/>
  <c r="L56" i="39"/>
  <c r="M55" i="39"/>
  <c r="Q11" i="38"/>
  <c r="T10" i="38"/>
  <c r="AT40" i="37"/>
  <c r="W40" i="37"/>
  <c r="W39" i="37" s="1"/>
  <c r="W35" i="37" s="1"/>
  <c r="W9" i="37" s="1"/>
  <c r="Z39" i="37"/>
  <c r="Z35" i="37" s="1"/>
  <c r="Z9" i="37" s="1"/>
  <c r="AE40" i="37"/>
  <c r="BZ39" i="48"/>
  <c r="BZ35" i="48" s="1"/>
  <c r="M18" i="50"/>
  <c r="M13" i="50" s="1"/>
  <c r="M5" i="50" s="1"/>
  <c r="M31" i="50" s="1"/>
  <c r="DN48" i="47"/>
  <c r="DN47" i="47"/>
  <c r="BF26" i="48"/>
  <c r="BB30" i="48"/>
  <c r="BE26" i="48"/>
  <c r="AL52" i="62"/>
  <c r="AL28" i="14"/>
  <c r="E30" i="14"/>
  <c r="M11" i="7"/>
  <c r="L10" i="7"/>
  <c r="T10" i="6"/>
  <c r="T11" i="6" s="1"/>
  <c r="T17" i="6"/>
  <c r="T8" i="6"/>
  <c r="G13" i="15"/>
  <c r="S13" i="17" s="1"/>
  <c r="G11" i="63"/>
  <c r="G31" i="63" s="1"/>
  <c r="G32" i="63" s="1"/>
  <c r="G5" i="15"/>
  <c r="G25" i="15" s="1"/>
  <c r="G23" i="15"/>
  <c r="BK77" i="41"/>
  <c r="BK88" i="41"/>
  <c r="Q63" i="40"/>
  <c r="Q64" i="40"/>
  <c r="Q13" i="40"/>
  <c r="Q50" i="40"/>
  <c r="M65" i="45"/>
  <c r="M58" i="45" s="1"/>
  <c r="L58" i="45" s="1"/>
  <c r="L67" i="45"/>
  <c r="L65" i="45" s="1"/>
  <c r="M24" i="39"/>
  <c r="M20" i="39" s="1"/>
  <c r="M18" i="39" s="1"/>
  <c r="M8" i="39" s="1"/>
  <c r="L25" i="39"/>
  <c r="L24" i="39" s="1"/>
  <c r="L20" i="39" s="1"/>
  <c r="L18" i="39" s="1"/>
  <c r="N16" i="64"/>
  <c r="AC62" i="1"/>
  <c r="AC58" i="1" s="1"/>
  <c r="AC55" i="1" s="1"/>
  <c r="AC70" i="1" s="1"/>
  <c r="BK65" i="41"/>
  <c r="AG63" i="1"/>
  <c r="BK63" i="3"/>
  <c r="C74" i="79"/>
  <c r="AF77" i="43"/>
  <c r="G15" i="154" s="1"/>
  <c r="H15" i="154" s="1"/>
  <c r="EL39" i="47"/>
  <c r="EL41" i="47" s="1"/>
  <c r="EL44" i="47" s="1"/>
  <c r="EL10" i="47"/>
  <c r="CP9" i="48"/>
  <c r="BB51" i="48"/>
  <c r="K13" i="71"/>
  <c r="L13" i="71" s="1"/>
  <c r="C13" i="71" s="1"/>
  <c r="P27" i="33"/>
  <c r="P9" i="4"/>
  <c r="P9" i="33" s="1"/>
  <c r="S13" i="37"/>
  <c r="S34" i="37"/>
  <c r="S31" i="37"/>
  <c r="S32" i="37"/>
  <c r="S12" i="37"/>
  <c r="S9" i="37"/>
  <c r="S16" i="37"/>
  <c r="S29" i="37"/>
  <c r="S15" i="37"/>
  <c r="S22" i="37"/>
  <c r="S26" i="37"/>
  <c r="S19" i="37"/>
  <c r="S23" i="37"/>
  <c r="S24" i="37"/>
  <c r="S25" i="37"/>
  <c r="S27" i="37"/>
  <c r="S30" i="37"/>
  <c r="S14" i="37"/>
  <c r="S20" i="37"/>
  <c r="S28" i="37"/>
  <c r="S11" i="37"/>
  <c r="S33" i="37"/>
  <c r="S21" i="37"/>
  <c r="S18" i="37"/>
  <c r="S17" i="37"/>
  <c r="S10" i="37"/>
  <c r="AG91" i="1"/>
  <c r="AF90" i="1"/>
  <c r="AF91" i="1" s="1"/>
  <c r="AG92" i="1"/>
  <c r="J16" i="63"/>
  <c r="C83" i="79" s="1"/>
  <c r="U16" i="17"/>
  <c r="AN49" i="48"/>
  <c r="AN45" i="48"/>
  <c r="AO45" i="48" s="1"/>
  <c r="F63" i="38"/>
  <c r="F87" i="38"/>
  <c r="F88" i="38" s="1"/>
  <c r="L67" i="46"/>
  <c r="L65" i="46" s="1"/>
  <c r="M65" i="46"/>
  <c r="M58" i="46" s="1"/>
  <c r="L58" i="46" s="1"/>
  <c r="U12" i="40"/>
  <c r="U58" i="40"/>
  <c r="L25" i="6"/>
  <c r="L24" i="6" s="1"/>
  <c r="L20" i="6" s="1"/>
  <c r="L18" i="6" s="1"/>
  <c r="M24" i="6"/>
  <c r="M20" i="6" s="1"/>
  <c r="M18" i="6" s="1"/>
  <c r="M8" i="6" s="1"/>
  <c r="I75" i="7"/>
  <c r="J76" i="7"/>
  <c r="I76" i="7" s="1"/>
  <c r="CR29" i="48"/>
  <c r="CS29" i="48"/>
  <c r="CT29" i="48"/>
  <c r="CP26" i="48"/>
  <c r="J76" i="38"/>
  <c r="I76" i="38" s="1"/>
  <c r="I75" i="38"/>
  <c r="T8" i="39"/>
  <c r="T10" i="39"/>
  <c r="T11" i="39" s="1"/>
  <c r="P17" i="64"/>
  <c r="N17" i="64" s="1"/>
  <c r="N17" i="17"/>
  <c r="AF84" i="1"/>
  <c r="AF85" i="1" s="1"/>
  <c r="AG85" i="1"/>
  <c r="Q18" i="16"/>
  <c r="BI55" i="3"/>
  <c r="P13" i="16"/>
  <c r="AE14" i="16"/>
  <c r="R39" i="14"/>
  <c r="AV8" i="48"/>
  <c r="AV30" i="48" s="1"/>
  <c r="BQ59" i="3"/>
  <c r="BR60" i="3"/>
  <c r="BS60" i="3"/>
  <c r="BS59" i="3" s="1"/>
  <c r="AL39" i="43"/>
  <c r="T17" i="7"/>
  <c r="T70" i="7"/>
  <c r="T75" i="7" s="1"/>
  <c r="T76" i="7" s="1"/>
  <c r="T10" i="7"/>
  <c r="T11" i="7" s="1"/>
  <c r="T8" i="7"/>
  <c r="AS10" i="1"/>
  <c r="AS12" i="1"/>
  <c r="O35" i="37"/>
  <c r="M9" i="37"/>
  <c r="T9" i="37" s="1"/>
  <c r="BD61" i="36"/>
  <c r="BD59" i="36" s="1"/>
  <c r="BE59" i="36"/>
  <c r="E31" i="50"/>
  <c r="W49" i="44"/>
  <c r="AE49" i="44"/>
  <c r="P67" i="46"/>
  <c r="P67" i="45"/>
  <c r="Z47" i="44"/>
  <c r="Z40" i="44" s="1"/>
  <c r="BD77" i="3"/>
  <c r="BE77" i="3"/>
  <c r="BE72" i="3" s="1"/>
  <c r="BE84" i="3" s="1"/>
  <c r="BC72" i="3"/>
  <c r="BC84" i="3" s="1"/>
  <c r="I55" i="39"/>
  <c r="J51" i="39"/>
  <c r="L70" i="38"/>
  <c r="M75" i="38"/>
  <c r="AF49" i="48"/>
  <c r="AF45" i="48"/>
  <c r="AG45" i="48" s="1"/>
  <c r="Z12" i="38"/>
  <c r="W12" i="6"/>
  <c r="Z12" i="39"/>
  <c r="W12" i="7"/>
  <c r="T22" i="31"/>
  <c r="T55" i="1"/>
  <c r="Q39" i="62"/>
  <c r="C42" i="76"/>
  <c r="O36" i="62"/>
  <c r="Q36" i="62" s="1"/>
  <c r="AG32" i="48"/>
  <c r="AH32" i="48"/>
  <c r="I55" i="7"/>
  <c r="J51" i="7"/>
  <c r="CX29" i="48"/>
  <c r="CZ10" i="48"/>
  <c r="H10" i="48" s="1"/>
  <c r="DB10" i="48"/>
  <c r="DA10" i="48"/>
  <c r="F10" i="48"/>
  <c r="DZ45" i="47"/>
  <c r="CH38" i="48"/>
  <c r="U93" i="1"/>
  <c r="T93" i="1" s="1"/>
  <c r="T92" i="1"/>
  <c r="L56" i="7"/>
  <c r="M55" i="7"/>
  <c r="AY65" i="36"/>
  <c r="BA66" i="36"/>
  <c r="AX66" i="36"/>
  <c r="AX65" i="36" s="1"/>
  <c r="T17" i="38"/>
  <c r="Q96" i="38"/>
  <c r="Q97" i="38" s="1"/>
  <c r="Q98" i="38" s="1"/>
  <c r="Q99" i="38" s="1"/>
  <c r="N41" i="14"/>
  <c r="N46" i="14" s="1"/>
  <c r="N48" i="62"/>
  <c r="BJ62" i="3"/>
  <c r="AX60" i="1"/>
  <c r="AX59" i="1" s="1"/>
  <c r="Y22" i="6"/>
  <c r="AB22" i="39"/>
  <c r="AB22" i="38"/>
  <c r="AY59" i="1"/>
  <c r="Y22" i="7"/>
  <c r="AZ39" i="43"/>
  <c r="AS39" i="43"/>
  <c r="W17" i="38"/>
  <c r="W70" i="38"/>
  <c r="W75" i="38" s="1"/>
  <c r="W76" i="38" s="1"/>
  <c r="W10" i="38"/>
  <c r="W11" i="38" s="1"/>
  <c r="W8" i="38"/>
  <c r="X26" i="48"/>
  <c r="X30" i="48" s="1"/>
  <c r="E8" i="15"/>
  <c r="H27" i="48"/>
  <c r="AR10" i="1"/>
  <c r="AR12" i="1"/>
  <c r="P9" i="9"/>
  <c r="P10" i="9" s="1"/>
  <c r="O10" i="9"/>
  <c r="AC62" i="36"/>
  <c r="AC58" i="36" s="1"/>
  <c r="AC55" i="36" s="1"/>
  <c r="AC70" i="36" s="1"/>
  <c r="AI63" i="36"/>
  <c r="AI62" i="36" s="1"/>
  <c r="AI58" i="36" s="1"/>
  <c r="AI55" i="36" s="1"/>
  <c r="AI70" i="36" s="1"/>
  <c r="AG63" i="36"/>
  <c r="I55" i="38"/>
  <c r="J51" i="38"/>
  <c r="N51" i="48"/>
  <c r="K8" i="71"/>
  <c r="O12" i="39"/>
  <c r="P17" i="39"/>
  <c r="P10" i="39"/>
  <c r="S12" i="39"/>
  <c r="CW30" i="48"/>
  <c r="E32" i="48"/>
  <c r="E30" i="48" s="1"/>
  <c r="E25" i="48" s="1"/>
  <c r="CK26" i="48"/>
  <c r="CL26" i="48"/>
  <c r="AN27" i="14"/>
  <c r="AO27" i="14" s="1"/>
  <c r="AL27" i="14"/>
  <c r="F13" i="15"/>
  <c r="S12" i="17" s="1"/>
  <c r="F5" i="15"/>
  <c r="F25" i="15" s="1"/>
  <c r="F11" i="63"/>
  <c r="F31" i="63" s="1"/>
  <c r="F32" i="63" s="1"/>
  <c r="F23" i="15"/>
  <c r="K13" i="64"/>
  <c r="H13" i="64" s="1"/>
  <c r="D13" i="64" s="1"/>
  <c r="H13" i="17"/>
  <c r="D13" i="17" s="1"/>
  <c r="M31" i="33"/>
  <c r="M35" i="4"/>
  <c r="BK42" i="48"/>
  <c r="BL22" i="48"/>
  <c r="BN46" i="48"/>
  <c r="BK44" i="48"/>
  <c r="BN44" i="48"/>
  <c r="BN42" i="48"/>
  <c r="BK47" i="48"/>
  <c r="BN47" i="48"/>
  <c r="BK46" i="48"/>
  <c r="CH37" i="48"/>
  <c r="CL9" i="48"/>
  <c r="CK9" i="48"/>
  <c r="CJ9" i="48"/>
  <c r="BN30" i="48"/>
  <c r="BN67" i="48" s="1"/>
  <c r="BJ67" i="48"/>
  <c r="BJ32" i="48"/>
  <c r="BM30" i="48"/>
  <c r="BM67" i="48" s="1"/>
  <c r="BJ25" i="48"/>
  <c r="AH80" i="60"/>
  <c r="C108" i="60"/>
  <c r="BI40" i="5"/>
  <c r="R39" i="4"/>
  <c r="R35" i="4" s="1"/>
  <c r="R9" i="4" s="1"/>
  <c r="K12" i="64"/>
  <c r="H12" i="64" s="1"/>
  <c r="D12" i="64" s="1"/>
  <c r="H12" i="17"/>
  <c r="D12" i="17" s="1"/>
  <c r="C76" i="80"/>
  <c r="C73" i="80" s="1"/>
  <c r="K7" i="63"/>
  <c r="I12" i="112"/>
  <c r="C12" i="112" s="1"/>
  <c r="C12" i="138"/>
  <c r="BQ61" i="41"/>
  <c r="BR62" i="41"/>
  <c r="BS62" i="41"/>
  <c r="BS61" i="41" s="1"/>
  <c r="BE12" i="36"/>
  <c r="BE10" i="36"/>
  <c r="J30" i="47"/>
  <c r="J40" i="47" s="1"/>
  <c r="AF88" i="1"/>
  <c r="AG89" i="1"/>
  <c r="AF89" i="1" s="1"/>
  <c r="R9" i="40"/>
  <c r="S8" i="40"/>
  <c r="S9" i="40" s="1"/>
  <c r="S12" i="38"/>
  <c r="O12" i="38"/>
  <c r="R12" i="38" s="1"/>
  <c r="P17" i="38"/>
  <c r="P70" i="38"/>
  <c r="P10" i="38"/>
  <c r="BR40" i="48"/>
  <c r="CJ26" i="48"/>
  <c r="M9" i="15"/>
  <c r="AI25" i="14"/>
  <c r="AI7" i="14" s="1"/>
  <c r="G19" i="17"/>
  <c r="AJ44" i="44"/>
  <c r="AO45" i="44"/>
  <c r="AG45" i="44"/>
  <c r="AG44" i="44" s="1"/>
  <c r="AN30" i="62"/>
  <c r="AO30" i="62" s="1"/>
  <c r="AL30" i="62"/>
  <c r="AF44" i="62"/>
  <c r="AF8" i="62"/>
  <c r="AF47" i="62"/>
  <c r="AI28" i="62"/>
  <c r="AI7" i="62" s="1"/>
  <c r="AI53" i="62"/>
  <c r="AS62" i="43"/>
  <c r="AR63" i="43"/>
  <c r="AR62" i="43" s="1"/>
  <c r="AU63" i="43"/>
  <c r="AS66" i="43"/>
  <c r="AO65" i="43"/>
  <c r="AO61" i="43" s="1"/>
  <c r="AO57" i="43" s="1"/>
  <c r="L23" i="16"/>
  <c r="L35" i="16" s="1"/>
  <c r="L37" i="16"/>
  <c r="L39" i="16"/>
  <c r="L38" i="16"/>
  <c r="P18" i="164" l="1"/>
  <c r="J16" i="164"/>
  <c r="E18" i="164"/>
  <c r="C80" i="162"/>
  <c r="C11" i="162" s="1"/>
  <c r="AH11" i="162"/>
  <c r="AH10" i="162" s="1"/>
  <c r="S12" i="164"/>
  <c r="Q12" i="164" s="1"/>
  <c r="M12" i="164" s="1"/>
  <c r="AS35" i="37"/>
  <c r="K11" i="164"/>
  <c r="H11" i="164" s="1"/>
  <c r="D11" i="164" s="1"/>
  <c r="G19" i="164"/>
  <c r="U16" i="64"/>
  <c r="U16" i="164"/>
  <c r="S13" i="164"/>
  <c r="Q13" i="164" s="1"/>
  <c r="M13" i="164" s="1"/>
  <c r="F17" i="164"/>
  <c r="E30" i="62"/>
  <c r="E28" i="62" s="1"/>
  <c r="E7" i="62" s="1"/>
  <c r="V17" i="152"/>
  <c r="U17" i="152" s="1"/>
  <c r="V10" i="152"/>
  <c r="U12" i="152"/>
  <c r="V22" i="45"/>
  <c r="U23" i="45"/>
  <c r="U22" i="45" s="1"/>
  <c r="AB28" i="152"/>
  <c r="AA29" i="152"/>
  <c r="AA28" i="152" s="1"/>
  <c r="S67" i="46"/>
  <c r="S67" i="45"/>
  <c r="AY39" i="150"/>
  <c r="AA23" i="152"/>
  <c r="AA22" i="152" s="1"/>
  <c r="AB22" i="152"/>
  <c r="V17" i="153"/>
  <c r="U17" i="153" s="1"/>
  <c r="V10" i="153"/>
  <c r="U12" i="153"/>
  <c r="V22" i="46"/>
  <c r="U23" i="46"/>
  <c r="U22" i="46" s="1"/>
  <c r="AB28" i="153"/>
  <c r="AA29" i="153"/>
  <c r="AA28" i="153" s="1"/>
  <c r="AC12" i="153"/>
  <c r="AC12" i="152"/>
  <c r="Q11" i="16"/>
  <c r="V63" i="153"/>
  <c r="V63" i="152"/>
  <c r="AR39" i="150"/>
  <c r="AA23" i="153"/>
  <c r="AA22" i="153" s="1"/>
  <c r="AB22" i="153"/>
  <c r="Z67" i="46"/>
  <c r="Z65" i="46" s="1"/>
  <c r="Z58" i="46" s="1"/>
  <c r="Z67" i="45"/>
  <c r="Z65" i="45" s="1"/>
  <c r="Z58" i="45" s="1"/>
  <c r="AP47" i="44"/>
  <c r="AP40" i="44" s="1"/>
  <c r="Z17" i="152"/>
  <c r="Z79" i="152"/>
  <c r="Z84" i="152" s="1"/>
  <c r="Z85" i="152" s="1"/>
  <c r="V26" i="46"/>
  <c r="V26" i="45"/>
  <c r="Y63" i="46"/>
  <c r="Y63" i="45"/>
  <c r="N35" i="37"/>
  <c r="Y12" i="153"/>
  <c r="Y12" i="152"/>
  <c r="Z17" i="153"/>
  <c r="S67" i="152"/>
  <c r="R67" i="152" s="1"/>
  <c r="P65" i="152"/>
  <c r="F63" i="154"/>
  <c r="W47" i="44"/>
  <c r="W40" i="44" s="1"/>
  <c r="G65" i="154"/>
  <c r="G63" i="154" s="1"/>
  <c r="G56" i="154" s="1"/>
  <c r="W50" i="151"/>
  <c r="AE50" i="151"/>
  <c r="Z48" i="151"/>
  <c r="Z41" i="151" s="1"/>
  <c r="T65" i="152"/>
  <c r="Q58" i="152"/>
  <c r="T58" i="152" s="1"/>
  <c r="O67" i="152"/>
  <c r="O65" i="152" s="1"/>
  <c r="S67" i="153"/>
  <c r="R67" i="153" s="1"/>
  <c r="O67" i="153"/>
  <c r="O65" i="153" s="1"/>
  <c r="P65" i="153"/>
  <c r="T65" i="153"/>
  <c r="Q58" i="153"/>
  <c r="T58" i="153" s="1"/>
  <c r="AR45" i="151"/>
  <c r="AG46" i="151"/>
  <c r="AG45" i="151" s="1"/>
  <c r="AJ45" i="151"/>
  <c r="AO46" i="151"/>
  <c r="AY69" i="150"/>
  <c r="AU68" i="150"/>
  <c r="AU66" i="150"/>
  <c r="AR66" i="150"/>
  <c r="AR65" i="150" s="1"/>
  <c r="AR61" i="150" s="1"/>
  <c r="AR57" i="150" s="1"/>
  <c r="AS65" i="150"/>
  <c r="AS61" i="150" s="1"/>
  <c r="AS57" i="150" s="1"/>
  <c r="AY63" i="150"/>
  <c r="AU62" i="150"/>
  <c r="X25" i="48"/>
  <c r="X32" i="48"/>
  <c r="E10" i="15"/>
  <c r="X67" i="48"/>
  <c r="I51" i="38"/>
  <c r="J32" i="38"/>
  <c r="BR61" i="41"/>
  <c r="BT62" i="41"/>
  <c r="BT61" i="41" s="1"/>
  <c r="I14" i="138"/>
  <c r="C140" i="79"/>
  <c r="BL13" i="48"/>
  <c r="C76" i="75"/>
  <c r="C71" i="75" s="1"/>
  <c r="F14" i="63"/>
  <c r="C79" i="75" s="1"/>
  <c r="F6" i="63"/>
  <c r="BO73" i="3"/>
  <c r="BO75" i="41"/>
  <c r="BP75" i="41"/>
  <c r="V8" i="40"/>
  <c r="S9" i="9"/>
  <c r="BP73" i="3"/>
  <c r="Y21" i="6"/>
  <c r="X22" i="6"/>
  <c r="X21" i="6" s="1"/>
  <c r="E130" i="76"/>
  <c r="C39" i="76"/>
  <c r="Z70" i="38"/>
  <c r="Z75" i="38" s="1"/>
  <c r="Z76" i="38" s="1"/>
  <c r="Z17" i="38"/>
  <c r="AB49" i="44"/>
  <c r="AB47" i="44" s="1"/>
  <c r="AB40" i="44" s="1"/>
  <c r="AJ49" i="44"/>
  <c r="AE47" i="44"/>
  <c r="AE40" i="44" s="1"/>
  <c r="CR26" i="48"/>
  <c r="N9" i="15"/>
  <c r="U34" i="31"/>
  <c r="U72" i="1"/>
  <c r="BN88" i="41"/>
  <c r="BN89" i="41" s="1"/>
  <c r="BN77" i="41"/>
  <c r="J16" i="64"/>
  <c r="X28" i="6"/>
  <c r="X27" i="6" s="1"/>
  <c r="Y27" i="6"/>
  <c r="R52" i="4"/>
  <c r="M80" i="38"/>
  <c r="M81" i="38" s="1"/>
  <c r="M82" i="38" s="1"/>
  <c r="M77" i="38"/>
  <c r="L11" i="38"/>
  <c r="BD72" i="41"/>
  <c r="BH57" i="41"/>
  <c r="N16" i="16"/>
  <c r="P18" i="16"/>
  <c r="N11" i="16"/>
  <c r="L8" i="38"/>
  <c r="AE13" i="16"/>
  <c r="P12" i="16"/>
  <c r="AF92" i="1"/>
  <c r="AG93" i="1"/>
  <c r="AF93" i="1" s="1"/>
  <c r="BB25" i="48"/>
  <c r="BF30" i="48"/>
  <c r="BF67" i="48" s="1"/>
  <c r="BE30" i="48"/>
  <c r="BE67" i="48" s="1"/>
  <c r="BB32" i="48"/>
  <c r="BB67" i="48"/>
  <c r="X15" i="37"/>
  <c r="X9" i="37"/>
  <c r="Y9" i="37"/>
  <c r="X32" i="37"/>
  <c r="X34" i="37"/>
  <c r="X31" i="37"/>
  <c r="X29" i="37"/>
  <c r="X25" i="37"/>
  <c r="X22" i="37"/>
  <c r="X14" i="37"/>
  <c r="X16" i="37"/>
  <c r="X12" i="37"/>
  <c r="X11" i="37"/>
  <c r="X26" i="37"/>
  <c r="X13" i="37"/>
  <c r="X27" i="37"/>
  <c r="X24" i="37"/>
  <c r="X30" i="37"/>
  <c r="X23" i="37"/>
  <c r="X19" i="37"/>
  <c r="X28" i="37"/>
  <c r="X21" i="37"/>
  <c r="X20" i="37"/>
  <c r="X33" i="37"/>
  <c r="X18" i="37"/>
  <c r="X17" i="37"/>
  <c r="X10" i="37"/>
  <c r="BR65" i="3"/>
  <c r="BV65" i="3" s="1"/>
  <c r="Z20" i="16"/>
  <c r="AB20" i="16" s="1"/>
  <c r="BT66" i="3"/>
  <c r="BT65" i="3" s="1"/>
  <c r="AQ49" i="89"/>
  <c r="AR48" i="89" s="1"/>
  <c r="BN86" i="3"/>
  <c r="BN87" i="3" s="1"/>
  <c r="BN75" i="3"/>
  <c r="V14" i="16" s="1"/>
  <c r="V13" i="16" s="1"/>
  <c r="V12" i="16" s="1"/>
  <c r="Z12" i="7"/>
  <c r="AC12" i="38"/>
  <c r="AC12" i="39"/>
  <c r="Z12" i="6"/>
  <c r="Y27" i="7"/>
  <c r="X28" i="7"/>
  <c r="X27" i="7" s="1"/>
  <c r="E18" i="64"/>
  <c r="F18" i="64" s="1"/>
  <c r="F18" i="17"/>
  <c r="AY10" i="1"/>
  <c r="AY12" i="1"/>
  <c r="I51" i="6"/>
  <c r="J32" i="6"/>
  <c r="E134" i="75"/>
  <c r="C39" i="75"/>
  <c r="O56" i="7"/>
  <c r="O55" i="7" s="1"/>
  <c r="P55" i="7"/>
  <c r="P51" i="7" s="1"/>
  <c r="R12" i="7"/>
  <c r="S17" i="7"/>
  <c r="R17" i="7" s="1"/>
  <c r="S10" i="7"/>
  <c r="S70" i="7"/>
  <c r="O70" i="38"/>
  <c r="P75" i="38"/>
  <c r="R12" i="39"/>
  <c r="S10" i="39"/>
  <c r="I51" i="39"/>
  <c r="J32" i="39"/>
  <c r="T39" i="14"/>
  <c r="K14" i="17" s="1"/>
  <c r="R39" i="62"/>
  <c r="R36" i="14"/>
  <c r="T36" i="14" s="1"/>
  <c r="AF63" i="36"/>
  <c r="AF62" i="36" s="1"/>
  <c r="AF58" i="36" s="1"/>
  <c r="AF55" i="36" s="1"/>
  <c r="AF70" i="36" s="1"/>
  <c r="AF72" i="36" s="1"/>
  <c r="AO63" i="36"/>
  <c r="AM63" i="36"/>
  <c r="AG62" i="36"/>
  <c r="AG58" i="36" s="1"/>
  <c r="AG55" i="36" s="1"/>
  <c r="AI8" i="14"/>
  <c r="AI42" i="14"/>
  <c r="E19" i="17"/>
  <c r="AI46" i="62"/>
  <c r="AI47" i="62" s="1"/>
  <c r="M27" i="33"/>
  <c r="O35" i="4"/>
  <c r="O27" i="33" s="1"/>
  <c r="M9" i="4"/>
  <c r="N35" i="4" s="1"/>
  <c r="N27" i="33" s="1"/>
  <c r="AY39" i="43"/>
  <c r="CZ29" i="48"/>
  <c r="DB29" i="48"/>
  <c r="CX26" i="48"/>
  <c r="DA29" i="48"/>
  <c r="F29" i="48"/>
  <c r="T19" i="31"/>
  <c r="T70" i="1"/>
  <c r="BI77" i="3"/>
  <c r="BI70" i="3"/>
  <c r="AT39" i="37"/>
  <c r="AT35" i="37" s="1"/>
  <c r="AT9" i="37" s="1"/>
  <c r="AQ40" i="37"/>
  <c r="AQ39" i="37" s="1"/>
  <c r="AQ35" i="37" s="1"/>
  <c r="BM77" i="41"/>
  <c r="BM88" i="41"/>
  <c r="H39" i="14"/>
  <c r="F39" i="62"/>
  <c r="AB27" i="38"/>
  <c r="AA28" i="38"/>
  <c r="AA27" i="38" s="1"/>
  <c r="BJ60" i="41"/>
  <c r="AX12" i="1"/>
  <c r="AX10" i="1"/>
  <c r="I80" i="38"/>
  <c r="I81" i="38" s="1"/>
  <c r="I82" i="38" s="1"/>
  <c r="I65" i="38"/>
  <c r="BK40" i="5"/>
  <c r="W39" i="4"/>
  <c r="W35" i="4" s="1"/>
  <c r="W9" i="4" s="1"/>
  <c r="C8" i="112"/>
  <c r="L55" i="7"/>
  <c r="M51" i="7"/>
  <c r="G19" i="64"/>
  <c r="S32" i="4"/>
  <c r="S26" i="4"/>
  <c r="T9" i="4"/>
  <c r="S31" i="4"/>
  <c r="S16" i="4"/>
  <c r="S29" i="4"/>
  <c r="E7" i="19"/>
  <c r="S13" i="4"/>
  <c r="S27" i="4"/>
  <c r="S25" i="4"/>
  <c r="S15" i="4"/>
  <c r="S24" i="4"/>
  <c r="S9" i="4"/>
  <c r="S30" i="4"/>
  <c r="S22" i="4"/>
  <c r="S34" i="4"/>
  <c r="S19" i="4"/>
  <c r="S23" i="4"/>
  <c r="S12" i="4"/>
  <c r="S18" i="4"/>
  <c r="S20" i="4"/>
  <c r="S28" i="4"/>
  <c r="S33" i="4"/>
  <c r="S21" i="4"/>
  <c r="S14" i="4"/>
  <c r="S11" i="4"/>
  <c r="S17" i="4"/>
  <c r="S10" i="4"/>
  <c r="O17" i="39"/>
  <c r="S17" i="39"/>
  <c r="R17" i="39" s="1"/>
  <c r="E6" i="15"/>
  <c r="E9" i="63"/>
  <c r="O11" i="17"/>
  <c r="M10" i="63"/>
  <c r="P19" i="17"/>
  <c r="M6" i="15"/>
  <c r="I51" i="7"/>
  <c r="J32" i="7"/>
  <c r="BF77" i="3"/>
  <c r="BF72" i="3" s="1"/>
  <c r="BF84" i="3" s="1"/>
  <c r="BH77" i="3"/>
  <c r="BD72" i="3"/>
  <c r="P12" i="48"/>
  <c r="P35" i="48"/>
  <c r="E32" i="50"/>
  <c r="E33" i="50"/>
  <c r="Y12" i="38"/>
  <c r="V12" i="6"/>
  <c r="V12" i="7"/>
  <c r="Y12" i="39"/>
  <c r="Q16" i="16"/>
  <c r="L8" i="6"/>
  <c r="N18" i="17"/>
  <c r="P18" i="64"/>
  <c r="N18" i="64" s="1"/>
  <c r="P11" i="7"/>
  <c r="O10" i="7"/>
  <c r="V25" i="48"/>
  <c r="V67" i="48"/>
  <c r="V32" i="48"/>
  <c r="Z30" i="48"/>
  <c r="Z67" i="48" s="1"/>
  <c r="Y30" i="48"/>
  <c r="Y67" i="48" s="1"/>
  <c r="Y28" i="46"/>
  <c r="X29" i="46"/>
  <c r="X28" i="46" s="1"/>
  <c r="N30" i="48"/>
  <c r="R8" i="48"/>
  <c r="Q8" i="48"/>
  <c r="U39" i="62"/>
  <c r="U36" i="14"/>
  <c r="W36" i="14" s="1"/>
  <c r="W39" i="14"/>
  <c r="K15" i="17" s="1"/>
  <c r="J78" i="38"/>
  <c r="J79" i="38" s="1"/>
  <c r="I77" i="38"/>
  <c r="I78" i="38" s="1"/>
  <c r="I79" i="38" s="1"/>
  <c r="P55" i="6"/>
  <c r="P51" i="6" s="1"/>
  <c r="O56" i="6"/>
  <c r="O55" i="6" s="1"/>
  <c r="V70" i="38"/>
  <c r="U12" i="38"/>
  <c r="V10" i="38"/>
  <c r="V17" i="38"/>
  <c r="U17" i="38" s="1"/>
  <c r="BN32" i="48"/>
  <c r="BM32" i="48"/>
  <c r="G21" i="17"/>
  <c r="AO25" i="14"/>
  <c r="AO7" i="14" s="1"/>
  <c r="AA22" i="39"/>
  <c r="AA21" i="39" s="1"/>
  <c r="AB21" i="39"/>
  <c r="W17" i="6"/>
  <c r="W21" i="40"/>
  <c r="U49" i="40"/>
  <c r="O10" i="39"/>
  <c r="P11" i="39"/>
  <c r="O11" i="39" s="1"/>
  <c r="AR39" i="43"/>
  <c r="BI39" i="5"/>
  <c r="BI35" i="5" s="1"/>
  <c r="BJ40" i="5"/>
  <c r="Q12" i="17"/>
  <c r="M12" i="17" s="1"/>
  <c r="S12" i="64"/>
  <c r="Q12" i="64" s="1"/>
  <c r="M12" i="64" s="1"/>
  <c r="S64" i="40"/>
  <c r="S63" i="40"/>
  <c r="S13" i="40"/>
  <c r="U110" i="1"/>
  <c r="T110" i="1" s="1"/>
  <c r="C80" i="60"/>
  <c r="C11" i="60" s="1"/>
  <c r="AH11" i="60"/>
  <c r="AH10" i="60" s="1"/>
  <c r="O64" i="9"/>
  <c r="O65" i="9"/>
  <c r="O14" i="9"/>
  <c r="Y21" i="7"/>
  <c r="X22" i="7"/>
  <c r="X21" i="7" s="1"/>
  <c r="BR59" i="3"/>
  <c r="BT60" i="3"/>
  <c r="BT59" i="3" s="1"/>
  <c r="CT9" i="48"/>
  <c r="CS9" i="48"/>
  <c r="CR9" i="48"/>
  <c r="CP37" i="48"/>
  <c r="CP8" i="48"/>
  <c r="BL63" i="3"/>
  <c r="BK62" i="3"/>
  <c r="BK58" i="3" s="1"/>
  <c r="M80" i="7"/>
  <c r="M81" i="7" s="1"/>
  <c r="M82" i="7" s="1"/>
  <c r="M77" i="7"/>
  <c r="L11" i="7"/>
  <c r="T11" i="38"/>
  <c r="Q80" i="38"/>
  <c r="Q81" i="38" s="1"/>
  <c r="Q82" i="38" s="1"/>
  <c r="Q77" i="38"/>
  <c r="Q78" i="38" s="1"/>
  <c r="P75" i="7"/>
  <c r="O70" i="7"/>
  <c r="M76" i="7"/>
  <c r="L76" i="7" s="1"/>
  <c r="L75" i="7"/>
  <c r="C8" i="15"/>
  <c r="I6" i="15"/>
  <c r="I9" i="63"/>
  <c r="O15" i="17"/>
  <c r="K41" i="14"/>
  <c r="K46" i="14" s="1"/>
  <c r="K48" i="62"/>
  <c r="BD30" i="48"/>
  <c r="S56" i="38"/>
  <c r="P55" i="38"/>
  <c r="O56" i="38"/>
  <c r="U12" i="39"/>
  <c r="V10" i="39"/>
  <c r="V17" i="39"/>
  <c r="U17" i="39" s="1"/>
  <c r="Q41" i="62"/>
  <c r="G33" i="63" s="1"/>
  <c r="G34" i="63" s="1"/>
  <c r="G35" i="63" s="1"/>
  <c r="Q49" i="62"/>
  <c r="P96" i="38"/>
  <c r="P97" i="38" s="1"/>
  <c r="P98" i="38" s="1"/>
  <c r="P99" i="38" s="1"/>
  <c r="O17" i="38"/>
  <c r="R17" i="38" s="1"/>
  <c r="S17" i="38"/>
  <c r="BS46" i="48"/>
  <c r="BV46" i="48"/>
  <c r="BR22" i="48"/>
  <c r="BV47" i="48"/>
  <c r="BR44" i="48"/>
  <c r="BR31" i="48" s="1"/>
  <c r="BV42" i="48"/>
  <c r="BS47" i="48"/>
  <c r="BS42" i="48"/>
  <c r="R64" i="40"/>
  <c r="R63" i="40"/>
  <c r="R13" i="40"/>
  <c r="BN25" i="48"/>
  <c r="BJ49" i="48"/>
  <c r="BM25" i="48"/>
  <c r="CW67" i="48"/>
  <c r="CW25" i="48"/>
  <c r="L8" i="71"/>
  <c r="P64" i="9"/>
  <c r="P65" i="9"/>
  <c r="P14" i="9"/>
  <c r="W77" i="38"/>
  <c r="W78" i="38" s="1"/>
  <c r="W80" i="38"/>
  <c r="W81" i="38" s="1"/>
  <c r="W82" i="38" s="1"/>
  <c r="BJ58" i="3"/>
  <c r="BE66" i="36"/>
  <c r="BA65" i="36"/>
  <c r="N18" i="50"/>
  <c r="N13" i="50" s="1"/>
  <c r="N5" i="50" s="1"/>
  <c r="CH39" i="48"/>
  <c r="CH40" i="48" s="1"/>
  <c r="DZ48" i="47"/>
  <c r="J48" i="47" s="1"/>
  <c r="W70" i="7"/>
  <c r="W75" i="7" s="1"/>
  <c r="W76" i="7" s="1"/>
  <c r="W17" i="7"/>
  <c r="M76" i="38"/>
  <c r="L76" i="38" s="1"/>
  <c r="L75" i="38"/>
  <c r="T80" i="7"/>
  <c r="T81" i="7" s="1"/>
  <c r="T82" i="7" s="1"/>
  <c r="AF57" i="151" s="1"/>
  <c r="T77" i="7"/>
  <c r="T78" i="7" s="1"/>
  <c r="CT26" i="48"/>
  <c r="CS26" i="48"/>
  <c r="P25" i="7"/>
  <c r="AI63" i="1"/>
  <c r="AF63" i="1"/>
  <c r="AF62" i="1" s="1"/>
  <c r="AF58" i="1" s="1"/>
  <c r="AF55" i="1" s="1"/>
  <c r="AF70" i="1" s="1"/>
  <c r="P25" i="38"/>
  <c r="AG62" i="1"/>
  <c r="AG58" i="1" s="1"/>
  <c r="AG55" i="1" s="1"/>
  <c r="AG70" i="1" s="1"/>
  <c r="AG72" i="1" s="1"/>
  <c r="P25" i="6"/>
  <c r="P25" i="39"/>
  <c r="L8" i="39"/>
  <c r="D30" i="14"/>
  <c r="E28" i="14"/>
  <c r="V42" i="43" s="1"/>
  <c r="CB12" i="48"/>
  <c r="AD38" i="14" s="1"/>
  <c r="M33" i="50"/>
  <c r="M32" i="50"/>
  <c r="M89" i="50" s="1"/>
  <c r="J9" i="47"/>
  <c r="L7" i="63"/>
  <c r="C75" i="81"/>
  <c r="C72" i="81" s="1"/>
  <c r="Q10" i="9"/>
  <c r="R9" i="9"/>
  <c r="R10" i="9" s="1"/>
  <c r="BZ40" i="48"/>
  <c r="AA38" i="62"/>
  <c r="AC38" i="14"/>
  <c r="J17" i="17" s="1"/>
  <c r="K11" i="64"/>
  <c r="H11" i="64" s="1"/>
  <c r="D11" i="64" s="1"/>
  <c r="H11" i="17"/>
  <c r="D11" i="17" s="1"/>
  <c r="AB27" i="39"/>
  <c r="AA28" i="39"/>
  <c r="AA27" i="39" s="1"/>
  <c r="L55" i="38"/>
  <c r="M51" i="38"/>
  <c r="BR67" i="41"/>
  <c r="BV67" i="41" s="1"/>
  <c r="BT68" i="41"/>
  <c r="BT67" i="41" s="1"/>
  <c r="F17" i="64"/>
  <c r="CX9" i="48"/>
  <c r="EX39" i="47"/>
  <c r="EX41" i="47" s="1"/>
  <c r="EX44" i="47" s="1"/>
  <c r="J44" i="47" s="1"/>
  <c r="EX10" i="47"/>
  <c r="I65" i="7"/>
  <c r="I80" i="7"/>
  <c r="I81" i="7" s="1"/>
  <c r="I82" i="7" s="1"/>
  <c r="S56" i="39"/>
  <c r="R56" i="39" s="1"/>
  <c r="R55" i="39" s="1"/>
  <c r="O56" i="39"/>
  <c r="O55" i="39" s="1"/>
  <c r="P55" i="39"/>
  <c r="S10" i="6"/>
  <c r="R12" i="6"/>
  <c r="S17" i="6"/>
  <c r="R17" i="6" s="1"/>
  <c r="O67" i="46"/>
  <c r="O65" i="46" s="1"/>
  <c r="P65" i="46"/>
  <c r="P58" i="46" s="1"/>
  <c r="O58" i="46" s="1"/>
  <c r="D30" i="62"/>
  <c r="S10" i="38"/>
  <c r="P11" i="38"/>
  <c r="O10" i="38"/>
  <c r="R10" i="38" s="1"/>
  <c r="AL25" i="14"/>
  <c r="AL7" i="14" s="1"/>
  <c r="G20" i="17"/>
  <c r="E27" i="14"/>
  <c r="AA22" i="38"/>
  <c r="AA21" i="38" s="1"/>
  <c r="AB21" i="38"/>
  <c r="I10" i="48"/>
  <c r="J10" i="48"/>
  <c r="Z17" i="39"/>
  <c r="O67" i="45"/>
  <c r="O65" i="45" s="1"/>
  <c r="P65" i="45"/>
  <c r="P58" i="45" s="1"/>
  <c r="O58" i="45" s="1"/>
  <c r="N25" i="37"/>
  <c r="N16" i="37"/>
  <c r="N23" i="37"/>
  <c r="N15" i="37"/>
  <c r="N27" i="37"/>
  <c r="N34" i="37"/>
  <c r="N14" i="37"/>
  <c r="N12" i="37"/>
  <c r="N9" i="37"/>
  <c r="N33" i="37"/>
  <c r="N29" i="37"/>
  <c r="AS9" i="37"/>
  <c r="N24" i="37"/>
  <c r="N19" i="37"/>
  <c r="O9" i="37"/>
  <c r="N20" i="37"/>
  <c r="N31" i="37"/>
  <c r="N30" i="37"/>
  <c r="N21" i="37"/>
  <c r="N42" i="37"/>
  <c r="N26" i="37"/>
  <c r="N36" i="37"/>
  <c r="N28" i="37"/>
  <c r="N22" i="37"/>
  <c r="N32" i="37"/>
  <c r="N18" i="37"/>
  <c r="N17" i="37"/>
  <c r="N13" i="37"/>
  <c r="N11" i="37"/>
  <c r="N10" i="37"/>
  <c r="N39" i="37"/>
  <c r="AF34" i="4"/>
  <c r="AF34" i="37"/>
  <c r="AK34" i="37" s="1"/>
  <c r="AV67" i="48"/>
  <c r="H10" i="15"/>
  <c r="AV32" i="48"/>
  <c r="AV25" i="48"/>
  <c r="EL45" i="47"/>
  <c r="CP38" i="48"/>
  <c r="BK64" i="41"/>
  <c r="BK60" i="41" s="1"/>
  <c r="BK57" i="41" s="1"/>
  <c r="BL65" i="41"/>
  <c r="C77" i="76"/>
  <c r="C72" i="76" s="1"/>
  <c r="G14" i="63"/>
  <c r="C80" i="76" s="1"/>
  <c r="G6" i="63"/>
  <c r="CC35" i="48"/>
  <c r="BZ30" i="48"/>
  <c r="L55" i="39"/>
  <c r="M51" i="39"/>
  <c r="I53" i="34"/>
  <c r="J32" i="34"/>
  <c r="U8" i="40"/>
  <c r="U9" i="40" s="1"/>
  <c r="U13" i="40" s="1"/>
  <c r="T9" i="40"/>
  <c r="BJ79" i="41"/>
  <c r="BI74" i="41"/>
  <c r="BI86" i="41" s="1"/>
  <c r="L55" i="6"/>
  <c r="M51" i="6"/>
  <c r="K39" i="62"/>
  <c r="C42" i="74"/>
  <c r="I36" i="62"/>
  <c r="K36" i="62" s="1"/>
  <c r="Y28" i="45"/>
  <c r="X29" i="45"/>
  <c r="X28" i="45" s="1"/>
  <c r="P11" i="6"/>
  <c r="O11" i="6" s="1"/>
  <c r="O10" i="6"/>
  <c r="O5" i="6" s="1"/>
  <c r="J78" i="7"/>
  <c r="J79" i="7" s="1"/>
  <c r="I77" i="7"/>
  <c r="I78" i="7" s="1"/>
  <c r="I79" i="7" s="1"/>
  <c r="H29" i="48"/>
  <c r="H26" i="48" s="1"/>
  <c r="Q13" i="17"/>
  <c r="M13" i="17" s="1"/>
  <c r="S13" i="64"/>
  <c r="Q13" i="64" s="1"/>
  <c r="M13" i="64" s="1"/>
  <c r="AJ40" i="37"/>
  <c r="AE39" i="37"/>
  <c r="AE35" i="37" s="1"/>
  <c r="AB40" i="37"/>
  <c r="AB39" i="37" s="1"/>
  <c r="AB35" i="37" s="1"/>
  <c r="BM75" i="3"/>
  <c r="U14" i="16" s="1"/>
  <c r="BM86" i="3"/>
  <c r="O17" i="7"/>
  <c r="P96" i="7"/>
  <c r="P97" i="7" s="1"/>
  <c r="P98" i="7" s="1"/>
  <c r="P99" i="7" s="1"/>
  <c r="C41" i="79"/>
  <c r="Z38" i="62"/>
  <c r="T49" i="40"/>
  <c r="V21" i="40"/>
  <c r="I53" i="35"/>
  <c r="J32" i="35"/>
  <c r="L8" i="7"/>
  <c r="BD70" i="3"/>
  <c r="BH55" i="3"/>
  <c r="N41" i="62"/>
  <c r="F33" i="63" s="1"/>
  <c r="F34" i="63" s="1"/>
  <c r="F35" i="63" s="1"/>
  <c r="N49" i="62"/>
  <c r="S56" i="7"/>
  <c r="AB40" i="4"/>
  <c r="V56" i="39"/>
  <c r="AJ40" i="4"/>
  <c r="AE39" i="4"/>
  <c r="AE35" i="4" s="1"/>
  <c r="S56" i="6"/>
  <c r="V56" i="38"/>
  <c r="AL45" i="44"/>
  <c r="AL44" i="44" s="1"/>
  <c r="AO44" i="44"/>
  <c r="E8" i="62"/>
  <c r="E44" i="62"/>
  <c r="AI8" i="62"/>
  <c r="AI44" i="62"/>
  <c r="AL28" i="62"/>
  <c r="AL7" i="62" s="1"/>
  <c r="AL53" i="62"/>
  <c r="AO28" i="62"/>
  <c r="AO7" i="62" s="1"/>
  <c r="AO53" i="62"/>
  <c r="AU66" i="43"/>
  <c r="AS65" i="43"/>
  <c r="AS61" i="43" s="1"/>
  <c r="AS57" i="43" s="1"/>
  <c r="AR66" i="43"/>
  <c r="AR65" i="43" s="1"/>
  <c r="AR61" i="43" s="1"/>
  <c r="AR57" i="43" s="1"/>
  <c r="AY63" i="43"/>
  <c r="AU62" i="43"/>
  <c r="E5" i="15" l="1"/>
  <c r="E25" i="15" s="1"/>
  <c r="G20" i="64"/>
  <c r="G20" i="164"/>
  <c r="O11" i="164"/>
  <c r="G21" i="64"/>
  <c r="G21" i="164"/>
  <c r="E19" i="164"/>
  <c r="O15" i="164"/>
  <c r="N15" i="164" s="1"/>
  <c r="K14" i="164"/>
  <c r="H14" i="164" s="1"/>
  <c r="D14" i="164" s="1"/>
  <c r="J17" i="164"/>
  <c r="N18" i="164"/>
  <c r="K15" i="164"/>
  <c r="H15" i="164" s="1"/>
  <c r="D15" i="164" s="1"/>
  <c r="P19" i="164"/>
  <c r="N19" i="164" s="1"/>
  <c r="F18" i="164"/>
  <c r="Y23" i="45"/>
  <c r="Y23" i="46"/>
  <c r="W53" i="153"/>
  <c r="W53" i="152"/>
  <c r="AB12" i="153"/>
  <c r="AB12" i="152"/>
  <c r="V11" i="153"/>
  <c r="U11" i="153" s="1"/>
  <c r="U10" i="153"/>
  <c r="R67" i="46"/>
  <c r="R65" i="46" s="1"/>
  <c r="S65" i="46"/>
  <c r="V67" i="45"/>
  <c r="V67" i="46"/>
  <c r="AC79" i="152"/>
  <c r="AC84" i="152" s="1"/>
  <c r="AC85" i="152" s="1"/>
  <c r="AC17" i="152"/>
  <c r="Y63" i="153"/>
  <c r="Y63" i="152"/>
  <c r="Y79" i="152"/>
  <c r="X12" i="152"/>
  <c r="Y17" i="152"/>
  <c r="X17" i="152" s="1"/>
  <c r="U63" i="152"/>
  <c r="U62" i="152" s="1"/>
  <c r="V62" i="152"/>
  <c r="V58" i="152" s="1"/>
  <c r="U58" i="152" s="1"/>
  <c r="AC17" i="153"/>
  <c r="AX39" i="150"/>
  <c r="V11" i="152"/>
  <c r="U11" i="152" s="1"/>
  <c r="U10" i="152"/>
  <c r="U4" i="152" s="1"/>
  <c r="V42" i="150"/>
  <c r="K14" i="153"/>
  <c r="T14" i="153" s="1"/>
  <c r="K14" i="152"/>
  <c r="Y17" i="153"/>
  <c r="X17" i="153" s="1"/>
  <c r="X12" i="153"/>
  <c r="U63" i="153"/>
  <c r="U62" i="153" s="1"/>
  <c r="V62" i="153"/>
  <c r="V58" i="153" s="1"/>
  <c r="U58" i="153" s="1"/>
  <c r="S65" i="45"/>
  <c r="R67" i="45"/>
  <c r="R65" i="45" s="1"/>
  <c r="W48" i="151"/>
  <c r="AR50" i="151"/>
  <c r="M65" i="154"/>
  <c r="M63" i="154"/>
  <c r="F56" i="154"/>
  <c r="M56" i="154" s="1"/>
  <c r="H65" i="154"/>
  <c r="H63" i="154" s="1"/>
  <c r="H56" i="154" s="1"/>
  <c r="S65" i="153"/>
  <c r="R65" i="153" s="1"/>
  <c r="P58" i="153"/>
  <c r="S65" i="152"/>
  <c r="R65" i="152" s="1"/>
  <c r="P58" i="152"/>
  <c r="AJ50" i="151"/>
  <c r="AB50" i="151"/>
  <c r="AB48" i="151" s="1"/>
  <c r="AB41" i="151" s="1"/>
  <c r="AE48" i="151"/>
  <c r="AE41" i="151" s="1"/>
  <c r="AO45" i="151"/>
  <c r="AL46" i="151"/>
  <c r="AL45" i="151" s="1"/>
  <c r="AY68" i="150"/>
  <c r="AX69" i="150"/>
  <c r="AX68" i="150" s="1"/>
  <c r="AU65" i="150"/>
  <c r="AU61" i="150" s="1"/>
  <c r="AU57" i="150" s="1"/>
  <c r="AU73" i="150" s="1"/>
  <c r="AY66" i="150"/>
  <c r="AY62" i="150"/>
  <c r="AX63" i="150"/>
  <c r="AX62" i="150" s="1"/>
  <c r="AF27" i="151"/>
  <c r="I32" i="35"/>
  <c r="J65" i="35"/>
  <c r="I65" i="35" s="1"/>
  <c r="N31" i="50"/>
  <c r="C75" i="78"/>
  <c r="C73" i="78" s="1"/>
  <c r="I7" i="63"/>
  <c r="BL62" i="3"/>
  <c r="BV59" i="3"/>
  <c r="Q30" i="48"/>
  <c r="Q67" i="48" s="1"/>
  <c r="N32" i="48"/>
  <c r="N67" i="48"/>
  <c r="R30" i="48"/>
  <c r="R67" i="48" s="1"/>
  <c r="N25" i="48"/>
  <c r="V70" i="7"/>
  <c r="U12" i="7"/>
  <c r="V17" i="7"/>
  <c r="U17" i="7" s="1"/>
  <c r="P8" i="48"/>
  <c r="P30" i="48" s="1"/>
  <c r="F38" i="14"/>
  <c r="F7" i="19"/>
  <c r="E14" i="19"/>
  <c r="E32" i="19"/>
  <c r="K10" i="17"/>
  <c r="T34" i="31"/>
  <c r="M51" i="4"/>
  <c r="M52" i="4" s="1"/>
  <c r="M51" i="37"/>
  <c r="M52" i="37" s="1"/>
  <c r="T72" i="1"/>
  <c r="AX39" i="43"/>
  <c r="K14" i="64"/>
  <c r="H14" i="64" s="1"/>
  <c r="D14" i="64" s="1"/>
  <c r="H14" i="17"/>
  <c r="D14" i="17" s="1"/>
  <c r="AR49" i="89"/>
  <c r="AS48" i="89" s="1"/>
  <c r="P11" i="16"/>
  <c r="AE11" i="16" s="1"/>
  <c r="AE12" i="16"/>
  <c r="V9" i="40"/>
  <c r="W8" i="40"/>
  <c r="W9" i="40" s="1"/>
  <c r="R56" i="6"/>
  <c r="R55" i="6" s="1"/>
  <c r="S55" i="6"/>
  <c r="S51" i="6" s="1"/>
  <c r="R51" i="6" s="1"/>
  <c r="BJ74" i="41"/>
  <c r="EL47" i="47"/>
  <c r="O18" i="50"/>
  <c r="O13" i="50" s="1"/>
  <c r="O5" i="50" s="1"/>
  <c r="O31" i="50" s="1"/>
  <c r="CP39" i="48"/>
  <c r="CP35" i="48" s="1"/>
  <c r="CS35" i="48" s="1"/>
  <c r="D27" i="14"/>
  <c r="E25" i="14"/>
  <c r="J17" i="64"/>
  <c r="S55" i="38"/>
  <c r="P51" i="38"/>
  <c r="CT8" i="48"/>
  <c r="CS8" i="48"/>
  <c r="P80" i="7"/>
  <c r="P81" i="7" s="1"/>
  <c r="P82" i="7" s="1"/>
  <c r="P77" i="7"/>
  <c r="O11" i="7"/>
  <c r="V17" i="6"/>
  <c r="U17" i="6" s="1"/>
  <c r="U12" i="6"/>
  <c r="BD84" i="3"/>
  <c r="BH72" i="3"/>
  <c r="P19" i="64"/>
  <c r="N19" i="64" s="1"/>
  <c r="N19" i="17"/>
  <c r="L51" i="7"/>
  <c r="M32" i="7"/>
  <c r="BQ75" i="41"/>
  <c r="X8" i="40"/>
  <c r="BR75" i="41"/>
  <c r="U9" i="9"/>
  <c r="BR73" i="3"/>
  <c r="BQ73" i="3"/>
  <c r="M9" i="33"/>
  <c r="N30" i="4"/>
  <c r="N31" i="4"/>
  <c r="N23" i="33" s="1"/>
  <c r="N27" i="4"/>
  <c r="N25" i="4"/>
  <c r="N22" i="4"/>
  <c r="N21" i="33" s="1"/>
  <c r="N12" i="4"/>
  <c r="N12" i="33" s="1"/>
  <c r="N33" i="4"/>
  <c r="N25" i="33" s="1"/>
  <c r="N24" i="4"/>
  <c r="N14" i="4"/>
  <c r="N14" i="33" s="1"/>
  <c r="N26" i="4"/>
  <c r="N22" i="33" s="1"/>
  <c r="N21" i="4"/>
  <c r="N32" i="4"/>
  <c r="N24" i="33" s="1"/>
  <c r="N15" i="4"/>
  <c r="N15" i="33" s="1"/>
  <c r="N18" i="4"/>
  <c r="N19" i="33" s="1"/>
  <c r="O9" i="4"/>
  <c r="O9" i="33" s="1"/>
  <c r="N19" i="4"/>
  <c r="N20" i="33" s="1"/>
  <c r="N9" i="4"/>
  <c r="N9" i="33" s="1"/>
  <c r="N29" i="4"/>
  <c r="N20" i="4"/>
  <c r="N16" i="4"/>
  <c r="N16" i="33" s="1"/>
  <c r="N34" i="4"/>
  <c r="N26" i="33" s="1"/>
  <c r="N23" i="4"/>
  <c r="N28" i="4"/>
  <c r="N17" i="4"/>
  <c r="N17" i="33" s="1"/>
  <c r="N36" i="4"/>
  <c r="N28" i="33" s="1"/>
  <c r="N42" i="4"/>
  <c r="N34" i="33" s="1"/>
  <c r="N13" i="4"/>
  <c r="N13" i="33" s="1"/>
  <c r="N11" i="4"/>
  <c r="N11" i="33" s="1"/>
  <c r="N10" i="4"/>
  <c r="N10" i="33" s="1"/>
  <c r="N39" i="4"/>
  <c r="N31" i="33" s="1"/>
  <c r="I32" i="39"/>
  <c r="J63" i="39"/>
  <c r="R70" i="7"/>
  <c r="S75" i="7"/>
  <c r="BF32" i="48"/>
  <c r="BE32" i="48"/>
  <c r="L80" i="38"/>
  <c r="L81" i="38" s="1"/>
  <c r="L82" i="38" s="1"/>
  <c r="L65" i="38"/>
  <c r="N6" i="15"/>
  <c r="P20" i="17"/>
  <c r="N10" i="63"/>
  <c r="BP77" i="41"/>
  <c r="X39" i="14"/>
  <c r="BL8" i="48"/>
  <c r="BL30" i="48" s="1"/>
  <c r="O25" i="39"/>
  <c r="O24" i="39" s="1"/>
  <c r="O20" i="39" s="1"/>
  <c r="O18" i="39" s="1"/>
  <c r="P24" i="39"/>
  <c r="S25" i="39"/>
  <c r="R25" i="39" s="1"/>
  <c r="R24" i="39" s="1"/>
  <c r="R20" i="39" s="1"/>
  <c r="R18" i="39" s="1"/>
  <c r="I29" i="48"/>
  <c r="J29" i="48"/>
  <c r="F26" i="48"/>
  <c r="BO77" i="41"/>
  <c r="BS75" i="41"/>
  <c r="C130" i="79"/>
  <c r="E125" i="74"/>
  <c r="C39" i="74"/>
  <c r="U64" i="40"/>
  <c r="U63" i="40"/>
  <c r="AL42" i="14"/>
  <c r="AL8" i="14"/>
  <c r="AL46" i="62"/>
  <c r="E20" i="17"/>
  <c r="L51" i="38"/>
  <c r="M32" i="38"/>
  <c r="CA46" i="48"/>
  <c r="CD44" i="48"/>
  <c r="CA42" i="48"/>
  <c r="CD46" i="48"/>
  <c r="CD47" i="48"/>
  <c r="CA47" i="48"/>
  <c r="CA44" i="48"/>
  <c r="CD42" i="48"/>
  <c r="CB22" i="48"/>
  <c r="P24" i="6"/>
  <c r="P20" i="6" s="1"/>
  <c r="P18" i="6" s="1"/>
  <c r="P8" i="6" s="1"/>
  <c r="O25" i="6"/>
  <c r="O24" i="6" s="1"/>
  <c r="O20" i="6" s="1"/>
  <c r="O18" i="6" s="1"/>
  <c r="R18" i="16"/>
  <c r="BJ55" i="3"/>
  <c r="L80" i="7"/>
  <c r="L81" i="7" s="1"/>
  <c r="L82" i="7" s="1"/>
  <c r="L65" i="7"/>
  <c r="V11" i="38"/>
  <c r="U10" i="38"/>
  <c r="U4" i="38" s="1"/>
  <c r="H15" i="17"/>
  <c r="D15" i="17" s="1"/>
  <c r="K15" i="64"/>
  <c r="H15" i="64" s="1"/>
  <c r="D15" i="64" s="1"/>
  <c r="X12" i="38"/>
  <c r="Y70" i="38"/>
  <c r="Y17" i="38"/>
  <c r="X17" i="38" s="1"/>
  <c r="BJ57" i="41"/>
  <c r="BJ77" i="3"/>
  <c r="BI72" i="3"/>
  <c r="BI84" i="3" s="1"/>
  <c r="AL63" i="36"/>
  <c r="AL62" i="36" s="1"/>
  <c r="AL58" i="36" s="1"/>
  <c r="AM62" i="36"/>
  <c r="AM58" i="36" s="1"/>
  <c r="S11" i="7"/>
  <c r="R10" i="7"/>
  <c r="R4" i="7" s="1"/>
  <c r="I32" i="6"/>
  <c r="J63" i="6"/>
  <c r="I63" i="6" s="1"/>
  <c r="AD20" i="16"/>
  <c r="AC20" i="16"/>
  <c r="I14" i="112"/>
  <c r="C14" i="138"/>
  <c r="E23" i="15"/>
  <c r="E13" i="15"/>
  <c r="S11" i="17" s="1"/>
  <c r="E11" i="63"/>
  <c r="U56" i="38"/>
  <c r="U55" i="38" s="1"/>
  <c r="V55" i="38"/>
  <c r="V51" i="38" s="1"/>
  <c r="U51" i="38" s="1"/>
  <c r="R56" i="7"/>
  <c r="R55" i="7" s="1"/>
  <c r="S55" i="7"/>
  <c r="S51" i="7" s="1"/>
  <c r="R51" i="7" s="1"/>
  <c r="CC30" i="48"/>
  <c r="CC67" i="48" s="1"/>
  <c r="BZ32" i="48"/>
  <c r="CD30" i="48"/>
  <c r="CD67" i="48" s="1"/>
  <c r="BZ67" i="48"/>
  <c r="BZ25" i="48"/>
  <c r="V58" i="40"/>
  <c r="V49" i="40" s="1"/>
  <c r="V12" i="40"/>
  <c r="V13" i="40" s="1"/>
  <c r="Z70" i="7"/>
  <c r="Z75" i="7" s="1"/>
  <c r="Z76" i="7" s="1"/>
  <c r="AP34" i="37" s="1"/>
  <c r="Z17" i="7"/>
  <c r="M78" i="38"/>
  <c r="L77" i="38"/>
  <c r="L78" i="38" s="1"/>
  <c r="S62" i="45"/>
  <c r="R63" i="45"/>
  <c r="R62" i="45" s="1"/>
  <c r="U13" i="16"/>
  <c r="U12" i="16" s="1"/>
  <c r="I32" i="34"/>
  <c r="J65" i="34"/>
  <c r="I65" i="34" s="1"/>
  <c r="H5" i="15"/>
  <c r="H25" i="15" s="1"/>
  <c r="H13" i="15"/>
  <c r="S14" i="17" s="1"/>
  <c r="H23" i="15"/>
  <c r="H11" i="63"/>
  <c r="H31" i="63" s="1"/>
  <c r="H32" i="63" s="1"/>
  <c r="C8" i="71"/>
  <c r="BT22" i="48"/>
  <c r="BR13" i="48"/>
  <c r="BD25" i="48"/>
  <c r="I10" i="15"/>
  <c r="BD67" i="48"/>
  <c r="BD32" i="48"/>
  <c r="M78" i="7"/>
  <c r="L77" i="7"/>
  <c r="L78" i="7" s="1"/>
  <c r="BJ39" i="5"/>
  <c r="W48" i="62"/>
  <c r="W41" i="14"/>
  <c r="W46" i="14" s="1"/>
  <c r="I32" i="7"/>
  <c r="J63" i="7"/>
  <c r="O11" i="64"/>
  <c r="N11" i="17"/>
  <c r="O22" i="17"/>
  <c r="DB26" i="48"/>
  <c r="DA26" i="48"/>
  <c r="AS63" i="36"/>
  <c r="AO62" i="36"/>
  <c r="AO58" i="36" s="1"/>
  <c r="AO55" i="36" s="1"/>
  <c r="AO70" i="36" s="1"/>
  <c r="R10" i="39"/>
  <c r="S11" i="39"/>
  <c r="R11" i="39" s="1"/>
  <c r="Z17" i="6"/>
  <c r="BF25" i="48"/>
  <c r="BE25" i="48"/>
  <c r="BB49" i="48"/>
  <c r="AG49" i="44"/>
  <c r="AG47" i="44" s="1"/>
  <c r="AG40" i="44" s="1"/>
  <c r="AO49" i="44"/>
  <c r="AJ47" i="44"/>
  <c r="AJ40" i="44" s="1"/>
  <c r="BO75" i="3"/>
  <c r="W14" i="16" s="1"/>
  <c r="W13" i="16" s="1"/>
  <c r="P24" i="7"/>
  <c r="P20" i="7" s="1"/>
  <c r="P18" i="7" s="1"/>
  <c r="P8" i="7" s="1"/>
  <c r="O25" i="7"/>
  <c r="O24" i="7" s="1"/>
  <c r="O20" i="7" s="1"/>
  <c r="O18" i="7" s="1"/>
  <c r="O55" i="38"/>
  <c r="R55" i="38" s="1"/>
  <c r="R56" i="38"/>
  <c r="S62" i="46"/>
  <c r="S58" i="46" s="1"/>
  <c r="R58" i="46" s="1"/>
  <c r="R63" i="46"/>
  <c r="R62" i="46" s="1"/>
  <c r="CL42" i="48"/>
  <c r="CL44" i="48"/>
  <c r="CI47" i="48"/>
  <c r="CI42" i="48"/>
  <c r="CL47" i="48"/>
  <c r="CH22" i="48"/>
  <c r="F22" i="48" s="1"/>
  <c r="I22" i="48" s="1"/>
  <c r="CI44" i="48"/>
  <c r="CH46" i="48"/>
  <c r="C75" i="82"/>
  <c r="C72" i="82" s="1"/>
  <c r="M7" i="63"/>
  <c r="AM55" i="36"/>
  <c r="AG70" i="36"/>
  <c r="AG72" i="36" s="1"/>
  <c r="AJ39" i="4"/>
  <c r="AJ35" i="4" s="1"/>
  <c r="V56" i="6"/>
  <c r="V56" i="7"/>
  <c r="Y56" i="38"/>
  <c r="AG40" i="4"/>
  <c r="AO40" i="4"/>
  <c r="Y56" i="39"/>
  <c r="L51" i="6"/>
  <c r="M32" i="6"/>
  <c r="P80" i="38"/>
  <c r="P81" i="38" s="1"/>
  <c r="P82" i="38" s="1"/>
  <c r="P77" i="38"/>
  <c r="S11" i="38"/>
  <c r="O11" i="38"/>
  <c r="EX45" i="47"/>
  <c r="CX38" i="48"/>
  <c r="F38" i="48" s="1"/>
  <c r="R64" i="9"/>
  <c r="R65" i="9"/>
  <c r="R14" i="9"/>
  <c r="AF38" i="14"/>
  <c r="J18" i="17" s="1"/>
  <c r="AD38" i="62"/>
  <c r="S25" i="38"/>
  <c r="P24" i="38"/>
  <c r="O25" i="38"/>
  <c r="Q32" i="16"/>
  <c r="BI9" i="5"/>
  <c r="AO42" i="14"/>
  <c r="AO46" i="62"/>
  <c r="AO8" i="14"/>
  <c r="E21" i="17"/>
  <c r="U70" i="38"/>
  <c r="V75" i="38"/>
  <c r="C42" i="78"/>
  <c r="W39" i="62"/>
  <c r="U36" i="62"/>
  <c r="W36" i="62" s="1"/>
  <c r="Y32" i="48"/>
  <c r="Z32" i="48"/>
  <c r="E7" i="63"/>
  <c r="C71" i="74"/>
  <c r="C9" i="63"/>
  <c r="X32" i="4"/>
  <c r="X9" i="4"/>
  <c r="X31" i="4"/>
  <c r="X16" i="4"/>
  <c r="G7" i="19"/>
  <c r="X26" i="4"/>
  <c r="X34" i="4"/>
  <c r="Y9" i="4"/>
  <c r="X15" i="4"/>
  <c r="X29" i="4"/>
  <c r="X22" i="4"/>
  <c r="X25" i="4"/>
  <c r="X27" i="4"/>
  <c r="X14" i="4"/>
  <c r="X19" i="4"/>
  <c r="X13" i="4"/>
  <c r="X24" i="4"/>
  <c r="X12" i="4"/>
  <c r="X23" i="4"/>
  <c r="X30" i="4"/>
  <c r="X20" i="4"/>
  <c r="X28" i="4"/>
  <c r="X21" i="4"/>
  <c r="X11" i="4"/>
  <c r="X33" i="4"/>
  <c r="X18" i="4"/>
  <c r="X10" i="4"/>
  <c r="X17" i="4"/>
  <c r="AE18" i="16"/>
  <c r="P16" i="16"/>
  <c r="AE16" i="16" s="1"/>
  <c r="BV61" i="41"/>
  <c r="X49" i="48"/>
  <c r="X45" i="48"/>
  <c r="Y45" i="48" s="1"/>
  <c r="K49" i="62"/>
  <c r="K41" i="62"/>
  <c r="E33" i="63" s="1"/>
  <c r="E34" i="63" s="1"/>
  <c r="AV45" i="48"/>
  <c r="AW45" i="48" s="1"/>
  <c r="AV49" i="48"/>
  <c r="J39" i="47"/>
  <c r="J41" i="47" s="1"/>
  <c r="J10" i="47"/>
  <c r="BE65" i="36"/>
  <c r="BD66" i="36"/>
  <c r="BD65" i="36" s="1"/>
  <c r="U56" i="39"/>
  <c r="U55" i="39" s="1"/>
  <c r="V55" i="39"/>
  <c r="V51" i="39" s="1"/>
  <c r="U51" i="39" s="1"/>
  <c r="L51" i="39"/>
  <c r="M32" i="39"/>
  <c r="BL64" i="41"/>
  <c r="R10" i="6"/>
  <c r="S11" i="6"/>
  <c r="R11" i="6" s="1"/>
  <c r="DA9" i="48"/>
  <c r="DB9" i="48"/>
  <c r="CZ9" i="48"/>
  <c r="CX8" i="48"/>
  <c r="CX37" i="48"/>
  <c r="F9" i="48"/>
  <c r="Q64" i="9"/>
  <c r="Q65" i="9"/>
  <c r="Q14" i="9"/>
  <c r="K14" i="46"/>
  <c r="W19" i="94"/>
  <c r="K14" i="45"/>
  <c r="U42" i="43"/>
  <c r="AF72" i="1"/>
  <c r="W51" i="37"/>
  <c r="W52" i="37" s="1"/>
  <c r="W51" i="4"/>
  <c r="W52" i="4" s="1"/>
  <c r="AF50" i="4"/>
  <c r="AF50" i="37"/>
  <c r="U10" i="39"/>
  <c r="V11" i="39"/>
  <c r="U11" i="39" s="1"/>
  <c r="P76" i="7"/>
  <c r="O76" i="7" s="1"/>
  <c r="O75" i="7"/>
  <c r="G22" i="64"/>
  <c r="Y17" i="39"/>
  <c r="X17" i="39" s="1"/>
  <c r="X12" i="39"/>
  <c r="E89" i="50"/>
  <c r="BL40" i="5"/>
  <c r="BL39" i="5" s="1"/>
  <c r="BL35" i="5" s="1"/>
  <c r="BK39" i="5"/>
  <c r="BK35" i="5" s="1"/>
  <c r="AQ9" i="37"/>
  <c r="AR35" i="37" s="1"/>
  <c r="O9" i="15"/>
  <c r="CZ26" i="48"/>
  <c r="T48" i="62"/>
  <c r="T41" i="14"/>
  <c r="T46" i="14" s="1"/>
  <c r="O75" i="38"/>
  <c r="P76" i="38"/>
  <c r="O76" i="38" s="1"/>
  <c r="Y12" i="6"/>
  <c r="Y12" i="7"/>
  <c r="AB12" i="38"/>
  <c r="AB12" i="39"/>
  <c r="AC17" i="39"/>
  <c r="BP75" i="3"/>
  <c r="X14" i="16" s="1"/>
  <c r="X13" i="16" s="1"/>
  <c r="BV73" i="3"/>
  <c r="I32" i="38"/>
  <c r="J63" i="38"/>
  <c r="T63" i="40"/>
  <c r="T64" i="40"/>
  <c r="C41" i="80"/>
  <c r="AC38" i="62"/>
  <c r="F44" i="48"/>
  <c r="BR50" i="48"/>
  <c r="BR43" i="48"/>
  <c r="BV44" i="48"/>
  <c r="BS44" i="48"/>
  <c r="Q11" i="44"/>
  <c r="AB39" i="4"/>
  <c r="AB35" i="4" s="1"/>
  <c r="BM40" i="5"/>
  <c r="AG40" i="37"/>
  <c r="AG39" i="37" s="1"/>
  <c r="AG35" i="37" s="1"/>
  <c r="AO40" i="37"/>
  <c r="AJ39" i="37"/>
  <c r="AJ35" i="37" s="1"/>
  <c r="BK79" i="41"/>
  <c r="BK72" i="41"/>
  <c r="W46" i="38"/>
  <c r="W46" i="39"/>
  <c r="W81" i="39" s="1"/>
  <c r="AK34" i="4"/>
  <c r="AT68" i="1"/>
  <c r="T46" i="6"/>
  <c r="T81" i="6" s="1"/>
  <c r="AZ68" i="36"/>
  <c r="AZ70" i="36" s="1"/>
  <c r="T46" i="7"/>
  <c r="S55" i="39"/>
  <c r="P51" i="39"/>
  <c r="BM65" i="41"/>
  <c r="AM63" i="1"/>
  <c r="BM63" i="3"/>
  <c r="AI62" i="1"/>
  <c r="AI58" i="1" s="1"/>
  <c r="AI55" i="1" s="1"/>
  <c r="AI70" i="1" s="1"/>
  <c r="CH35" i="48"/>
  <c r="O15" i="64"/>
  <c r="N15" i="64" s="1"/>
  <c r="N15" i="17"/>
  <c r="S18" i="16"/>
  <c r="BK55" i="3"/>
  <c r="W58" i="40"/>
  <c r="W49" i="40" s="1"/>
  <c r="W12" i="40"/>
  <c r="O51" i="6"/>
  <c r="P32" i="6"/>
  <c r="O32" i="6" s="1"/>
  <c r="V49" i="48"/>
  <c r="Z25" i="48"/>
  <c r="Y25" i="48"/>
  <c r="D15" i="15"/>
  <c r="G22" i="17"/>
  <c r="H39" i="62"/>
  <c r="C42" i="73"/>
  <c r="E133" i="73" s="1"/>
  <c r="E19" i="64"/>
  <c r="F19" i="17"/>
  <c r="T39" i="62"/>
  <c r="C42" i="77"/>
  <c r="R36" i="62"/>
  <c r="T36" i="62" s="1"/>
  <c r="O51" i="7"/>
  <c r="P32" i="7"/>
  <c r="O32" i="7" s="1"/>
  <c r="AC17" i="38"/>
  <c r="AC70" i="38"/>
  <c r="AC75" i="38" s="1"/>
  <c r="AC76" i="38" s="1"/>
  <c r="T13" i="40"/>
  <c r="T9" i="9"/>
  <c r="T10" i="9" s="1"/>
  <c r="S10" i="9"/>
  <c r="AO8" i="62"/>
  <c r="AO44" i="62"/>
  <c r="AO47" i="62"/>
  <c r="AL44" i="62"/>
  <c r="AL8" i="62"/>
  <c r="AL47" i="62"/>
  <c r="AX63" i="43"/>
  <c r="AX62" i="43" s="1"/>
  <c r="AY62" i="43"/>
  <c r="AY66" i="43"/>
  <c r="AU65" i="43"/>
  <c r="AU61" i="43" s="1"/>
  <c r="AU57" i="43" s="1"/>
  <c r="E6" i="63" l="1"/>
  <c r="P20" i="164"/>
  <c r="N20" i="164" s="1"/>
  <c r="F19" i="164"/>
  <c r="CP40" i="48"/>
  <c r="S58" i="45"/>
  <c r="R58" i="45" s="1"/>
  <c r="E20" i="164"/>
  <c r="K10" i="164"/>
  <c r="G22" i="164"/>
  <c r="W13" i="40"/>
  <c r="E14" i="160"/>
  <c r="E21" i="164"/>
  <c r="F21" i="164" s="1"/>
  <c r="S11" i="164"/>
  <c r="Q11" i="164" s="1"/>
  <c r="O22" i="164"/>
  <c r="N11" i="164"/>
  <c r="S14" i="164"/>
  <c r="Q14" i="164" s="1"/>
  <c r="M14" i="164" s="1"/>
  <c r="J18" i="164"/>
  <c r="AB63" i="153"/>
  <c r="AB63" i="152"/>
  <c r="X63" i="152"/>
  <c r="X62" i="152" s="1"/>
  <c r="Y62" i="152"/>
  <c r="Y58" i="152" s="1"/>
  <c r="X58" i="152" s="1"/>
  <c r="U67" i="45"/>
  <c r="U65" i="45" s="1"/>
  <c r="V65" i="45"/>
  <c r="Z31" i="153"/>
  <c r="Z31" i="152"/>
  <c r="Z10" i="152" s="1"/>
  <c r="Z11" i="152" s="1"/>
  <c r="E31" i="63"/>
  <c r="E32" i="63" s="1"/>
  <c r="E35" i="63" s="1"/>
  <c r="K81" i="152"/>
  <c r="K80" i="152" s="1"/>
  <c r="N81" i="152"/>
  <c r="N80" i="152" s="1"/>
  <c r="T14" i="152"/>
  <c r="X63" i="153"/>
  <c r="X62" i="153" s="1"/>
  <c r="Y62" i="153"/>
  <c r="Y58" i="153" s="1"/>
  <c r="X58" i="153" s="1"/>
  <c r="Y26" i="45"/>
  <c r="Y26" i="46"/>
  <c r="V26" i="153"/>
  <c r="V26" i="152"/>
  <c r="Z53" i="153"/>
  <c r="Z90" i="153" s="1"/>
  <c r="Z53" i="152"/>
  <c r="U42" i="150"/>
  <c r="J14" i="153"/>
  <c r="J14" i="152"/>
  <c r="CP30" i="48"/>
  <c r="X79" i="152"/>
  <c r="Y84" i="152"/>
  <c r="AA12" i="152"/>
  <c r="AB79" i="152"/>
  <c r="AB17" i="152"/>
  <c r="AA17" i="152" s="1"/>
  <c r="X23" i="46"/>
  <c r="X22" i="46" s="1"/>
  <c r="Y22" i="46"/>
  <c r="Y67" i="46"/>
  <c r="Y67" i="45"/>
  <c r="V65" i="46"/>
  <c r="U67" i="46"/>
  <c r="U65" i="46" s="1"/>
  <c r="AB17" i="153"/>
  <c r="AA17" i="153" s="1"/>
  <c r="AA12" i="153"/>
  <c r="X23" i="45"/>
  <c r="X22" i="45" s="1"/>
  <c r="Y22" i="45"/>
  <c r="K36" i="153"/>
  <c r="Q12" i="151"/>
  <c r="K36" i="152"/>
  <c r="AO50" i="151"/>
  <c r="AG50" i="151"/>
  <c r="AG48" i="151" s="1"/>
  <c r="AG41" i="151" s="1"/>
  <c r="AJ48" i="151"/>
  <c r="AJ41" i="151" s="1"/>
  <c r="O58" i="152"/>
  <c r="S58" i="152"/>
  <c r="R58" i="152" s="1"/>
  <c r="O58" i="153"/>
  <c r="S58" i="153"/>
  <c r="R58" i="153" s="1"/>
  <c r="AR48" i="151"/>
  <c r="W41" i="151"/>
  <c r="AR41" i="151" s="1"/>
  <c r="AX66" i="150"/>
  <c r="AX65" i="150" s="1"/>
  <c r="AX61" i="150" s="1"/>
  <c r="AX57" i="150" s="1"/>
  <c r="AY65" i="150"/>
  <c r="AY61" i="150" s="1"/>
  <c r="AY57" i="150" s="1"/>
  <c r="AS49" i="89"/>
  <c r="AU49" i="89" s="1"/>
  <c r="AT48" i="89"/>
  <c r="E136" i="77"/>
  <c r="C39" i="77"/>
  <c r="W46" i="7"/>
  <c r="Z46" i="38"/>
  <c r="AP34" i="4"/>
  <c r="Z46" i="39"/>
  <c r="Z81" i="39" s="1"/>
  <c r="BF68" i="36"/>
  <c r="BF70" i="36" s="1"/>
  <c r="W46" i="6"/>
  <c r="W81" i="6" s="1"/>
  <c r="AZ68" i="1"/>
  <c r="BU31" i="48"/>
  <c r="BV31" i="48"/>
  <c r="F31" i="48"/>
  <c r="BT31" i="48"/>
  <c r="AF33" i="4"/>
  <c r="AF12" i="4"/>
  <c r="AF29" i="4"/>
  <c r="AF18" i="4"/>
  <c r="AF30" i="4"/>
  <c r="AF20" i="4"/>
  <c r="AF22" i="4"/>
  <c r="AF26" i="4"/>
  <c r="AF23" i="4"/>
  <c r="AF19" i="4"/>
  <c r="AF27" i="4"/>
  <c r="AF25" i="4"/>
  <c r="AF24" i="4"/>
  <c r="AF28" i="4"/>
  <c r="AF21" i="4"/>
  <c r="C69" i="74"/>
  <c r="C74" i="72"/>
  <c r="AF38" i="62"/>
  <c r="C41" i="81"/>
  <c r="BO40" i="5"/>
  <c r="AG39" i="4"/>
  <c r="AG35" i="4" s="1"/>
  <c r="BJ70" i="3"/>
  <c r="N20" i="17"/>
  <c r="P20" i="64"/>
  <c r="P78" i="7"/>
  <c r="O77" i="7"/>
  <c r="O78" i="7" s="1"/>
  <c r="P32" i="48"/>
  <c r="D10" i="15"/>
  <c r="P25" i="48"/>
  <c r="P67" i="48"/>
  <c r="J68" i="38"/>
  <c r="I63" i="38"/>
  <c r="J67" i="38"/>
  <c r="S32" i="16"/>
  <c r="S23" i="16" s="1"/>
  <c r="BK9" i="5"/>
  <c r="L32" i="39"/>
  <c r="M63" i="39"/>
  <c r="L63" i="39" s="1"/>
  <c r="T49" i="62"/>
  <c r="T41" i="62"/>
  <c r="H33" i="63" s="1"/>
  <c r="H34" i="63" s="1"/>
  <c r="H35" i="63" s="1"/>
  <c r="S51" i="39"/>
  <c r="O51" i="39"/>
  <c r="P32" i="39"/>
  <c r="O32" i="39" s="1"/>
  <c r="BN40" i="5"/>
  <c r="BM39" i="5"/>
  <c r="BM35" i="5" s="1"/>
  <c r="U32" i="16" s="1"/>
  <c r="K15" i="71"/>
  <c r="BR51" i="48"/>
  <c r="T32" i="16"/>
  <c r="T23" i="16" s="1"/>
  <c r="BL9" i="5"/>
  <c r="W41" i="62"/>
  <c r="I33" i="63" s="1"/>
  <c r="I34" i="63" s="1"/>
  <c r="W49" i="62"/>
  <c r="J18" i="64"/>
  <c r="P78" i="38"/>
  <c r="O77" i="38"/>
  <c r="O78" i="38" s="1"/>
  <c r="X56" i="38"/>
  <c r="X55" i="38" s="1"/>
  <c r="Y55" i="38"/>
  <c r="Y51" i="38" s="1"/>
  <c r="X51" i="38" s="1"/>
  <c r="H14" i="63"/>
  <c r="C81" i="77" s="1"/>
  <c r="C78" i="77"/>
  <c r="C73" i="77" s="1"/>
  <c r="H6" i="63"/>
  <c r="S80" i="7"/>
  <c r="S81" i="7" s="1"/>
  <c r="S82" i="7" s="1"/>
  <c r="AE57" i="151" s="1"/>
  <c r="AE27" i="151" s="1"/>
  <c r="AB27" i="151" s="1"/>
  <c r="AD27" i="151" s="1"/>
  <c r="S77" i="7"/>
  <c r="R11" i="7"/>
  <c r="I26" i="48"/>
  <c r="J26" i="48"/>
  <c r="J10" i="15"/>
  <c r="BL67" i="48"/>
  <c r="BL32" i="48"/>
  <c r="BL25" i="48"/>
  <c r="U10" i="9"/>
  <c r="V9" i="9"/>
  <c r="V10" i="9" s="1"/>
  <c r="K10" i="64"/>
  <c r="R32" i="48"/>
  <c r="Q32" i="48"/>
  <c r="O8" i="7"/>
  <c r="P63" i="7"/>
  <c r="O63" i="7" s="1"/>
  <c r="I5" i="15"/>
  <c r="I25" i="15" s="1"/>
  <c r="I11" i="63"/>
  <c r="I31" i="63" s="1"/>
  <c r="I32" i="63" s="1"/>
  <c r="I13" i="15"/>
  <c r="S15" i="17" s="1"/>
  <c r="I23" i="15"/>
  <c r="V77" i="38"/>
  <c r="V80" i="38"/>
  <c r="V81" i="38" s="1"/>
  <c r="V82" i="38" s="1"/>
  <c r="U11" i="38"/>
  <c r="X36" i="14"/>
  <c r="Z36" i="14" s="1"/>
  <c r="Z39" i="14"/>
  <c r="X39" i="62"/>
  <c r="BR77" i="41"/>
  <c r="CK35" i="48"/>
  <c r="C39" i="78"/>
  <c r="E132" i="78"/>
  <c r="L32" i="6"/>
  <c r="M63" i="6"/>
  <c r="L63" i="6" s="1"/>
  <c r="V55" i="7"/>
  <c r="V51" i="7" s="1"/>
  <c r="U51" i="7" s="1"/>
  <c r="U56" i="7"/>
  <c r="U55" i="7" s="1"/>
  <c r="AL49" i="44"/>
  <c r="AL47" i="44" s="1"/>
  <c r="AL40" i="44" s="1"/>
  <c r="AO47" i="44"/>
  <c r="AO40" i="44" s="1"/>
  <c r="BJ35" i="5"/>
  <c r="BD45" i="48"/>
  <c r="BE45" i="48" s="1"/>
  <c r="BD49" i="48"/>
  <c r="S14" i="64"/>
  <c r="Q14" i="64" s="1"/>
  <c r="M14" i="64" s="1"/>
  <c r="Q14" i="17"/>
  <c r="M14" i="17" s="1"/>
  <c r="C14" i="112"/>
  <c r="BT75" i="41"/>
  <c r="R75" i="7"/>
  <c r="S76" i="7"/>
  <c r="X9" i="40"/>
  <c r="Y8" i="40"/>
  <c r="Y9" i="40" s="1"/>
  <c r="N33" i="50"/>
  <c r="CJ12" i="48"/>
  <c r="N32" i="50"/>
  <c r="AA12" i="39"/>
  <c r="AB17" i="39"/>
  <c r="AA17" i="39" s="1"/>
  <c r="R16" i="16"/>
  <c r="R11" i="16"/>
  <c r="E20" i="64"/>
  <c r="F20" i="64" s="1"/>
  <c r="F20" i="17"/>
  <c r="V43" i="43"/>
  <c r="V43" i="150" s="1"/>
  <c r="V11" i="150" s="1"/>
  <c r="E7" i="14"/>
  <c r="U10" i="17"/>
  <c r="D16" i="63"/>
  <c r="S11" i="92"/>
  <c r="E14" i="58"/>
  <c r="V11" i="44"/>
  <c r="V79" i="44" s="1"/>
  <c r="V65" i="44" s="1"/>
  <c r="K36" i="46"/>
  <c r="K36" i="45"/>
  <c r="P11" i="44"/>
  <c r="I9" i="48"/>
  <c r="J9" i="48"/>
  <c r="V76" i="38"/>
  <c r="U76" i="38" s="1"/>
  <c r="U75" i="38"/>
  <c r="Q23" i="16"/>
  <c r="U56" i="6"/>
  <c r="U55" i="6" s="1"/>
  <c r="V55" i="6"/>
  <c r="V51" i="6" s="1"/>
  <c r="U51" i="6" s="1"/>
  <c r="CT42" i="48"/>
  <c r="CQ46" i="48"/>
  <c r="CQ47" i="48"/>
  <c r="CQ44" i="48"/>
  <c r="CR22" i="48"/>
  <c r="CT47" i="48"/>
  <c r="CT46" i="48"/>
  <c r="CQ42" i="48"/>
  <c r="CT44" i="48"/>
  <c r="N11" i="64"/>
  <c r="O22" i="64"/>
  <c r="CD25" i="48"/>
  <c r="CC25" i="48"/>
  <c r="BZ49" i="48"/>
  <c r="BX47" i="48"/>
  <c r="X70" i="38"/>
  <c r="Y75" i="38"/>
  <c r="O8" i="6"/>
  <c r="P63" i="6"/>
  <c r="O63" i="6" s="1"/>
  <c r="BS77" i="41"/>
  <c r="BQ77" i="41"/>
  <c r="CP32" i="48"/>
  <c r="CS30" i="48"/>
  <c r="CS67" i="48" s="1"/>
  <c r="CP67" i="48"/>
  <c r="CT30" i="48"/>
  <c r="CT67" i="48" s="1"/>
  <c r="CP25" i="48"/>
  <c r="F14" i="19"/>
  <c r="F32" i="19"/>
  <c r="H7" i="19"/>
  <c r="G14" i="19"/>
  <c r="G32" i="19"/>
  <c r="U63" i="45"/>
  <c r="U62" i="45" s="1"/>
  <c r="V62" i="45"/>
  <c r="V58" i="45" s="1"/>
  <c r="U58" i="45" s="1"/>
  <c r="S65" i="9"/>
  <c r="S64" i="9"/>
  <c r="S14" i="9"/>
  <c r="F19" i="64"/>
  <c r="BN63" i="3"/>
  <c r="BM62" i="3"/>
  <c r="BM58" i="3" s="1"/>
  <c r="BL79" i="41"/>
  <c r="BK74" i="41"/>
  <c r="BK86" i="41" s="1"/>
  <c r="AB70" i="38"/>
  <c r="AB17" i="38"/>
  <c r="AA17" i="38" s="1"/>
  <c r="AA12" i="38"/>
  <c r="P21" i="17"/>
  <c r="O6" i="15"/>
  <c r="O10" i="63"/>
  <c r="C9" i="15"/>
  <c r="V19" i="94"/>
  <c r="T42" i="43"/>
  <c r="J14" i="45"/>
  <c r="J14" i="46"/>
  <c r="I14" i="46" s="1"/>
  <c r="R25" i="38"/>
  <c r="O24" i="38"/>
  <c r="Y55" i="39"/>
  <c r="Y51" i="39" s="1"/>
  <c r="X51" i="39" s="1"/>
  <c r="X56" i="39"/>
  <c r="X55" i="39" s="1"/>
  <c r="F46" i="48"/>
  <c r="F43" i="48" s="1"/>
  <c r="F41" i="48" s="1"/>
  <c r="CI46" i="48"/>
  <c r="CL46" i="48"/>
  <c r="CH50" i="48"/>
  <c r="F50" i="48" s="1"/>
  <c r="CH43" i="48"/>
  <c r="CH41" i="48" s="1"/>
  <c r="J68" i="7"/>
  <c r="J67" i="7"/>
  <c r="I63" i="7"/>
  <c r="BU13" i="48"/>
  <c r="BR8" i="48"/>
  <c r="S24" i="39"/>
  <c r="P20" i="39"/>
  <c r="I63" i="39"/>
  <c r="L32" i="7"/>
  <c r="M63" i="7"/>
  <c r="L63" i="7" s="1"/>
  <c r="O51" i="38"/>
  <c r="R51" i="38" s="1"/>
  <c r="S51" i="38"/>
  <c r="P32" i="38"/>
  <c r="O32" i="50"/>
  <c r="O89" i="50" s="1"/>
  <c r="O33" i="50"/>
  <c r="O90" i="50" s="1"/>
  <c r="D90" i="50" s="1"/>
  <c r="CR35" i="48"/>
  <c r="W64" i="40"/>
  <c r="W63" i="40"/>
  <c r="U70" i="7"/>
  <c r="V75" i="7"/>
  <c r="X12" i="7"/>
  <c r="Y70" i="7"/>
  <c r="Y17" i="7"/>
  <c r="X17" i="7" s="1"/>
  <c r="AR15" i="37"/>
  <c r="AR29" i="37"/>
  <c r="AR34" i="37"/>
  <c r="AR9" i="37"/>
  <c r="AR16" i="37"/>
  <c r="AR14" i="37"/>
  <c r="AR25" i="37"/>
  <c r="AR12" i="37"/>
  <c r="AR32" i="37"/>
  <c r="AR31" i="37"/>
  <c r="AR26" i="37"/>
  <c r="AR22" i="37"/>
  <c r="AR30" i="37"/>
  <c r="AR27" i="37"/>
  <c r="AR19" i="37"/>
  <c r="AR24" i="37"/>
  <c r="AR23" i="37"/>
  <c r="AR20" i="37"/>
  <c r="AR33" i="37"/>
  <c r="AR21" i="37"/>
  <c r="AR13" i="37"/>
  <c r="AR28" i="37"/>
  <c r="AR11" i="37"/>
  <c r="AR18" i="37"/>
  <c r="AR17" i="37"/>
  <c r="AR10" i="37"/>
  <c r="N81" i="45"/>
  <c r="N80" i="45" s="1"/>
  <c r="K81" i="45"/>
  <c r="K80" i="45" s="1"/>
  <c r="DA8" i="48"/>
  <c r="DB8" i="48"/>
  <c r="S24" i="38"/>
  <c r="P20" i="38"/>
  <c r="CX39" i="48"/>
  <c r="EX47" i="47"/>
  <c r="J47" i="47" s="1"/>
  <c r="P18" i="50"/>
  <c r="AB56" i="39"/>
  <c r="Y56" i="7"/>
  <c r="Y56" i="6"/>
  <c r="AB56" i="38"/>
  <c r="AO39" i="4"/>
  <c r="AO35" i="4" s="1"/>
  <c r="AL40" i="4"/>
  <c r="AS62" i="36"/>
  <c r="AS58" i="36" s="1"/>
  <c r="AS55" i="36" s="1"/>
  <c r="AS70" i="36" s="1"/>
  <c r="AU63" i="36"/>
  <c r="AR63" i="36"/>
  <c r="AR62" i="36" s="1"/>
  <c r="AR58" i="36" s="1"/>
  <c r="AR55" i="36" s="1"/>
  <c r="AR70" i="36" s="1"/>
  <c r="I15" i="138"/>
  <c r="BT13" i="48"/>
  <c r="E14" i="63"/>
  <c r="C76" i="74" s="1"/>
  <c r="C73" i="74"/>
  <c r="BJ72" i="3"/>
  <c r="I16" i="138"/>
  <c r="C139" i="81"/>
  <c r="CB13" i="48"/>
  <c r="BQ75" i="3"/>
  <c r="Y14" i="16" s="1"/>
  <c r="Y13" i="16" s="1"/>
  <c r="BS73" i="3"/>
  <c r="V63" i="40"/>
  <c r="V64" i="40"/>
  <c r="F38" i="62"/>
  <c r="H38" i="14"/>
  <c r="F36" i="14"/>
  <c r="Q25" i="48"/>
  <c r="L47" i="48"/>
  <c r="M47" i="48" s="1"/>
  <c r="R25" i="48"/>
  <c r="N49" i="48"/>
  <c r="T64" i="9"/>
  <c r="T65" i="9"/>
  <c r="T14" i="9"/>
  <c r="E22" i="17"/>
  <c r="E23" i="17" s="1"/>
  <c r="C147" i="73"/>
  <c r="C148" i="73" s="1"/>
  <c r="BK77" i="3"/>
  <c r="BK70" i="3"/>
  <c r="S25" i="7"/>
  <c r="AL63" i="1"/>
  <c r="AL62" i="1" s="1"/>
  <c r="AL58" i="1" s="1"/>
  <c r="AL55" i="1" s="1"/>
  <c r="AL70" i="1" s="1"/>
  <c r="V25" i="38"/>
  <c r="AO63" i="1"/>
  <c r="S25" i="6"/>
  <c r="AM62" i="1"/>
  <c r="AM58" i="1" s="1"/>
  <c r="AM55" i="1" s="1"/>
  <c r="AM70" i="1" s="1"/>
  <c r="V25" i="39"/>
  <c r="S16" i="16"/>
  <c r="S11" i="16"/>
  <c r="BM64" i="41"/>
  <c r="BM60" i="41" s="1"/>
  <c r="BM57" i="41" s="1"/>
  <c r="BN65" i="41"/>
  <c r="Z30" i="39"/>
  <c r="Z30" i="38"/>
  <c r="W30" i="7"/>
  <c r="W30" i="6"/>
  <c r="AT70" i="1"/>
  <c r="AO39" i="37"/>
  <c r="AO35" i="37" s="1"/>
  <c r="AL40" i="37"/>
  <c r="AL39" i="37" s="1"/>
  <c r="AL35" i="37" s="1"/>
  <c r="Y17" i="6"/>
  <c r="X17" i="6" s="1"/>
  <c r="X12" i="6"/>
  <c r="AF21" i="37"/>
  <c r="AF20" i="37"/>
  <c r="AF27" i="37"/>
  <c r="AF25" i="37"/>
  <c r="AF30" i="37"/>
  <c r="AF24" i="37"/>
  <c r="AF18" i="37"/>
  <c r="AF19" i="37"/>
  <c r="AF26" i="37"/>
  <c r="AF28" i="37"/>
  <c r="AF29" i="37"/>
  <c r="AF23" i="37"/>
  <c r="AF33" i="37"/>
  <c r="AF22" i="37"/>
  <c r="AF12" i="37"/>
  <c r="W31" i="94"/>
  <c r="R19" i="94"/>
  <c r="H9" i="48"/>
  <c r="BL60" i="41"/>
  <c r="E21" i="64"/>
  <c r="F21" i="64" s="1"/>
  <c r="F21" i="17"/>
  <c r="F22" i="17" s="1"/>
  <c r="R11" i="38"/>
  <c r="O80" i="38"/>
  <c r="O81" i="38" s="1"/>
  <c r="O82" i="38" s="1"/>
  <c r="O65" i="38"/>
  <c r="V62" i="46"/>
  <c r="V58" i="46" s="1"/>
  <c r="U58" i="46" s="1"/>
  <c r="U63" i="46"/>
  <c r="U62" i="46" s="1"/>
  <c r="AL55" i="36"/>
  <c r="AL70" i="36" s="1"/>
  <c r="AM70" i="36"/>
  <c r="AM72" i="36" s="1"/>
  <c r="CJ22" i="48"/>
  <c r="CH13" i="48"/>
  <c r="AA14" i="16"/>
  <c r="AA13" i="16" s="1"/>
  <c r="CC32" i="48"/>
  <c r="CD32" i="48"/>
  <c r="Q11" i="17"/>
  <c r="M11" i="17" s="1"/>
  <c r="S11" i="64"/>
  <c r="Q11" i="64" s="1"/>
  <c r="BJ72" i="41"/>
  <c r="L32" i="38"/>
  <c r="M63" i="38"/>
  <c r="L63" i="38" s="1"/>
  <c r="J45" i="47"/>
  <c r="N7" i="63"/>
  <c r="C75" i="83"/>
  <c r="BR75" i="3"/>
  <c r="Z14" i="16" s="1"/>
  <c r="BT73" i="3"/>
  <c r="O80" i="7"/>
  <c r="O81" i="7" s="1"/>
  <c r="O82" i="7" s="1"/>
  <c r="O65" i="7"/>
  <c r="BJ86" i="41"/>
  <c r="BL58" i="3"/>
  <c r="AX66" i="43"/>
  <c r="AX65" i="43" s="1"/>
  <c r="AX61" i="43" s="1"/>
  <c r="AX57" i="43" s="1"/>
  <c r="AY65" i="43"/>
  <c r="AY61" i="43" s="1"/>
  <c r="AY57" i="43" s="1"/>
  <c r="F22" i="64" l="1"/>
  <c r="F22" i="164"/>
  <c r="F20" i="164"/>
  <c r="E22" i="164"/>
  <c r="E24" i="164" s="1"/>
  <c r="U10" i="164"/>
  <c r="S15" i="164"/>
  <c r="Q15" i="164" s="1"/>
  <c r="M15" i="164" s="1"/>
  <c r="P21" i="164"/>
  <c r="C21" i="161"/>
  <c r="D14" i="160"/>
  <c r="M11" i="164"/>
  <c r="V10" i="150"/>
  <c r="V12" i="150"/>
  <c r="V114" i="150" s="1"/>
  <c r="V112" i="150"/>
  <c r="X67" i="46"/>
  <c r="X65" i="46" s="1"/>
  <c r="Y65" i="46"/>
  <c r="AA79" i="152"/>
  <c r="AB84" i="152"/>
  <c r="I14" i="153"/>
  <c r="S14" i="153"/>
  <c r="R14" i="153" s="1"/>
  <c r="V25" i="152"/>
  <c r="V21" i="152" s="1"/>
  <c r="V18" i="152" s="1"/>
  <c r="V8" i="152" s="1"/>
  <c r="AC31" i="153"/>
  <c r="AC31" i="152"/>
  <c r="AC10" i="152" s="1"/>
  <c r="AC11" i="152" s="1"/>
  <c r="AC53" i="153"/>
  <c r="AC90" i="153" s="1"/>
  <c r="AC53" i="152"/>
  <c r="T42" i="150"/>
  <c r="V25" i="153"/>
  <c r="V21" i="153" s="1"/>
  <c r="V18" i="153" s="1"/>
  <c r="V8" i="153" s="1"/>
  <c r="U26" i="153"/>
  <c r="U25" i="153" s="1"/>
  <c r="U21" i="153" s="1"/>
  <c r="U18" i="153" s="1"/>
  <c r="AB62" i="152"/>
  <c r="AB58" i="152" s="1"/>
  <c r="AA58" i="152" s="1"/>
  <c r="AA63" i="152"/>
  <c r="AA62" i="152" s="1"/>
  <c r="Z89" i="152"/>
  <c r="Z90" i="152" s="1"/>
  <c r="Z91" i="152" s="1"/>
  <c r="Z86" i="152"/>
  <c r="Z87" i="152" s="1"/>
  <c r="AB62" i="153"/>
  <c r="AB58" i="153" s="1"/>
  <c r="AA58" i="153" s="1"/>
  <c r="AA63" i="153"/>
  <c r="AA62" i="153" s="1"/>
  <c r="AB58" i="151"/>
  <c r="AB60" i="151"/>
  <c r="E22" i="64"/>
  <c r="E24" i="64" s="1"/>
  <c r="I35" i="63"/>
  <c r="Y65" i="45"/>
  <c r="X67" i="45"/>
  <c r="X65" i="45" s="1"/>
  <c r="Y85" i="152"/>
  <c r="X85" i="152" s="1"/>
  <c r="X84" i="152"/>
  <c r="J81" i="152"/>
  <c r="I14" i="152"/>
  <c r="S14" i="152"/>
  <c r="R14" i="152" s="1"/>
  <c r="M81" i="152"/>
  <c r="Z8" i="153"/>
  <c r="Z10" i="153"/>
  <c r="Z11" i="153" s="1"/>
  <c r="N36" i="153"/>
  <c r="V12" i="151"/>
  <c r="V11" i="151" s="1"/>
  <c r="N36" i="152"/>
  <c r="N35" i="152" s="1"/>
  <c r="K81" i="153"/>
  <c r="J36" i="153"/>
  <c r="J36" i="152"/>
  <c r="P12" i="151"/>
  <c r="AL50" i="151"/>
  <c r="AL48" i="151" s="1"/>
  <c r="AL41" i="151" s="1"/>
  <c r="AO48" i="151"/>
  <c r="AO41" i="151" s="1"/>
  <c r="W36" i="152"/>
  <c r="W36" i="153"/>
  <c r="W49" i="153"/>
  <c r="W49" i="152"/>
  <c r="W56" i="153"/>
  <c r="W56" i="152"/>
  <c r="S24" i="6"/>
  <c r="S20" i="6" s="1"/>
  <c r="S18" i="6" s="1"/>
  <c r="S8" i="6" s="1"/>
  <c r="R25" i="6"/>
  <c r="R24" i="6" s="1"/>
  <c r="R20" i="6" s="1"/>
  <c r="R18" i="6" s="1"/>
  <c r="BM79" i="41"/>
  <c r="BM72" i="41"/>
  <c r="AB55" i="38"/>
  <c r="AB51" i="38" s="1"/>
  <c r="AA51" i="38" s="1"/>
  <c r="AA56" i="38"/>
  <c r="AA55" i="38" s="1"/>
  <c r="BT77" i="41"/>
  <c r="D5" i="15"/>
  <c r="D25" i="15" s="1"/>
  <c r="D13" i="15"/>
  <c r="D11" i="63"/>
  <c r="D31" i="63" s="1"/>
  <c r="D32" i="63" s="1"/>
  <c r="D23" i="15"/>
  <c r="N20" i="64"/>
  <c r="BP40" i="5"/>
  <c r="BP39" i="5" s="1"/>
  <c r="BP35" i="5" s="1"/>
  <c r="X32" i="16" s="1"/>
  <c r="BO39" i="5"/>
  <c r="BO35" i="5" s="1"/>
  <c r="W32" i="16" s="1"/>
  <c r="W10" i="6"/>
  <c r="W11" i="6" s="1"/>
  <c r="W8" i="6"/>
  <c r="V24" i="38"/>
  <c r="V20" i="38" s="1"/>
  <c r="V18" i="38" s="1"/>
  <c r="V8" i="38" s="1"/>
  <c r="U25" i="38"/>
  <c r="U24" i="38" s="1"/>
  <c r="U20" i="38" s="1"/>
  <c r="U18" i="38" s="1"/>
  <c r="BJ84" i="3"/>
  <c r="X56" i="6"/>
  <c r="X55" i="6" s="1"/>
  <c r="Y55" i="6"/>
  <c r="Y51" i="6" s="1"/>
  <c r="X51" i="6" s="1"/>
  <c r="U75" i="7"/>
  <c r="V76" i="7"/>
  <c r="U76" i="7" s="1"/>
  <c r="CH51" i="48"/>
  <c r="F51" i="48" s="1"/>
  <c r="K17" i="71"/>
  <c r="L17" i="71" s="1"/>
  <c r="C17" i="71" s="1"/>
  <c r="Q12" i="44"/>
  <c r="C6" i="15"/>
  <c r="BN62" i="3"/>
  <c r="M11" i="44"/>
  <c r="C21" i="65"/>
  <c r="E114" i="13"/>
  <c r="D14" i="58"/>
  <c r="J36" i="46"/>
  <c r="J36" i="45"/>
  <c r="C21" i="149"/>
  <c r="S10" i="92"/>
  <c r="AG38" i="14"/>
  <c r="V78" i="38"/>
  <c r="U77" i="38"/>
  <c r="U78" i="38" s="1"/>
  <c r="W42" i="38"/>
  <c r="AF17" i="4"/>
  <c r="T42" i="7"/>
  <c r="W42" i="39"/>
  <c r="W78" i="39" s="1"/>
  <c r="T42" i="6"/>
  <c r="T78" i="6" s="1"/>
  <c r="BL77" i="3"/>
  <c r="BK72" i="3"/>
  <c r="BK84" i="3" s="1"/>
  <c r="T18" i="16"/>
  <c r="BL55" i="3"/>
  <c r="CJ13" i="48"/>
  <c r="C138" i="82"/>
  <c r="C128" i="82" s="1"/>
  <c r="I17" i="138"/>
  <c r="R8" i="94"/>
  <c r="I15" i="112"/>
  <c r="C15" i="138"/>
  <c r="S32" i="38"/>
  <c r="O32" i="38"/>
  <c r="R32" i="38" s="1"/>
  <c r="N89" i="50"/>
  <c r="AQ51" i="37"/>
  <c r="AQ52" i="37" s="1"/>
  <c r="AL72" i="36"/>
  <c r="AF17" i="37"/>
  <c r="W8" i="7"/>
  <c r="W10" i="7"/>
  <c r="W11" i="7" s="1"/>
  <c r="AY63" i="36"/>
  <c r="AU62" i="36"/>
  <c r="AU58" i="36" s="1"/>
  <c r="AU55" i="36" s="1"/>
  <c r="R51" i="39"/>
  <c r="S32" i="39"/>
  <c r="R32" i="39" s="1"/>
  <c r="Z10" i="38"/>
  <c r="Z11" i="38" s="1"/>
  <c r="Z8" i="38"/>
  <c r="S24" i="7"/>
  <c r="S20" i="7" s="1"/>
  <c r="S18" i="7" s="1"/>
  <c r="S8" i="7" s="1"/>
  <c r="R25" i="7"/>
  <c r="R24" i="7" s="1"/>
  <c r="R20" i="7" s="1"/>
  <c r="R18" i="7" s="1"/>
  <c r="H36" i="14"/>
  <c r="X56" i="7"/>
  <c r="X55" i="7" s="1"/>
  <c r="Y55" i="7"/>
  <c r="Y51" i="7" s="1"/>
  <c r="X51" i="7" s="1"/>
  <c r="BV8" i="48"/>
  <c r="BU8" i="48"/>
  <c r="BR30" i="48"/>
  <c r="H14" i="19"/>
  <c r="H32" i="19"/>
  <c r="X75" i="38"/>
  <c r="Y76" i="38"/>
  <c r="X76" i="38" s="1"/>
  <c r="K81" i="46"/>
  <c r="E8" i="14"/>
  <c r="E42" i="14"/>
  <c r="S15" i="64"/>
  <c r="Q15" i="64" s="1"/>
  <c r="M15" i="64" s="1"/>
  <c r="Q15" i="17"/>
  <c r="M15" i="17" s="1"/>
  <c r="S78" i="7"/>
  <c r="R77" i="7"/>
  <c r="R78" i="7" s="1"/>
  <c r="W35" i="38"/>
  <c r="W34" i="38" s="1"/>
  <c r="AF11" i="4"/>
  <c r="I19" i="19"/>
  <c r="W35" i="39"/>
  <c r="T35" i="7"/>
  <c r="T34" i="7" s="1"/>
  <c r="T35" i="6"/>
  <c r="BN64" i="41"/>
  <c r="S20" i="38"/>
  <c r="P18" i="38"/>
  <c r="Q19" i="94"/>
  <c r="Q8" i="94" s="1"/>
  <c r="V31" i="94"/>
  <c r="U19" i="94"/>
  <c r="BM55" i="3"/>
  <c r="U18" i="16"/>
  <c r="U65" i="9"/>
  <c r="U14" i="9"/>
  <c r="U64" i="9"/>
  <c r="C72" i="83"/>
  <c r="BS75" i="3"/>
  <c r="X63" i="45"/>
  <c r="X62" i="45" s="1"/>
  <c r="Y62" i="45"/>
  <c r="M11" i="64"/>
  <c r="BL45" i="48"/>
  <c r="BM45" i="48" s="1"/>
  <c r="BL49" i="48"/>
  <c r="AC30" i="39"/>
  <c r="Z30" i="7"/>
  <c r="Z30" i="6"/>
  <c r="AC30" i="38"/>
  <c r="AZ70" i="1"/>
  <c r="BL57" i="41"/>
  <c r="Z8" i="39"/>
  <c r="Z10" i="39"/>
  <c r="Z11" i="39" s="1"/>
  <c r="S25" i="45"/>
  <c r="S21" i="45" s="1"/>
  <c r="AB55" i="39"/>
  <c r="AB51" i="39" s="1"/>
  <c r="AA51" i="39" s="1"/>
  <c r="AA56" i="39"/>
  <c r="AA55" i="39" s="1"/>
  <c r="P21" i="64"/>
  <c r="N21" i="64" s="1"/>
  <c r="N22" i="64" s="1"/>
  <c r="N21" i="17"/>
  <c r="N22" i="17" s="1"/>
  <c r="N36" i="45"/>
  <c r="N35" i="45" s="1"/>
  <c r="V10" i="44"/>
  <c r="N36" i="46"/>
  <c r="W20" i="94"/>
  <c r="W8" i="94" s="1"/>
  <c r="AB43" i="43"/>
  <c r="AB43" i="150" s="1"/>
  <c r="AB11" i="150" s="1"/>
  <c r="U43" i="43"/>
  <c r="U43" i="150" s="1"/>
  <c r="T43" i="150" s="1"/>
  <c r="V11" i="43"/>
  <c r="Y64" i="40"/>
  <c r="Y13" i="40"/>
  <c r="Y63" i="40"/>
  <c r="C42" i="79"/>
  <c r="Z39" i="62"/>
  <c r="X36" i="62"/>
  <c r="Z36" i="62" s="1"/>
  <c r="I6" i="63"/>
  <c r="C77" i="78"/>
  <c r="C72" i="78" s="1"/>
  <c r="I14" i="63"/>
  <c r="C80" i="78" s="1"/>
  <c r="AE50" i="4"/>
  <c r="AE50" i="37"/>
  <c r="L15" i="71"/>
  <c r="W49" i="39"/>
  <c r="W83" i="39" s="1"/>
  <c r="T49" i="7"/>
  <c r="T49" i="6"/>
  <c r="T83" i="6" s="1"/>
  <c r="W49" i="38"/>
  <c r="Z13" i="16"/>
  <c r="AB14" i="16"/>
  <c r="AO62" i="1"/>
  <c r="AO58" i="1" s="1"/>
  <c r="AO55" i="1" s="1"/>
  <c r="BO65" i="41"/>
  <c r="AS63" i="1"/>
  <c r="BO63" i="3"/>
  <c r="AA70" i="38"/>
  <c r="AB75" i="38"/>
  <c r="CT32" i="48"/>
  <c r="CS32" i="48"/>
  <c r="U10" i="64"/>
  <c r="R80" i="7"/>
  <c r="R81" i="7" s="1"/>
  <c r="R82" i="7" s="1"/>
  <c r="U25" i="39"/>
  <c r="U24" i="39" s="1"/>
  <c r="U20" i="39" s="1"/>
  <c r="U18" i="39" s="1"/>
  <c r="V24" i="39"/>
  <c r="V20" i="39" s="1"/>
  <c r="V18" i="39" s="1"/>
  <c r="V8" i="39" s="1"/>
  <c r="S25" i="46"/>
  <c r="S21" i="46" s="1"/>
  <c r="S18" i="46" s="1"/>
  <c r="R26" i="46"/>
  <c r="R25" i="46" s="1"/>
  <c r="R21" i="46" s="1"/>
  <c r="R18" i="46" s="1"/>
  <c r="J10" i="17"/>
  <c r="BQ40" i="5"/>
  <c r="BS40" i="5" s="1"/>
  <c r="BS39" i="5" s="1"/>
  <c r="BS35" i="5" s="1"/>
  <c r="AL39" i="4"/>
  <c r="AL35" i="4" s="1"/>
  <c r="P13" i="50"/>
  <c r="D18" i="50"/>
  <c r="N15" i="15"/>
  <c r="E14" i="68"/>
  <c r="X13" i="40"/>
  <c r="X64" i="40"/>
  <c r="X63" i="40"/>
  <c r="K16" i="17"/>
  <c r="J11" i="63"/>
  <c r="J31" i="63" s="1"/>
  <c r="J32" i="63" s="1"/>
  <c r="J13" i="15"/>
  <c r="S16" i="17" s="1"/>
  <c r="J23" i="15"/>
  <c r="J5" i="15"/>
  <c r="J25" i="15" s="1"/>
  <c r="C68" i="74"/>
  <c r="K12" i="15"/>
  <c r="H31" i="48"/>
  <c r="CK13" i="48"/>
  <c r="CH8" i="48"/>
  <c r="I16" i="112"/>
  <c r="C16" i="112" s="1"/>
  <c r="C16" i="138"/>
  <c r="R24" i="38"/>
  <c r="O20" i="38"/>
  <c r="C83" i="73"/>
  <c r="AF11" i="37"/>
  <c r="AF10" i="37" s="1"/>
  <c r="AF9" i="37" s="1"/>
  <c r="AB53" i="37"/>
  <c r="AB53" i="4"/>
  <c r="AB51" i="4"/>
  <c r="AB51" i="37"/>
  <c r="F13" i="48"/>
  <c r="O7" i="63"/>
  <c r="C73" i="84"/>
  <c r="C70" i="84" s="1"/>
  <c r="C10" i="63"/>
  <c r="C7" i="63" s="1"/>
  <c r="BT75" i="3"/>
  <c r="F36" i="62"/>
  <c r="H38" i="62"/>
  <c r="C41" i="73"/>
  <c r="AD39" i="14"/>
  <c r="CB8" i="48"/>
  <c r="CB30" i="48" s="1"/>
  <c r="X63" i="46"/>
  <c r="X62" i="46" s="1"/>
  <c r="Y62" i="46"/>
  <c r="M81" i="45"/>
  <c r="M80" i="45" s="1"/>
  <c r="I14" i="45"/>
  <c r="J81" i="45"/>
  <c r="BL74" i="41"/>
  <c r="BL86" i="41" s="1"/>
  <c r="CP49" i="48"/>
  <c r="CS25" i="48"/>
  <c r="CT25" i="48"/>
  <c r="R76" i="7"/>
  <c r="AE34" i="37"/>
  <c r="AE34" i="4"/>
  <c r="Z48" i="62"/>
  <c r="Z41" i="14"/>
  <c r="Z46" i="14" s="1"/>
  <c r="I31" i="48"/>
  <c r="J31" i="48"/>
  <c r="AW48" i="89"/>
  <c r="AV48" i="89"/>
  <c r="C129" i="81"/>
  <c r="AA39" i="14"/>
  <c r="BT8" i="48"/>
  <c r="BT30" i="48" s="1"/>
  <c r="CX35" i="48"/>
  <c r="F39" i="48"/>
  <c r="X70" i="7"/>
  <c r="Y75" i="7"/>
  <c r="S20" i="39"/>
  <c r="P18" i="39"/>
  <c r="CX40" i="48"/>
  <c r="CR13" i="48"/>
  <c r="C138" i="83"/>
  <c r="C128" i="83" s="1"/>
  <c r="I18" i="138"/>
  <c r="T11" i="92"/>
  <c r="D11" i="92"/>
  <c r="R32" i="16"/>
  <c r="BJ9" i="5"/>
  <c r="U80" i="38"/>
  <c r="U81" i="38" s="1"/>
  <c r="U82" i="38" s="1"/>
  <c r="V14" i="9"/>
  <c r="V64" i="9"/>
  <c r="V65" i="9"/>
  <c r="BN39" i="5"/>
  <c r="P45" i="48"/>
  <c r="P49" i="48"/>
  <c r="P22" i="17"/>
  <c r="Z46" i="6"/>
  <c r="Z81" i="6" s="1"/>
  <c r="Z46" i="7"/>
  <c r="AC46" i="39"/>
  <c r="AC81" i="39" s="1"/>
  <c r="AC46" i="38"/>
  <c r="E34" i="154" l="1"/>
  <c r="C28" i="169"/>
  <c r="C29" i="158"/>
  <c r="BB11" i="44"/>
  <c r="BB10" i="44" s="1"/>
  <c r="J10" i="164"/>
  <c r="Y58" i="45"/>
  <c r="X58" i="45" s="1"/>
  <c r="E15" i="160"/>
  <c r="E12" i="160" s="1"/>
  <c r="N21" i="164"/>
  <c r="N22" i="164" s="1"/>
  <c r="P22" i="164"/>
  <c r="C14" i="160"/>
  <c r="E114" i="162"/>
  <c r="S16" i="164"/>
  <c r="Q16" i="164" s="1"/>
  <c r="M16" i="164" s="1"/>
  <c r="K16" i="164"/>
  <c r="Y58" i="46"/>
  <c r="X58" i="46" s="1"/>
  <c r="AB12" i="150"/>
  <c r="AB114" i="150" s="1"/>
  <c r="AB10" i="150"/>
  <c r="AB112" i="150"/>
  <c r="Q13" i="151"/>
  <c r="Q11" i="151" s="1"/>
  <c r="K37" i="153"/>
  <c r="K37" i="152"/>
  <c r="BE42" i="150"/>
  <c r="T11" i="150"/>
  <c r="AB85" i="152"/>
  <c r="AA85" i="152" s="1"/>
  <c r="AA84" i="152"/>
  <c r="V53" i="153"/>
  <c r="U53" i="153" s="1"/>
  <c r="V53" i="152"/>
  <c r="U53" i="152" s="1"/>
  <c r="Y26" i="153"/>
  <c r="Y26" i="152"/>
  <c r="I81" i="152"/>
  <c r="I80" i="152" s="1"/>
  <c r="J80" i="152"/>
  <c r="AC89" i="152"/>
  <c r="AC90" i="152" s="1"/>
  <c r="AC91" i="152" s="1"/>
  <c r="AC86" i="152"/>
  <c r="AC87" i="152" s="1"/>
  <c r="V113" i="150"/>
  <c r="V120" i="150"/>
  <c r="V121" i="150" s="1"/>
  <c r="P22" i="64"/>
  <c r="M80" i="152"/>
  <c r="L81" i="152"/>
  <c r="L80" i="152" s="1"/>
  <c r="U8" i="153"/>
  <c r="AC10" i="153"/>
  <c r="AC11" i="153" s="1"/>
  <c r="AC8" i="153"/>
  <c r="V115" i="150"/>
  <c r="V122" i="150"/>
  <c r="V116" i="150"/>
  <c r="V117" i="150" s="1"/>
  <c r="V134" i="150" s="1"/>
  <c r="U11" i="150"/>
  <c r="V73" i="150"/>
  <c r="V76" i="150"/>
  <c r="V4" i="150"/>
  <c r="V84" i="150"/>
  <c r="V86" i="150" s="1"/>
  <c r="V88" i="150" s="1"/>
  <c r="V90" i="150"/>
  <c r="N81" i="153"/>
  <c r="N35" i="153"/>
  <c r="S18" i="45"/>
  <c r="M12" i="151"/>
  <c r="I36" i="152"/>
  <c r="I36" i="153"/>
  <c r="J81" i="153"/>
  <c r="W47" i="152"/>
  <c r="W47" i="153"/>
  <c r="W35" i="152"/>
  <c r="AF10" i="4"/>
  <c r="AF9" i="4" s="1"/>
  <c r="W35" i="153"/>
  <c r="W34" i="153" s="1"/>
  <c r="H36" i="62"/>
  <c r="AE29" i="4"/>
  <c r="AE30" i="4"/>
  <c r="AE25" i="4"/>
  <c r="AE20" i="4"/>
  <c r="AE26" i="4"/>
  <c r="AE21" i="4"/>
  <c r="AE22" i="4"/>
  <c r="AE12" i="4"/>
  <c r="AE24" i="4"/>
  <c r="AE27" i="4"/>
  <c r="AE23" i="4"/>
  <c r="AE19" i="4"/>
  <c r="AE33" i="4"/>
  <c r="AE28" i="4"/>
  <c r="AE18" i="4"/>
  <c r="N35" i="46"/>
  <c r="N81" i="46"/>
  <c r="BN60" i="41"/>
  <c r="BA63" i="36"/>
  <c r="AY62" i="36"/>
  <c r="AY58" i="36" s="1"/>
  <c r="AY55" i="36" s="1"/>
  <c r="AX63" i="36"/>
  <c r="AX62" i="36" s="1"/>
  <c r="AX58" i="36" s="1"/>
  <c r="AX55" i="36" s="1"/>
  <c r="R9" i="94"/>
  <c r="R37" i="94" s="1"/>
  <c r="R7" i="94"/>
  <c r="AI38" i="14"/>
  <c r="AG38" i="62"/>
  <c r="U8" i="38"/>
  <c r="Y76" i="7"/>
  <c r="X75" i="7"/>
  <c r="P5" i="50"/>
  <c r="D13" i="50"/>
  <c r="U8" i="39"/>
  <c r="AD14" i="16"/>
  <c r="AB13" i="16"/>
  <c r="AC14" i="16"/>
  <c r="AC8" i="38"/>
  <c r="AC10" i="38"/>
  <c r="AC11" i="38" s="1"/>
  <c r="C75" i="72"/>
  <c r="C72" i="72" s="1"/>
  <c r="W77" i="7"/>
  <c r="W78" i="7" s="1"/>
  <c r="W80" i="7"/>
  <c r="W81" i="7" s="1"/>
  <c r="W82" i="7" s="1"/>
  <c r="AK57" i="151" s="1"/>
  <c r="P19" i="94"/>
  <c r="P8" i="94" s="1"/>
  <c r="W40" i="38"/>
  <c r="W44" i="38" s="1"/>
  <c r="W40" i="39"/>
  <c r="W44" i="39" s="1"/>
  <c r="W80" i="39" s="1"/>
  <c r="W77" i="39" s="1"/>
  <c r="T40" i="6"/>
  <c r="T44" i="6" s="1"/>
  <c r="T80" i="6" s="1"/>
  <c r="T77" i="6" s="1"/>
  <c r="T40" i="7"/>
  <c r="T44" i="7" s="1"/>
  <c r="I18" i="112"/>
  <c r="C18" i="112" s="1"/>
  <c r="C18" i="138"/>
  <c r="AA75" i="38"/>
  <c r="AB76" i="38"/>
  <c r="AA76" i="38" s="1"/>
  <c r="H48" i="62"/>
  <c r="H41" i="14"/>
  <c r="D10" i="92"/>
  <c r="T10" i="92"/>
  <c r="T9" i="92" s="1"/>
  <c r="S9" i="92"/>
  <c r="L10" i="15"/>
  <c r="CB32" i="48"/>
  <c r="CB67" i="48"/>
  <c r="CB25" i="48"/>
  <c r="V112" i="43"/>
  <c r="V10" i="43"/>
  <c r="V12" i="43"/>
  <c r="V114" i="43" s="1"/>
  <c r="Z10" i="6"/>
  <c r="Z11" i="6" s="1"/>
  <c r="Z8" i="6"/>
  <c r="Q9" i="94"/>
  <c r="Q37" i="94" s="1"/>
  <c r="Q7" i="94"/>
  <c r="T72" i="6"/>
  <c r="T71" i="6" s="1"/>
  <c r="T34" i="6"/>
  <c r="I17" i="112"/>
  <c r="C17" i="112" s="1"/>
  <c r="C17" i="138"/>
  <c r="BL72" i="3"/>
  <c r="BC12" i="5"/>
  <c r="C29" i="54"/>
  <c r="O11" i="44"/>
  <c r="Q45" i="48"/>
  <c r="J13" i="48"/>
  <c r="I13" i="48"/>
  <c r="F8" i="48"/>
  <c r="BR40" i="5"/>
  <c r="BQ39" i="5"/>
  <c r="BQ35" i="5" s="1"/>
  <c r="Y32" i="16" s="1"/>
  <c r="AA32" i="16" s="1"/>
  <c r="AJ39" i="14"/>
  <c r="CR8" i="48"/>
  <c r="CR30" i="48" s="1"/>
  <c r="DA35" i="48"/>
  <c r="F35" i="48"/>
  <c r="I35" i="48" s="1"/>
  <c r="CX30" i="48"/>
  <c r="V46" i="38"/>
  <c r="U46" i="38" s="1"/>
  <c r="AY68" i="36"/>
  <c r="AX68" i="36" s="1"/>
  <c r="AU68" i="36" s="1"/>
  <c r="AJ34" i="4"/>
  <c r="V46" i="39"/>
  <c r="S46" i="7"/>
  <c r="R46" i="7" s="1"/>
  <c r="AS68" i="1"/>
  <c r="S46" i="6"/>
  <c r="AB34" i="4"/>
  <c r="AD36" i="14"/>
  <c r="AF36" i="14" s="1"/>
  <c r="AD39" i="62"/>
  <c r="AF39" i="14"/>
  <c r="K18" i="17" s="1"/>
  <c r="CH30" i="48"/>
  <c r="CK8" i="48"/>
  <c r="CL8" i="48"/>
  <c r="K20" i="71"/>
  <c r="T43" i="43"/>
  <c r="T11" i="43" s="1"/>
  <c r="V20" i="94"/>
  <c r="U11" i="43"/>
  <c r="Z10" i="7"/>
  <c r="Z11" i="7" s="1"/>
  <c r="Z8" i="7"/>
  <c r="S18" i="38"/>
  <c r="P8" i="38"/>
  <c r="BU30" i="48"/>
  <c r="BU67" i="48" s="1"/>
  <c r="BR32" i="48"/>
  <c r="BR67" i="48"/>
  <c r="BV30" i="48"/>
  <c r="BV67" i="48" s="1"/>
  <c r="BR25" i="48"/>
  <c r="R8" i="7"/>
  <c r="AG39" i="14"/>
  <c r="CJ8" i="48"/>
  <c r="CJ30" i="48" s="1"/>
  <c r="I36" i="45"/>
  <c r="BN58" i="3"/>
  <c r="D14" i="63"/>
  <c r="D6" i="63"/>
  <c r="C78" i="73"/>
  <c r="K16" i="64"/>
  <c r="H16" i="17"/>
  <c r="D16" i="17" s="1"/>
  <c r="AJ34" i="37"/>
  <c r="AG34" i="37" s="1"/>
  <c r="AB34" i="37"/>
  <c r="J80" i="45"/>
  <c r="I81" i="45"/>
  <c r="I80" i="45" s="1"/>
  <c r="C39" i="73"/>
  <c r="Q16" i="17"/>
  <c r="M16" i="17" s="1"/>
  <c r="S16" i="64"/>
  <c r="Q16" i="64" s="1"/>
  <c r="M16" i="64" s="1"/>
  <c r="BO62" i="3"/>
  <c r="BO58" i="3" s="1"/>
  <c r="BP63" i="3"/>
  <c r="C15" i="71"/>
  <c r="C20" i="71" s="1"/>
  <c r="C22" i="71" s="1"/>
  <c r="L20" i="71"/>
  <c r="Z49" i="62"/>
  <c r="Z41" i="62"/>
  <c r="J33" i="63" s="1"/>
  <c r="J34" i="63" s="1"/>
  <c r="J35" i="63" s="1"/>
  <c r="AB11" i="43"/>
  <c r="AA43" i="43"/>
  <c r="AA43" i="150" s="1"/>
  <c r="AH43" i="43"/>
  <c r="AH43" i="150" s="1"/>
  <c r="AC8" i="39"/>
  <c r="AC10" i="39"/>
  <c r="AC11" i="39" s="1"/>
  <c r="W34" i="39"/>
  <c r="W33" i="39" s="1"/>
  <c r="W32" i="39" s="1"/>
  <c r="W63" i="39" s="1"/>
  <c r="W72" i="39"/>
  <c r="W71" i="39" s="1"/>
  <c r="C15" i="112"/>
  <c r="J81" i="46"/>
  <c r="I36" i="46"/>
  <c r="S10" i="17"/>
  <c r="BN79" i="41"/>
  <c r="BM74" i="41"/>
  <c r="BM86" i="41" s="1"/>
  <c r="BN35" i="5"/>
  <c r="R23" i="16"/>
  <c r="DB46" i="48"/>
  <c r="CZ22" i="48"/>
  <c r="CY44" i="48"/>
  <c r="DB44" i="48"/>
  <c r="DB42" i="48"/>
  <c r="CY42" i="48"/>
  <c r="CY47" i="48"/>
  <c r="CY46" i="48"/>
  <c r="DB47" i="48"/>
  <c r="F40" i="48"/>
  <c r="E44" i="48"/>
  <c r="J14" i="63"/>
  <c r="C81" i="79" s="1"/>
  <c r="C78" i="79"/>
  <c r="C73" i="79" s="1"/>
  <c r="J6" i="63"/>
  <c r="J10" i="64"/>
  <c r="H10" i="17"/>
  <c r="Y25" i="39"/>
  <c r="V25" i="7"/>
  <c r="V25" i="6"/>
  <c r="AR63" i="1"/>
  <c r="AR62" i="1" s="1"/>
  <c r="AR58" i="1" s="1"/>
  <c r="AR55" i="1" s="1"/>
  <c r="Y25" i="38"/>
  <c r="AU63" i="1"/>
  <c r="AS62" i="1"/>
  <c r="AS58" i="1" s="1"/>
  <c r="AS55" i="1" s="1"/>
  <c r="AS70" i="1" s="1"/>
  <c r="AE29" i="37"/>
  <c r="AE12" i="37"/>
  <c r="AE20" i="37"/>
  <c r="AE30" i="37"/>
  <c r="AE25" i="37"/>
  <c r="AE22" i="37"/>
  <c r="AE21" i="37"/>
  <c r="AE26" i="37"/>
  <c r="AE23" i="37"/>
  <c r="AE19" i="37"/>
  <c r="AE24" i="37"/>
  <c r="AE27" i="37"/>
  <c r="AE18" i="37"/>
  <c r="AE33" i="37"/>
  <c r="AE28" i="37"/>
  <c r="W9" i="94"/>
  <c r="W37" i="94" s="1"/>
  <c r="W7" i="94"/>
  <c r="W29" i="94" s="1"/>
  <c r="BL72" i="41"/>
  <c r="U16" i="16"/>
  <c r="U11" i="16"/>
  <c r="J19" i="19"/>
  <c r="J13" i="19" s="1"/>
  <c r="I13" i="19"/>
  <c r="Z80" i="38"/>
  <c r="Z81" i="38" s="1"/>
  <c r="Z82" i="38" s="1"/>
  <c r="Z77" i="38"/>
  <c r="Z78" i="38" s="1"/>
  <c r="BL70" i="3"/>
  <c r="D14" i="68"/>
  <c r="C14" i="58"/>
  <c r="K37" i="46"/>
  <c r="K37" i="45"/>
  <c r="K35" i="45" s="1"/>
  <c r="E15" i="58"/>
  <c r="S14" i="92"/>
  <c r="P12" i="44"/>
  <c r="Q10" i="44"/>
  <c r="K10" i="15"/>
  <c r="BT32" i="48"/>
  <c r="BT67" i="48"/>
  <c r="BT25" i="48"/>
  <c r="E11" i="92"/>
  <c r="AK11" i="92"/>
  <c r="S18" i="39"/>
  <c r="S8" i="39" s="1"/>
  <c r="R8" i="39" s="1"/>
  <c r="P8" i="39"/>
  <c r="AA39" i="62"/>
  <c r="AC39" i="14"/>
  <c r="AA36" i="14"/>
  <c r="L81" i="45"/>
  <c r="L80" i="45" s="1"/>
  <c r="O18" i="38"/>
  <c r="R18" i="38" s="1"/>
  <c r="R20" i="38"/>
  <c r="K13" i="63"/>
  <c r="R17" i="17"/>
  <c r="C12" i="15"/>
  <c r="Q23" i="44" s="1"/>
  <c r="U20" i="17"/>
  <c r="N16" i="63"/>
  <c r="BO64" i="41"/>
  <c r="BO60" i="41" s="1"/>
  <c r="BO57" i="41" s="1"/>
  <c r="BO79" i="41" s="1"/>
  <c r="BP65" i="41"/>
  <c r="E130" i="79"/>
  <c r="C39" i="79"/>
  <c r="BM77" i="3"/>
  <c r="BM70" i="3"/>
  <c r="AU70" i="36"/>
  <c r="T16" i="16"/>
  <c r="T11" i="16"/>
  <c r="E10" i="13"/>
  <c r="E114" i="60"/>
  <c r="D114" i="13"/>
  <c r="R8" i="6"/>
  <c r="U20" i="164" l="1"/>
  <c r="K18" i="164"/>
  <c r="H18" i="164" s="1"/>
  <c r="D18" i="164" s="1"/>
  <c r="H10" i="164"/>
  <c r="E27" i="160"/>
  <c r="C27" i="160" s="1"/>
  <c r="R17" i="164"/>
  <c r="C22" i="161"/>
  <c r="C20" i="161" s="1"/>
  <c r="D15" i="160"/>
  <c r="H16" i="164"/>
  <c r="D16" i="164" s="1"/>
  <c r="D114" i="162"/>
  <c r="E10" i="162"/>
  <c r="S10" i="164"/>
  <c r="Y53" i="153"/>
  <c r="Y53" i="152"/>
  <c r="X53" i="152" s="1"/>
  <c r="T70" i="6"/>
  <c r="V50" i="153"/>
  <c r="U50" i="153" s="1"/>
  <c r="V50" i="152"/>
  <c r="U50" i="152" s="1"/>
  <c r="V36" i="153"/>
  <c r="V36" i="152"/>
  <c r="Y25" i="152"/>
  <c r="Y21" i="152" s="1"/>
  <c r="Y18" i="152" s="1"/>
  <c r="Y8" i="152" s="1"/>
  <c r="Q24" i="151"/>
  <c r="M24" i="151" s="1"/>
  <c r="K49" i="153"/>
  <c r="K49" i="152"/>
  <c r="I49" i="152" s="1"/>
  <c r="AG48" i="152" s="1"/>
  <c r="Y31" i="153"/>
  <c r="Y31" i="152"/>
  <c r="V49" i="153"/>
  <c r="U49" i="153" s="1"/>
  <c r="V49" i="152"/>
  <c r="U49" i="152" s="1"/>
  <c r="Y25" i="153"/>
  <c r="Y21" i="153" s="1"/>
  <c r="Y18" i="153" s="1"/>
  <c r="Y8" i="153" s="1"/>
  <c r="X26" i="153"/>
  <c r="X25" i="153" s="1"/>
  <c r="X21" i="153" s="1"/>
  <c r="X18" i="153" s="1"/>
  <c r="AB113" i="150"/>
  <c r="AB120" i="150"/>
  <c r="AB121" i="150" s="1"/>
  <c r="P13" i="151"/>
  <c r="J37" i="153"/>
  <c r="J37" i="152"/>
  <c r="AN43" i="150"/>
  <c r="AH11" i="150"/>
  <c r="W33" i="38"/>
  <c r="W32" i="38" s="1"/>
  <c r="W63" i="38" s="1"/>
  <c r="V92" i="150"/>
  <c r="V95" i="150" s="1"/>
  <c r="V96" i="150" s="1"/>
  <c r="V91" i="150"/>
  <c r="T37" i="152"/>
  <c r="K35" i="152"/>
  <c r="Z43" i="150"/>
  <c r="Z11" i="150" s="1"/>
  <c r="AA11" i="150"/>
  <c r="AX70" i="36"/>
  <c r="V56" i="153"/>
  <c r="U56" i="153" s="1"/>
  <c r="V56" i="152"/>
  <c r="U56" i="152" s="1"/>
  <c r="U10" i="150"/>
  <c r="U12" i="150"/>
  <c r="U114" i="150" s="1"/>
  <c r="U112" i="150"/>
  <c r="V124" i="150"/>
  <c r="V125" i="150" s="1"/>
  <c r="V123" i="150"/>
  <c r="T12" i="150"/>
  <c r="T10" i="150"/>
  <c r="K82" i="153"/>
  <c r="K80" i="153" s="1"/>
  <c r="N82" i="153"/>
  <c r="N80" i="153" s="1"/>
  <c r="T37" i="153"/>
  <c r="K35" i="153"/>
  <c r="AB116" i="150"/>
  <c r="AB117" i="150" s="1"/>
  <c r="AB122" i="150"/>
  <c r="AB115" i="150"/>
  <c r="T33" i="7"/>
  <c r="T32" i="7" s="1"/>
  <c r="T63" i="7" s="1"/>
  <c r="I81" i="153"/>
  <c r="O12" i="151"/>
  <c r="K12" i="153"/>
  <c r="K12" i="152"/>
  <c r="W33" i="153"/>
  <c r="W70" i="39"/>
  <c r="T33" i="6"/>
  <c r="T32" i="6" s="1"/>
  <c r="T63" i="6" s="1"/>
  <c r="W34" i="152"/>
  <c r="AK27" i="151"/>
  <c r="W51" i="153"/>
  <c r="W51" i="152"/>
  <c r="BV25" i="48"/>
  <c r="BU25" i="48"/>
  <c r="BR49" i="48"/>
  <c r="R46" i="6"/>
  <c r="S81" i="6"/>
  <c r="R81" i="6" s="1"/>
  <c r="I8" i="48"/>
  <c r="J8" i="48"/>
  <c r="C29" i="66"/>
  <c r="V113" i="43"/>
  <c r="V120" i="43"/>
  <c r="V121" i="43" s="1"/>
  <c r="AK10" i="92"/>
  <c r="D9" i="92"/>
  <c r="E10" i="92"/>
  <c r="E9" i="92" s="1"/>
  <c r="R38" i="94"/>
  <c r="R39" i="94"/>
  <c r="AB24" i="4"/>
  <c r="AB29" i="4"/>
  <c r="R22" i="17"/>
  <c r="R17" i="64"/>
  <c r="AC36" i="14"/>
  <c r="K82" i="46"/>
  <c r="K80" i="46" s="1"/>
  <c r="N82" i="46"/>
  <c r="N80" i="46" s="1"/>
  <c r="K35" i="46"/>
  <c r="AB33" i="37"/>
  <c r="AB22" i="37"/>
  <c r="V25" i="45"/>
  <c r="V21" i="45" s="1"/>
  <c r="D10" i="17"/>
  <c r="V32" i="16"/>
  <c r="H16" i="64"/>
  <c r="D16" i="64" s="1"/>
  <c r="Z80" i="7"/>
  <c r="Z81" i="7" s="1"/>
  <c r="Z82" i="7" s="1"/>
  <c r="AP57" i="151" s="1"/>
  <c r="Z77" i="7"/>
  <c r="Z78" i="7" s="1"/>
  <c r="CX67" i="48"/>
  <c r="CX32" i="48"/>
  <c r="DA30" i="48"/>
  <c r="DB30" i="48"/>
  <c r="DB67" i="48" s="1"/>
  <c r="CX25" i="48"/>
  <c r="BD12" i="5"/>
  <c r="S35" i="7"/>
  <c r="I18" i="19"/>
  <c r="V35" i="38"/>
  <c r="AE11" i="4"/>
  <c r="V35" i="39"/>
  <c r="S35" i="6"/>
  <c r="AB12" i="4"/>
  <c r="AB21" i="37"/>
  <c r="V42" i="39"/>
  <c r="S42" i="6"/>
  <c r="S42" i="7"/>
  <c r="R42" i="7" s="1"/>
  <c r="AE17" i="4"/>
  <c r="V42" i="38"/>
  <c r="U42" i="38" s="1"/>
  <c r="AB18" i="4"/>
  <c r="C42" i="80"/>
  <c r="AC39" i="62"/>
  <c r="AA36" i="62"/>
  <c r="AB27" i="37"/>
  <c r="AB30" i="37"/>
  <c r="C73" i="73"/>
  <c r="CJ25" i="48"/>
  <c r="M10" i="15"/>
  <c r="CJ32" i="48"/>
  <c r="CJ67" i="48"/>
  <c r="BU32" i="48"/>
  <c r="BV32" i="48"/>
  <c r="U20" i="94"/>
  <c r="U8" i="94" s="1"/>
  <c r="V8" i="94"/>
  <c r="V30" i="6"/>
  <c r="V30" i="7"/>
  <c r="AR68" i="1"/>
  <c r="AO68" i="1" s="1"/>
  <c r="Y30" i="39"/>
  <c r="Y30" i="38"/>
  <c r="Q39" i="94"/>
  <c r="Q38" i="94"/>
  <c r="H46" i="14"/>
  <c r="AC80" i="38"/>
  <c r="AC81" i="38" s="1"/>
  <c r="AC82" i="38" s="1"/>
  <c r="AC77" i="38"/>
  <c r="AC78" i="38" s="1"/>
  <c r="AY70" i="36"/>
  <c r="AB28" i="4"/>
  <c r="AB21" i="4"/>
  <c r="BT49" i="48"/>
  <c r="BT45" i="48"/>
  <c r="Y24" i="39"/>
  <c r="Y20" i="39" s="1"/>
  <c r="Y18" i="39" s="1"/>
  <c r="Y8" i="39" s="1"/>
  <c r="X25" i="39"/>
  <c r="X24" i="39" s="1"/>
  <c r="X20" i="39" s="1"/>
  <c r="X18" i="39" s="1"/>
  <c r="C13" i="63"/>
  <c r="C79" i="80"/>
  <c r="C78" i="72" s="1"/>
  <c r="AE17" i="37"/>
  <c r="AB18" i="37"/>
  <c r="CH32" i="48"/>
  <c r="CF42" i="48"/>
  <c r="CK30" i="48"/>
  <c r="CK67" i="48" s="1"/>
  <c r="CH67" i="48"/>
  <c r="CL30" i="48"/>
  <c r="CL67" i="48" s="1"/>
  <c r="CH25" i="48"/>
  <c r="CB45" i="48"/>
  <c r="CC45" i="48" s="1"/>
  <c r="CB49" i="48"/>
  <c r="AB22" i="4"/>
  <c r="C114" i="13"/>
  <c r="BP64" i="41"/>
  <c r="K11" i="63"/>
  <c r="K31" i="63" s="1"/>
  <c r="K32" i="63" s="1"/>
  <c r="K13" i="15"/>
  <c r="K23" i="15"/>
  <c r="K5" i="15"/>
  <c r="K25" i="15" s="1"/>
  <c r="Y24" i="38"/>
  <c r="Y20" i="38" s="1"/>
  <c r="Y18" i="38" s="1"/>
  <c r="X25" i="38"/>
  <c r="X24" i="38" s="1"/>
  <c r="X20" i="38" s="1"/>
  <c r="X18" i="38" s="1"/>
  <c r="H10" i="64"/>
  <c r="AG43" i="43"/>
  <c r="AG43" i="150" s="1"/>
  <c r="AN43" i="43"/>
  <c r="AH11" i="43"/>
  <c r="E10" i="60"/>
  <c r="D114" i="60"/>
  <c r="BP79" i="41"/>
  <c r="BP74" i="41" s="1"/>
  <c r="BP86" i="41" s="1"/>
  <c r="BO74" i="41"/>
  <c r="BO86" i="41" s="1"/>
  <c r="O8" i="39"/>
  <c r="P63" i="39"/>
  <c r="C14" i="68"/>
  <c r="AB24" i="37"/>
  <c r="AB20" i="37"/>
  <c r="CZ13" i="48"/>
  <c r="I19" i="138"/>
  <c r="C138" i="84"/>
  <c r="H22" i="48"/>
  <c r="H81" i="48" s="1"/>
  <c r="BN74" i="41"/>
  <c r="BN86" i="41" s="1"/>
  <c r="Z43" i="43"/>
  <c r="Z11" i="43" s="1"/>
  <c r="AA11" i="43"/>
  <c r="BP62" i="3"/>
  <c r="AI39" i="14"/>
  <c r="K19" i="17" s="1"/>
  <c r="AG36" i="14"/>
  <c r="AI36" i="14" s="1"/>
  <c r="AG39" i="62"/>
  <c r="AG36" i="62" s="1"/>
  <c r="AI36" i="62" s="1"/>
  <c r="T10" i="43"/>
  <c r="T12" i="43"/>
  <c r="K18" i="64"/>
  <c r="H18" i="64" s="1"/>
  <c r="D18" i="64" s="1"/>
  <c r="H18" i="17"/>
  <c r="D18" i="17" s="1"/>
  <c r="CR67" i="48"/>
  <c r="N10" i="15"/>
  <c r="CR32" i="48"/>
  <c r="CR25" i="48"/>
  <c r="BL84" i="3"/>
  <c r="P31" i="50"/>
  <c r="D5" i="50"/>
  <c r="AI38" i="62"/>
  <c r="C41" i="82"/>
  <c r="BE63" i="36"/>
  <c r="BA62" i="36"/>
  <c r="BA58" i="36" s="1"/>
  <c r="BA55" i="36" s="1"/>
  <c r="S49" i="6"/>
  <c r="V49" i="39"/>
  <c r="S49" i="7"/>
  <c r="R49" i="7" s="1"/>
  <c r="V49" i="38"/>
  <c r="U49" i="38" s="1"/>
  <c r="AB33" i="4"/>
  <c r="AB26" i="4"/>
  <c r="AB28" i="37"/>
  <c r="C22" i="149"/>
  <c r="C22" i="65"/>
  <c r="C20" i="65" s="1"/>
  <c r="S13" i="92"/>
  <c r="J37" i="46"/>
  <c r="D15" i="58"/>
  <c r="F115" i="13"/>
  <c r="M12" i="44"/>
  <c r="J37" i="45"/>
  <c r="P10" i="44"/>
  <c r="P9" i="44" s="1"/>
  <c r="AB19" i="37"/>
  <c r="AE11" i="37"/>
  <c r="AE10" i="37" s="1"/>
  <c r="AE9" i="37" s="1"/>
  <c r="AB12" i="37"/>
  <c r="V25" i="46"/>
  <c r="V21" i="46" s="1"/>
  <c r="V18" i="46" s="1"/>
  <c r="U26" i="46"/>
  <c r="U25" i="46" s="1"/>
  <c r="U21" i="46" s="1"/>
  <c r="U18" i="46" s="1"/>
  <c r="AB112" i="43"/>
  <c r="AB12" i="43"/>
  <c r="AB114" i="43" s="1"/>
  <c r="AB10" i="43"/>
  <c r="BO55" i="3"/>
  <c r="BO77" i="3" s="1"/>
  <c r="W18" i="16"/>
  <c r="AD34" i="37"/>
  <c r="C81" i="73"/>
  <c r="C42" i="81"/>
  <c r="AF39" i="62"/>
  <c r="AD36" i="62"/>
  <c r="AF36" i="62" s="1"/>
  <c r="U46" i="39"/>
  <c r="V81" i="39"/>
  <c r="U81" i="39" s="1"/>
  <c r="AL39" i="14"/>
  <c r="K20" i="17" s="1"/>
  <c r="AJ36" i="14"/>
  <c r="AL36" i="14" s="1"/>
  <c r="AJ39" i="62"/>
  <c r="L23" i="15"/>
  <c r="L11" i="63"/>
  <c r="L31" i="63" s="1"/>
  <c r="L32" i="63" s="1"/>
  <c r="L13" i="15"/>
  <c r="S18" i="17" s="1"/>
  <c r="L5" i="15"/>
  <c r="L25" i="15" s="1"/>
  <c r="P7" i="94"/>
  <c r="P9" i="94"/>
  <c r="J19" i="17"/>
  <c r="S43" i="7"/>
  <c r="R43" i="7" s="1"/>
  <c r="V43" i="38"/>
  <c r="U43" i="38" s="1"/>
  <c r="S43" i="6"/>
  <c r="V43" i="39"/>
  <c r="AB19" i="4"/>
  <c r="AB20" i="4"/>
  <c r="H41" i="62"/>
  <c r="D33" i="63" s="1"/>
  <c r="D34" i="63" s="1"/>
  <c r="D35" i="63" s="1"/>
  <c r="H49" i="62"/>
  <c r="K49" i="46"/>
  <c r="M23" i="44"/>
  <c r="K49" i="45"/>
  <c r="I49" i="45" s="1"/>
  <c r="AD48" i="45" s="1"/>
  <c r="E27" i="58"/>
  <c r="K17" i="17"/>
  <c r="BQ65" i="41"/>
  <c r="BQ63" i="3"/>
  <c r="AU62" i="1"/>
  <c r="AU58" i="1" s="1"/>
  <c r="AU55" i="1" s="1"/>
  <c r="AY63" i="1"/>
  <c r="U10" i="43"/>
  <c r="U12" i="43"/>
  <c r="U114" i="43" s="1"/>
  <c r="U112" i="43"/>
  <c r="C81" i="83"/>
  <c r="AM11" i="92"/>
  <c r="AM9" i="92" s="1"/>
  <c r="D14" i="92"/>
  <c r="T14" i="92"/>
  <c r="W38" i="94"/>
  <c r="W39" i="94"/>
  <c r="AB23" i="37"/>
  <c r="AB29" i="37"/>
  <c r="V24" i="6"/>
  <c r="V20" i="6" s="1"/>
  <c r="V18" i="6" s="1"/>
  <c r="V8" i="6" s="1"/>
  <c r="U25" i="6"/>
  <c r="U24" i="6" s="1"/>
  <c r="U20" i="6" s="1"/>
  <c r="U18" i="6" s="1"/>
  <c r="Q10" i="17"/>
  <c r="S10" i="64"/>
  <c r="AI34" i="37"/>
  <c r="S8" i="38"/>
  <c r="O8" i="38"/>
  <c r="R8" i="38" s="1"/>
  <c r="P63" i="38"/>
  <c r="O63" i="38" s="1"/>
  <c r="AF48" i="62"/>
  <c r="AF41" i="14"/>
  <c r="AF46" i="14" s="1"/>
  <c r="Y46" i="39"/>
  <c r="BE68" i="36"/>
  <c r="BD68" i="36" s="1"/>
  <c r="BA68" i="36" s="1"/>
  <c r="Y46" i="38"/>
  <c r="X46" i="38" s="1"/>
  <c r="AG34" i="4"/>
  <c r="V46" i="7"/>
  <c r="U46" i="7" s="1"/>
  <c r="AY68" i="1"/>
  <c r="V46" i="6"/>
  <c r="V115" i="43"/>
  <c r="V116" i="43"/>
  <c r="V117" i="43" s="1"/>
  <c r="V134" i="43" s="1"/>
  <c r="V122" i="43"/>
  <c r="AK50" i="4"/>
  <c r="AK50" i="37"/>
  <c r="AB23" i="4"/>
  <c r="AB25" i="4"/>
  <c r="AB25" i="37"/>
  <c r="I81" i="46"/>
  <c r="BN77" i="3"/>
  <c r="BM72" i="3"/>
  <c r="BM84" i="3" s="1"/>
  <c r="U20" i="64"/>
  <c r="E15" i="68"/>
  <c r="E12" i="68" s="1"/>
  <c r="E12" i="58"/>
  <c r="AB26" i="37"/>
  <c r="V24" i="7"/>
  <c r="V20" i="7" s="1"/>
  <c r="V18" i="7" s="1"/>
  <c r="V8" i="7" s="1"/>
  <c r="U25" i="7"/>
  <c r="U24" i="7" s="1"/>
  <c r="U20" i="7" s="1"/>
  <c r="U18" i="7" s="1"/>
  <c r="V18" i="16"/>
  <c r="BN55" i="3"/>
  <c r="AD34" i="4"/>
  <c r="BM34" i="5"/>
  <c r="BR39" i="5"/>
  <c r="BV40" i="5"/>
  <c r="BT40" i="5"/>
  <c r="BT39" i="5" s="1"/>
  <c r="BT35" i="5" s="1"/>
  <c r="V90" i="43"/>
  <c r="V73" i="43"/>
  <c r="V84" i="43"/>
  <c r="V86" i="43" s="1"/>
  <c r="V88" i="43" s="1"/>
  <c r="K12" i="45"/>
  <c r="K12" i="46"/>
  <c r="V76" i="43"/>
  <c r="V4" i="43"/>
  <c r="AD13" i="16"/>
  <c r="AC13" i="16"/>
  <c r="AO34" i="4"/>
  <c r="X76" i="7"/>
  <c r="AO34" i="37"/>
  <c r="AL34" i="37" s="1"/>
  <c r="BN57" i="41"/>
  <c r="AB27" i="4"/>
  <c r="AB30" i="4"/>
  <c r="U76" i="43" l="1"/>
  <c r="C9" i="161"/>
  <c r="E47" i="154"/>
  <c r="C41" i="169"/>
  <c r="C42" i="158"/>
  <c r="F115" i="162"/>
  <c r="C20" i="149"/>
  <c r="C19" i="149" s="1"/>
  <c r="R22" i="164"/>
  <c r="K17" i="164"/>
  <c r="J19" i="164"/>
  <c r="K20" i="164"/>
  <c r="H20" i="164" s="1"/>
  <c r="D20" i="164" s="1"/>
  <c r="C16" i="169"/>
  <c r="C17" i="158"/>
  <c r="Q10" i="164"/>
  <c r="C29" i="169"/>
  <c r="C27" i="169" s="1"/>
  <c r="C30" i="158"/>
  <c r="C28" i="158" s="1"/>
  <c r="C114" i="162"/>
  <c r="C15" i="160"/>
  <c r="C12" i="160" s="1"/>
  <c r="D12" i="160"/>
  <c r="D11" i="160" s="1"/>
  <c r="S18" i="164"/>
  <c r="Q18" i="164" s="1"/>
  <c r="M18" i="164" s="1"/>
  <c r="K19" i="64"/>
  <c r="K19" i="164"/>
  <c r="C19" i="161"/>
  <c r="D10" i="164"/>
  <c r="E35" i="154"/>
  <c r="H35" i="154" s="1"/>
  <c r="M10" i="44"/>
  <c r="E13" i="154"/>
  <c r="E14" i="154" s="1"/>
  <c r="AB26" i="153"/>
  <c r="AB26" i="152"/>
  <c r="BA70" i="36"/>
  <c r="AA82" i="150"/>
  <c r="AA10" i="150"/>
  <c r="AA73" i="150" s="1"/>
  <c r="AA12" i="150"/>
  <c r="AA114" i="150" s="1"/>
  <c r="AA112" i="150"/>
  <c r="J82" i="153"/>
  <c r="I37" i="153"/>
  <c r="I35" i="153" s="1"/>
  <c r="S37" i="153"/>
  <c r="R37" i="153" s="1"/>
  <c r="M82" i="153"/>
  <c r="L82" i="153" s="1"/>
  <c r="J35" i="153"/>
  <c r="J34" i="153" s="1"/>
  <c r="J33" i="153" s="1"/>
  <c r="AB31" i="153"/>
  <c r="AB31" i="152"/>
  <c r="AF43" i="150"/>
  <c r="AG11" i="150"/>
  <c r="V47" i="153"/>
  <c r="V47" i="152"/>
  <c r="T76" i="150"/>
  <c r="T90" i="150"/>
  <c r="T73" i="150"/>
  <c r="T84" i="150"/>
  <c r="T86" i="150" s="1"/>
  <c r="T88" i="150" s="1"/>
  <c r="U120" i="150"/>
  <c r="U113" i="150"/>
  <c r="T113" i="150" s="1"/>
  <c r="T112" i="150"/>
  <c r="Z10" i="150"/>
  <c r="Z76" i="150" s="1"/>
  <c r="Z12" i="150"/>
  <c r="AH112" i="150"/>
  <c r="AH12" i="150"/>
  <c r="AH114" i="150" s="1"/>
  <c r="AH10" i="150"/>
  <c r="M13" i="151"/>
  <c r="P11" i="151"/>
  <c r="P10" i="151" s="1"/>
  <c r="X8" i="153"/>
  <c r="K87" i="153"/>
  <c r="I87" i="153" s="1"/>
  <c r="I49" i="153"/>
  <c r="V35" i="152"/>
  <c r="U36" i="152"/>
  <c r="U35" i="152" s="1"/>
  <c r="AB53" i="153"/>
  <c r="AB53" i="152"/>
  <c r="AA53" i="152" s="1"/>
  <c r="M35" i="154"/>
  <c r="U116" i="150"/>
  <c r="T114" i="150"/>
  <c r="T115" i="150" s="1"/>
  <c r="U122" i="150"/>
  <c r="U115" i="150"/>
  <c r="AM43" i="150"/>
  <c r="AT43" i="150"/>
  <c r="AN11" i="150"/>
  <c r="X31" i="152"/>
  <c r="Y10" i="152"/>
  <c r="M71" i="151"/>
  <c r="O24" i="151"/>
  <c r="M72" i="151"/>
  <c r="V35" i="153"/>
  <c r="V34" i="153" s="1"/>
  <c r="U36" i="153"/>
  <c r="U35" i="153" s="1"/>
  <c r="AB123" i="150"/>
  <c r="AB124" i="150"/>
  <c r="AB125" i="150" s="1"/>
  <c r="U76" i="150"/>
  <c r="U145" i="150"/>
  <c r="U90" i="150"/>
  <c r="U84" i="150"/>
  <c r="U86" i="150" s="1"/>
  <c r="U88" i="150" s="1"/>
  <c r="U73" i="150"/>
  <c r="I37" i="152"/>
  <c r="I35" i="152" s="1"/>
  <c r="S37" i="152"/>
  <c r="R37" i="152" s="1"/>
  <c r="J35" i="152"/>
  <c r="J34" i="152" s="1"/>
  <c r="X31" i="153"/>
  <c r="Y10" i="153"/>
  <c r="Y90" i="153"/>
  <c r="X90" i="153" s="1"/>
  <c r="X53" i="153"/>
  <c r="V18" i="45"/>
  <c r="J12" i="153"/>
  <c r="J12" i="152"/>
  <c r="E12" i="154"/>
  <c r="E11" i="154" s="1"/>
  <c r="N12" i="152"/>
  <c r="N12" i="153"/>
  <c r="K79" i="152"/>
  <c r="K84" i="152" s="1"/>
  <c r="K85" i="152" s="1"/>
  <c r="K17" i="152"/>
  <c r="K94" i="152" s="1"/>
  <c r="K95" i="152" s="1"/>
  <c r="K96" i="152" s="1"/>
  <c r="K10" i="153"/>
  <c r="K11" i="153" s="1"/>
  <c r="K17" i="153"/>
  <c r="K8" i="153"/>
  <c r="AP27" i="151"/>
  <c r="W33" i="152"/>
  <c r="W71" i="153"/>
  <c r="AI41" i="62"/>
  <c r="V92" i="43"/>
  <c r="V95" i="43" s="1"/>
  <c r="V96" i="43" s="1"/>
  <c r="V91" i="43"/>
  <c r="S18" i="64"/>
  <c r="Q18" i="64" s="1"/>
  <c r="M18" i="64" s="1"/>
  <c r="Q18" i="17"/>
  <c r="M18" i="17" s="1"/>
  <c r="BN72" i="41"/>
  <c r="AB25" i="38"/>
  <c r="AB25" i="39"/>
  <c r="Y25" i="6"/>
  <c r="Y25" i="7"/>
  <c r="AX63" i="1"/>
  <c r="AX62" i="1" s="1"/>
  <c r="AX58" i="1" s="1"/>
  <c r="AX55" i="1" s="1"/>
  <c r="AY62" i="1"/>
  <c r="AY58" i="1" s="1"/>
  <c r="AY55" i="1" s="1"/>
  <c r="AY70" i="1" s="1"/>
  <c r="E27" i="68"/>
  <c r="C27" i="68" s="1"/>
  <c r="C27" i="58"/>
  <c r="N11" i="63"/>
  <c r="N31" i="63" s="1"/>
  <c r="N32" i="63" s="1"/>
  <c r="N13" i="15"/>
  <c r="S20" i="17" s="1"/>
  <c r="N23" i="15"/>
  <c r="N5" i="15"/>
  <c r="N25" i="15" s="1"/>
  <c r="AD24" i="37"/>
  <c r="D10" i="64"/>
  <c r="CH49" i="48"/>
  <c r="CL25" i="48"/>
  <c r="CK25" i="48"/>
  <c r="AD27" i="37"/>
  <c r="S40" i="6"/>
  <c r="V40" i="38"/>
  <c r="S40" i="7"/>
  <c r="V40" i="39"/>
  <c r="AD21" i="37"/>
  <c r="CX49" i="48"/>
  <c r="DA25" i="48"/>
  <c r="DB25" i="48"/>
  <c r="BN70" i="3"/>
  <c r="AI34" i="4"/>
  <c r="BO34" i="5"/>
  <c r="AD29" i="37"/>
  <c r="E129" i="81"/>
  <c r="C39" i="81"/>
  <c r="BM33" i="5"/>
  <c r="AD33" i="4"/>
  <c r="U8" i="7"/>
  <c r="AD23" i="37"/>
  <c r="AL39" i="62"/>
  <c r="C42" i="83"/>
  <c r="AJ36" i="62"/>
  <c r="AL36" i="62" s="1"/>
  <c r="N12" i="45"/>
  <c r="N12" i="46"/>
  <c r="AD28" i="37"/>
  <c r="BE62" i="36"/>
  <c r="BE58" i="36" s="1"/>
  <c r="BE55" i="36" s="1"/>
  <c r="BE70" i="36" s="1"/>
  <c r="BD63" i="36"/>
  <c r="BD62" i="36" s="1"/>
  <c r="BD58" i="36" s="1"/>
  <c r="BD55" i="36" s="1"/>
  <c r="BD70" i="36" s="1"/>
  <c r="BP60" i="41"/>
  <c r="U30" i="6"/>
  <c r="V10" i="6"/>
  <c r="V34" i="38"/>
  <c r="V33" i="38" s="1"/>
  <c r="U35" i="38"/>
  <c r="U34" i="38" s="1"/>
  <c r="AD22" i="37"/>
  <c r="AC48" i="62"/>
  <c r="AC41" i="14"/>
  <c r="BM24" i="5"/>
  <c r="AD24" i="4"/>
  <c r="W16" i="16"/>
  <c r="AN34" i="37"/>
  <c r="X46" i="39"/>
  <c r="Y81" i="39"/>
  <c r="X81" i="39" s="1"/>
  <c r="BQ62" i="3"/>
  <c r="BQ58" i="3" s="1"/>
  <c r="BR63" i="3"/>
  <c r="BS63" i="3"/>
  <c r="BS62" i="3" s="1"/>
  <c r="BS58" i="3" s="1"/>
  <c r="BS55" i="3" s="1"/>
  <c r="BM19" i="5"/>
  <c r="AD19" i="4"/>
  <c r="C15" i="58"/>
  <c r="C12" i="58" s="1"/>
  <c r="D15" i="68"/>
  <c r="D12" i="58"/>
  <c r="D11" i="58" s="1"/>
  <c r="BN72" i="3"/>
  <c r="U46" i="6"/>
  <c r="V81" i="6"/>
  <c r="U81" i="6" s="1"/>
  <c r="BR65" i="41"/>
  <c r="BQ64" i="41"/>
  <c r="BQ60" i="41" s="1"/>
  <c r="BQ57" i="41" s="1"/>
  <c r="BQ79" i="41" s="1"/>
  <c r="BS65" i="41"/>
  <c r="BS64" i="41" s="1"/>
  <c r="BS60" i="41" s="1"/>
  <c r="BS57" i="41" s="1"/>
  <c r="O23" i="44"/>
  <c r="M71" i="44"/>
  <c r="C42" i="54"/>
  <c r="C42" i="66" s="1"/>
  <c r="BC18" i="5"/>
  <c r="M70" i="44"/>
  <c r="U43" i="39"/>
  <c r="V79" i="39"/>
  <c r="U79" i="39" s="1"/>
  <c r="J19" i="64"/>
  <c r="H19" i="17"/>
  <c r="D19" i="17" s="1"/>
  <c r="AL48" i="62"/>
  <c r="AL41" i="14"/>
  <c r="AL46" i="14" s="1"/>
  <c r="AB115" i="43"/>
  <c r="AB122" i="43"/>
  <c r="AB124" i="43" s="1"/>
  <c r="AB125" i="43" s="1"/>
  <c r="AB116" i="43"/>
  <c r="AB117" i="43" s="1"/>
  <c r="AD19" i="37"/>
  <c r="M82" i="46"/>
  <c r="L82" i="46" s="1"/>
  <c r="J82" i="46"/>
  <c r="I37" i="46"/>
  <c r="I35" i="46" s="1"/>
  <c r="J35" i="46"/>
  <c r="J34" i="46" s="1"/>
  <c r="BP58" i="3"/>
  <c r="C128" i="84"/>
  <c r="C140" i="72"/>
  <c r="C130" i="72" s="1"/>
  <c r="C114" i="60"/>
  <c r="Y8" i="38"/>
  <c r="M23" i="15"/>
  <c r="M11" i="63"/>
  <c r="M31" i="63" s="1"/>
  <c r="M32" i="63" s="1"/>
  <c r="M13" i="15"/>
  <c r="S19" i="17" s="1"/>
  <c r="M5" i="15"/>
  <c r="M25" i="15" s="1"/>
  <c r="BM12" i="5"/>
  <c r="AD12" i="4"/>
  <c r="AB11" i="4"/>
  <c r="AB5" i="4"/>
  <c r="J18" i="19"/>
  <c r="I12" i="19"/>
  <c r="I11" i="19" s="1"/>
  <c r="I17" i="19"/>
  <c r="DA67" i="48"/>
  <c r="DA37" i="48"/>
  <c r="R22" i="64"/>
  <c r="AK9" i="92"/>
  <c r="U8" i="6"/>
  <c r="I37" i="45"/>
  <c r="I35" i="45" s="1"/>
  <c r="J35" i="45"/>
  <c r="J34" i="45" s="1"/>
  <c r="V16" i="16"/>
  <c r="V11" i="16"/>
  <c r="AD25" i="4"/>
  <c r="BM25" i="5"/>
  <c r="V124" i="43"/>
  <c r="V125" i="43" s="1"/>
  <c r="V123" i="43"/>
  <c r="F10" i="13"/>
  <c r="F115" i="60"/>
  <c r="D115" i="13"/>
  <c r="BR35" i="5"/>
  <c r="BV39" i="5"/>
  <c r="BM23" i="5"/>
  <c r="AD23" i="4"/>
  <c r="BM28" i="5"/>
  <c r="AD28" i="4"/>
  <c r="BM30" i="5"/>
  <c r="AD30" i="4"/>
  <c r="Y46" i="6"/>
  <c r="Y46" i="7"/>
  <c r="X46" i="7" s="1"/>
  <c r="AB46" i="38"/>
  <c r="AA46" i="38" s="1"/>
  <c r="AB46" i="39"/>
  <c r="AL34" i="4"/>
  <c r="K8" i="46"/>
  <c r="K10" i="46"/>
  <c r="K11" i="46" s="1"/>
  <c r="K17" i="46"/>
  <c r="AD26" i="37"/>
  <c r="K17" i="45"/>
  <c r="K94" i="45" s="1"/>
  <c r="K95" i="45" s="1"/>
  <c r="K96" i="45" s="1"/>
  <c r="K79" i="45"/>
  <c r="K84" i="45" s="1"/>
  <c r="K85" i="45" s="1"/>
  <c r="BN34" i="5"/>
  <c r="U29" i="16"/>
  <c r="AB30" i="39"/>
  <c r="AB30" i="38"/>
  <c r="Y30" i="7"/>
  <c r="Y30" i="6"/>
  <c r="AX68" i="1"/>
  <c r="AU68" i="1" s="1"/>
  <c r="AU70" i="1" s="1"/>
  <c r="Q10" i="64"/>
  <c r="K87" i="46"/>
  <c r="I49" i="46"/>
  <c r="S79" i="6"/>
  <c r="R79" i="6" s="1"/>
  <c r="R43" i="6"/>
  <c r="K20" i="64"/>
  <c r="H20" i="64" s="1"/>
  <c r="D20" i="64" s="1"/>
  <c r="H20" i="17"/>
  <c r="D20" i="17" s="1"/>
  <c r="AB120" i="43"/>
  <c r="AB113" i="43"/>
  <c r="S12" i="92"/>
  <c r="S8" i="92" s="1"/>
  <c r="S7" i="92" s="1"/>
  <c r="T13" i="92"/>
  <c r="T12" i="92" s="1"/>
  <c r="T8" i="92" s="1"/>
  <c r="T7" i="92" s="1"/>
  <c r="D13" i="92"/>
  <c r="AA12" i="43"/>
  <c r="AA114" i="43" s="1"/>
  <c r="AA115" i="43" s="1"/>
  <c r="AA10" i="43"/>
  <c r="AA112" i="43"/>
  <c r="AA113" i="43" s="1"/>
  <c r="AA82" i="43"/>
  <c r="I19" i="112"/>
  <c r="C19" i="138"/>
  <c r="C20" i="138" s="1"/>
  <c r="I20" i="138"/>
  <c r="C163" i="13" s="1"/>
  <c r="C164" i="13" s="1"/>
  <c r="V9" i="94"/>
  <c r="V37" i="94" s="1"/>
  <c r="V7" i="94"/>
  <c r="V29" i="94" s="1"/>
  <c r="CJ45" i="48"/>
  <c r="CK45" i="48" s="1"/>
  <c r="CJ49" i="48"/>
  <c r="AC36" i="62"/>
  <c r="S72" i="6"/>
  <c r="S34" i="6"/>
  <c r="S33" i="6" s="1"/>
  <c r="R35" i="6"/>
  <c r="R34" i="6" s="1"/>
  <c r="S34" i="7"/>
  <c r="R35" i="7"/>
  <c r="R34" i="7" s="1"/>
  <c r="DB32" i="48"/>
  <c r="DA32" i="48"/>
  <c r="DA38" i="48" s="1"/>
  <c r="AD33" i="37"/>
  <c r="U90" i="43"/>
  <c r="C9" i="149"/>
  <c r="U145" i="43"/>
  <c r="U84" i="43"/>
  <c r="U86" i="43" s="1"/>
  <c r="U88" i="43" s="1"/>
  <c r="C9" i="65"/>
  <c r="J12" i="46"/>
  <c r="U73" i="43"/>
  <c r="J12" i="45"/>
  <c r="AF49" i="62"/>
  <c r="AF41" i="62"/>
  <c r="L33" i="63" s="1"/>
  <c r="L34" i="63" s="1"/>
  <c r="L35" i="63" s="1"/>
  <c r="BM26" i="5"/>
  <c r="AD26" i="4"/>
  <c r="AD20" i="4"/>
  <c r="BM20" i="5"/>
  <c r="AK24" i="37"/>
  <c r="AK29" i="37"/>
  <c r="AK26" i="37"/>
  <c r="AK23" i="37"/>
  <c r="AK25" i="37"/>
  <c r="AK33" i="37"/>
  <c r="AK21" i="37"/>
  <c r="AK12" i="37"/>
  <c r="AK19" i="37"/>
  <c r="AK20" i="37"/>
  <c r="AK18" i="37"/>
  <c r="AK30" i="37"/>
  <c r="AK28" i="37"/>
  <c r="AK27" i="37"/>
  <c r="AK22" i="37"/>
  <c r="M10" i="17"/>
  <c r="U120" i="43"/>
  <c r="U113" i="43"/>
  <c r="T113" i="43" s="1"/>
  <c r="T112" i="43"/>
  <c r="C19" i="65"/>
  <c r="L15" i="65"/>
  <c r="V83" i="39"/>
  <c r="U83" i="39" s="1"/>
  <c r="U49" i="39"/>
  <c r="Z12" i="43"/>
  <c r="Z10" i="43"/>
  <c r="F13" i="154" s="1"/>
  <c r="AM39" i="14"/>
  <c r="H13" i="48"/>
  <c r="AH12" i="43"/>
  <c r="AH114" i="43" s="1"/>
  <c r="AH115" i="43" s="1"/>
  <c r="AH112" i="43"/>
  <c r="AH10" i="43"/>
  <c r="BM22" i="5"/>
  <c r="AD22" i="4"/>
  <c r="X8" i="39"/>
  <c r="X30" i="38"/>
  <c r="Y10" i="38"/>
  <c r="U9" i="94"/>
  <c r="U7" i="94"/>
  <c r="U29" i="94" s="1"/>
  <c r="U37" i="94" s="1"/>
  <c r="V34" i="39"/>
  <c r="V33" i="39" s="1"/>
  <c r="V72" i="39"/>
  <c r="U35" i="39"/>
  <c r="U34" i="39" s="1"/>
  <c r="AK14" i="92"/>
  <c r="E14" i="92"/>
  <c r="AD27" i="4"/>
  <c r="BM27" i="5"/>
  <c r="AD25" i="37"/>
  <c r="AK22" i="4"/>
  <c r="AK20" i="4"/>
  <c r="AK18" i="4"/>
  <c r="AK26" i="4"/>
  <c r="AK28" i="4"/>
  <c r="AK24" i="4"/>
  <c r="AK21" i="4"/>
  <c r="AK30" i="4"/>
  <c r="AK25" i="4"/>
  <c r="AK19" i="4"/>
  <c r="AK29" i="4"/>
  <c r="AK12" i="4"/>
  <c r="AK23" i="4"/>
  <c r="AK33" i="4"/>
  <c r="AK27" i="4"/>
  <c r="U116" i="43"/>
  <c r="U122" i="43"/>
  <c r="T114" i="43"/>
  <c r="T115" i="43" s="1"/>
  <c r="U115" i="43"/>
  <c r="K17" i="64"/>
  <c r="H17" i="17"/>
  <c r="P62" i="44"/>
  <c r="P8" i="44"/>
  <c r="T73" i="43"/>
  <c r="T84" i="43"/>
  <c r="T86" i="43" s="1"/>
  <c r="T88" i="43" s="1"/>
  <c r="T90" i="43"/>
  <c r="T76" i="43"/>
  <c r="BD75" i="41"/>
  <c r="C17" i="54"/>
  <c r="C32" i="159" s="1"/>
  <c r="BC75" i="41"/>
  <c r="AR70" i="1"/>
  <c r="AM43" i="43"/>
  <c r="AM11" i="43" s="1"/>
  <c r="AT43" i="43"/>
  <c r="AN11" i="43"/>
  <c r="CL32" i="48"/>
  <c r="CK32" i="48"/>
  <c r="BU45" i="48"/>
  <c r="X30" i="39"/>
  <c r="Y10" i="39"/>
  <c r="F32" i="48"/>
  <c r="E132" i="80"/>
  <c r="C39" i="80"/>
  <c r="S78" i="6"/>
  <c r="R42" i="6"/>
  <c r="AE10" i="4"/>
  <c r="AE9" i="4" s="1"/>
  <c r="E8" i="70"/>
  <c r="E8" i="110" s="1"/>
  <c r="CR49" i="48"/>
  <c r="CR45" i="48"/>
  <c r="CS45" i="48" s="1"/>
  <c r="C42" i="82"/>
  <c r="E128" i="82" s="1"/>
  <c r="AI39" i="62"/>
  <c r="AD20" i="37"/>
  <c r="O63" i="39"/>
  <c r="S63" i="39"/>
  <c r="R63" i="39" s="1"/>
  <c r="AF43" i="43"/>
  <c r="AF11" i="43" s="1"/>
  <c r="AG11" i="43"/>
  <c r="S17" i="17"/>
  <c r="AD18" i="37"/>
  <c r="AB17" i="37"/>
  <c r="BO70" i="41"/>
  <c r="BO68" i="3"/>
  <c r="AO70" i="1"/>
  <c r="AD30" i="37"/>
  <c r="AD18" i="4"/>
  <c r="AB17" i="4"/>
  <c r="BM18" i="5"/>
  <c r="V78" i="39"/>
  <c r="U42" i="39"/>
  <c r="AP50" i="4"/>
  <c r="AP50" i="37"/>
  <c r="L14" i="63"/>
  <c r="C79" i="81" s="1"/>
  <c r="C76" i="81"/>
  <c r="C71" i="81" s="1"/>
  <c r="L6" i="63"/>
  <c r="BP77" i="3"/>
  <c r="BP72" i="3" s="1"/>
  <c r="BP84" i="3" s="1"/>
  <c r="BO72" i="3"/>
  <c r="BO84" i="3" s="1"/>
  <c r="AB11" i="37"/>
  <c r="AB5" i="37"/>
  <c r="AD12" i="37"/>
  <c r="P13" i="44"/>
  <c r="C30" i="54"/>
  <c r="BC13" i="5"/>
  <c r="T12" i="44"/>
  <c r="O12" i="44"/>
  <c r="E33" i="154"/>
  <c r="S83" i="6"/>
  <c r="R83" i="6" s="1"/>
  <c r="R49" i="6"/>
  <c r="P32" i="50"/>
  <c r="CZ12" i="48"/>
  <c r="CZ8" i="48" s="1"/>
  <c r="CZ35" i="48"/>
  <c r="P33" i="50"/>
  <c r="D33" i="50" s="1"/>
  <c r="D31" i="50"/>
  <c r="AI48" i="62"/>
  <c r="AI49" i="62" s="1"/>
  <c r="AI41" i="14"/>
  <c r="AI46" i="14" s="1"/>
  <c r="C77" i="80"/>
  <c r="K14" i="63"/>
  <c r="K6" i="63"/>
  <c r="AD21" i="4"/>
  <c r="BM21" i="5"/>
  <c r="U30" i="7"/>
  <c r="V10" i="7"/>
  <c r="BF12" i="5"/>
  <c r="AD29" i="4"/>
  <c r="BM29" i="5"/>
  <c r="C31" i="159" l="1"/>
  <c r="C43" i="159" s="1"/>
  <c r="C33" i="159"/>
  <c r="F33" i="159" s="1"/>
  <c r="C17" i="169"/>
  <c r="C15" i="169"/>
  <c r="F25" i="169" s="1"/>
  <c r="F26" i="169" s="1"/>
  <c r="DA39" i="48"/>
  <c r="S19" i="164"/>
  <c r="Q19" i="164" s="1"/>
  <c r="M19" i="164" s="1"/>
  <c r="S20" i="164"/>
  <c r="Q20" i="164" s="1"/>
  <c r="M20" i="164" s="1"/>
  <c r="S33" i="7"/>
  <c r="V34" i="152"/>
  <c r="U34" i="152" s="1"/>
  <c r="U74" i="152" s="1"/>
  <c r="H19" i="164"/>
  <c r="D19" i="164" s="1"/>
  <c r="M10" i="164"/>
  <c r="CZ30" i="48"/>
  <c r="O10" i="15" s="1"/>
  <c r="C8" i="161"/>
  <c r="C10" i="161"/>
  <c r="F17" i="161"/>
  <c r="S17" i="164"/>
  <c r="D16" i="160"/>
  <c r="C16" i="160" s="1"/>
  <c r="C23" i="161"/>
  <c r="C18" i="158"/>
  <c r="C16" i="158"/>
  <c r="F26" i="158" s="1"/>
  <c r="F27" i="158" s="1"/>
  <c r="H17" i="164"/>
  <c r="D115" i="162"/>
  <c r="F10" i="162"/>
  <c r="U92" i="150"/>
  <c r="U95" i="150" s="1"/>
  <c r="U96" i="150" s="1"/>
  <c r="U99" i="150" s="1"/>
  <c r="U91" i="150"/>
  <c r="AS43" i="150"/>
  <c r="AZ43" i="150"/>
  <c r="AT11" i="150"/>
  <c r="AH122" i="150"/>
  <c r="AH115" i="150"/>
  <c r="AH116" i="150"/>
  <c r="AH117" i="150" s="1"/>
  <c r="V51" i="152"/>
  <c r="U51" i="152" s="1"/>
  <c r="U47" i="152"/>
  <c r="AA31" i="152"/>
  <c r="AB10" i="152"/>
  <c r="I82" i="153"/>
  <c r="I80" i="153" s="1"/>
  <c r="J80" i="153"/>
  <c r="J79" i="153" s="1"/>
  <c r="AG60" i="151"/>
  <c r="AG58" i="151"/>
  <c r="Y11" i="153"/>
  <c r="X11" i="153" s="1"/>
  <c r="X10" i="153"/>
  <c r="U146" i="150"/>
  <c r="U147" i="150" s="1"/>
  <c r="U148" i="150" s="1"/>
  <c r="U150" i="150"/>
  <c r="U151" i="150" s="1"/>
  <c r="U154" i="150" s="1"/>
  <c r="V33" i="153"/>
  <c r="U34" i="153"/>
  <c r="U5" i="153" s="1"/>
  <c r="Y11" i="152"/>
  <c r="X10" i="152"/>
  <c r="X4" i="152" s="1"/>
  <c r="AL43" i="150"/>
  <c r="AL11" i="150" s="1"/>
  <c r="AM11" i="150"/>
  <c r="T116" i="150"/>
  <c r="T117" i="150" s="1"/>
  <c r="T134" i="150" s="1"/>
  <c r="U117" i="150"/>
  <c r="U134" i="150" s="1"/>
  <c r="P63" i="151"/>
  <c r="P9" i="151"/>
  <c r="AH113" i="150"/>
  <c r="AH120" i="150"/>
  <c r="AH121" i="150" s="1"/>
  <c r="T91" i="150"/>
  <c r="T92" i="150"/>
  <c r="T95" i="150" s="1"/>
  <c r="T96" i="150" s="1"/>
  <c r="V51" i="153"/>
  <c r="U47" i="153"/>
  <c r="AB10" i="153"/>
  <c r="AA31" i="153"/>
  <c r="AA120" i="150"/>
  <c r="Z112" i="150"/>
  <c r="AA113" i="150"/>
  <c r="Z113" i="150" s="1"/>
  <c r="P14" i="151"/>
  <c r="M14" i="151" s="1"/>
  <c r="AR14" i="151" s="1"/>
  <c r="J38" i="153"/>
  <c r="J38" i="152"/>
  <c r="M73" i="151"/>
  <c r="AB90" i="153"/>
  <c r="AA90" i="153" s="1"/>
  <c r="AA53" i="153"/>
  <c r="O13" i="151"/>
  <c r="AR13" i="151"/>
  <c r="T13" i="151"/>
  <c r="M11" i="151"/>
  <c r="T120" i="150"/>
  <c r="U121" i="150"/>
  <c r="T121" i="150" s="1"/>
  <c r="AG112" i="150"/>
  <c r="AG12" i="150"/>
  <c r="AG114" i="150" s="1"/>
  <c r="AG10" i="150"/>
  <c r="Z114" i="150"/>
  <c r="Z115" i="150" s="1"/>
  <c r="AA122" i="150"/>
  <c r="AA116" i="150"/>
  <c r="AA115" i="150"/>
  <c r="AB25" i="152"/>
  <c r="AB21" i="152" s="1"/>
  <c r="AB18" i="152" s="1"/>
  <c r="AB8" i="152" s="1"/>
  <c r="AX70" i="1"/>
  <c r="AN10" i="150"/>
  <c r="AN73" i="150" s="1"/>
  <c r="AN12" i="150"/>
  <c r="U123" i="150"/>
  <c r="U124" i="150"/>
  <c r="T122" i="150"/>
  <c r="T123" i="150" s="1"/>
  <c r="BE43" i="150"/>
  <c r="AF11" i="150"/>
  <c r="AA81" i="150"/>
  <c r="AB25" i="153"/>
  <c r="AB21" i="153" s="1"/>
  <c r="AB18" i="153" s="1"/>
  <c r="AB8" i="153" s="1"/>
  <c r="AA26" i="153"/>
  <c r="AA25" i="153" s="1"/>
  <c r="AA21" i="153" s="1"/>
  <c r="AA18" i="153" s="1"/>
  <c r="Z113" i="43"/>
  <c r="M33" i="63"/>
  <c r="M34" i="63" s="1"/>
  <c r="M35" i="63" s="1"/>
  <c r="AI55" i="62"/>
  <c r="AP27" i="37"/>
  <c r="AP30" i="37"/>
  <c r="AP23" i="37"/>
  <c r="M12" i="153"/>
  <c r="M12" i="152"/>
  <c r="N17" i="153"/>
  <c r="N17" i="152"/>
  <c r="N94" i="152" s="1"/>
  <c r="N95" i="152" s="1"/>
  <c r="N96" i="152" s="1"/>
  <c r="N79" i="152"/>
  <c r="N84" i="152" s="1"/>
  <c r="N85" i="152" s="1"/>
  <c r="F14" i="154"/>
  <c r="Q12" i="152"/>
  <c r="Q12" i="153"/>
  <c r="I12" i="152"/>
  <c r="J10" i="152"/>
  <c r="J17" i="152"/>
  <c r="J79" i="152"/>
  <c r="J8" i="152"/>
  <c r="J17" i="153"/>
  <c r="I17" i="153" s="1"/>
  <c r="I12" i="153"/>
  <c r="J10" i="153"/>
  <c r="J8" i="153"/>
  <c r="Z36" i="153"/>
  <c r="Z36" i="152"/>
  <c r="Z49" i="152"/>
  <c r="Z49" i="153"/>
  <c r="AP20" i="37"/>
  <c r="AP29" i="37"/>
  <c r="Z50" i="153"/>
  <c r="Z50" i="152"/>
  <c r="AP20" i="4"/>
  <c r="AP19" i="37"/>
  <c r="AP24" i="37"/>
  <c r="V4" i="152"/>
  <c r="AP25" i="4"/>
  <c r="AP22" i="4"/>
  <c r="AP33" i="37"/>
  <c r="Z56" i="153"/>
  <c r="Z56" i="152"/>
  <c r="AP28" i="37"/>
  <c r="AP25" i="37"/>
  <c r="M57" i="44"/>
  <c r="M59" i="44" s="1"/>
  <c r="M58" i="151"/>
  <c r="M60" i="151" s="1"/>
  <c r="P89" i="50"/>
  <c r="D89" i="50" s="1"/>
  <c r="D32" i="50"/>
  <c r="D87" i="50" s="1"/>
  <c r="AG10" i="43"/>
  <c r="AG112" i="43"/>
  <c r="AG12" i="43"/>
  <c r="AG114" i="43" s="1"/>
  <c r="V32" i="39"/>
  <c r="U33" i="39"/>
  <c r="U5" i="39" s="1"/>
  <c r="BN25" i="5"/>
  <c r="BD74" i="41"/>
  <c r="BD77" i="41"/>
  <c r="BH75" i="41"/>
  <c r="BF75" i="41"/>
  <c r="BV75" i="41"/>
  <c r="AP30" i="4"/>
  <c r="U39" i="94"/>
  <c r="U43" i="94" s="1"/>
  <c r="U53" i="94" s="1"/>
  <c r="U54" i="94" s="1"/>
  <c r="U38" i="94"/>
  <c r="U42" i="94"/>
  <c r="U41" i="94" s="1"/>
  <c r="R42" i="94" s="1"/>
  <c r="BN22" i="5"/>
  <c r="AK11" i="37"/>
  <c r="AP12" i="37"/>
  <c r="AP11" i="37" s="1"/>
  <c r="U150" i="43"/>
  <c r="U151" i="43" s="1"/>
  <c r="U154" i="43" s="1"/>
  <c r="U146" i="43"/>
  <c r="U147" i="43" s="1"/>
  <c r="U148" i="43" s="1"/>
  <c r="B149" i="13" s="1"/>
  <c r="S32" i="7"/>
  <c r="R33" i="7"/>
  <c r="C19" i="112"/>
  <c r="C20" i="112" s="1"/>
  <c r="I20" i="112"/>
  <c r="X30" i="6"/>
  <c r="Y10" i="6"/>
  <c r="V29" i="16"/>
  <c r="X8" i="38"/>
  <c r="AB123" i="43"/>
  <c r="BN19" i="5"/>
  <c r="BP57" i="41"/>
  <c r="AL49" i="62"/>
  <c r="AL41" i="62"/>
  <c r="X25" i="6"/>
  <c r="X24" i="6" s="1"/>
  <c r="X20" i="6" s="1"/>
  <c r="X18" i="6" s="1"/>
  <c r="Y24" i="6"/>
  <c r="Y20" i="6" s="1"/>
  <c r="Y18" i="6" s="1"/>
  <c r="Y8" i="6" s="1"/>
  <c r="AF12" i="43"/>
  <c r="AF10" i="43"/>
  <c r="G13" i="154" s="1"/>
  <c r="G14" i="154" s="1"/>
  <c r="AO39" i="14"/>
  <c r="AM39" i="62"/>
  <c r="C39" i="14"/>
  <c r="H19" i="64"/>
  <c r="D19" i="64" s="1"/>
  <c r="AC46" i="14"/>
  <c r="V44" i="39"/>
  <c r="U40" i="39"/>
  <c r="Y24" i="7"/>
  <c r="Y20" i="7" s="1"/>
  <c r="Y18" i="7" s="1"/>
  <c r="Y8" i="7" s="1"/>
  <c r="X25" i="7"/>
  <c r="X24" i="7" s="1"/>
  <c r="X20" i="7" s="1"/>
  <c r="X18" i="7" s="1"/>
  <c r="BP70" i="41"/>
  <c r="BO72" i="41"/>
  <c r="BO88" i="41"/>
  <c r="BN21" i="5"/>
  <c r="M65" i="44"/>
  <c r="O10" i="44"/>
  <c r="M64" i="44"/>
  <c r="BM17" i="5"/>
  <c r="U26" i="16" s="1"/>
  <c r="BN18" i="5"/>
  <c r="AP27" i="4"/>
  <c r="AP21" i="4"/>
  <c r="AM13" i="92"/>
  <c r="AK40" i="92"/>
  <c r="AJ6" i="92"/>
  <c r="Z76" i="43"/>
  <c r="AP22" i="37"/>
  <c r="AP21" i="37"/>
  <c r="C8" i="149"/>
  <c r="C10" i="149"/>
  <c r="F17" i="149"/>
  <c r="X30" i="7"/>
  <c r="Y10" i="7"/>
  <c r="BN23" i="5"/>
  <c r="I9" i="19"/>
  <c r="J9" i="19" s="1"/>
  <c r="J33" i="46"/>
  <c r="E128" i="83"/>
  <c r="C39" i="83"/>
  <c r="BN33" i="5"/>
  <c r="U28" i="16"/>
  <c r="S44" i="7"/>
  <c r="R44" i="7" s="1"/>
  <c r="R40" i="7"/>
  <c r="Q20" i="17"/>
  <c r="M20" i="17" s="1"/>
  <c r="S20" i="64"/>
  <c r="Q20" i="64" s="1"/>
  <c r="M20" i="64" s="1"/>
  <c r="AB24" i="39"/>
  <c r="AB20" i="39" s="1"/>
  <c r="AB18" i="39" s="1"/>
  <c r="AB8" i="39" s="1"/>
  <c r="AA25" i="39"/>
  <c r="AA24" i="39" s="1"/>
  <c r="AA20" i="39" s="1"/>
  <c r="AA18" i="39" s="1"/>
  <c r="BN29" i="5"/>
  <c r="BC74" i="41"/>
  <c r="BC86" i="41" s="1"/>
  <c r="BC77" i="41"/>
  <c r="BE75" i="41"/>
  <c r="X18" i="16"/>
  <c r="BP55" i="3"/>
  <c r="C23" i="149"/>
  <c r="J38" i="46"/>
  <c r="I38" i="46" s="1"/>
  <c r="G115" i="13"/>
  <c r="D16" i="58"/>
  <c r="M13" i="44"/>
  <c r="C23" i="65"/>
  <c r="J38" i="45"/>
  <c r="I38" i="45" s="1"/>
  <c r="U78" i="39"/>
  <c r="T116" i="43"/>
  <c r="T117" i="43" s="1"/>
  <c r="U117" i="43"/>
  <c r="U134" i="43" s="1"/>
  <c r="AD17" i="4"/>
  <c r="AN10" i="43"/>
  <c r="AN12" i="43"/>
  <c r="T91" i="43"/>
  <c r="T92" i="43"/>
  <c r="N63" i="151" s="1"/>
  <c r="D17" i="17"/>
  <c r="W49" i="7"/>
  <c r="W49" i="6"/>
  <c r="W83" i="6" s="1"/>
  <c r="Z49" i="38"/>
  <c r="Z49" i="39"/>
  <c r="Z83" i="39" s="1"/>
  <c r="AP33" i="4"/>
  <c r="AP24" i="4"/>
  <c r="Y11" i="38"/>
  <c r="X10" i="38"/>
  <c r="X4" i="38" s="1"/>
  <c r="Q12" i="45"/>
  <c r="Q12" i="46"/>
  <c r="J8" i="45"/>
  <c r="I12" i="45"/>
  <c r="J79" i="45"/>
  <c r="J17" i="45"/>
  <c r="J10" i="45"/>
  <c r="U92" i="43"/>
  <c r="U95" i="43" s="1"/>
  <c r="U96" i="43" s="1"/>
  <c r="U91" i="43"/>
  <c r="S32" i="6"/>
  <c r="R33" i="6"/>
  <c r="R5" i="6" s="1"/>
  <c r="AA120" i="43"/>
  <c r="Z112" i="43"/>
  <c r="I87" i="46"/>
  <c r="AA30" i="38"/>
  <c r="AB10" i="38"/>
  <c r="BQ34" i="5"/>
  <c r="AN34" i="4"/>
  <c r="J12" i="19"/>
  <c r="J11" i="19" s="1"/>
  <c r="J17" i="19"/>
  <c r="S19" i="64"/>
  <c r="Q19" i="64" s="1"/>
  <c r="M19" i="64" s="1"/>
  <c r="Q19" i="17"/>
  <c r="M19" i="17" s="1"/>
  <c r="BR79" i="41"/>
  <c r="BQ74" i="41"/>
  <c r="BQ86" i="41" s="1"/>
  <c r="BS79" i="41"/>
  <c r="BS74" i="41" s="1"/>
  <c r="BS86" i="41" s="1"/>
  <c r="BN84" i="3"/>
  <c r="BR62" i="3"/>
  <c r="BT63" i="3"/>
  <c r="BT62" i="3" s="1"/>
  <c r="BT58" i="3" s="1"/>
  <c r="BT55" i="3" s="1"/>
  <c r="V44" i="38"/>
  <c r="U44" i="38" s="1"/>
  <c r="U40" i="38"/>
  <c r="N14" i="63"/>
  <c r="C79" i="83" s="1"/>
  <c r="C76" i="83"/>
  <c r="C71" i="83" s="1"/>
  <c r="N6" i="63"/>
  <c r="Y25" i="45"/>
  <c r="Y21" i="45" s="1"/>
  <c r="V11" i="7"/>
  <c r="U10" i="7"/>
  <c r="U4" i="7" s="1"/>
  <c r="C30" i="66"/>
  <c r="C28" i="54"/>
  <c r="U123" i="43"/>
  <c r="T122" i="43"/>
  <c r="T123" i="43" s="1"/>
  <c r="U124" i="43"/>
  <c r="W50" i="46"/>
  <c r="Z43" i="38"/>
  <c r="W43" i="7"/>
  <c r="AP19" i="4"/>
  <c r="Z43" i="39"/>
  <c r="W43" i="6"/>
  <c r="L23" i="65"/>
  <c r="L65" i="65"/>
  <c r="L14" i="65"/>
  <c r="C10" i="65"/>
  <c r="C8" i="65"/>
  <c r="BN28" i="5"/>
  <c r="M72" i="44"/>
  <c r="N17" i="46"/>
  <c r="R78" i="6"/>
  <c r="BN26" i="5"/>
  <c r="AK13" i="92"/>
  <c r="E13" i="92"/>
  <c r="E12" i="92" s="1"/>
  <c r="E8" i="92" s="1"/>
  <c r="E7" i="92" s="1"/>
  <c r="D12" i="92"/>
  <c r="D8" i="92" s="1"/>
  <c r="D7" i="92" s="1"/>
  <c r="X46" i="6"/>
  <c r="Y81" i="6"/>
  <c r="X81" i="6" s="1"/>
  <c r="AD11" i="37"/>
  <c r="AB10" i="37"/>
  <c r="J32" i="48"/>
  <c r="I32" i="48"/>
  <c r="F30" i="48"/>
  <c r="AS43" i="43"/>
  <c r="AZ43" i="43"/>
  <c r="AT11" i="43"/>
  <c r="H17" i="64"/>
  <c r="AP23" i="4"/>
  <c r="AP28" i="4"/>
  <c r="AH120" i="43"/>
  <c r="AH121" i="43" s="1"/>
  <c r="AH113" i="43"/>
  <c r="BN20" i="5"/>
  <c r="S71" i="6"/>
  <c r="R72" i="6"/>
  <c r="R71" i="6" s="1"/>
  <c r="V39" i="94"/>
  <c r="V44" i="94" s="1"/>
  <c r="V45" i="94" s="1"/>
  <c r="V38" i="94"/>
  <c r="M12" i="46"/>
  <c r="M12" i="45"/>
  <c r="M79" i="45" s="1"/>
  <c r="AA73" i="43"/>
  <c r="AA81" i="43" s="1"/>
  <c r="AB121" i="43"/>
  <c r="AA30" i="39"/>
  <c r="AB10" i="39"/>
  <c r="AA46" i="39"/>
  <c r="AB81" i="39"/>
  <c r="AA81" i="39" s="1"/>
  <c r="BN30" i="5"/>
  <c r="Z32" i="16"/>
  <c r="AB32" i="16" s="1"/>
  <c r="BV35" i="5"/>
  <c r="M14" i="63"/>
  <c r="C79" i="82" s="1"/>
  <c r="C76" i="82"/>
  <c r="C71" i="82" s="1"/>
  <c r="M6" i="63"/>
  <c r="AI56" i="62" s="1"/>
  <c r="I82" i="46"/>
  <c r="I80" i="46" s="1"/>
  <c r="J80" i="46"/>
  <c r="J79" i="46" s="1"/>
  <c r="BR64" i="41"/>
  <c r="BT65" i="41"/>
  <c r="BT64" i="41" s="1"/>
  <c r="BT60" i="41" s="1"/>
  <c r="BT57" i="41" s="1"/>
  <c r="Y18" i="16"/>
  <c r="BQ55" i="3"/>
  <c r="BQ77" i="3" s="1"/>
  <c r="W29" i="16"/>
  <c r="BP34" i="5"/>
  <c r="X29" i="16" s="1"/>
  <c r="S44" i="6"/>
  <c r="R40" i="6"/>
  <c r="AB24" i="38"/>
  <c r="AB20" i="38" s="1"/>
  <c r="AB18" i="38" s="1"/>
  <c r="AB8" i="38" s="1"/>
  <c r="AA25" i="38"/>
  <c r="AA24" i="38" s="1"/>
  <c r="AA20" i="38" s="1"/>
  <c r="AA18" i="38" s="1"/>
  <c r="C72" i="80"/>
  <c r="C39" i="82"/>
  <c r="AC49" i="62"/>
  <c r="AC41" i="62"/>
  <c r="K33" i="63" s="1"/>
  <c r="K34" i="63" s="1"/>
  <c r="K35" i="63" s="1"/>
  <c r="BQ68" i="3"/>
  <c r="BQ70" i="41"/>
  <c r="BM11" i="5"/>
  <c r="BN12" i="5"/>
  <c r="AD17" i="37"/>
  <c r="O15" i="15"/>
  <c r="H35" i="48"/>
  <c r="Y11" i="39"/>
  <c r="X11" i="39" s="1"/>
  <c r="X10" i="39"/>
  <c r="AL43" i="43"/>
  <c r="AL11" i="43" s="1"/>
  <c r="Z35" i="38"/>
  <c r="Z34" i="38" s="1"/>
  <c r="W35" i="7"/>
  <c r="W34" i="7" s="1"/>
  <c r="K19" i="19"/>
  <c r="Z35" i="39"/>
  <c r="W35" i="6"/>
  <c r="AP12" i="4"/>
  <c r="AK11" i="4"/>
  <c r="AP26" i="4"/>
  <c r="AH122" i="43"/>
  <c r="AH124" i="43" s="1"/>
  <c r="AH125" i="43" s="1"/>
  <c r="AH116" i="43"/>
  <c r="AH117" i="43" s="1"/>
  <c r="AA122" i="43"/>
  <c r="Z114" i="43"/>
  <c r="Z115" i="43" s="1"/>
  <c r="AA116" i="43"/>
  <c r="C115" i="13"/>
  <c r="D10" i="13"/>
  <c r="C199" i="13" s="1"/>
  <c r="P196" i="13" s="1"/>
  <c r="BD18" i="5"/>
  <c r="C15" i="68"/>
  <c r="C12" i="68" s="1"/>
  <c r="D12" i="68"/>
  <c r="D11" i="68" s="1"/>
  <c r="V32" i="38"/>
  <c r="U33" i="38"/>
  <c r="Y25" i="46"/>
  <c r="Y21" i="46" s="1"/>
  <c r="Y18" i="46" s="1"/>
  <c r="X26" i="46"/>
  <c r="X25" i="46" s="1"/>
  <c r="X21" i="46" s="1"/>
  <c r="X18" i="46" s="1"/>
  <c r="CZ67" i="48"/>
  <c r="CZ32" i="48"/>
  <c r="DH30" i="48"/>
  <c r="CZ25" i="48"/>
  <c r="AL53" i="37"/>
  <c r="AL53" i="4"/>
  <c r="AL59" i="44"/>
  <c r="AL51" i="37"/>
  <c r="AL51" i="4"/>
  <c r="W21" i="16"/>
  <c r="BP68" i="3"/>
  <c r="BO70" i="3"/>
  <c r="BS68" i="3"/>
  <c r="BO86" i="3"/>
  <c r="C16" i="54"/>
  <c r="F26" i="54" s="1"/>
  <c r="F27" i="54" s="1"/>
  <c r="C32" i="57"/>
  <c r="C18" i="54"/>
  <c r="C17" i="66"/>
  <c r="N17" i="45"/>
  <c r="N94" i="45" s="1"/>
  <c r="N95" i="45" s="1"/>
  <c r="N96" i="45" s="1"/>
  <c r="N79" i="45"/>
  <c r="C80" i="80"/>
  <c r="AM38" i="14"/>
  <c r="H12" i="48"/>
  <c r="H82" i="48" s="1"/>
  <c r="BD13" i="5"/>
  <c r="BC11" i="5"/>
  <c r="S17" i="64"/>
  <c r="Q17" i="17"/>
  <c r="AG53" i="37"/>
  <c r="AG51" i="37"/>
  <c r="AG53" i="4"/>
  <c r="AG51" i="4"/>
  <c r="AP29" i="4"/>
  <c r="W42" i="6"/>
  <c r="W78" i="6" s="1"/>
  <c r="W42" i="7"/>
  <c r="AK17" i="4"/>
  <c r="AP18" i="4"/>
  <c r="Z42" i="38"/>
  <c r="Z42" i="39"/>
  <c r="Z78" i="39" s="1"/>
  <c r="BN27" i="5"/>
  <c r="V71" i="39"/>
  <c r="U72" i="39"/>
  <c r="U71" i="39" s="1"/>
  <c r="U121" i="43"/>
  <c r="T121" i="43" s="1"/>
  <c r="T120" i="43"/>
  <c r="AK17" i="37"/>
  <c r="AP18" i="37"/>
  <c r="AP26" i="37"/>
  <c r="J17" i="46"/>
  <c r="I17" i="46" s="1"/>
  <c r="I12" i="46"/>
  <c r="J8" i="46"/>
  <c r="J10" i="46"/>
  <c r="M10" i="64"/>
  <c r="F10" i="60"/>
  <c r="D115" i="60"/>
  <c r="AD11" i="4"/>
  <c r="AB10" i="4"/>
  <c r="BN24" i="5"/>
  <c r="U10" i="6"/>
  <c r="V11" i="6"/>
  <c r="U11" i="6" s="1"/>
  <c r="C30" i="169" l="1"/>
  <c r="C31" i="158"/>
  <c r="F28" i="169"/>
  <c r="Q17" i="164"/>
  <c r="G115" i="162"/>
  <c r="G10" i="162" s="1"/>
  <c r="C115" i="162"/>
  <c r="D10" i="162"/>
  <c r="D17" i="164"/>
  <c r="F29" i="158"/>
  <c r="Z122" i="150"/>
  <c r="Z123" i="150" s="1"/>
  <c r="AA123" i="150"/>
  <c r="AA124" i="150"/>
  <c r="AG120" i="150"/>
  <c r="AF112" i="150"/>
  <c r="AG113" i="150"/>
  <c r="AF113" i="150" s="1"/>
  <c r="I38" i="153"/>
  <c r="S38" i="153"/>
  <c r="R38" i="153" s="1"/>
  <c r="Z120" i="150"/>
  <c r="AA121" i="150"/>
  <c r="Z121" i="150" s="1"/>
  <c r="U51" i="153"/>
  <c r="Y89" i="152"/>
  <c r="Y90" i="152" s="1"/>
  <c r="Y91" i="152" s="1"/>
  <c r="Y86" i="152"/>
  <c r="X11" i="152"/>
  <c r="X89" i="152" s="1"/>
  <c r="X90" i="152" s="1"/>
  <c r="X91" i="152" s="1"/>
  <c r="AY43" i="150"/>
  <c r="AZ11" i="150"/>
  <c r="C31" i="54"/>
  <c r="C31" i="66" s="1"/>
  <c r="E36" i="154"/>
  <c r="AI57" i="62"/>
  <c r="AA8" i="153"/>
  <c r="AM12" i="150"/>
  <c r="AM10" i="150"/>
  <c r="AM73" i="150" s="1"/>
  <c r="AH123" i="150"/>
  <c r="AH124" i="150"/>
  <c r="AH125" i="150" s="1"/>
  <c r="AR43" i="150"/>
  <c r="AR11" i="150" s="1"/>
  <c r="AS11" i="150"/>
  <c r="C16" i="58"/>
  <c r="D16" i="68"/>
  <c r="C16" i="68" s="1"/>
  <c r="T124" i="150"/>
  <c r="U125" i="150"/>
  <c r="T125" i="150" s="1"/>
  <c r="AB11" i="153"/>
  <c r="AA11" i="153" s="1"/>
  <c r="AA10" i="153"/>
  <c r="AL12" i="150"/>
  <c r="AL10" i="150"/>
  <c r="AL73" i="150" s="1"/>
  <c r="V71" i="153"/>
  <c r="U71" i="153" s="1"/>
  <c r="U33" i="153"/>
  <c r="AF10" i="150"/>
  <c r="AF12" i="150"/>
  <c r="BE12" i="150" s="1"/>
  <c r="BE11" i="150"/>
  <c r="AL58" i="151"/>
  <c r="AL60" i="151"/>
  <c r="AA117" i="150"/>
  <c r="Z116" i="150"/>
  <c r="Z117" i="150" s="1"/>
  <c r="AG122" i="150"/>
  <c r="AG116" i="150"/>
  <c r="AF114" i="150"/>
  <c r="AF115" i="150" s="1"/>
  <c r="AG115" i="150"/>
  <c r="M66" i="151"/>
  <c r="M67" i="151" s="1"/>
  <c r="M65" i="151"/>
  <c r="O11" i="151"/>
  <c r="I38" i="152"/>
  <c r="S38" i="152"/>
  <c r="R38" i="152" s="1"/>
  <c r="AB11" i="152"/>
  <c r="AA10" i="152"/>
  <c r="AA4" i="152" s="1"/>
  <c r="AT12" i="150"/>
  <c r="AT10" i="150"/>
  <c r="AT73" i="150" s="1"/>
  <c r="M84" i="45"/>
  <c r="T12" i="46"/>
  <c r="T17" i="46" s="1"/>
  <c r="T12" i="45"/>
  <c r="T17" i="45" s="1"/>
  <c r="N84" i="45"/>
  <c r="N85" i="45" s="1"/>
  <c r="N33" i="63"/>
  <c r="N34" i="63" s="1"/>
  <c r="N35" i="63" s="1"/>
  <c r="AL55" i="62"/>
  <c r="Y18" i="45"/>
  <c r="C28" i="66"/>
  <c r="E9" i="70"/>
  <c r="H14" i="154"/>
  <c r="H13" i="154" s="1"/>
  <c r="J94" i="152"/>
  <c r="J95" i="152" s="1"/>
  <c r="J96" i="152" s="1"/>
  <c r="I17" i="152"/>
  <c r="I94" i="152" s="1"/>
  <c r="I95" i="152" s="1"/>
  <c r="I96" i="152" s="1"/>
  <c r="J11" i="152"/>
  <c r="J71" i="153"/>
  <c r="I8" i="153"/>
  <c r="J96" i="153"/>
  <c r="J11" i="153"/>
  <c r="I11" i="153" s="1"/>
  <c r="I10" i="153"/>
  <c r="P12" i="152"/>
  <c r="P12" i="153"/>
  <c r="Q17" i="153"/>
  <c r="T17" i="153" s="1"/>
  <c r="T12" i="153"/>
  <c r="M10" i="152"/>
  <c r="L12" i="152"/>
  <c r="M17" i="152"/>
  <c r="M79" i="152"/>
  <c r="M8" i="152"/>
  <c r="I79" i="152"/>
  <c r="J84" i="152"/>
  <c r="T12" i="152"/>
  <c r="Q17" i="152"/>
  <c r="Q79" i="152"/>
  <c r="Q84" i="152" s="1"/>
  <c r="Q85" i="152" s="1"/>
  <c r="W79" i="152"/>
  <c r="W84" i="152" s="1"/>
  <c r="W85" i="152" s="1"/>
  <c r="L12" i="153"/>
  <c r="M17" i="153"/>
  <c r="L17" i="153" s="1"/>
  <c r="M10" i="153"/>
  <c r="M8" i="153"/>
  <c r="Z47" i="152"/>
  <c r="Z47" i="153"/>
  <c r="AC36" i="153"/>
  <c r="AC36" i="152"/>
  <c r="AC56" i="153"/>
  <c r="AC56" i="152"/>
  <c r="Z92" i="153"/>
  <c r="Z87" i="153"/>
  <c r="AC49" i="152"/>
  <c r="AC49" i="153"/>
  <c r="Z35" i="152"/>
  <c r="Z88" i="153"/>
  <c r="AC88" i="153"/>
  <c r="Z81" i="153"/>
  <c r="Z35" i="153"/>
  <c r="L79" i="45"/>
  <c r="BV13" i="5"/>
  <c r="BF13" i="5"/>
  <c r="BD11" i="5"/>
  <c r="DH32" i="48"/>
  <c r="H32" i="48"/>
  <c r="U21" i="17"/>
  <c r="O16" i="63"/>
  <c r="C15" i="15"/>
  <c r="Q39" i="44" s="1"/>
  <c r="Y16" i="16"/>
  <c r="AA18" i="16"/>
  <c r="AA16" i="16" s="1"/>
  <c r="AK12" i="92"/>
  <c r="AK8" i="92" s="1"/>
  <c r="AK7" i="92" s="1"/>
  <c r="AK6" i="92"/>
  <c r="AK39" i="92"/>
  <c r="F29" i="54"/>
  <c r="AA8" i="38"/>
  <c r="Z79" i="6"/>
  <c r="W79" i="6"/>
  <c r="Z120" i="43"/>
  <c r="AA121" i="43"/>
  <c r="Z121" i="43" s="1"/>
  <c r="X16" i="16"/>
  <c r="M66" i="44"/>
  <c r="X8" i="6"/>
  <c r="AF149" i="13"/>
  <c r="S149" i="13"/>
  <c r="S150" i="13" s="1"/>
  <c r="S151" i="13" s="1"/>
  <c r="R149" i="13"/>
  <c r="R150" i="13" s="1"/>
  <c r="R151" i="13" s="1"/>
  <c r="AB149" i="13"/>
  <c r="AB150" i="13" s="1"/>
  <c r="AB151" i="13" s="1"/>
  <c r="AA149" i="13"/>
  <c r="AA150" i="13" s="1"/>
  <c r="AA151" i="13" s="1"/>
  <c r="W149" i="13"/>
  <c r="W150" i="13" s="1"/>
  <c r="W151" i="13" s="1"/>
  <c r="X149" i="13"/>
  <c r="X150" i="13" s="1"/>
  <c r="X151" i="13" s="1"/>
  <c r="Z149" i="13"/>
  <c r="Z150" i="13" s="1"/>
  <c r="Z151" i="13" s="1"/>
  <c r="E149" i="13"/>
  <c r="D149" i="13" s="1"/>
  <c r="U149" i="13"/>
  <c r="U150" i="13" s="1"/>
  <c r="U151" i="13" s="1"/>
  <c r="V149" i="13"/>
  <c r="V150" i="13" s="1"/>
  <c r="V151" i="13" s="1"/>
  <c r="AC149" i="13"/>
  <c r="AC150" i="13" s="1"/>
  <c r="AC151" i="13" s="1"/>
  <c r="Y149" i="13"/>
  <c r="Y150" i="13" s="1"/>
  <c r="Y151" i="13" s="1"/>
  <c r="Q149" i="13"/>
  <c r="AE149" i="13"/>
  <c r="AD149" i="13"/>
  <c r="U32" i="39"/>
  <c r="V63" i="39"/>
  <c r="U63" i="39" s="1"/>
  <c r="AM38" i="62"/>
  <c r="AO38" i="14"/>
  <c r="C38" i="14"/>
  <c r="AA117" i="43"/>
  <c r="Z116" i="43"/>
  <c r="Z117" i="43" s="1"/>
  <c r="AK10" i="4"/>
  <c r="AK9" i="4" s="1"/>
  <c r="BR60" i="41"/>
  <c r="BV64" i="41"/>
  <c r="D17" i="64"/>
  <c r="AB9" i="37"/>
  <c r="AC10" i="37" s="1"/>
  <c r="AD10" i="37"/>
  <c r="AB54" i="37"/>
  <c r="K23" i="65"/>
  <c r="AC79" i="39"/>
  <c r="Z79" i="39"/>
  <c r="Y77" i="38"/>
  <c r="Y80" i="38"/>
  <c r="Y81" i="38" s="1"/>
  <c r="Y82" i="38" s="1"/>
  <c r="X11" i="38"/>
  <c r="BE74" i="41"/>
  <c r="BE86" i="41" s="1"/>
  <c r="BE77" i="41"/>
  <c r="X8" i="7"/>
  <c r="AM36" i="14"/>
  <c r="C33" i="57"/>
  <c r="C31" i="57"/>
  <c r="BF18" i="5"/>
  <c r="Y29" i="16"/>
  <c r="AA29" i="16" s="1"/>
  <c r="BR34" i="5"/>
  <c r="BS34" i="5"/>
  <c r="BN17" i="5"/>
  <c r="V26" i="16" s="1"/>
  <c r="Y11" i="6"/>
  <c r="X11" i="6" s="1"/>
  <c r="X10" i="6"/>
  <c r="AG122" i="43"/>
  <c r="AG116" i="43"/>
  <c r="AF114" i="43"/>
  <c r="AF115" i="43" s="1"/>
  <c r="AG115" i="43"/>
  <c r="V4" i="38"/>
  <c r="U65" i="38"/>
  <c r="Z122" i="43"/>
  <c r="Z123" i="43" s="1"/>
  <c r="AA124" i="43"/>
  <c r="AA123" i="43"/>
  <c r="AL12" i="43"/>
  <c r="AL10" i="43"/>
  <c r="AY43" i="43"/>
  <c r="AZ11" i="43"/>
  <c r="AB11" i="38"/>
  <c r="AA10" i="38"/>
  <c r="AA4" i="38" s="1"/>
  <c r="AC49" i="38"/>
  <c r="Z49" i="6"/>
  <c r="Z83" i="6" s="1"/>
  <c r="Z49" i="7"/>
  <c r="AC49" i="39"/>
  <c r="AC83" i="39" s="1"/>
  <c r="G115" i="60"/>
  <c r="G10" i="60" s="1"/>
  <c r="G10" i="13"/>
  <c r="V80" i="39"/>
  <c r="U44" i="39"/>
  <c r="K21" i="17"/>
  <c r="E39" i="14"/>
  <c r="AK10" i="37"/>
  <c r="AK9" i="37" s="1"/>
  <c r="AG113" i="43"/>
  <c r="AF113" i="43" s="1"/>
  <c r="AF112" i="43"/>
  <c r="AG120" i="43"/>
  <c r="AP17" i="37"/>
  <c r="AP10" i="37" s="1"/>
  <c r="AP9" i="37" s="1"/>
  <c r="BS70" i="3"/>
  <c r="BS86" i="3"/>
  <c r="BR74" i="41"/>
  <c r="BR86" i="41" s="1"/>
  <c r="BV79" i="41"/>
  <c r="BT79" i="41"/>
  <c r="BT74" i="41" s="1"/>
  <c r="R32" i="6"/>
  <c r="S63" i="6"/>
  <c r="R63" i="6" s="1"/>
  <c r="Y11" i="7"/>
  <c r="X10" i="7"/>
  <c r="X4" i="7" s="1"/>
  <c r="AO39" i="62"/>
  <c r="E39" i="62" s="1"/>
  <c r="C42" i="84"/>
  <c r="C39" i="62"/>
  <c r="I10" i="46"/>
  <c r="J11" i="46"/>
  <c r="I11" i="46" s="1"/>
  <c r="Z42" i="7"/>
  <c r="AP17" i="4"/>
  <c r="Z42" i="6"/>
  <c r="Z78" i="6" s="1"/>
  <c r="AC42" i="38"/>
  <c r="AC42" i="39"/>
  <c r="AC78" i="39" s="1"/>
  <c r="M17" i="17"/>
  <c r="AP11" i="4"/>
  <c r="Z35" i="7"/>
  <c r="Z34" i="7" s="1"/>
  <c r="Z35" i="6"/>
  <c r="M19" i="19"/>
  <c r="O19" i="19" s="1"/>
  <c r="O13" i="19" s="1"/>
  <c r="AC35" i="38"/>
  <c r="AC34" i="38" s="1"/>
  <c r="AC35" i="39"/>
  <c r="BN11" i="5"/>
  <c r="S80" i="6"/>
  <c r="R44" i="6"/>
  <c r="L12" i="46"/>
  <c r="M10" i="46"/>
  <c r="M17" i="46"/>
  <c r="L17" i="46" s="1"/>
  <c r="M8" i="46"/>
  <c r="I8" i="46"/>
  <c r="J96" i="46"/>
  <c r="J71" i="46"/>
  <c r="H8" i="48"/>
  <c r="Q17" i="64"/>
  <c r="X21" i="16"/>
  <c r="BP70" i="3"/>
  <c r="BP86" i="3"/>
  <c r="BP87" i="3" s="1"/>
  <c r="CZ49" i="48"/>
  <c r="CZ45" i="48"/>
  <c r="CZ50" i="48"/>
  <c r="U32" i="38"/>
  <c r="V63" i="38"/>
  <c r="U63" i="38" s="1"/>
  <c r="W34" i="6"/>
  <c r="W72" i="6"/>
  <c r="W71" i="6" s="1"/>
  <c r="BM10" i="5"/>
  <c r="BM9" i="5" s="1"/>
  <c r="U25" i="16"/>
  <c r="AR43" i="43"/>
  <c r="AR11" i="43" s="1"/>
  <c r="AS11" i="43"/>
  <c r="V77" i="7"/>
  <c r="V80" i="7"/>
  <c r="V81" i="7" s="1"/>
  <c r="V82" i="7" s="1"/>
  <c r="AJ57" i="151" s="1"/>
  <c r="AJ27" i="151" s="1"/>
  <c r="U11" i="7"/>
  <c r="C195" i="13"/>
  <c r="U99" i="43"/>
  <c r="T95" i="43"/>
  <c r="T96" i="43" s="1"/>
  <c r="N62" i="44"/>
  <c r="T134" i="43"/>
  <c r="R207" i="13"/>
  <c r="AH123" i="43"/>
  <c r="BF77" i="41"/>
  <c r="BG77" i="41" s="1"/>
  <c r="BF74" i="41"/>
  <c r="BF86" i="41" s="1"/>
  <c r="P12" i="46"/>
  <c r="P12" i="45"/>
  <c r="AD32" i="16"/>
  <c r="AC32" i="16"/>
  <c r="AM12" i="43"/>
  <c r="AM10" i="43"/>
  <c r="AT10" i="43"/>
  <c r="AT12" i="43"/>
  <c r="AB9" i="4"/>
  <c r="AC10" i="4" s="1"/>
  <c r="AD10" i="4"/>
  <c r="I8" i="19"/>
  <c r="AB54" i="4"/>
  <c r="C16" i="66"/>
  <c r="C18" i="66"/>
  <c r="W12" i="16"/>
  <c r="W11" i="16" s="1"/>
  <c r="O11" i="63"/>
  <c r="O31" i="63" s="1"/>
  <c r="O32" i="63" s="1"/>
  <c r="O13" i="15"/>
  <c r="O23" i="15"/>
  <c r="O5" i="15"/>
  <c r="O25" i="15" s="1"/>
  <c r="C10" i="15"/>
  <c r="Z34" i="39"/>
  <c r="Z72" i="39"/>
  <c r="Z71" i="39" s="1"/>
  <c r="BR70" i="41"/>
  <c r="BT70" i="41" s="1"/>
  <c r="BQ72" i="41"/>
  <c r="BQ88" i="41"/>
  <c r="AA10" i="39"/>
  <c r="AB11" i="39"/>
  <c r="AA11" i="39" s="1"/>
  <c r="J30" i="48"/>
  <c r="J67" i="48" s="1"/>
  <c r="I30" i="48"/>
  <c r="I67" i="48" s="1"/>
  <c r="F25" i="48"/>
  <c r="Z88" i="46"/>
  <c r="W88" i="46"/>
  <c r="BR58" i="3"/>
  <c r="BV62" i="3"/>
  <c r="J11" i="45"/>
  <c r="BS70" i="41"/>
  <c r="C115" i="60"/>
  <c r="D10" i="60"/>
  <c r="L12" i="45"/>
  <c r="M17" i="45"/>
  <c r="L17" i="45" s="1"/>
  <c r="M10" i="45"/>
  <c r="M8" i="45"/>
  <c r="W40" i="6"/>
  <c r="W44" i="6" s="1"/>
  <c r="W80" i="6" s="1"/>
  <c r="Z40" i="38"/>
  <c r="Z44" i="38" s="1"/>
  <c r="Z40" i="39"/>
  <c r="Z44" i="39" s="1"/>
  <c r="Z80" i="39" s="1"/>
  <c r="W40" i="7"/>
  <c r="W44" i="7" s="1"/>
  <c r="M25" i="16"/>
  <c r="K13" i="19"/>
  <c r="L19" i="19"/>
  <c r="L13" i="19" s="1"/>
  <c r="BR68" i="3"/>
  <c r="BQ70" i="3"/>
  <c r="Y21" i="16"/>
  <c r="Y12" i="16" s="1"/>
  <c r="Y11" i="16" s="1"/>
  <c r="BQ86" i="3"/>
  <c r="BR77" i="3"/>
  <c r="BQ72" i="3"/>
  <c r="BQ84" i="3" s="1"/>
  <c r="BS77" i="3"/>
  <c r="BS72" i="3" s="1"/>
  <c r="BS84" i="3" s="1"/>
  <c r="T124" i="43"/>
  <c r="U125" i="43"/>
  <c r="T125" i="43" s="1"/>
  <c r="I17" i="45"/>
  <c r="I94" i="45" s="1"/>
  <c r="I95" i="45" s="1"/>
  <c r="I96" i="45" s="1"/>
  <c r="J94" i="45"/>
  <c r="J95" i="45" s="1"/>
  <c r="J96" i="45" s="1"/>
  <c r="Q17" i="46"/>
  <c r="V28" i="16"/>
  <c r="AN13" i="92"/>
  <c r="AM12" i="92"/>
  <c r="AN6" i="92"/>
  <c r="AO6" i="92" s="1"/>
  <c r="AF76" i="43"/>
  <c r="S4" i="7"/>
  <c r="R65" i="7"/>
  <c r="D85" i="50"/>
  <c r="D91" i="50"/>
  <c r="J84" i="45"/>
  <c r="I79" i="45"/>
  <c r="Q17" i="45"/>
  <c r="Q79" i="45"/>
  <c r="Q84" i="45" s="1"/>
  <c r="Q85" i="45" s="1"/>
  <c r="T79" i="45"/>
  <c r="T84" i="45" s="1"/>
  <c r="T85" i="45" s="1"/>
  <c r="AA8" i="39"/>
  <c r="BP72" i="41"/>
  <c r="BP88" i="41"/>
  <c r="BP89" i="41" s="1"/>
  <c r="R32" i="7"/>
  <c r="S63" i="7"/>
  <c r="R63" i="7" s="1"/>
  <c r="BD86" i="41"/>
  <c r="BH74" i="41"/>
  <c r="BV74" i="41"/>
  <c r="Z34" i="153" l="1"/>
  <c r="K21" i="164"/>
  <c r="K22" i="164" s="1"/>
  <c r="U21" i="164"/>
  <c r="U22" i="164" s="1"/>
  <c r="E6" i="70"/>
  <c r="E9" i="110"/>
  <c r="E6" i="110" s="1"/>
  <c r="M17" i="164"/>
  <c r="K26" i="152"/>
  <c r="I26" i="152" s="1"/>
  <c r="I25" i="152" s="1"/>
  <c r="I21" i="152" s="1"/>
  <c r="C66" i="161"/>
  <c r="D52" i="160"/>
  <c r="E33" i="160"/>
  <c r="C33" i="160" s="1"/>
  <c r="K25" i="152"/>
  <c r="K21" i="152" s="1"/>
  <c r="N26" i="152"/>
  <c r="AF122" i="150"/>
  <c r="AF123" i="150" s="1"/>
  <c r="AG123" i="150"/>
  <c r="AG124" i="150"/>
  <c r="AS12" i="150"/>
  <c r="AS10" i="150"/>
  <c r="AS73" i="150" s="1"/>
  <c r="M36" i="154"/>
  <c r="H36" i="154"/>
  <c r="Z124" i="150"/>
  <c r="AA125" i="150"/>
  <c r="Z125" i="150" s="1"/>
  <c r="AG27" i="151"/>
  <c r="AI27" i="151" s="1"/>
  <c r="AR10" i="150"/>
  <c r="AR73" i="150" s="1"/>
  <c r="AR12" i="150"/>
  <c r="Y87" i="152"/>
  <c r="X86" i="152"/>
  <c r="X87" i="152" s="1"/>
  <c r="AZ10" i="150"/>
  <c r="AZ73" i="150" s="1"/>
  <c r="AZ12" i="150"/>
  <c r="AB86" i="152"/>
  <c r="AB89" i="152"/>
  <c r="AB90" i="152" s="1"/>
  <c r="AB91" i="152" s="1"/>
  <c r="AA11" i="152"/>
  <c r="AA89" i="152" s="1"/>
  <c r="AA90" i="152" s="1"/>
  <c r="AA91" i="152" s="1"/>
  <c r="AF116" i="150"/>
  <c r="AF117" i="150" s="1"/>
  <c r="AG117" i="150"/>
  <c r="AF76" i="150"/>
  <c r="BE10" i="150"/>
  <c r="AX43" i="150"/>
  <c r="AX11" i="150" s="1"/>
  <c r="AY11" i="150"/>
  <c r="AF120" i="150"/>
  <c r="AG121" i="150"/>
  <c r="AF121" i="150" s="1"/>
  <c r="Q94" i="45"/>
  <c r="Q95" i="45" s="1"/>
  <c r="Q96" i="45" s="1"/>
  <c r="C43" i="57"/>
  <c r="W12" i="45"/>
  <c r="W12" i="46"/>
  <c r="W17" i="46" s="1"/>
  <c r="S12" i="45"/>
  <c r="S12" i="46"/>
  <c r="AH207" i="13"/>
  <c r="U207" i="13"/>
  <c r="R203" i="13"/>
  <c r="U203" i="13" s="1"/>
  <c r="K53" i="153"/>
  <c r="Q40" i="151"/>
  <c r="M40" i="151" s="1"/>
  <c r="K53" i="152"/>
  <c r="W77" i="6"/>
  <c r="W70" i="6" s="1"/>
  <c r="L17" i="152"/>
  <c r="L94" i="152" s="1"/>
  <c r="L95" i="152" s="1"/>
  <c r="L96" i="152" s="1"/>
  <c r="M94" i="152"/>
  <c r="M95" i="152" s="1"/>
  <c r="M96" i="152" s="1"/>
  <c r="Q94" i="152"/>
  <c r="Q95" i="152" s="1"/>
  <c r="Q96" i="152" s="1"/>
  <c r="T17" i="152"/>
  <c r="M11" i="152"/>
  <c r="P17" i="153"/>
  <c r="S12" i="153"/>
  <c r="R12" i="153" s="1"/>
  <c r="O12" i="153"/>
  <c r="P79" i="152"/>
  <c r="S12" i="152"/>
  <c r="R12" i="152" s="1"/>
  <c r="P17" i="152"/>
  <c r="O12" i="152"/>
  <c r="V79" i="152"/>
  <c r="L94" i="45"/>
  <c r="L95" i="45" s="1"/>
  <c r="L96" i="45" s="1"/>
  <c r="I84" i="152"/>
  <c r="J85" i="152"/>
  <c r="I85" i="152" s="1"/>
  <c r="M11" i="153"/>
  <c r="J89" i="152"/>
  <c r="J90" i="152" s="1"/>
  <c r="J91" i="152" s="1"/>
  <c r="J86" i="152"/>
  <c r="L79" i="152"/>
  <c r="M84" i="152"/>
  <c r="Z51" i="152"/>
  <c r="Z34" i="152"/>
  <c r="AC47" i="153"/>
  <c r="AC47" i="152"/>
  <c r="AC92" i="153"/>
  <c r="AC87" i="153"/>
  <c r="AC35" i="152"/>
  <c r="Z33" i="153"/>
  <c r="AC81" i="153"/>
  <c r="AC35" i="153"/>
  <c r="Z33" i="39"/>
  <c r="Z32" i="39" s="1"/>
  <c r="Z63" i="39" s="1"/>
  <c r="Z80" i="153"/>
  <c r="Z51" i="153"/>
  <c r="BT72" i="41"/>
  <c r="BT88" i="41"/>
  <c r="X12" i="16"/>
  <c r="X11" i="16" s="1"/>
  <c r="X80" i="38"/>
  <c r="X81" i="38" s="1"/>
  <c r="X82" i="38" s="1"/>
  <c r="BS72" i="41"/>
  <c r="BS88" i="41"/>
  <c r="Y80" i="7"/>
  <c r="Y81" i="7" s="1"/>
  <c r="Y82" i="7" s="1"/>
  <c r="AO57" i="151" s="1"/>
  <c r="AO27" i="151" s="1"/>
  <c r="AL27" i="151" s="1"/>
  <c r="AN27" i="151" s="1"/>
  <c r="Y77" i="7"/>
  <c r="X11" i="7"/>
  <c r="K21" i="64"/>
  <c r="K22" i="64" s="1"/>
  <c r="K22" i="17"/>
  <c r="O25" i="16"/>
  <c r="S21" i="17"/>
  <c r="C13" i="15"/>
  <c r="AD9" i="4"/>
  <c r="AC16" i="4"/>
  <c r="AC9" i="4"/>
  <c r="AC32" i="4"/>
  <c r="I7" i="19"/>
  <c r="AC31" i="4"/>
  <c r="AC13" i="4"/>
  <c r="AC14" i="4"/>
  <c r="AC15" i="4"/>
  <c r="AB52" i="4"/>
  <c r="AC34" i="4"/>
  <c r="AC26" i="4"/>
  <c r="AC29" i="4"/>
  <c r="AC19" i="4"/>
  <c r="AC28" i="4"/>
  <c r="AC27" i="4"/>
  <c r="AC23" i="4"/>
  <c r="AC24" i="4"/>
  <c r="AC12" i="4"/>
  <c r="AC22" i="4"/>
  <c r="AC20" i="4"/>
  <c r="AC30" i="4"/>
  <c r="AC33" i="4"/>
  <c r="AC18" i="4"/>
  <c r="AC21" i="4"/>
  <c r="AC25" i="4"/>
  <c r="AC11" i="4"/>
  <c r="AC17" i="4"/>
  <c r="P17" i="45"/>
  <c r="P79" i="45"/>
  <c r="O12" i="45"/>
  <c r="S79" i="45"/>
  <c r="S84" i="45" s="1"/>
  <c r="S85" i="45" s="1"/>
  <c r="AS12" i="43"/>
  <c r="AS10" i="43"/>
  <c r="M17" i="64"/>
  <c r="V25" i="16"/>
  <c r="BN10" i="5"/>
  <c r="BN9" i="5" s="1"/>
  <c r="AP10" i="4"/>
  <c r="AP9" i="4" s="1"/>
  <c r="AG121" i="43"/>
  <c r="AF121" i="43" s="1"/>
  <c r="AF120" i="43"/>
  <c r="AG117" i="43"/>
  <c r="AF116" i="43"/>
  <c r="AF117" i="43" s="1"/>
  <c r="Z29" i="16"/>
  <c r="AB29" i="16" s="1"/>
  <c r="BT34" i="5"/>
  <c r="N25" i="16"/>
  <c r="AR10" i="43"/>
  <c r="AR12" i="43"/>
  <c r="Z40" i="6"/>
  <c r="Z44" i="6" s="1"/>
  <c r="Z80" i="6" s="1"/>
  <c r="Z77" i="6" s="1"/>
  <c r="AC40" i="38"/>
  <c r="AC44" i="38" s="1"/>
  <c r="Z40" i="7"/>
  <c r="Z44" i="7" s="1"/>
  <c r="AC40" i="39"/>
  <c r="AC44" i="39" s="1"/>
  <c r="AC80" i="39" s="1"/>
  <c r="U80" i="39"/>
  <c r="U77" i="39" s="1"/>
  <c r="U70" i="39" s="1"/>
  <c r="V77" i="39"/>
  <c r="V70" i="39" s="1"/>
  <c r="AZ12" i="43"/>
  <c r="AZ10" i="43"/>
  <c r="AF122" i="43"/>
  <c r="AF123" i="43" s="1"/>
  <c r="AG124" i="43"/>
  <c r="AG123" i="43"/>
  <c r="AO36" i="14"/>
  <c r="C36" i="14"/>
  <c r="Y78" i="38"/>
  <c r="X77" i="38"/>
  <c r="X78" i="38" s="1"/>
  <c r="BW13" i="5"/>
  <c r="BF11" i="5"/>
  <c r="AO7" i="92"/>
  <c r="AO8" i="92" s="1"/>
  <c r="AP6" i="92"/>
  <c r="C74" i="84"/>
  <c r="O14" i="63"/>
  <c r="O6" i="63"/>
  <c r="C11" i="63"/>
  <c r="O12" i="46"/>
  <c r="P17" i="46"/>
  <c r="O17" i="46" s="1"/>
  <c r="AC72" i="39"/>
  <c r="AC71" i="39" s="1"/>
  <c r="AC34" i="39"/>
  <c r="AO12" i="92"/>
  <c r="AM8" i="92"/>
  <c r="Z21" i="16"/>
  <c r="Z12" i="16" s="1"/>
  <c r="BR86" i="3"/>
  <c r="F49" i="48"/>
  <c r="I25" i="48"/>
  <c r="J25" i="48"/>
  <c r="BR88" i="41"/>
  <c r="U24" i="16"/>
  <c r="U23" i="16" s="1"/>
  <c r="DA45" i="48"/>
  <c r="H45" i="48"/>
  <c r="Q31" i="44" s="1"/>
  <c r="Q32" i="151" s="1"/>
  <c r="M11" i="46"/>
  <c r="E128" i="84"/>
  <c r="C42" i="72"/>
  <c r="E130" i="72" s="1"/>
  <c r="BT86" i="41"/>
  <c r="AX43" i="43"/>
  <c r="AX11" i="43" s="1"/>
  <c r="AY11" i="43"/>
  <c r="J21" i="17"/>
  <c r="E38" i="14"/>
  <c r="M11" i="45"/>
  <c r="AA21" i="16"/>
  <c r="AA12" i="16" s="1"/>
  <c r="AA11" i="16" s="1"/>
  <c r="W33" i="7"/>
  <c r="W32" i="7" s="1"/>
  <c r="W63" i="7" s="1"/>
  <c r="AO38" i="62"/>
  <c r="E38" i="62" s="1"/>
  <c r="C41" i="84"/>
  <c r="AM36" i="62"/>
  <c r="C38" i="62"/>
  <c r="E33" i="58"/>
  <c r="AB71" i="43"/>
  <c r="K53" i="46"/>
  <c r="M39" i="44"/>
  <c r="K53" i="45"/>
  <c r="BR57" i="41"/>
  <c r="BV57" i="41" s="1"/>
  <c r="BV60" i="41"/>
  <c r="Q150" i="13"/>
  <c r="Q151" i="13" s="1"/>
  <c r="P151" i="13" s="1"/>
  <c r="P149" i="13"/>
  <c r="P150" i="13" s="1"/>
  <c r="C79" i="84"/>
  <c r="C81" i="72" s="1"/>
  <c r="C16" i="63"/>
  <c r="C23" i="15"/>
  <c r="Q32" i="44"/>
  <c r="Q33" i="151" s="1"/>
  <c r="M33" i="151" s="1"/>
  <c r="C5" i="15"/>
  <c r="R206" i="13"/>
  <c r="U206" i="13" s="1"/>
  <c r="R204" i="13"/>
  <c r="U204" i="13" s="1"/>
  <c r="R205" i="13"/>
  <c r="U205" i="13" s="1"/>
  <c r="AJ50" i="4"/>
  <c r="AJ50" i="37"/>
  <c r="W33" i="6"/>
  <c r="W32" i="6" s="1"/>
  <c r="W63" i="6" s="1"/>
  <c r="BT68" i="3"/>
  <c r="R80" i="6"/>
  <c r="R77" i="6" s="1"/>
  <c r="R70" i="6" s="1"/>
  <c r="S77" i="6"/>
  <c r="S70" i="6" s="1"/>
  <c r="M13" i="19"/>
  <c r="N19" i="19"/>
  <c r="AB77" i="38"/>
  <c r="AB80" i="38"/>
  <c r="AB81" i="38" s="1"/>
  <c r="AB82" i="38" s="1"/>
  <c r="AA11" i="38"/>
  <c r="C32" i="67"/>
  <c r="C31" i="67" s="1"/>
  <c r="C30" i="67" s="1"/>
  <c r="F33" i="57"/>
  <c r="Z33" i="38"/>
  <c r="Z32" i="38" s="1"/>
  <c r="Z63" i="38" s="1"/>
  <c r="Z77" i="39"/>
  <c r="Z70" i="39" s="1"/>
  <c r="U21" i="64"/>
  <c r="U22" i="64" s="1"/>
  <c r="U22" i="17"/>
  <c r="L84" i="45"/>
  <c r="M85" i="45"/>
  <c r="L85" i="45" s="1"/>
  <c r="M101" i="45"/>
  <c r="J86" i="45"/>
  <c r="J89" i="45"/>
  <c r="J90" i="45" s="1"/>
  <c r="J91" i="45" s="1"/>
  <c r="U80" i="7"/>
  <c r="U81" i="7" s="1"/>
  <c r="U82" i="7" s="1"/>
  <c r="J85" i="45"/>
  <c r="I85" i="45" s="1"/>
  <c r="I84" i="45"/>
  <c r="M94" i="45"/>
  <c r="M95" i="45" s="1"/>
  <c r="M96" i="45" s="1"/>
  <c r="BR72" i="3"/>
  <c r="BV77" i="3"/>
  <c r="BT77" i="3"/>
  <c r="BT72" i="3" s="1"/>
  <c r="Z18" i="16"/>
  <c r="BR55" i="3"/>
  <c r="BV55" i="3" s="1"/>
  <c r="BV58" i="3"/>
  <c r="J8" i="19"/>
  <c r="I33" i="19"/>
  <c r="I15" i="19"/>
  <c r="V78" i="7"/>
  <c r="U77" i="7"/>
  <c r="U78" i="7" s="1"/>
  <c r="Z34" i="6"/>
  <c r="Z33" i="6" s="1"/>
  <c r="Z32" i="6" s="1"/>
  <c r="Z63" i="6" s="1"/>
  <c r="Z72" i="6"/>
  <c r="Z71" i="6" s="1"/>
  <c r="AC77" i="39"/>
  <c r="C66" i="149"/>
  <c r="C66" i="65"/>
  <c r="K26" i="45"/>
  <c r="D52" i="58"/>
  <c r="D62" i="68" s="1"/>
  <c r="AA125" i="43"/>
  <c r="Z125" i="43" s="1"/>
  <c r="Z124" i="43"/>
  <c r="AC14" i="37"/>
  <c r="AC15" i="37"/>
  <c r="AC32" i="37"/>
  <c r="AC16" i="37"/>
  <c r="AC31" i="37"/>
  <c r="AD9" i="37"/>
  <c r="AC9" i="37"/>
  <c r="AC13" i="37"/>
  <c r="AB52" i="37"/>
  <c r="AC34" i="37"/>
  <c r="AC24" i="37"/>
  <c r="AC19" i="37"/>
  <c r="AC26" i="37"/>
  <c r="AC27" i="37"/>
  <c r="AC21" i="37"/>
  <c r="AC29" i="37"/>
  <c r="AC30" i="37"/>
  <c r="AC23" i="37"/>
  <c r="AC28" i="37"/>
  <c r="AC33" i="37"/>
  <c r="AC20" i="37"/>
  <c r="AC22" i="37"/>
  <c r="AC18" i="37"/>
  <c r="AC25" i="37"/>
  <c r="AC12" i="37"/>
  <c r="AC17" i="37"/>
  <c r="AC11" i="37"/>
  <c r="E46" i="48"/>
  <c r="H30" i="48"/>
  <c r="S21" i="164" l="1"/>
  <c r="K20" i="152"/>
  <c r="N20" i="152" s="1"/>
  <c r="C65" i="161"/>
  <c r="C63" i="161" s="1"/>
  <c r="D51" i="160"/>
  <c r="D48" i="160" s="1"/>
  <c r="J21" i="164"/>
  <c r="E50" i="154"/>
  <c r="C46" i="169"/>
  <c r="C47" i="158"/>
  <c r="BN51" i="5"/>
  <c r="AY12" i="150"/>
  <c r="AY10" i="150"/>
  <c r="AY73" i="150" s="1"/>
  <c r="AB87" i="152"/>
  <c r="AA86" i="152"/>
  <c r="AA87" i="152" s="1"/>
  <c r="AF124" i="150"/>
  <c r="AG125" i="150"/>
  <c r="AF125" i="150" s="1"/>
  <c r="Q26" i="152"/>
  <c r="N25" i="152"/>
  <c r="N21" i="152" s="1"/>
  <c r="W26" i="152"/>
  <c r="L26" i="152"/>
  <c r="L25" i="152" s="1"/>
  <c r="L21" i="152" s="1"/>
  <c r="AX10" i="150"/>
  <c r="AX73" i="150" s="1"/>
  <c r="AX12" i="150"/>
  <c r="V12" i="45"/>
  <c r="V79" i="45" s="1"/>
  <c r="V12" i="46"/>
  <c r="Z12" i="45"/>
  <c r="Z12" i="46"/>
  <c r="Z17" i="46" s="1"/>
  <c r="W79" i="45"/>
  <c r="W84" i="45" s="1"/>
  <c r="W85" i="45" s="1"/>
  <c r="W17" i="45"/>
  <c r="S17" i="46"/>
  <c r="R17" i="46" s="1"/>
  <c r="R12" i="46"/>
  <c r="R12" i="45"/>
  <c r="S17" i="45"/>
  <c r="R17" i="45" s="1"/>
  <c r="AI207" i="13"/>
  <c r="AI203" i="13" s="1"/>
  <c r="S203" i="13"/>
  <c r="S206" i="13"/>
  <c r="AH204" i="13"/>
  <c r="AH206" i="13"/>
  <c r="AH205" i="13"/>
  <c r="AH203" i="13"/>
  <c r="Q23" i="151"/>
  <c r="Q10" i="151" s="1"/>
  <c r="Q9" i="151" s="1"/>
  <c r="M32" i="151"/>
  <c r="C6" i="63"/>
  <c r="AG56" i="152"/>
  <c r="AG57" i="152" s="1"/>
  <c r="I53" i="152"/>
  <c r="O40" i="151"/>
  <c r="K90" i="153"/>
  <c r="I90" i="153" s="1"/>
  <c r="I53" i="153"/>
  <c r="O33" i="151"/>
  <c r="AB71" i="150"/>
  <c r="N31" i="152"/>
  <c r="L31" i="152" s="1"/>
  <c r="N31" i="153"/>
  <c r="U79" i="152"/>
  <c r="V84" i="152"/>
  <c r="S17" i="152"/>
  <c r="R17" i="152" s="1"/>
  <c r="P94" i="152"/>
  <c r="P95" i="152" s="1"/>
  <c r="P96" i="152" s="1"/>
  <c r="O17" i="152"/>
  <c r="O94" i="152" s="1"/>
  <c r="O95" i="152" s="1"/>
  <c r="O96" i="152" s="1"/>
  <c r="M89" i="152"/>
  <c r="M90" i="152" s="1"/>
  <c r="M91" i="152" s="1"/>
  <c r="M101" i="152"/>
  <c r="M86" i="152"/>
  <c r="M85" i="152"/>
  <c r="L85" i="152" s="1"/>
  <c r="L84" i="152"/>
  <c r="O79" i="152"/>
  <c r="P84" i="152"/>
  <c r="S17" i="153"/>
  <c r="R17" i="153" s="1"/>
  <c r="O17" i="153"/>
  <c r="J87" i="152"/>
  <c r="J88" i="152" s="1"/>
  <c r="P63" i="44"/>
  <c r="P64" i="44" s="1"/>
  <c r="P65" i="44" s="1"/>
  <c r="P64" i="151"/>
  <c r="P65" i="151" s="1"/>
  <c r="P66" i="151" s="1"/>
  <c r="Z33" i="7"/>
  <c r="Z32" i="7" s="1"/>
  <c r="Z63" i="7" s="1"/>
  <c r="AC80" i="153"/>
  <c r="Z89" i="153"/>
  <c r="Z33" i="152"/>
  <c r="AC70" i="39"/>
  <c r="AC33" i="38"/>
  <c r="AC32" i="38" s="1"/>
  <c r="AC63" i="38" s="1"/>
  <c r="AC34" i="152"/>
  <c r="Z71" i="153"/>
  <c r="Z70" i="6"/>
  <c r="AC51" i="152"/>
  <c r="AC51" i="153"/>
  <c r="AC33" i="39"/>
  <c r="AC32" i="39" s="1"/>
  <c r="AC63" i="39" s="1"/>
  <c r="AC34" i="153"/>
  <c r="U202" i="13"/>
  <c r="U208" i="13" s="1"/>
  <c r="AJ26" i="4"/>
  <c r="AJ22" i="4"/>
  <c r="AJ33" i="4"/>
  <c r="AJ27" i="4"/>
  <c r="AJ18" i="4"/>
  <c r="AJ30" i="4"/>
  <c r="AJ23" i="4"/>
  <c r="AJ20" i="4"/>
  <c r="AJ25" i="4"/>
  <c r="AJ24" i="4"/>
  <c r="AJ28" i="4"/>
  <c r="AJ19" i="4"/>
  <c r="AJ29" i="4"/>
  <c r="AJ12" i="4"/>
  <c r="AJ21" i="4"/>
  <c r="AD56" i="45"/>
  <c r="AD57" i="45" s="1"/>
  <c r="I53" i="45"/>
  <c r="V24" i="16"/>
  <c r="V38" i="16" s="1"/>
  <c r="N26" i="45"/>
  <c r="I26" i="45"/>
  <c r="I25" i="45" s="1"/>
  <c r="I21" i="45" s="1"/>
  <c r="K25" i="45"/>
  <c r="K21" i="45" s="1"/>
  <c r="BC34" i="5"/>
  <c r="C47" i="54"/>
  <c r="C47" i="66" s="1"/>
  <c r="O39" i="44"/>
  <c r="M89" i="45"/>
  <c r="U57" i="151" s="1"/>
  <c r="M86" i="45"/>
  <c r="BR90" i="41"/>
  <c r="BR89" i="41"/>
  <c r="AG125" i="43"/>
  <c r="AF125" i="43" s="1"/>
  <c r="AF124" i="43"/>
  <c r="Z16" i="16"/>
  <c r="AB18" i="16"/>
  <c r="AA80" i="38"/>
  <c r="AA81" i="38" s="1"/>
  <c r="AA82" i="38" s="1"/>
  <c r="I53" i="46"/>
  <c r="K90" i="46"/>
  <c r="I90" i="46" s="1"/>
  <c r="AY10" i="43"/>
  <c r="AY12" i="43"/>
  <c r="BR72" i="41"/>
  <c r="Z11" i="16"/>
  <c r="D147" i="13"/>
  <c r="P25" i="16"/>
  <c r="P84" i="45"/>
  <c r="O79" i="45"/>
  <c r="AO50" i="37"/>
  <c r="AO50" i="4"/>
  <c r="AB21" i="16"/>
  <c r="J33" i="19"/>
  <c r="J15" i="19"/>
  <c r="J87" i="45"/>
  <c r="J88" i="45" s="1"/>
  <c r="BR70" i="3"/>
  <c r="C69" i="84"/>
  <c r="C76" i="72"/>
  <c r="C71" i="72" s="1"/>
  <c r="S21" i="64"/>
  <c r="Q21" i="17"/>
  <c r="S22" i="17"/>
  <c r="Y78" i="7"/>
  <c r="X77" i="7"/>
  <c r="X78" i="7" s="1"/>
  <c r="N31" i="45"/>
  <c r="L31" i="45" s="1"/>
  <c r="Z71" i="43"/>
  <c r="N31" i="46"/>
  <c r="AB82" i="43"/>
  <c r="AB73" i="43"/>
  <c r="AX10" i="43"/>
  <c r="AX12" i="43"/>
  <c r="AP12" i="92"/>
  <c r="P94" i="45"/>
  <c r="P95" i="45" s="1"/>
  <c r="P96" i="45" s="1"/>
  <c r="O17" i="45"/>
  <c r="O94" i="45" s="1"/>
  <c r="O95" i="45" s="1"/>
  <c r="O96" i="45" s="1"/>
  <c r="I32" i="19"/>
  <c r="J7" i="19"/>
  <c r="I14" i="19"/>
  <c r="BR84" i="3"/>
  <c r="BV72" i="3"/>
  <c r="X80" i="7"/>
  <c r="X81" i="7" s="1"/>
  <c r="X82" i="7" s="1"/>
  <c r="AB78" i="38"/>
  <c r="AA77" i="38"/>
  <c r="AA78" i="38" s="1"/>
  <c r="BT70" i="3"/>
  <c r="BT86" i="3"/>
  <c r="C33" i="58"/>
  <c r="E43" i="68"/>
  <c r="C43" i="68" s="1"/>
  <c r="B53" i="14"/>
  <c r="K20" i="45"/>
  <c r="C65" i="65"/>
  <c r="C167" i="13"/>
  <c r="C175" i="13" s="1"/>
  <c r="C65" i="149"/>
  <c r="C63" i="149" s="1"/>
  <c r="D51" i="58"/>
  <c r="BR88" i="3"/>
  <c r="BR87" i="3"/>
  <c r="C77" i="84"/>
  <c r="C79" i="72" s="1"/>
  <c r="C14" i="63"/>
  <c r="BT84" i="3"/>
  <c r="S207" i="13"/>
  <c r="S205" i="13"/>
  <c r="S204" i="13"/>
  <c r="J21" i="64"/>
  <c r="H21" i="17"/>
  <c r="J22" i="17"/>
  <c r="M31" i="44"/>
  <c r="Q22" i="44"/>
  <c r="C28" i="15"/>
  <c r="C29" i="15" s="1"/>
  <c r="H67" i="48"/>
  <c r="H25" i="48"/>
  <c r="H49" i="48" s="1"/>
  <c r="B51" i="14"/>
  <c r="C25" i="15"/>
  <c r="E46" i="14"/>
  <c r="AO36" i="62"/>
  <c r="C36" i="62"/>
  <c r="AO48" i="62"/>
  <c r="AO41" i="14"/>
  <c r="E36" i="14"/>
  <c r="P19" i="19"/>
  <c r="P13" i="19" s="1"/>
  <c r="N13" i="19"/>
  <c r="AJ30" i="37"/>
  <c r="AJ20" i="37"/>
  <c r="AJ33" i="37"/>
  <c r="AJ25" i="37"/>
  <c r="AJ19" i="37"/>
  <c r="AJ26" i="37"/>
  <c r="AJ24" i="37"/>
  <c r="AJ22" i="37"/>
  <c r="AJ28" i="37"/>
  <c r="AJ23" i="37"/>
  <c r="AJ21" i="37"/>
  <c r="AJ27" i="37"/>
  <c r="AJ29" i="37"/>
  <c r="AJ18" i="37"/>
  <c r="AJ12" i="37"/>
  <c r="M32" i="44"/>
  <c r="C39" i="84"/>
  <c r="C41" i="72"/>
  <c r="C39" i="72" s="1"/>
  <c r="AD29" i="16"/>
  <c r="R79" i="45"/>
  <c r="K18" i="152" l="1"/>
  <c r="G17" i="161"/>
  <c r="H17" i="161" s="1"/>
  <c r="C18" i="161"/>
  <c r="E25" i="160"/>
  <c r="K10" i="152"/>
  <c r="I10" i="152" s="1"/>
  <c r="H21" i="164"/>
  <c r="J22" i="164"/>
  <c r="Q21" i="164"/>
  <c r="S22" i="164"/>
  <c r="I20" i="152"/>
  <c r="I18" i="152" s="1"/>
  <c r="Y50" i="153"/>
  <c r="Y50" i="152"/>
  <c r="X50" i="152" s="1"/>
  <c r="Y56" i="153"/>
  <c r="Y56" i="152"/>
  <c r="X56" i="152" s="1"/>
  <c r="Z26" i="152"/>
  <c r="W25" i="152"/>
  <c r="W21" i="152" s="1"/>
  <c r="W18" i="152" s="1"/>
  <c r="U26" i="152"/>
  <c r="U25" i="152" s="1"/>
  <c r="U21" i="152" s="1"/>
  <c r="U18" i="152" s="1"/>
  <c r="Y36" i="153"/>
  <c r="Y36" i="152"/>
  <c r="Y49" i="153"/>
  <c r="Y49" i="152"/>
  <c r="X49" i="152" s="1"/>
  <c r="T26" i="152"/>
  <c r="R26" i="152" s="1"/>
  <c r="Q25" i="152"/>
  <c r="O26" i="152"/>
  <c r="O25" i="152" s="1"/>
  <c r="O21" i="152" s="1"/>
  <c r="Y12" i="46"/>
  <c r="Y12" i="45"/>
  <c r="Z17" i="45"/>
  <c r="Z79" i="45"/>
  <c r="Z84" i="45" s="1"/>
  <c r="Z85" i="45" s="1"/>
  <c r="V17" i="46"/>
  <c r="U17" i="46" s="1"/>
  <c r="U12" i="46"/>
  <c r="U12" i="45"/>
  <c r="V17" i="45"/>
  <c r="U17" i="45" s="1"/>
  <c r="V84" i="45"/>
  <c r="U79" i="45"/>
  <c r="AI205" i="13"/>
  <c r="AI204" i="13"/>
  <c r="AJ203" i="13" s="1"/>
  <c r="AI206" i="13"/>
  <c r="K47" i="153"/>
  <c r="K47" i="152"/>
  <c r="L31" i="153"/>
  <c r="N10" i="153"/>
  <c r="N8" i="153"/>
  <c r="L8" i="153" s="1"/>
  <c r="L20" i="152"/>
  <c r="L18" i="152" s="1"/>
  <c r="Q20" i="152"/>
  <c r="N18" i="152"/>
  <c r="N10" i="152"/>
  <c r="Z71" i="150"/>
  <c r="AB82" i="150"/>
  <c r="AB73" i="150"/>
  <c r="K11" i="152"/>
  <c r="J69" i="152"/>
  <c r="K8" i="152"/>
  <c r="O32" i="151"/>
  <c r="M78" i="151"/>
  <c r="M23" i="151"/>
  <c r="I74" i="45"/>
  <c r="I74" i="152"/>
  <c r="S202" i="13"/>
  <c r="M87" i="152"/>
  <c r="U84" i="152"/>
  <c r="V85" i="152"/>
  <c r="U85" i="152" s="1"/>
  <c r="P85" i="152"/>
  <c r="O85" i="152" s="1"/>
  <c r="O84" i="152"/>
  <c r="AB81" i="43"/>
  <c r="Z86" i="153"/>
  <c r="Z79" i="153" s="1"/>
  <c r="AC33" i="153"/>
  <c r="AC89" i="153"/>
  <c r="AC33" i="152"/>
  <c r="AO22" i="37"/>
  <c r="AL22" i="37" s="1"/>
  <c r="AG22" i="37"/>
  <c r="AO49" i="62"/>
  <c r="AO41" i="62"/>
  <c r="E36" i="62"/>
  <c r="H21" i="64"/>
  <c r="J22" i="64"/>
  <c r="AO23" i="4"/>
  <c r="AL23" i="4" s="1"/>
  <c r="AG23" i="4"/>
  <c r="R84" i="45"/>
  <c r="R85" i="45"/>
  <c r="AO12" i="37"/>
  <c r="AJ11" i="37"/>
  <c r="AG12" i="37"/>
  <c r="AO24" i="37"/>
  <c r="AL24" i="37" s="1"/>
  <c r="AG24" i="37"/>
  <c r="Q21" i="64"/>
  <c r="S22" i="64"/>
  <c r="K18" i="19"/>
  <c r="Y35" i="38"/>
  <c r="V35" i="7"/>
  <c r="V35" i="6"/>
  <c r="AO12" i="4"/>
  <c r="Y35" i="39"/>
  <c r="AJ11" i="4"/>
  <c r="AG12" i="4"/>
  <c r="AO30" i="4"/>
  <c r="AL30" i="4" s="1"/>
  <c r="AG30" i="4"/>
  <c r="AJ17" i="37"/>
  <c r="AO18" i="37"/>
  <c r="AG18" i="37"/>
  <c r="AO26" i="37"/>
  <c r="AL26" i="37" s="1"/>
  <c r="AG26" i="37"/>
  <c r="L31" i="46"/>
  <c r="N10" i="46"/>
  <c r="N8" i="46"/>
  <c r="AC18" i="16"/>
  <c r="AD18" i="16"/>
  <c r="AB16" i="16"/>
  <c r="M87" i="45"/>
  <c r="U39" i="44" s="1"/>
  <c r="T26" i="45"/>
  <c r="L26" i="45"/>
  <c r="L25" i="45" s="1"/>
  <c r="L21" i="45" s="1"/>
  <c r="Q26" i="45"/>
  <c r="N25" i="45"/>
  <c r="N21" i="45" s="1"/>
  <c r="AO29" i="4"/>
  <c r="AL29" i="4" s="1"/>
  <c r="AG29" i="4"/>
  <c r="AO18" i="4"/>
  <c r="V42" i="6"/>
  <c r="Y42" i="39"/>
  <c r="V42" i="7"/>
  <c r="U42" i="7" s="1"/>
  <c r="AJ17" i="4"/>
  <c r="Y42" i="38"/>
  <c r="X42" i="38" s="1"/>
  <c r="AG18" i="4"/>
  <c r="BC27" i="5"/>
  <c r="BD27" i="5" s="1"/>
  <c r="O32" i="44"/>
  <c r="J32" i="19"/>
  <c r="J14" i="19"/>
  <c r="M21" i="17"/>
  <c r="M22" i="17" s="1"/>
  <c r="Q22" i="17"/>
  <c r="AO21" i="4"/>
  <c r="AL21" i="4" s="1"/>
  <c r="AG21" i="4"/>
  <c r="AO29" i="37"/>
  <c r="AL29" i="37" s="1"/>
  <c r="AG29" i="37"/>
  <c r="AO19" i="37"/>
  <c r="AL19" i="37" s="1"/>
  <c r="AG19" i="37"/>
  <c r="AL127" i="13"/>
  <c r="B52" i="14"/>
  <c r="K47" i="45"/>
  <c r="K47" i="46"/>
  <c r="E25" i="58"/>
  <c r="Q9" i="44"/>
  <c r="Q8" i="44" s="1"/>
  <c r="D61" i="68"/>
  <c r="D58" i="68" s="1"/>
  <c r="D48" i="58"/>
  <c r="W71" i="43"/>
  <c r="Z82" i="43"/>
  <c r="Z73" i="43"/>
  <c r="O84" i="45"/>
  <c r="P85" i="45"/>
  <c r="O85" i="45" s="1"/>
  <c r="M90" i="45"/>
  <c r="M91" i="45" s="1"/>
  <c r="U56" i="44"/>
  <c r="AO19" i="4"/>
  <c r="Y43" i="39"/>
  <c r="Y43" i="38"/>
  <c r="X43" i="38" s="1"/>
  <c r="V43" i="6"/>
  <c r="V43" i="7"/>
  <c r="U43" i="7" s="1"/>
  <c r="AG19" i="4"/>
  <c r="AO27" i="4"/>
  <c r="AL27" i="4" s="1"/>
  <c r="AG27" i="4"/>
  <c r="AO28" i="4"/>
  <c r="AL28" i="4" s="1"/>
  <c r="AG28" i="4"/>
  <c r="V49" i="7"/>
  <c r="U49" i="7" s="1"/>
  <c r="Y49" i="39"/>
  <c r="Y49" i="38"/>
  <c r="X49" i="38" s="1"/>
  <c r="V49" i="6"/>
  <c r="AO33" i="4"/>
  <c r="AG33" i="4"/>
  <c r="AO27" i="37"/>
  <c r="AL27" i="37" s="1"/>
  <c r="AG27" i="37"/>
  <c r="AO25" i="37"/>
  <c r="AL25" i="37" s="1"/>
  <c r="AG25" i="37"/>
  <c r="AO46" i="14"/>
  <c r="E41" i="14"/>
  <c r="B50" i="14" s="1"/>
  <c r="AO21" i="37"/>
  <c r="AL21" i="37" s="1"/>
  <c r="AG21" i="37"/>
  <c r="AO33" i="37"/>
  <c r="AL33" i="37" s="1"/>
  <c r="AG33" i="37"/>
  <c r="BC26" i="5"/>
  <c r="M77" i="44"/>
  <c r="O31" i="44"/>
  <c r="M22" i="44"/>
  <c r="V23" i="16"/>
  <c r="V39" i="16"/>
  <c r="AO24" i="4"/>
  <c r="AL24" i="4" s="1"/>
  <c r="AG24" i="4"/>
  <c r="AO22" i="4"/>
  <c r="AL22" i="4" s="1"/>
  <c r="AG22" i="4"/>
  <c r="C63" i="65"/>
  <c r="L66" i="65"/>
  <c r="L67" i="65" s="1"/>
  <c r="AC21" i="16"/>
  <c r="AD21" i="16"/>
  <c r="AB12" i="16"/>
  <c r="AE25" i="16"/>
  <c r="AO25" i="4"/>
  <c r="AL25" i="4" s="1"/>
  <c r="AG25" i="4"/>
  <c r="AO26" i="4"/>
  <c r="AL26" i="4" s="1"/>
  <c r="AG26" i="4"/>
  <c r="G17" i="149"/>
  <c r="H17" i="149" s="1"/>
  <c r="C18" i="149"/>
  <c r="F19" i="149" s="1"/>
  <c r="AO23" i="37"/>
  <c r="AL23" i="37" s="1"/>
  <c r="AG23" i="37"/>
  <c r="AO20" i="37"/>
  <c r="AL20" i="37" s="1"/>
  <c r="AG20" i="37"/>
  <c r="AO28" i="37"/>
  <c r="AL28" i="37" s="1"/>
  <c r="AG28" i="37"/>
  <c r="AO30" i="37"/>
  <c r="AL30" i="37" s="1"/>
  <c r="AG30" i="37"/>
  <c r="D21" i="17"/>
  <c r="D22" i="17" s="1"/>
  <c r="H22" i="17"/>
  <c r="K18" i="45"/>
  <c r="I20" i="45"/>
  <c r="I18" i="45" s="1"/>
  <c r="N20" i="45"/>
  <c r="K10" i="45"/>
  <c r="M29" i="16"/>
  <c r="O29" i="16" s="1"/>
  <c r="BD34" i="5"/>
  <c r="AO20" i="4"/>
  <c r="AL20" i="4" s="1"/>
  <c r="AG20" i="4"/>
  <c r="E45" i="154" l="1"/>
  <c r="E49" i="154" s="1"/>
  <c r="C39" i="169"/>
  <c r="C40" i="158"/>
  <c r="BB22" i="44"/>
  <c r="BB9" i="44" s="1"/>
  <c r="BB8" i="44" s="1"/>
  <c r="D21" i="164"/>
  <c r="D22" i="164" s="1"/>
  <c r="H22" i="164"/>
  <c r="E29" i="160"/>
  <c r="C29" i="160" s="1"/>
  <c r="C25" i="160"/>
  <c r="C11" i="160" s="1"/>
  <c r="H11" i="160" s="1"/>
  <c r="H46" i="160" s="1"/>
  <c r="E11" i="160"/>
  <c r="AL127" i="162"/>
  <c r="F19" i="161"/>
  <c r="F18" i="161"/>
  <c r="F20" i="161" s="1"/>
  <c r="M21" i="164"/>
  <c r="M22" i="164" s="1"/>
  <c r="Q22" i="164"/>
  <c r="AB56" i="153"/>
  <c r="AB56" i="152"/>
  <c r="AA56" i="152" s="1"/>
  <c r="AB36" i="153"/>
  <c r="AB36" i="152"/>
  <c r="Q21" i="152"/>
  <c r="T21" i="152" s="1"/>
  <c r="R21" i="152" s="1"/>
  <c r="T25" i="152"/>
  <c r="R25" i="152" s="1"/>
  <c r="Y87" i="153"/>
  <c r="X49" i="153"/>
  <c r="V69" i="152"/>
  <c r="W8" i="152"/>
  <c r="Y92" i="153"/>
  <c r="X92" i="153" s="1"/>
  <c r="X56" i="153"/>
  <c r="Y47" i="153"/>
  <c r="Y47" i="152"/>
  <c r="AB50" i="153"/>
  <c r="AB50" i="152"/>
  <c r="AA50" i="152" s="1"/>
  <c r="Y35" i="152"/>
  <c r="Y34" i="152" s="1"/>
  <c r="X36" i="152"/>
  <c r="X35" i="152" s="1"/>
  <c r="AC26" i="152"/>
  <c r="Z25" i="152"/>
  <c r="Z21" i="152" s="1"/>
  <c r="Z18" i="152" s="1"/>
  <c r="X26" i="152"/>
  <c r="X25" i="152" s="1"/>
  <c r="X21" i="152" s="1"/>
  <c r="X18" i="152" s="1"/>
  <c r="AB49" i="152"/>
  <c r="AA49" i="152" s="1"/>
  <c r="AB49" i="153"/>
  <c r="Y81" i="153"/>
  <c r="Y35" i="153"/>
  <c r="X36" i="153"/>
  <c r="X35" i="153" s="1"/>
  <c r="Y88" i="153"/>
  <c r="X88" i="153" s="1"/>
  <c r="X50" i="153"/>
  <c r="AB81" i="150"/>
  <c r="Y17" i="45"/>
  <c r="X17" i="45" s="1"/>
  <c r="Y79" i="45"/>
  <c r="X12" i="45"/>
  <c r="U11" i="44"/>
  <c r="U29" i="44"/>
  <c r="U30" i="151" s="1"/>
  <c r="U32" i="44"/>
  <c r="U33" i="151" s="1"/>
  <c r="Y17" i="46"/>
  <c r="X17" i="46" s="1"/>
  <c r="X12" i="46"/>
  <c r="E41" i="62"/>
  <c r="C27" i="63" s="1"/>
  <c r="C28" i="63" s="1"/>
  <c r="O33" i="63"/>
  <c r="O34" i="63" s="1"/>
  <c r="O35" i="63" s="1"/>
  <c r="V85" i="45"/>
  <c r="U85" i="45" s="1"/>
  <c r="U84" i="45"/>
  <c r="Z81" i="43"/>
  <c r="I8" i="152"/>
  <c r="I69" i="152"/>
  <c r="J33" i="152"/>
  <c r="O20" i="152"/>
  <c r="O18" i="152" s="1"/>
  <c r="T20" i="152"/>
  <c r="R20" i="152" s="1"/>
  <c r="K89" i="152"/>
  <c r="K90" i="152" s="1"/>
  <c r="K91" i="152" s="1"/>
  <c r="K86" i="152"/>
  <c r="I11" i="152"/>
  <c r="I89" i="152" s="1"/>
  <c r="I90" i="152" s="1"/>
  <c r="I91" i="152" s="1"/>
  <c r="M69" i="152"/>
  <c r="L69" i="152" s="1"/>
  <c r="N8" i="152"/>
  <c r="L8" i="152" s="1"/>
  <c r="N11" i="153"/>
  <c r="L11" i="153" s="1"/>
  <c r="L10" i="153"/>
  <c r="M69" i="151"/>
  <c r="M70" i="151" s="1"/>
  <c r="O23" i="151"/>
  <c r="M10" i="151"/>
  <c r="N78" i="151" s="1"/>
  <c r="Z82" i="150"/>
  <c r="Z73" i="150"/>
  <c r="K51" i="152"/>
  <c r="I51" i="152" s="1"/>
  <c r="AG51" i="152" s="1"/>
  <c r="K34" i="152"/>
  <c r="I47" i="152"/>
  <c r="AG47" i="152" s="1"/>
  <c r="W73" i="43"/>
  <c r="W71" i="150"/>
  <c r="W73" i="150" s="1"/>
  <c r="F29" i="154"/>
  <c r="F12" i="154" s="1"/>
  <c r="F11" i="154" s="1"/>
  <c r="N11" i="152"/>
  <c r="L10" i="152"/>
  <c r="K51" i="153"/>
  <c r="K34" i="153"/>
  <c r="I47" i="153"/>
  <c r="U40" i="151"/>
  <c r="E47" i="14"/>
  <c r="AC71" i="153"/>
  <c r="AC86" i="153"/>
  <c r="AC79" i="153" s="1"/>
  <c r="L8" i="46"/>
  <c r="V72" i="6"/>
  <c r="V34" i="6"/>
  <c r="U35" i="6"/>
  <c r="U34" i="6" s="1"/>
  <c r="AN23" i="4"/>
  <c r="BQ23" i="5"/>
  <c r="BR23" i="5" s="1"/>
  <c r="N18" i="45"/>
  <c r="L20" i="45"/>
  <c r="L18" i="45" s="1"/>
  <c r="Q20" i="45"/>
  <c r="N10" i="45"/>
  <c r="AI21" i="37"/>
  <c r="BO28" i="5"/>
  <c r="AI28" i="4"/>
  <c r="V34" i="7"/>
  <c r="U35" i="7"/>
  <c r="U34" i="7" s="1"/>
  <c r="AI20" i="37"/>
  <c r="AI25" i="4"/>
  <c r="BO25" i="5"/>
  <c r="M68" i="44"/>
  <c r="M69" i="44" s="1"/>
  <c r="C40" i="54"/>
  <c r="O22" i="44"/>
  <c r="M9" i="44"/>
  <c r="AN21" i="37"/>
  <c r="Y49" i="7"/>
  <c r="X49" i="7" s="1"/>
  <c r="AB49" i="38"/>
  <c r="AA49" i="38" s="1"/>
  <c r="Y49" i="6"/>
  <c r="AB49" i="39"/>
  <c r="AL33" i="4"/>
  <c r="BQ28" i="5"/>
  <c r="BR28" i="5" s="1"/>
  <c r="AN28" i="4"/>
  <c r="AB43" i="38"/>
  <c r="AA43" i="38" s="1"/>
  <c r="Y43" i="6"/>
  <c r="Y43" i="7"/>
  <c r="X43" i="7" s="1"/>
  <c r="AB43" i="39"/>
  <c r="AL19" i="4"/>
  <c r="BO21" i="5"/>
  <c r="AI21" i="4"/>
  <c r="W26" i="45"/>
  <c r="T25" i="45"/>
  <c r="T21" i="45" s="1"/>
  <c r="R26" i="45"/>
  <c r="R25" i="45" s="1"/>
  <c r="R21" i="45" s="1"/>
  <c r="BQ30" i="5"/>
  <c r="BR30" i="5" s="1"/>
  <c r="AN30" i="4"/>
  <c r="Y34" i="38"/>
  <c r="X35" i="38"/>
  <c r="X34" i="38" s="1"/>
  <c r="AH5" i="37"/>
  <c r="AG11" i="37"/>
  <c r="AI12" i="37"/>
  <c r="D21" i="64"/>
  <c r="D22" i="64" s="1"/>
  <c r="H22" i="64"/>
  <c r="K11" i="45"/>
  <c r="I10" i="45"/>
  <c r="AI28" i="37"/>
  <c r="AI26" i="4"/>
  <c r="BO26" i="5"/>
  <c r="AN33" i="37"/>
  <c r="AN27" i="37"/>
  <c r="K51" i="46"/>
  <c r="I47" i="46"/>
  <c r="K34" i="46"/>
  <c r="Q25" i="45"/>
  <c r="Q21" i="45" s="1"/>
  <c r="O26" i="45"/>
  <c r="O25" i="45" s="1"/>
  <c r="O21" i="45" s="1"/>
  <c r="AI24" i="37"/>
  <c r="AN28" i="37"/>
  <c r="BQ26" i="5"/>
  <c r="BR26" i="5" s="1"/>
  <c r="AN26" i="4"/>
  <c r="AI33" i="4"/>
  <c r="BO33" i="5"/>
  <c r="Y79" i="39"/>
  <c r="X79" i="39" s="1"/>
  <c r="X43" i="39"/>
  <c r="I47" i="45"/>
  <c r="AD47" i="45" s="1"/>
  <c r="K51" i="45"/>
  <c r="I51" i="45" s="1"/>
  <c r="AD51" i="45" s="1"/>
  <c r="K34" i="45"/>
  <c r="Y78" i="39"/>
  <c r="X42" i="39"/>
  <c r="N11" i="46"/>
  <c r="L11" i="46" s="1"/>
  <c r="L10" i="46"/>
  <c r="AI30" i="4"/>
  <c r="BO30" i="5"/>
  <c r="AN24" i="37"/>
  <c r="J69" i="45"/>
  <c r="K75" i="153" s="1"/>
  <c r="K76" i="153" s="1"/>
  <c r="K8" i="45"/>
  <c r="AN20" i="37"/>
  <c r="AN25" i="4"/>
  <c r="BQ25" i="5"/>
  <c r="BR25" i="5" s="1"/>
  <c r="N19" i="65"/>
  <c r="L19" i="65"/>
  <c r="L16" i="65"/>
  <c r="M16" i="65" s="1"/>
  <c r="C18" i="65"/>
  <c r="G18" i="65" s="1"/>
  <c r="V83" i="6"/>
  <c r="U83" i="6" s="1"/>
  <c r="U49" i="6"/>
  <c r="AI27" i="4"/>
  <c r="BO27" i="5"/>
  <c r="C127" i="13"/>
  <c r="AL149" i="13"/>
  <c r="C149" i="13" s="1"/>
  <c r="AL127" i="60"/>
  <c r="AL10" i="13"/>
  <c r="AL193" i="13" s="1"/>
  <c r="C193" i="13" s="1"/>
  <c r="AN21" i="4"/>
  <c r="BQ21" i="5"/>
  <c r="BR21" i="5" s="1"/>
  <c r="BF27" i="5"/>
  <c r="V78" i="6"/>
  <c r="U42" i="6"/>
  <c r="AG11" i="4"/>
  <c r="AI12" i="4"/>
  <c r="AH5" i="4"/>
  <c r="BO12" i="5"/>
  <c r="L18" i="19"/>
  <c r="K12" i="19"/>
  <c r="K11" i="19" s="1"/>
  <c r="K17" i="19"/>
  <c r="AJ10" i="37"/>
  <c r="AJ9" i="37" s="1"/>
  <c r="AI20" i="4"/>
  <c r="BO20" i="5"/>
  <c r="AI23" i="37"/>
  <c r="AI22" i="4"/>
  <c r="BO22" i="5"/>
  <c r="BQ27" i="5"/>
  <c r="BR27" i="5" s="1"/>
  <c r="AN27" i="4"/>
  <c r="AI19" i="37"/>
  <c r="AI18" i="4"/>
  <c r="BO18" i="5"/>
  <c r="AG17" i="4"/>
  <c r="AO17" i="4"/>
  <c r="AB42" i="39"/>
  <c r="Y42" i="6"/>
  <c r="Y42" i="7"/>
  <c r="X42" i="7" s="1"/>
  <c r="AB42" i="38"/>
  <c r="AA42" i="38" s="1"/>
  <c r="AL18" i="4"/>
  <c r="AG71" i="43"/>
  <c r="AG71" i="150" s="1"/>
  <c r="M53" i="45"/>
  <c r="M53" i="46"/>
  <c r="AI26" i="37"/>
  <c r="AO11" i="37"/>
  <c r="AL12" i="37"/>
  <c r="BQ20" i="5"/>
  <c r="BR20" i="5" s="1"/>
  <c r="AN20" i="4"/>
  <c r="AN23" i="37"/>
  <c r="BQ22" i="5"/>
  <c r="BR22" i="5" s="1"/>
  <c r="AN22" i="4"/>
  <c r="AI25" i="37"/>
  <c r="BO19" i="5"/>
  <c r="AI19" i="4"/>
  <c r="U30" i="44"/>
  <c r="U31" i="151" s="1"/>
  <c r="U31" i="44"/>
  <c r="U32" i="151" s="1"/>
  <c r="U23" i="44"/>
  <c r="U24" i="151" s="1"/>
  <c r="U25" i="44"/>
  <c r="U26" i="151" s="1"/>
  <c r="U33" i="44"/>
  <c r="U34" i="151" s="1"/>
  <c r="U24" i="44"/>
  <c r="U25" i="151" s="1"/>
  <c r="R25" i="151" s="1"/>
  <c r="U34" i="44"/>
  <c r="U35" i="151" s="1"/>
  <c r="U35" i="44"/>
  <c r="U36" i="151" s="1"/>
  <c r="U28" i="44"/>
  <c r="U29" i="151" s="1"/>
  <c r="U38" i="44"/>
  <c r="U39" i="151" s="1"/>
  <c r="U27" i="44"/>
  <c r="U28" i="151" s="1"/>
  <c r="R28" i="151" s="1"/>
  <c r="AN19" i="37"/>
  <c r="BO29" i="5"/>
  <c r="AI29" i="4"/>
  <c r="AD16" i="16"/>
  <c r="AC16" i="16"/>
  <c r="AN26" i="37"/>
  <c r="AJ10" i="4"/>
  <c r="AJ9" i="4" s="1"/>
  <c r="N29" i="16"/>
  <c r="P29" i="16" s="1"/>
  <c r="BV34" i="5"/>
  <c r="BF34" i="5"/>
  <c r="AI30" i="37"/>
  <c r="F18" i="149"/>
  <c r="F20" i="149" s="1"/>
  <c r="AI24" i="4"/>
  <c r="BO24" i="5"/>
  <c r="BD26" i="5"/>
  <c r="BC17" i="5"/>
  <c r="AN25" i="37"/>
  <c r="Y83" i="39"/>
  <c r="X83" i="39" s="1"/>
  <c r="X49" i="39"/>
  <c r="AI29" i="37"/>
  <c r="Y40" i="38"/>
  <c r="Y40" i="39"/>
  <c r="V40" i="7"/>
  <c r="V40" i="6"/>
  <c r="AN29" i="4"/>
  <c r="BQ29" i="5"/>
  <c r="BR29" i="5" s="1"/>
  <c r="AG17" i="37"/>
  <c r="AI18" i="37"/>
  <c r="Y34" i="39"/>
  <c r="Y33" i="39" s="1"/>
  <c r="Y72" i="39"/>
  <c r="X35" i="39"/>
  <c r="X34" i="39" s="1"/>
  <c r="M21" i="64"/>
  <c r="M22" i="64" s="1"/>
  <c r="Q22" i="64"/>
  <c r="AI22" i="37"/>
  <c r="AN30" i="37"/>
  <c r="AC12" i="16"/>
  <c r="AD12" i="16"/>
  <c r="AB11" i="16"/>
  <c r="BQ24" i="5"/>
  <c r="BR24" i="5" s="1"/>
  <c r="AN24" i="4"/>
  <c r="AI33" i="37"/>
  <c r="AI27" i="37"/>
  <c r="V79" i="6"/>
  <c r="U79" i="6" s="1"/>
  <c r="U43" i="6"/>
  <c r="C25" i="58"/>
  <c r="C11" i="58" s="1"/>
  <c r="E29" i="58"/>
  <c r="C29" i="58" s="1"/>
  <c r="E25" i="68"/>
  <c r="E11" i="68" s="1"/>
  <c r="E11" i="58"/>
  <c r="AN29" i="37"/>
  <c r="AO17" i="37"/>
  <c r="AL18" i="37"/>
  <c r="AO11" i="4"/>
  <c r="AB35" i="39"/>
  <c r="M18" i="19"/>
  <c r="Y35" i="6"/>
  <c r="AB35" i="38"/>
  <c r="Y35" i="7"/>
  <c r="AL12" i="4"/>
  <c r="BO23" i="5"/>
  <c r="AI23" i="4"/>
  <c r="AN22" i="37"/>
  <c r="Y34" i="153" l="1"/>
  <c r="Q18" i="152"/>
  <c r="T18" i="152" s="1"/>
  <c r="R18" i="152" s="1"/>
  <c r="AL10" i="162"/>
  <c r="C127" i="162"/>
  <c r="C10" i="162" s="1"/>
  <c r="C44" i="158"/>
  <c r="F40" i="158"/>
  <c r="C27" i="158"/>
  <c r="C43" i="169"/>
  <c r="F39" i="169"/>
  <c r="C26" i="169"/>
  <c r="H11" i="58"/>
  <c r="H46" i="58" s="1"/>
  <c r="Y80" i="153"/>
  <c r="X81" i="153"/>
  <c r="X80" i="153" s="1"/>
  <c r="Y69" i="152"/>
  <c r="X69" i="152" s="1"/>
  <c r="Z8" i="152"/>
  <c r="AB35" i="152"/>
  <c r="AA36" i="152"/>
  <c r="AA35" i="152" s="1"/>
  <c r="AB87" i="153"/>
  <c r="AA87" i="153" s="1"/>
  <c r="AA49" i="153"/>
  <c r="AC25" i="152"/>
  <c r="AC21" i="152" s="1"/>
  <c r="AC18" i="152" s="1"/>
  <c r="AA26" i="152"/>
  <c r="AA25" i="152" s="1"/>
  <c r="AA21" i="152" s="1"/>
  <c r="AA18" i="152" s="1"/>
  <c r="AA50" i="153"/>
  <c r="AB88" i="153"/>
  <c r="AA88" i="153" s="1"/>
  <c r="X87" i="153"/>
  <c r="AB81" i="153"/>
  <c r="AB35" i="153"/>
  <c r="AA36" i="153"/>
  <c r="AA35" i="153" s="1"/>
  <c r="AB47" i="153"/>
  <c r="AB47" i="152"/>
  <c r="T20" i="45"/>
  <c r="T18" i="45" s="1"/>
  <c r="S69" i="45" s="1"/>
  <c r="Q18" i="45"/>
  <c r="Y51" i="152"/>
  <c r="X51" i="152" s="1"/>
  <c r="X47" i="152"/>
  <c r="U8" i="152"/>
  <c r="W71" i="152"/>
  <c r="Y33" i="153"/>
  <c r="X34" i="153"/>
  <c r="X5" i="153" s="1"/>
  <c r="X34" i="152"/>
  <c r="Y51" i="153"/>
  <c r="X47" i="153"/>
  <c r="U69" i="152"/>
  <c r="V33" i="152"/>
  <c r="AB92" i="153"/>
  <c r="AA92" i="153" s="1"/>
  <c r="AA56" i="153"/>
  <c r="Z81" i="150"/>
  <c r="U12" i="151"/>
  <c r="U79" i="44"/>
  <c r="U65" i="44" s="1"/>
  <c r="Y84" i="45"/>
  <c r="X79" i="45"/>
  <c r="C10" i="13"/>
  <c r="P192" i="13" s="1"/>
  <c r="P200" i="13" s="1"/>
  <c r="P201" i="13"/>
  <c r="N86" i="152"/>
  <c r="N89" i="152"/>
  <c r="N90" i="152" s="1"/>
  <c r="N91" i="152" s="1"/>
  <c r="N101" i="152"/>
  <c r="L11" i="152"/>
  <c r="L89" i="152" s="1"/>
  <c r="L90" i="152" s="1"/>
  <c r="L91" i="152" s="1"/>
  <c r="J112" i="152"/>
  <c r="J71" i="152"/>
  <c r="AF33" i="152"/>
  <c r="AF34" i="152" s="1"/>
  <c r="N72" i="151"/>
  <c r="O10" i="151"/>
  <c r="N81" i="151"/>
  <c r="M9" i="151"/>
  <c r="N75" i="151"/>
  <c r="N66" i="151"/>
  <c r="M63" i="151"/>
  <c r="N80" i="151"/>
  <c r="K87" i="152"/>
  <c r="K88" i="152" s="1"/>
  <c r="I86" i="152"/>
  <c r="I87" i="152" s="1"/>
  <c r="I88" i="152" s="1"/>
  <c r="K33" i="153"/>
  <c r="I34" i="153"/>
  <c r="K33" i="152"/>
  <c r="I33" i="152" s="1"/>
  <c r="I112" i="152" s="1"/>
  <c r="I34" i="152"/>
  <c r="K89" i="153"/>
  <c r="I51" i="153"/>
  <c r="N77" i="44"/>
  <c r="E32" i="154"/>
  <c r="U23" i="151"/>
  <c r="M56" i="153"/>
  <c r="M56" i="152"/>
  <c r="M49" i="152"/>
  <c r="M49" i="153"/>
  <c r="T28" i="151"/>
  <c r="T25" i="151"/>
  <c r="M50" i="153"/>
  <c r="M50" i="152"/>
  <c r="L50" i="152" s="1"/>
  <c r="M36" i="153"/>
  <c r="M36" i="152"/>
  <c r="P31" i="152"/>
  <c r="S31" i="152" s="1"/>
  <c r="P31" i="153"/>
  <c r="S31" i="153" s="1"/>
  <c r="M53" i="152"/>
  <c r="M53" i="153"/>
  <c r="AB34" i="38"/>
  <c r="AA35" i="38"/>
  <c r="AA34" i="38" s="1"/>
  <c r="Y32" i="39"/>
  <c r="X33" i="39"/>
  <c r="X5" i="39" s="1"/>
  <c r="V44" i="7"/>
  <c r="U44" i="7" s="1"/>
  <c r="U40" i="7"/>
  <c r="M50" i="45"/>
  <c r="L50" i="45" s="1"/>
  <c r="M50" i="46"/>
  <c r="R24" i="44"/>
  <c r="F48" i="154" s="1"/>
  <c r="M90" i="46"/>
  <c r="AB78" i="39"/>
  <c r="AA42" i="39"/>
  <c r="BP30" i="5"/>
  <c r="BS30" i="5"/>
  <c r="BQ19" i="5"/>
  <c r="BR19" i="5" s="1"/>
  <c r="AN19" i="4"/>
  <c r="N18" i="19"/>
  <c r="M12" i="19"/>
  <c r="M11" i="19" s="1"/>
  <c r="M17" i="19"/>
  <c r="C25" i="68"/>
  <c r="C11" i="68" s="1"/>
  <c r="E29" i="68"/>
  <c r="C29" i="68" s="1"/>
  <c r="Y44" i="39"/>
  <c r="X40" i="39"/>
  <c r="U10" i="44"/>
  <c r="R11" i="44"/>
  <c r="F34" i="154" s="1"/>
  <c r="M36" i="45"/>
  <c r="M36" i="46"/>
  <c r="BP19" i="5"/>
  <c r="BS19" i="5"/>
  <c r="BP22" i="5"/>
  <c r="BS22" i="5"/>
  <c r="O18" i="19"/>
  <c r="AG10" i="4"/>
  <c r="AI11" i="4"/>
  <c r="I51" i="46"/>
  <c r="K89" i="46"/>
  <c r="AI11" i="37"/>
  <c r="AG10" i="37"/>
  <c r="BP25" i="5"/>
  <c r="BS25" i="5"/>
  <c r="BP28" i="5"/>
  <c r="BS28" i="5"/>
  <c r="P31" i="46"/>
  <c r="P31" i="45"/>
  <c r="AG82" i="43"/>
  <c r="AG73" i="43"/>
  <c r="AB40" i="39"/>
  <c r="AB40" i="38"/>
  <c r="Y40" i="7"/>
  <c r="Y40" i="6"/>
  <c r="AL10" i="60"/>
  <c r="C127" i="60"/>
  <c r="C10" i="60" s="1"/>
  <c r="K19" i="65"/>
  <c r="N18" i="65"/>
  <c r="L18" i="65"/>
  <c r="K24" i="65"/>
  <c r="Y44" i="38"/>
  <c r="X44" i="38" s="1"/>
  <c r="X40" i="38"/>
  <c r="R27" i="44"/>
  <c r="AA43" i="39"/>
  <c r="AB79" i="39"/>
  <c r="AA79" i="39" s="1"/>
  <c r="AO10" i="4"/>
  <c r="AO9" i="4" s="1"/>
  <c r="AI17" i="37"/>
  <c r="M26" i="16"/>
  <c r="BC10" i="5"/>
  <c r="BC9" i="5" s="1"/>
  <c r="BQ18" i="5"/>
  <c r="BS18" i="5" s="1"/>
  <c r="AN18" i="4"/>
  <c r="AL17" i="4"/>
  <c r="K9" i="19"/>
  <c r="L9" i="19" s="1"/>
  <c r="U78" i="6"/>
  <c r="I8" i="45"/>
  <c r="AB83" i="39"/>
  <c r="AA83" i="39" s="1"/>
  <c r="AA49" i="39"/>
  <c r="M8" i="44"/>
  <c r="M62" i="44"/>
  <c r="O9" i="44"/>
  <c r="N74" i="44"/>
  <c r="N79" i="44"/>
  <c r="N80" i="44"/>
  <c r="N71" i="44"/>
  <c r="N65" i="44"/>
  <c r="W25" i="45"/>
  <c r="W21" i="45" s="1"/>
  <c r="Z26" i="45"/>
  <c r="U26" i="45"/>
  <c r="U25" i="45" s="1"/>
  <c r="U21" i="45" s="1"/>
  <c r="BQ33" i="5"/>
  <c r="BS33" i="5" s="1"/>
  <c r="AN33" i="4"/>
  <c r="AL11" i="4"/>
  <c r="BQ12" i="5"/>
  <c r="BS12" i="5" s="1"/>
  <c r="BS11" i="5" s="1"/>
  <c r="AN12" i="4"/>
  <c r="AM5" i="4"/>
  <c r="AL17" i="37"/>
  <c r="AN18" i="37"/>
  <c r="BF26" i="5"/>
  <c r="BF17" i="5" s="1"/>
  <c r="BD17" i="5"/>
  <c r="M56" i="46"/>
  <c r="M56" i="45"/>
  <c r="M49" i="46"/>
  <c r="U22" i="44"/>
  <c r="M49" i="45"/>
  <c r="AI17" i="4"/>
  <c r="L12" i="19"/>
  <c r="L11" i="19" s="1"/>
  <c r="L17" i="19"/>
  <c r="M14" i="65"/>
  <c r="L21" i="65"/>
  <c r="L22" i="65" s="1"/>
  <c r="L24" i="65"/>
  <c r="K75" i="46"/>
  <c r="K76" i="46" s="1"/>
  <c r="I69" i="45"/>
  <c r="J33" i="45"/>
  <c r="M107" i="45" s="1"/>
  <c r="P107" i="45" s="1"/>
  <c r="BP33" i="5"/>
  <c r="W28" i="16"/>
  <c r="K86" i="45"/>
  <c r="K89" i="45"/>
  <c r="K90" i="45" s="1"/>
  <c r="K91" i="45" s="1"/>
  <c r="I11" i="45"/>
  <c r="I89" i="45" s="1"/>
  <c r="I90" i="45" s="1"/>
  <c r="I91" i="45" s="1"/>
  <c r="Y33" i="38"/>
  <c r="Y79" i="6"/>
  <c r="X79" i="6" s="1"/>
  <c r="X43" i="6"/>
  <c r="Y83" i="6"/>
  <c r="X83" i="6" s="1"/>
  <c r="X49" i="6"/>
  <c r="N11" i="45"/>
  <c r="L10" i="45"/>
  <c r="V33" i="6"/>
  <c r="BP18" i="5"/>
  <c r="BO17" i="5"/>
  <c r="W26" i="16" s="1"/>
  <c r="X78" i="39"/>
  <c r="O20" i="45"/>
  <c r="O18" i="45" s="1"/>
  <c r="V71" i="6"/>
  <c r="U72" i="6"/>
  <c r="U71" i="6" s="1"/>
  <c r="BP23" i="5"/>
  <c r="BS23" i="5"/>
  <c r="Y34" i="7"/>
  <c r="Y33" i="7" s="1"/>
  <c r="X35" i="7"/>
  <c r="X34" i="7" s="1"/>
  <c r="AN12" i="37"/>
  <c r="AM5" i="37"/>
  <c r="AL11" i="37"/>
  <c r="BP20" i="5"/>
  <c r="BS20" i="5"/>
  <c r="BO11" i="5"/>
  <c r="BP12" i="5"/>
  <c r="BP27" i="5"/>
  <c r="BS27" i="5"/>
  <c r="K33" i="45"/>
  <c r="I34" i="45"/>
  <c r="C40" i="66"/>
  <c r="F40" i="54"/>
  <c r="C44" i="54"/>
  <c r="C27" i="54"/>
  <c r="H27" i="54" s="1"/>
  <c r="V33" i="7"/>
  <c r="AB34" i="39"/>
  <c r="AB33" i="39" s="1"/>
  <c r="AB72" i="39"/>
  <c r="AA35" i="39"/>
  <c r="AA34" i="39" s="1"/>
  <c r="AD11" i="16"/>
  <c r="AC11" i="16"/>
  <c r="BP24" i="5"/>
  <c r="BS24" i="5"/>
  <c r="AE29" i="16"/>
  <c r="AC29" i="16"/>
  <c r="BP29" i="5"/>
  <c r="BS29" i="5"/>
  <c r="Y72" i="6"/>
  <c r="Y34" i="6"/>
  <c r="Y33" i="6" s="1"/>
  <c r="X35" i="6"/>
  <c r="X34" i="6" s="1"/>
  <c r="Y71" i="39"/>
  <c r="X72" i="39"/>
  <c r="X71" i="39" s="1"/>
  <c r="V44" i="6"/>
  <c r="U40" i="6"/>
  <c r="AO10" i="37"/>
  <c r="AO9" i="37" s="1"/>
  <c r="Y78" i="6"/>
  <c r="X42" i="6"/>
  <c r="K33" i="46"/>
  <c r="I34" i="46"/>
  <c r="BP26" i="5"/>
  <c r="BT26" i="5" s="1"/>
  <c r="BS26" i="5"/>
  <c r="BP21" i="5"/>
  <c r="BS21" i="5"/>
  <c r="M69" i="45"/>
  <c r="L69" i="45" s="1"/>
  <c r="N8" i="45"/>
  <c r="P69" i="152" l="1"/>
  <c r="S69" i="152" s="1"/>
  <c r="R69" i="152" s="1"/>
  <c r="C192" i="13"/>
  <c r="C194" i="13" s="1"/>
  <c r="C196" i="13" s="1"/>
  <c r="P202" i="13"/>
  <c r="Y33" i="152"/>
  <c r="C26" i="158"/>
  <c r="H26" i="158" s="1"/>
  <c r="H27" i="158"/>
  <c r="C4" i="162"/>
  <c r="AB34" i="153"/>
  <c r="AB33" i="153" s="1"/>
  <c r="C25" i="169"/>
  <c r="H25" i="169" s="1"/>
  <c r="H26" i="169"/>
  <c r="C4" i="60"/>
  <c r="AQ10" i="13"/>
  <c r="AQ12" i="13"/>
  <c r="Y89" i="153"/>
  <c r="X51" i="153"/>
  <c r="Y71" i="153"/>
  <c r="X71" i="153" s="1"/>
  <c r="X33" i="153"/>
  <c r="AA34" i="153"/>
  <c r="AA5" i="153" s="1"/>
  <c r="AB34" i="152"/>
  <c r="AB33" i="38"/>
  <c r="V71" i="152"/>
  <c r="U71" i="152" s="1"/>
  <c r="U33" i="152"/>
  <c r="Y4" i="152"/>
  <c r="X74" i="152"/>
  <c r="AB51" i="152"/>
  <c r="AA51" i="152" s="1"/>
  <c r="AA47" i="152"/>
  <c r="AB80" i="153"/>
  <c r="AA81" i="153"/>
  <c r="AA80" i="153" s="1"/>
  <c r="X8" i="152"/>
  <c r="Z71" i="152"/>
  <c r="Y71" i="152"/>
  <c r="X33" i="152"/>
  <c r="AB51" i="153"/>
  <c r="AA47" i="153"/>
  <c r="K112" i="45"/>
  <c r="N107" i="45"/>
  <c r="N9" i="44"/>
  <c r="M60" i="44"/>
  <c r="W20" i="45"/>
  <c r="R20" i="45"/>
  <c r="R18" i="45" s="1"/>
  <c r="AB69" i="152"/>
  <c r="AA69" i="152" s="1"/>
  <c r="AC8" i="152"/>
  <c r="Y85" i="45"/>
  <c r="X85" i="45" s="1"/>
  <c r="X84" i="45"/>
  <c r="R12" i="151"/>
  <c r="U11" i="151"/>
  <c r="U10" i="151" s="1"/>
  <c r="U9" i="151" s="1"/>
  <c r="O66" i="151"/>
  <c r="N13" i="151"/>
  <c r="N15" i="151"/>
  <c r="O9" i="151"/>
  <c r="N38" i="151"/>
  <c r="M61" i="151"/>
  <c r="O72" i="151"/>
  <c r="N30" i="151"/>
  <c r="N18" i="151"/>
  <c r="N9" i="151"/>
  <c r="N34" i="151"/>
  <c r="N25" i="151"/>
  <c r="N39" i="151"/>
  <c r="O81" i="151"/>
  <c r="N31" i="151"/>
  <c r="N19" i="151"/>
  <c r="N17" i="151"/>
  <c r="N26" i="151"/>
  <c r="O80" i="151"/>
  <c r="N35" i="151"/>
  <c r="N12" i="151"/>
  <c r="N36" i="151"/>
  <c r="N29" i="151"/>
  <c r="N42" i="151"/>
  <c r="N24" i="151"/>
  <c r="N11" i="151"/>
  <c r="N41" i="151"/>
  <c r="N48" i="151"/>
  <c r="O75" i="151"/>
  <c r="N28" i="151"/>
  <c r="N37" i="151"/>
  <c r="N45" i="151"/>
  <c r="N33" i="151"/>
  <c r="N40" i="151"/>
  <c r="N32" i="151"/>
  <c r="N23" i="151"/>
  <c r="O78" i="151"/>
  <c r="AF34" i="153"/>
  <c r="AI34" i="153"/>
  <c r="K86" i="153"/>
  <c r="K79" i="153" s="1"/>
  <c r="I89" i="153"/>
  <c r="I86" i="153" s="1"/>
  <c r="I79" i="153" s="1"/>
  <c r="N10" i="151"/>
  <c r="N87" i="152"/>
  <c r="L86" i="152"/>
  <c r="L87" i="152" s="1"/>
  <c r="I33" i="153"/>
  <c r="K96" i="153"/>
  <c r="K71" i="153"/>
  <c r="O69" i="152"/>
  <c r="K112" i="152"/>
  <c r="K71" i="152"/>
  <c r="I71" i="152" s="1"/>
  <c r="I75" i="152" s="1"/>
  <c r="M64" i="151"/>
  <c r="O63" i="151"/>
  <c r="O32" i="154"/>
  <c r="E31" i="154"/>
  <c r="S10" i="153"/>
  <c r="S8" i="153"/>
  <c r="S10" i="152"/>
  <c r="S8" i="152"/>
  <c r="M35" i="152"/>
  <c r="L36" i="152"/>
  <c r="L35" i="152" s="1"/>
  <c r="M81" i="153"/>
  <c r="M35" i="153"/>
  <c r="L36" i="153"/>
  <c r="L35" i="153" s="1"/>
  <c r="M47" i="153"/>
  <c r="M47" i="152"/>
  <c r="M90" i="153"/>
  <c r="M87" i="153"/>
  <c r="AG82" i="150"/>
  <c r="AG73" i="150"/>
  <c r="P10" i="153"/>
  <c r="P8" i="153"/>
  <c r="M88" i="153"/>
  <c r="L88" i="153" s="1"/>
  <c r="L50" i="153"/>
  <c r="P10" i="152"/>
  <c r="P8" i="152"/>
  <c r="M92" i="153"/>
  <c r="U9" i="44"/>
  <c r="U8" i="44" s="1"/>
  <c r="K71" i="45"/>
  <c r="BF5" i="5"/>
  <c r="BF10" i="5"/>
  <c r="BF9" i="5" s="1"/>
  <c r="BG26" i="5" s="1"/>
  <c r="X78" i="6"/>
  <c r="P69" i="45"/>
  <c r="O69" i="45" s="1"/>
  <c r="Y71" i="6"/>
  <c r="X72" i="6"/>
  <c r="X71" i="6" s="1"/>
  <c r="BV24" i="5"/>
  <c r="BT24" i="5"/>
  <c r="BP11" i="5"/>
  <c r="Y44" i="6"/>
  <c r="X40" i="6"/>
  <c r="AA78" i="39"/>
  <c r="M88" i="46"/>
  <c r="L88" i="46" s="1"/>
  <c r="L50" i="46"/>
  <c r="BT21" i="5"/>
  <c r="BV21" i="5"/>
  <c r="W25" i="16"/>
  <c r="BO10" i="5"/>
  <c r="BO9" i="5" s="1"/>
  <c r="Y32" i="7"/>
  <c r="X33" i="7"/>
  <c r="X28" i="16"/>
  <c r="Y44" i="7"/>
  <c r="X44" i="7" s="1"/>
  <c r="X40" i="7"/>
  <c r="P8" i="45"/>
  <c r="P10" i="45"/>
  <c r="P11" i="45" s="1"/>
  <c r="BT19" i="5"/>
  <c r="BV19" i="5"/>
  <c r="Y80" i="39"/>
  <c r="X44" i="39"/>
  <c r="C44" i="66"/>
  <c r="C27" i="66"/>
  <c r="C26" i="66" s="1"/>
  <c r="V32" i="6"/>
  <c r="U33" i="6"/>
  <c r="U5" i="6" s="1"/>
  <c r="Y32" i="38"/>
  <c r="X33" i="38"/>
  <c r="J112" i="45"/>
  <c r="AQ22" i="13"/>
  <c r="AQ23" i="13" s="1"/>
  <c r="I33" i="45"/>
  <c r="AC33" i="45"/>
  <c r="AC34" i="45" s="1"/>
  <c r="J71" i="45"/>
  <c r="M92" i="46"/>
  <c r="Y28" i="16"/>
  <c r="AA28" i="16" s="1"/>
  <c r="BR33" i="5"/>
  <c r="Z28" i="16" s="1"/>
  <c r="P10" i="46"/>
  <c r="P8" i="46"/>
  <c r="BT23" i="5"/>
  <c r="BV23" i="5"/>
  <c r="AN17" i="37"/>
  <c r="AB44" i="38"/>
  <c r="AA44" i="38" s="1"/>
  <c r="AA40" i="38"/>
  <c r="R69" i="45"/>
  <c r="AG9" i="4"/>
  <c r="K8" i="19"/>
  <c r="AI10" i="4"/>
  <c r="AG54" i="4"/>
  <c r="AF34" i="46"/>
  <c r="AC34" i="46"/>
  <c r="BT29" i="5"/>
  <c r="BV29" i="5"/>
  <c r="AB71" i="39"/>
  <c r="AA72" i="39"/>
  <c r="AA71" i="39" s="1"/>
  <c r="N86" i="45"/>
  <c r="N89" i="45"/>
  <c r="V57" i="151" s="1"/>
  <c r="N101" i="45"/>
  <c r="L11" i="45"/>
  <c r="L89" i="45" s="1"/>
  <c r="L90" i="45" s="1"/>
  <c r="L91" i="45" s="1"/>
  <c r="N26" i="16"/>
  <c r="BD10" i="5"/>
  <c r="Z25" i="45"/>
  <c r="Z21" i="45" s="1"/>
  <c r="X26" i="45"/>
  <c r="X25" i="45" s="1"/>
  <c r="X21" i="45" s="1"/>
  <c r="BR18" i="5"/>
  <c r="BR17" i="5" s="1"/>
  <c r="Z26" i="16" s="1"/>
  <c r="BQ17" i="5"/>
  <c r="Y26" i="16" s="1"/>
  <c r="AA26" i="16" s="1"/>
  <c r="O12" i="19"/>
  <c r="O11" i="19" s="1"/>
  <c r="O17" i="19"/>
  <c r="L36" i="46"/>
  <c r="L35" i="46" s="1"/>
  <c r="M81" i="46"/>
  <c r="M35" i="46"/>
  <c r="C26" i="54"/>
  <c r="H26" i="54" s="1"/>
  <c r="AN17" i="4"/>
  <c r="V80" i="6"/>
  <c r="U44" i="6"/>
  <c r="BV20" i="5"/>
  <c r="BT20" i="5"/>
  <c r="M18" i="65"/>
  <c r="K96" i="46"/>
  <c r="K71" i="46"/>
  <c r="I33" i="46"/>
  <c r="AB32" i="39"/>
  <c r="AA33" i="39"/>
  <c r="AA5" i="39" s="1"/>
  <c r="AN11" i="37"/>
  <c r="AL10" i="37"/>
  <c r="BS17" i="5"/>
  <c r="BS10" i="5" s="1"/>
  <c r="BS9" i="5" s="1"/>
  <c r="K26" i="138"/>
  <c r="L25" i="65"/>
  <c r="K66" i="65" s="1"/>
  <c r="J29" i="138"/>
  <c r="J31" i="138" s="1"/>
  <c r="J32" i="138" s="1"/>
  <c r="M47" i="46"/>
  <c r="M47" i="45"/>
  <c r="BV26" i="5"/>
  <c r="O62" i="44"/>
  <c r="M63" i="44"/>
  <c r="AB44" i="39"/>
  <c r="AA40" i="39"/>
  <c r="BV28" i="5"/>
  <c r="BT28" i="5"/>
  <c r="AG9" i="37"/>
  <c r="AI10" i="37"/>
  <c r="AG54" i="37"/>
  <c r="L36" i="45"/>
  <c r="L35" i="45" s="1"/>
  <c r="M35" i="45"/>
  <c r="X32" i="39"/>
  <c r="Y63" i="39"/>
  <c r="X63" i="39" s="1"/>
  <c r="L8" i="45"/>
  <c r="V32" i="7"/>
  <c r="U33" i="7"/>
  <c r="BT27" i="5"/>
  <c r="BV27" i="5"/>
  <c r="K87" i="45"/>
  <c r="K88" i="45" s="1"/>
  <c r="I86" i="45"/>
  <c r="I87" i="45" s="1"/>
  <c r="I88" i="45" s="1"/>
  <c r="M87" i="46"/>
  <c r="BQ11" i="5"/>
  <c r="BR12" i="5"/>
  <c r="BR11" i="5" s="1"/>
  <c r="N16" i="44"/>
  <c r="N35" i="44"/>
  <c r="O8" i="44"/>
  <c r="N34" i="44"/>
  <c r="N18" i="44"/>
  <c r="N38" i="44"/>
  <c r="N44" i="44"/>
  <c r="N8" i="44"/>
  <c r="N30" i="44"/>
  <c r="O74" i="44"/>
  <c r="N33" i="44"/>
  <c r="N47" i="44"/>
  <c r="N28" i="44"/>
  <c r="N36" i="44"/>
  <c r="N40" i="44"/>
  <c r="N29" i="44"/>
  <c r="N27" i="44"/>
  <c r="N17" i="44"/>
  <c r="N25" i="44"/>
  <c r="N37" i="44"/>
  <c r="N24" i="44"/>
  <c r="O80" i="44"/>
  <c r="N41" i="44"/>
  <c r="O79" i="44"/>
  <c r="N14" i="44"/>
  <c r="N11" i="44"/>
  <c r="N12" i="44"/>
  <c r="N23" i="44"/>
  <c r="N10" i="44"/>
  <c r="O71" i="44"/>
  <c r="O65" i="44"/>
  <c r="N39" i="44"/>
  <c r="N31" i="44"/>
  <c r="N32" i="44"/>
  <c r="N22" i="44"/>
  <c r="O77" i="44"/>
  <c r="T27" i="44"/>
  <c r="AG81" i="43"/>
  <c r="BV22" i="5"/>
  <c r="BT22" i="5"/>
  <c r="T11" i="44"/>
  <c r="R10" i="44"/>
  <c r="F33" i="154" s="1"/>
  <c r="M9" i="19"/>
  <c r="N9" i="19" s="1"/>
  <c r="BV30" i="5"/>
  <c r="BT30" i="5"/>
  <c r="Y32" i="6"/>
  <c r="X33" i="6"/>
  <c r="X5" i="6" s="1"/>
  <c r="BP17" i="5"/>
  <c r="X26" i="16" s="1"/>
  <c r="AN11" i="4"/>
  <c r="AL10" i="4"/>
  <c r="O26" i="16"/>
  <c r="O24" i="16" s="1"/>
  <c r="O23" i="16" s="1"/>
  <c r="O35" i="16" s="1"/>
  <c r="M24" i="16"/>
  <c r="M23" i="16" s="1"/>
  <c r="M35" i="16" s="1"/>
  <c r="BT25" i="5"/>
  <c r="BV25" i="5"/>
  <c r="I89" i="46"/>
  <c r="I86" i="46" s="1"/>
  <c r="I79" i="46" s="1"/>
  <c r="K86" i="46"/>
  <c r="K79" i="46" s="1"/>
  <c r="N12" i="19"/>
  <c r="N11" i="19" s="1"/>
  <c r="P18" i="19"/>
  <c r="N17" i="19"/>
  <c r="T24" i="44"/>
  <c r="AB32" i="38"/>
  <c r="AA33" i="38"/>
  <c r="C197" i="13" l="1"/>
  <c r="C200" i="13" s="1"/>
  <c r="C201" i="13" s="1"/>
  <c r="X71" i="152"/>
  <c r="AA8" i="152"/>
  <c r="AC71" i="152"/>
  <c r="AB89" i="153"/>
  <c r="AA51" i="153"/>
  <c r="AB33" i="152"/>
  <c r="AA34" i="152"/>
  <c r="AB28" i="16"/>
  <c r="AD28" i="16" s="1"/>
  <c r="Z20" i="45"/>
  <c r="U20" i="45"/>
  <c r="U18" i="45" s="1"/>
  <c r="W18" i="45"/>
  <c r="V69" i="45" s="1"/>
  <c r="U69" i="45" s="1"/>
  <c r="AB71" i="153"/>
  <c r="AA71" i="153" s="1"/>
  <c r="AA33" i="153"/>
  <c r="X89" i="153"/>
  <c r="X86" i="153" s="1"/>
  <c r="X79" i="153" s="1"/>
  <c r="Y86" i="153"/>
  <c r="Y79" i="153" s="1"/>
  <c r="T12" i="151"/>
  <c r="R11" i="151"/>
  <c r="T11" i="151" s="1"/>
  <c r="BV18" i="5"/>
  <c r="L76" i="153"/>
  <c r="J76" i="153" s="1"/>
  <c r="I71" i="153"/>
  <c r="AI37" i="153"/>
  <c r="AI35" i="153"/>
  <c r="AF8" i="153"/>
  <c r="I96" i="153"/>
  <c r="BT33" i="5"/>
  <c r="S11" i="152"/>
  <c r="S11" i="153"/>
  <c r="BT12" i="5"/>
  <c r="BT11" i="5" s="1"/>
  <c r="BT18" i="5"/>
  <c r="BV33" i="5"/>
  <c r="AG81" i="150"/>
  <c r="M34" i="153"/>
  <c r="M33" i="153" s="1"/>
  <c r="M34" i="152"/>
  <c r="M33" i="152" s="1"/>
  <c r="P11" i="153"/>
  <c r="P11" i="152"/>
  <c r="L81" i="153"/>
  <c r="L80" i="153" s="1"/>
  <c r="M80" i="153"/>
  <c r="M51" i="152"/>
  <c r="M51" i="153"/>
  <c r="M34" i="45"/>
  <c r="M33" i="45" s="1"/>
  <c r="M108" i="45" s="1"/>
  <c r="I71" i="45"/>
  <c r="I75" i="45" s="1"/>
  <c r="V4" i="7"/>
  <c r="U65" i="7"/>
  <c r="AB80" i="39"/>
  <c r="AA44" i="39"/>
  <c r="M51" i="45"/>
  <c r="AL9" i="37"/>
  <c r="AM10" i="37" s="1"/>
  <c r="AN10" i="37"/>
  <c r="AL54" i="37"/>
  <c r="O9" i="19"/>
  <c r="P9" i="19" s="1"/>
  <c r="P26" i="16"/>
  <c r="N24" i="16"/>
  <c r="K33" i="19"/>
  <c r="L8" i="19"/>
  <c r="K15" i="19"/>
  <c r="BT17" i="5"/>
  <c r="U32" i="7"/>
  <c r="V63" i="7"/>
  <c r="U63" i="7" s="1"/>
  <c r="M51" i="46"/>
  <c r="BV17" i="5"/>
  <c r="AH10" i="4"/>
  <c r="AH16" i="4"/>
  <c r="AH14" i="4"/>
  <c r="AI9" i="4"/>
  <c r="K7" i="19"/>
  <c r="AH13" i="4"/>
  <c r="AH31" i="4"/>
  <c r="AH15" i="4"/>
  <c r="AH32" i="4"/>
  <c r="AH9" i="4"/>
  <c r="AH34" i="4"/>
  <c r="AG52" i="4"/>
  <c r="AH28" i="4"/>
  <c r="AH30" i="4"/>
  <c r="AH19" i="4"/>
  <c r="AH24" i="4"/>
  <c r="AH26" i="4"/>
  <c r="AH21" i="4"/>
  <c r="AH27" i="4"/>
  <c r="AH12" i="4"/>
  <c r="AH20" i="4"/>
  <c r="AH29" i="4"/>
  <c r="AH33" i="4"/>
  <c r="AH18" i="4"/>
  <c r="AH25" i="4"/>
  <c r="AH22" i="4"/>
  <c r="AH23" i="4"/>
  <c r="AH17" i="4"/>
  <c r="AH11" i="4"/>
  <c r="P12" i="19"/>
  <c r="P11" i="19" s="1"/>
  <c r="P17" i="19"/>
  <c r="AB26" i="16"/>
  <c r="Y4" i="38"/>
  <c r="X65" i="38"/>
  <c r="X80" i="39"/>
  <c r="X77" i="39" s="1"/>
  <c r="X70" i="39" s="1"/>
  <c r="Y77" i="39"/>
  <c r="Y70" i="39" s="1"/>
  <c r="I112" i="45"/>
  <c r="X32" i="7"/>
  <c r="Y63" i="7"/>
  <c r="X63" i="7" s="1"/>
  <c r="BV12" i="5"/>
  <c r="Y25" i="16"/>
  <c r="Y24" i="16" s="1"/>
  <c r="Y23" i="16" s="1"/>
  <c r="BQ10" i="5"/>
  <c r="BQ9" i="5" s="1"/>
  <c r="Y4" i="7"/>
  <c r="X65" i="7"/>
  <c r="T10" i="44"/>
  <c r="AA32" i="39"/>
  <c r="AB63" i="39"/>
  <c r="AA63" i="39" s="1"/>
  <c r="X32" i="6"/>
  <c r="Y63" i="6"/>
  <c r="X63" i="6" s="1"/>
  <c r="AH10" i="37"/>
  <c r="AH31" i="37"/>
  <c r="AH9" i="37"/>
  <c r="AH32" i="37"/>
  <c r="AI9" i="37"/>
  <c r="AH13" i="37"/>
  <c r="AH14" i="37"/>
  <c r="AH15" i="37"/>
  <c r="AH16" i="37"/>
  <c r="AH34" i="37"/>
  <c r="AG52" i="37"/>
  <c r="AH12" i="37"/>
  <c r="AH19" i="37"/>
  <c r="AH22" i="37"/>
  <c r="AH27" i="37"/>
  <c r="AH26" i="37"/>
  <c r="AH21" i="37"/>
  <c r="AH20" i="37"/>
  <c r="AH24" i="37"/>
  <c r="AH23" i="37"/>
  <c r="AH30" i="37"/>
  <c r="AH25" i="37"/>
  <c r="AH28" i="37"/>
  <c r="AH18" i="37"/>
  <c r="AH33" i="37"/>
  <c r="AH29" i="37"/>
  <c r="AH11" i="37"/>
  <c r="AH17" i="37"/>
  <c r="K27" i="138"/>
  <c r="L26" i="138"/>
  <c r="L27" i="138" s="1"/>
  <c r="J26" i="138"/>
  <c r="U80" i="6"/>
  <c r="U77" i="6" s="1"/>
  <c r="U70" i="6" s="1"/>
  <c r="V77" i="6"/>
  <c r="V70" i="6" s="1"/>
  <c r="M34" i="46"/>
  <c r="P11" i="46"/>
  <c r="X32" i="38"/>
  <c r="Y63" i="38"/>
  <c r="X63" i="38" s="1"/>
  <c r="BP10" i="5"/>
  <c r="BP9" i="5" s="1"/>
  <c r="X25" i="16"/>
  <c r="BV11" i="5"/>
  <c r="AB4" i="38"/>
  <c r="AA65" i="38"/>
  <c r="AL9" i="4"/>
  <c r="AM10" i="4" s="1"/>
  <c r="M8" i="19"/>
  <c r="AN10" i="4"/>
  <c r="AL54" i="4"/>
  <c r="I96" i="46"/>
  <c r="AC8" i="46"/>
  <c r="L81" i="46"/>
  <c r="L80" i="46" s="1"/>
  <c r="M80" i="46"/>
  <c r="AF37" i="46"/>
  <c r="AF35" i="46"/>
  <c r="W24" i="16"/>
  <c r="W23" i="16" s="1"/>
  <c r="Y80" i="6"/>
  <c r="X44" i="6"/>
  <c r="BG10" i="5"/>
  <c r="BG21" i="5"/>
  <c r="BG16" i="5"/>
  <c r="BG19" i="5"/>
  <c r="BG36" i="5"/>
  <c r="BG39" i="5"/>
  <c r="BG28" i="5"/>
  <c r="BG35" i="5"/>
  <c r="BG23" i="5"/>
  <c r="BG33" i="5"/>
  <c r="BG42" i="5"/>
  <c r="BG31" i="5"/>
  <c r="BG32" i="5"/>
  <c r="BG9" i="5"/>
  <c r="BG29" i="5"/>
  <c r="BG20" i="5"/>
  <c r="BG24" i="5"/>
  <c r="BG14" i="5"/>
  <c r="BG15" i="5"/>
  <c r="BG22" i="5"/>
  <c r="BG30" i="5"/>
  <c r="BG25" i="5"/>
  <c r="BG12" i="5"/>
  <c r="BG18" i="5"/>
  <c r="BG13" i="5"/>
  <c r="BG11" i="5"/>
  <c r="BG34" i="5"/>
  <c r="BG27" i="5"/>
  <c r="AA32" i="38"/>
  <c r="AB63" i="38"/>
  <c r="AA63" i="38" s="1"/>
  <c r="L76" i="46"/>
  <c r="J76" i="46" s="1"/>
  <c r="I71" i="46"/>
  <c r="V56" i="44"/>
  <c r="V33" i="44" s="1"/>
  <c r="N90" i="45"/>
  <c r="N91" i="45" s="1"/>
  <c r="U32" i="6"/>
  <c r="V63" i="6"/>
  <c r="U63" i="6" s="1"/>
  <c r="BG17" i="5"/>
  <c r="Z25" i="16"/>
  <c r="BR10" i="5"/>
  <c r="BR9" i="5" s="1"/>
  <c r="BD9" i="5"/>
  <c r="BD51" i="5"/>
  <c r="N87" i="45"/>
  <c r="V39" i="44" s="1"/>
  <c r="L86" i="45"/>
  <c r="L87" i="45" s="1"/>
  <c r="BW12" i="5" l="1"/>
  <c r="AC28" i="16"/>
  <c r="AB4" i="152"/>
  <c r="AA74" i="152"/>
  <c r="AB71" i="152"/>
  <c r="AA33" i="152"/>
  <c r="X20" i="45"/>
  <c r="X18" i="45" s="1"/>
  <c r="Z18" i="45"/>
  <c r="Y69" i="45" s="1"/>
  <c r="X69" i="45" s="1"/>
  <c r="AA71" i="152"/>
  <c r="BP51" i="5"/>
  <c r="AB86" i="153"/>
  <c r="AB79" i="153" s="1"/>
  <c r="AA89" i="153"/>
  <c r="AA86" i="153" s="1"/>
  <c r="AA79" i="153" s="1"/>
  <c r="AA25" i="16"/>
  <c r="AA24" i="16" s="1"/>
  <c r="AA23" i="16" s="1"/>
  <c r="BR51" i="5"/>
  <c r="BV9" i="5"/>
  <c r="V40" i="151"/>
  <c r="M89" i="153"/>
  <c r="P86" i="152"/>
  <c r="P89" i="152"/>
  <c r="P90" i="152" s="1"/>
  <c r="P91" i="152" s="1"/>
  <c r="V86" i="152"/>
  <c r="V89" i="152"/>
  <c r="V90" i="152" s="1"/>
  <c r="V91" i="152" s="1"/>
  <c r="M71" i="153"/>
  <c r="M71" i="152"/>
  <c r="X24" i="16"/>
  <c r="X38" i="16" s="1"/>
  <c r="AB25" i="16"/>
  <c r="J27" i="138"/>
  <c r="H28" i="138"/>
  <c r="AE26" i="16"/>
  <c r="P24" i="16"/>
  <c r="BV10" i="5"/>
  <c r="K32" i="19"/>
  <c r="L7" i="19"/>
  <c r="K14" i="19"/>
  <c r="AD26" i="16"/>
  <c r="AC26" i="16"/>
  <c r="M89" i="46"/>
  <c r="P86" i="45"/>
  <c r="P89" i="45"/>
  <c r="Z57" i="151" s="1"/>
  <c r="AA80" i="39"/>
  <c r="AA77" i="39" s="1"/>
  <c r="AA70" i="39" s="1"/>
  <c r="AB77" i="39"/>
  <c r="AB70" i="39" s="1"/>
  <c r="X80" i="6"/>
  <c r="X77" i="6" s="1"/>
  <c r="X70" i="6" s="1"/>
  <c r="Y77" i="6"/>
  <c r="Y70" i="6" s="1"/>
  <c r="M33" i="19"/>
  <c r="N8" i="19"/>
  <c r="M15" i="19"/>
  <c r="O8" i="19"/>
  <c r="Z24" i="16"/>
  <c r="Z38" i="16" s="1"/>
  <c r="M33" i="46"/>
  <c r="L33" i="19"/>
  <c r="L15" i="19"/>
  <c r="M71" i="45"/>
  <c r="N53" i="46"/>
  <c r="N53" i="45"/>
  <c r="L53" i="45" s="1"/>
  <c r="AH71" i="43"/>
  <c r="AH71" i="150" s="1"/>
  <c r="AF71" i="150" s="1"/>
  <c r="BE71" i="150" s="1"/>
  <c r="R39" i="44"/>
  <c r="F50" i="154" s="1"/>
  <c r="V34" i="44"/>
  <c r="V35" i="151" s="1"/>
  <c r="R35" i="151" s="1"/>
  <c r="V34" i="151"/>
  <c r="R34" i="151" s="1"/>
  <c r="V29" i="44"/>
  <c r="V30" i="151" s="1"/>
  <c r="R30" i="151" s="1"/>
  <c r="V25" i="44"/>
  <c r="V26" i="151" s="1"/>
  <c r="R26" i="151" s="1"/>
  <c r="V38" i="44"/>
  <c r="V39" i="151" s="1"/>
  <c r="R39" i="151" s="1"/>
  <c r="V28" i="44"/>
  <c r="V29" i="151" s="1"/>
  <c r="R29" i="151" s="1"/>
  <c r="V30" i="44"/>
  <c r="V31" i="151" s="1"/>
  <c r="R31" i="151" s="1"/>
  <c r="V35" i="44"/>
  <c r="V36" i="151" s="1"/>
  <c r="R36" i="151" s="1"/>
  <c r="V23" i="44"/>
  <c r="V24" i="151" s="1"/>
  <c r="R24" i="151" s="1"/>
  <c r="V32" i="44"/>
  <c r="V33" i="151" s="1"/>
  <c r="R33" i="151" s="1"/>
  <c r="V31" i="44"/>
  <c r="V32" i="151" s="1"/>
  <c r="R32" i="151" s="1"/>
  <c r="AM15" i="4"/>
  <c r="AM16" i="4"/>
  <c r="AM13" i="4"/>
  <c r="M7" i="19"/>
  <c r="O7" i="19" s="1"/>
  <c r="AM31" i="4"/>
  <c r="AM32" i="4"/>
  <c r="AM9" i="4"/>
  <c r="AM14" i="4"/>
  <c r="AN9" i="4"/>
  <c r="AM34" i="4"/>
  <c r="AL52" i="4"/>
  <c r="AM28" i="4"/>
  <c r="AM26" i="4"/>
  <c r="AM25" i="4"/>
  <c r="AM21" i="4"/>
  <c r="AM22" i="4"/>
  <c r="AM24" i="4"/>
  <c r="AM30" i="4"/>
  <c r="AM29" i="4"/>
  <c r="AM27" i="4"/>
  <c r="AM20" i="4"/>
  <c r="AM23" i="4"/>
  <c r="AM12" i="4"/>
  <c r="AM19" i="4"/>
  <c r="AM18" i="4"/>
  <c r="AM33" i="4"/>
  <c r="AM17" i="4"/>
  <c r="AM11" i="4"/>
  <c r="BT10" i="5"/>
  <c r="BT51" i="5" s="1"/>
  <c r="BW11" i="5"/>
  <c r="N39" i="16"/>
  <c r="N23" i="16"/>
  <c r="N35" i="16" s="1"/>
  <c r="N37" i="16"/>
  <c r="N38" i="16"/>
  <c r="AM15" i="37"/>
  <c r="AN9" i="37"/>
  <c r="AM13" i="37"/>
  <c r="AM9" i="37"/>
  <c r="AM16" i="37"/>
  <c r="AM32" i="37"/>
  <c r="AM14" i="37"/>
  <c r="AM31" i="37"/>
  <c r="AM34" i="37"/>
  <c r="AL52" i="37"/>
  <c r="AM19" i="37"/>
  <c r="AM29" i="37"/>
  <c r="AM22" i="37"/>
  <c r="AM24" i="37"/>
  <c r="AM33" i="37"/>
  <c r="AM27" i="37"/>
  <c r="AM21" i="37"/>
  <c r="AM28" i="37"/>
  <c r="AM20" i="37"/>
  <c r="AM23" i="37"/>
  <c r="AM25" i="37"/>
  <c r="AM26" i="37"/>
  <c r="AM30" i="37"/>
  <c r="AM12" i="37"/>
  <c r="AM18" i="37"/>
  <c r="AM11" i="37"/>
  <c r="AM17" i="37"/>
  <c r="V23" i="151" l="1"/>
  <c r="V10" i="151" s="1"/>
  <c r="V9" i="151" s="1"/>
  <c r="T36" i="151"/>
  <c r="T39" i="151"/>
  <c r="T34" i="151"/>
  <c r="T29" i="151"/>
  <c r="V87" i="152"/>
  <c r="R40" i="151"/>
  <c r="T26" i="151"/>
  <c r="Q31" i="152"/>
  <c r="T31" i="152" s="1"/>
  <c r="Q31" i="153"/>
  <c r="T31" i="153" s="1"/>
  <c r="N53" i="153"/>
  <c r="N53" i="152"/>
  <c r="L53" i="152" s="1"/>
  <c r="T31" i="151"/>
  <c r="P87" i="152"/>
  <c r="N49" i="152"/>
  <c r="N49" i="153"/>
  <c r="T32" i="151"/>
  <c r="T35" i="151"/>
  <c r="M86" i="153"/>
  <c r="M79" i="153" s="1"/>
  <c r="T33" i="151"/>
  <c r="N56" i="152"/>
  <c r="L56" i="152" s="1"/>
  <c r="N56" i="153"/>
  <c r="T24" i="151"/>
  <c r="R23" i="151"/>
  <c r="T30" i="151"/>
  <c r="O32" i="19"/>
  <c r="O14" i="19"/>
  <c r="R29" i="44"/>
  <c r="N33" i="19"/>
  <c r="P8" i="19"/>
  <c r="N15" i="19"/>
  <c r="R32" i="44"/>
  <c r="R33" i="44"/>
  <c r="Z23" i="16"/>
  <c r="Z39" i="16"/>
  <c r="P90" i="45"/>
  <c r="P91" i="45" s="1"/>
  <c r="Z56" i="44"/>
  <c r="Z11" i="44" s="1"/>
  <c r="BT88" i="3"/>
  <c r="BT89" i="3" s="1"/>
  <c r="BT90" i="41"/>
  <c r="BT91" i="41" s="1"/>
  <c r="BT9" i="5"/>
  <c r="BU10" i="5" s="1"/>
  <c r="V22" i="44"/>
  <c r="N49" i="46"/>
  <c r="N49" i="45"/>
  <c r="L49" i="45" s="1"/>
  <c r="R23" i="44"/>
  <c r="F47" i="154" s="1"/>
  <c r="R34" i="44"/>
  <c r="O33" i="19"/>
  <c r="O15" i="19"/>
  <c r="P87" i="45"/>
  <c r="L32" i="19"/>
  <c r="L14" i="19"/>
  <c r="H29" i="138"/>
  <c r="E27" i="138"/>
  <c r="R35" i="44"/>
  <c r="T39" i="44"/>
  <c r="N7" i="19"/>
  <c r="M32" i="19"/>
  <c r="M14" i="19"/>
  <c r="R30" i="44"/>
  <c r="Q31" i="45"/>
  <c r="Q31" i="46"/>
  <c r="AH82" i="43"/>
  <c r="AH73" i="43"/>
  <c r="AF71" i="43"/>
  <c r="M86" i="46"/>
  <c r="M79" i="46" s="1"/>
  <c r="R28" i="44"/>
  <c r="N56" i="46"/>
  <c r="N56" i="45"/>
  <c r="L56" i="45" s="1"/>
  <c r="R38" i="44"/>
  <c r="F54" i="154" s="1"/>
  <c r="N90" i="46"/>
  <c r="L90" i="46" s="1"/>
  <c r="L53" i="46"/>
  <c r="AD25" i="16"/>
  <c r="AC25" i="16"/>
  <c r="AB24" i="16"/>
  <c r="AB38" i="16" s="1"/>
  <c r="R25" i="44"/>
  <c r="M71" i="46"/>
  <c r="R31" i="44"/>
  <c r="P39" i="16"/>
  <c r="P37" i="16"/>
  <c r="P23" i="16"/>
  <c r="AE24" i="16"/>
  <c r="P38" i="16"/>
  <c r="X23" i="16"/>
  <c r="X39" i="16"/>
  <c r="Z39" i="44" l="1"/>
  <c r="AE39" i="44" s="1"/>
  <c r="Z79" i="44"/>
  <c r="Z65" i="44" s="1"/>
  <c r="AH81" i="43"/>
  <c r="T10" i="153"/>
  <c r="T8" i="153"/>
  <c r="R8" i="153" s="1"/>
  <c r="R31" i="153"/>
  <c r="T10" i="152"/>
  <c r="T8" i="152"/>
  <c r="R8" i="152" s="1"/>
  <c r="R31" i="152"/>
  <c r="T40" i="151"/>
  <c r="AH82" i="150"/>
  <c r="AH73" i="150"/>
  <c r="N92" i="153"/>
  <c r="L92" i="153" s="1"/>
  <c r="L56" i="153"/>
  <c r="N87" i="153"/>
  <c r="L49" i="153"/>
  <c r="N90" i="153"/>
  <c r="L90" i="153" s="1"/>
  <c r="L53" i="153"/>
  <c r="L49" i="152"/>
  <c r="Q10" i="153"/>
  <c r="Q8" i="153"/>
  <c r="O31" i="153"/>
  <c r="T23" i="151"/>
  <c r="R10" i="151"/>
  <c r="Q10" i="152"/>
  <c r="Q8" i="152"/>
  <c r="O31" i="152"/>
  <c r="N47" i="152"/>
  <c r="N47" i="153"/>
  <c r="V9" i="44"/>
  <c r="V8" i="44" s="1"/>
  <c r="N47" i="45"/>
  <c r="AR22" i="44"/>
  <c r="N47" i="46"/>
  <c r="P35" i="16"/>
  <c r="AE23" i="16"/>
  <c r="T38" i="44"/>
  <c r="T30" i="44"/>
  <c r="T34" i="44"/>
  <c r="AC71" i="43"/>
  <c r="AF82" i="43"/>
  <c r="AF73" i="43"/>
  <c r="T23" i="44"/>
  <c r="R22" i="44"/>
  <c r="F45" i="154" s="1"/>
  <c r="T32" i="44"/>
  <c r="P7" i="19"/>
  <c r="N32" i="19"/>
  <c r="N14" i="19"/>
  <c r="P33" i="19"/>
  <c r="P15" i="19"/>
  <c r="T25" i="44"/>
  <c r="AB23" i="16"/>
  <c r="AD23" i="16" s="1"/>
  <c r="AD24" i="16"/>
  <c r="AC24" i="16"/>
  <c r="AB39" i="16"/>
  <c r="N92" i="46"/>
  <c r="L92" i="46" s="1"/>
  <c r="L56" i="46"/>
  <c r="Z24" i="44"/>
  <c r="Z25" i="151" s="1"/>
  <c r="AE25" i="151" s="1"/>
  <c r="Z27" i="44"/>
  <c r="Z28" i="151" s="1"/>
  <c r="AE28" i="151" s="1"/>
  <c r="Z29" i="44"/>
  <c r="Z30" i="151" s="1"/>
  <c r="AE30" i="151" s="1"/>
  <c r="Z25" i="44"/>
  <c r="Z26" i="151" s="1"/>
  <c r="AE26" i="151" s="1"/>
  <c r="Z23" i="44"/>
  <c r="Z24" i="151" s="1"/>
  <c r="AE24" i="151" s="1"/>
  <c r="Z12" i="151"/>
  <c r="AE12" i="151" s="1"/>
  <c r="Z33" i="44"/>
  <c r="Z34" i="151" s="1"/>
  <c r="AE34" i="151" s="1"/>
  <c r="Z35" i="44"/>
  <c r="Z36" i="151" s="1"/>
  <c r="AE36" i="151" s="1"/>
  <c r="Z28" i="44"/>
  <c r="Z29" i="151" s="1"/>
  <c r="AE29" i="151" s="1"/>
  <c r="Z30" i="44"/>
  <c r="Z31" i="151" s="1"/>
  <c r="AE31" i="151" s="1"/>
  <c r="Z34" i="44"/>
  <c r="Z35" i="151" s="1"/>
  <c r="AE35" i="151" s="1"/>
  <c r="Z32" i="44"/>
  <c r="Z33" i="151" s="1"/>
  <c r="AE33" i="151" s="1"/>
  <c r="Z38" i="44"/>
  <c r="Z39" i="151" s="1"/>
  <c r="AE39" i="151" s="1"/>
  <c r="Z31" i="44"/>
  <c r="Z32" i="151" s="1"/>
  <c r="AE32" i="151" s="1"/>
  <c r="T31" i="44"/>
  <c r="Q10" i="46"/>
  <c r="Q8" i="46"/>
  <c r="O31" i="46"/>
  <c r="N87" i="46"/>
  <c r="L49" i="46"/>
  <c r="Q10" i="45"/>
  <c r="O31" i="45"/>
  <c r="Q8" i="45"/>
  <c r="T28" i="44"/>
  <c r="T35" i="44"/>
  <c r="T29" i="44"/>
  <c r="BU38" i="5"/>
  <c r="BU42" i="5"/>
  <c r="BU37" i="5"/>
  <c r="BU45" i="5"/>
  <c r="BU40" i="5"/>
  <c r="BU13" i="5"/>
  <c r="BU41" i="5"/>
  <c r="BU15" i="5"/>
  <c r="BU36" i="5"/>
  <c r="BU31" i="5"/>
  <c r="BU43" i="5"/>
  <c r="BU44" i="5"/>
  <c r="BU32" i="5"/>
  <c r="BU16" i="5"/>
  <c r="BU9" i="5"/>
  <c r="BU14" i="5"/>
  <c r="BU35" i="5"/>
  <c r="BU39" i="5"/>
  <c r="BT95" i="41"/>
  <c r="BU34" i="5"/>
  <c r="BT93" i="3"/>
  <c r="BU26" i="5"/>
  <c r="BU25" i="5"/>
  <c r="BU18" i="5"/>
  <c r="BU12" i="5"/>
  <c r="BU24" i="5"/>
  <c r="BU27" i="5"/>
  <c r="BU29" i="5"/>
  <c r="BU21" i="5"/>
  <c r="BU30" i="5"/>
  <c r="BU33" i="5"/>
  <c r="BU22" i="5"/>
  <c r="BU19" i="5"/>
  <c r="BU20" i="5"/>
  <c r="BU23" i="5"/>
  <c r="BU28" i="5"/>
  <c r="BU11" i="5"/>
  <c r="BU17" i="5"/>
  <c r="T33" i="44"/>
  <c r="Z40" i="151" l="1"/>
  <c r="P53" i="45"/>
  <c r="P53" i="46"/>
  <c r="AJ39" i="44"/>
  <c r="S53" i="46"/>
  <c r="AS71" i="43"/>
  <c r="S53" i="45"/>
  <c r="AM71" i="43"/>
  <c r="F49" i="154"/>
  <c r="T11" i="152"/>
  <c r="R11" i="152" s="1"/>
  <c r="R10" i="152"/>
  <c r="AH81" i="150"/>
  <c r="T11" i="153"/>
  <c r="R11" i="153" s="1"/>
  <c r="R10" i="153"/>
  <c r="AC73" i="43"/>
  <c r="AC71" i="150"/>
  <c r="G29" i="154"/>
  <c r="Z23" i="151"/>
  <c r="Z11" i="151"/>
  <c r="P56" i="153"/>
  <c r="S56" i="153" s="1"/>
  <c r="P56" i="152"/>
  <c r="S56" i="152" s="1"/>
  <c r="P49" i="153"/>
  <c r="S49" i="153" s="1"/>
  <c r="P49" i="152"/>
  <c r="S49" i="152" s="1"/>
  <c r="AJ34" i="151"/>
  <c r="R9" i="151"/>
  <c r="T10" i="151"/>
  <c r="AJ29" i="151"/>
  <c r="AJ24" i="151"/>
  <c r="AE23" i="151"/>
  <c r="AE11" i="151"/>
  <c r="AJ12" i="151"/>
  <c r="AJ32" i="151"/>
  <c r="O8" i="152"/>
  <c r="AJ25" i="151"/>
  <c r="AJ30" i="151"/>
  <c r="AJ39" i="151"/>
  <c r="N51" i="153"/>
  <c r="N34" i="153"/>
  <c r="L47" i="153"/>
  <c r="Q11" i="152"/>
  <c r="Q86" i="152" s="1"/>
  <c r="O10" i="152"/>
  <c r="P50" i="152"/>
  <c r="P50" i="153"/>
  <c r="S50" i="153" s="1"/>
  <c r="R50" i="153" s="1"/>
  <c r="AF81" i="43"/>
  <c r="N34" i="152"/>
  <c r="L47" i="152"/>
  <c r="O8" i="153"/>
  <c r="AF82" i="150"/>
  <c r="AF73" i="150"/>
  <c r="BE73" i="150" s="1"/>
  <c r="AE40" i="151"/>
  <c r="AJ33" i="151"/>
  <c r="Q11" i="153"/>
  <c r="O11" i="153" s="1"/>
  <c r="O10" i="153"/>
  <c r="L87" i="153"/>
  <c r="P53" i="153"/>
  <c r="S53" i="153" s="1"/>
  <c r="P53" i="152"/>
  <c r="S53" i="152" s="1"/>
  <c r="AJ31" i="151"/>
  <c r="AJ35" i="151"/>
  <c r="AJ36" i="151"/>
  <c r="P36" i="153"/>
  <c r="S36" i="153" s="1"/>
  <c r="P36" i="152"/>
  <c r="S36" i="152" s="1"/>
  <c r="AJ28" i="151"/>
  <c r="N51" i="152"/>
  <c r="L51" i="152" s="1"/>
  <c r="AJ26" i="151"/>
  <c r="P90" i="46"/>
  <c r="Z10" i="44"/>
  <c r="P36" i="46"/>
  <c r="P36" i="45"/>
  <c r="P56" i="45"/>
  <c r="P56" i="46"/>
  <c r="P49" i="45"/>
  <c r="P49" i="46"/>
  <c r="Z22" i="44"/>
  <c r="N51" i="45"/>
  <c r="L51" i="45" s="1"/>
  <c r="N34" i="45"/>
  <c r="L47" i="45"/>
  <c r="O8" i="45"/>
  <c r="Q11" i="46"/>
  <c r="O11" i="46" s="1"/>
  <c r="O10" i="46"/>
  <c r="P50" i="46"/>
  <c r="P50" i="45"/>
  <c r="O50" i="45" s="1"/>
  <c r="L87" i="46"/>
  <c r="P32" i="19"/>
  <c r="P14" i="19"/>
  <c r="AC23" i="16"/>
  <c r="Q11" i="45"/>
  <c r="O10" i="45"/>
  <c r="O8" i="46"/>
  <c r="N51" i="46"/>
  <c r="N34" i="46"/>
  <c r="L47" i="46"/>
  <c r="T22" i="44"/>
  <c r="R9" i="44"/>
  <c r="F32" i="154" s="1"/>
  <c r="S90" i="46" l="1"/>
  <c r="AM73" i="43"/>
  <c r="S31" i="45"/>
  <c r="S31" i="46"/>
  <c r="V31" i="45"/>
  <c r="V31" i="46"/>
  <c r="AS73" i="43"/>
  <c r="V53" i="46"/>
  <c r="V90" i="46" s="1"/>
  <c r="AY71" i="43"/>
  <c r="AO39" i="44"/>
  <c r="V53" i="45"/>
  <c r="Z10" i="151"/>
  <c r="Z9" i="151" s="1"/>
  <c r="P32" i="154"/>
  <c r="F31" i="154"/>
  <c r="AC73" i="150"/>
  <c r="BC73" i="150" s="1"/>
  <c r="BC71" i="150"/>
  <c r="O50" i="152"/>
  <c r="S50" i="152"/>
  <c r="R50" i="152" s="1"/>
  <c r="H29" i="154"/>
  <c r="H12" i="154" s="1"/>
  <c r="G12" i="154"/>
  <c r="G11" i="154" s="1"/>
  <c r="AF81" i="150"/>
  <c r="AJ23" i="151"/>
  <c r="AO28" i="151"/>
  <c r="N33" i="153"/>
  <c r="L34" i="153"/>
  <c r="N33" i="152"/>
  <c r="L34" i="152"/>
  <c r="N89" i="153"/>
  <c r="L51" i="153"/>
  <c r="AO24" i="151"/>
  <c r="P81" i="153"/>
  <c r="V81" i="153"/>
  <c r="P35" i="153"/>
  <c r="P90" i="153"/>
  <c r="V90" i="153"/>
  <c r="AJ40" i="151"/>
  <c r="AO29" i="151"/>
  <c r="P47" i="152"/>
  <c r="S47" i="152" s="1"/>
  <c r="P47" i="153"/>
  <c r="S47" i="153" s="1"/>
  <c r="AO36" i="151"/>
  <c r="O50" i="153"/>
  <c r="P88" i="153"/>
  <c r="O88" i="153" s="1"/>
  <c r="V88" i="153"/>
  <c r="U88" i="153" s="1"/>
  <c r="AO39" i="151"/>
  <c r="AO32" i="151"/>
  <c r="AO30" i="151"/>
  <c r="P35" i="152"/>
  <c r="AO26" i="151"/>
  <c r="AO35" i="151"/>
  <c r="AO12" i="151"/>
  <c r="AJ11" i="151"/>
  <c r="S17" i="151"/>
  <c r="T9" i="151"/>
  <c r="S37" i="151"/>
  <c r="S15" i="151"/>
  <c r="S9" i="151"/>
  <c r="S38" i="151"/>
  <c r="S18" i="151"/>
  <c r="S13" i="151"/>
  <c r="S25" i="151"/>
  <c r="S28" i="151"/>
  <c r="S12" i="151"/>
  <c r="S11" i="151"/>
  <c r="S29" i="151"/>
  <c r="S26" i="151"/>
  <c r="S31" i="151"/>
  <c r="S34" i="151"/>
  <c r="S36" i="151"/>
  <c r="S30" i="151"/>
  <c r="S33" i="151"/>
  <c r="S35" i="151"/>
  <c r="S39" i="151"/>
  <c r="S32" i="151"/>
  <c r="S24" i="151"/>
  <c r="S40" i="151"/>
  <c r="S23" i="151"/>
  <c r="P87" i="153"/>
  <c r="V87" i="153"/>
  <c r="W86" i="152"/>
  <c r="Q89" i="152"/>
  <c r="Q90" i="152" s="1"/>
  <c r="Q91" i="152" s="1"/>
  <c r="W89" i="152"/>
  <c r="W90" i="152" s="1"/>
  <c r="W91" i="152" s="1"/>
  <c r="O11" i="152"/>
  <c r="AO25" i="151"/>
  <c r="AE10" i="151"/>
  <c r="AE9" i="151" s="1"/>
  <c r="S10" i="151"/>
  <c r="AO31" i="151"/>
  <c r="AO33" i="151"/>
  <c r="AO34" i="151"/>
  <c r="P92" i="153"/>
  <c r="V92" i="153"/>
  <c r="P35" i="46"/>
  <c r="P81" i="46"/>
  <c r="T9" i="44"/>
  <c r="R8" i="44"/>
  <c r="S9" i="44" s="1"/>
  <c r="P92" i="46"/>
  <c r="Z9" i="44"/>
  <c r="Z8" i="44" s="1"/>
  <c r="P35" i="45"/>
  <c r="O50" i="46"/>
  <c r="P88" i="46"/>
  <c r="O88" i="46" s="1"/>
  <c r="P47" i="46"/>
  <c r="P47" i="45"/>
  <c r="N33" i="46"/>
  <c r="L34" i="46"/>
  <c r="L5" i="46" s="1"/>
  <c r="N33" i="45"/>
  <c r="N108" i="45" s="1"/>
  <c r="N109" i="45" s="1"/>
  <c r="L34" i="45"/>
  <c r="N89" i="46"/>
  <c r="L51" i="46"/>
  <c r="Q89" i="45"/>
  <c r="AA57" i="151" s="1"/>
  <c r="Q86" i="45"/>
  <c r="O11" i="45"/>
  <c r="P87" i="46"/>
  <c r="P34" i="45" l="1"/>
  <c r="P33" i="45" s="1"/>
  <c r="P108" i="45" s="1"/>
  <c r="Y31" i="45"/>
  <c r="Y31" i="46"/>
  <c r="AY73" i="43"/>
  <c r="V10" i="46"/>
  <c r="V11" i="46" s="1"/>
  <c r="V8" i="46"/>
  <c r="V10" i="45"/>
  <c r="V11" i="45" s="1"/>
  <c r="V8" i="45"/>
  <c r="S10" i="46"/>
  <c r="S11" i="46" s="1"/>
  <c r="S8" i="46"/>
  <c r="S10" i="45"/>
  <c r="S11" i="45" s="1"/>
  <c r="S89" i="45" s="1"/>
  <c r="S90" i="45" s="1"/>
  <c r="S91" i="45" s="1"/>
  <c r="S8" i="45"/>
  <c r="Y53" i="45"/>
  <c r="Y53" i="46"/>
  <c r="Y90" i="46" s="1"/>
  <c r="H11" i="154"/>
  <c r="P34" i="152"/>
  <c r="S34" i="152" s="1"/>
  <c r="S35" i="152"/>
  <c r="P34" i="153"/>
  <c r="S34" i="153" s="1"/>
  <c r="S35" i="153"/>
  <c r="AJ10" i="151"/>
  <c r="AJ9" i="151" s="1"/>
  <c r="O89" i="152"/>
  <c r="O90" i="152" s="1"/>
  <c r="O91" i="152" s="1"/>
  <c r="U89" i="152"/>
  <c r="U90" i="152" s="1"/>
  <c r="U91" i="152" s="1"/>
  <c r="V80" i="153"/>
  <c r="N71" i="152"/>
  <c r="L71" i="152" s="1"/>
  <c r="L33" i="152"/>
  <c r="Q87" i="152"/>
  <c r="O86" i="152"/>
  <c r="O87" i="152" s="1"/>
  <c r="AO11" i="151"/>
  <c r="AO40" i="151"/>
  <c r="P80" i="153"/>
  <c r="W87" i="152"/>
  <c r="U86" i="152"/>
  <c r="U87" i="152" s="1"/>
  <c r="P51" i="153"/>
  <c r="S51" i="153" s="1"/>
  <c r="N71" i="153"/>
  <c r="L71" i="153" s="1"/>
  <c r="L33" i="153"/>
  <c r="P51" i="152"/>
  <c r="S51" i="152" s="1"/>
  <c r="AO23" i="151"/>
  <c r="L89" i="153"/>
  <c r="L86" i="153" s="1"/>
  <c r="L79" i="153" s="1"/>
  <c r="N86" i="153"/>
  <c r="N79" i="153" s="1"/>
  <c r="P34" i="46"/>
  <c r="P33" i="46" s="1"/>
  <c r="Q90" i="45"/>
  <c r="Q91" i="45" s="1"/>
  <c r="AA56" i="44"/>
  <c r="AA11" i="44" s="1"/>
  <c r="N71" i="45"/>
  <c r="L71" i="45" s="1"/>
  <c r="L33" i="45"/>
  <c r="P51" i="46"/>
  <c r="S17" i="44"/>
  <c r="N118" i="13" s="1"/>
  <c r="S12" i="44"/>
  <c r="S16" i="44"/>
  <c r="S36" i="44"/>
  <c r="S37" i="44"/>
  <c r="T8" i="44"/>
  <c r="S14" i="44"/>
  <c r="S8" i="44"/>
  <c r="S24" i="44"/>
  <c r="S11" i="44"/>
  <c r="S27" i="44"/>
  <c r="S10" i="44"/>
  <c r="S39" i="44"/>
  <c r="S30" i="44"/>
  <c r="S31" i="44"/>
  <c r="S25" i="44"/>
  <c r="S29" i="44"/>
  <c r="S33" i="44"/>
  <c r="S34" i="44"/>
  <c r="S32" i="44"/>
  <c r="S23" i="44"/>
  <c r="S35" i="44"/>
  <c r="S28" i="44"/>
  <c r="S38" i="44"/>
  <c r="S22" i="44"/>
  <c r="L89" i="46"/>
  <c r="L86" i="46" s="1"/>
  <c r="L79" i="46" s="1"/>
  <c r="N86" i="46"/>
  <c r="N79" i="46" s="1"/>
  <c r="P51" i="45"/>
  <c r="O89" i="45"/>
  <c r="O90" i="45" s="1"/>
  <c r="O91" i="45" s="1"/>
  <c r="P80" i="46"/>
  <c r="Q87" i="45"/>
  <c r="O86" i="45"/>
  <c r="O87" i="45" s="1"/>
  <c r="N71" i="46"/>
  <c r="L71" i="46" s="1"/>
  <c r="L33" i="46"/>
  <c r="N118" i="162" l="1"/>
  <c r="N10" i="162" s="1"/>
  <c r="S86" i="45"/>
  <c r="S87" i="45" s="1"/>
  <c r="V86" i="45"/>
  <c r="V87" i="45" s="1"/>
  <c r="V89" i="45"/>
  <c r="V90" i="45" s="1"/>
  <c r="V91" i="45" s="1"/>
  <c r="AJ56" i="44" s="1"/>
  <c r="Y10" i="46"/>
  <c r="Y11" i="46" s="1"/>
  <c r="Y8" i="46"/>
  <c r="Y10" i="45"/>
  <c r="Y11" i="45" s="1"/>
  <c r="Y8" i="45"/>
  <c r="AA79" i="44"/>
  <c r="AA65" i="44" s="1"/>
  <c r="AA10" i="44"/>
  <c r="Q36" i="46"/>
  <c r="Q36" i="153"/>
  <c r="AA12" i="151"/>
  <c r="Q36" i="45"/>
  <c r="Q36" i="152"/>
  <c r="W11" i="44"/>
  <c r="AA39" i="44"/>
  <c r="AF39" i="44" s="1"/>
  <c r="AE56" i="44"/>
  <c r="AE11" i="44" s="1"/>
  <c r="AE57" i="44"/>
  <c r="P33" i="152"/>
  <c r="S33" i="152" s="1"/>
  <c r="P33" i="153"/>
  <c r="S33" i="153" s="1"/>
  <c r="AO10" i="151"/>
  <c r="AO9" i="151" s="1"/>
  <c r="P89" i="153"/>
  <c r="V89" i="153"/>
  <c r="AA24" i="44"/>
  <c r="AA25" i="151" s="1"/>
  <c r="AF25" i="151" s="1"/>
  <c r="AA27" i="44"/>
  <c r="AA28" i="151" s="1"/>
  <c r="AF28" i="151" s="1"/>
  <c r="AA34" i="44"/>
  <c r="AA35" i="151" s="1"/>
  <c r="AF35" i="151" s="1"/>
  <c r="AA33" i="44"/>
  <c r="AA34" i="151" s="1"/>
  <c r="AF34" i="151" s="1"/>
  <c r="AA30" i="44"/>
  <c r="AA31" i="151" s="1"/>
  <c r="AF31" i="151" s="1"/>
  <c r="AA29" i="44"/>
  <c r="AA30" i="151" s="1"/>
  <c r="W30" i="151" s="1"/>
  <c r="AR30" i="151" s="1"/>
  <c r="AA23" i="44"/>
  <c r="AA24" i="151" s="1"/>
  <c r="AF24" i="151" s="1"/>
  <c r="AA32" i="44"/>
  <c r="AA33" i="151" s="1"/>
  <c r="W33" i="151" s="1"/>
  <c r="AR33" i="151" s="1"/>
  <c r="AA25" i="44"/>
  <c r="AA26" i="151" s="1"/>
  <c r="AF26" i="151" s="1"/>
  <c r="AA35" i="44"/>
  <c r="AA36" i="151" s="1"/>
  <c r="AF36" i="151" s="1"/>
  <c r="AA28" i="44"/>
  <c r="AA29" i="151" s="1"/>
  <c r="AF29" i="151" s="1"/>
  <c r="AA31" i="44"/>
  <c r="AA32" i="151" s="1"/>
  <c r="AF32" i="151" s="1"/>
  <c r="AA38" i="44"/>
  <c r="AA39" i="151" s="1"/>
  <c r="W39" i="151" s="1"/>
  <c r="AR39" i="151" s="1"/>
  <c r="P71" i="46"/>
  <c r="P89" i="46"/>
  <c r="N118" i="60"/>
  <c r="N10" i="60" s="1"/>
  <c r="N10" i="13"/>
  <c r="W39" i="44" l="1"/>
  <c r="G50" i="154" s="1"/>
  <c r="S36" i="46"/>
  <c r="AJ11" i="44"/>
  <c r="AE79" i="44"/>
  <c r="AE65" i="44" s="1"/>
  <c r="AB17" i="44" s="1"/>
  <c r="AD17" i="44" s="1"/>
  <c r="Y89" i="45"/>
  <c r="Y90" i="45" s="1"/>
  <c r="Y91" i="45" s="1"/>
  <c r="AO56" i="44" s="1"/>
  <c r="Y86" i="45"/>
  <c r="Y87" i="45" s="1"/>
  <c r="Q53" i="45"/>
  <c r="O53" i="45" s="1"/>
  <c r="Q53" i="46"/>
  <c r="T36" i="152"/>
  <c r="R36" i="152" s="1"/>
  <c r="Q35" i="152"/>
  <c r="T35" i="152" s="1"/>
  <c r="R35" i="152" s="1"/>
  <c r="O36" i="152"/>
  <c r="O35" i="152" s="1"/>
  <c r="Q35" i="45"/>
  <c r="O36" i="45"/>
  <c r="O35" i="45" s="1"/>
  <c r="W81" i="153"/>
  <c r="T36" i="153"/>
  <c r="R36" i="153" s="1"/>
  <c r="Q35" i="153"/>
  <c r="T35" i="153" s="1"/>
  <c r="R35" i="153" s="1"/>
  <c r="Q81" i="153"/>
  <c r="O36" i="153"/>
  <c r="O35" i="153" s="1"/>
  <c r="T53" i="46"/>
  <c r="R53" i="46" s="1"/>
  <c r="AK39" i="44"/>
  <c r="AP39" i="44" s="1"/>
  <c r="AT71" i="43"/>
  <c r="T53" i="45"/>
  <c r="R53" i="45" s="1"/>
  <c r="Q81" i="46"/>
  <c r="Q35" i="46"/>
  <c r="O36" i="46"/>
  <c r="O35" i="46" s="1"/>
  <c r="AN71" i="43"/>
  <c r="AA11" i="151"/>
  <c r="AF12" i="151"/>
  <c r="W12" i="151"/>
  <c r="AA40" i="151"/>
  <c r="AF40" i="151" s="1"/>
  <c r="Y11" i="44"/>
  <c r="G34" i="154"/>
  <c r="W10" i="44"/>
  <c r="AE38" i="44"/>
  <c r="AE23" i="44"/>
  <c r="AE34" i="44"/>
  <c r="AJ34" i="44" s="1"/>
  <c r="AE32" i="44"/>
  <c r="AJ32" i="44" s="1"/>
  <c r="AE26" i="44"/>
  <c r="AE30" i="44"/>
  <c r="AJ30" i="44" s="1"/>
  <c r="AE29" i="44"/>
  <c r="AJ29" i="44" s="1"/>
  <c r="AO29" i="44" s="1"/>
  <c r="AE31" i="44"/>
  <c r="AE28" i="44"/>
  <c r="AJ28" i="44" s="1"/>
  <c r="AE27" i="44"/>
  <c r="AJ27" i="44" s="1"/>
  <c r="AE25" i="44"/>
  <c r="AJ25" i="44" s="1"/>
  <c r="AE33" i="44"/>
  <c r="AJ33" i="44" s="1"/>
  <c r="AE35" i="44"/>
  <c r="AJ35" i="44" s="1"/>
  <c r="AE24" i="44"/>
  <c r="S50" i="46" s="1"/>
  <c r="AF30" i="151"/>
  <c r="AB30" i="151" s="1"/>
  <c r="P71" i="152"/>
  <c r="S71" i="152" s="1"/>
  <c r="H50" i="154"/>
  <c r="M50" i="154"/>
  <c r="AF33" i="151"/>
  <c r="W34" i="151"/>
  <c r="AR34" i="151" s="1"/>
  <c r="W28" i="151"/>
  <c r="AR28" i="151" s="1"/>
  <c r="W24" i="151"/>
  <c r="AR24" i="151" s="1"/>
  <c r="P71" i="153"/>
  <c r="S71" i="153" s="1"/>
  <c r="W36" i="151"/>
  <c r="AR36" i="151" s="1"/>
  <c r="AA23" i="151"/>
  <c r="W31" i="151"/>
  <c r="AR31" i="151" s="1"/>
  <c r="W29" i="151"/>
  <c r="AF39" i="151"/>
  <c r="AK39" i="151" s="1"/>
  <c r="W26" i="151"/>
  <c r="W25" i="151"/>
  <c r="AR25" i="151" s="1"/>
  <c r="W32" i="151"/>
  <c r="W35" i="151"/>
  <c r="AK31" i="151"/>
  <c r="AB31" i="151"/>
  <c r="Y33" i="151"/>
  <c r="AK29" i="151"/>
  <c r="AB29" i="151"/>
  <c r="AK36" i="151"/>
  <c r="AB36" i="151"/>
  <c r="AK25" i="151"/>
  <c r="AB25" i="151"/>
  <c r="Q49" i="153"/>
  <c r="T49" i="153" s="1"/>
  <c r="R49" i="153" s="1"/>
  <c r="Q49" i="152"/>
  <c r="Y30" i="151"/>
  <c r="Q53" i="153"/>
  <c r="T53" i="153" s="1"/>
  <c r="R53" i="153" s="1"/>
  <c r="Q53" i="152"/>
  <c r="AK35" i="151"/>
  <c r="AB35" i="151"/>
  <c r="AK24" i="151"/>
  <c r="AB24" i="151"/>
  <c r="AK32" i="151"/>
  <c r="AB32" i="151"/>
  <c r="P86" i="153"/>
  <c r="P79" i="153" s="1"/>
  <c r="AK28" i="151"/>
  <c r="AB28" i="151"/>
  <c r="AK34" i="151"/>
  <c r="AB34" i="151"/>
  <c r="Y39" i="151"/>
  <c r="V86" i="153"/>
  <c r="V79" i="153" s="1"/>
  <c r="Q56" i="153"/>
  <c r="T56" i="153" s="1"/>
  <c r="R56" i="153" s="1"/>
  <c r="Q56" i="152"/>
  <c r="AK26" i="151"/>
  <c r="AB26" i="151"/>
  <c r="P71" i="45"/>
  <c r="Q49" i="46"/>
  <c r="AA22" i="44"/>
  <c r="Q49" i="45"/>
  <c r="O49" i="45" s="1"/>
  <c r="W23" i="44"/>
  <c r="G47" i="154" s="1"/>
  <c r="AB39" i="44"/>
  <c r="W27" i="44"/>
  <c r="W24" i="44"/>
  <c r="G48" i="154" s="1"/>
  <c r="M48" i="154" s="1"/>
  <c r="W32" i="44"/>
  <c r="Q56" i="46"/>
  <c r="Q56" i="45"/>
  <c r="O56" i="45" s="1"/>
  <c r="W38" i="44"/>
  <c r="G54" i="154" s="1"/>
  <c r="W30" i="44"/>
  <c r="W33" i="44"/>
  <c r="W35" i="44"/>
  <c r="W25" i="44"/>
  <c r="P86" i="46"/>
  <c r="P79" i="46" s="1"/>
  <c r="W29" i="44"/>
  <c r="W31" i="44"/>
  <c r="Y39" i="44"/>
  <c r="W28" i="44"/>
  <c r="W34" i="44"/>
  <c r="W40" i="151" l="1"/>
  <c r="AR40" i="151" s="1"/>
  <c r="AO33" i="44"/>
  <c r="AO32" i="44"/>
  <c r="AO30" i="44"/>
  <c r="AO35" i="44"/>
  <c r="AO25" i="44"/>
  <c r="AO27" i="44"/>
  <c r="AO34" i="44"/>
  <c r="T90" i="46"/>
  <c r="R90" i="46" s="1"/>
  <c r="AK30" i="151"/>
  <c r="AG30" i="151" s="1"/>
  <c r="AJ31" i="44"/>
  <c r="AO31" i="44" s="1"/>
  <c r="R50" i="46"/>
  <c r="S88" i="46"/>
  <c r="R88" i="46" s="1"/>
  <c r="Q90" i="46"/>
  <c r="O90" i="46" s="1"/>
  <c r="AJ79" i="44"/>
  <c r="AJ65" i="44" s="1"/>
  <c r="AG17" i="44" s="1"/>
  <c r="AI17" i="44" s="1"/>
  <c r="AO11" i="44"/>
  <c r="V36" i="46"/>
  <c r="O53" i="46"/>
  <c r="S49" i="46"/>
  <c r="S87" i="46" s="1"/>
  <c r="AJ23" i="44"/>
  <c r="S35" i="46"/>
  <c r="S81" i="46"/>
  <c r="S80" i="46" s="1"/>
  <c r="AO28" i="44"/>
  <c r="S56" i="46"/>
  <c r="S92" i="46" s="1"/>
  <c r="AJ38" i="44"/>
  <c r="Q80" i="46"/>
  <c r="O81" i="46"/>
  <c r="O80" i="46" s="1"/>
  <c r="Y12" i="151"/>
  <c r="AR12" i="151"/>
  <c r="W11" i="151"/>
  <c r="W80" i="153"/>
  <c r="U81" i="153"/>
  <c r="U80" i="153" s="1"/>
  <c r="AF11" i="151"/>
  <c r="AK12" i="151"/>
  <c r="AB12" i="151"/>
  <c r="W31" i="46"/>
  <c r="W31" i="45"/>
  <c r="AR71" i="43"/>
  <c r="AT73" i="43"/>
  <c r="AF23" i="151"/>
  <c r="AZ71" i="43"/>
  <c r="W53" i="46"/>
  <c r="W53" i="45"/>
  <c r="U53" i="45" s="1"/>
  <c r="AL71" i="43"/>
  <c r="T31" i="45"/>
  <c r="T31" i="46"/>
  <c r="AN73" i="43"/>
  <c r="AA10" i="151"/>
  <c r="AA9" i="151" s="1"/>
  <c r="G33" i="154"/>
  <c r="Y10" i="44"/>
  <c r="H34" i="154"/>
  <c r="M34" i="154"/>
  <c r="Q80" i="153"/>
  <c r="O81" i="153"/>
  <c r="O80" i="153" s="1"/>
  <c r="AE10" i="44"/>
  <c r="S36" i="45"/>
  <c r="V36" i="45"/>
  <c r="AJ26" i="44"/>
  <c r="S50" i="45"/>
  <c r="R50" i="45" s="1"/>
  <c r="AJ24" i="44"/>
  <c r="S49" i="45"/>
  <c r="AE22" i="44"/>
  <c r="AE62" i="44"/>
  <c r="S56" i="45"/>
  <c r="AB33" i="151"/>
  <c r="AD33" i="151" s="1"/>
  <c r="AK33" i="151"/>
  <c r="AP33" i="151" s="1"/>
  <c r="AL33" i="151" s="1"/>
  <c r="AB39" i="151"/>
  <c r="AD39" i="151" s="1"/>
  <c r="Y34" i="151"/>
  <c r="Y28" i="151"/>
  <c r="Y36" i="151"/>
  <c r="H54" i="154"/>
  <c r="M54" i="154"/>
  <c r="H47" i="154"/>
  <c r="M47" i="154"/>
  <c r="Y24" i="151"/>
  <c r="Y29" i="151"/>
  <c r="AR29" i="151"/>
  <c r="Y25" i="151"/>
  <c r="Y35" i="151"/>
  <c r="AR35" i="151"/>
  <c r="Y32" i="151"/>
  <c r="AR32" i="151"/>
  <c r="H48" i="154"/>
  <c r="Y26" i="151"/>
  <c r="AR26" i="151"/>
  <c r="Y31" i="151"/>
  <c r="W23" i="151"/>
  <c r="AR23" i="151" s="1"/>
  <c r="O49" i="152"/>
  <c r="T49" i="152"/>
  <c r="R49" i="152" s="1"/>
  <c r="O56" i="152"/>
  <c r="T56" i="152"/>
  <c r="R56" i="152" s="1"/>
  <c r="O53" i="152"/>
  <c r="T53" i="152"/>
  <c r="R53" i="152" s="1"/>
  <c r="AD30" i="151"/>
  <c r="AD34" i="151"/>
  <c r="AD29" i="151"/>
  <c r="AP34" i="151"/>
  <c r="AL34" i="151" s="1"/>
  <c r="AG34" i="151"/>
  <c r="AD32" i="151"/>
  <c r="AK23" i="151"/>
  <c r="AP24" i="151"/>
  <c r="AG24" i="151"/>
  <c r="Y40" i="151"/>
  <c r="AP29" i="151"/>
  <c r="AL29" i="151" s="1"/>
  <c r="AG29" i="151"/>
  <c r="Q47" i="152"/>
  <c r="T47" i="152" s="1"/>
  <c r="R47" i="152" s="1"/>
  <c r="Q47" i="153"/>
  <c r="T47" i="153" s="1"/>
  <c r="R47" i="153" s="1"/>
  <c r="AD26" i="151"/>
  <c r="AD28" i="151"/>
  <c r="AP32" i="151"/>
  <c r="AL32" i="151" s="1"/>
  <c r="AG32" i="151"/>
  <c r="Q90" i="153"/>
  <c r="O90" i="153" s="1"/>
  <c r="W90" i="153"/>
  <c r="U90" i="153" s="1"/>
  <c r="O53" i="153"/>
  <c r="AK40" i="151"/>
  <c r="AB40" i="151"/>
  <c r="AD25" i="151"/>
  <c r="AD24" i="151"/>
  <c r="AP26" i="151"/>
  <c r="AL26" i="151" s="1"/>
  <c r="AG26" i="151"/>
  <c r="AP28" i="151"/>
  <c r="AL28" i="151" s="1"/>
  <c r="AG28" i="151"/>
  <c r="AP25" i="151"/>
  <c r="AL25" i="151" s="1"/>
  <c r="AG25" i="151"/>
  <c r="AD35" i="151"/>
  <c r="Q87" i="153"/>
  <c r="O87" i="153" s="1"/>
  <c r="W87" i="153"/>
  <c r="O49" i="153"/>
  <c r="AD36" i="151"/>
  <c r="AD31" i="151"/>
  <c r="AP39" i="151"/>
  <c r="AL39" i="151" s="1"/>
  <c r="AG39" i="151"/>
  <c r="AP30" i="151"/>
  <c r="AL30" i="151" s="1"/>
  <c r="Q92" i="153"/>
  <c r="O92" i="153" s="1"/>
  <c r="W92" i="153"/>
  <c r="U92" i="153" s="1"/>
  <c r="O56" i="153"/>
  <c r="AP35" i="151"/>
  <c r="AL35" i="151" s="1"/>
  <c r="AG35" i="151"/>
  <c r="AP36" i="151"/>
  <c r="AL36" i="151" s="1"/>
  <c r="AG36" i="151"/>
  <c r="AP31" i="151"/>
  <c r="AL31" i="151" s="1"/>
  <c r="AG31" i="151"/>
  <c r="Q92" i="46"/>
  <c r="O92" i="46" s="1"/>
  <c r="O56" i="46"/>
  <c r="Y24" i="44"/>
  <c r="Y29" i="44"/>
  <c r="AL39" i="44"/>
  <c r="AG39" i="44"/>
  <c r="Y25" i="44"/>
  <c r="Q47" i="45"/>
  <c r="Q47" i="46"/>
  <c r="AA9" i="44"/>
  <c r="AA8" i="44" s="1"/>
  <c r="Y33" i="44"/>
  <c r="Y34" i="44"/>
  <c r="Y27" i="44"/>
  <c r="Q87" i="46"/>
  <c r="O49" i="46"/>
  <c r="W22" i="44"/>
  <c r="G45" i="154" s="1"/>
  <c r="Y23" i="44"/>
  <c r="Y35" i="44"/>
  <c r="Y38" i="44"/>
  <c r="Y32" i="44"/>
  <c r="Y30" i="44"/>
  <c r="Y31" i="44"/>
  <c r="Y28" i="44"/>
  <c r="AD39" i="44"/>
  <c r="AB23" i="151" l="1"/>
  <c r="AD23" i="151" s="1"/>
  <c r="AF10" i="151"/>
  <c r="AF9" i="151" s="1"/>
  <c r="AO38" i="44"/>
  <c r="V56" i="46"/>
  <c r="V92" i="46" s="1"/>
  <c r="V56" i="45"/>
  <c r="V35" i="46"/>
  <c r="V81" i="46"/>
  <c r="V80" i="46" s="1"/>
  <c r="AO79" i="44"/>
  <c r="AO65" i="44" s="1"/>
  <c r="AL17" i="44" s="1"/>
  <c r="AN17" i="44" s="1"/>
  <c r="Y36" i="46"/>
  <c r="Y36" i="45"/>
  <c r="Y35" i="45" s="1"/>
  <c r="AO23" i="44"/>
  <c r="V49" i="46"/>
  <c r="V87" i="46" s="1"/>
  <c r="V49" i="45"/>
  <c r="S47" i="45"/>
  <c r="S51" i="45" s="1"/>
  <c r="S47" i="46"/>
  <c r="S51" i="46" s="1"/>
  <c r="S89" i="46" s="1"/>
  <c r="S86" i="46" s="1"/>
  <c r="S79" i="46" s="1"/>
  <c r="Z31" i="45"/>
  <c r="Z31" i="46"/>
  <c r="AX71" i="43"/>
  <c r="AZ73" i="43"/>
  <c r="T10" i="46"/>
  <c r="R31" i="46"/>
  <c r="T8" i="46"/>
  <c r="T10" i="45"/>
  <c r="T8" i="45"/>
  <c r="R8" i="45" s="1"/>
  <c r="R31" i="45"/>
  <c r="AO71" i="43"/>
  <c r="AO73" i="43" s="1"/>
  <c r="AG59" i="44"/>
  <c r="AR73" i="43"/>
  <c r="AG57" i="44" s="1"/>
  <c r="AR11" i="151"/>
  <c r="Y11" i="151"/>
  <c r="AB59" i="44"/>
  <c r="AI71" i="43"/>
  <c r="AI73" i="43" s="1"/>
  <c r="AL73" i="43"/>
  <c r="AB57" i="44" s="1"/>
  <c r="W10" i="45"/>
  <c r="U31" i="45"/>
  <c r="W8" i="45"/>
  <c r="U8" i="45" s="1"/>
  <c r="W10" i="46"/>
  <c r="W8" i="46"/>
  <c r="U8" i="46" s="1"/>
  <c r="U31" i="46"/>
  <c r="W90" i="46"/>
  <c r="U90" i="46" s="1"/>
  <c r="U53" i="46"/>
  <c r="AB5" i="151"/>
  <c r="AB11" i="151"/>
  <c r="AD11" i="151" s="1"/>
  <c r="AD12" i="151"/>
  <c r="M33" i="154"/>
  <c r="H33" i="154"/>
  <c r="Z53" i="46"/>
  <c r="Z53" i="45"/>
  <c r="X53" i="45" s="1"/>
  <c r="AK11" i="151"/>
  <c r="AK10" i="151" s="1"/>
  <c r="AK9" i="151" s="1"/>
  <c r="AP12" i="151"/>
  <c r="AG12" i="151"/>
  <c r="AO24" i="44"/>
  <c r="V50" i="46"/>
  <c r="V50" i="45"/>
  <c r="V35" i="45"/>
  <c r="AO26" i="44"/>
  <c r="AJ22" i="44"/>
  <c r="AJ10" i="44"/>
  <c r="S35" i="45"/>
  <c r="AE9" i="44"/>
  <c r="AE8" i="44" s="1"/>
  <c r="AG33" i="151"/>
  <c r="AN33" i="151" s="1"/>
  <c r="W10" i="151"/>
  <c r="AR10" i="151" s="1"/>
  <c r="Y23" i="151"/>
  <c r="H45" i="154"/>
  <c r="M45" i="154"/>
  <c r="G49" i="154"/>
  <c r="AI31" i="151"/>
  <c r="AN25" i="151"/>
  <c r="AI30" i="151"/>
  <c r="AI28" i="151"/>
  <c r="AD40" i="151"/>
  <c r="AI34" i="151"/>
  <c r="AN30" i="151"/>
  <c r="AN28" i="151"/>
  <c r="AP40" i="151"/>
  <c r="AL40" i="151" s="1"/>
  <c r="AG40" i="151"/>
  <c r="AN34" i="151"/>
  <c r="AN31" i="151"/>
  <c r="AN36" i="151"/>
  <c r="AI39" i="151"/>
  <c r="U87" i="153"/>
  <c r="AI26" i="151"/>
  <c r="AI35" i="151"/>
  <c r="AN39" i="151"/>
  <c r="AN26" i="151"/>
  <c r="Q51" i="153"/>
  <c r="T51" i="153" s="1"/>
  <c r="R51" i="153" s="1"/>
  <c r="Q34" i="153"/>
  <c r="T34" i="153" s="1"/>
  <c r="R34" i="153" s="1"/>
  <c r="O47" i="153"/>
  <c r="AI24" i="151"/>
  <c r="AI36" i="151"/>
  <c r="AN35" i="151"/>
  <c r="Q51" i="152"/>
  <c r="Q34" i="152"/>
  <c r="T34" i="152" s="1"/>
  <c r="R34" i="152" s="1"/>
  <c r="O47" i="152"/>
  <c r="AP23" i="151"/>
  <c r="AL24" i="151"/>
  <c r="AI32" i="151"/>
  <c r="AI29" i="151"/>
  <c r="AI25" i="151"/>
  <c r="AN32" i="151"/>
  <c r="AN29" i="151"/>
  <c r="Q34" i="46"/>
  <c r="Q51" i="46"/>
  <c r="O47" i="46"/>
  <c r="AI39" i="44"/>
  <c r="Y22" i="44"/>
  <c r="W9" i="44"/>
  <c r="G32" i="154" s="1"/>
  <c r="Q51" i="45"/>
  <c r="O51" i="45" s="1"/>
  <c r="Q34" i="45"/>
  <c r="O47" i="45"/>
  <c r="AN39" i="44"/>
  <c r="O87" i="46"/>
  <c r="AB10" i="151" l="1"/>
  <c r="AB61" i="151" s="1"/>
  <c r="AO22" i="44"/>
  <c r="Y47" i="46" s="1"/>
  <c r="Y35" i="46"/>
  <c r="Y81" i="46"/>
  <c r="Y80" i="46" s="1"/>
  <c r="S34" i="45"/>
  <c r="S33" i="45" s="1"/>
  <c r="S71" i="45" s="1"/>
  <c r="Y49" i="46"/>
  <c r="Y87" i="46" s="1"/>
  <c r="Y49" i="45"/>
  <c r="S34" i="46"/>
  <c r="S33" i="46" s="1"/>
  <c r="S71" i="46" s="1"/>
  <c r="Y56" i="45"/>
  <c r="Y56" i="46"/>
  <c r="Y92" i="46" s="1"/>
  <c r="Z90" i="46"/>
  <c r="X90" i="46" s="1"/>
  <c r="X53" i="46"/>
  <c r="T11" i="45"/>
  <c r="R10" i="45"/>
  <c r="R4" i="45" s="1"/>
  <c r="R8" i="46"/>
  <c r="W11" i="46"/>
  <c r="U11" i="46" s="1"/>
  <c r="U10" i="46"/>
  <c r="AI33" i="151"/>
  <c r="T11" i="46"/>
  <c r="R11" i="46" s="1"/>
  <c r="R10" i="46"/>
  <c r="AG23" i="151"/>
  <c r="AI23" i="151" s="1"/>
  <c r="AI12" i="151"/>
  <c r="AH5" i="151"/>
  <c r="AG11" i="151"/>
  <c r="AI11" i="151" s="1"/>
  <c r="AP11" i="151"/>
  <c r="AP10" i="151" s="1"/>
  <c r="AP9" i="151" s="1"/>
  <c r="AL12" i="151"/>
  <c r="W11" i="45"/>
  <c r="U10" i="45"/>
  <c r="U4" i="45" s="1"/>
  <c r="AU71" i="43"/>
  <c r="AU73" i="43" s="1"/>
  <c r="AX73" i="43"/>
  <c r="AL57" i="44" s="1"/>
  <c r="Z10" i="46"/>
  <c r="Z8" i="46"/>
  <c r="X8" i="46" s="1"/>
  <c r="X31" i="46"/>
  <c r="Z10" i="45"/>
  <c r="X31" i="45"/>
  <c r="Z8" i="45"/>
  <c r="X8" i="45" s="1"/>
  <c r="Y50" i="46"/>
  <c r="Y50" i="45"/>
  <c r="X50" i="45" s="1"/>
  <c r="V88" i="46"/>
  <c r="U88" i="46" s="1"/>
  <c r="U50" i="46"/>
  <c r="V47" i="45"/>
  <c r="V34" i="45" s="1"/>
  <c r="V33" i="45" s="1"/>
  <c r="V47" i="46"/>
  <c r="AO10" i="44"/>
  <c r="AE63" i="44"/>
  <c r="AJ9" i="44"/>
  <c r="AJ8" i="44" s="1"/>
  <c r="W9" i="151"/>
  <c r="X37" i="151" s="1"/>
  <c r="Y10" i="151"/>
  <c r="Q32" i="154"/>
  <c r="R32" i="154" s="1"/>
  <c r="M32" i="154"/>
  <c r="H49" i="154"/>
  <c r="M49" i="154"/>
  <c r="G31" i="154"/>
  <c r="M31" i="154" s="1"/>
  <c r="H32" i="154"/>
  <c r="K45" i="154" s="1"/>
  <c r="O51" i="152"/>
  <c r="T51" i="152"/>
  <c r="R51" i="152" s="1"/>
  <c r="Q33" i="152"/>
  <c r="T33" i="152" s="1"/>
  <c r="R33" i="152" s="1"/>
  <c r="O34" i="152"/>
  <c r="Q33" i="153"/>
  <c r="T33" i="153" s="1"/>
  <c r="R33" i="153" s="1"/>
  <c r="O34" i="153"/>
  <c r="AI40" i="151"/>
  <c r="Q89" i="153"/>
  <c r="W89" i="153"/>
  <c r="O51" i="153"/>
  <c r="AN40" i="151"/>
  <c r="AD10" i="151"/>
  <c r="AN24" i="151"/>
  <c r="AL23" i="151"/>
  <c r="Q33" i="46"/>
  <c r="O34" i="46"/>
  <c r="O5" i="46" s="1"/>
  <c r="Q89" i="46"/>
  <c r="O51" i="46"/>
  <c r="Q33" i="45"/>
  <c r="O34" i="45"/>
  <c r="W8" i="44"/>
  <c r="Y9" i="44"/>
  <c r="Y47" i="45" l="1"/>
  <c r="Y51" i="45" s="1"/>
  <c r="AB9" i="151"/>
  <c r="AC38" i="151" s="1"/>
  <c r="AO9" i="44"/>
  <c r="AO8" i="44" s="1"/>
  <c r="X9" i="151"/>
  <c r="X17" i="151"/>
  <c r="X40" i="151"/>
  <c r="X39" i="151"/>
  <c r="X38" i="151"/>
  <c r="X33" i="151"/>
  <c r="X31" i="151"/>
  <c r="X34" i="151"/>
  <c r="AG10" i="151"/>
  <c r="AG9" i="151" s="1"/>
  <c r="AH10" i="151" s="1"/>
  <c r="X25" i="151"/>
  <c r="X12" i="151"/>
  <c r="Z11" i="46"/>
  <c r="X11" i="46" s="1"/>
  <c r="X10" i="46"/>
  <c r="T86" i="45"/>
  <c r="T89" i="45"/>
  <c r="T90" i="45" s="1"/>
  <c r="T91" i="45" s="1"/>
  <c r="R11" i="45"/>
  <c r="R89" i="45" s="1"/>
  <c r="R90" i="45" s="1"/>
  <c r="R91" i="45" s="1"/>
  <c r="U11" i="45"/>
  <c r="W86" i="45"/>
  <c r="W89" i="45"/>
  <c r="W90" i="45" s="1"/>
  <c r="W91" i="45" s="1"/>
  <c r="AK56" i="44" s="1"/>
  <c r="Z11" i="45"/>
  <c r="X10" i="45"/>
  <c r="X4" i="45" s="1"/>
  <c r="AM5" i="151"/>
  <c r="AN12" i="151"/>
  <c r="AL11" i="151"/>
  <c r="AN11" i="151" s="1"/>
  <c r="Y51" i="46"/>
  <c r="X50" i="46"/>
  <c r="Y88" i="46"/>
  <c r="X88" i="46" s="1"/>
  <c r="Y34" i="46"/>
  <c r="V51" i="46"/>
  <c r="V34" i="46"/>
  <c r="V51" i="45"/>
  <c r="V71" i="45"/>
  <c r="AR9" i="151"/>
  <c r="X10" i="151"/>
  <c r="X15" i="151"/>
  <c r="X36" i="151"/>
  <c r="X29" i="151"/>
  <c r="X28" i="151"/>
  <c r="Y9" i="151"/>
  <c r="X24" i="151"/>
  <c r="X26" i="151"/>
  <c r="X30" i="151"/>
  <c r="X13" i="151"/>
  <c r="X32" i="151"/>
  <c r="X11" i="151"/>
  <c r="X18" i="151"/>
  <c r="X23" i="151"/>
  <c r="X35" i="151"/>
  <c r="K32" i="154"/>
  <c r="K33" i="154"/>
  <c r="H31" i="154"/>
  <c r="K31" i="154" s="1"/>
  <c r="U89" i="153"/>
  <c r="U86" i="153" s="1"/>
  <c r="U79" i="153" s="1"/>
  <c r="W86" i="153"/>
  <c r="W79" i="153" s="1"/>
  <c r="AC13" i="151"/>
  <c r="AD9" i="151"/>
  <c r="AC18" i="151"/>
  <c r="AC39" i="151"/>
  <c r="AC33" i="151"/>
  <c r="AC28" i="151"/>
  <c r="AC36" i="151"/>
  <c r="Q86" i="153"/>
  <c r="Q79" i="153" s="1"/>
  <c r="O89" i="153"/>
  <c r="O86" i="153" s="1"/>
  <c r="O79" i="153" s="1"/>
  <c r="Q71" i="153"/>
  <c r="O33" i="153"/>
  <c r="AN23" i="151"/>
  <c r="Q71" i="152"/>
  <c r="O33" i="152"/>
  <c r="Q71" i="45"/>
  <c r="O71" i="45" s="1"/>
  <c r="O33" i="45"/>
  <c r="X9" i="44"/>
  <c r="X37" i="44"/>
  <c r="X16" i="44"/>
  <c r="X14" i="44"/>
  <c r="Y8" i="44"/>
  <c r="X36" i="44"/>
  <c r="X8" i="44"/>
  <c r="X12" i="44"/>
  <c r="X17" i="44"/>
  <c r="X11" i="44"/>
  <c r="X10" i="44"/>
  <c r="X39" i="44"/>
  <c r="X24" i="44"/>
  <c r="X25" i="44"/>
  <c r="X27" i="44"/>
  <c r="X32" i="44"/>
  <c r="X35" i="44"/>
  <c r="X23" i="44"/>
  <c r="X31" i="44"/>
  <c r="X33" i="44"/>
  <c r="X29" i="44"/>
  <c r="X30" i="44"/>
  <c r="X28" i="44"/>
  <c r="X38" i="44"/>
  <c r="X34" i="44"/>
  <c r="X22" i="44"/>
  <c r="O89" i="46"/>
  <c r="O86" i="46" s="1"/>
  <c r="O79" i="46" s="1"/>
  <c r="Q86" i="46"/>
  <c r="Q79" i="46" s="1"/>
  <c r="Q71" i="46"/>
  <c r="O71" i="46" s="1"/>
  <c r="O33" i="46"/>
  <c r="AC17" i="151" l="1"/>
  <c r="AC31" i="151"/>
  <c r="AC9" i="151"/>
  <c r="AC30" i="151"/>
  <c r="AC25" i="151"/>
  <c r="AC15" i="151"/>
  <c r="AC32" i="151"/>
  <c r="AC29" i="151"/>
  <c r="AC11" i="151"/>
  <c r="Y34" i="45"/>
  <c r="Y33" i="45" s="1"/>
  <c r="AC40" i="151"/>
  <c r="AC35" i="151"/>
  <c r="AC12" i="151"/>
  <c r="AB59" i="151"/>
  <c r="AC10" i="151"/>
  <c r="AC26" i="151"/>
  <c r="AC37" i="151"/>
  <c r="AC34" i="151"/>
  <c r="AC23" i="151"/>
  <c r="AC24" i="151"/>
  <c r="AC27" i="151"/>
  <c r="AI10" i="151"/>
  <c r="AG61" i="151"/>
  <c r="U89" i="45"/>
  <c r="U90" i="45" s="1"/>
  <c r="U91" i="45" s="1"/>
  <c r="AL10" i="151"/>
  <c r="AN10" i="151" s="1"/>
  <c r="W87" i="45"/>
  <c r="U86" i="45"/>
  <c r="U87" i="45" s="1"/>
  <c r="AF56" i="44"/>
  <c r="AF57" i="44"/>
  <c r="R86" i="45"/>
  <c r="R87" i="45" s="1"/>
  <c r="T87" i="45"/>
  <c r="Z86" i="45"/>
  <c r="Z89" i="45"/>
  <c r="Z90" i="45" s="1"/>
  <c r="Z91" i="45" s="1"/>
  <c r="AP56" i="44" s="1"/>
  <c r="X11" i="45"/>
  <c r="X89" i="45" s="1"/>
  <c r="X90" i="45" s="1"/>
  <c r="X91" i="45" s="1"/>
  <c r="Y33" i="46"/>
  <c r="V33" i="46"/>
  <c r="V89" i="46"/>
  <c r="Y89" i="46"/>
  <c r="O71" i="153"/>
  <c r="T71" i="153"/>
  <c r="R71" i="153" s="1"/>
  <c r="O71" i="152"/>
  <c r="T71" i="152"/>
  <c r="R71" i="152" s="1"/>
  <c r="AL61" i="151"/>
  <c r="AI9" i="151"/>
  <c r="AH38" i="151"/>
  <c r="AH27" i="151"/>
  <c r="AH9" i="151"/>
  <c r="AH13" i="151"/>
  <c r="AH37" i="151"/>
  <c r="AH17" i="151"/>
  <c r="AH15" i="151"/>
  <c r="AH18" i="151"/>
  <c r="AG59" i="151"/>
  <c r="AH12" i="151"/>
  <c r="AH11" i="151"/>
  <c r="AH31" i="151"/>
  <c r="AH28" i="151"/>
  <c r="AH26" i="151"/>
  <c r="AH24" i="151"/>
  <c r="AH36" i="151"/>
  <c r="AH32" i="151"/>
  <c r="AH25" i="151"/>
  <c r="AH33" i="151"/>
  <c r="AH39" i="151"/>
  <c r="AH35" i="151"/>
  <c r="AH29" i="151"/>
  <c r="AH30" i="151"/>
  <c r="AH34" i="151"/>
  <c r="AH23" i="151"/>
  <c r="AH40" i="151"/>
  <c r="AL9" i="151" l="1"/>
  <c r="AM10" i="151" s="1"/>
  <c r="Z87" i="45"/>
  <c r="X86" i="45"/>
  <c r="X87" i="45" s="1"/>
  <c r="AF11" i="44"/>
  <c r="AF31" i="44"/>
  <c r="AF26" i="44"/>
  <c r="AF33" i="44"/>
  <c r="AF28" i="44"/>
  <c r="AF23" i="44"/>
  <c r="AF29" i="44"/>
  <c r="AF32" i="44"/>
  <c r="AF30" i="44"/>
  <c r="AF35" i="44"/>
  <c r="AF27" i="44"/>
  <c r="AF38" i="44"/>
  <c r="AF25" i="44"/>
  <c r="AF34" i="44"/>
  <c r="AF24" i="44"/>
  <c r="Y71" i="46"/>
  <c r="Y71" i="45"/>
  <c r="V86" i="46"/>
  <c r="V79" i="46" s="1"/>
  <c r="Y86" i="46"/>
  <c r="Y79" i="46" s="1"/>
  <c r="V71" i="46"/>
  <c r="AM27" i="151"/>
  <c r="AM9" i="151"/>
  <c r="AM17" i="151"/>
  <c r="AM18" i="151"/>
  <c r="AM12" i="151"/>
  <c r="AM29" i="151"/>
  <c r="AM30" i="151"/>
  <c r="AM28" i="151"/>
  <c r="AM36" i="151"/>
  <c r="AM35" i="151"/>
  <c r="AM32" i="151"/>
  <c r="AM40" i="151"/>
  <c r="AM23" i="151"/>
  <c r="AM15" i="151" l="1"/>
  <c r="AM24" i="151"/>
  <c r="AM33" i="151"/>
  <c r="AM25" i="151"/>
  <c r="AM39" i="151"/>
  <c r="AL59" i="151"/>
  <c r="AM38" i="151"/>
  <c r="AN9" i="151"/>
  <c r="AM34" i="151"/>
  <c r="AM26" i="151"/>
  <c r="AM31" i="151"/>
  <c r="AM11" i="151"/>
  <c r="AM37" i="151"/>
  <c r="AM13" i="151"/>
  <c r="AK34" i="44"/>
  <c r="AB34" i="44"/>
  <c r="AD34" i="44" s="1"/>
  <c r="AK23" i="44"/>
  <c r="T49" i="46"/>
  <c r="AB23" i="44"/>
  <c r="AF22" i="44"/>
  <c r="T49" i="45"/>
  <c r="R49" i="45" s="1"/>
  <c r="AK25" i="44"/>
  <c r="AB25" i="44"/>
  <c r="AD25" i="44" s="1"/>
  <c r="AB28" i="44"/>
  <c r="AD28" i="44" s="1"/>
  <c r="AK28" i="44"/>
  <c r="T56" i="46"/>
  <c r="AK38" i="44"/>
  <c r="AB38" i="44"/>
  <c r="AF62" i="44"/>
  <c r="T56" i="45"/>
  <c r="R56" i="45" s="1"/>
  <c r="AK33" i="44"/>
  <c r="AB33" i="44"/>
  <c r="AD33" i="44" s="1"/>
  <c r="AB27" i="44"/>
  <c r="AD27" i="44" s="1"/>
  <c r="AK27" i="44"/>
  <c r="AK26" i="44"/>
  <c r="AB26" i="44"/>
  <c r="AD26" i="44" s="1"/>
  <c r="AK35" i="44"/>
  <c r="AB35" i="44"/>
  <c r="AD35" i="44" s="1"/>
  <c r="AK31" i="44"/>
  <c r="AB31" i="44"/>
  <c r="AD31" i="44" s="1"/>
  <c r="AB30" i="44"/>
  <c r="AD30" i="44" s="1"/>
  <c r="AK30" i="44"/>
  <c r="AK11" i="44"/>
  <c r="T36" i="46"/>
  <c r="AF79" i="44"/>
  <c r="AF10" i="44"/>
  <c r="AB11" i="44"/>
  <c r="T36" i="45"/>
  <c r="AK32" i="44"/>
  <c r="AB32" i="44"/>
  <c r="AD32" i="44" s="1"/>
  <c r="AK24" i="44"/>
  <c r="AB24" i="44"/>
  <c r="AD24" i="44" s="1"/>
  <c r="AB29" i="44"/>
  <c r="AD29" i="44" s="1"/>
  <c r="AK29" i="44"/>
  <c r="AF9" i="44" l="1"/>
  <c r="AF8" i="44" s="1"/>
  <c r="AG25" i="44"/>
  <c r="AI25" i="44" s="1"/>
  <c r="AP25" i="44"/>
  <c r="AL25" i="44" s="1"/>
  <c r="T35" i="46"/>
  <c r="R36" i="46"/>
  <c r="R35" i="46" s="1"/>
  <c r="T81" i="46"/>
  <c r="AD38" i="44"/>
  <c r="AB62" i="44"/>
  <c r="T47" i="45"/>
  <c r="T47" i="46"/>
  <c r="W50" i="45"/>
  <c r="U50" i="45" s="1"/>
  <c r="AG24" i="44"/>
  <c r="AI24" i="44" s="1"/>
  <c r="AP24" i="44"/>
  <c r="AL24" i="44" s="1"/>
  <c r="AK79" i="44"/>
  <c r="AP11" i="44"/>
  <c r="AG11" i="44"/>
  <c r="AK10" i="44"/>
  <c r="W36" i="45"/>
  <c r="W36" i="46"/>
  <c r="AG26" i="44"/>
  <c r="AI26" i="44" s="1"/>
  <c r="AP26" i="44"/>
  <c r="AL26" i="44" s="1"/>
  <c r="AP38" i="44"/>
  <c r="AG38" i="44"/>
  <c r="AI38" i="44" s="1"/>
  <c r="W56" i="45"/>
  <c r="U56" i="45" s="1"/>
  <c r="W56" i="46"/>
  <c r="AB22" i="44"/>
  <c r="AD22" i="44" s="1"/>
  <c r="AD23" i="44"/>
  <c r="AG30" i="44"/>
  <c r="AI30" i="44" s="1"/>
  <c r="AP30" i="44"/>
  <c r="AL30" i="44" s="1"/>
  <c r="AG27" i="44"/>
  <c r="AI27" i="44" s="1"/>
  <c r="AP27" i="44"/>
  <c r="AL27" i="44" s="1"/>
  <c r="R56" i="46"/>
  <c r="T92" i="46"/>
  <c r="R92" i="46" s="1"/>
  <c r="R49" i="46"/>
  <c r="T87" i="46"/>
  <c r="AG35" i="44"/>
  <c r="AI35" i="44" s="1"/>
  <c r="AP35" i="44"/>
  <c r="AL35" i="44" s="1"/>
  <c r="AP32" i="44"/>
  <c r="AL32" i="44" s="1"/>
  <c r="AG32" i="44"/>
  <c r="AI32" i="44" s="1"/>
  <c r="AP28" i="44"/>
  <c r="AL28" i="44" s="1"/>
  <c r="AG28" i="44"/>
  <c r="AI28" i="44" s="1"/>
  <c r="AP23" i="44"/>
  <c r="W49" i="45"/>
  <c r="U49" i="45" s="1"/>
  <c r="W49" i="46"/>
  <c r="AG23" i="44"/>
  <c r="AK22" i="44"/>
  <c r="AP29" i="44"/>
  <c r="AL29" i="44" s="1"/>
  <c r="AG29" i="44"/>
  <c r="AI29" i="44" s="1"/>
  <c r="T35" i="45"/>
  <c r="T34" i="45" s="1"/>
  <c r="R36" i="45"/>
  <c r="R35" i="45" s="1"/>
  <c r="AB10" i="44"/>
  <c r="AB4" i="44"/>
  <c r="AD11" i="44"/>
  <c r="AG31" i="44"/>
  <c r="AI31" i="44" s="1"/>
  <c r="AP31" i="44"/>
  <c r="AL31" i="44" s="1"/>
  <c r="AP33" i="44"/>
  <c r="AL33" i="44" s="1"/>
  <c r="AG33" i="44"/>
  <c r="AI33" i="44" s="1"/>
  <c r="AP34" i="44"/>
  <c r="AL34" i="44" s="1"/>
  <c r="AG34" i="44"/>
  <c r="AI34" i="44" s="1"/>
  <c r="T34" i="46" l="1"/>
  <c r="AN27" i="44"/>
  <c r="AF63" i="44"/>
  <c r="AN35" i="44"/>
  <c r="AN30" i="44"/>
  <c r="AN26" i="44"/>
  <c r="AN24" i="44"/>
  <c r="AN25" i="44"/>
  <c r="AN31" i="44"/>
  <c r="AN34" i="44"/>
  <c r="AK9" i="44"/>
  <c r="AK8" i="44" s="1"/>
  <c r="T51" i="45"/>
  <c r="R51" i="45" s="1"/>
  <c r="R47" i="45"/>
  <c r="AN28" i="44"/>
  <c r="AG10" i="44"/>
  <c r="AH4" i="44"/>
  <c r="AI11" i="44"/>
  <c r="W92" i="46"/>
  <c r="U92" i="46" s="1"/>
  <c r="U56" i="46"/>
  <c r="AN29" i="44"/>
  <c r="AP79" i="44"/>
  <c r="Z36" i="45"/>
  <c r="Z36" i="46"/>
  <c r="AL11" i="44"/>
  <c r="AP10" i="44"/>
  <c r="AN33" i="44"/>
  <c r="W47" i="45"/>
  <c r="W47" i="46"/>
  <c r="AN32" i="44"/>
  <c r="Z56" i="46"/>
  <c r="Z56" i="45"/>
  <c r="X56" i="45" s="1"/>
  <c r="AL38" i="44"/>
  <c r="AN38" i="44" s="1"/>
  <c r="T80" i="46"/>
  <c r="R81" i="46"/>
  <c r="R80" i="46" s="1"/>
  <c r="AI23" i="44"/>
  <c r="AG22" i="44"/>
  <c r="AI22" i="44" s="1"/>
  <c r="W87" i="46"/>
  <c r="U87" i="46" s="1"/>
  <c r="U49" i="46"/>
  <c r="T33" i="46"/>
  <c r="R34" i="46"/>
  <c r="R5" i="46" s="1"/>
  <c r="T33" i="45"/>
  <c r="R34" i="45"/>
  <c r="AD10" i="44"/>
  <c r="AB9" i="44"/>
  <c r="R87" i="46"/>
  <c r="U36" i="46"/>
  <c r="U35" i="46" s="1"/>
  <c r="W81" i="46"/>
  <c r="W35" i="46"/>
  <c r="W34" i="46" s="1"/>
  <c r="Z49" i="45"/>
  <c r="X49" i="45" s="1"/>
  <c r="Z49" i="46"/>
  <c r="AL23" i="44"/>
  <c r="AP22" i="44"/>
  <c r="W35" i="45"/>
  <c r="U36" i="45"/>
  <c r="U35" i="45" s="1"/>
  <c r="T51" i="46"/>
  <c r="R47" i="46"/>
  <c r="AP9" i="44" l="1"/>
  <c r="AP8" i="44" s="1"/>
  <c r="X49" i="46"/>
  <c r="Z87" i="46"/>
  <c r="X87" i="46" s="1"/>
  <c r="W51" i="45"/>
  <c r="U51" i="45" s="1"/>
  <c r="U47" i="45"/>
  <c r="R74" i="45"/>
  <c r="S4" i="45"/>
  <c r="U34" i="46"/>
  <c r="U5" i="46" s="1"/>
  <c r="W33" i="46"/>
  <c r="T71" i="45"/>
  <c r="R71" i="45" s="1"/>
  <c r="R33" i="45"/>
  <c r="R51" i="46"/>
  <c r="T89" i="46"/>
  <c r="W80" i="46"/>
  <c r="U81" i="46"/>
  <c r="U80" i="46" s="1"/>
  <c r="AL10" i="44"/>
  <c r="AM4" i="44"/>
  <c r="AN11" i="44"/>
  <c r="R33" i="46"/>
  <c r="T71" i="46"/>
  <c r="R71" i="46" s="1"/>
  <c r="Z35" i="46"/>
  <c r="X36" i="46"/>
  <c r="X35" i="46" s="1"/>
  <c r="Z81" i="46"/>
  <c r="AI10" i="44"/>
  <c r="AG9" i="44"/>
  <c r="W34" i="45"/>
  <c r="X56" i="46"/>
  <c r="Z92" i="46"/>
  <c r="X92" i="46" s="1"/>
  <c r="Z35" i="45"/>
  <c r="X36" i="45"/>
  <c r="X35" i="45" s="1"/>
  <c r="Z47" i="45"/>
  <c r="Z47" i="46"/>
  <c r="AL22" i="44"/>
  <c r="AN22" i="44" s="1"/>
  <c r="AN23" i="44"/>
  <c r="AB8" i="44"/>
  <c r="AB63" i="44"/>
  <c r="AB60" i="44"/>
  <c r="AD9" i="44"/>
  <c r="AD63" i="44" s="1"/>
  <c r="W51" i="46"/>
  <c r="U47" i="46"/>
  <c r="AG60" i="44" l="1"/>
  <c r="AG8" i="44"/>
  <c r="AG63" i="44"/>
  <c r="AI9" i="44"/>
  <c r="W71" i="46"/>
  <c r="U71" i="46" s="1"/>
  <c r="U33" i="46"/>
  <c r="AL9" i="44"/>
  <c r="AN10" i="44"/>
  <c r="U51" i="46"/>
  <c r="W89" i="46"/>
  <c r="Z51" i="45"/>
  <c r="X51" i="45" s="1"/>
  <c r="X47" i="45"/>
  <c r="Z34" i="45"/>
  <c r="Z34" i="46"/>
  <c r="R89" i="46"/>
  <c r="R86" i="46" s="1"/>
  <c r="R79" i="46" s="1"/>
  <c r="T86" i="46"/>
  <c r="T79" i="46" s="1"/>
  <c r="X47" i="46"/>
  <c r="Z51" i="46"/>
  <c r="Z80" i="46"/>
  <c r="X81" i="46"/>
  <c r="X80" i="46" s="1"/>
  <c r="AC9" i="44"/>
  <c r="AC63" i="44" s="1"/>
  <c r="AC28" i="44"/>
  <c r="AC37" i="44"/>
  <c r="AC24" i="44"/>
  <c r="AC11" i="44"/>
  <c r="AC10" i="44"/>
  <c r="AC23" i="44"/>
  <c r="AC12" i="44"/>
  <c r="AC8" i="44"/>
  <c r="AC17" i="44"/>
  <c r="AC16" i="44"/>
  <c r="AC27" i="44"/>
  <c r="AC31" i="44"/>
  <c r="AC25" i="44"/>
  <c r="AC26" i="44"/>
  <c r="AC32" i="44"/>
  <c r="AC14" i="44"/>
  <c r="AC22" i="44"/>
  <c r="AC30" i="44"/>
  <c r="AC36" i="44"/>
  <c r="AC38" i="44"/>
  <c r="AC39" i="44"/>
  <c r="AB58" i="44"/>
  <c r="AC35" i="44"/>
  <c r="AC33" i="44"/>
  <c r="AC34" i="44"/>
  <c r="AC29" i="44"/>
  <c r="AD8" i="44"/>
  <c r="U34" i="45"/>
  <c r="W33" i="45"/>
  <c r="X34" i="45" l="1"/>
  <c r="Z33" i="45"/>
  <c r="Z33" i="46"/>
  <c r="X34" i="46"/>
  <c r="X5" i="46" s="1"/>
  <c r="AL60" i="44"/>
  <c r="AL8" i="44"/>
  <c r="AN9" i="44"/>
  <c r="W71" i="45"/>
  <c r="U71" i="45" s="1"/>
  <c r="U33" i="45"/>
  <c r="X51" i="46"/>
  <c r="Z89" i="46"/>
  <c r="U89" i="46"/>
  <c r="U86" i="46" s="1"/>
  <c r="U79" i="46" s="1"/>
  <c r="W86" i="46"/>
  <c r="W79" i="46" s="1"/>
  <c r="AH23" i="44"/>
  <c r="AH25" i="44"/>
  <c r="AH17" i="44"/>
  <c r="AH10" i="44"/>
  <c r="AH9" i="44"/>
  <c r="AH32" i="44"/>
  <c r="AH35" i="44"/>
  <c r="AI8" i="44"/>
  <c r="AH22" i="44"/>
  <c r="AH14" i="44"/>
  <c r="AH39" i="44"/>
  <c r="AH36" i="44"/>
  <c r="AH33" i="44"/>
  <c r="AH29" i="44"/>
  <c r="AH8" i="44"/>
  <c r="AH11" i="44"/>
  <c r="AH37" i="44"/>
  <c r="AH12" i="44"/>
  <c r="AH31" i="44"/>
  <c r="AH30" i="44"/>
  <c r="AH16" i="44"/>
  <c r="AH34" i="44"/>
  <c r="AG58" i="44"/>
  <c r="AH26" i="44"/>
  <c r="AH24" i="44"/>
  <c r="AH38" i="44"/>
  <c r="AH27" i="44"/>
  <c r="AH28" i="44"/>
  <c r="U74" i="45"/>
  <c r="V4" i="45"/>
  <c r="AM9" i="44" l="1"/>
  <c r="AM26" i="44"/>
  <c r="AM32" i="44"/>
  <c r="AM29" i="44"/>
  <c r="AM23" i="44"/>
  <c r="AM34" i="44"/>
  <c r="AM10" i="44"/>
  <c r="AM31" i="44"/>
  <c r="AM11" i="44"/>
  <c r="AM14" i="44"/>
  <c r="AM39" i="44"/>
  <c r="AM16" i="44"/>
  <c r="AM8" i="44"/>
  <c r="AM22" i="44"/>
  <c r="AM38" i="44"/>
  <c r="AM37" i="44"/>
  <c r="AM35" i="44"/>
  <c r="AL58" i="44"/>
  <c r="AM30" i="44"/>
  <c r="AN8" i="44"/>
  <c r="AM17" i="44"/>
  <c r="AM12" i="44"/>
  <c r="AM28" i="44"/>
  <c r="AM25" i="44"/>
  <c r="AM36" i="44"/>
  <c r="AM24" i="44"/>
  <c r="AM27" i="44"/>
  <c r="AM33" i="44"/>
  <c r="Z86" i="46"/>
  <c r="Z79" i="46" s="1"/>
  <c r="X89" i="46"/>
  <c r="X86" i="46" s="1"/>
  <c r="X79" i="46" s="1"/>
  <c r="Z71" i="46"/>
  <c r="X71" i="46" s="1"/>
  <c r="X33" i="46"/>
  <c r="Z71" i="45"/>
  <c r="X71" i="45" s="1"/>
  <c r="X33" i="45"/>
  <c r="Y4" i="45"/>
  <c r="X74" i="45"/>
</calcChain>
</file>

<file path=xl/comments1.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0.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11.xml><?xml version="1.0" encoding="utf-8"?>
<comments xmlns="http://schemas.openxmlformats.org/spreadsheetml/2006/main">
  <authors>
    <author>pc</author>
  </authors>
  <commentLis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12.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3.xml><?xml version="1.0" encoding="utf-8"?>
<comments xmlns="http://schemas.openxmlformats.org/spreadsheetml/2006/main">
  <authors>
    <author>pc</author>
    <author>Windows User</author>
  </authors>
  <commentList>
    <comment ref="G22" authorId="0">
      <text>
        <r>
          <rPr>
            <b/>
            <sz val="9"/>
            <color indexed="81"/>
            <rFont val="Tahoma"/>
            <family val="2"/>
          </rPr>
          <t>pc:</t>
        </r>
        <r>
          <rPr>
            <sz val="9"/>
            <color indexed="81"/>
            <rFont val="Tahoma"/>
            <family val="2"/>
          </rPr>
          <t xml:space="preserve">
Số liệu 2023 theo dự toán là: 30.698 triệu đồng</t>
        </r>
      </text>
    </comment>
    <comment ref="G29" authorId="0">
      <text>
        <r>
          <rPr>
            <b/>
            <sz val="9"/>
            <color indexed="81"/>
            <rFont val="Tahoma"/>
            <family val="2"/>
          </rPr>
          <t>pc:</t>
        </r>
        <r>
          <rPr>
            <sz val="9"/>
            <color indexed="81"/>
            <rFont val="Tahoma"/>
            <family val="2"/>
          </rPr>
          <t xml:space="preserve">
Nợ quá hạn năm 2022, chuyển sang 2023 = 225.231 triệu đồng</t>
        </r>
      </text>
    </comment>
    <comment ref="G33" authorId="0">
      <text>
        <r>
          <rPr>
            <b/>
            <sz val="9"/>
            <color indexed="81"/>
            <rFont val="Tahoma"/>
            <family val="2"/>
          </rPr>
          <t>pc:</t>
        </r>
        <r>
          <rPr>
            <sz val="9"/>
            <color indexed="81"/>
            <rFont val="Tahoma"/>
            <family val="2"/>
          </rPr>
          <t xml:space="preserve">
Trả nợ nhanh </t>
        </r>
      </text>
    </comment>
    <comment ref="J33" authorId="0">
      <text>
        <r>
          <rPr>
            <b/>
            <sz val="9"/>
            <color indexed="81"/>
            <rFont val="Tahoma"/>
            <family val="2"/>
          </rPr>
          <t>pc:</t>
        </r>
        <r>
          <rPr>
            <sz val="9"/>
            <color indexed="81"/>
            <rFont val="Tahoma"/>
            <family val="2"/>
          </rPr>
          <t xml:space="preserve">
Ghi theo số thực</t>
        </r>
      </text>
    </comment>
    <comment ref="G37"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8"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8" authorId="1">
      <text>
        <r>
          <rPr>
            <b/>
            <sz val="9"/>
            <color indexed="81"/>
            <rFont val="Tahoma"/>
            <family val="2"/>
          </rPr>
          <t>Windows User:</t>
        </r>
        <r>
          <rPr>
            <sz val="9"/>
            <color indexed="81"/>
            <rFont val="Tahoma"/>
            <family val="2"/>
          </rPr>
          <t xml:space="preserve">
Số 24.101 triệu đồng theo bao cáo của đơn vị</t>
        </r>
      </text>
    </comment>
    <comment ref="G56" authorId="0">
      <text>
        <r>
          <rPr>
            <b/>
            <sz val="9"/>
            <color indexed="81"/>
            <rFont val="Tahoma"/>
            <family val="2"/>
          </rPr>
          <t>pc:</t>
        </r>
        <r>
          <rPr>
            <sz val="9"/>
            <color indexed="81"/>
            <rFont val="Tahoma"/>
            <family val="2"/>
          </rPr>
          <t xml:space="preserve">
Dự toán còn số này</t>
        </r>
      </text>
    </comment>
    <comment ref="G61" authorId="0">
      <text>
        <r>
          <rPr>
            <b/>
            <sz val="9"/>
            <color indexed="81"/>
            <rFont val="Tahoma"/>
            <family val="2"/>
          </rPr>
          <t>pc:</t>
        </r>
        <r>
          <rPr>
            <sz val="9"/>
            <color indexed="81"/>
            <rFont val="Tahoma"/>
            <family val="2"/>
          </rPr>
          <t xml:space="preserve">
Trả lãi, phí chung ĐTC</t>
        </r>
      </text>
    </comment>
  </commentList>
</comments>
</file>

<file path=xl/comments14.xml><?xml version="1.0" encoding="utf-8"?>
<comments xmlns="http://schemas.openxmlformats.org/spreadsheetml/2006/main">
  <authors>
    <author>quangbx</author>
  </authors>
  <commentList>
    <comment ref="B84" author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text>
        <r>
          <rPr>
            <b/>
            <sz val="8"/>
            <color indexed="81"/>
            <rFont val="Tahoma"/>
            <family val="2"/>
          </rPr>
          <t>quangbx:</t>
        </r>
        <r>
          <rPr>
            <sz val="8"/>
            <color indexed="81"/>
            <rFont val="Tahoma"/>
            <family val="2"/>
          </rPr>
          <t xml:space="preserve">
Lực lượng dân quân tự vệ chưa có</t>
        </r>
      </text>
    </comment>
    <comment ref="B156" author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N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S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author>
    <author>Quangbxdth</author>
    <author>quangbxdth</author>
  </authors>
  <commentList>
    <comment ref="C8" authorId="0">
      <text>
        <r>
          <rPr>
            <b/>
            <sz val="9"/>
            <color indexed="81"/>
            <rFont val="Tahoma"/>
            <family val="2"/>
          </rPr>
          <t>quangbx:</t>
        </r>
        <r>
          <rPr>
            <sz val="9"/>
            <color indexed="81"/>
            <rFont val="Tahoma"/>
            <family val="2"/>
          </rPr>
          <t xml:space="preserve">
6.818.777 triệu đồng</t>
        </r>
      </text>
    </comment>
    <comment ref="E8" authorId="1">
      <text>
        <r>
          <rPr>
            <b/>
            <sz val="9"/>
            <color indexed="81"/>
            <rFont val="Tahoma"/>
            <family val="2"/>
          </rPr>
          <t>Quangbxdth:</t>
        </r>
        <r>
          <rPr>
            <sz val="9"/>
            <color indexed="81"/>
            <rFont val="Tahoma"/>
            <family val="2"/>
          </rPr>
          <t xml:space="preserve">
5.809.777 trđ`</t>
        </r>
      </text>
    </comment>
    <comment ref="V38" authorId="2">
      <text>
        <r>
          <rPr>
            <b/>
            <sz val="9"/>
            <color indexed="81"/>
            <rFont val="Tahoma"/>
            <family val="2"/>
          </rPr>
          <t>quangbxdth:</t>
        </r>
        <r>
          <rPr>
            <sz val="9"/>
            <color indexed="81"/>
            <rFont val="Tahoma"/>
            <family val="2"/>
          </rPr>
          <t xml:space="preserve">
tỷ lệ: 40% điiều tiết NSTW, còn địa phuong huong 60%</t>
        </r>
      </text>
    </comment>
    <comment ref="AB38" authorId="2">
      <text>
        <r>
          <rPr>
            <b/>
            <sz val="9"/>
            <color indexed="81"/>
            <rFont val="Tahoma"/>
            <family val="2"/>
          </rPr>
          <t>quangbxdth:</t>
        </r>
        <r>
          <rPr>
            <sz val="9"/>
            <color indexed="81"/>
            <rFont val="Tahoma"/>
            <family val="2"/>
          </rPr>
          <t xml:space="preserve">
tỷ lệ: 40% điiều tiết NSTW, còn địa phuong huong 60%</t>
        </r>
      </text>
    </comment>
    <comment ref="C39" authorId="1">
      <text>
        <r>
          <rPr>
            <b/>
            <sz val="10"/>
            <color indexed="81"/>
            <rFont val="Tahoma"/>
            <family val="2"/>
          </rPr>
          <t>Quangbxdth:</t>
        </r>
        <r>
          <rPr>
            <sz val="10"/>
            <color indexed="81"/>
            <rFont val="Tahoma"/>
            <family val="2"/>
          </rPr>
          <t xml:space="preserve">
Tr.đó:+ Phí BVMT đối với khai thác khoáng sản: 46.000 trđ</t>
        </r>
      </text>
    </comment>
    <comment ref="D39" authorId="1">
      <text>
        <r>
          <rPr>
            <b/>
            <sz val="9"/>
            <color indexed="81"/>
            <rFont val="Tahoma"/>
            <family val="2"/>
          </rPr>
          <t>Quangbxdth:</t>
        </r>
        <r>
          <rPr>
            <sz val="9"/>
            <color indexed="81"/>
            <rFont val="Tahoma"/>
            <family val="2"/>
          </rPr>
          <t xml:space="preserve">
Lệ phí cấp căn cước công dân: 15,9 tỷ đồng</t>
        </r>
      </text>
    </comment>
    <comment ref="G39" authorId="0">
      <text>
        <r>
          <rPr>
            <b/>
            <sz val="8"/>
            <color indexed="81"/>
            <rFont val="Tahoma"/>
            <family val="2"/>
          </rPr>
          <t>quangbx:</t>
        </r>
        <r>
          <rPr>
            <sz val="8"/>
            <color indexed="81"/>
            <rFont val="Tahoma"/>
            <family val="2"/>
          </rPr>
          <t xml:space="preserve">
59.500 trđ</t>
        </r>
      </text>
    </comment>
    <comment ref="H39" authorId="1">
      <text>
        <r>
          <rPr>
            <b/>
            <sz val="10"/>
            <color indexed="81"/>
            <rFont val="Tahoma"/>
            <family val="2"/>
          </rPr>
          <t>Quangbxdth:</t>
        </r>
        <r>
          <rPr>
            <sz val="10"/>
            <color indexed="81"/>
            <rFont val="Tahoma"/>
            <family val="2"/>
          </rPr>
          <t xml:space="preserve">
Tr.đó:+ Phí BVMT đối với khai thác khoáng sản: 45.000 trđ</t>
        </r>
      </text>
    </comment>
    <comment ref="R39" authorId="1">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text>
        <r>
          <rPr>
            <b/>
            <sz val="9"/>
            <color indexed="81"/>
            <rFont val="Tahoma"/>
            <family val="2"/>
          </rPr>
          <t>quangbx:</t>
        </r>
        <r>
          <rPr>
            <sz val="9"/>
            <color indexed="81"/>
            <rFont val="Tahoma"/>
            <family val="2"/>
          </rPr>
          <t xml:space="preserve">
TW giao 850 tỷ đồng</t>
        </r>
      </text>
    </comment>
    <comment ref="C43" authorId="1">
      <text>
        <r>
          <rPr>
            <b/>
            <sz val="9"/>
            <color indexed="81"/>
            <rFont val="Tahoma"/>
            <family val="2"/>
          </rPr>
          <t>Quangbxdth:</t>
        </r>
        <r>
          <rPr>
            <sz val="9"/>
            <color indexed="81"/>
            <rFont val="Tahoma"/>
            <family val="2"/>
          </rPr>
          <t xml:space="preserve">
Tr.đó: - Thu phạt vi phạm ATGT: 47.000 trđ</t>
        </r>
      </text>
    </comment>
    <comment ref="K43" authorId="2">
      <text>
        <r>
          <rPr>
            <b/>
            <sz val="9"/>
            <color indexed="81"/>
            <rFont val="Tahoma"/>
            <family val="2"/>
          </rPr>
          <t>quangbxdth:</t>
        </r>
        <r>
          <rPr>
            <sz val="9"/>
            <color indexed="81"/>
            <rFont val="Tahoma"/>
            <family val="2"/>
          </rPr>
          <t xml:space="preserve">
Trong đó : phạt ATGT: 46.000 trđ</t>
        </r>
      </text>
    </comment>
    <comment ref="C45" authorId="0">
      <text>
        <r>
          <rPr>
            <b/>
            <sz val="9"/>
            <color indexed="81"/>
            <rFont val="Tahoma"/>
            <family val="2"/>
          </rPr>
          <t>quangbx:</t>
        </r>
        <r>
          <rPr>
            <sz val="9"/>
            <color indexed="81"/>
            <rFont val="Tahoma"/>
            <family val="2"/>
          </rPr>
          <t xml:space="preserve">
98,777 tỷ đồng</t>
        </r>
      </text>
    </comment>
    <comment ref="C48" authorId="2">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text>
        <r>
          <rPr>
            <b/>
            <sz val="9"/>
            <color indexed="81"/>
            <rFont val="Tahoma"/>
            <family val="2"/>
          </rPr>
          <t>quangbxdth:</t>
        </r>
        <r>
          <rPr>
            <sz val="9"/>
            <color indexed="81"/>
            <rFont val="Tahoma"/>
            <family val="2"/>
          </rPr>
          <t xml:space="preserve">
+4.693.126 trđ (năm 2017)
+ 94.000 trd (# năm 2019)
</t>
        </r>
      </text>
    </comment>
    <comment ref="R53" authorId="1">
      <text>
        <r>
          <rPr>
            <b/>
            <sz val="9"/>
            <color indexed="81"/>
            <rFont val="Tahoma"/>
            <family val="2"/>
          </rPr>
          <t>Quangbxdth:</t>
        </r>
        <r>
          <rPr>
            <sz val="9"/>
            <color indexed="81"/>
            <rFont val="Tahoma"/>
            <family val="2"/>
          </rPr>
          <t xml:space="preserve">
6.487.488 trđ</t>
        </r>
      </text>
    </comment>
    <comment ref="C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8.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C15" authorId="0">
      <text>
        <r>
          <rPr>
            <b/>
            <sz val="9"/>
            <color indexed="81"/>
            <rFont val="Segoe UI"/>
            <family val="2"/>
          </rPr>
          <t>quangbx:</t>
        </r>
        <r>
          <rPr>
            <sz val="9"/>
            <color indexed="81"/>
            <rFont val="Segoe UI"/>
            <family val="2"/>
          </rPr>
          <t xml:space="preserve">
BTC giao: 9.045.866 trd</t>
        </r>
      </text>
    </comment>
    <comment ref="K15" authorId="1">
      <text>
        <r>
          <rPr>
            <b/>
            <sz val="9"/>
            <color indexed="81"/>
            <rFont val="Tahoma"/>
            <family val="2"/>
          </rPr>
          <t>Quangbxdth:</t>
        </r>
        <r>
          <rPr>
            <sz val="9"/>
            <color indexed="81"/>
            <rFont val="Tahoma"/>
            <family val="2"/>
          </rPr>
          <t xml:space="preserve">
Năm 2023: 9.402.554 trđ
</t>
        </r>
      </text>
    </comment>
    <comment ref="K16" authorId="1">
      <text>
        <r>
          <rPr>
            <b/>
            <sz val="9"/>
            <color indexed="81"/>
            <rFont val="Tahoma"/>
            <family val="2"/>
          </rPr>
          <t>Quangbxdth:</t>
        </r>
        <r>
          <rPr>
            <sz val="9"/>
            <color indexed="81"/>
            <rFont val="Tahoma"/>
            <family val="2"/>
          </rPr>
          <t xml:space="preserve">
Định mức: 1.560.129 trđ</t>
        </r>
      </text>
    </comment>
    <comment ref="C17" authorId="2">
      <text>
        <r>
          <rPr>
            <b/>
            <sz val="9"/>
            <color indexed="81"/>
            <rFont val="Tahoma"/>
            <family val="2"/>
          </rPr>
          <t>Quangbx:</t>
        </r>
        <r>
          <rPr>
            <sz val="9"/>
            <color indexed="81"/>
            <rFont val="Tahoma"/>
            <family val="2"/>
          </rPr>
          <t xml:space="preserve">
Tw hướng dẫn: 99.374 trđ
(CL: 44.095 trđ)</t>
        </r>
      </text>
    </comment>
    <comment ref="K17" authorId="2">
      <text>
        <r>
          <rPr>
            <b/>
            <sz val="9"/>
            <color indexed="81"/>
            <rFont val="Tahoma"/>
            <family val="2"/>
          </rPr>
          <t>Quangbx:</t>
        </r>
        <r>
          <rPr>
            <sz val="9"/>
            <color indexed="81"/>
            <rFont val="Tahoma"/>
            <family val="2"/>
          </rPr>
          <t xml:space="preserve">
-Định mức: 59.674 trđ
</t>
        </r>
      </text>
    </comment>
    <comment ref="C19" authorId="3">
      <text>
        <r>
          <rPr>
            <b/>
            <sz val="9"/>
            <color indexed="81"/>
            <rFont val="Tahoma"/>
            <family val="2"/>
          </rPr>
          <t>quangbx:</t>
        </r>
        <r>
          <rPr>
            <sz val="9"/>
            <color indexed="81"/>
            <rFont val="Tahoma"/>
            <family val="2"/>
          </rPr>
          <t xml:space="preserve">
Tw hướng dẫn: 27.026 trđ</t>
        </r>
      </text>
    </comment>
    <comment ref="K19" authorId="3">
      <text>
        <r>
          <rPr>
            <b/>
            <sz val="9"/>
            <color indexed="81"/>
            <rFont val="Tahoma"/>
            <family val="2"/>
          </rPr>
          <t>quangbx:</t>
        </r>
        <r>
          <rPr>
            <sz val="9"/>
            <color indexed="81"/>
            <rFont val="Tahoma"/>
            <family val="2"/>
          </rPr>
          <t xml:space="preserve">
Tw hướng dẫn: 27.918 trđ</t>
        </r>
      </text>
    </comment>
    <comment ref="K20"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text>
        <r>
          <rPr>
            <b/>
            <sz val="9"/>
            <color indexed="81"/>
            <rFont val="Tahoma"/>
            <family val="2"/>
          </rPr>
          <t>Quangbxdth:</t>
        </r>
        <r>
          <rPr>
            <sz val="9"/>
            <color indexed="81"/>
            <rFont val="Tahoma"/>
            <family val="2"/>
          </rPr>
          <t xml:space="preserve">
Định mức: 760.427 trđ</t>
        </r>
      </text>
    </comment>
    <comment ref="K22" authorId="4">
      <text>
        <r>
          <rPr>
            <b/>
            <sz val="9"/>
            <color indexed="81"/>
            <rFont val="Tahoma"/>
            <family val="2"/>
          </rPr>
          <t>quangbxdth:</t>
        </r>
        <r>
          <rPr>
            <sz val="9"/>
            <color indexed="81"/>
            <rFont val="Tahoma"/>
            <family val="2"/>
          </rPr>
          <t xml:space="preserve">
- Định mức: 73.993 trđ
</t>
        </r>
      </text>
    </comment>
    <comment ref="K23" authorId="4">
      <text>
        <r>
          <rPr>
            <b/>
            <sz val="9"/>
            <color indexed="81"/>
            <rFont val="Tahoma"/>
            <family val="2"/>
          </rPr>
          <t>quangbxdth:</t>
        </r>
        <r>
          <rPr>
            <sz val="9"/>
            <color indexed="81"/>
            <rFont val="Tahoma"/>
            <family val="2"/>
          </rPr>
          <t xml:space="preserve">
- Định mức: 44.408 trđ
</t>
        </r>
      </text>
    </comment>
    <comment ref="K24" authorId="4">
      <text>
        <r>
          <rPr>
            <b/>
            <sz val="9"/>
            <color indexed="81"/>
            <rFont val="Tahoma"/>
            <family val="2"/>
          </rPr>
          <t>quangbxdth:</t>
        </r>
        <r>
          <rPr>
            <sz val="9"/>
            <color indexed="81"/>
            <rFont val="Tahoma"/>
            <family val="2"/>
          </rPr>
          <t xml:space="preserve">
- Định mức: 38.158 trđ
</t>
        </r>
      </text>
    </comment>
    <comment ref="K25"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text>
        <r>
          <rPr>
            <b/>
            <sz val="9"/>
            <color indexed="81"/>
            <rFont val="Tahoma"/>
            <family val="2"/>
          </rPr>
          <t>quangbxdth:</t>
        </r>
        <r>
          <rPr>
            <sz val="9"/>
            <color indexed="81"/>
            <rFont val="Tahoma"/>
            <family val="2"/>
          </rPr>
          <t xml:space="preserve">
- Định mức AN-QP: 212.148 trđ (QP: 140.846 trđ; AN: 71.302 trđ)
</t>
        </r>
      </text>
    </comment>
    <comment ref="K28" authorId="4">
      <text>
        <r>
          <rPr>
            <b/>
            <sz val="9"/>
            <color indexed="81"/>
            <rFont val="Tahoma"/>
            <family val="2"/>
          </rPr>
          <t>quangbxdth:</t>
        </r>
        <r>
          <rPr>
            <sz val="9"/>
            <color indexed="81"/>
            <rFont val="Tahoma"/>
            <family val="2"/>
          </rPr>
          <t xml:space="preserve">
- Định mức: 43.035 trđ
</t>
        </r>
      </text>
    </comment>
    <comment ref="K29" authorId="0">
      <text>
        <r>
          <rPr>
            <b/>
            <sz val="8"/>
            <color indexed="81"/>
            <rFont val="Tahoma"/>
            <family val="2"/>
          </rPr>
          <t>quangbx:</t>
        </r>
        <r>
          <rPr>
            <sz val="8"/>
            <color indexed="81"/>
            <rFont val="Tahoma"/>
            <family val="2"/>
          </rPr>
          <t xml:space="preserve">
TW hướng dẫn: 1.400 trđ</t>
        </r>
      </text>
    </comment>
    <comment ref="C30" authorId="0">
      <text>
        <r>
          <rPr>
            <b/>
            <sz val="8"/>
            <color indexed="81"/>
            <rFont val="Tahoma"/>
            <family val="2"/>
          </rPr>
          <t>quangbx:</t>
        </r>
        <r>
          <rPr>
            <sz val="8"/>
            <color indexed="81"/>
            <rFont val="Tahoma"/>
            <family val="2"/>
          </rPr>
          <t xml:space="preserve">
TW hướng dẫn: 252.266 trđ
</t>
        </r>
      </text>
    </comment>
    <comment ref="K30" authorId="4">
      <text>
        <r>
          <rPr>
            <b/>
            <sz val="9"/>
            <color indexed="81"/>
            <rFont val="Tahoma"/>
            <family val="2"/>
          </rPr>
          <t>quangbxdth:</t>
        </r>
        <r>
          <rPr>
            <sz val="9"/>
            <color indexed="81"/>
            <rFont val="Tahoma"/>
            <family val="2"/>
          </rPr>
          <t xml:space="preserve">
- Định mức: 43.035 trđ
</t>
        </r>
      </text>
    </comment>
    <comment ref="K31" authorId="1">
      <text>
        <r>
          <rPr>
            <b/>
            <sz val="9"/>
            <color indexed="81"/>
            <rFont val="Tahoma"/>
            <family val="2"/>
          </rPr>
          <t>Quangbxdth:</t>
        </r>
        <r>
          <rPr>
            <sz val="9"/>
            <color indexed="81"/>
            <rFont val="Tahoma"/>
            <family val="2"/>
          </rPr>
          <t xml:space="preserve">
tạo nguồn và tích lũy cho giai đoạn 2021-2025</t>
        </r>
      </text>
    </comment>
    <comment ref="K34" authorId="4">
      <text>
        <r>
          <rPr>
            <b/>
            <sz val="9"/>
            <color indexed="81"/>
            <rFont val="Tahoma"/>
            <family val="2"/>
          </rPr>
          <t>quangbxdth:</t>
        </r>
        <r>
          <rPr>
            <sz val="9"/>
            <color indexed="81"/>
            <rFont val="Tahoma"/>
            <family val="2"/>
          </rPr>
          <t xml:space="preserve">
TW hướng dẫn: 2.100 trđ</t>
        </r>
      </text>
    </comment>
    <comment ref="K39" authorId="1">
      <text>
        <r>
          <rPr>
            <b/>
            <sz val="9"/>
            <color indexed="81"/>
            <rFont val="Tahoma"/>
            <family val="2"/>
          </rPr>
          <t>Quangbxdth:</t>
        </r>
        <r>
          <rPr>
            <sz val="9"/>
            <color indexed="81"/>
            <rFont val="Tahoma"/>
            <family val="2"/>
          </rPr>
          <t xml:space="preserve">
TW: 31.500 trđ</t>
        </r>
      </text>
    </comment>
  </commentList>
</comments>
</file>

<file path=xl/comments19.xml><?xml version="1.0" encoding="utf-8"?>
<comments xmlns="http://schemas.openxmlformats.org/spreadsheetml/2006/main">
  <authors>
    <author>pc</author>
  </authors>
  <commentList>
    <comment ref="E15" author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Q66" authorId="0">
      <text>
        <r>
          <rPr>
            <b/>
            <sz val="9"/>
            <color indexed="81"/>
            <rFont val="Tahoma"/>
            <family val="2"/>
          </rPr>
          <t>pc:</t>
        </r>
        <r>
          <rPr>
            <sz val="9"/>
            <color indexed="81"/>
            <rFont val="Tahoma"/>
            <family val="2"/>
          </rPr>
          <t xml:space="preserve">
200.406 Quỹ khen </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comments20.xml><?xml version="1.0" encoding="utf-8"?>
<comments xmlns="http://schemas.openxmlformats.org/spreadsheetml/2006/main">
  <authors>
    <author>Administrator</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List>
</comments>
</file>

<file path=xl/comments21.xml><?xml version="1.0" encoding="utf-8"?>
<comments xmlns="http://schemas.openxmlformats.org/spreadsheetml/2006/main">
  <authors>
    <author>Administrator</author>
    <author>pc</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 ref="G55" authorId="1">
      <text>
        <r>
          <rPr>
            <b/>
            <sz val="9"/>
            <color indexed="81"/>
            <rFont val="Tahoma"/>
            <family val="2"/>
          </rPr>
          <t>pc:</t>
        </r>
        <r>
          <rPr>
            <sz val="9"/>
            <color indexed="81"/>
            <rFont val="Tahoma"/>
            <family val="2"/>
          </rPr>
          <t xml:space="preserve">
Trình xử lý hụt thu theo huy định</t>
        </r>
      </text>
    </comment>
    <comment ref="H55" authorId="1">
      <text>
        <r>
          <rPr>
            <b/>
            <sz val="9"/>
            <color indexed="81"/>
            <rFont val="Tahoma"/>
            <family val="2"/>
          </rPr>
          <t>pc:</t>
        </r>
        <r>
          <rPr>
            <sz val="9"/>
            <color indexed="81"/>
            <rFont val="Tahoma"/>
            <family val="2"/>
          </rPr>
          <t xml:space="preserve">
Trình phân khai theo khoản 2, Điều 59 Luật NSNN</t>
        </r>
      </text>
    </comment>
  </commentList>
</comments>
</file>

<file path=xl/comments22.xml><?xml version="1.0" encoding="utf-8"?>
<comments xmlns="http://schemas.openxmlformats.org/spreadsheetml/2006/main">
  <authors>
    <author>pc</author>
  </authors>
  <commentList>
    <comment ref="W9" authorId="0">
      <text>
        <r>
          <rPr>
            <b/>
            <sz val="9"/>
            <color indexed="81"/>
            <rFont val="Tahoma"/>
            <family val="2"/>
          </rPr>
          <t>pc:
Chương trình MTQG (Vốn đầu tư XDCB)
1. NTM = 127.830
2. GNBV = 4.341 triệu đồng</t>
        </r>
      </text>
    </comment>
    <comment ref="W11" author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23.xml><?xml version="1.0" encoding="utf-8"?>
<comments xmlns="http://schemas.openxmlformats.org/spreadsheetml/2006/main">
  <authors>
    <author>pc</author>
    <author>quangbx</author>
    <author>Quangbxdth</author>
    <author>quangbxdth</author>
  </authors>
  <commentList>
    <comment ref="T4" author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text>
        <r>
          <rPr>
            <b/>
            <sz val="9"/>
            <color indexed="81"/>
            <rFont val="Tahoma"/>
            <family val="2"/>
          </rPr>
          <t>pc:
Năm xây dựng nên lấy làm gốc theo số thảo luận</t>
        </r>
        <r>
          <rPr>
            <sz val="9"/>
            <color indexed="81"/>
            <rFont val="Tahoma"/>
            <family val="2"/>
          </rPr>
          <t xml:space="preserve">
</t>
        </r>
      </text>
    </comment>
    <comment ref="C8" authorId="1">
      <text>
        <r>
          <rPr>
            <b/>
            <sz val="9"/>
            <color indexed="81"/>
            <rFont val="Tahoma"/>
            <family val="2"/>
          </rPr>
          <t>quangbx:</t>
        </r>
        <r>
          <rPr>
            <sz val="9"/>
            <color indexed="81"/>
            <rFont val="Tahoma"/>
            <family val="2"/>
          </rPr>
          <t xml:space="preserve">
6.818.777 triệu đồng</t>
        </r>
      </text>
    </comment>
    <comment ref="E8" authorId="2">
      <text>
        <r>
          <rPr>
            <b/>
            <sz val="9"/>
            <color indexed="81"/>
            <rFont val="Tahoma"/>
            <family val="2"/>
          </rPr>
          <t>Quangbxdth:</t>
        </r>
        <r>
          <rPr>
            <sz val="9"/>
            <color indexed="81"/>
            <rFont val="Tahoma"/>
            <family val="2"/>
          </rPr>
          <t xml:space="preserve">
5.809.777 trđ`</t>
        </r>
      </text>
    </comment>
    <comment ref="N10" authorId="0">
      <text>
        <r>
          <rPr>
            <b/>
            <sz val="9"/>
            <color indexed="81"/>
            <rFont val="Tahoma"/>
            <family val="2"/>
          </rPr>
          <t>pc:</t>
        </r>
        <r>
          <rPr>
            <sz val="9"/>
            <color indexed="81"/>
            <rFont val="Tahoma"/>
            <family val="2"/>
          </rPr>
          <t xml:space="preserve">
Chú ý số CPH không đưa vào cân đối</t>
        </r>
      </text>
    </comment>
    <comment ref="V38" authorId="3">
      <text>
        <r>
          <rPr>
            <b/>
            <sz val="9"/>
            <color indexed="81"/>
            <rFont val="Tahoma"/>
            <family val="2"/>
          </rPr>
          <t>quangbxdth:</t>
        </r>
        <r>
          <rPr>
            <sz val="9"/>
            <color indexed="81"/>
            <rFont val="Tahoma"/>
            <family val="2"/>
          </rPr>
          <t xml:space="preserve">
tỷ lệ: 40% điiều tiết NSTW, còn địa phuong huong 60%</t>
        </r>
      </text>
    </comment>
    <comment ref="AB38" authorId="3">
      <text>
        <r>
          <rPr>
            <b/>
            <sz val="9"/>
            <color indexed="81"/>
            <rFont val="Tahoma"/>
            <family val="2"/>
          </rPr>
          <t>quangbxdth:</t>
        </r>
        <r>
          <rPr>
            <sz val="9"/>
            <color indexed="81"/>
            <rFont val="Tahoma"/>
            <family val="2"/>
          </rPr>
          <t xml:space="preserve">
tỷ lệ: 40% điiều tiết NSTW, còn địa phuong huong 60%</t>
        </r>
      </text>
    </comment>
    <comment ref="AH38" authorId="3">
      <text>
        <r>
          <rPr>
            <b/>
            <sz val="9"/>
            <color indexed="81"/>
            <rFont val="Tahoma"/>
            <family val="2"/>
          </rPr>
          <t>quangbxdth:</t>
        </r>
        <r>
          <rPr>
            <sz val="9"/>
            <color indexed="81"/>
            <rFont val="Tahoma"/>
            <family val="2"/>
          </rPr>
          <t xml:space="preserve">
tỷ lệ: 40% điiều tiết NSTW, còn địa phuong huong 60%</t>
        </r>
      </text>
    </comment>
    <comment ref="AN38" authorId="3">
      <text>
        <r>
          <rPr>
            <b/>
            <sz val="9"/>
            <color indexed="81"/>
            <rFont val="Tahoma"/>
            <family val="2"/>
          </rPr>
          <t>quangbxdth:</t>
        </r>
        <r>
          <rPr>
            <sz val="9"/>
            <color indexed="81"/>
            <rFont val="Tahoma"/>
            <family val="2"/>
          </rPr>
          <t xml:space="preserve">
tỷ lệ: 40% điiều tiết NSTW, còn địa phuong huong 60%</t>
        </r>
      </text>
    </comment>
    <comment ref="AT38" authorId="3">
      <text>
        <r>
          <rPr>
            <b/>
            <sz val="9"/>
            <color indexed="81"/>
            <rFont val="Tahoma"/>
            <family val="2"/>
          </rPr>
          <t>quangbxdth:</t>
        </r>
        <r>
          <rPr>
            <sz val="9"/>
            <color indexed="81"/>
            <rFont val="Tahoma"/>
            <family val="2"/>
          </rPr>
          <t xml:space="preserve">
tỷ lệ: 40% điiều tiết NSTW, còn địa phuong huong 60%</t>
        </r>
      </text>
    </comment>
    <comment ref="AZ38" authorId="3">
      <text>
        <r>
          <rPr>
            <b/>
            <sz val="9"/>
            <color indexed="81"/>
            <rFont val="Tahoma"/>
            <family val="2"/>
          </rPr>
          <t>quangbxdth:</t>
        </r>
        <r>
          <rPr>
            <sz val="9"/>
            <color indexed="81"/>
            <rFont val="Tahoma"/>
            <family val="2"/>
          </rPr>
          <t xml:space="preserve">
tỷ lệ: 40% điiều tiết NSTW, còn địa phuong huong 60%</t>
        </r>
      </text>
    </comment>
    <comment ref="BF38" authorId="3">
      <text>
        <r>
          <rPr>
            <b/>
            <sz val="9"/>
            <color indexed="81"/>
            <rFont val="Tahoma"/>
            <family val="2"/>
          </rPr>
          <t>quangbxdth:</t>
        </r>
        <r>
          <rPr>
            <sz val="9"/>
            <color indexed="81"/>
            <rFont val="Tahoma"/>
            <family val="2"/>
          </rPr>
          <t xml:space="preserve">
tỷ lệ: 40% điiều tiết NSTW, còn địa phuong huong 60%</t>
        </r>
      </text>
    </comment>
    <comment ref="BL38" authorId="3">
      <text>
        <r>
          <rPr>
            <b/>
            <sz val="9"/>
            <color indexed="81"/>
            <rFont val="Tahoma"/>
            <family val="2"/>
          </rPr>
          <t>quangbxdth:</t>
        </r>
        <r>
          <rPr>
            <sz val="9"/>
            <color indexed="81"/>
            <rFont val="Tahoma"/>
            <family val="2"/>
          </rPr>
          <t xml:space="preserve">
tỷ lệ: 40% điiều tiết NSTW, còn địa phuong huong 60%</t>
        </r>
      </text>
    </comment>
    <comment ref="C39" authorId="2">
      <text>
        <r>
          <rPr>
            <b/>
            <sz val="10"/>
            <color indexed="81"/>
            <rFont val="Tahoma"/>
            <family val="2"/>
          </rPr>
          <t>Quangbxdth:</t>
        </r>
        <r>
          <rPr>
            <sz val="10"/>
            <color indexed="81"/>
            <rFont val="Tahoma"/>
            <family val="2"/>
          </rPr>
          <t xml:space="preserve">
Tr.đó:+ Phí BVMT đối với khai thác khoáng sản: 46.000 trđ</t>
        </r>
      </text>
    </comment>
    <comment ref="D39" authorId="2">
      <text>
        <r>
          <rPr>
            <b/>
            <sz val="9"/>
            <color indexed="81"/>
            <rFont val="Tahoma"/>
            <family val="2"/>
          </rPr>
          <t>Quangbxdth:</t>
        </r>
        <r>
          <rPr>
            <sz val="9"/>
            <color indexed="81"/>
            <rFont val="Tahoma"/>
            <family val="2"/>
          </rPr>
          <t xml:space="preserve">
Lệ phí cấp căn cước công dân: 15,9 tỷ đồng</t>
        </r>
      </text>
    </comment>
    <comment ref="G39" authorId="1">
      <text>
        <r>
          <rPr>
            <b/>
            <sz val="8"/>
            <color indexed="81"/>
            <rFont val="Tahoma"/>
            <family val="2"/>
          </rPr>
          <t>quangbx:</t>
        </r>
        <r>
          <rPr>
            <sz val="8"/>
            <color indexed="81"/>
            <rFont val="Tahoma"/>
            <family val="2"/>
          </rPr>
          <t xml:space="preserve">
59.500 trđ</t>
        </r>
      </text>
    </comment>
    <comment ref="H39" authorId="2">
      <text>
        <r>
          <rPr>
            <b/>
            <sz val="10"/>
            <color indexed="81"/>
            <rFont val="Tahoma"/>
            <family val="2"/>
          </rPr>
          <t>Quangbxdth:</t>
        </r>
        <r>
          <rPr>
            <sz val="10"/>
            <color indexed="81"/>
            <rFont val="Tahoma"/>
            <family val="2"/>
          </rPr>
          <t xml:space="preserve">
Tr.đó:+ Phí BVMT đối với khai thác khoáng sản: 45.000 trđ</t>
        </r>
      </text>
    </comment>
    <comment ref="R39" authorId="2">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text>
        <r>
          <rPr>
            <b/>
            <sz val="9"/>
            <color indexed="81"/>
            <rFont val="Tahoma"/>
            <family val="2"/>
          </rPr>
          <t>quangbx:</t>
        </r>
        <r>
          <rPr>
            <sz val="9"/>
            <color indexed="81"/>
            <rFont val="Tahoma"/>
            <family val="2"/>
          </rPr>
          <t xml:space="preserve">
TW giao 850 tỷ đồng</t>
        </r>
      </text>
    </comment>
    <comment ref="C43" authorId="2">
      <text>
        <r>
          <rPr>
            <b/>
            <sz val="9"/>
            <color indexed="81"/>
            <rFont val="Tahoma"/>
            <family val="2"/>
          </rPr>
          <t>Quangbxdth:</t>
        </r>
        <r>
          <rPr>
            <sz val="9"/>
            <color indexed="81"/>
            <rFont val="Tahoma"/>
            <family val="2"/>
          </rPr>
          <t xml:space="preserve">
Tr.đó: - Thu phạt vi phạm ATGT: 47.000 trđ</t>
        </r>
      </text>
    </comment>
    <comment ref="K43" authorId="3">
      <text>
        <r>
          <rPr>
            <b/>
            <sz val="9"/>
            <color indexed="81"/>
            <rFont val="Tahoma"/>
            <family val="2"/>
          </rPr>
          <t>quangbxdth:</t>
        </r>
        <r>
          <rPr>
            <sz val="9"/>
            <color indexed="81"/>
            <rFont val="Tahoma"/>
            <family val="2"/>
          </rPr>
          <t xml:space="preserve">
Trong đó : phạt ATGT: 46.000 trđ</t>
        </r>
      </text>
    </comment>
    <comment ref="C45" authorId="1">
      <text>
        <r>
          <rPr>
            <b/>
            <sz val="9"/>
            <color indexed="81"/>
            <rFont val="Tahoma"/>
            <family val="2"/>
          </rPr>
          <t>quangbx:</t>
        </r>
        <r>
          <rPr>
            <sz val="9"/>
            <color indexed="81"/>
            <rFont val="Tahoma"/>
            <family val="2"/>
          </rPr>
          <t xml:space="preserve">
98,777 tỷ đồng</t>
        </r>
      </text>
    </comment>
    <comment ref="C48" authorId="3">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text>
        <r>
          <rPr>
            <b/>
            <sz val="9"/>
            <color indexed="81"/>
            <rFont val="Tahoma"/>
            <family val="2"/>
          </rPr>
          <t>quangbxdth:</t>
        </r>
        <r>
          <rPr>
            <sz val="9"/>
            <color indexed="81"/>
            <rFont val="Tahoma"/>
            <family val="2"/>
          </rPr>
          <t xml:space="preserve">
+4.693.126 trđ (năm 2017)
+ 94.000 trd (# năm 2019)
</t>
        </r>
      </text>
    </comment>
    <comment ref="R53" authorId="2">
      <text>
        <r>
          <rPr>
            <b/>
            <sz val="9"/>
            <color indexed="81"/>
            <rFont val="Tahoma"/>
            <family val="2"/>
          </rPr>
          <t>Quangbxdth:</t>
        </r>
        <r>
          <rPr>
            <sz val="9"/>
            <color indexed="81"/>
            <rFont val="Tahoma"/>
            <family val="2"/>
          </rPr>
          <t xml:space="preserve">
6.487.488 trđ</t>
        </r>
      </text>
    </comment>
    <comment ref="C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4.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P11" authorId="0">
      <text>
        <r>
          <rPr>
            <b/>
            <sz val="9"/>
            <color indexed="81"/>
            <rFont val="Segoe UI"/>
            <family val="2"/>
          </rPr>
          <t>quangbx:</t>
        </r>
        <r>
          <rPr>
            <sz val="9"/>
            <color indexed="81"/>
            <rFont val="Segoe UI"/>
            <family val="2"/>
          </rPr>
          <t xml:space="preserve">
TW hướng dẫn: 850 tỷ đồng</t>
        </r>
      </text>
    </comment>
    <comment ref="C14" authorId="0">
      <text>
        <r>
          <rPr>
            <b/>
            <sz val="9"/>
            <color indexed="81"/>
            <rFont val="Segoe UI"/>
            <family val="2"/>
          </rPr>
          <t>quangbx:</t>
        </r>
        <r>
          <rPr>
            <sz val="9"/>
            <color indexed="81"/>
            <rFont val="Segoe UI"/>
            <family val="2"/>
          </rPr>
          <t xml:space="preserve">
BTC giao: 9.045.866 trd</t>
        </r>
      </text>
    </comment>
    <comment ref="K14" authorId="1">
      <text>
        <r>
          <rPr>
            <b/>
            <sz val="9"/>
            <color indexed="81"/>
            <rFont val="Tahoma"/>
            <family val="2"/>
          </rPr>
          <t>Quangbxdth:</t>
        </r>
        <r>
          <rPr>
            <sz val="9"/>
            <color indexed="81"/>
            <rFont val="Tahoma"/>
            <family val="2"/>
          </rPr>
          <t xml:space="preserve">
Năm 2023: 9.402.554 trđ
</t>
        </r>
      </text>
    </comment>
    <comment ref="P14" authorId="1">
      <text>
        <r>
          <rPr>
            <b/>
            <sz val="9"/>
            <color indexed="81"/>
            <rFont val="Tahoma"/>
            <family val="2"/>
          </rPr>
          <t>Quangbxdth:</t>
        </r>
        <r>
          <rPr>
            <sz val="9"/>
            <color indexed="81"/>
            <rFont val="Tahoma"/>
            <family val="2"/>
          </rPr>
          <t xml:space="preserve">
Năm 2023: 9.402.554 trđ
</t>
        </r>
      </text>
    </comment>
    <comment ref="K15" authorId="1">
      <text>
        <r>
          <rPr>
            <b/>
            <sz val="9"/>
            <color indexed="81"/>
            <rFont val="Tahoma"/>
            <family val="2"/>
          </rPr>
          <t>Quangbxdth:</t>
        </r>
        <r>
          <rPr>
            <sz val="9"/>
            <color indexed="81"/>
            <rFont val="Tahoma"/>
            <family val="2"/>
          </rPr>
          <t xml:space="preserve">
Định mức: 1.560.129 trđ</t>
        </r>
      </text>
    </comment>
    <comment ref="C16" authorId="2">
      <text>
        <r>
          <rPr>
            <b/>
            <sz val="9"/>
            <color indexed="81"/>
            <rFont val="Tahoma"/>
            <family val="2"/>
          </rPr>
          <t>Quangbx:</t>
        </r>
        <r>
          <rPr>
            <sz val="9"/>
            <color indexed="81"/>
            <rFont val="Tahoma"/>
            <family val="2"/>
          </rPr>
          <t xml:space="preserve">
Tw hướng dẫn: 99.374 trđ
(CL: 44.095 trđ)</t>
        </r>
      </text>
    </comment>
    <comment ref="K16" authorId="2">
      <text>
        <r>
          <rPr>
            <b/>
            <sz val="9"/>
            <color indexed="81"/>
            <rFont val="Tahoma"/>
            <family val="2"/>
          </rPr>
          <t>Quangbx:</t>
        </r>
        <r>
          <rPr>
            <sz val="9"/>
            <color indexed="81"/>
            <rFont val="Tahoma"/>
            <family val="2"/>
          </rPr>
          <t xml:space="preserve">
-Định mức: 59.674 trđ
</t>
        </r>
      </text>
    </comment>
    <comment ref="C18" authorId="3">
      <text>
        <r>
          <rPr>
            <b/>
            <sz val="9"/>
            <color indexed="81"/>
            <rFont val="Tahoma"/>
            <family val="2"/>
          </rPr>
          <t>quangbx:</t>
        </r>
        <r>
          <rPr>
            <sz val="9"/>
            <color indexed="81"/>
            <rFont val="Tahoma"/>
            <family val="2"/>
          </rPr>
          <t xml:space="preserve">
Tw hướng dẫn: 27.026 trđ</t>
        </r>
      </text>
    </comment>
    <comment ref="K18" authorId="3">
      <text>
        <r>
          <rPr>
            <b/>
            <sz val="9"/>
            <color indexed="81"/>
            <rFont val="Tahoma"/>
            <family val="2"/>
          </rPr>
          <t>quangbx:</t>
        </r>
        <r>
          <rPr>
            <sz val="9"/>
            <color indexed="81"/>
            <rFont val="Tahoma"/>
            <family val="2"/>
          </rPr>
          <t xml:space="preserve">
Tw hướng dẫn: 27.918 trđ</t>
        </r>
      </text>
    </comment>
    <comment ref="K19"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text>
        <r>
          <rPr>
            <b/>
            <sz val="9"/>
            <color indexed="81"/>
            <rFont val="Tahoma"/>
            <family val="2"/>
          </rPr>
          <t>Quangbxdth:</t>
        </r>
        <r>
          <rPr>
            <sz val="9"/>
            <color indexed="81"/>
            <rFont val="Tahoma"/>
            <family val="2"/>
          </rPr>
          <t xml:space="preserve">
Định mức: 760.427 trđ</t>
        </r>
      </text>
    </comment>
    <comment ref="K21" authorId="4">
      <text>
        <r>
          <rPr>
            <b/>
            <sz val="9"/>
            <color indexed="81"/>
            <rFont val="Tahoma"/>
            <family val="2"/>
          </rPr>
          <t>quangbxdth:</t>
        </r>
        <r>
          <rPr>
            <sz val="9"/>
            <color indexed="81"/>
            <rFont val="Tahoma"/>
            <family val="2"/>
          </rPr>
          <t xml:space="preserve">
- Định mức: 73.993 trđ
</t>
        </r>
      </text>
    </comment>
    <comment ref="K22" authorId="4">
      <text>
        <r>
          <rPr>
            <b/>
            <sz val="9"/>
            <color indexed="81"/>
            <rFont val="Tahoma"/>
            <family val="2"/>
          </rPr>
          <t>quangbxdth:</t>
        </r>
        <r>
          <rPr>
            <sz val="9"/>
            <color indexed="81"/>
            <rFont val="Tahoma"/>
            <family val="2"/>
          </rPr>
          <t xml:space="preserve">
- Định mức: 44.408 trđ
</t>
        </r>
      </text>
    </comment>
    <comment ref="K23" authorId="4">
      <text>
        <r>
          <rPr>
            <b/>
            <sz val="9"/>
            <color indexed="81"/>
            <rFont val="Tahoma"/>
            <family val="2"/>
          </rPr>
          <t>quangbxdth:</t>
        </r>
        <r>
          <rPr>
            <sz val="9"/>
            <color indexed="81"/>
            <rFont val="Tahoma"/>
            <family val="2"/>
          </rPr>
          <t xml:space="preserve">
- Định mức: 38.158 trđ
</t>
        </r>
      </text>
    </comment>
    <comment ref="K24"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text>
        <r>
          <rPr>
            <b/>
            <sz val="9"/>
            <color indexed="81"/>
            <rFont val="Tahoma"/>
            <family val="2"/>
          </rPr>
          <t>quangbxdth:</t>
        </r>
        <r>
          <rPr>
            <sz val="9"/>
            <color indexed="81"/>
            <rFont val="Tahoma"/>
            <family val="2"/>
          </rPr>
          <t xml:space="preserve">
- Định mức AN-QP: 212.148 trđ (QP: 140.846 trđ; AN: 71.302 trđ)
</t>
        </r>
      </text>
    </comment>
    <comment ref="K27" authorId="4">
      <text>
        <r>
          <rPr>
            <b/>
            <sz val="9"/>
            <color indexed="81"/>
            <rFont val="Tahoma"/>
            <family val="2"/>
          </rPr>
          <t>quangbxdth:</t>
        </r>
        <r>
          <rPr>
            <sz val="9"/>
            <color indexed="81"/>
            <rFont val="Tahoma"/>
            <family val="2"/>
          </rPr>
          <t xml:space="preserve">
- Định mức: 43.035 trđ
</t>
        </r>
      </text>
    </comment>
    <comment ref="K28" authorId="0">
      <text>
        <r>
          <rPr>
            <b/>
            <sz val="8"/>
            <color indexed="81"/>
            <rFont val="Tahoma"/>
            <family val="2"/>
          </rPr>
          <t>quangbx:</t>
        </r>
        <r>
          <rPr>
            <sz val="8"/>
            <color indexed="81"/>
            <rFont val="Tahoma"/>
            <family val="2"/>
          </rPr>
          <t xml:space="preserve">
TW hướng dẫn: 1.400 trđ</t>
        </r>
      </text>
    </comment>
    <comment ref="C29" authorId="0">
      <text>
        <r>
          <rPr>
            <b/>
            <sz val="8"/>
            <color indexed="81"/>
            <rFont val="Tahoma"/>
            <family val="2"/>
          </rPr>
          <t>quangbx:</t>
        </r>
        <r>
          <rPr>
            <sz val="8"/>
            <color indexed="81"/>
            <rFont val="Tahoma"/>
            <family val="2"/>
          </rPr>
          <t xml:space="preserve">
TW hướng dẫn: 252.266 trđ
</t>
        </r>
      </text>
    </comment>
    <comment ref="K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text>
        <r>
          <rPr>
            <b/>
            <sz val="9"/>
            <color indexed="81"/>
            <rFont val="Tahoma"/>
            <family val="2"/>
          </rPr>
          <t>Quangbxdth:</t>
        </r>
        <r>
          <rPr>
            <sz val="9"/>
            <color indexed="81"/>
            <rFont val="Tahoma"/>
            <family val="2"/>
          </rPr>
          <t xml:space="preserve">
tạo nguồn và tích lũy cho giai đoạn 2021-2025</t>
        </r>
      </text>
    </comment>
    <comment ref="P30" authorId="1">
      <text>
        <r>
          <rPr>
            <b/>
            <sz val="9"/>
            <color indexed="81"/>
            <rFont val="Tahoma"/>
            <family val="2"/>
          </rPr>
          <t>Quangbxdth:</t>
        </r>
        <r>
          <rPr>
            <sz val="9"/>
            <color indexed="81"/>
            <rFont val="Tahoma"/>
            <family val="2"/>
          </rPr>
          <t xml:space="preserve">
tạo nguồn và tích lũy cho giai đoạn 2021-2025</t>
        </r>
      </text>
    </comment>
    <comment ref="C33" authorId="4">
      <text>
        <r>
          <rPr>
            <b/>
            <sz val="9"/>
            <color indexed="81"/>
            <rFont val="Tahoma"/>
            <family val="2"/>
          </rPr>
          <t>quangbxdth:</t>
        </r>
        <r>
          <rPr>
            <sz val="9"/>
            <color indexed="81"/>
            <rFont val="Tahoma"/>
            <family val="2"/>
          </rPr>
          <t xml:space="preserve">
+15 tỷ đồng x 2%=300 trđ</t>
        </r>
      </text>
    </comment>
    <comment ref="K33" authorId="4">
      <text>
        <r>
          <rPr>
            <b/>
            <sz val="9"/>
            <color indexed="81"/>
            <rFont val="Tahoma"/>
            <family val="2"/>
          </rPr>
          <t>quangbxdth:</t>
        </r>
        <r>
          <rPr>
            <sz val="9"/>
            <color indexed="81"/>
            <rFont val="Tahoma"/>
            <family val="2"/>
          </rPr>
          <t xml:space="preserve">
TW hướng dẫn: 2.100 trđ</t>
        </r>
      </text>
    </comment>
    <comment ref="P33" authorId="4">
      <text>
        <r>
          <rPr>
            <b/>
            <sz val="9"/>
            <color indexed="81"/>
            <rFont val="Tahoma"/>
            <family val="2"/>
          </rPr>
          <t>quangbxdth:</t>
        </r>
        <r>
          <rPr>
            <sz val="9"/>
            <color indexed="81"/>
            <rFont val="Tahoma"/>
            <family val="2"/>
          </rPr>
          <t xml:space="preserve">
TW hướng dẫn: 2.100 trđ</t>
        </r>
      </text>
    </comment>
    <comment ref="K38" authorId="1">
      <text>
        <r>
          <rPr>
            <b/>
            <sz val="9"/>
            <color indexed="81"/>
            <rFont val="Tahoma"/>
            <family val="2"/>
          </rPr>
          <t>Quangbxdth:</t>
        </r>
        <r>
          <rPr>
            <sz val="9"/>
            <color indexed="81"/>
            <rFont val="Tahoma"/>
            <family val="2"/>
          </rPr>
          <t xml:space="preserve">
TW: 31.500 trđ</t>
        </r>
      </text>
    </comment>
    <comment ref="P38" authorId="1">
      <text>
        <r>
          <rPr>
            <b/>
            <sz val="9"/>
            <color indexed="81"/>
            <rFont val="Tahoma"/>
            <family val="2"/>
          </rPr>
          <t>Quangbxdth:</t>
        </r>
        <r>
          <rPr>
            <sz val="9"/>
            <color indexed="81"/>
            <rFont val="Tahoma"/>
            <family val="2"/>
          </rPr>
          <t xml:space="preserve">
TW: 31.500 trđ</t>
        </r>
      </text>
    </comment>
  </commentList>
</comments>
</file>

<file path=xl/comments25.xml><?xml version="1.0" encoding="utf-8"?>
<comments xmlns="http://schemas.openxmlformats.org/spreadsheetml/2006/main">
  <authors>
    <author>pc</author>
    <author>quangbxdth</author>
    <author>Quangbxdth</author>
  </authors>
  <commentList>
    <comment ref="AP5" authorId="0">
      <text>
        <r>
          <rPr>
            <b/>
            <sz val="12"/>
            <color indexed="81"/>
            <rFont val="Times New Roman"/>
            <family val="1"/>
          </rPr>
          <t>Số liệu thực hiện đến 31/12/2023</t>
        </r>
        <r>
          <rPr>
            <sz val="9"/>
            <color indexed="81"/>
            <rFont val="Tahoma"/>
            <family val="2"/>
          </rPr>
          <t xml:space="preserve">
</t>
        </r>
      </text>
    </comment>
    <comment ref="B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1">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1">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1">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1">
      <text>
        <r>
          <rPr>
            <b/>
            <sz val="9"/>
            <color indexed="81"/>
            <rFont val="Tahoma"/>
            <family val="2"/>
          </rPr>
          <t>quangbxdth:</t>
        </r>
        <r>
          <rPr>
            <sz val="9"/>
            <color indexed="81"/>
            <rFont val="Tahoma"/>
            <family val="2"/>
          </rPr>
          <t xml:space="preserve">
+4.693.126 trđ (năm 2017)
+ 94.000 trd (# năm 2019)
</t>
        </r>
      </text>
    </comment>
    <comment ref="R32" authorId="2">
      <text>
        <r>
          <rPr>
            <b/>
            <sz val="9"/>
            <color indexed="81"/>
            <rFont val="Tahoma"/>
            <family val="2"/>
          </rPr>
          <t>Quangbxdth:</t>
        </r>
        <r>
          <rPr>
            <sz val="9"/>
            <color indexed="81"/>
            <rFont val="Tahoma"/>
            <family val="2"/>
          </rPr>
          <t xml:space="preserve">
6.487.488 trđ</t>
        </r>
      </text>
    </comment>
    <comment ref="Y32" authorId="0">
      <text>
        <r>
          <rPr>
            <b/>
            <sz val="9"/>
            <color indexed="81"/>
            <rFont val="Tahoma"/>
            <family val="2"/>
          </rPr>
          <t>pc:</t>
        </r>
        <r>
          <rPr>
            <sz val="9"/>
            <color indexed="81"/>
            <rFont val="Tahoma"/>
            <family val="2"/>
          </rPr>
          <t xml:space="preserve">
Bổ sung tăng 2% so với đầu chu kỳ 96.000 triệu đồng</t>
        </r>
      </text>
    </comment>
    <comment ref="Y34" author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0">
      <text>
        <r>
          <rPr>
            <b/>
            <sz val="9"/>
            <color indexed="81"/>
            <rFont val="Tahoma"/>
            <family val="2"/>
          </rPr>
          <t>pc:</t>
        </r>
        <r>
          <rPr>
            <sz val="9"/>
            <color indexed="81"/>
            <rFont val="Tahoma"/>
            <family val="2"/>
          </rPr>
          <t xml:space="preserve">
Vốn ngoài nước 310.000 triệu đồng</t>
        </r>
      </text>
    </comment>
    <comment ref="Y35" authorId="0">
      <text>
        <r>
          <rPr>
            <b/>
            <sz val="9"/>
            <color indexed="81"/>
            <rFont val="Tahoma"/>
            <family val="2"/>
          </rPr>
          <t>pc:</t>
        </r>
        <r>
          <rPr>
            <sz val="9"/>
            <color indexed="81"/>
            <rFont val="Tahoma"/>
            <family val="2"/>
          </rPr>
          <t xml:space="preserve">
Vốn NTM = 90.100
Giảm nghèo 11.255</t>
        </r>
      </text>
    </comment>
    <comment ref="AE35" authorId="0">
      <text>
        <r>
          <rPr>
            <b/>
            <sz val="9"/>
            <color indexed="81"/>
            <rFont val="Tahoma"/>
            <family val="2"/>
          </rPr>
          <t>pc:</t>
        </r>
        <r>
          <rPr>
            <sz val="9"/>
            <color indexed="81"/>
            <rFont val="Tahoma"/>
            <family val="2"/>
          </rPr>
          <t xml:space="preserve">
Bó Biên giới cấm mốc</t>
        </r>
      </text>
    </comment>
    <comment ref="C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5" authorId="2">
      <text>
        <r>
          <rPr>
            <b/>
            <sz val="9"/>
            <color indexed="81"/>
            <rFont val="Tahoma"/>
            <family val="2"/>
          </rPr>
          <t>Quangbxdth:</t>
        </r>
        <r>
          <rPr>
            <sz val="9"/>
            <color indexed="81"/>
            <rFont val="Tahoma"/>
            <family val="2"/>
          </rPr>
          <t xml:space="preserve">
Không kể thu vay nợ gốc</t>
        </r>
      </text>
    </comment>
    <comment ref="Z167" authorId="0">
      <text>
        <r>
          <rPr>
            <b/>
            <sz val="9"/>
            <color indexed="81"/>
            <rFont val="Tahoma"/>
            <family val="2"/>
          </rPr>
          <t>pc:</t>
        </r>
        <r>
          <rPr>
            <sz val="9"/>
            <color indexed="81"/>
            <rFont val="Tahoma"/>
            <family val="2"/>
          </rPr>
          <t xml:space="preserve">
Ráp số thực hiện vào</t>
        </r>
      </text>
    </comment>
    <comment ref="AF167" authorId="0">
      <text>
        <r>
          <rPr>
            <b/>
            <sz val="9"/>
            <color indexed="81"/>
            <rFont val="Tahoma"/>
            <family val="2"/>
          </rPr>
          <t>pc:</t>
        </r>
        <r>
          <rPr>
            <sz val="9"/>
            <color indexed="81"/>
            <rFont val="Tahoma"/>
            <family val="2"/>
          </rPr>
          <t xml:space="preserve">
Ráp số thực hiện vào</t>
        </r>
      </text>
    </comment>
    <comment ref="W174" authorId="0">
      <text>
        <r>
          <rPr>
            <b/>
            <sz val="9"/>
            <color indexed="81"/>
            <rFont val="Tahoma"/>
            <family val="2"/>
          </rPr>
          <t>pc:</t>
        </r>
        <r>
          <rPr>
            <sz val="9"/>
            <color indexed="81"/>
            <rFont val="Tahoma"/>
            <family val="2"/>
          </rPr>
          <t xml:space="preserve">
BS Tiền lương tăng thêm</t>
        </r>
      </text>
    </comment>
    <comment ref="B2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26.xml><?xml version="1.0" encoding="utf-8"?>
<comments xmlns="http://schemas.openxmlformats.org/spreadsheetml/2006/main">
  <authors>
    <author>pc</author>
  </authors>
  <commentList>
    <comment ref="J30" authorId="0">
      <text>
        <r>
          <rPr>
            <b/>
            <sz val="9"/>
            <color indexed="81"/>
            <rFont val="Tahoma"/>
            <family val="2"/>
          </rPr>
          <t>pc:</t>
        </r>
        <r>
          <rPr>
            <sz val="9"/>
            <color indexed="81"/>
            <rFont val="Tahoma"/>
            <family val="2"/>
          </rPr>
          <t xml:space="preserve">
Chưa kể trả vay cụm tuyến Dân cư</t>
        </r>
      </text>
    </comment>
    <comment ref="H31" author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27.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6" authorId="2">
      <text>
        <r>
          <rPr>
            <b/>
            <sz val="9"/>
            <color indexed="81"/>
            <rFont val="Tahoma"/>
            <family val="2"/>
          </rPr>
          <t>pc:</t>
        </r>
        <r>
          <rPr>
            <sz val="9"/>
            <color indexed="81"/>
            <rFont val="Tahoma"/>
            <family val="2"/>
          </rPr>
          <t xml:space="preserve">
File TP cũ ghi chú là 4.603.881 triệu đồng</t>
        </r>
      </text>
    </comment>
    <comment ref="AI60" authorId="2">
      <text>
        <r>
          <rPr>
            <b/>
            <sz val="9"/>
            <color indexed="81"/>
            <rFont val="Tahoma"/>
            <family val="2"/>
          </rPr>
          <t>pc:</t>
        </r>
        <r>
          <rPr>
            <sz val="9"/>
            <color indexed="81"/>
            <rFont val="Tahoma"/>
            <family val="2"/>
          </rPr>
          <t xml:space="preserve">
Vốn ngoài nước 450.213 triệu đồng</t>
        </r>
      </text>
    </comment>
    <comment ref="AU60" authorId="2">
      <text>
        <r>
          <rPr>
            <b/>
            <sz val="9"/>
            <color indexed="81"/>
            <rFont val="Tahoma"/>
            <family val="2"/>
          </rPr>
          <t>pc:</t>
        </r>
        <r>
          <rPr>
            <sz val="9"/>
            <color indexed="81"/>
            <rFont val="Tahoma"/>
            <family val="2"/>
          </rPr>
          <t xml:space="preserve">
ngoài nước 310 tỷ đồng</t>
        </r>
      </text>
    </comment>
    <comment ref="AW60" authorId="2">
      <text>
        <r>
          <rPr>
            <b/>
            <sz val="9"/>
            <color indexed="81"/>
            <rFont val="Tahoma"/>
            <family val="2"/>
          </rPr>
          <t>pc:</t>
        </r>
        <r>
          <rPr>
            <sz val="9"/>
            <color indexed="81"/>
            <rFont val="Tahoma"/>
            <family val="2"/>
          </rPr>
          <t xml:space="preserve">
Ngoài nước 497 tỷ đồng</t>
        </r>
      </text>
    </comment>
    <comment ref="AO63" authorId="2">
      <text>
        <r>
          <rPr>
            <b/>
            <sz val="9"/>
            <color indexed="81"/>
            <rFont val="Tahoma"/>
            <family val="2"/>
          </rPr>
          <t>pc:</t>
        </r>
        <r>
          <rPr>
            <sz val="9"/>
            <color indexed="81"/>
            <rFont val="Tahoma"/>
            <family val="2"/>
          </rPr>
          <t xml:space="preserve">
8.157 cắm</t>
        </r>
      </text>
    </comment>
    <comment ref="AO67" authorId="2">
      <text>
        <r>
          <rPr>
            <b/>
            <sz val="9"/>
            <color indexed="81"/>
            <rFont val="Tahoma"/>
            <family val="2"/>
          </rPr>
          <t>pc:</t>
        </r>
        <r>
          <rPr>
            <sz val="9"/>
            <color indexed="81"/>
            <rFont val="Tahoma"/>
            <family val="2"/>
          </rPr>
          <t xml:space="preserve">
8.157 cắm</t>
        </r>
      </text>
    </comment>
    <comment ref="AG68" authorId="2">
      <text>
        <r>
          <rPr>
            <b/>
            <sz val="9"/>
            <color indexed="81"/>
            <rFont val="Tahoma"/>
            <family val="2"/>
          </rPr>
          <t>pc:</t>
        </r>
        <r>
          <rPr>
            <sz val="9"/>
            <color indexed="81"/>
            <rFont val="Tahoma"/>
            <family val="2"/>
          </rPr>
          <t xml:space="preserve">
TW giao: 275.200 triệu đồng</t>
        </r>
      </text>
    </comment>
    <comment ref="AG73" authorId="2">
      <text>
        <r>
          <rPr>
            <b/>
            <sz val="9"/>
            <color indexed="81"/>
            <rFont val="Tahoma"/>
            <family val="2"/>
          </rPr>
          <t>pc: Gồm XSKT 700 tỷ</t>
        </r>
        <r>
          <rPr>
            <sz val="9"/>
            <color indexed="81"/>
            <rFont val="Tahoma"/>
            <family val="2"/>
          </rPr>
          <t xml:space="preserve">
</t>
        </r>
      </text>
    </comment>
    <comment ref="AH73" authorId="2">
      <text>
        <r>
          <rPr>
            <b/>
            <sz val="9"/>
            <color indexed="81"/>
            <rFont val="Tahoma"/>
            <family val="2"/>
          </rPr>
          <t>pc:</t>
        </r>
        <r>
          <rPr>
            <sz val="9"/>
            <color indexed="81"/>
            <rFont val="Tahoma"/>
            <family val="2"/>
          </rPr>
          <t xml:space="preserve">
Lấy số Quyết toán
</t>
        </r>
      </text>
    </comment>
    <comment ref="AJ73" authorId="2">
      <text>
        <r>
          <rPr>
            <b/>
            <sz val="9"/>
            <color indexed="81"/>
            <rFont val="Tahoma"/>
            <family val="2"/>
          </rPr>
          <t>pc:</t>
        </r>
        <r>
          <rPr>
            <sz val="9"/>
            <color indexed="81"/>
            <rFont val="Tahoma"/>
            <family val="2"/>
          </rPr>
          <t xml:space="preserve">
Lấy số Quyết toán
</t>
        </r>
      </text>
    </comment>
    <comment ref="AL73" authorId="2">
      <text>
        <r>
          <rPr>
            <b/>
            <sz val="9"/>
            <color indexed="81"/>
            <rFont val="Tahoma"/>
            <family val="2"/>
          </rPr>
          <t>pc:</t>
        </r>
        <r>
          <rPr>
            <sz val="9"/>
            <color indexed="81"/>
            <rFont val="Tahoma"/>
            <family val="2"/>
          </rPr>
          <t xml:space="preserve">
Lấy số Quyết toán
</t>
        </r>
      </text>
    </comment>
    <comment ref="AN73" authorId="2">
      <text>
        <r>
          <rPr>
            <b/>
            <sz val="9"/>
            <color indexed="81"/>
            <rFont val="Tahoma"/>
            <family val="2"/>
          </rPr>
          <t>pc:</t>
        </r>
        <r>
          <rPr>
            <sz val="9"/>
            <color indexed="81"/>
            <rFont val="Tahoma"/>
            <family val="2"/>
          </rPr>
          <t xml:space="preserve">
Lấy số Quyết toán
</t>
        </r>
      </text>
    </comment>
    <comment ref="AP73" authorId="2">
      <text>
        <r>
          <rPr>
            <b/>
            <sz val="9"/>
            <color indexed="81"/>
            <rFont val="Tahoma"/>
            <family val="2"/>
          </rPr>
          <t>pc:</t>
        </r>
        <r>
          <rPr>
            <sz val="9"/>
            <color indexed="81"/>
            <rFont val="Tahoma"/>
            <family val="2"/>
          </rPr>
          <t xml:space="preserve">
Lấy số Quyết toán
</t>
        </r>
      </text>
    </comment>
    <comment ref="AV73" authorId="2">
      <text>
        <r>
          <rPr>
            <b/>
            <sz val="9"/>
            <color indexed="81"/>
            <rFont val="Tahoma"/>
            <family val="2"/>
          </rPr>
          <t>pc:</t>
        </r>
        <r>
          <rPr>
            <sz val="9"/>
            <color indexed="81"/>
            <rFont val="Tahoma"/>
            <family val="2"/>
          </rPr>
          <t xml:space="preserve">
Lấy số Quyết toán
- Đóng góp, Viện trợ, Quỹ dự trữ</t>
        </r>
      </text>
    </comment>
    <comment ref="AX73" authorId="2">
      <text>
        <r>
          <rPr>
            <b/>
            <sz val="9"/>
            <color indexed="81"/>
            <rFont val="Tahoma"/>
            <family val="2"/>
          </rPr>
          <t>pc:</t>
        </r>
        <r>
          <rPr>
            <sz val="9"/>
            <color indexed="81"/>
            <rFont val="Tahoma"/>
            <family val="2"/>
          </rPr>
          <t xml:space="preserve">
Lấy số Quyết toán
</t>
        </r>
      </text>
    </comment>
    <comment ref="AZ73" authorId="2">
      <text>
        <r>
          <rPr>
            <b/>
            <sz val="9"/>
            <color indexed="81"/>
            <rFont val="Tahoma"/>
            <family val="2"/>
          </rPr>
          <t>pc:</t>
        </r>
        <r>
          <rPr>
            <sz val="9"/>
            <color indexed="81"/>
            <rFont val="Tahoma"/>
            <family val="2"/>
          </rPr>
          <t xml:space="preserve">
Lấy số Quyết toán
</t>
        </r>
      </text>
    </comment>
    <comment ref="BB73" authorId="2">
      <text>
        <r>
          <rPr>
            <b/>
            <sz val="9"/>
            <color indexed="81"/>
            <rFont val="Tahoma"/>
            <family val="2"/>
          </rPr>
          <t>pc:</t>
        </r>
        <r>
          <rPr>
            <sz val="9"/>
            <color indexed="81"/>
            <rFont val="Tahoma"/>
            <family val="2"/>
          </rPr>
          <t xml:space="preserve">
Lấy số Quyết toán
</t>
        </r>
      </text>
    </comment>
    <comment ref="BD73" authorId="2">
      <text>
        <r>
          <rPr>
            <b/>
            <sz val="9"/>
            <color indexed="81"/>
            <rFont val="Tahoma"/>
            <family val="2"/>
          </rPr>
          <t>pc:</t>
        </r>
        <r>
          <rPr>
            <sz val="9"/>
            <color indexed="81"/>
            <rFont val="Tahoma"/>
            <family val="2"/>
          </rPr>
          <t xml:space="preserve">
Lấy số Quyết toán
</t>
        </r>
      </text>
    </comment>
    <comment ref="BJ73" authorId="2">
      <text>
        <r>
          <rPr>
            <b/>
            <sz val="9"/>
            <color indexed="81"/>
            <rFont val="Tahoma"/>
            <family val="2"/>
          </rPr>
          <t>pc:</t>
        </r>
        <r>
          <rPr>
            <sz val="9"/>
            <color indexed="81"/>
            <rFont val="Tahoma"/>
            <family val="2"/>
          </rPr>
          <t xml:space="preserve">
Lấy số Quyết toán
</t>
        </r>
      </text>
    </comment>
    <comment ref="BL73" authorId="2">
      <text>
        <r>
          <rPr>
            <b/>
            <sz val="9"/>
            <color indexed="81"/>
            <rFont val="Tahoma"/>
            <family val="2"/>
          </rPr>
          <t>pc:</t>
        </r>
        <r>
          <rPr>
            <sz val="9"/>
            <color indexed="81"/>
            <rFont val="Tahoma"/>
            <family val="2"/>
          </rPr>
          <t xml:space="preserve">
Lấy số Quyết toán
</t>
        </r>
      </text>
    </comment>
    <comment ref="AG75" authorId="2">
      <text>
        <r>
          <rPr>
            <b/>
            <sz val="9"/>
            <color indexed="81"/>
            <rFont val="Tahoma"/>
            <family val="2"/>
          </rPr>
          <t>pc:</t>
        </r>
        <r>
          <rPr>
            <sz val="9"/>
            <color indexed="81"/>
            <rFont val="Tahoma"/>
            <family val="2"/>
          </rPr>
          <t xml:space="preserve">
Loại XSKT ra là đúng tỷ lệ điều tiết theo Dự toán</t>
        </r>
      </text>
    </comment>
    <comment ref="AI76" authorId="2">
      <text>
        <r>
          <rPr>
            <b/>
            <sz val="9"/>
            <color indexed="81"/>
            <rFont val="Tahoma"/>
            <family val="2"/>
          </rPr>
          <t>pc:</t>
        </r>
        <r>
          <rPr>
            <sz val="9"/>
            <color indexed="81"/>
            <rFont val="Tahoma"/>
            <family val="2"/>
          </rPr>
          <t xml:space="preserve">
Tỷ lệ phân chia nguồn Thuế BVMT</t>
        </r>
      </text>
    </comment>
    <comment ref="AJ76" authorId="2">
      <text>
        <r>
          <rPr>
            <b/>
            <sz val="9"/>
            <color indexed="81"/>
            <rFont val="Tahoma"/>
            <family val="2"/>
          </rPr>
          <t>pc:</t>
        </r>
        <r>
          <rPr>
            <sz val="9"/>
            <color indexed="81"/>
            <rFont val="Tahoma"/>
            <family val="2"/>
          </rPr>
          <t xml:space="preserve">
Tỷ lệ điều tiết thuế BVMT</t>
        </r>
      </text>
    </comment>
    <comment ref="AK76" authorId="2">
      <text>
        <r>
          <rPr>
            <b/>
            <sz val="9"/>
            <color indexed="81"/>
            <rFont val="Tahoma"/>
            <family val="2"/>
          </rPr>
          <t>pc:</t>
        </r>
        <r>
          <rPr>
            <sz val="9"/>
            <color indexed="81"/>
            <rFont val="Tahoma"/>
            <family val="2"/>
          </rPr>
          <t xml:space="preserve">
Tỷ lệ phân chia nguồn Thuế BVMT</t>
        </r>
      </text>
    </comment>
    <comment ref="AL76" authorId="2">
      <text>
        <r>
          <rPr>
            <b/>
            <sz val="9"/>
            <color indexed="81"/>
            <rFont val="Tahoma"/>
            <family val="2"/>
          </rPr>
          <t>pc:</t>
        </r>
        <r>
          <rPr>
            <sz val="9"/>
            <color indexed="81"/>
            <rFont val="Tahoma"/>
            <family val="2"/>
          </rPr>
          <t xml:space="preserve">
Tỷ lệ phân chia nguồn Thuế BVMT</t>
        </r>
      </text>
    </comment>
    <comment ref="AM76" authorId="2">
      <text>
        <r>
          <rPr>
            <b/>
            <sz val="9"/>
            <color indexed="81"/>
            <rFont val="Tahoma"/>
            <family val="2"/>
          </rPr>
          <t>pc:</t>
        </r>
        <r>
          <rPr>
            <sz val="9"/>
            <color indexed="81"/>
            <rFont val="Tahoma"/>
            <family val="2"/>
          </rPr>
          <t xml:space="preserve">
Tỷ lệ phân chia nguồn Thuế BVMT</t>
        </r>
      </text>
    </comment>
    <comment ref="AN76" authorId="2">
      <text>
        <r>
          <rPr>
            <b/>
            <sz val="9"/>
            <color indexed="81"/>
            <rFont val="Tahoma"/>
            <family val="2"/>
          </rPr>
          <t>pc:</t>
        </r>
        <r>
          <rPr>
            <sz val="9"/>
            <color indexed="81"/>
            <rFont val="Tahoma"/>
            <family val="2"/>
          </rPr>
          <t xml:space="preserve">
Tỷ lệ điều tiết thuế BVMT</t>
        </r>
      </text>
    </comment>
    <comment ref="AO76" authorId="2">
      <text>
        <r>
          <rPr>
            <b/>
            <sz val="9"/>
            <color indexed="81"/>
            <rFont val="Tahoma"/>
            <family val="2"/>
          </rPr>
          <t>pc:</t>
        </r>
        <r>
          <rPr>
            <sz val="9"/>
            <color indexed="81"/>
            <rFont val="Tahoma"/>
            <family val="2"/>
          </rPr>
          <t xml:space="preserve">
Tỷ lệ phân chia nguồn Thuế BVMT</t>
        </r>
      </text>
    </comment>
    <comment ref="AP76" authorId="2">
      <text>
        <r>
          <rPr>
            <b/>
            <sz val="9"/>
            <color indexed="81"/>
            <rFont val="Tahoma"/>
            <family val="2"/>
          </rPr>
          <t>pc:</t>
        </r>
        <r>
          <rPr>
            <sz val="9"/>
            <color indexed="81"/>
            <rFont val="Tahoma"/>
            <family val="2"/>
          </rPr>
          <t xml:space="preserve">
Tỷ lệ phân chia nguồn Thuế BVMT</t>
        </r>
      </text>
    </comment>
    <comment ref="AU76" authorId="2">
      <text>
        <r>
          <rPr>
            <b/>
            <sz val="9"/>
            <color indexed="81"/>
            <rFont val="Tahoma"/>
            <family val="2"/>
          </rPr>
          <t>pc:</t>
        </r>
        <r>
          <rPr>
            <sz val="9"/>
            <color indexed="81"/>
            <rFont val="Tahoma"/>
            <family val="2"/>
          </rPr>
          <t xml:space="preserve">
Tỷ lệ phân chia nguồn Thuế BVMT</t>
        </r>
      </text>
    </comment>
    <comment ref="AV76" authorId="2">
      <text>
        <r>
          <rPr>
            <b/>
            <sz val="9"/>
            <color indexed="81"/>
            <rFont val="Tahoma"/>
            <family val="2"/>
          </rPr>
          <t>pc:</t>
        </r>
        <r>
          <rPr>
            <sz val="9"/>
            <color indexed="81"/>
            <rFont val="Tahoma"/>
            <family val="2"/>
          </rPr>
          <t xml:space="preserve">
Tỷ lệ điều tiết thuế BVMT</t>
        </r>
      </text>
    </comment>
    <comment ref="BC76" authorId="2">
      <text>
        <r>
          <rPr>
            <b/>
            <sz val="9"/>
            <color indexed="81"/>
            <rFont val="Tahoma"/>
            <family val="2"/>
          </rPr>
          <t>pc:</t>
        </r>
        <r>
          <rPr>
            <sz val="9"/>
            <color indexed="81"/>
            <rFont val="Tahoma"/>
            <family val="2"/>
          </rPr>
          <t xml:space="preserve">
Tạm lấy tỷ lệ BVMT 60%</t>
        </r>
      </text>
    </comment>
  </commentList>
</comments>
</file>

<file path=xl/comments28.xml><?xml version="1.0" encoding="utf-8"?>
<comments xmlns="http://schemas.openxmlformats.org/spreadsheetml/2006/main">
  <authors>
    <author>pc</author>
    <author>quangbx</author>
  </authors>
  <commentList>
    <comment ref="AX12" authorId="0">
      <text>
        <r>
          <rPr>
            <b/>
            <sz val="14"/>
            <color indexed="81"/>
            <rFont val="Times New Roman"/>
            <family val="1"/>
          </rPr>
          <t>pc:
- Lưu ý loại phần chi từ nguồn chuyển nguồn năm trước</t>
        </r>
        <r>
          <rPr>
            <sz val="14"/>
            <color indexed="81"/>
            <rFont val="Times New Roman"/>
            <family val="1"/>
          </rPr>
          <t xml:space="preserve">
</t>
        </r>
      </text>
    </comment>
    <comment ref="AG14" authorId="0">
      <text>
        <r>
          <rPr>
            <b/>
            <sz val="9"/>
            <color indexed="81"/>
            <rFont val="Tahoma"/>
            <family val="2"/>
          </rPr>
          <t>pc: Còn Luật NSNN 2002 (Chi QLQNSNN)</t>
        </r>
      </text>
    </comment>
    <comment ref="AL16" authorId="0">
      <text>
        <r>
          <rPr>
            <b/>
            <sz val="9"/>
            <color indexed="81"/>
            <rFont val="Tahoma"/>
            <family val="2"/>
          </rPr>
          <t>pc:</t>
        </r>
        <r>
          <rPr>
            <sz val="9"/>
            <color indexed="81"/>
            <rFont val="Tahoma"/>
            <family val="2"/>
          </rPr>
          <t xml:space="preserve">
1. Chi hỗ trợ vốn cho DN: 19.125 triệu đồng
2. Chi đầu tư phát triển khác: 144.409 triệu đồng
3. Chi trả nợ gốc: 143.475 triệu đồng</t>
        </r>
      </text>
    </comment>
    <comment ref="AN16" authorId="0">
      <text>
        <r>
          <rPr>
            <b/>
            <sz val="9"/>
            <color indexed="81"/>
            <rFont val="Tahoma"/>
            <family val="2"/>
          </rPr>
          <t>pc:</t>
        </r>
        <r>
          <rPr>
            <sz val="9"/>
            <color indexed="81"/>
            <rFont val="Tahoma"/>
            <family val="2"/>
          </rPr>
          <t xml:space="preserve">
Bao gồm Ủy thác qua NHCS 4.400 triệu đồng
Chi trả nợ gốc 126.516 triệu đồng</t>
        </r>
      </text>
    </comment>
    <comment ref="AI21" authorId="0">
      <text>
        <r>
          <rPr>
            <b/>
            <sz val="9"/>
            <color indexed="81"/>
            <rFont val="Tahoma"/>
            <family val="2"/>
          </rPr>
          <t>pc:</t>
        </r>
        <r>
          <rPr>
            <sz val="9"/>
            <color indexed="81"/>
            <rFont val="Tahoma"/>
            <family val="2"/>
          </rPr>
          <t xml:space="preserve">
Huyện khoản 24%</t>
        </r>
      </text>
    </comment>
    <comment ref="AU21" authorId="0">
      <text>
        <r>
          <rPr>
            <b/>
            <sz val="9"/>
            <color indexed="81"/>
            <rFont val="Tahoma"/>
            <family val="2"/>
          </rPr>
          <t>pc:</t>
        </r>
        <r>
          <rPr>
            <sz val="9"/>
            <color indexed="81"/>
            <rFont val="Tahoma"/>
            <family val="2"/>
          </rPr>
          <t xml:space="preserve">
Huyện khoàn 24%</t>
        </r>
      </text>
    </comment>
    <comment ref="AL30" authorId="0">
      <text>
        <r>
          <rPr>
            <b/>
            <sz val="9"/>
            <color indexed="81"/>
            <rFont val="Tahoma"/>
            <family val="2"/>
          </rPr>
          <t>pc:</t>
        </r>
        <r>
          <rPr>
            <sz val="9"/>
            <color indexed="81"/>
            <rFont val="Tahoma"/>
            <family val="2"/>
          </rPr>
          <t xml:space="preserve">
Chi hỗ trợ khác 2.094 triệu đồng</t>
        </r>
      </text>
    </comment>
    <comment ref="AY33" authorId="1">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AK40" authorId="0">
      <text>
        <r>
          <rPr>
            <b/>
            <sz val="9"/>
            <color indexed="81"/>
            <rFont val="Tahoma"/>
            <family val="2"/>
          </rPr>
          <t>pc:</t>
        </r>
        <r>
          <rPr>
            <sz val="9"/>
            <color indexed="81"/>
            <rFont val="Tahoma"/>
            <family val="2"/>
          </rPr>
          <t xml:space="preserve">
Đưa lên TX 89.087</t>
        </r>
      </text>
    </comment>
    <comment ref="AM40" authorId="0">
      <text>
        <r>
          <rPr>
            <b/>
            <sz val="9"/>
            <color indexed="81"/>
            <rFont val="Tahoma"/>
            <family val="2"/>
          </rPr>
          <t>pc:</t>
        </r>
        <r>
          <rPr>
            <sz val="9"/>
            <color indexed="81"/>
            <rFont val="Tahoma"/>
            <family val="2"/>
          </rPr>
          <t xml:space="preserve">
Đưa lên CTX 87.254 triệu đồng</t>
        </r>
      </text>
    </comment>
    <comment ref="AN40" authorId="0">
      <text>
        <r>
          <rPr>
            <b/>
            <sz val="9"/>
            <color indexed="81"/>
            <rFont val="Tahoma"/>
            <family val="2"/>
          </rPr>
          <t>pc:</t>
        </r>
        <r>
          <rPr>
            <sz val="9"/>
            <color indexed="81"/>
            <rFont val="Tahoma"/>
            <family val="2"/>
          </rPr>
          <t xml:space="preserve">
Chi các lĩnh vực chi thường xuyên</t>
        </r>
      </text>
    </comment>
    <comment ref="AO40" authorId="0">
      <text>
        <r>
          <rPr>
            <b/>
            <sz val="9"/>
            <color indexed="81"/>
            <rFont val="Tahoma"/>
            <family val="2"/>
          </rPr>
          <t>pc:</t>
        </r>
        <r>
          <rPr>
            <sz val="9"/>
            <color indexed="81"/>
            <rFont val="Tahoma"/>
            <family val="2"/>
          </rPr>
          <t xml:space="preserve">
Đưa lên TX 126.050 triệu đồng</t>
        </r>
      </text>
    </comment>
    <comment ref="AP40" authorId="0">
      <text>
        <r>
          <rPr>
            <b/>
            <sz val="9"/>
            <color indexed="81"/>
            <rFont val="Tahoma"/>
            <family val="2"/>
          </rPr>
          <t>pc:</t>
        </r>
        <r>
          <rPr>
            <sz val="9"/>
            <color indexed="81"/>
            <rFont val="Tahoma"/>
            <family val="2"/>
          </rPr>
          <t xml:space="preserve">
Quyết toán chi thường xuyên theo lĩnh vực
</t>
        </r>
      </text>
    </comment>
    <comment ref="AN45" authorId="0">
      <text>
        <r>
          <rPr>
            <b/>
            <sz val="9"/>
            <color indexed="81"/>
            <rFont val="Tahoma"/>
            <family val="2"/>
          </rPr>
          <t>pc:</t>
        </r>
        <r>
          <rPr>
            <sz val="9"/>
            <color indexed="81"/>
            <rFont val="Tahoma"/>
            <family val="2"/>
          </rPr>
          <t xml:space="preserve">
Thu 6.000 triệu đồng</t>
        </r>
      </text>
    </comment>
    <comment ref="AP45" authorId="0">
      <text>
        <r>
          <rPr>
            <b/>
            <sz val="9"/>
            <color indexed="81"/>
            <rFont val="Tahoma"/>
            <family val="2"/>
          </rPr>
          <t>pc:</t>
        </r>
        <r>
          <rPr>
            <sz val="9"/>
            <color indexed="81"/>
            <rFont val="Tahoma"/>
            <family val="2"/>
          </rPr>
          <t xml:space="preserve">
Số thu 20.568 triệu đồng</t>
        </r>
      </text>
    </comment>
    <comment ref="AX51" authorId="0">
      <text>
        <r>
          <rPr>
            <b/>
            <sz val="9"/>
            <color indexed="81"/>
            <rFont val="Tahoma"/>
            <family val="2"/>
          </rPr>
          <t>pc:</t>
        </r>
        <r>
          <rPr>
            <sz val="9"/>
            <color indexed="81"/>
            <rFont val="Tahoma"/>
            <family val="2"/>
          </rPr>
          <t xml:space="preserve">
Loại trừ Ngân sách cấp tỉnh bổ sung ngân sách huyện và ngân sách huyện nộp lên</t>
        </r>
      </text>
    </comment>
    <comment ref="AX52" authorId="0">
      <text>
        <r>
          <rPr>
            <b/>
            <sz val="9"/>
            <color indexed="81"/>
            <rFont val="Tahoma"/>
            <family val="2"/>
          </rPr>
          <t>pc:</t>
        </r>
        <r>
          <rPr>
            <sz val="9"/>
            <color indexed="81"/>
            <rFont val="Tahoma"/>
            <family val="2"/>
          </rPr>
          <t xml:space="preserve">
Loại phần chi đầu tư từ nguồn ngân sách trung ương bổ sung cho ngân sách tỉnh</t>
        </r>
      </text>
    </comment>
  </commentList>
</comments>
</file>

<file path=xl/comments29.xml><?xml version="1.0" encoding="utf-8"?>
<comments xmlns="http://schemas.openxmlformats.org/spreadsheetml/2006/main">
  <authors>
    <author>pc</author>
  </authors>
  <commentList>
    <comment ref="C15" authorId="0">
      <text>
        <r>
          <rPr>
            <b/>
            <sz val="9"/>
            <color indexed="81"/>
            <rFont val="Tahoma"/>
            <family val="2"/>
          </rPr>
          <t>pc:</t>
        </r>
        <r>
          <rPr>
            <sz val="9"/>
            <color indexed="81"/>
            <rFont val="Tahoma"/>
            <family val="2"/>
          </rPr>
          <t xml:space="preserve">
Xem lại</t>
        </r>
      </text>
    </comment>
    <comment ref="Q17" authorId="0">
      <text/>
    </comment>
    <comment ref="E20" authorId="0">
      <text>
        <r>
          <rPr>
            <b/>
            <sz val="9"/>
            <color indexed="81"/>
            <rFont val="Tahoma"/>
            <family val="2"/>
          </rPr>
          <t>pc:</t>
        </r>
        <r>
          <rPr>
            <sz val="9"/>
            <color indexed="81"/>
            <rFont val="Tahoma"/>
            <family val="2"/>
          </rPr>
          <t xml:space="preserve">
Lấy theo số liệu DT (Đưa số bổ sung mục tiêu vào Cân đối 309.482 triệu đồng)</t>
        </r>
      </text>
    </comment>
    <comment ref="F35" authorId="0">
      <text>
        <r>
          <rPr>
            <b/>
            <sz val="9"/>
            <color indexed="81"/>
            <rFont val="Tahoma"/>
            <family val="2"/>
          </rPr>
          <t>pc:</t>
        </r>
        <r>
          <rPr>
            <sz val="9"/>
            <color indexed="81"/>
            <rFont val="Tahoma"/>
            <family val="2"/>
          </rPr>
          <t xml:space="preserve">
Có thu Quỹ dự trữ về NS</t>
        </r>
      </text>
    </comment>
  </commentList>
</comments>
</file>

<file path=xl/comments3.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K28" authorId="0">
      <text>
        <r>
          <rPr>
            <b/>
            <sz val="9"/>
            <color indexed="81"/>
            <rFont val="Tahoma"/>
            <family val="2"/>
          </rPr>
          <t>pc:</t>
        </r>
        <r>
          <rPr>
            <sz val="9"/>
            <color indexed="81"/>
            <rFont val="Tahoma"/>
            <family val="2"/>
          </rPr>
          <t xml:space="preserve">
15,609 quỹ khen thưởng</t>
        </r>
      </text>
    </comment>
    <comment ref="L28" authorId="0">
      <text>
        <r>
          <rPr>
            <b/>
            <sz val="9"/>
            <color indexed="81"/>
            <rFont val="Tahoma"/>
            <family val="2"/>
          </rPr>
          <t>pc:</t>
        </r>
        <r>
          <rPr>
            <sz val="9"/>
            <color indexed="81"/>
            <rFont val="Tahoma"/>
            <family val="2"/>
          </rPr>
          <t xml:space="preserve">
Quỹ khen thưởng 10% 46,826</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30.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8" authorId="2">
      <text>
        <r>
          <rPr>
            <b/>
            <sz val="9"/>
            <color indexed="81"/>
            <rFont val="Tahoma"/>
            <family val="2"/>
          </rPr>
          <t>pc:</t>
        </r>
        <r>
          <rPr>
            <sz val="9"/>
            <color indexed="81"/>
            <rFont val="Tahoma"/>
            <family val="2"/>
          </rPr>
          <t xml:space="preserve">
File TP cũ ghi chú là 4.603.881 triệu đồng</t>
        </r>
      </text>
    </comment>
    <comment ref="AI62" authorId="2">
      <text>
        <r>
          <rPr>
            <b/>
            <sz val="9"/>
            <color indexed="81"/>
            <rFont val="Tahoma"/>
            <family val="2"/>
          </rPr>
          <t>pc:</t>
        </r>
        <r>
          <rPr>
            <sz val="9"/>
            <color indexed="81"/>
            <rFont val="Tahoma"/>
            <family val="2"/>
          </rPr>
          <t xml:space="preserve">
Vốn ngoài nước 450.213 triệu đồng</t>
        </r>
      </text>
    </comment>
    <comment ref="AU62" authorId="2">
      <text>
        <r>
          <rPr>
            <b/>
            <sz val="9"/>
            <color indexed="81"/>
            <rFont val="Tahoma"/>
            <family val="2"/>
          </rPr>
          <t>pc:</t>
        </r>
        <r>
          <rPr>
            <sz val="9"/>
            <color indexed="81"/>
            <rFont val="Tahoma"/>
            <family val="2"/>
          </rPr>
          <t xml:space="preserve">
ngoài nước 310 tỷ đồng</t>
        </r>
      </text>
    </comment>
    <comment ref="AW62" authorId="2">
      <text>
        <r>
          <rPr>
            <b/>
            <sz val="9"/>
            <color indexed="81"/>
            <rFont val="Tahoma"/>
            <family val="2"/>
          </rPr>
          <t>pc:</t>
        </r>
        <r>
          <rPr>
            <sz val="9"/>
            <color indexed="81"/>
            <rFont val="Tahoma"/>
            <family val="2"/>
          </rPr>
          <t xml:space="preserve">
Ngoài nước 497 tỷ đồng</t>
        </r>
      </text>
    </comment>
    <comment ref="AO65" authorId="2">
      <text>
        <r>
          <rPr>
            <b/>
            <sz val="9"/>
            <color indexed="81"/>
            <rFont val="Tahoma"/>
            <family val="2"/>
          </rPr>
          <t>pc:</t>
        </r>
        <r>
          <rPr>
            <sz val="9"/>
            <color indexed="81"/>
            <rFont val="Tahoma"/>
            <family val="2"/>
          </rPr>
          <t xml:space="preserve">
8.157 cắm</t>
        </r>
      </text>
    </comment>
    <comment ref="AO69" authorId="2">
      <text>
        <r>
          <rPr>
            <b/>
            <sz val="9"/>
            <color indexed="81"/>
            <rFont val="Tahoma"/>
            <family val="2"/>
          </rPr>
          <t>pc:</t>
        </r>
        <r>
          <rPr>
            <sz val="9"/>
            <color indexed="81"/>
            <rFont val="Tahoma"/>
            <family val="2"/>
          </rPr>
          <t xml:space="preserve">
8.157 cắm</t>
        </r>
      </text>
    </comment>
    <comment ref="AG70" authorId="2">
      <text>
        <r>
          <rPr>
            <b/>
            <sz val="9"/>
            <color indexed="81"/>
            <rFont val="Tahoma"/>
            <family val="2"/>
          </rPr>
          <t>pc:</t>
        </r>
        <r>
          <rPr>
            <sz val="9"/>
            <color indexed="81"/>
            <rFont val="Tahoma"/>
            <family val="2"/>
          </rPr>
          <t xml:space="preserve">
TW giao: 275.200 triệu đồng</t>
        </r>
      </text>
    </comment>
    <comment ref="AG75" authorId="2">
      <text>
        <r>
          <rPr>
            <b/>
            <sz val="9"/>
            <color indexed="81"/>
            <rFont val="Tahoma"/>
            <family val="2"/>
          </rPr>
          <t>pc: Gồm XSKT 700 tỷ</t>
        </r>
        <r>
          <rPr>
            <sz val="9"/>
            <color indexed="81"/>
            <rFont val="Tahoma"/>
            <family val="2"/>
          </rPr>
          <t xml:space="preserve">
</t>
        </r>
      </text>
    </comment>
    <comment ref="AH75" authorId="2">
      <text>
        <r>
          <rPr>
            <b/>
            <sz val="9"/>
            <color indexed="81"/>
            <rFont val="Tahoma"/>
            <family val="2"/>
          </rPr>
          <t>pc:</t>
        </r>
        <r>
          <rPr>
            <sz val="9"/>
            <color indexed="81"/>
            <rFont val="Tahoma"/>
            <family val="2"/>
          </rPr>
          <t xml:space="preserve">
Lấy số Quyết toán
</t>
        </r>
      </text>
    </comment>
    <comment ref="AJ75" authorId="2">
      <text>
        <r>
          <rPr>
            <b/>
            <sz val="9"/>
            <color indexed="81"/>
            <rFont val="Tahoma"/>
            <family val="2"/>
          </rPr>
          <t>pc:</t>
        </r>
        <r>
          <rPr>
            <sz val="9"/>
            <color indexed="81"/>
            <rFont val="Tahoma"/>
            <family val="2"/>
          </rPr>
          <t xml:space="preserve">
Lấy số Quyết toán
</t>
        </r>
      </text>
    </comment>
    <comment ref="AL75" authorId="2">
      <text>
        <r>
          <rPr>
            <b/>
            <sz val="9"/>
            <color indexed="81"/>
            <rFont val="Tahoma"/>
            <family val="2"/>
          </rPr>
          <t>pc:</t>
        </r>
        <r>
          <rPr>
            <sz val="9"/>
            <color indexed="81"/>
            <rFont val="Tahoma"/>
            <family val="2"/>
          </rPr>
          <t xml:space="preserve">
Lấy số Quyết toán
</t>
        </r>
      </text>
    </comment>
    <comment ref="AN75" authorId="2">
      <text>
        <r>
          <rPr>
            <b/>
            <sz val="9"/>
            <color indexed="81"/>
            <rFont val="Tahoma"/>
            <family val="2"/>
          </rPr>
          <t>pc:</t>
        </r>
        <r>
          <rPr>
            <sz val="9"/>
            <color indexed="81"/>
            <rFont val="Tahoma"/>
            <family val="2"/>
          </rPr>
          <t xml:space="preserve">
Lấy số Quyết toán
</t>
        </r>
      </text>
    </comment>
    <comment ref="AP75" authorId="2">
      <text>
        <r>
          <rPr>
            <b/>
            <sz val="9"/>
            <color indexed="81"/>
            <rFont val="Tahoma"/>
            <family val="2"/>
          </rPr>
          <t>pc:</t>
        </r>
        <r>
          <rPr>
            <sz val="9"/>
            <color indexed="81"/>
            <rFont val="Tahoma"/>
            <family val="2"/>
          </rPr>
          <t xml:space="preserve">
Lấy số Quyết toán
</t>
        </r>
      </text>
    </comment>
    <comment ref="AV75" authorId="2">
      <text>
        <r>
          <rPr>
            <b/>
            <sz val="9"/>
            <color indexed="81"/>
            <rFont val="Tahoma"/>
            <family val="2"/>
          </rPr>
          <t>pc:</t>
        </r>
        <r>
          <rPr>
            <sz val="9"/>
            <color indexed="81"/>
            <rFont val="Tahoma"/>
            <family val="2"/>
          </rPr>
          <t xml:space="preserve">
Lấy số Quyết toán
- Đóng góp, Viện trợ, Quỹ dự trữ</t>
        </r>
      </text>
    </comment>
    <comment ref="AX75" authorId="2">
      <text>
        <r>
          <rPr>
            <b/>
            <sz val="9"/>
            <color indexed="81"/>
            <rFont val="Tahoma"/>
            <family val="2"/>
          </rPr>
          <t>pc:</t>
        </r>
        <r>
          <rPr>
            <sz val="9"/>
            <color indexed="81"/>
            <rFont val="Tahoma"/>
            <family val="2"/>
          </rPr>
          <t xml:space="preserve">
Lấy số Quyết toán
</t>
        </r>
      </text>
    </comment>
    <comment ref="AZ75" authorId="2">
      <text>
        <r>
          <rPr>
            <b/>
            <sz val="9"/>
            <color indexed="81"/>
            <rFont val="Tahoma"/>
            <family val="2"/>
          </rPr>
          <t>pc:</t>
        </r>
        <r>
          <rPr>
            <sz val="9"/>
            <color indexed="81"/>
            <rFont val="Tahoma"/>
            <family val="2"/>
          </rPr>
          <t xml:space="preserve">
Lấy số Quyết toán
</t>
        </r>
      </text>
    </comment>
    <comment ref="BB75" authorId="2">
      <text>
        <r>
          <rPr>
            <b/>
            <sz val="9"/>
            <color indexed="81"/>
            <rFont val="Tahoma"/>
            <family val="2"/>
          </rPr>
          <t>pc:</t>
        </r>
        <r>
          <rPr>
            <sz val="9"/>
            <color indexed="81"/>
            <rFont val="Tahoma"/>
            <family val="2"/>
          </rPr>
          <t xml:space="preserve">
Lấy số Quyết toán
</t>
        </r>
      </text>
    </comment>
    <comment ref="BD75" authorId="2">
      <text>
        <r>
          <rPr>
            <b/>
            <sz val="9"/>
            <color indexed="81"/>
            <rFont val="Tahoma"/>
            <family val="2"/>
          </rPr>
          <t>pc:</t>
        </r>
        <r>
          <rPr>
            <sz val="9"/>
            <color indexed="81"/>
            <rFont val="Tahoma"/>
            <family val="2"/>
          </rPr>
          <t xml:space="preserve">
Lấy số Quyết toán
</t>
        </r>
      </text>
    </comment>
    <comment ref="BJ75" authorId="2">
      <text>
        <r>
          <rPr>
            <b/>
            <sz val="9"/>
            <color indexed="81"/>
            <rFont val="Tahoma"/>
            <family val="2"/>
          </rPr>
          <t>pc:</t>
        </r>
        <r>
          <rPr>
            <sz val="9"/>
            <color indexed="81"/>
            <rFont val="Tahoma"/>
            <family val="2"/>
          </rPr>
          <t xml:space="preserve">
Lấy số Quyết toán
</t>
        </r>
      </text>
    </comment>
    <comment ref="BL75" authorId="2">
      <text>
        <r>
          <rPr>
            <b/>
            <sz val="9"/>
            <color indexed="81"/>
            <rFont val="Tahoma"/>
            <family val="2"/>
          </rPr>
          <t>pc:</t>
        </r>
        <r>
          <rPr>
            <sz val="9"/>
            <color indexed="81"/>
            <rFont val="Tahoma"/>
            <family val="2"/>
          </rPr>
          <t xml:space="preserve">
Lấy số Quyết toán
</t>
        </r>
      </text>
    </comment>
    <comment ref="AG77" authorId="2">
      <text>
        <r>
          <rPr>
            <b/>
            <sz val="9"/>
            <color indexed="81"/>
            <rFont val="Tahoma"/>
            <family val="2"/>
          </rPr>
          <t>pc:</t>
        </r>
        <r>
          <rPr>
            <sz val="9"/>
            <color indexed="81"/>
            <rFont val="Tahoma"/>
            <family val="2"/>
          </rPr>
          <t xml:space="preserve">
Loại XSKT ra là đúng tỷ lệ điều tiết theo Dự toán</t>
        </r>
      </text>
    </comment>
    <comment ref="AI78" authorId="2">
      <text>
        <r>
          <rPr>
            <b/>
            <sz val="9"/>
            <color indexed="81"/>
            <rFont val="Tahoma"/>
            <family val="2"/>
          </rPr>
          <t>pc:</t>
        </r>
        <r>
          <rPr>
            <sz val="9"/>
            <color indexed="81"/>
            <rFont val="Tahoma"/>
            <family val="2"/>
          </rPr>
          <t xml:space="preserve">
Tỷ lệ phân chia nguồn Thuế BVMT</t>
        </r>
      </text>
    </comment>
    <comment ref="AJ78" authorId="2">
      <text>
        <r>
          <rPr>
            <b/>
            <sz val="9"/>
            <color indexed="81"/>
            <rFont val="Tahoma"/>
            <family val="2"/>
          </rPr>
          <t>pc:</t>
        </r>
        <r>
          <rPr>
            <sz val="9"/>
            <color indexed="81"/>
            <rFont val="Tahoma"/>
            <family val="2"/>
          </rPr>
          <t xml:space="preserve">
Tỷ lệ điều tiết thuế BVMT</t>
        </r>
      </text>
    </comment>
    <comment ref="AK78" authorId="2">
      <text>
        <r>
          <rPr>
            <b/>
            <sz val="9"/>
            <color indexed="81"/>
            <rFont val="Tahoma"/>
            <family val="2"/>
          </rPr>
          <t>pc:</t>
        </r>
        <r>
          <rPr>
            <sz val="9"/>
            <color indexed="81"/>
            <rFont val="Tahoma"/>
            <family val="2"/>
          </rPr>
          <t xml:space="preserve">
Tỷ lệ phân chia nguồn Thuế BVMT</t>
        </r>
      </text>
    </comment>
    <comment ref="AL78" authorId="2">
      <text>
        <r>
          <rPr>
            <b/>
            <sz val="9"/>
            <color indexed="81"/>
            <rFont val="Tahoma"/>
            <family val="2"/>
          </rPr>
          <t>pc:</t>
        </r>
        <r>
          <rPr>
            <sz val="9"/>
            <color indexed="81"/>
            <rFont val="Tahoma"/>
            <family val="2"/>
          </rPr>
          <t xml:space="preserve">
Tỷ lệ phân chia nguồn Thuế BVMT</t>
        </r>
      </text>
    </comment>
    <comment ref="AM78" authorId="2">
      <text>
        <r>
          <rPr>
            <b/>
            <sz val="9"/>
            <color indexed="81"/>
            <rFont val="Tahoma"/>
            <family val="2"/>
          </rPr>
          <t>pc:</t>
        </r>
        <r>
          <rPr>
            <sz val="9"/>
            <color indexed="81"/>
            <rFont val="Tahoma"/>
            <family val="2"/>
          </rPr>
          <t xml:space="preserve">
Tỷ lệ phân chia nguồn Thuế BVMT</t>
        </r>
      </text>
    </comment>
    <comment ref="AN78" authorId="2">
      <text>
        <r>
          <rPr>
            <b/>
            <sz val="9"/>
            <color indexed="81"/>
            <rFont val="Tahoma"/>
            <family val="2"/>
          </rPr>
          <t>pc:</t>
        </r>
        <r>
          <rPr>
            <sz val="9"/>
            <color indexed="81"/>
            <rFont val="Tahoma"/>
            <family val="2"/>
          </rPr>
          <t xml:space="preserve">
Tỷ lệ điều tiết thuế BVMT</t>
        </r>
      </text>
    </comment>
    <comment ref="AO78" authorId="2">
      <text>
        <r>
          <rPr>
            <b/>
            <sz val="9"/>
            <color indexed="81"/>
            <rFont val="Tahoma"/>
            <family val="2"/>
          </rPr>
          <t>pc:</t>
        </r>
        <r>
          <rPr>
            <sz val="9"/>
            <color indexed="81"/>
            <rFont val="Tahoma"/>
            <family val="2"/>
          </rPr>
          <t xml:space="preserve">
Tỷ lệ phân chia nguồn Thuế BVMT</t>
        </r>
      </text>
    </comment>
    <comment ref="AP78" authorId="2">
      <text>
        <r>
          <rPr>
            <b/>
            <sz val="9"/>
            <color indexed="81"/>
            <rFont val="Tahoma"/>
            <family val="2"/>
          </rPr>
          <t>pc:</t>
        </r>
        <r>
          <rPr>
            <sz val="9"/>
            <color indexed="81"/>
            <rFont val="Tahoma"/>
            <family val="2"/>
          </rPr>
          <t xml:space="preserve">
Tỷ lệ phân chia nguồn Thuế BVMT</t>
        </r>
      </text>
    </comment>
    <comment ref="AU78" authorId="2">
      <text>
        <r>
          <rPr>
            <b/>
            <sz val="9"/>
            <color indexed="81"/>
            <rFont val="Tahoma"/>
            <family val="2"/>
          </rPr>
          <t>pc:</t>
        </r>
        <r>
          <rPr>
            <sz val="9"/>
            <color indexed="81"/>
            <rFont val="Tahoma"/>
            <family val="2"/>
          </rPr>
          <t xml:space="preserve">
Tỷ lệ phân chia nguồn Thuế BVMT</t>
        </r>
      </text>
    </comment>
    <comment ref="AV78" authorId="2">
      <text>
        <r>
          <rPr>
            <b/>
            <sz val="9"/>
            <color indexed="81"/>
            <rFont val="Tahoma"/>
            <family val="2"/>
          </rPr>
          <t>pc:</t>
        </r>
        <r>
          <rPr>
            <sz val="9"/>
            <color indexed="81"/>
            <rFont val="Tahoma"/>
            <family val="2"/>
          </rPr>
          <t xml:space="preserve">
Tỷ lệ điều tiết thuế BVMT</t>
        </r>
      </text>
    </comment>
    <comment ref="BC78" authorId="2">
      <text>
        <r>
          <rPr>
            <b/>
            <sz val="9"/>
            <color indexed="81"/>
            <rFont val="Tahoma"/>
            <family val="2"/>
          </rPr>
          <t>pc:</t>
        </r>
        <r>
          <rPr>
            <sz val="9"/>
            <color indexed="81"/>
            <rFont val="Tahoma"/>
            <family val="2"/>
          </rPr>
          <t xml:space="preserve">
Tạm lấy tỷ lệ BVMT 60%</t>
        </r>
      </text>
    </comment>
  </commentList>
</comments>
</file>

<file path=xl/comments31.xml><?xml version="1.0" encoding="utf-8"?>
<comments xmlns="http://schemas.openxmlformats.org/spreadsheetml/2006/main">
  <authors>
    <author>pc</author>
  </authors>
  <commentList>
    <comment ref="AA13" authorId="0">
      <text>
        <r>
          <rPr>
            <b/>
            <sz val="9"/>
            <color indexed="81"/>
            <rFont val="Tahoma"/>
            <family val="2"/>
          </rPr>
          <t>pc:</t>
        </r>
        <r>
          <rPr>
            <sz val="9"/>
            <color indexed="81"/>
            <rFont val="Tahoma"/>
            <family val="2"/>
          </rPr>
          <t xml:space="preserve">
Nội dung NQ 16; phân khai chi tiết tiền sử dụng đất cấp tỉnh</t>
        </r>
      </text>
    </comment>
    <comment ref="P16" authorId="0">
      <text>
        <r>
          <rPr>
            <b/>
            <sz val="9"/>
            <color indexed="81"/>
            <rFont val="Tahoma"/>
            <family val="2"/>
          </rPr>
          <t>pc:</t>
        </r>
        <r>
          <rPr>
            <sz val="9"/>
            <color indexed="81"/>
            <rFont val="Tahoma"/>
            <family val="2"/>
          </rPr>
          <t xml:space="preserve">
Địa phương phân bổ cao hơn 100.000 triệu đồng so với trung ương (TW: 1.850.000 triệu đồng)</t>
        </r>
      </text>
    </comment>
    <comment ref="P19" authorId="0">
      <text>
        <r>
          <rPr>
            <b/>
            <sz val="9"/>
            <color indexed="81"/>
            <rFont val="Tahoma"/>
            <family val="2"/>
          </rPr>
          <t>pc:</t>
        </r>
        <r>
          <rPr>
            <sz val="9"/>
            <color indexed="81"/>
            <rFont val="Tahoma"/>
            <family val="2"/>
          </rPr>
          <t xml:space="preserve">
500 tỷ KH vốn CPH công ty CP XLVT Dong Thap và Dầu khí; 60 tỷ Ủy thác NHCS</t>
        </r>
      </text>
    </comment>
    <comment ref="AF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J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K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text>
        <r>
          <rPr>
            <b/>
            <sz val="9"/>
            <color indexed="81"/>
            <rFont val="Tahoma"/>
            <family val="2"/>
          </rPr>
          <t>pc:</t>
        </r>
        <r>
          <rPr>
            <sz val="9"/>
            <color indexed="81"/>
            <rFont val="Tahoma"/>
            <family val="2"/>
          </rPr>
          <t xml:space="preserve">
Chương trình phục hồi phát triển KT-XH
</t>
        </r>
      </text>
    </comment>
    <comment ref="AC24" author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text>
        <r>
          <rPr>
            <b/>
            <sz val="9"/>
            <color indexed="81"/>
            <rFont val="Tahoma"/>
            <family val="2"/>
          </rPr>
          <t>pc:</t>
        </r>
        <r>
          <rPr>
            <sz val="9"/>
            <color indexed="81"/>
            <rFont val="Tahoma"/>
            <family val="2"/>
          </rPr>
          <t xml:space="preserve">
Dự phòng ngân sách trung ương năm 2022 = 86.000 triệu đồng</t>
        </r>
      </text>
    </comment>
    <comment ref="AG24" authorId="0">
      <text>
        <r>
          <rPr>
            <b/>
            <sz val="9"/>
            <color indexed="81"/>
            <rFont val="Tahoma"/>
            <family val="2"/>
          </rPr>
          <t>pc:</t>
        </r>
        <r>
          <rPr>
            <sz val="9"/>
            <color indexed="81"/>
            <rFont val="Tahoma"/>
            <family val="2"/>
          </rPr>
          <t xml:space="preserve">
Tăng dự phòng TW 250 tỷ</t>
        </r>
      </text>
    </comment>
    <comment ref="AD25" authorId="0">
      <text>
        <r>
          <rPr>
            <b/>
            <sz val="9"/>
            <color indexed="81"/>
            <rFont val="Tahoma"/>
            <family val="2"/>
          </rPr>
          <t>pc:</t>
        </r>
        <r>
          <rPr>
            <sz val="9"/>
            <color indexed="81"/>
            <rFont val="Tahoma"/>
            <family val="2"/>
          </rPr>
          <t xml:space="preserve">
Bổ sung thêm 64.780 triệu đồng</t>
        </r>
      </text>
    </comment>
    <comment ref="AB33" author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32.xml><?xml version="1.0" encoding="utf-8"?>
<comments xmlns="http://schemas.openxmlformats.org/spreadsheetml/2006/main">
  <authors>
    <author>quangbx</author>
    <author>Quangbxdth</author>
  </authors>
  <commentList>
    <comment ref="B14" author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33.xml><?xml version="1.0" encoding="utf-8"?>
<comments xmlns="http://schemas.openxmlformats.org/spreadsheetml/2006/main">
  <authors>
    <author>Windows User</author>
  </authors>
  <commentList>
    <comment ref="B53" authorId="0">
      <text>
        <r>
          <rPr>
            <b/>
            <sz val="9"/>
            <color indexed="81"/>
            <rFont val="Tahoma"/>
            <family val="2"/>
          </rPr>
          <t>Windows User:</t>
        </r>
        <r>
          <rPr>
            <sz val="9"/>
            <color indexed="81"/>
            <rFont val="Tahoma"/>
            <family val="2"/>
          </rPr>
          <t xml:space="preserve">
Tất cả lấy theo số của Phương</t>
        </r>
      </text>
    </comment>
    <comment ref="D54" authorId="0">
      <text>
        <r>
          <rPr>
            <b/>
            <sz val="9"/>
            <color indexed="81"/>
            <rFont val="Tahoma"/>
            <family val="2"/>
          </rPr>
          <t>Windows User:</t>
        </r>
        <r>
          <rPr>
            <sz val="9"/>
            <color indexed="81"/>
            <rFont val="Tahoma"/>
            <family val="2"/>
          </rPr>
          <t xml:space="preserve">
KH Phương</t>
        </r>
      </text>
    </comment>
  </commentList>
</comments>
</file>

<file path=xl/comments34.xml><?xml version="1.0" encoding="utf-8"?>
<comments xmlns="http://schemas.openxmlformats.org/spreadsheetml/2006/main">
  <authors>
    <author>pc</author>
  </authors>
  <commentList>
    <comment ref="E9" authorId="0">
      <text>
        <r>
          <rPr>
            <b/>
            <sz val="10"/>
            <color indexed="81"/>
            <rFont val="Tahoma"/>
            <family val="2"/>
          </rPr>
          <t>pc:</t>
        </r>
        <r>
          <rPr>
            <sz val="10"/>
            <color indexed="81"/>
            <rFont val="Tahoma"/>
            <family val="2"/>
          </rPr>
          <t xml:space="preserve">
Tính tỷ lệ tăng trên file này</t>
        </r>
      </text>
    </comment>
    <comment ref="K12" authorId="0">
      <text>
        <r>
          <rPr>
            <b/>
            <sz val="10"/>
            <color indexed="81"/>
            <rFont val="Tahoma"/>
            <family val="2"/>
          </rPr>
          <t>pc:</t>
        </r>
        <r>
          <rPr>
            <sz val="10"/>
            <color indexed="81"/>
            <rFont val="Tahoma"/>
            <family val="2"/>
          </rPr>
          <t xml:space="preserve">
Vốn đầu tư Công</t>
        </r>
      </text>
    </comment>
    <comment ref="K18" authorId="0">
      <text>
        <r>
          <rPr>
            <b/>
            <sz val="10"/>
            <color indexed="81"/>
            <rFont val="Tahoma"/>
            <family val="2"/>
          </rPr>
          <t>pc:</t>
        </r>
        <r>
          <rPr>
            <sz val="10"/>
            <color indexed="81"/>
            <rFont val="Tahoma"/>
            <family val="2"/>
          </rPr>
          <t xml:space="preserve">
Dự toán ĐT Công</t>
        </r>
      </text>
    </comment>
    <comment ref="K25" authorId="0">
      <text>
        <r>
          <rPr>
            <b/>
            <sz val="10"/>
            <color indexed="81"/>
            <rFont val="Tahoma"/>
            <family val="2"/>
          </rPr>
          <t>pc:</t>
        </r>
        <r>
          <rPr>
            <sz val="10"/>
            <color indexed="81"/>
            <rFont val="Tahoma"/>
            <family val="2"/>
          </rPr>
          <t xml:space="preserve">
Dự toán ĐT Công</t>
        </r>
      </text>
    </comment>
  </commentList>
</comments>
</file>

<file path=xl/comments35.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6.xml><?xml version="1.0" encoding="utf-8"?>
<comments xmlns="http://schemas.openxmlformats.org/spreadsheetml/2006/main">
  <authors>
    <author>Hồ Quang Tuấn</author>
    <author>pc</author>
  </authors>
  <commentList>
    <comment ref="M23"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7" authorId="1">
      <text>
        <r>
          <rPr>
            <b/>
            <sz val="9"/>
            <color indexed="81"/>
            <rFont val="Tahoma"/>
            <family val="2"/>
          </rPr>
          <t>pc:</t>
        </r>
        <r>
          <rPr>
            <sz val="9"/>
            <color indexed="81"/>
            <rFont val="Tahoma"/>
            <family val="2"/>
          </rPr>
          <t xml:space="preserve">
Khoảng 45%</t>
        </r>
      </text>
    </comment>
    <comment ref="K34" authorId="1">
      <text>
        <r>
          <rPr>
            <b/>
            <sz val="9"/>
            <color indexed="81"/>
            <rFont val="Tahoma"/>
            <family val="2"/>
          </rPr>
          <t>pc:</t>
        </r>
        <r>
          <rPr>
            <sz val="9"/>
            <color indexed="81"/>
            <rFont val="Tahoma"/>
            <family val="2"/>
          </rPr>
          <t xml:space="preserve">
15,609 quỹ khen thưởng</t>
        </r>
      </text>
    </comment>
    <comment ref="L34" authorId="1">
      <text>
        <r>
          <rPr>
            <b/>
            <sz val="9"/>
            <color indexed="81"/>
            <rFont val="Tahoma"/>
            <family val="2"/>
          </rPr>
          <t>pc:</t>
        </r>
        <r>
          <rPr>
            <sz val="9"/>
            <color indexed="81"/>
            <rFont val="Tahoma"/>
            <family val="2"/>
          </rPr>
          <t xml:space="preserve">
Quỹ khen thưởng 10% 46,826</t>
        </r>
      </text>
    </comment>
    <comment ref="P37" authorId="1">
      <text>
        <r>
          <rPr>
            <b/>
            <sz val="10"/>
            <color indexed="81"/>
            <rFont val="Tahoma"/>
            <family val="2"/>
          </rPr>
          <t>pc:</t>
        </r>
        <r>
          <rPr>
            <sz val="10"/>
            <color indexed="81"/>
            <rFont val="Tahoma"/>
            <family val="2"/>
          </rPr>
          <t xml:space="preserve">
Theo dự thảo TW</t>
        </r>
      </text>
    </comment>
    <comment ref="U68" authorId="1">
      <text>
        <r>
          <rPr>
            <b/>
            <sz val="9"/>
            <color indexed="81"/>
            <rFont val="Tahoma"/>
            <family val="2"/>
          </rPr>
          <t>pc:</t>
        </r>
        <r>
          <rPr>
            <sz val="9"/>
            <color indexed="81"/>
            <rFont val="Tahoma"/>
            <family val="2"/>
          </rPr>
          <t xml:space="preserve">
Đo đạc, cấp giấy CN lần đầu theo NQ số 41</t>
        </r>
      </text>
    </comment>
    <comment ref="B69" authorId="1">
      <text>
        <r>
          <rPr>
            <b/>
            <sz val="9"/>
            <color indexed="81"/>
            <rFont val="Tahoma"/>
            <family val="2"/>
          </rPr>
          <t>pc:</t>
        </r>
        <r>
          <rPr>
            <sz val="9"/>
            <color indexed="81"/>
            <rFont val="Tahoma"/>
            <family val="2"/>
          </rPr>
          <t xml:space="preserve">
Ủy thác vốn</t>
        </r>
      </text>
    </comment>
    <comment ref="Z94" authorId="1">
      <text>
        <r>
          <rPr>
            <b/>
            <sz val="9"/>
            <color indexed="81"/>
            <rFont val="Tahoma"/>
            <family val="2"/>
          </rPr>
          <t>pc:</t>
        </r>
        <r>
          <rPr>
            <sz val="9"/>
            <color indexed="81"/>
            <rFont val="Tahoma"/>
            <family val="2"/>
          </rPr>
          <t xml:space="preserve">
- luong</t>
        </r>
      </text>
    </comment>
  </commentList>
</comments>
</file>

<file path=xl/comments37.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38.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Q33" authorId="1">
      <text>
        <r>
          <rPr>
            <b/>
            <sz val="10"/>
            <color indexed="81"/>
            <rFont val="Tahoma"/>
            <family val="2"/>
          </rPr>
          <t>Hồ Quang Tuấn:</t>
        </r>
        <r>
          <rPr>
            <sz val="10"/>
            <color indexed="81"/>
            <rFont val="Tahoma"/>
            <family val="2"/>
          </rPr>
          <t xml:space="preserve">
TW = 35.100</t>
        </r>
      </text>
    </comment>
    <comment ref="Q34" authorId="1">
      <text>
        <r>
          <rPr>
            <b/>
            <sz val="10"/>
            <color indexed="81"/>
            <rFont val="Tahoma"/>
            <family val="2"/>
          </rPr>
          <t>Hồ Quang Tuấn:</t>
        </r>
        <r>
          <rPr>
            <sz val="10"/>
            <color indexed="81"/>
            <rFont val="Tahoma"/>
            <family val="2"/>
          </rPr>
          <t xml:space="preserve">
TW = 37.900</t>
        </r>
      </text>
    </comment>
    <comment ref="T41" authorId="0">
      <text>
        <r>
          <rPr>
            <b/>
            <sz val="10"/>
            <color indexed="81"/>
            <rFont val="Tahoma"/>
            <family val="2"/>
          </rPr>
          <t>pc:</t>
        </r>
        <r>
          <rPr>
            <sz val="10"/>
            <color indexed="81"/>
            <rFont val="Tahoma"/>
            <family val="2"/>
          </rPr>
          <t xml:space="preserve">
Phí BVMT đối với KTKS: 22.000 Triệu đồng
Phí BVMT đối với nước thải: 20.000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70" authorId="0">
      <text>
        <r>
          <rPr>
            <b/>
            <sz val="9"/>
            <color indexed="81"/>
            <rFont val="Tahoma"/>
            <family val="2"/>
          </rPr>
          <t>pc:</t>
        </r>
        <r>
          <rPr>
            <sz val="9"/>
            <color indexed="81"/>
            <rFont val="Tahoma"/>
            <family val="2"/>
          </rPr>
          <t xml:space="preserve">
Lấy số chênh lệch nguồn/nhu cầu chế độ chính sách</t>
        </r>
      </text>
    </comment>
    <comment ref="I71" authorId="0">
      <text>
        <r>
          <rPr>
            <b/>
            <sz val="9"/>
            <color indexed="81"/>
            <rFont val="Tahoma"/>
            <family val="2"/>
          </rPr>
          <t>pc:</t>
        </r>
        <r>
          <rPr>
            <sz val="9"/>
            <color indexed="81"/>
            <rFont val="Tahoma"/>
            <family val="2"/>
          </rPr>
          <t xml:space="preserve">
Chênh lệch nhu cầu và 50% Dự toán, so dự toán</t>
        </r>
      </text>
    </comment>
    <comment ref="AB71" authorId="1">
      <text>
        <r>
          <rPr>
            <b/>
            <sz val="10"/>
            <color indexed="81"/>
            <rFont val="Tahoma"/>
            <family val="2"/>
          </rPr>
          <t>Hồ Quang Tuấn:</t>
        </r>
        <r>
          <rPr>
            <sz val="10"/>
            <color indexed="81"/>
            <rFont val="Tahoma"/>
            <family val="2"/>
          </rPr>
          <t xml:space="preserve">
Bằng số chi chuyển nguồn năm 2025 sang</t>
        </r>
      </text>
    </comment>
    <comment ref="T77" authorId="1">
      <text>
        <r>
          <rPr>
            <b/>
            <sz val="10"/>
            <color indexed="81"/>
            <rFont val="Tahoma"/>
            <family val="2"/>
          </rPr>
          <t>Hồ Quang Tuấn:</t>
        </r>
        <r>
          <rPr>
            <sz val="10"/>
            <color indexed="81"/>
            <rFont val="Tahoma"/>
            <family val="2"/>
          </rPr>
          <t xml:space="preserve">
Cho bằng tỷ lệ phân chia</t>
        </r>
      </text>
    </comment>
    <comment ref="U77" authorId="1">
      <text>
        <r>
          <rPr>
            <b/>
            <sz val="10"/>
            <color indexed="81"/>
            <rFont val="Tahoma"/>
            <family val="2"/>
          </rPr>
          <t>Hồ Quang Tuấn:</t>
        </r>
        <r>
          <rPr>
            <sz val="10"/>
            <color indexed="81"/>
            <rFont val="Tahoma"/>
            <family val="2"/>
          </rPr>
          <t xml:space="preserve">
Cho bằng tỷ lệ phân chia</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9.xml><?xml version="1.0" encoding="utf-8"?>
<comments xmlns="http://schemas.openxmlformats.org/spreadsheetml/2006/main">
  <authors>
    <author>Hồ Quang Tuấn</author>
    <author>pc</author>
  </authors>
  <commentList>
    <comment ref="U12" authorId="0">
      <text>
        <r>
          <rPr>
            <b/>
            <sz val="10"/>
            <color indexed="81"/>
            <rFont val="Tahoma"/>
            <family val="2"/>
          </rPr>
          <t>Hồ Quang Tuấn:</t>
        </r>
        <r>
          <rPr>
            <sz val="10"/>
            <color indexed="81"/>
            <rFont val="Tahoma"/>
            <family val="2"/>
          </rPr>
          <t xml:space="preserve">
Trong số này: 540 tỷ gồm:
+ Cấp vốn điều lệ Quỹ 100 tỷ
+ Do đạt 180 tỷ</t>
        </r>
      </text>
    </comment>
    <comment ref="Z12" authorId="0">
      <text>
        <r>
          <rPr>
            <b/>
            <sz val="10"/>
            <color indexed="81"/>
            <rFont val="Tahoma"/>
            <family val="2"/>
          </rPr>
          <t>Hồ Quang Tuấn:</t>
        </r>
        <r>
          <rPr>
            <sz val="10"/>
            <color indexed="81"/>
            <rFont val="Tahoma"/>
            <family val="2"/>
          </rPr>
          <t xml:space="preserve">
Trong số này: gồm 100 tỷ vốn Điều lệ; Do đạt 180 tỷ</t>
        </r>
      </text>
    </comment>
    <comment ref="AE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J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O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M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BA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6" authorId="1">
      <text>
        <r>
          <rPr>
            <b/>
            <sz val="9"/>
            <color indexed="81"/>
            <rFont val="Tahoma"/>
            <family val="2"/>
          </rPr>
          <t>pc:</t>
        </r>
        <r>
          <rPr>
            <sz val="9"/>
            <color indexed="81"/>
            <rFont val="Tahoma"/>
            <family val="2"/>
          </rPr>
          <t xml:space="preserve">
Khoảng 45%</t>
        </r>
      </text>
    </comment>
    <comment ref="K33" authorId="1">
      <text>
        <r>
          <rPr>
            <b/>
            <sz val="9"/>
            <color indexed="81"/>
            <rFont val="Tahoma"/>
            <family val="2"/>
          </rPr>
          <t>pc:</t>
        </r>
        <r>
          <rPr>
            <sz val="9"/>
            <color indexed="81"/>
            <rFont val="Tahoma"/>
            <family val="2"/>
          </rPr>
          <t xml:space="preserve">
15,609 quỹ khen thưởng</t>
        </r>
      </text>
    </comment>
    <comment ref="L33" authorId="1">
      <text>
        <r>
          <rPr>
            <b/>
            <sz val="9"/>
            <color indexed="81"/>
            <rFont val="Tahoma"/>
            <family val="2"/>
          </rPr>
          <t>pc:</t>
        </r>
        <r>
          <rPr>
            <sz val="9"/>
            <color indexed="81"/>
            <rFont val="Tahoma"/>
            <family val="2"/>
          </rPr>
          <t xml:space="preserve">
Quỹ khen thưởng 10% 46,826</t>
        </r>
      </text>
    </comment>
    <comment ref="P36" authorId="1">
      <text>
        <r>
          <rPr>
            <b/>
            <sz val="10"/>
            <color indexed="81"/>
            <rFont val="Tahoma"/>
            <family val="2"/>
          </rPr>
          <t>pc:</t>
        </r>
        <r>
          <rPr>
            <sz val="10"/>
            <color indexed="81"/>
            <rFont val="Tahoma"/>
            <family val="2"/>
          </rPr>
          <t xml:space="preserve">
Theo dự thảo TW</t>
        </r>
      </text>
    </comment>
    <comment ref="Q45" authorId="0">
      <text>
        <r>
          <rPr>
            <b/>
            <sz val="10"/>
            <color indexed="81"/>
            <rFont val="Tahoma"/>
            <family val="2"/>
          </rPr>
          <t>Hồ Quang Tuấn:</t>
        </r>
        <r>
          <rPr>
            <sz val="10"/>
            <color indexed="81"/>
            <rFont val="Tahoma"/>
            <family val="2"/>
          </rPr>
          <t xml:space="preserve">
Biên chế tăng thêm
Đất trồng lúa</t>
        </r>
      </text>
    </comment>
    <comment ref="Q49" authorId="0">
      <text>
        <r>
          <rPr>
            <b/>
            <sz val="10"/>
            <color indexed="81"/>
            <rFont val="Tahoma"/>
            <family val="2"/>
          </rPr>
          <t>Hồ Quang Tuấn:</t>
        </r>
        <r>
          <rPr>
            <sz val="10"/>
            <color indexed="81"/>
            <rFont val="Tahoma"/>
            <family val="2"/>
          </rPr>
          <t xml:space="preserve">
Đảm bảo xã hội</t>
        </r>
      </text>
    </comment>
    <comment ref="U67" authorId="1">
      <text>
        <r>
          <rPr>
            <b/>
            <sz val="9"/>
            <color indexed="81"/>
            <rFont val="Tahoma"/>
            <family val="2"/>
          </rPr>
          <t>pc:</t>
        </r>
        <r>
          <rPr>
            <sz val="9"/>
            <color indexed="81"/>
            <rFont val="Tahoma"/>
            <family val="2"/>
          </rPr>
          <t xml:space="preserve">
Đo đạc, cấp giấy CN lần đầu theo NQ số 41</t>
        </r>
      </text>
    </comment>
    <comment ref="B68" authorId="1">
      <text>
        <r>
          <rPr>
            <b/>
            <sz val="9"/>
            <color indexed="81"/>
            <rFont val="Tahoma"/>
            <family val="2"/>
          </rPr>
          <t>pc:</t>
        </r>
        <r>
          <rPr>
            <sz val="9"/>
            <color indexed="81"/>
            <rFont val="Tahoma"/>
            <family val="2"/>
          </rPr>
          <t xml:space="preserve">
Ủy thác vốn</t>
        </r>
      </text>
    </comment>
    <comment ref="Z93" authorId="1">
      <text>
        <r>
          <rPr>
            <b/>
            <sz val="9"/>
            <color indexed="81"/>
            <rFont val="Tahoma"/>
            <family val="2"/>
          </rPr>
          <t>pc:</t>
        </r>
        <r>
          <rPr>
            <sz val="9"/>
            <color indexed="81"/>
            <rFont val="Tahoma"/>
            <family val="2"/>
          </rPr>
          <t xml:space="preserve">
- luong</t>
        </r>
      </text>
    </comment>
  </commentList>
</comments>
</file>

<file path=xl/comments4.xml><?xml version="1.0" encoding="utf-8"?>
<comments xmlns="http://schemas.openxmlformats.org/spreadsheetml/2006/main">
  <authors>
    <author>pc</author>
  </authors>
  <commentList>
    <comment ref="H28" authorId="0">
      <text>
        <r>
          <rPr>
            <b/>
            <sz val="9"/>
            <color indexed="81"/>
            <rFont val="Tahoma"/>
            <family val="2"/>
          </rPr>
          <t>pc:</t>
        </r>
        <r>
          <rPr>
            <sz val="9"/>
            <color indexed="81"/>
            <rFont val="Tahoma"/>
            <family val="2"/>
          </rPr>
          <t xml:space="preserve">
Chia tỷ lệ 10% Quỹ khen thưởng (75%)</t>
        </r>
      </text>
    </commen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40.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41.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3.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4.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5.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6.xml><?xml version="1.0" encoding="utf-8"?>
<comments xmlns="http://schemas.openxmlformats.org/spreadsheetml/2006/main">
  <authors>
    <author>pc</author>
    <author>Hồ Quang Tuấn</author>
    <author>Administrator</author>
    <author>MY DUNG</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 ref="Q13" authorId="1">
      <text>
        <r>
          <rPr>
            <b/>
            <sz val="10"/>
            <color indexed="81"/>
            <rFont val="Tahoma"/>
            <family val="2"/>
          </rPr>
          <t>Hồ Quang Tuấn:</t>
        </r>
        <r>
          <rPr>
            <sz val="10"/>
            <color indexed="81"/>
            <rFont val="Tahoma"/>
            <family val="2"/>
          </rPr>
          <t xml:space="preserve">
KP Đào tạo của Đảng ủy khối 630 triệu đồng</t>
        </r>
      </text>
    </comment>
    <comment ref="AA13" authorId="0">
      <text>
        <r>
          <rPr>
            <b/>
            <sz val="14"/>
            <color indexed="81"/>
            <rFont val="Times New Roman"/>
            <family val="1"/>
          </rPr>
          <t>Kinh phí Đại hội Đảng nhiệm kỳ 2025-2030: Khối Đảng = 57.045.413.000 đồng
Khen thưởng: 7.243.000.000 đồng
+ 630 trđ KP đào tạo của Đảng ủy Khối</t>
        </r>
      </text>
    </comment>
    <comment ref="Z16" authorId="2">
      <text>
        <r>
          <rPr>
            <b/>
            <sz val="14"/>
            <color indexed="81"/>
            <rFont val="Times New Roman"/>
            <family val="1"/>
          </rPr>
          <t>Administrator:</t>
        </r>
        <r>
          <rPr>
            <sz val="14"/>
            <color indexed="81"/>
            <rFont val="Times New Roman"/>
            <family val="1"/>
          </rPr>
          <t xml:space="preserve">
Để đối ứng dưới lĩnh vực chi
Tăng thêm Vốn Thủy lợi phí 2.136 tỷ đồng (Năm 2024 đã bố trí 1.814 tỷ đồng). Tổng 2025: 3.950 tỷ đồng</t>
        </r>
      </text>
    </comment>
    <comment ref="AA16" authorId="1">
      <text>
        <r>
          <rPr>
            <b/>
            <sz val="10"/>
            <color indexed="81"/>
            <rFont val="Tahoma"/>
            <family val="2"/>
          </rPr>
          <t>Hồ Quang Tuấn:</t>
        </r>
        <r>
          <rPr>
            <sz val="10"/>
            <color indexed="81"/>
            <rFont val="Tahoma"/>
            <family val="2"/>
          </rPr>
          <t xml:space="preserve">
Trừ xe 950</t>
        </r>
      </text>
    </comment>
    <comment ref="Q18" authorId="1">
      <text>
        <r>
          <rPr>
            <b/>
            <sz val="10"/>
            <color indexed="81"/>
            <rFont val="Tahoma"/>
            <family val="2"/>
          </rPr>
          <t>Hồ Quang Tuấn:</t>
        </r>
        <r>
          <rPr>
            <sz val="10"/>
            <color indexed="81"/>
            <rFont val="Tahoma"/>
            <family val="2"/>
          </rPr>
          <t xml:space="preserve">
Tăng thêm đào tạo 222; Do giảm KP DH Đảng Trường CĐCD9</t>
        </r>
      </text>
    </comment>
    <comment ref="Z19" authorId="3">
      <text>
        <r>
          <rPr>
            <sz val="12"/>
            <color indexed="81"/>
            <rFont val="Times New Roman"/>
            <family val="1"/>
          </rPr>
          <t xml:space="preserve">
- các NV dự kiến phát sinh: 4.790trđ
- Số hóa 9.030trđ 
- 10.000 tỷ</t>
        </r>
      </text>
    </comment>
    <comment ref="Q26" authorId="1">
      <text>
        <r>
          <rPr>
            <b/>
            <sz val="14"/>
            <color indexed="81"/>
            <rFont val="Times New Roman"/>
            <family val="1"/>
          </rPr>
          <t>Hồ Quang Tuấn:</t>
        </r>
        <r>
          <rPr>
            <sz val="14"/>
            <color indexed="81"/>
            <rFont val="Times New Roman"/>
            <family val="1"/>
          </rPr>
          <t xml:space="preserve">
Tiên trừ 15.706 ngày 13/11/2024</t>
        </r>
      </text>
    </comment>
    <comment ref="Z30" authorId="1">
      <text>
        <r>
          <rPr>
            <b/>
            <sz val="10"/>
            <color indexed="81"/>
            <rFont val="Tahoma"/>
            <family val="2"/>
          </rPr>
          <t>Hồ Quang Tuấn:</t>
        </r>
        <r>
          <rPr>
            <sz val="10"/>
            <color indexed="81"/>
            <rFont val="Tahoma"/>
            <family val="2"/>
          </rPr>
          <t xml:space="preserve">
Trừ 1.750 triệu đồng lấy nguồn TW (ATGT của đơn vị trực thuộc)</t>
        </r>
      </text>
    </comment>
    <comment ref="AJ30" authorId="1">
      <text>
        <r>
          <rPr>
            <b/>
            <sz val="10"/>
            <color indexed="81"/>
            <rFont val="Tahoma"/>
            <family val="2"/>
          </rPr>
          <t>Hồ Quang Tuấn:</t>
        </r>
        <r>
          <rPr>
            <sz val="10"/>
            <color indexed="81"/>
            <rFont val="Tahoma"/>
            <family val="2"/>
          </rPr>
          <t xml:space="preserve">
+ 1.750 triệu đồng; kinh phí ATGT đơn vị trực thuộc</t>
        </r>
      </text>
    </comment>
    <comment ref="Q34" authorId="1">
      <text>
        <r>
          <rPr>
            <b/>
            <sz val="10"/>
            <color indexed="81"/>
            <rFont val="Tahoma"/>
            <family val="2"/>
          </rPr>
          <t>Hồ Quang Tuấn:</t>
        </r>
        <r>
          <rPr>
            <sz val="10"/>
            <color indexed="81"/>
            <rFont val="Tahoma"/>
            <family val="2"/>
          </rPr>
          <t xml:space="preserve">
DH Đảng</t>
        </r>
      </text>
    </comment>
    <comment ref="Z36" authorId="2">
      <text>
        <r>
          <rPr>
            <b/>
            <sz val="14"/>
            <color indexed="81"/>
            <rFont val="Times New Roman"/>
            <family val="1"/>
          </rPr>
          <t>Administrator:</t>
        </r>
        <r>
          <rPr>
            <sz val="14"/>
            <color indexed="81"/>
            <rFont val="Times New Roman"/>
            <family val="1"/>
          </rPr>
          <t xml:space="preserve">
Kinh phí lập quy hoạch cấp tỉnh do Ban làm chủ đầu tư</t>
        </r>
      </text>
    </comment>
    <comment ref="AJ37" authorId="1">
      <text>
        <r>
          <rPr>
            <b/>
            <sz val="10"/>
            <color indexed="81"/>
            <rFont val="Tahoma"/>
            <family val="2"/>
          </rPr>
          <t>Hồ Quang Tuấn:</t>
        </r>
        <r>
          <rPr>
            <sz val="10"/>
            <color indexed="81"/>
            <rFont val="Tahoma"/>
            <family val="2"/>
          </rPr>
          <t xml:space="preserve">
Trừ 3.680 triệu đồng giao cho  các đơn vị trực thuộc Sở Giao thông</t>
        </r>
      </text>
    </comment>
    <comment ref="Z38" authorId="1">
      <text>
        <r>
          <rPr>
            <b/>
            <sz val="10"/>
            <color indexed="81"/>
            <rFont val="Tahoma"/>
            <family val="2"/>
          </rPr>
          <t>Hồ Quang Tuấn:</t>
        </r>
        <r>
          <rPr>
            <sz val="10"/>
            <color indexed="81"/>
            <rFont val="Tahoma"/>
            <family val="2"/>
          </rPr>
          <t xml:space="preserve">
Kinh phí DH</t>
        </r>
      </text>
    </comment>
    <comment ref="AJ38" authorId="1">
      <text>
        <r>
          <rPr>
            <b/>
            <sz val="10"/>
            <color indexed="81"/>
            <rFont val="Tahoma"/>
            <family val="2"/>
          </rPr>
          <t>Hồ Quang Tuấn:
Đất trồng lúa theo NĐ 112</t>
        </r>
      </text>
    </comment>
    <comment ref="Z39" authorId="1">
      <text>
        <r>
          <rPr>
            <b/>
            <sz val="10"/>
            <color indexed="81"/>
            <rFont val="Tahoma"/>
            <family val="2"/>
          </rPr>
          <t>Hồ Quang Tuấn:</t>
        </r>
        <r>
          <rPr>
            <sz val="10"/>
            <color indexed="81"/>
            <rFont val="Tahoma"/>
            <family val="2"/>
          </rPr>
          <t xml:space="preserve">
</t>
        </r>
      </text>
    </comment>
    <comment ref="Z40" authorId="1">
      <text>
        <r>
          <rPr>
            <b/>
            <sz val="10"/>
            <color indexed="81"/>
            <rFont val="Tahoma"/>
            <family val="2"/>
          </rPr>
          <t>Hồ Quang Tuấn:</t>
        </r>
        <r>
          <rPr>
            <sz val="10"/>
            <color indexed="81"/>
            <rFont val="Tahoma"/>
            <family val="2"/>
          </rPr>
          <t xml:space="preserve">
</t>
        </r>
      </text>
    </comment>
    <comment ref="Z49" authorId="0">
      <text>
        <r>
          <rPr>
            <b/>
            <sz val="14"/>
            <color indexed="81"/>
            <rFont val="Times New Roman"/>
            <family val="1"/>
          </rPr>
          <t>pc:</t>
        </r>
        <r>
          <rPr>
            <sz val="14"/>
            <color indexed="81"/>
            <rFont val="Times New Roman"/>
            <family val="1"/>
          </rPr>
          <t xml:space="preserve">
Cấp năm 2024: 10 tỷ Hội nông dân </t>
        </r>
      </text>
    </comment>
    <comment ref="Y60" authorId="0">
      <text>
        <r>
          <rPr>
            <b/>
            <sz val="9"/>
            <color indexed="81"/>
            <rFont val="Tahoma"/>
            <family val="2"/>
          </rPr>
          <t>pc:</t>
        </r>
        <r>
          <rPr>
            <sz val="9"/>
            <color indexed="81"/>
            <rFont val="Tahoma"/>
            <family val="2"/>
          </rPr>
          <t xml:space="preserve">
Chờ duyệt của Sở Tài nguyên môi trường có ý kiến - có thể tăng giảm</t>
        </r>
      </text>
    </comment>
    <comment ref="Q61" authorId="0">
      <text>
        <r>
          <rPr>
            <b/>
            <sz val="14"/>
            <color indexed="81"/>
            <rFont val="Times New Roman"/>
            <family val="1"/>
          </rPr>
          <t>pc:</t>
        </r>
        <r>
          <rPr>
            <sz val="14"/>
            <color indexed="81"/>
            <rFont val="Times New Roman"/>
            <family val="1"/>
          </rPr>
          <t xml:space="preserve">
Bao gồm: tuyên truyền phổ biến GDPL: 370 triệu</t>
        </r>
      </text>
    </comment>
    <comment ref="U64" authorId="0">
      <text>
        <r>
          <rPr>
            <b/>
            <sz val="14"/>
            <color indexed="81"/>
            <rFont val="Times New Roman"/>
            <family val="1"/>
          </rPr>
          <t xml:space="preserve">- Định mức giao đầu chu kỳ:
</t>
        </r>
        <r>
          <rPr>
            <sz val="14"/>
            <color indexed="81"/>
            <rFont val="Times New Roman"/>
            <family val="1"/>
          </rPr>
          <t>+ NSTW: 328.342 Triệu đồng
+ NSĐP: 39.543 Triệu đồng (Theo số liệu 2024) Trung ương không bổ sung tăng thêm cho địa phương</t>
        </r>
        <r>
          <rPr>
            <b/>
            <sz val="14"/>
            <color indexed="81"/>
            <rFont val="Times New Roman"/>
            <family val="1"/>
          </rPr>
          <t xml:space="preserve">
- Chênh lệch tăng thêm do tăng lương cơ sở 2.340.000 đồng/tháng:  + Tăng thêm 2.607 đối ứng của địa phương
</t>
        </r>
        <r>
          <rPr>
            <sz val="14"/>
            <color indexed="81"/>
            <rFont val="Times New Roman"/>
            <family val="1"/>
          </rPr>
          <t xml:space="preserve">+ NSTW bổ sung:
+ NSĐP đối ứng
</t>
        </r>
        <r>
          <rPr>
            <b/>
            <sz val="14"/>
            <color indexed="81"/>
            <rFont val="Times New Roman"/>
            <family val="1"/>
          </rPr>
          <t>Công đọc lại:</t>
        </r>
        <r>
          <rPr>
            <sz val="14"/>
            <color indexed="81"/>
            <rFont val="Times New Roman"/>
            <family val="1"/>
          </rPr>
          <t xml:space="preserve">
+ 332.720 triệu đồng  (Đầu chu kỳ)+ (BHXH tự nguyện: 12.060: 2025 nằm dước BTXH) triệu đồng
+ TW tăng thêm 114.316 (Năm 2025)
+ 328,342 + 4.378 (TW)
+ 39.543 - 4.378 (ĐP)</t>
        </r>
      </text>
    </comment>
    <comment ref="AJ64" authorId="0">
      <text/>
    </comment>
    <comment ref="AC66" authorId="0">
      <text>
        <r>
          <rPr>
            <b/>
            <sz val="14"/>
            <color indexed="81"/>
            <rFont val="Times New Roman"/>
            <family val="1"/>
          </rPr>
          <t>- Định mức theo NQ số 35/2023/NNQ-HĐND ngày = 400 triệu đồng
 - Nhiệm vụ đặc hàng: 1.065.000.000 đồng (Chờ Phê duyệt UBND Tỉnh)</t>
        </r>
      </text>
    </comment>
    <comment ref="AC67" authorId="0">
      <text>
        <r>
          <rPr>
            <sz val="14"/>
            <color indexed="81"/>
            <rFont val="Times New Roman"/>
            <family val="1"/>
          </rPr>
          <t>- Kinh phí khoán theo NQ35: 400 triệu đồng.
- Kinh phí giao nhiệm vụ:…đồng
- Do sử dụng 12 triệu từ XHH (222-210)</t>
        </r>
      </text>
    </comment>
    <comment ref="AC68" author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500 triệu đồng/Hội/Năm
2. Kinh phí tổ chức Đại hội theo Công văn số 343/UBND-THVX ngày 21/10/2024 </t>
        </r>
      </text>
    </comment>
    <comment ref="AC69"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0"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1" authorId="0">
      <text>
        <r>
          <rPr>
            <b/>
            <sz val="14"/>
            <color indexed="81"/>
            <rFont val="Times New Roman"/>
            <family val="1"/>
          </rPr>
          <t>- Kinh phí theo NQ35: 400 triệu đồng.</t>
        </r>
        <r>
          <rPr>
            <sz val="14"/>
            <color indexed="81"/>
            <rFont val="Tahoma"/>
            <family val="2"/>
          </rPr>
          <t xml:space="preserve">
- Giao nhiệm vụ: 233 triệu đồng (CV 358/UBND-VX) ngày 31/10/2024
- Cộng thêm 43 triệu dự ĐH tại Hà nội</t>
        </r>
      </text>
    </comment>
    <comment ref="AC72" authorId="0">
      <text>
        <r>
          <rPr>
            <b/>
            <sz val="14"/>
            <color indexed="81"/>
            <rFont val="Times New Roman"/>
            <family val="1"/>
          </rPr>
          <t xml:space="preserve">1. </t>
        </r>
        <r>
          <rPr>
            <sz val="14"/>
            <color indexed="81"/>
            <rFont val="Times New Roman"/>
            <family val="1"/>
          </rPr>
          <t xml:space="preserve">Kinh phí theo NQ số 35 khoán 400 triệu đồng
</t>
        </r>
        <r>
          <rPr>
            <b/>
            <sz val="14"/>
            <color indexed="81"/>
            <rFont val="Times New Roman"/>
            <family val="1"/>
          </rPr>
          <t>2.</t>
        </r>
        <r>
          <rPr>
            <sz val="14"/>
            <color indexed="81"/>
            <rFont val="Times New Roman"/>
            <family val="1"/>
          </rPr>
          <t xml:space="preserve"> Kinh phí thực hiện nhiệm vụ năm 2025: 378 triệu đồng, (Công văn số 635/UBND-KT ngày 17/9/2024 của UBND Tỉnh); Trừ lại nội dung hội thảo Thành cổ Bảo Tiền 48,8</t>
        </r>
      </text>
    </comment>
    <comment ref="AC73" authorId="2">
      <text>
        <r>
          <rPr>
            <sz val="12"/>
            <color indexed="81"/>
            <rFont val="Times New Roman"/>
            <family val="1"/>
          </rPr>
          <t xml:space="preserve">Công văn phê duyệt số 656/UBND-KT ngày 24/9/2024
</t>
        </r>
      </text>
    </comment>
    <comment ref="AC74" authorId="2">
      <text>
        <r>
          <rPr>
            <b/>
            <sz val="14"/>
            <color indexed="81"/>
            <rFont val="Times New Roman"/>
            <family val="1"/>
          </rPr>
          <t>Công văn 724/UBND-KT ngày 16/10/2024</t>
        </r>
        <r>
          <rPr>
            <sz val="9"/>
            <color indexed="81"/>
            <rFont val="Tahoma"/>
            <family val="2"/>
          </rPr>
          <t xml:space="preserve">
</t>
        </r>
      </text>
    </comment>
    <comment ref="AC76" authorId="0">
      <text>
        <r>
          <rPr>
            <sz val="14"/>
            <color indexed="81"/>
            <rFont val="Times New Roman"/>
            <family val="1"/>
          </rPr>
          <t>- Công văn phê duyệt số 726/UBND-NCPC ngày 03/10/2024.</t>
        </r>
      </text>
    </comment>
    <comment ref="AC77" authorId="2">
      <text>
        <r>
          <rPr>
            <sz val="14"/>
            <color indexed="81"/>
            <rFont val="Times New Roman"/>
            <family val="1"/>
          </rPr>
          <t>Công văn 725/UBND-KT ngày 16/10/2024</t>
        </r>
      </text>
    </comment>
    <comment ref="Q82" authorId="1">
      <text>
        <r>
          <rPr>
            <b/>
            <sz val="10"/>
            <color indexed="81"/>
            <rFont val="Tahoma"/>
            <family val="2"/>
          </rPr>
          <t>Hồ Quang Tuấn:</t>
        </r>
        <r>
          <rPr>
            <sz val="10"/>
            <color indexed="81"/>
            <rFont val="Tahoma"/>
            <family val="2"/>
          </rPr>
          <t xml:space="preserve">
Tạm + 20.888 cho bằng số TW</t>
        </r>
      </text>
    </comment>
    <comment ref="AJ82" authorId="1">
      <text>
        <r>
          <rPr>
            <b/>
            <sz val="14"/>
            <color indexed="81"/>
            <rFont val="Times New Roman"/>
            <family val="1"/>
          </rPr>
          <t>Hồ Quang Tuấn:</t>
        </r>
        <r>
          <rPr>
            <sz val="14"/>
            <color indexed="81"/>
            <rFont val="Times New Roman"/>
            <family val="1"/>
          </rPr>
          <t xml:space="preserve">
Chế độ chính sách lĩnh vực GĐĐT: 677 triệu đồng
Trừ đưa về luôn cho huyện</t>
        </r>
      </text>
    </comment>
    <comment ref="U90" authorId="1">
      <text>
        <r>
          <rPr>
            <b/>
            <sz val="10"/>
            <color indexed="81"/>
            <rFont val="Tahoma"/>
            <family val="2"/>
          </rPr>
          <t>Hồ Quang Tuấn:</t>
        </r>
        <r>
          <rPr>
            <sz val="10"/>
            <color indexed="81"/>
            <rFont val="Tahoma"/>
            <family val="2"/>
          </rPr>
          <t xml:space="preserve">
Đưa hết về ĐH Đảng</t>
        </r>
      </text>
    </comment>
    <comment ref="Y99" authorId="1">
      <text>
        <r>
          <rPr>
            <b/>
            <sz val="10"/>
            <color indexed="81"/>
            <rFont val="Tahoma"/>
            <family val="2"/>
          </rPr>
          <t>Hồ Quang Tuấn:</t>
        </r>
        <r>
          <rPr>
            <sz val="10"/>
            <color indexed="81"/>
            <rFont val="Tahoma"/>
            <family val="2"/>
          </rPr>
          <t xml:space="preserve">
Sang 1 tỷ từ sự nghiệp kinh tế sang</t>
        </r>
      </text>
    </comment>
    <comment ref="Z104" authorId="0">
      <text>
        <r>
          <rPr>
            <b/>
            <sz val="14"/>
            <color indexed="81"/>
            <rFont val="Times New Roman"/>
            <family val="1"/>
          </rPr>
          <t xml:space="preserve">pc: </t>
        </r>
        <r>
          <rPr>
            <sz val="14"/>
            <color indexed="81"/>
            <rFont val="Times New Roman"/>
            <family val="1"/>
          </rPr>
          <t>Nguồn thu bảo vệ và phát triển đất trồng lúa của địa phương chuyển đổi mục đich sử dụng = số thu dự toán trung ương giao trong thu khác ngân sách.
 Dự kiến thu 12.000 triệu đồng; BSMT hết cho huyện, thành phố</t>
        </r>
      </text>
    </comment>
    <comment ref="AJ104" authorId="1">
      <text>
        <r>
          <rPr>
            <b/>
            <sz val="10"/>
            <color indexed="81"/>
            <rFont val="Tahoma"/>
            <family val="2"/>
          </rPr>
          <t>Hồ Quang Tuấn:</t>
        </r>
        <r>
          <rPr>
            <sz val="10"/>
            <color indexed="81"/>
            <rFont val="Tahoma"/>
            <family val="2"/>
          </rPr>
          <t xml:space="preserve">
Dự kiến bổ sung hết về huyện</t>
        </r>
      </text>
    </comment>
    <comment ref="Z105" authorId="1">
      <text>
        <r>
          <rPr>
            <b/>
            <sz val="14"/>
            <color indexed="81"/>
            <rFont val="Times New Roman"/>
            <family val="1"/>
          </rPr>
          <t>Hồ Quang Tuấn:</t>
        </r>
        <r>
          <rPr>
            <sz val="14"/>
            <color indexed="81"/>
            <rFont val="Times New Roman"/>
            <family val="1"/>
          </rPr>
          <t xml:space="preserve">
Tạm trừ đưa qua GD&amp;ĐT = 20.888
- Tạm trừ 70 tỷ và 11 tỷ để cân ĐH Đảng
- Trừ 62.551,59 của Ban NN để BSMT Huyện; Vốn Thủy lợi Phí</t>
        </r>
      </text>
    </comment>
    <comment ref="AJ109" authorId="1">
      <text>
        <r>
          <rPr>
            <b/>
            <sz val="14"/>
            <color indexed="81"/>
            <rFont val="Times New Roman"/>
            <family val="1"/>
          </rPr>
          <t>Hồ Quang Tuấn:</t>
        </r>
        <r>
          <rPr>
            <sz val="14"/>
            <color indexed="81"/>
            <rFont val="Times New Roman"/>
            <family val="1"/>
          </rPr>
          <t xml:space="preserve">
1. Trừ Sự nghiệp Giáo dục và Đào tạo = 677 triệu đồng
2. Trừ Sự nghiệp y tế = 114.136 triệu đồng.
3. Còn lại Sự nghiệp Đảm bảo xã hội 195.837 triệu đồng (Trong đó; BHXH tự nguyện = 12.060 triệu đồng)
4. Đảm bảo xã hội - BHXH = Bổ sung có mục tiêu cho huyện, thành phố</t>
        </r>
      </text>
    </comment>
    <comment ref="S113" authorId="1">
      <text>
        <r>
          <rPr>
            <b/>
            <sz val="14"/>
            <color indexed="81"/>
            <rFont val="Times New Roman"/>
            <family val="1"/>
          </rPr>
          <t>Hồ Quang Tuấn:</t>
        </r>
        <r>
          <rPr>
            <sz val="10"/>
            <color indexed="81"/>
            <rFont val="Tahoma"/>
            <family val="2"/>
          </rPr>
          <t xml:space="preserve">
theo doi nguon CCTL 10% Công An 2.094 triệu đồng, BCHQS 4.188 triệu đồng.</t>
        </r>
      </text>
    </comment>
    <comment ref="AE120" authorId="0">
      <text>
        <r>
          <rPr>
            <b/>
            <sz val="14"/>
            <color indexed="81"/>
            <rFont val="Times New Roman"/>
            <family val="1"/>
          </rPr>
          <t>- Lấy bằng dự toán năm 2024</t>
        </r>
        <r>
          <rPr>
            <sz val="9"/>
            <color indexed="81"/>
            <rFont val="Tahoma"/>
            <family val="2"/>
          </rPr>
          <t xml:space="preserve">
</t>
        </r>
      </text>
    </comment>
    <comment ref="AA136" authorId="0">
      <text>
        <r>
          <rPr>
            <b/>
            <sz val="10"/>
            <color indexed="81"/>
            <rFont val="Tahoma"/>
            <family val="2"/>
          </rPr>
          <t>pc:</t>
        </r>
        <r>
          <rPr>
            <sz val="10"/>
            <color indexed="81"/>
            <rFont val="Tahoma"/>
            <family val="2"/>
          </rPr>
          <t xml:space="preserve">
Chưa kể VP Tỉnh ủy</t>
        </r>
      </text>
    </comment>
    <comment ref="AC136" authorId="2">
      <text>
        <r>
          <rPr>
            <b/>
            <sz val="9"/>
            <color indexed="81"/>
            <rFont val="Tahoma"/>
            <family val="2"/>
          </rPr>
          <t>Administrator:</t>
        </r>
        <r>
          <rPr>
            <sz val="9"/>
            <color indexed="81"/>
            <rFont val="Tahoma"/>
            <family val="2"/>
          </rPr>
          <t xml:space="preserve">
Văn phòng Tỉnh ủy</t>
        </r>
      </text>
    </comment>
    <comment ref="AC138" authorId="1">
      <text>
        <r>
          <rPr>
            <b/>
            <sz val="10"/>
            <color indexed="81"/>
            <rFont val="Tahoma"/>
            <family val="2"/>
          </rPr>
          <t>Hồ Quang Tuấn:</t>
        </r>
        <r>
          <rPr>
            <sz val="10"/>
            <color indexed="81"/>
            <rFont val="Tahoma"/>
            <family val="2"/>
          </rPr>
          <t xml:space="preserve">
Chênh lệch lương VPTU
</t>
        </r>
      </text>
    </comment>
    <comment ref="C166" authorId="1">
      <text>
        <r>
          <rPr>
            <b/>
            <sz val="14"/>
            <color indexed="81"/>
            <rFont val="Times New Roman"/>
            <family val="1"/>
          </rPr>
          <t>Hồ Quang Tuấn:</t>
        </r>
        <r>
          <rPr>
            <sz val="14"/>
            <color indexed="81"/>
            <rFont val="Times New Roman"/>
            <family val="1"/>
          </rPr>
          <t xml:space="preserve">
Quỵ khen thưởng toàn tỉnh: 288,446 triệu đồng</t>
        </r>
      </text>
    </comment>
    <comment ref="C167" authorId="1">
      <text>
        <r>
          <rPr>
            <b/>
            <sz val="14"/>
            <color indexed="81"/>
            <rFont val="Times New Roman"/>
            <family val="1"/>
          </rPr>
          <t>Hồ Quang Tuấn:</t>
        </r>
        <r>
          <rPr>
            <sz val="14"/>
            <color indexed="81"/>
            <rFont val="Times New Roman"/>
            <family val="1"/>
          </rPr>
          <t xml:space="preserve">
Trong đó: Quỹ khen thưởng cấp huyện = 173.000 Triệu đồng</t>
        </r>
      </text>
    </comment>
    <comment ref="C168" authorId="2">
      <text>
        <r>
          <rPr>
            <b/>
            <sz val="9"/>
            <color indexed="81"/>
            <rFont val="Tahoma"/>
            <family val="2"/>
          </rPr>
          <t>Administrator:</t>
        </r>
        <r>
          <rPr>
            <sz val="9"/>
            <color indexed="81"/>
            <rFont val="Tahoma"/>
            <family val="2"/>
          </rPr>
          <t xml:space="preserve">
Đã tính chung luôn VP Ti nh ủy</t>
        </r>
      </text>
    </comment>
    <comment ref="P203" authorId="1">
      <text>
        <r>
          <rPr>
            <b/>
            <sz val="10"/>
            <color indexed="81"/>
            <rFont val="Tahoma"/>
            <family val="2"/>
          </rPr>
          <t>Hồ Quang Tuấn:</t>
        </r>
        <r>
          <rPr>
            <sz val="10"/>
            <color indexed="81"/>
            <rFont val="Tahoma"/>
            <family val="2"/>
          </rPr>
          <t xml:space="preserve">
Số gốc</t>
        </r>
      </text>
    </comment>
  </commentList>
</comments>
</file>

<file path=xl/comments47.xml><?xml version="1.0" encoding="utf-8"?>
<comments xmlns="http://schemas.openxmlformats.org/spreadsheetml/2006/main">
  <authors>
    <author>pc</author>
    <author>Hồ Quang Tuấn</author>
  </authors>
  <commentList>
    <comment ref="E25" authorId="0">
      <text>
        <r>
          <rPr>
            <b/>
            <sz val="9"/>
            <color indexed="81"/>
            <rFont val="Tahoma"/>
            <family val="2"/>
          </rPr>
          <t>pc:</t>
        </r>
        <r>
          <rPr>
            <sz val="9"/>
            <color indexed="81"/>
            <rFont val="Tahoma"/>
            <family val="2"/>
          </rPr>
          <t xml:space="preserve">
Chưa kể đối ứng của NSĐP</t>
        </r>
      </text>
    </comment>
    <comment ref="E31" authorId="1">
      <text>
        <r>
          <rPr>
            <b/>
            <sz val="10"/>
            <color indexed="81"/>
            <rFont val="Tahoma"/>
            <family val="2"/>
          </rPr>
          <t>Hồ Quang Tuấn:</t>
        </r>
        <r>
          <rPr>
            <sz val="10"/>
            <color indexed="81"/>
            <rFont val="Tahoma"/>
            <family val="2"/>
          </rPr>
          <t xml:space="preserve">
Bổ sung có mục tiêu hết về cho huyện</t>
        </r>
      </text>
    </comment>
    <comment ref="E32" authorId="1">
      <text>
        <r>
          <rPr>
            <b/>
            <sz val="10"/>
            <color indexed="81"/>
            <rFont val="Tahoma"/>
            <family val="2"/>
          </rPr>
          <t>Hồ Quang Tuấn:</t>
        </r>
        <r>
          <rPr>
            <sz val="10"/>
            <color indexed="81"/>
            <rFont val="Tahoma"/>
            <family val="2"/>
          </rPr>
          <t xml:space="preserve">
1. Sự nghiệp Giáo dục và Đào tạo = -25.567 triệu đồng/(NĐ 81 - 6.284 triệu đồng; NĐ 105 - 19.960 triệu đồng) (+677 triệu đồng/Khuyết tật 42)
2. Sự nghiệp Y tế = + 114.316 triệu đồng (- 11,346 triệu đồng/BHYT cho người nghèo và DTTS; - 17.696 triệu đồng/BHYT Cận nghèo)
3. Sự nghiệp Đảm bảo xã hội = 195.837 triệu đồng (-6.267 triệu đồng/Tiền điện hộ nghèo)</t>
        </r>
      </text>
    </comment>
  </commentList>
</comments>
</file>

<file path=xl/comments48.xml><?xml version="1.0" encoding="utf-8"?>
<comments xmlns="http://schemas.openxmlformats.org/spreadsheetml/2006/main">
  <authors>
    <author>pc</author>
  </authors>
  <commentList>
    <comment ref="F37" authorId="0">
      <text>
        <r>
          <rPr>
            <b/>
            <sz val="9"/>
            <color indexed="81"/>
            <rFont val="Tahoma"/>
            <family val="2"/>
          </rPr>
          <t>pc:</t>
        </r>
        <r>
          <rPr>
            <sz val="9"/>
            <color indexed="81"/>
            <rFont val="Tahoma"/>
            <family val="2"/>
          </rPr>
          <t xml:space="preserve">
Thay lại số liệu theo bổ sung cân đối năm 2023</t>
        </r>
      </text>
    </comment>
    <comment ref="F38" authorId="0">
      <text>
        <r>
          <rPr>
            <b/>
            <sz val="10"/>
            <color indexed="81"/>
            <rFont val="Tahoma"/>
            <family val="2"/>
          </rPr>
          <t>pc:</t>
        </r>
        <r>
          <rPr>
            <sz val="10"/>
            <color indexed="81"/>
            <rFont val="Tahoma"/>
            <family val="2"/>
          </rPr>
          <t xml:space="preserve">
Phụ lục 8.1 phần bổ sung CCTL</t>
        </r>
      </text>
    </comment>
  </commentList>
</comments>
</file>

<file path=xl/comments49.xml><?xml version="1.0" encoding="utf-8"?>
<comments xmlns="http://schemas.openxmlformats.org/spreadsheetml/2006/main">
  <authors>
    <author>pc</author>
    <author>tc={6C4E8160-F480-476B-997A-A2683AA1E488}</author>
  </authors>
  <commentList>
    <comment ref="AA4" authorId="0">
      <text>
        <r>
          <rPr>
            <b/>
            <sz val="9"/>
            <color indexed="81"/>
            <rFont val="Tahoma"/>
            <family val="2"/>
          </rPr>
          <t>pc:</t>
        </r>
        <r>
          <rPr>
            <sz val="9"/>
            <color indexed="81"/>
            <rFont val="Tahoma"/>
            <family val="2"/>
          </rPr>
          <t xml:space="preserve">
</t>
        </r>
      </text>
    </comment>
    <comment ref="AY4" authorId="0">
      <text>
        <r>
          <rPr>
            <b/>
            <sz val="9"/>
            <color indexed="81"/>
            <rFont val="Tahoma"/>
            <family val="2"/>
          </rPr>
          <t>pc:</t>
        </r>
        <r>
          <rPr>
            <sz val="9"/>
            <color indexed="81"/>
            <rFont val="Tahoma"/>
            <family val="2"/>
          </rPr>
          <t xml:space="preserve">
</t>
        </r>
      </text>
    </comment>
    <comment ref="BK4" authorId="0">
      <text>
        <r>
          <rPr>
            <b/>
            <sz val="9"/>
            <color indexed="81"/>
            <rFont val="Tahoma"/>
            <family val="2"/>
          </rPr>
          <t>pc:</t>
        </r>
        <r>
          <rPr>
            <sz val="9"/>
            <color indexed="81"/>
            <rFont val="Tahoma"/>
            <family val="2"/>
          </rPr>
          <t xml:space="preserve">
</t>
        </r>
      </text>
    </comment>
    <comment ref="CC13" authorId="0">
      <text>
        <r>
          <rPr>
            <b/>
            <sz val="9"/>
            <color indexed="81"/>
            <rFont val="Tahoma"/>
            <family val="2"/>
          </rPr>
          <t>pc:</t>
        </r>
        <r>
          <rPr>
            <sz val="9"/>
            <color indexed="81"/>
            <rFont val="Tahoma"/>
            <family val="2"/>
          </rPr>
          <t xml:space="preserve">
Chuyển từ H. Thanh Binh về 17</t>
        </r>
      </text>
    </comment>
    <comment ref="U28" authorId="0">
      <text>
        <r>
          <rPr>
            <b/>
            <sz val="10"/>
            <color indexed="81"/>
            <rFont val="Tahoma"/>
            <family val="2"/>
          </rPr>
          <t>pc:</t>
        </r>
        <r>
          <rPr>
            <sz val="10"/>
            <color indexed="81"/>
            <rFont val="Tahoma"/>
            <family val="2"/>
          </rPr>
          <t xml:space="preserve">
Do Cục Thuế giảm từ 17 tỷ xuống còn 2 tỷ</t>
        </r>
      </text>
    </comment>
    <comment ref="U29" author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31" authorId="0">
      <text>
        <r>
          <rPr>
            <b/>
            <sz val="14"/>
            <color indexed="81"/>
            <rFont val="Times New Roman"/>
            <family val="1"/>
          </rPr>
          <t>Dự kiến khu trường quân sự địa phương (350 tỷ) - 26/10/2023
- Dự kiến giảm 115.000 triệu đồng (Theo dự toán NSNN giảm)</t>
        </r>
      </text>
    </comment>
    <comment ref="AS32" authorId="0">
      <text>
        <r>
          <rPr>
            <b/>
            <sz val="9"/>
            <color indexed="81"/>
            <rFont val="Tahoma"/>
            <family val="2"/>
          </rPr>
          <t>pc:</t>
        </r>
        <r>
          <rPr>
            <sz val="9"/>
            <color indexed="81"/>
            <rFont val="Tahoma"/>
            <family val="2"/>
          </rPr>
          <t xml:space="preserve">
Số huyện 30 tỷ; dự kiến 5 cho tròn NSNN 1.800</t>
        </r>
      </text>
    </comment>
    <comment ref="BQ32" authorId="0">
      <text>
        <r>
          <rPr>
            <sz val="9"/>
            <color indexed="81"/>
            <rFont val="Tahoma"/>
            <family val="2"/>
          </rPr>
          <t xml:space="preserve">- Trừ theo số liệu Thuế ngày 07-10-2024
</t>
        </r>
      </text>
    </comment>
    <comment ref="CC32" authorId="0">
      <text>
        <r>
          <rPr>
            <b/>
            <sz val="9"/>
            <color indexed="81"/>
            <rFont val="Tahoma"/>
            <family val="2"/>
          </rPr>
          <t>pc:</t>
        </r>
        <r>
          <rPr>
            <sz val="9"/>
            <color indexed="81"/>
            <rFont val="Tahoma"/>
            <family val="2"/>
          </rPr>
          <t xml:space="preserve">
Căn cho bằng tổng dự toán </t>
        </r>
      </text>
    </comment>
    <comment ref="CO32" authorId="0">
      <text>
        <r>
          <rPr>
            <b/>
            <sz val="9"/>
            <color indexed="81"/>
            <rFont val="Tahoma"/>
            <family val="2"/>
          </rPr>
          <t>pc:</t>
        </r>
        <r>
          <rPr>
            <sz val="9"/>
            <color indexed="81"/>
            <rFont val="Tahoma"/>
            <family val="2"/>
          </rPr>
          <t xml:space="preserve">
Huyện làm việc bên STC đề nghị thêm 10 tỷ</t>
        </r>
      </text>
    </comment>
    <comment ref="EK32" authorId="0">
      <text>
        <r>
          <rPr>
            <b/>
            <sz val="10"/>
            <color indexed="81"/>
            <rFont val="Tahoma"/>
            <family val="2"/>
          </rPr>
          <t>pc:</t>
        </r>
        <r>
          <rPr>
            <sz val="10"/>
            <color indexed="81"/>
            <rFont val="Tahoma"/>
            <family val="2"/>
          </rPr>
          <t xml:space="preserve">
Lấy bằng số huyện thảo luận</t>
        </r>
      </text>
    </comment>
    <comment ref="EW32" author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AR36" authorId="1">
      <text>
        <r>
          <rPr>
            <sz val="11"/>
            <color theme="1"/>
            <rFont val="Calibri"/>
            <family val="2"/>
            <charset val="163"/>
            <scheme val="minor"/>
          </rPr>
          <t>[Threaded comment]
Your version of Excel allows you to read this threaded comment; however, any edits to it will get removed if the file is opened in a newer version of Excel. Learn more: https://go.microsoft.com/fwlink/?linkid=870924
Comment:
    Giảm trừ 14.300 triệu đồng, nguồn ứng Quỹ phát triển đất</t>
        </r>
      </text>
    </comment>
    <comment ref="BC36" authorId="0">
      <text>
        <r>
          <rPr>
            <b/>
            <sz val="12"/>
            <color indexed="81"/>
            <rFont val="Times New Roman"/>
            <family val="1"/>
          </rPr>
          <t>- Xem lại cấp quyền khai thác khoán sản Tỉnh hay huyện</t>
        </r>
        <r>
          <rPr>
            <sz val="9"/>
            <color indexed="81"/>
            <rFont val="Tahoma"/>
            <family val="2"/>
          </rPr>
          <t xml:space="preserve">
</t>
        </r>
      </text>
    </comment>
    <comment ref="P41" authorId="0">
      <text>
        <r>
          <rPr>
            <b/>
            <sz val="9"/>
            <color indexed="81"/>
            <rFont val="Tahoma"/>
            <family val="2"/>
          </rPr>
          <t>pc:</t>
        </r>
        <r>
          <rPr>
            <sz val="9"/>
            <color indexed="81"/>
            <rFont val="Tahoma"/>
            <family val="2"/>
          </rPr>
          <t xml:space="preserve">
Chú ý thu tại xã</t>
        </r>
      </text>
    </comment>
    <comment ref="V41" authorId="0">
      <text>
        <r>
          <rPr>
            <b/>
            <sz val="9"/>
            <color indexed="81"/>
            <rFont val="Tahoma"/>
            <family val="2"/>
          </rPr>
          <t>pc:</t>
        </r>
        <r>
          <rPr>
            <sz val="9"/>
            <color indexed="81"/>
            <rFont val="Tahoma"/>
            <family val="2"/>
          </rPr>
          <t xml:space="preserve">
Chú ý thu tại xã
</t>
        </r>
      </text>
    </comment>
    <comment ref="AB41" authorId="0">
      <text>
        <r>
          <rPr>
            <b/>
            <sz val="9"/>
            <color indexed="81"/>
            <rFont val="Tahoma"/>
            <family val="2"/>
          </rPr>
          <t>pc:</t>
        </r>
        <r>
          <rPr>
            <sz val="9"/>
            <color indexed="81"/>
            <rFont val="Tahoma"/>
            <family val="2"/>
          </rPr>
          <t xml:space="preserve">
Chú ý thu tại xã</t>
        </r>
      </text>
    </comment>
    <comment ref="AH41" authorId="0">
      <text>
        <r>
          <rPr>
            <b/>
            <sz val="9"/>
            <color indexed="81"/>
            <rFont val="Tahoma"/>
            <family val="2"/>
          </rPr>
          <t>pc:</t>
        </r>
        <r>
          <rPr>
            <sz val="9"/>
            <color indexed="81"/>
            <rFont val="Tahoma"/>
            <family val="2"/>
          </rPr>
          <t xml:space="preserve">
Chú ý thu tại xã
</t>
        </r>
      </text>
    </comment>
    <comment ref="AN41" authorId="0">
      <text>
        <r>
          <rPr>
            <b/>
            <sz val="9"/>
            <color indexed="81"/>
            <rFont val="Tahoma"/>
            <family val="2"/>
          </rPr>
          <t>pc:</t>
        </r>
        <r>
          <rPr>
            <sz val="9"/>
            <color indexed="81"/>
            <rFont val="Tahoma"/>
            <family val="2"/>
          </rPr>
          <t xml:space="preserve">
Chú ý thu tại xã</t>
        </r>
      </text>
    </comment>
    <comment ref="AZ41" authorId="0">
      <text>
        <r>
          <rPr>
            <b/>
            <sz val="9"/>
            <color indexed="81"/>
            <rFont val="Tahoma"/>
            <family val="2"/>
          </rPr>
          <t>pc:</t>
        </r>
        <r>
          <rPr>
            <sz val="9"/>
            <color indexed="81"/>
            <rFont val="Tahoma"/>
            <family val="2"/>
          </rPr>
          <t xml:space="preserve">
Chú ý thu tại xã</t>
        </r>
      </text>
    </comment>
    <comment ref="BL41" authorId="0">
      <text>
        <r>
          <rPr>
            <b/>
            <sz val="9"/>
            <color indexed="81"/>
            <rFont val="Tahoma"/>
            <family val="2"/>
          </rPr>
          <t>pc:</t>
        </r>
        <r>
          <rPr>
            <sz val="9"/>
            <color indexed="81"/>
            <rFont val="Tahoma"/>
            <family val="2"/>
          </rPr>
          <t xml:space="preserve">
Chú ý thu tại xã</t>
        </r>
      </text>
    </comment>
    <comment ref="BX41" authorId="0">
      <text>
        <r>
          <rPr>
            <b/>
            <sz val="9"/>
            <color indexed="81"/>
            <rFont val="Tahoma"/>
            <family val="2"/>
          </rPr>
          <t>pc:</t>
        </r>
        <r>
          <rPr>
            <sz val="9"/>
            <color indexed="81"/>
            <rFont val="Tahoma"/>
            <family val="2"/>
          </rPr>
          <t xml:space="preserve">
Chú ý thu tại xã</t>
        </r>
      </text>
    </comment>
    <comment ref="CJ41" authorId="0">
      <text>
        <r>
          <rPr>
            <b/>
            <sz val="9"/>
            <color indexed="81"/>
            <rFont val="Tahoma"/>
            <family val="2"/>
          </rPr>
          <t>pc:</t>
        </r>
        <r>
          <rPr>
            <sz val="9"/>
            <color indexed="81"/>
            <rFont val="Tahoma"/>
            <family val="2"/>
          </rPr>
          <t xml:space="preserve">
Chú ý thu tại xã</t>
        </r>
      </text>
    </comment>
    <comment ref="CV41" authorId="0">
      <text>
        <r>
          <rPr>
            <b/>
            <sz val="9"/>
            <color indexed="81"/>
            <rFont val="Tahoma"/>
            <family val="2"/>
          </rPr>
          <t>pc:</t>
        </r>
        <r>
          <rPr>
            <sz val="9"/>
            <color indexed="81"/>
            <rFont val="Tahoma"/>
            <family val="2"/>
          </rPr>
          <t xml:space="preserve">
Chú ý thu tại xã</t>
        </r>
      </text>
    </comment>
    <comment ref="DH41" authorId="0">
      <text>
        <r>
          <rPr>
            <b/>
            <sz val="9"/>
            <color indexed="81"/>
            <rFont val="Tahoma"/>
            <family val="2"/>
          </rPr>
          <t>pc:</t>
        </r>
        <r>
          <rPr>
            <sz val="9"/>
            <color indexed="81"/>
            <rFont val="Tahoma"/>
            <family val="2"/>
          </rPr>
          <t xml:space="preserve">
Chú ý thu tại xã</t>
        </r>
      </text>
    </comment>
    <comment ref="DT41" authorId="0">
      <text>
        <r>
          <rPr>
            <b/>
            <sz val="9"/>
            <color indexed="81"/>
            <rFont val="Tahoma"/>
            <family val="2"/>
          </rPr>
          <t>pc:</t>
        </r>
        <r>
          <rPr>
            <sz val="9"/>
            <color indexed="81"/>
            <rFont val="Tahoma"/>
            <family val="2"/>
          </rPr>
          <t xml:space="preserve">
Chú ý thu tại xã</t>
        </r>
      </text>
    </comment>
    <comment ref="EF41" authorId="0">
      <text>
        <r>
          <rPr>
            <b/>
            <sz val="9"/>
            <color indexed="81"/>
            <rFont val="Tahoma"/>
            <family val="2"/>
          </rPr>
          <t>pc:</t>
        </r>
        <r>
          <rPr>
            <sz val="9"/>
            <color indexed="81"/>
            <rFont val="Tahoma"/>
            <family val="2"/>
          </rPr>
          <t xml:space="preserve">
Chú ý thu tại xã</t>
        </r>
      </text>
    </comment>
    <comment ref="ER41" authorId="0">
      <text>
        <r>
          <rPr>
            <b/>
            <sz val="9"/>
            <color indexed="81"/>
            <rFont val="Tahoma"/>
            <family val="2"/>
          </rPr>
          <t>pc:</t>
        </r>
        <r>
          <rPr>
            <sz val="9"/>
            <color indexed="81"/>
            <rFont val="Tahoma"/>
            <family val="2"/>
          </rPr>
          <t xml:space="preserve">
Chú ý thu tại xã</t>
        </r>
      </text>
    </comment>
  </commentList>
</comments>
</file>

<file path=xl/comments5.xml><?xml version="1.0" encoding="utf-8"?>
<comments xmlns="http://schemas.openxmlformats.org/spreadsheetml/2006/main">
  <authors>
    <author>Admin</author>
  </authors>
  <commentList>
    <comment ref="G28" authorId="0">
      <text>
        <r>
          <rPr>
            <b/>
            <sz val="9"/>
            <color indexed="81"/>
            <rFont val="Tahoma"/>
            <family val="2"/>
            <charset val="163"/>
          </rPr>
          <t xml:space="preserve">Có truy lĩnh mấy năm trước
</t>
        </r>
      </text>
    </comment>
  </commentList>
</comments>
</file>

<file path=xl/comments50.xml><?xml version="1.0" encoding="utf-8"?>
<comments xmlns="http://schemas.openxmlformats.org/spreadsheetml/2006/main">
  <authors>
    <author>quangbx</author>
  </authors>
  <commentList>
    <comment ref="C7" authorId="0">
      <text>
        <r>
          <rPr>
            <b/>
            <sz val="8"/>
            <color indexed="81"/>
            <rFont val="Tahoma"/>
            <family val="2"/>
          </rPr>
          <t>quangbx:</t>
        </r>
        <r>
          <rPr>
            <sz val="8"/>
            <color indexed="81"/>
            <rFont val="Tahoma"/>
            <family val="2"/>
          </rPr>
          <t xml:space="preserve">
Số liệu do Sở KHĐT cung cấp</t>
        </r>
      </text>
    </comment>
    <comment ref="C17"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List>
</comments>
</file>

<file path=xl/comments51.xml><?xml version="1.0" encoding="utf-8"?>
<comments xmlns="http://schemas.openxmlformats.org/spreadsheetml/2006/main">
  <authors>
    <author>Hồ Quang Tuấn</author>
    <author>pc</author>
  </authors>
  <commentList>
    <comment ref="P14" authorId="0">
      <text>
        <r>
          <rPr>
            <b/>
            <sz val="14"/>
            <color indexed="81"/>
            <rFont val="Times New Roman"/>
            <family val="1"/>
          </rPr>
          <t>Hồ Quang Tuấn: Theo Số liệu Anh Hậu Phòng Đầu tư đưa ngày 28-10-2024</t>
        </r>
      </text>
    </comment>
    <comment ref="P15" authorId="0">
      <text>
        <r>
          <rPr>
            <b/>
            <sz val="12"/>
            <color indexed="81"/>
            <rFont val="Times New Roman"/>
            <family val="1"/>
          </rPr>
          <t>Hồ Quang Tuấn:</t>
        </r>
        <r>
          <rPr>
            <sz val="12"/>
            <color indexed="81"/>
            <rFont val="Times New Roman"/>
            <family val="1"/>
          </rPr>
          <t xml:space="preserve">
- Bổ sung thêm phần KP Trung ương BSMT
- Xin ý phần kinh phí chuyển đổi của ĐP</t>
        </r>
      </text>
    </comment>
    <comment ref="N17" authorId="1">
      <text>
        <r>
          <rPr>
            <b/>
            <sz val="9"/>
            <color indexed="81"/>
            <rFont val="Tahoma"/>
            <family val="2"/>
          </rPr>
          <t>pc:</t>
        </r>
        <r>
          <rPr>
            <sz val="9"/>
            <color indexed="81"/>
            <rFont val="Tahoma"/>
            <family val="2"/>
          </rPr>
          <t xml:space="preserve">
Chú ý đưa phần giáo dục lên SNGD ( hay Thường xuyên còn lại)</t>
        </r>
      </text>
    </comment>
    <comment ref="B19" authorId="1">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2" authorId="1">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3" authorId="1">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3" authorId="1">
      <text>
        <r>
          <rPr>
            <b/>
            <sz val="9"/>
            <color indexed="81"/>
            <rFont val="Tahoma"/>
            <family val="2"/>
          </rPr>
          <t>pc:</t>
        </r>
        <r>
          <rPr>
            <sz val="9"/>
            <color indexed="81"/>
            <rFont val="Tahoma"/>
            <family val="2"/>
          </rPr>
          <t xml:space="preserve">
Lấy từ kinh phí còn thừa</t>
        </r>
      </text>
    </comment>
    <comment ref="AT23" authorId="1">
      <text>
        <r>
          <rPr>
            <b/>
            <sz val="9"/>
            <color indexed="81"/>
            <rFont val="Tahoma"/>
            <family val="2"/>
          </rPr>
          <t>pc:</t>
        </r>
        <r>
          <rPr>
            <sz val="9"/>
            <color indexed="81"/>
            <rFont val="Tahoma"/>
            <family val="2"/>
          </rPr>
          <t xml:space="preserve">
Nguồn để cấn trừ của huyện, không phải thửa thật</t>
        </r>
      </text>
    </comment>
    <comment ref="F27" authorId="1">
      <text>
        <r>
          <rPr>
            <b/>
            <sz val="9"/>
            <color indexed="81"/>
            <rFont val="Tahoma"/>
            <family val="2"/>
          </rPr>
          <t>pc:</t>
        </r>
        <r>
          <rPr>
            <sz val="9"/>
            <color indexed="81"/>
            <rFont val="Tahoma"/>
            <family val="2"/>
          </rPr>
          <t xml:space="preserve">
Tính toán từ nguồn 50% dự toán tăng thu so với năm trước liền kề</t>
        </r>
      </text>
    </comment>
    <comment ref="K30" authorId="1">
      <text>
        <r>
          <rPr>
            <sz val="12"/>
            <color indexed="81"/>
            <rFont val="Times New Roman"/>
            <family val="1"/>
          </rPr>
          <t>Chú ý sự nghiệp môi trường 1% tổng cân đối ngân sách huyện, thành phố</t>
        </r>
      </text>
    </comment>
    <comment ref="CQ30" authorId="1">
      <text>
        <r>
          <rPr>
            <b/>
            <sz val="12"/>
            <color indexed="81"/>
            <rFont val="Times New Roman"/>
            <family val="1"/>
          </rPr>
          <t>Lấy lại nhu cầu đã rà ngày 02/10/2023</t>
        </r>
      </text>
    </comment>
    <comment ref="F31" authorId="1">
      <text>
        <r>
          <rPr>
            <b/>
            <sz val="9"/>
            <color indexed="81"/>
            <rFont val="Tahoma"/>
            <family val="2"/>
          </rPr>
          <t>pc:</t>
        </r>
        <r>
          <rPr>
            <sz val="9"/>
            <color indexed="81"/>
            <rFont val="Tahoma"/>
            <family val="2"/>
          </rPr>
          <t xml:space="preserve">
Tính toán tăng phần 50% còn lại sau khi dành CCTL</t>
        </r>
      </text>
    </comment>
    <comment ref="G31" authorId="1">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N31" authorId="0">
      <text>
        <r>
          <rPr>
            <b/>
            <sz val="14"/>
            <color indexed="81"/>
            <rFont val="Times New Roman"/>
            <family val="1"/>
          </rPr>
          <t>Hồ Quang Tuấn:</t>
        </r>
        <r>
          <rPr>
            <sz val="14"/>
            <color indexed="81"/>
            <rFont val="Times New Roman"/>
            <family val="1"/>
          </rPr>
          <t xml:space="preserve">
+ lại phần kinh phí chênh ( chung 12 huyện: 11.626 và + thêm 100 triệu Tân Hồng) = kinh phí Tỉnh  + huyện  = TW giao: Trong đó: Tỉnh ko còn Kinh phí lĩnh vực chi</t>
        </r>
      </text>
    </comment>
    <comment ref="AD31" authorId="0">
      <text>
        <r>
          <rPr>
            <b/>
            <sz val="14"/>
            <color indexed="81"/>
            <rFont val="Times New Roman"/>
            <family val="1"/>
          </rPr>
          <t>Hồ Quang Tuấn: + lại phần kinh phí chênh lệch và + 100 triệu</t>
        </r>
        <r>
          <rPr>
            <sz val="10"/>
            <color indexed="81"/>
            <rFont val="Tahoma"/>
            <family val="2"/>
          </rPr>
          <t xml:space="preserve">
</t>
        </r>
      </text>
    </comment>
    <comment ref="AL31" authorId="0">
      <text>
        <r>
          <rPr>
            <b/>
            <sz val="14"/>
            <color indexed="81"/>
            <rFont val="Times New Roman"/>
            <family val="1"/>
          </rPr>
          <t>Hồ Quang Tuấn: Huyện đề nghị giảm 15 tỷ đồng (10/11/2024); Giảm 10  tỷ</t>
        </r>
      </text>
    </comment>
    <comment ref="CX31" authorId="0">
      <text>
        <r>
          <rPr>
            <b/>
            <sz val="14"/>
            <color indexed="81"/>
            <rFont val="Times New Roman"/>
            <family val="1"/>
          </rPr>
          <t>Hồ Quang Tuấn: Giảm 5 tỷ theo (10/11/2024)</t>
        </r>
        <r>
          <rPr>
            <sz val="10"/>
            <color indexed="81"/>
            <rFont val="Tahoma"/>
            <family val="2"/>
          </rPr>
          <t xml:space="preserve">
</t>
        </r>
      </text>
    </comment>
    <comment ref="F33" authorId="1">
      <text>
        <r>
          <rPr>
            <b/>
            <sz val="9"/>
            <color indexed="81"/>
            <rFont val="Tahoma"/>
            <family val="2"/>
          </rPr>
          <t>pc:</t>
        </r>
        <r>
          <rPr>
            <sz val="9"/>
            <color indexed="81"/>
            <rFont val="Tahoma"/>
            <family val="2"/>
          </rPr>
          <t xml:space="preserve">
Tính toán lại 50% so với dự toán năm trước liền kề</t>
        </r>
      </text>
    </comment>
    <comment ref="F35" authorId="1">
      <text>
        <r>
          <rPr>
            <b/>
            <sz val="9"/>
            <color indexed="81"/>
            <rFont val="Tahoma"/>
            <family val="2"/>
          </rPr>
          <t>pc:</t>
        </r>
        <r>
          <rPr>
            <sz val="9"/>
            <color indexed="81"/>
            <rFont val="Tahoma"/>
            <family val="2"/>
          </rPr>
          <t xml:space="preserve">
Nếu chế độ chính sách còn dư thì (1) thu hồi, cấn trừ, chuyển nguồn</t>
        </r>
      </text>
    </comment>
    <comment ref="M35" authorId="1">
      <text>
        <r>
          <rPr>
            <b/>
            <sz val="9"/>
            <color indexed="81"/>
            <rFont val="Tahoma"/>
            <family val="2"/>
          </rPr>
          <t>pc:</t>
        </r>
        <r>
          <rPr>
            <sz val="9"/>
            <color indexed="81"/>
            <rFont val="Tahoma"/>
            <family val="2"/>
          </rPr>
          <t xml:space="preserve">
Lấy từ số ước thực hiện phần dành thực hiện CCTL</t>
        </r>
      </text>
    </comment>
    <comment ref="N35" authorId="1">
      <text>
        <r>
          <rPr>
            <sz val="12"/>
            <color indexed="81"/>
            <rFont val="Times New Roman"/>
            <family val="1"/>
          </rPr>
          <t>- Trừ 820 triệu cho đảm bảo = thường xuyên 2023</t>
        </r>
      </text>
    </comment>
    <comment ref="B40" authorId="1">
      <text>
        <r>
          <rPr>
            <sz val="12"/>
            <color indexed="81"/>
            <rFont val="Times New Roman"/>
            <family val="1"/>
          </rPr>
          <t>Phân bổ số kinh phí này; lưu ý các khoảng chi có tỷ trọng; SNMT; tiết kiệm 10% dành CCTL</t>
        </r>
      </text>
    </comment>
    <comment ref="AD47" authorId="0">
      <text>
        <r>
          <rPr>
            <b/>
            <sz val="10"/>
            <color indexed="81"/>
            <rFont val="Tahoma"/>
            <family val="2"/>
          </rPr>
          <t>Hồ Quang Tuấn:</t>
        </r>
        <r>
          <rPr>
            <sz val="10"/>
            <color indexed="81"/>
            <rFont val="Tahoma"/>
            <family val="2"/>
          </rPr>
          <t xml:space="preserve">
</t>
        </r>
      </text>
    </comment>
    <comment ref="BR47" authorId="0">
      <text>
        <r>
          <rPr>
            <b/>
            <sz val="10"/>
            <color indexed="81"/>
            <rFont val="Tahoma"/>
            <family val="2"/>
          </rPr>
          <t>Hồ Quang Tuấn:</t>
        </r>
        <r>
          <rPr>
            <sz val="10"/>
            <color indexed="81"/>
            <rFont val="Tahoma"/>
            <family val="2"/>
          </rPr>
          <t xml:space="preserve">
Kiểm tra lẽ</t>
        </r>
      </text>
    </comment>
    <comment ref="CH47" authorId="0">
      <text>
        <r>
          <rPr>
            <b/>
            <sz val="10"/>
            <color indexed="81"/>
            <rFont val="Tahoma"/>
            <family val="2"/>
          </rPr>
          <t>Hồ Quang Tuấn:</t>
        </r>
        <r>
          <rPr>
            <sz val="10"/>
            <color indexed="81"/>
            <rFont val="Tahoma"/>
            <family val="2"/>
          </rPr>
          <t xml:space="preserve">
Có điều chỉnh để đảm bảo chi thường xuyên bằng dự toán TW-Kiểm tra lẽ</t>
        </r>
      </text>
    </comment>
    <comment ref="E58" authorId="1">
      <text>
        <r>
          <rPr>
            <b/>
            <sz val="10"/>
            <color indexed="81"/>
            <rFont val="Tahoma"/>
            <family val="2"/>
          </rPr>
          <t>pc:</t>
        </r>
        <r>
          <rPr>
            <sz val="10"/>
            <color indexed="81"/>
            <rFont val="Tahoma"/>
            <family val="2"/>
          </rPr>
          <t xml:space="preserve">
Có trừ 205 cho bằng số TW</t>
        </r>
      </text>
    </comment>
    <comment ref="F58" authorId="1">
      <text>
        <r>
          <rPr>
            <b/>
            <sz val="9"/>
            <color indexed="81"/>
            <rFont val="Tahoma"/>
            <family val="2"/>
          </rPr>
          <t>pc:</t>
        </r>
        <r>
          <rPr>
            <sz val="9"/>
            <color indexed="81"/>
            <rFont val="Tahoma"/>
            <family val="2"/>
          </rPr>
          <t xml:space="preserve">
Tính toán tăng phần 50% còn lại sau khi dành CCTL</t>
        </r>
      </text>
    </comment>
    <comment ref="H76" authorId="0">
      <text>
        <r>
          <rPr>
            <b/>
            <sz val="14"/>
            <color indexed="81"/>
            <rFont val="Times New Roman"/>
            <family val="1"/>
          </rPr>
          <t>Hồ Quang Tuấn:</t>
        </r>
        <r>
          <rPr>
            <sz val="14"/>
            <color indexed="81"/>
            <rFont val="Times New Roman"/>
            <family val="1"/>
          </rPr>
          <t xml:space="preserve">
- Nguồn thu chuyển đổi của ngân sách địa phương</t>
        </r>
      </text>
    </comment>
  </commentList>
</comments>
</file>

<file path=xl/comments52.xml><?xml version="1.0" encoding="utf-8"?>
<comments xmlns="http://schemas.openxmlformats.org/spreadsheetml/2006/main">
  <authors>
    <author>pc</author>
    <author>Hồ Quang Tuấn</author>
  </authors>
  <commentList>
    <comment ref="E3" authorId="0">
      <text>
        <r>
          <rPr>
            <b/>
            <sz val="9"/>
            <color indexed="81"/>
            <rFont val="Tahoma"/>
            <family val="2"/>
          </rPr>
          <t>pc:</t>
        </r>
        <r>
          <rPr>
            <sz val="9"/>
            <color indexed="81"/>
            <rFont val="Tahoma"/>
            <family val="2"/>
          </rPr>
          <t xml:space="preserve">
Cân 3.507</t>
        </r>
      </text>
    </comment>
    <comment ref="E6" authorId="0">
      <text>
        <r>
          <rPr>
            <b/>
            <sz val="9"/>
            <color indexed="81"/>
            <rFont val="Tahoma"/>
            <family val="2"/>
          </rPr>
          <t>pc:</t>
        </r>
        <r>
          <rPr>
            <sz val="9"/>
            <color indexed="81"/>
            <rFont val="Tahoma"/>
            <family val="2"/>
          </rPr>
          <t xml:space="preserve">
+ 232 triệu đồng, đảm bảo số lẽ theo BTC</t>
        </r>
      </text>
    </comment>
    <comment ref="G6" authorId="0">
      <text>
        <r>
          <rPr>
            <b/>
            <sz val="9"/>
            <color indexed="81"/>
            <rFont val="Tahoma"/>
            <family val="2"/>
          </rPr>
          <t>pc:</t>
        </r>
        <r>
          <rPr>
            <sz val="9"/>
            <color indexed="81"/>
            <rFont val="Tahoma"/>
            <family val="2"/>
          </rPr>
          <t xml:space="preserve">
Đã bao gồm phần 10% năm gốc = 8.511 triệu đồng</t>
        </r>
      </text>
    </comment>
    <comment ref="H6" authorId="0">
      <text>
        <r>
          <rPr>
            <b/>
            <sz val="9"/>
            <color indexed="81"/>
            <rFont val="Tahoma"/>
            <family val="2"/>
          </rPr>
          <t>pc:</t>
        </r>
        <r>
          <rPr>
            <sz val="9"/>
            <color indexed="81"/>
            <rFont val="Tahoma"/>
            <family val="2"/>
          </rPr>
          <t xml:space="preserve">
Đã bao gồm 10% năm gốc</t>
        </r>
      </text>
    </comment>
    <comment ref="I6" author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text>
        <r>
          <rPr>
            <b/>
            <sz val="9"/>
            <color indexed="81"/>
            <rFont val="Tahoma"/>
            <family val="2"/>
          </rPr>
          <t>pc:</t>
        </r>
        <r>
          <rPr>
            <sz val="9"/>
            <color indexed="81"/>
            <rFont val="Tahoma"/>
            <family val="2"/>
          </rPr>
          <t xml:space="preserve">
Đã bao gồm phần 10% năm gốc là 12.804 triệu đồng</t>
        </r>
      </text>
    </comment>
    <comment ref="K6" authorId="0">
      <text>
        <r>
          <rPr>
            <b/>
            <sz val="9"/>
            <color indexed="81"/>
            <rFont val="Tahoma"/>
            <family val="2"/>
          </rPr>
          <t>pc:</t>
        </r>
        <r>
          <rPr>
            <sz val="9"/>
            <color indexed="81"/>
            <rFont val="Tahoma"/>
            <family val="2"/>
          </rPr>
          <t xml:space="preserve">
Đã bao gồm 10% gốc</t>
        </r>
      </text>
    </comment>
    <comment ref="L6" authorId="0">
      <text>
        <r>
          <rPr>
            <b/>
            <sz val="9"/>
            <color indexed="81"/>
            <rFont val="Tahoma"/>
            <family val="2"/>
          </rPr>
          <t>pc:</t>
        </r>
        <r>
          <rPr>
            <sz val="9"/>
            <color indexed="81"/>
            <rFont val="Tahoma"/>
            <family val="2"/>
          </rPr>
          <t xml:space="preserve">
Đã bao gồm 10% năm gốc là 11.468 triệu đồng</t>
        </r>
      </text>
    </comment>
    <comment ref="M6" authorId="0">
      <text>
        <r>
          <rPr>
            <b/>
            <sz val="9"/>
            <color indexed="81"/>
            <rFont val="Tahoma"/>
            <family val="2"/>
          </rPr>
          <t>pc:</t>
        </r>
        <r>
          <rPr>
            <sz val="9"/>
            <color indexed="81"/>
            <rFont val="Tahoma"/>
            <family val="2"/>
          </rPr>
          <t xml:space="preserve">
Đã bao gồm 10% gốc </t>
        </r>
      </text>
    </comment>
    <comment ref="C9" author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text>
        <r>
          <rPr>
            <b/>
            <sz val="9"/>
            <color indexed="81"/>
            <rFont val="Tahoma"/>
            <family val="2"/>
          </rPr>
          <t>pc:</t>
        </r>
        <r>
          <rPr>
            <sz val="9"/>
            <color indexed="81"/>
            <rFont val="Tahoma"/>
            <family val="2"/>
          </rPr>
          <t xml:space="preserve">
Lấy số tăng thu thực hiện 2023/DT2023</t>
        </r>
      </text>
    </comment>
    <comment ref="D25" authorId="0">
      <text>
        <r>
          <rPr>
            <b/>
            <sz val="9"/>
            <color indexed="81"/>
            <rFont val="Tahoma"/>
            <family val="2"/>
          </rPr>
          <t>pc:</t>
        </r>
        <r>
          <rPr>
            <sz val="9"/>
            <color indexed="81"/>
            <rFont val="Tahoma"/>
            <family val="2"/>
          </rPr>
          <t xml:space="preserve">
Xem hỏi lai sự nghiệp giáo dục</t>
        </r>
      </text>
    </comment>
    <comment ref="E25" authorId="0">
      <text>
        <r>
          <rPr>
            <b/>
            <sz val="9"/>
            <color indexed="81"/>
            <rFont val="Tahoma"/>
            <family val="2"/>
          </rPr>
          <t>pc:</t>
        </r>
        <r>
          <rPr>
            <sz val="9"/>
            <color indexed="81"/>
            <rFont val="Tahoma"/>
            <family val="2"/>
          </rPr>
          <t xml:space="preserve">
Trừ thêm tinh giản BC theo NĐ 29 2 tỷ</t>
        </r>
      </text>
    </comment>
    <comment ref="F25" authorId="0">
      <text>
        <r>
          <rPr>
            <b/>
            <sz val="9"/>
            <color indexed="81"/>
            <rFont val="Tahoma"/>
            <family val="2"/>
          </rPr>
          <t>pc:</t>
        </r>
        <r>
          <rPr>
            <sz val="9"/>
            <color indexed="81"/>
            <rFont val="Tahoma"/>
            <family val="2"/>
          </rPr>
          <t xml:space="preserve">
Trừi thêm tinh giản BC 2 tỷ</t>
        </r>
      </text>
    </comment>
    <comment ref="J25" author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text>
        <r>
          <rPr>
            <b/>
            <sz val="9"/>
            <color indexed="81"/>
            <rFont val="Tahoma"/>
            <family val="2"/>
          </rPr>
          <t>pc:</t>
        </r>
        <r>
          <rPr>
            <sz val="9"/>
            <color indexed="81"/>
            <rFont val="Tahoma"/>
            <family val="2"/>
          </rPr>
          <t xml:space="preserve">
Trừ thêm tinh giản BC 1 tỷ</t>
        </r>
      </text>
    </comment>
    <comment ref="N25" authorId="0">
      <text>
        <r>
          <rPr>
            <b/>
            <sz val="9"/>
            <color indexed="81"/>
            <rFont val="Tahoma"/>
            <family val="2"/>
          </rPr>
          <t>pc:</t>
        </r>
        <r>
          <rPr>
            <sz val="9"/>
            <color indexed="81"/>
            <rFont val="Tahoma"/>
            <family val="2"/>
          </rPr>
          <t xml:space="preserve">
Trừ thêm tinh giản BC 1 tỷ </t>
        </r>
      </text>
    </comment>
    <comment ref="O25" authorId="0">
      <text>
        <r>
          <rPr>
            <b/>
            <sz val="9"/>
            <color indexed="81"/>
            <rFont val="Tahoma"/>
            <family val="2"/>
          </rPr>
          <t>pc:</t>
        </r>
        <r>
          <rPr>
            <sz val="9"/>
            <color indexed="81"/>
            <rFont val="Tahoma"/>
            <family val="2"/>
          </rPr>
          <t xml:space="preserve">
Tạm tính phường kiểu mẫu 5 phường x 300</t>
        </r>
      </text>
    </comment>
    <comment ref="P25" authorId="0">
      <text>
        <r>
          <rPr>
            <b/>
            <sz val="9"/>
            <color indexed="81"/>
            <rFont val="Tahoma"/>
            <family val="2"/>
          </rPr>
          <t>pc:</t>
        </r>
        <r>
          <rPr>
            <sz val="9"/>
            <color indexed="81"/>
            <rFont val="Tahoma"/>
            <family val="2"/>
          </rPr>
          <t xml:space="preserve">
Trừ thêm tinh giản BC 1</t>
        </r>
      </text>
    </comment>
    <comment ref="E26" authorId="1">
      <text>
        <r>
          <rPr>
            <b/>
            <sz val="10"/>
            <color indexed="81"/>
            <rFont val="Tahoma"/>
            <family val="2"/>
          </rPr>
          <t>Hồ Quang Tuấn:</t>
        </r>
        <r>
          <rPr>
            <sz val="10"/>
            <color indexed="81"/>
            <rFont val="Tahoma"/>
            <family val="2"/>
          </rPr>
          <t xml:space="preserve">
- Quỹ khen thưởng</t>
        </r>
      </text>
    </comment>
    <comment ref="J26" authorId="1">
      <text>
        <r>
          <rPr>
            <b/>
            <sz val="10"/>
            <color indexed="81"/>
            <rFont val="Tahoma"/>
            <family val="2"/>
          </rPr>
          <t>Hồ Quang Tuấn:</t>
        </r>
        <r>
          <rPr>
            <sz val="10"/>
            <color indexed="81"/>
            <rFont val="Tahoma"/>
            <family val="2"/>
          </rPr>
          <t xml:space="preserve">
Cộng 285 cho bằng chi thường xuyên</t>
        </r>
      </text>
    </comment>
    <comment ref="O26" authorId="1">
      <text>
        <r>
          <rPr>
            <b/>
            <sz val="10"/>
            <color indexed="81"/>
            <rFont val="Tahoma"/>
            <family val="2"/>
          </rPr>
          <t>Hồ Quang Tuấn:</t>
        </r>
        <r>
          <rPr>
            <sz val="10"/>
            <color indexed="81"/>
            <rFont val="Tahoma"/>
            <family val="2"/>
          </rPr>
          <t xml:space="preserve">
Cộng 200 cho bằng chi thường xuyên</t>
        </r>
      </text>
    </comment>
    <comment ref="D91" authorId="1">
      <text>
        <r>
          <rPr>
            <b/>
            <sz val="10"/>
            <color indexed="81"/>
            <rFont val="Tahoma"/>
            <family val="2"/>
          </rPr>
          <t>Hồ Quang Tuấn:</t>
        </r>
        <r>
          <rPr>
            <sz val="10"/>
            <color indexed="81"/>
            <rFont val="Tahoma"/>
            <family val="2"/>
          </rPr>
          <t xml:space="preserve">
Trừ chuyển sang nguồn BSMT từ NSTW</t>
        </r>
      </text>
    </comment>
  </commentList>
</comments>
</file>

<file path=xl/comments53.xml><?xml version="1.0" encoding="utf-8"?>
<comments xmlns="http://schemas.openxmlformats.org/spreadsheetml/2006/main">
  <authors>
    <author>pc</author>
  </authors>
  <commentList>
    <comment ref="T8" authorId="0">
      <text>
        <r>
          <rPr>
            <sz val="14"/>
            <color indexed="81"/>
            <rFont val="Times New Roman"/>
            <family val="1"/>
          </rPr>
          <t>H. Hồng Ngự đã nộp trã</t>
        </r>
      </text>
    </comment>
    <comment ref="Y8" authorId="0">
      <text>
        <r>
          <rPr>
            <sz val="14"/>
            <color indexed="81"/>
            <rFont val="Times New Roman"/>
            <family val="1"/>
          </rPr>
          <t>H. Hồng Ngự đã nộp trã phần kinh phí thừa năm 2023</t>
        </r>
      </text>
    </comment>
    <comment ref="BX8" authorId="0">
      <text>
        <r>
          <rPr>
            <b/>
            <sz val="14"/>
            <color indexed="81"/>
            <rFont val="Times New Roman"/>
            <family val="1"/>
          </rPr>
          <t>- Loại trừ kinh phí thừa huyện đã nộp trả ngân sách tỉnh</t>
        </r>
        <r>
          <rPr>
            <sz val="9"/>
            <color indexed="81"/>
            <rFont val="Tahoma"/>
            <family val="2"/>
          </rPr>
          <t xml:space="preserve">
</t>
        </r>
      </text>
    </comment>
    <comment ref="BJ10" authorId="0">
      <text>
        <r>
          <rPr>
            <b/>
            <sz val="14"/>
            <color indexed="81"/>
            <rFont val="Times New Roman"/>
            <family val="1"/>
          </rPr>
          <t>pc:
- Đã loại trừ phần kinh phí huyện nộp trả ngân sách Tỉnh</t>
        </r>
        <r>
          <rPr>
            <sz val="9"/>
            <color indexed="81"/>
            <rFont val="Tahoma"/>
            <family val="2"/>
          </rPr>
          <t xml:space="preserve">
</t>
        </r>
      </text>
    </comment>
    <comment ref="DN10" authorId="0">
      <text>
        <r>
          <rPr>
            <sz val="14"/>
            <color indexed="81"/>
            <rFont val="Times New Roman"/>
            <family val="1"/>
          </rPr>
          <t>- Loại trừ phần kinh phí ngân sách huyện nộp trả</t>
        </r>
      </text>
    </comment>
    <comment ref="EB10" authorId="0">
      <text>
        <r>
          <rPr>
            <sz val="14"/>
            <color indexed="81"/>
            <rFont val="Times New Roman"/>
            <family val="1"/>
          </rPr>
          <t>- Loại trừ kinh phí nộp trả</t>
        </r>
      </text>
    </comment>
    <comment ref="FD10" authorId="0">
      <text>
        <r>
          <rPr>
            <b/>
            <sz val="9"/>
            <color indexed="81"/>
            <rFont val="Tahoma"/>
            <family val="2"/>
          </rPr>
          <t>pc:</t>
        </r>
        <r>
          <rPr>
            <sz val="9"/>
            <color indexed="81"/>
            <rFont val="Tahoma"/>
            <family val="2"/>
          </rPr>
          <t xml:space="preserve">
</t>
        </r>
      </text>
    </comment>
    <comment ref="BS13" authorId="0">
      <text>
        <r>
          <rPr>
            <b/>
            <sz val="10"/>
            <color indexed="81"/>
            <rFont val="Tahoma"/>
            <family val="2"/>
          </rPr>
          <t>pc:</t>
        </r>
        <r>
          <rPr>
            <sz val="10"/>
            <color indexed="81"/>
            <rFont val="Tahoma"/>
            <family val="2"/>
          </rPr>
          <t xml:space="preserve">
Quyết định giao trừ 173 triệu để bằng bù trừ</t>
        </r>
      </text>
    </comment>
    <comment ref="BS15" authorId="0">
      <text>
        <r>
          <rPr>
            <b/>
            <sz val="10"/>
            <color indexed="81"/>
            <rFont val="Tahoma"/>
            <family val="2"/>
          </rPr>
          <t>pc:</t>
        </r>
        <r>
          <rPr>
            <sz val="10"/>
            <color indexed="81"/>
            <rFont val="Tahoma"/>
            <family val="2"/>
          </rPr>
          <t xml:space="preserve">
Quyết định giao trừ 100 triệu 9e63 đảm bảo bù trừ</t>
        </r>
      </text>
    </comment>
    <comment ref="EW17" authorId="0">
      <text>
        <r>
          <rPr>
            <b/>
            <sz val="9"/>
            <color indexed="81"/>
            <rFont val="Tahoma"/>
            <family val="2"/>
          </rPr>
          <t>pc:</t>
        </r>
        <r>
          <rPr>
            <sz val="9"/>
            <color indexed="81"/>
            <rFont val="Tahoma"/>
            <family val="2"/>
          </rPr>
          <t xml:space="preserve">
BTC</t>
        </r>
      </text>
    </comment>
  </commentList>
</comments>
</file>

<file path=xl/comments54.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List>
</comments>
</file>

<file path=xl/comments55.xml><?xml version="1.0" encoding="utf-8"?>
<comments xmlns="http://schemas.openxmlformats.org/spreadsheetml/2006/main">
  <authors>
    <author>Windows User</author>
  </authors>
  <commentList>
    <comment ref="H23" authorId="0">
      <text>
        <r>
          <rPr>
            <b/>
            <sz val="9"/>
            <color indexed="81"/>
            <rFont val="Tahoma"/>
            <family val="2"/>
          </rPr>
          <t>Windows User:</t>
        </r>
        <r>
          <rPr>
            <sz val="9"/>
            <color indexed="81"/>
            <rFont val="Tahoma"/>
            <family val="2"/>
          </rPr>
          <t xml:space="preserve">
</t>
        </r>
      </text>
    </comment>
    <comment ref="N23" authorId="0">
      <text>
        <r>
          <rPr>
            <b/>
            <sz val="9"/>
            <color indexed="81"/>
            <rFont val="Tahoma"/>
            <family val="2"/>
          </rPr>
          <t>Windows User:</t>
        </r>
        <r>
          <rPr>
            <sz val="9"/>
            <color indexed="81"/>
            <rFont val="Tahoma"/>
            <family val="2"/>
          </rPr>
          <t xml:space="preserve">
</t>
        </r>
      </text>
    </comment>
  </commentList>
</comments>
</file>

<file path=xl/comments56.xml><?xml version="1.0" encoding="utf-8"?>
<comments xmlns="http://schemas.openxmlformats.org/spreadsheetml/2006/main">
  <authors>
    <author>quangbxdth</author>
    <author>Quangbxdth</author>
  </authors>
  <commentList>
    <comment ref="N15" authorId="0">
      <text>
        <r>
          <rPr>
            <b/>
            <sz val="9"/>
            <color indexed="81"/>
            <rFont val="Tahoma"/>
            <family val="2"/>
          </rPr>
          <t>quangbxdth:</t>
        </r>
        <r>
          <rPr>
            <sz val="9"/>
            <color indexed="81"/>
            <rFont val="Tahoma"/>
            <family val="2"/>
          </rPr>
          <t xml:space="preserve">
Chi phòng chống dich bệnh: 30.270 trđ</t>
        </r>
      </text>
    </comment>
    <comment ref="O30" authorId="1">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57.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8.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9.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6.xml><?xml version="1.0" encoding="utf-8"?>
<comments xmlns="http://schemas.openxmlformats.org/spreadsheetml/2006/main">
  <authors>
    <author>Hồ Quang Tuấn</author>
  </authors>
  <commentList>
    <comment ref="R21" authorId="0">
      <text>
        <r>
          <rPr>
            <b/>
            <sz val="10"/>
            <color indexed="81"/>
            <rFont val="Tahoma"/>
            <family val="2"/>
          </rPr>
          <t>Hồ Quang Tuấn:</t>
        </r>
        <r>
          <rPr>
            <sz val="10"/>
            <color indexed="81"/>
            <rFont val="Tahoma"/>
            <family val="2"/>
          </rPr>
          <t xml:space="preserve">
Quỹ khen thưởng = 288.446 triệu đồng.</t>
        </r>
      </text>
    </comment>
    <comment ref="S22" authorId="0">
      <text>
        <r>
          <rPr>
            <b/>
            <sz val="10"/>
            <color indexed="81"/>
            <rFont val="Tahoma"/>
            <family val="2"/>
          </rPr>
          <t>Hồ Quang Tuấn:</t>
        </r>
        <r>
          <rPr>
            <sz val="10"/>
            <color indexed="81"/>
            <rFont val="Tahoma"/>
            <family val="2"/>
          </rPr>
          <t xml:space="preserve">
Kinh phí 1,49 lên 1,8</t>
        </r>
      </text>
    </comment>
    <comment ref="T22" authorId="0">
      <text>
        <r>
          <rPr>
            <b/>
            <sz val="10"/>
            <color indexed="81"/>
            <rFont val="Tahoma"/>
            <family val="2"/>
          </rPr>
          <t>Hồ Quang Tuấn:</t>
        </r>
        <r>
          <rPr>
            <sz val="10"/>
            <color indexed="81"/>
            <rFont val="Tahoma"/>
            <family val="2"/>
          </rPr>
          <t xml:space="preserve">
CL giữa DP 1.052.326 và TW 909.498</t>
        </r>
      </text>
    </comment>
  </commentList>
</comments>
</file>

<file path=xl/comments60.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61.xml><?xml version="1.0" encoding="utf-8"?>
<comments xmlns="http://schemas.openxmlformats.org/spreadsheetml/2006/main">
  <authors>
    <author>quangbx</author>
  </authors>
  <commentList>
    <comment ref="C8"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 ref="C19" authorId="0">
      <text>
        <r>
          <rPr>
            <b/>
            <sz val="8"/>
            <color indexed="81"/>
            <rFont val="Tahoma"/>
            <family val="2"/>
          </rPr>
          <t>quangbx:</t>
        </r>
        <r>
          <rPr>
            <sz val="8"/>
            <color indexed="81"/>
            <rFont val="Tahoma"/>
            <family val="2"/>
          </rPr>
          <t xml:space="preserve">
Số liệu do Sở KHĐT cung cấp</t>
        </r>
      </text>
    </comment>
  </commentList>
</comments>
</file>

<file path=xl/comments62.xml><?xml version="1.0" encoding="utf-8"?>
<comments xmlns="http://schemas.openxmlformats.org/spreadsheetml/2006/main">
  <authors>
    <author>pc</author>
  </authors>
  <commentList>
    <comment ref="B76" authorId="0">
      <text>
        <r>
          <rPr>
            <b/>
            <sz val="9"/>
            <color indexed="81"/>
            <rFont val="Tahoma"/>
            <family val="2"/>
          </rPr>
          <t>pc:</t>
        </r>
        <r>
          <rPr>
            <sz val="9"/>
            <color indexed="81"/>
            <rFont val="Tahoma"/>
            <family val="2"/>
          </rPr>
          <t xml:space="preserve">
Cơ cấu các khoảng chi thường xuyên mới phát sinh….</t>
        </r>
      </text>
    </comment>
    <comment ref="B78" author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63.xml><?xml version="1.0" encoding="utf-8"?>
<comments xmlns="http://schemas.openxmlformats.org/spreadsheetml/2006/main">
  <authors>
    <author>pc</author>
  </authors>
  <commentList>
    <comment ref="A7" authorId="0">
      <text>
        <r>
          <rPr>
            <b/>
            <sz val="10"/>
            <color indexed="81"/>
            <rFont val="Tahoma"/>
            <family val="2"/>
          </rPr>
          <t>pc:</t>
        </r>
        <r>
          <rPr>
            <sz val="10"/>
            <color indexed="81"/>
            <rFont val="Tahoma"/>
            <family val="2"/>
          </rPr>
          <t xml:space="preserve">
</t>
        </r>
      </text>
    </comment>
  </commentList>
</comments>
</file>

<file path=xl/comments64.xml><?xml version="1.0" encoding="utf-8"?>
<comments xmlns="http://schemas.openxmlformats.org/spreadsheetml/2006/main">
  <authors>
    <author>pc</author>
  </authors>
  <commentList>
    <comment ref="C27" authorId="0">
      <text>
        <r>
          <rPr>
            <b/>
            <sz val="9"/>
            <color indexed="81"/>
            <rFont val="Tahoma"/>
            <family val="2"/>
          </rPr>
          <t>pc:</t>
        </r>
        <r>
          <rPr>
            <sz val="9"/>
            <color indexed="81"/>
            <rFont val="Tahoma"/>
            <family val="2"/>
          </rPr>
          <t xml:space="preserve">
Xay lap: 408
DK: 92</t>
        </r>
      </text>
    </comment>
  </commentList>
</comments>
</file>

<file path=xl/comments65.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7.xml><?xml version="1.0" encoding="utf-8"?>
<comments xmlns="http://schemas.openxmlformats.org/spreadsheetml/2006/main">
  <authors>
    <author>pc</author>
  </authors>
  <commentList>
    <comment ref="D29" authorId="0">
      <text>
        <r>
          <rPr>
            <b/>
            <sz val="9"/>
            <color indexed="81"/>
            <rFont val="Tahoma"/>
            <family val="2"/>
          </rPr>
          <t>pc:</t>
        </r>
        <r>
          <rPr>
            <sz val="9"/>
            <color indexed="81"/>
            <rFont val="Tahoma"/>
            <family val="2"/>
          </rPr>
          <t xml:space="preserve">
Tháng 3/2024</t>
        </r>
      </text>
    </comment>
    <comment ref="B31" authorId="0">
      <text>
        <r>
          <rPr>
            <b/>
            <sz val="9"/>
            <color indexed="81"/>
            <rFont val="Tahoma"/>
            <family val="2"/>
          </rPr>
          <t>pc:</t>
        </r>
        <r>
          <rPr>
            <sz val="9"/>
            <color indexed="81"/>
            <rFont val="Tahoma"/>
            <family val="2"/>
          </rPr>
          <t xml:space="preserve">
- Công ty Vinaconex = 500.000.000 đồng.
- Công trình Giao thông 1.500.000.000 đồng</t>
        </r>
      </text>
    </comment>
    <comment ref="D33" authorId="0">
      <text>
        <r>
          <rPr>
            <b/>
            <sz val="9"/>
            <color indexed="81"/>
            <rFont val="Tahoma"/>
            <family val="2"/>
          </rPr>
          <t>pc:</t>
        </r>
        <r>
          <rPr>
            <sz val="9"/>
            <color indexed="81"/>
            <rFont val="Tahoma"/>
            <family val="2"/>
          </rPr>
          <t xml:space="preserve">
tháng 12 và 2</t>
        </r>
      </text>
    </comment>
  </commentList>
</comments>
</file>

<file path=xl/comments8.xml><?xml version="1.0" encoding="utf-8"?>
<comments xmlns="http://schemas.openxmlformats.org/spreadsheetml/2006/main">
  <authors>
    <author>pc</author>
    <author>Windows User</author>
  </authors>
  <commentList>
    <comment ref="G21" authorId="0">
      <text>
        <r>
          <rPr>
            <b/>
            <sz val="9"/>
            <color indexed="81"/>
            <rFont val="Tahoma"/>
            <family val="2"/>
          </rPr>
          <t>pc:</t>
        </r>
        <r>
          <rPr>
            <sz val="9"/>
            <color indexed="81"/>
            <rFont val="Tahoma"/>
            <family val="2"/>
          </rPr>
          <t xml:space="preserve">
Số liệu 2023 theo dự toán là: 30.698 triệu đồng</t>
        </r>
      </text>
    </comment>
    <comment ref="G28" authorId="0">
      <text>
        <r>
          <rPr>
            <b/>
            <sz val="9"/>
            <color indexed="81"/>
            <rFont val="Tahoma"/>
            <family val="2"/>
          </rPr>
          <t>pc:</t>
        </r>
        <r>
          <rPr>
            <sz val="9"/>
            <color indexed="81"/>
            <rFont val="Tahoma"/>
            <family val="2"/>
          </rPr>
          <t xml:space="preserve">
Nợ quá hạn năm 2022, chuyển sang 2023 = 225.231 triệu đồng</t>
        </r>
      </text>
    </comment>
    <comment ref="G32" authorId="0">
      <text>
        <r>
          <rPr>
            <b/>
            <sz val="9"/>
            <color indexed="81"/>
            <rFont val="Tahoma"/>
            <family val="2"/>
          </rPr>
          <t>pc:</t>
        </r>
        <r>
          <rPr>
            <sz val="9"/>
            <color indexed="81"/>
            <rFont val="Tahoma"/>
            <family val="2"/>
          </rPr>
          <t xml:space="preserve">
Trả nợ nhanh </t>
        </r>
      </text>
    </comment>
    <comment ref="J32" authorId="0">
      <text>
        <r>
          <rPr>
            <b/>
            <sz val="9"/>
            <color indexed="81"/>
            <rFont val="Tahoma"/>
            <family val="2"/>
          </rPr>
          <t>pc:</t>
        </r>
        <r>
          <rPr>
            <sz val="9"/>
            <color indexed="81"/>
            <rFont val="Tahoma"/>
            <family val="2"/>
          </rPr>
          <t xml:space="preserve">
Ghi theo số thực</t>
        </r>
      </text>
    </comment>
    <comment ref="G36"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7"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7" authorId="1">
      <text>
        <r>
          <rPr>
            <b/>
            <sz val="9"/>
            <color indexed="81"/>
            <rFont val="Tahoma"/>
            <family val="2"/>
          </rPr>
          <t>Windows User:</t>
        </r>
        <r>
          <rPr>
            <sz val="9"/>
            <color indexed="81"/>
            <rFont val="Tahoma"/>
            <family val="2"/>
          </rPr>
          <t xml:space="preserve">
Số 24.101 triệu đồng theo bao cáo của đơn vị</t>
        </r>
      </text>
    </comment>
    <comment ref="G55" authorId="0">
      <text>
        <r>
          <rPr>
            <b/>
            <sz val="9"/>
            <color indexed="81"/>
            <rFont val="Tahoma"/>
            <family val="2"/>
          </rPr>
          <t>pc:</t>
        </r>
        <r>
          <rPr>
            <sz val="9"/>
            <color indexed="81"/>
            <rFont val="Tahoma"/>
            <family val="2"/>
          </rPr>
          <t xml:space="preserve">
Dự toán còn số này</t>
        </r>
      </text>
    </comment>
    <comment ref="G60" authorId="0">
      <text>
        <r>
          <rPr>
            <b/>
            <sz val="9"/>
            <color indexed="81"/>
            <rFont val="Tahoma"/>
            <family val="2"/>
          </rPr>
          <t>pc:</t>
        </r>
        <r>
          <rPr>
            <sz val="9"/>
            <color indexed="81"/>
            <rFont val="Tahoma"/>
            <family val="2"/>
          </rPr>
          <t xml:space="preserve">
Trả lãi, phí chung ĐTC</t>
        </r>
      </text>
    </comment>
  </commentList>
</comments>
</file>

<file path=xl/comments9.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AN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Z42" authorId="0">
      <text>
        <r>
          <rPr>
            <b/>
            <sz val="9"/>
            <color indexed="81"/>
            <rFont val="Tahoma"/>
            <family val="2"/>
          </rPr>
          <t>pc:</t>
        </r>
        <r>
          <rPr>
            <sz val="9"/>
            <color indexed="81"/>
            <rFont val="Tahoma"/>
            <family val="2"/>
          </rPr>
          <t xml:space="preserve">
1.400.000 * 1,08 = 1.512.000 lấy tròn 1.500.000</t>
        </r>
      </text>
    </comment>
    <comment ref="BF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<sst xmlns="http://schemas.openxmlformats.org/spreadsheetml/2006/main" count="14274" uniqueCount="3287">
  <si>
    <t>SỐ TT</t>
  </si>
  <si>
    <t>A</t>
  </si>
  <si>
    <t xml:space="preserve">Thu NSNN trên địa bàn </t>
  </si>
  <si>
    <t>I</t>
  </si>
  <si>
    <t>Thu nội địa</t>
  </si>
  <si>
    <t>Trong đó: thu nội địa không kể tiền SDĐ, XSKT, CPH</t>
  </si>
  <si>
    <t xml:space="preserve">Thu từ DNQDTW quản lý </t>
  </si>
  <si>
    <t>Thuế giá trị gia tăng</t>
  </si>
  <si>
    <t>Thuế thu nhập doanh nghiệp</t>
  </si>
  <si>
    <t>Thuế tiêu thụ đặc biệt</t>
  </si>
  <si>
    <t>Thuế tài nguyên</t>
  </si>
  <si>
    <t>Thu sử dụng vốn NS và thu khác</t>
  </si>
  <si>
    <t xml:space="preserve">Thu từ DNQDĐP quản lý </t>
  </si>
  <si>
    <t>Thu từ khu vực ĐTNN</t>
  </si>
  <si>
    <t>Các khoản thu khác</t>
  </si>
  <si>
    <t>Thu từ khu vực kinh tế NQD</t>
  </si>
  <si>
    <t>Thu khác ngoài quốc doanh</t>
  </si>
  <si>
    <t xml:space="preserve">Lệ phí trước bạ </t>
  </si>
  <si>
    <t xml:space="preserve">Thuế sd đất nông nghiệp </t>
  </si>
  <si>
    <t>Thuế  sử dụng đất phi nông nghiệp</t>
  </si>
  <si>
    <t>Thuế thu nhập cá nhân</t>
  </si>
  <si>
    <t>Thu phí xăng, dầu, thuế bảo vệ môi trường</t>
  </si>
  <si>
    <t>Thu phí, lệ phí</t>
  </si>
  <si>
    <t>Tiền sử dụng đất</t>
  </si>
  <si>
    <t>Thu tiền thuê đất, thuê mặt nước</t>
  </si>
  <si>
    <t>Thu bán nhà thuộc sở hữu nhà nước</t>
  </si>
  <si>
    <t>Thu khác ngân sách</t>
  </si>
  <si>
    <t>Thu tiền CQ khai thác khoáng sản</t>
  </si>
  <si>
    <t>Thu cổ tức, lợi nhuận được chia và lợi nhuận còn lại</t>
  </si>
  <si>
    <t>-</t>
  </si>
  <si>
    <t>Trong đó: thu CPH, thoái vốn DNNNĐP</t>
  </si>
  <si>
    <t>Thu tại xã</t>
  </si>
  <si>
    <t>Thu xổ số kiến thiết</t>
  </si>
  <si>
    <t>II</t>
  </si>
  <si>
    <t xml:space="preserve">Thu từ hoạt động xuất, nhập khẩu </t>
  </si>
  <si>
    <t>Thuế NK, TTĐB hàng nhập khẩu</t>
  </si>
  <si>
    <t>Thuế GTGT hàng  nhập khẩu</t>
  </si>
  <si>
    <t>B</t>
  </si>
  <si>
    <t>Thu bổ sung từ NSTW</t>
  </si>
  <si>
    <t xml:space="preserve">Bổ sung cân đối </t>
  </si>
  <si>
    <t>Trong đó: Bồ sung tăng thêm của năm 2024</t>
  </si>
  <si>
    <t xml:space="preserve">Bổ sung có mục tiêu </t>
  </si>
  <si>
    <t>Bổ sung thực hiện mục tiêu, nhiệm vụ quan trọng (vốn đầu tư phát triển)</t>
  </si>
  <si>
    <t>Bổ sung thực hiện mục tiêu, nhiệm vụ quan trọng (kinh phí sự nghiệp)</t>
  </si>
  <si>
    <t>C</t>
  </si>
  <si>
    <t>Thu chuyển nguồn làm lương năm trước chuyển sang</t>
  </si>
  <si>
    <t>D</t>
  </si>
  <si>
    <t>Thu vay từ nguồn Chính phủ vay về cho vay lại</t>
  </si>
  <si>
    <t>TỔNG CỘNG (A+B+C+D)</t>
  </si>
  <si>
    <t>NỘI DUNG THU</t>
  </si>
  <si>
    <t>DỰ TOÁN NĂM 2024</t>
  </si>
  <si>
    <t>Tổng thu NSNN</t>
  </si>
  <si>
    <t>% so ƯTH dự toán 2023</t>
  </si>
  <si>
    <t>NSTW hưởng</t>
  </si>
  <si>
    <t>Tổng số</t>
  </si>
  <si>
    <t xml:space="preserve">NS tỉnh </t>
  </si>
  <si>
    <t xml:space="preserve">NS huyện
</t>
  </si>
  <si>
    <t>Năm 2018</t>
  </si>
  <si>
    <t>Năm 2019</t>
  </si>
  <si>
    <t>Dự toán</t>
  </si>
  <si>
    <t>Thực hiện</t>
  </si>
  <si>
    <t xml:space="preserve">Thực hiện </t>
  </si>
  <si>
    <t>Năm 2005</t>
  </si>
  <si>
    <t>Năm 2006</t>
  </si>
  <si>
    <t>Năm 2007</t>
  </si>
  <si>
    <t>Năm 2008</t>
  </si>
  <si>
    <t>Năm 2009</t>
  </si>
  <si>
    <t>Năm 2010</t>
  </si>
  <si>
    <t>Giai đoạn</t>
  </si>
  <si>
    <t>Tỷ trọng</t>
  </si>
  <si>
    <t>Tốc độ bình quân</t>
  </si>
  <si>
    <t>Dự toán 2006-2010</t>
  </si>
  <si>
    <t>Năm 2011</t>
  </si>
  <si>
    <t>Năm 2012</t>
  </si>
  <si>
    <t>Năm 2013</t>
  </si>
  <si>
    <t>Năm 2014</t>
  </si>
  <si>
    <t>Năm 2015</t>
  </si>
  <si>
    <t>Năm 2016</t>
  </si>
  <si>
    <t>Tổng số thực hiện 2006-2010</t>
  </si>
  <si>
    <t>Dự toán 2011-2015</t>
  </si>
  <si>
    <t>Tổng số thực hiện 2011-2015</t>
  </si>
  <si>
    <t>Năm 2017</t>
  </si>
  <si>
    <t>Năm 2020</t>
  </si>
  <si>
    <t>Dự toán 2016-2020</t>
  </si>
  <si>
    <t>Tổng số thực hiện 2016-2020</t>
  </si>
  <si>
    <t>Năm 2021</t>
  </si>
  <si>
    <t>Năm 2022</t>
  </si>
  <si>
    <t>Năm 2023</t>
  </si>
  <si>
    <t>Năm 2024</t>
  </si>
  <si>
    <t>Năm 2025</t>
  </si>
  <si>
    <t>Năm 2026</t>
  </si>
  <si>
    <t>Năm 2027</t>
  </si>
  <si>
    <t>Năm 2028</t>
  </si>
  <si>
    <t>Năm 2029</t>
  </si>
  <si>
    <t>Năm 2030</t>
  </si>
  <si>
    <t>Dự toán 2026-2030</t>
  </si>
  <si>
    <t>Tổng số thực hiện 2026-2030</t>
  </si>
  <si>
    <t>Thuế sử dụng đất phi nông nghiệp</t>
  </si>
  <si>
    <t>Trong đó: Bồ sung tăng thêm so với năm đầu ổn định</t>
  </si>
  <si>
    <t>a</t>
  </si>
  <si>
    <t>Mục tiêu, nhiệm vụ dự án</t>
  </si>
  <si>
    <t>b</t>
  </si>
  <si>
    <t>Chương trình mục tiêu quốc gia</t>
  </si>
  <si>
    <t>Mục tiêu, nhiệm vụ quan trọng</t>
  </si>
  <si>
    <t xml:space="preserve">Thực hiện CCTL </t>
  </si>
  <si>
    <t>Đảm bảo nhiệm vụ chi; chế độ chính sách</t>
  </si>
  <si>
    <t>Bổ sung nguồn thực hiện CCTL (nếu có); đảm bảo nhiệm vụ chi; chế độ chính sách</t>
  </si>
  <si>
    <t xml:space="preserve">Tổng thu NSĐP hưởng </t>
  </si>
  <si>
    <t>Thu điểu tiết được hưởng theo phân cấp</t>
  </si>
  <si>
    <t>Thu bổ sung từ ngân sách trung ương</t>
  </si>
  <si>
    <t>Thu chuyển nguồn làm lương từ năm trước chuyển sang (nếu có)</t>
  </si>
  <si>
    <t>Thu chuyển nguồn thực hiện nhiệm vụ, chế độ khác</t>
  </si>
  <si>
    <t>Thu vay</t>
  </si>
  <si>
    <t>Thu viện trợ</t>
  </si>
  <si>
    <t>Thu khác</t>
  </si>
  <si>
    <t>Huy động đóng góp</t>
  </si>
  <si>
    <t>Thu từ Quỹ dự trữ tài chính</t>
  </si>
  <si>
    <t xml:space="preserve"> </t>
  </si>
  <si>
    <t>HĐND Tỉnh giao</t>
  </si>
  <si>
    <t>Trung ương giao</t>
  </si>
  <si>
    <t>ƯỚC THỰC HIỆN NĂM 2024</t>
  </si>
  <si>
    <t>DỰ TOÁN NĂM 2025</t>
  </si>
  <si>
    <t>So với dự toán 2024 (%)</t>
  </si>
  <si>
    <t>(%) so với ước thực hiện năm 2024</t>
  </si>
  <si>
    <t>NSĐP hưởng</t>
  </si>
  <si>
    <t>DỰ TOÁN NĂM 2026</t>
  </si>
  <si>
    <t>DỰ TOÁN NĂM 2027</t>
  </si>
  <si>
    <t>DỰ TOÁN NĂM 2028</t>
  </si>
  <si>
    <t>DỰ TOÁN NĂM 2029</t>
  </si>
  <si>
    <t>DỰ TOÁN NĂM 2030</t>
  </si>
  <si>
    <t>(%) so với ước thực hiện năm 2028</t>
  </si>
  <si>
    <t>(%) so với dự toán năm 2025</t>
  </si>
  <si>
    <t>(%) so với dự toán năm 2026</t>
  </si>
  <si>
    <t>(%) so với dự toán năm 2027</t>
  </si>
  <si>
    <t>(%) so với dự toán năm 2029</t>
  </si>
  <si>
    <t>Thuế xuất</t>
  </si>
  <si>
    <t>Số TT</t>
  </si>
  <si>
    <t>Nội dung</t>
  </si>
  <si>
    <t>Chi ngân sách cấp tỉnh</t>
  </si>
  <si>
    <t>Chi ngân sách huyện; xã</t>
  </si>
  <si>
    <t>DỰ TOÁN CHI NĂM 2024</t>
  </si>
  <si>
    <t>Tổng chi ngân sách địa phương quản lý</t>
  </si>
  <si>
    <t>Chi cân đối ngân sách địa phương</t>
  </si>
  <si>
    <t>Chi đầu tư xây dựng cơ bản</t>
  </si>
  <si>
    <t>Chi đầu tư từ nguồn thu tiền sử dụng đất</t>
  </si>
  <si>
    <t>Chi đầu tư từ nguồn thu xổ số kiến thiết</t>
  </si>
  <si>
    <t>Chi đầu tư từ nguồn thu thoái vốn doanh nghiệp nhà nước địa phương quản lý;…</t>
  </si>
  <si>
    <t>c</t>
  </si>
  <si>
    <t>d</t>
  </si>
  <si>
    <t>đ</t>
  </si>
  <si>
    <t>CHI ĐẦU TƯ PHÁT TRIỂN</t>
  </si>
  <si>
    <t>CHI THƯỜNG XUYÊN</t>
  </si>
  <si>
    <t>Chi giáo dục - đào tạo và dạy nghề</t>
  </si>
  <si>
    <t>Chi khoa học và công nghệ</t>
  </si>
  <si>
    <t>Chi quốc phòng</t>
  </si>
  <si>
    <t>Chi an ninh</t>
  </si>
  <si>
    <t>Chi sự nghiệp y tế, dân số và gia đình</t>
  </si>
  <si>
    <t>e</t>
  </si>
  <si>
    <t>Chi sự nghiệp văn hóa thông tin</t>
  </si>
  <si>
    <t>g</t>
  </si>
  <si>
    <t>Chi sự nghiệp phát thanh, truyền hình</t>
  </si>
  <si>
    <t>h</t>
  </si>
  <si>
    <t>Chi sự nghiệp thể dục thể thao</t>
  </si>
  <si>
    <t>i</t>
  </si>
  <si>
    <t>Chi sự nghiệp bảo vệ môi trường</t>
  </si>
  <si>
    <t>k</t>
  </si>
  <si>
    <t>Chi hoạt động kinh tế</t>
  </si>
  <si>
    <t>l</t>
  </si>
  <si>
    <t>Chi hoạt động quản lý nhà nước, Đảng, đoàn thể</t>
  </si>
  <si>
    <t>m</t>
  </si>
  <si>
    <t>Chi bảo đảm xã hội</t>
  </si>
  <si>
    <t>n</t>
  </si>
  <si>
    <t>Chi khác</t>
  </si>
  <si>
    <t>Chi trả nợ lãi do chính quyền địa phương vay</t>
  </si>
  <si>
    <t>Chi bổ sung quỹ dự trữ tài chính</t>
  </si>
  <si>
    <t>Dự phòng ngân sách</t>
  </si>
  <si>
    <t>Chi tạo nguồn cải cách tiền lương</t>
  </si>
  <si>
    <t>Chi từ nguồn ngân sách trung ương bổ sung có mục tiêu</t>
  </si>
  <si>
    <t>Chi thực hiện mục tiêu, nhiệm vụ quan trọng (vốn đầu tư phát triển)</t>
  </si>
  <si>
    <t>Chi thực hiện mục tiêu, nhiệm vụ quan trọng (kinh phí sự nghiệp)</t>
  </si>
  <si>
    <t>Chi bổ sung có mục tiêu nhiệm vụ quan trọng khác (nếu có)</t>
  </si>
  <si>
    <t>Chi đầu tư từ nguồn vốn Chính phủ vay về cho vay lại</t>
  </si>
  <si>
    <t>III</t>
  </si>
  <si>
    <t>BỘI CHI NGÂN SÁCH ĐỊA PHƯƠNG/BỘI THU NGÂN SÁCH ĐỊA PHƯƠNG</t>
  </si>
  <si>
    <t>CHI CHUYỂN NGUỒN SANG NĂM SAU CỦA NGÂN SÁCH ĐỊA PHƯƠNG</t>
  </si>
  <si>
    <t xml:space="preserve">Chi đầu tư phát triển khác </t>
  </si>
  <si>
    <t>Trong đó</t>
  </si>
  <si>
    <t>KẾ HOẠCH NĂM 2026</t>
  </si>
  <si>
    <t>KẾ HOẠCH NĂM 2027</t>
  </si>
  <si>
    <t>KẾ HOẠCH NĂM 2028</t>
  </si>
  <si>
    <t>KẾ HOẠCH NĂM 2029</t>
  </si>
  <si>
    <t>TỔNG CHI NGÂN SÁCH ĐỊA PHƯƠNG (I+II+III)</t>
  </si>
  <si>
    <t>TỔNG CHI CÂN ĐỐI NGÂN SÁCH ĐỊA PHƯƠNG (1+2+3+4+5+6)</t>
  </si>
  <si>
    <t>KẾ HOẠCH NĂM 2030</t>
  </si>
  <si>
    <t>So với dự toán năm 2024 (%)</t>
  </si>
  <si>
    <t>So với dự toán năm 2025 (%)</t>
  </si>
  <si>
    <t>So với dự toán năm 2026 (%)</t>
  </si>
  <si>
    <t>So với dự toán năm 2027 (%)</t>
  </si>
  <si>
    <t>So với dự toán năm 2028 (%)</t>
  </si>
  <si>
    <t>So với dự toán năm 2029 (%)</t>
  </si>
  <si>
    <t>TT</t>
  </si>
  <si>
    <t xml:space="preserve">Nội dung </t>
  </si>
  <si>
    <t xml:space="preserve">Thu điều tiết và thu cố định </t>
  </si>
  <si>
    <t>Thu bổ sung từ ngân sách cấp trên</t>
  </si>
  <si>
    <t>2.1</t>
  </si>
  <si>
    <t>Bổ sung cân đối ngân sách</t>
  </si>
  <si>
    <t>2.2</t>
  </si>
  <si>
    <t>Bổ sung có mục tiêu</t>
  </si>
  <si>
    <t>Chi đầu tư phát triển</t>
  </si>
  <si>
    <t>Chi thường xuyên</t>
  </si>
  <si>
    <t>Chi tạo nguồn, điều chỉnh tiền lương</t>
  </si>
  <si>
    <t>Chi tạo nguồn CCTL từ nguồn dự kiến tăng thu</t>
  </si>
  <si>
    <t>Chi từ nguồn dự kiến tăng thu (sau khi dành CCTL theo quy định)</t>
  </si>
  <si>
    <t>Chi trả lãi tiền vay</t>
  </si>
  <si>
    <t xml:space="preserve">Chi từ nguồn ngân sách trung ương bổ sung có mục tiêu </t>
  </si>
  <si>
    <t>IV</t>
  </si>
  <si>
    <t>Chi bổ sung ngân sách huyện</t>
  </si>
  <si>
    <t>Chênh lệch thu - chi NSĐP</t>
  </si>
  <si>
    <t>Chi đầu tư phát triển khác (Ủy thác qua NH Chính sách xã hội chi nhánh tỉnh Đồng Tháp)</t>
  </si>
  <si>
    <t>Dự toán 2024</t>
  </si>
  <si>
    <t xml:space="preserve">Cộng </t>
  </si>
  <si>
    <t>Tỉnh</t>
  </si>
  <si>
    <t>Huyện</t>
  </si>
  <si>
    <t>Ước TH năm 2024</t>
  </si>
  <si>
    <t>Dự toán 2025</t>
  </si>
  <si>
    <t>Dự toán 2026</t>
  </si>
  <si>
    <t>Dự toán 2027</t>
  </si>
  <si>
    <t>Dự toán 2028</t>
  </si>
  <si>
    <t>Dự toán 2029</t>
  </si>
  <si>
    <t>Dự toán 2030</t>
  </si>
  <si>
    <t>CÂN ĐỐI NGÂN SÁCH ĐỊA PHƯƠNG NĂM 2024 - 2025</t>
  </si>
  <si>
    <t>(Không kể thu, chi chuyển giao giữa các cấp ngân sách chính quyền địa phương)</t>
  </si>
  <si>
    <t>(Cân đối chung thu, chi ngân sách địa phương)</t>
  </si>
  <si>
    <t>Thu NSĐP được hưởng</t>
  </si>
  <si>
    <t>Trong đó:</t>
  </si>
  <si>
    <t>Thu cân đối NSĐP</t>
  </si>
  <si>
    <t>Thu cân đối NSĐP (Không kể thu tiền sử dụng đất; XSKT; CPH…)</t>
  </si>
  <si>
    <t>2.3</t>
  </si>
  <si>
    <t>Chi NSĐP</t>
  </si>
  <si>
    <t>Chi sự nghiệp Giáo dục-Đào tạo</t>
  </si>
  <si>
    <t>Các khoản còn lại</t>
  </si>
  <si>
    <t>Chi sự nghiệp Khoa học-Công nghệ</t>
  </si>
  <si>
    <t>Thu tiền sử dụng đất</t>
  </si>
  <si>
    <t>Thu từ xổ số kiến thiết</t>
  </si>
  <si>
    <t xml:space="preserve">Thu cổ phần hóa, thoái vốn doanh nghiệp nhà nước địa phương quản lý  </t>
  </si>
  <si>
    <t>Các khoản thu còn lại</t>
  </si>
  <si>
    <t>ĐVT: Triệu đồng</t>
  </si>
  <si>
    <t>STT</t>
  </si>
  <si>
    <t>NỘI DUNG</t>
  </si>
  <si>
    <t>Cấp tỉnh</t>
  </si>
  <si>
    <t>Cấp huyện</t>
  </si>
  <si>
    <t>H. Hồng Ngự</t>
  </si>
  <si>
    <t>TP. Hồng Ngự</t>
  </si>
  <si>
    <t>H. Tân Hồng</t>
  </si>
  <si>
    <t>H. Tam Nông</t>
  </si>
  <si>
    <t>H. Thanh Bình</t>
  </si>
  <si>
    <t>TP. Cao Lãnh</t>
  </si>
  <si>
    <t>H. Cao Lãnh</t>
  </si>
  <si>
    <t>H. Tháp Mười</t>
  </si>
  <si>
    <t>H. Lấp Vò</t>
  </si>
  <si>
    <t>H. Lai Vung</t>
  </si>
  <si>
    <t>TP. Sa Đéc</t>
  </si>
  <si>
    <t>H. Châu Thành</t>
  </si>
  <si>
    <t>Tình hình sử dụng dự phòng ngân sách địa phương</t>
  </si>
  <si>
    <t>Tổng số dự phòng ngân sách địa phương năm 2024</t>
  </si>
  <si>
    <t>Số đã sử dụng lũy kế đến 30/6/2024</t>
  </si>
  <si>
    <t>Tỷ lệ % sử dụng</t>
  </si>
  <si>
    <t>Tháng 1/2024</t>
  </si>
  <si>
    <t>Tháng 2/2024</t>
  </si>
  <si>
    <t>Tháng 3/2024</t>
  </si>
  <si>
    <t>Tháng 4/2024</t>
  </si>
  <si>
    <t>Tháng 5/2024</t>
  </si>
  <si>
    <t>Tháng 6/2024</t>
  </si>
  <si>
    <t>Tháng 7/2024</t>
  </si>
  <si>
    <t>Tháng 8/2024</t>
  </si>
  <si>
    <t>Tháng 9/2024</t>
  </si>
  <si>
    <t>Tháng 10/2024</t>
  </si>
  <si>
    <t>Tháng 11/2024</t>
  </si>
  <si>
    <t>Tháng 12/2024</t>
  </si>
  <si>
    <t>Nội dung sử dụng từ dự phòng năm 2024</t>
  </si>
  <si>
    <t>Tình hình sử dụng quỹ dự trữ tài chính</t>
  </si>
  <si>
    <t>Số dư quỹ dự trữ tài chính đến 31/12/2023</t>
  </si>
  <si>
    <t>Số đã bổ sung quỹ dự trữ tài chính 6 tháng đầu năm 2024</t>
  </si>
  <si>
    <t>Từ dự toán năm 2024</t>
  </si>
  <si>
    <t>Từ kết dư năm 2023</t>
  </si>
  <si>
    <t>Từ tiền thu hoàn trả tạm ứng của đơn vị</t>
  </si>
  <si>
    <t>Từ tiền lãi thu gửi KBNN</t>
  </si>
  <si>
    <t>Nội dung các khoản đã xử lý:</t>
  </si>
  <si>
    <t>Số dư đến 01/7/2024</t>
  </si>
  <si>
    <t>TÌNH HÌNH SỬ DỤNG DỰ PHÒNG NGÂN SÁCH ĐỊA PHƯƠNG VÀ QUỸ DỰ TRỮ TÀI CHÍNH</t>
  </si>
  <si>
    <t>NĂM 2024</t>
  </si>
  <si>
    <t>Thuyết minh:</t>
  </si>
  <si>
    <t>Tăng/giảm thu điều tiết và NSĐP hưởng 100%</t>
  </si>
  <si>
    <t>Tăng/giảm thu tiền sử dụng đất; Xổ số kiến thiết; CPH</t>
  </si>
  <si>
    <t xml:space="preserve">Tiền sử dụng đất </t>
  </si>
  <si>
    <t>Xổ số kiến thiết</t>
  </si>
  <si>
    <t>Cổ phần hóa</t>
  </si>
  <si>
    <t>Năm 2025/2024</t>
  </si>
  <si>
    <t>Tăng/giảm thu nội địa (không kể thu tiền sử dụng đất; xổ số kiến thiết; cổ phần hóa)</t>
  </si>
  <si>
    <t>Năm 2026/2025</t>
  </si>
  <si>
    <t>Năm 2027/2026</t>
  </si>
  <si>
    <t>Năm 2028/2027</t>
  </si>
  <si>
    <t>Năm 2029/2028</t>
  </si>
  <si>
    <t>Năm 2030/2029</t>
  </si>
  <si>
    <t>UTH 2024/DT2024</t>
  </si>
  <si>
    <t>Thực hiện tăng 70% (Giảm 50%); Dự toán năm sau/Dự toán năm trước (Dành 50% CCTL)</t>
  </si>
  <si>
    <t>Tỷ lệ tăng thu cân đối (không kể thu tiền sử dụng đất; xổ số kiến thiết; cổ phần hóa)</t>
  </si>
  <si>
    <t>Thuyết minh tỷ lệ tăng</t>
  </si>
  <si>
    <t>Dành 50% thực hiện cải cách tiền lương</t>
  </si>
  <si>
    <t>Tổng thu cân đối (không kể thu tiền sử dụng đất; thu xổ số kiến thiết; cổ phần hóa)</t>
  </si>
  <si>
    <t>Dành 50% phân bổ các lĩnh vực chi (lưu ý tăng đầu tư phát triển; dự phòng; trã lãi…theo Thông tư hướng dẫn hàng năm)</t>
  </si>
  <si>
    <t>Định hướng chi đầu tư phát triển khác</t>
  </si>
  <si>
    <t>*</t>
  </si>
  <si>
    <t>Nguồn thu tiền sử dụng đất</t>
  </si>
  <si>
    <t>Nguồn thu xổ số kiến thiết</t>
  </si>
  <si>
    <t>Nguồn xây dựng cơ bản tập trung</t>
  </si>
  <si>
    <t>Nguồn sự nghiệp kinh tế (kinh phí sự nghiệp)</t>
  </si>
  <si>
    <t>Thuyết minh</t>
  </si>
  <si>
    <t>Tổng chi không kể chuyển giao</t>
  </si>
  <si>
    <t>Tổng chi cân đối</t>
  </si>
  <si>
    <t>Chi chuyển nguồn</t>
  </si>
  <si>
    <t>Chi đầu tư phát triển khác</t>
  </si>
  <si>
    <t>NĂM 2021</t>
  </si>
  <si>
    <t>NĂM 2022</t>
  </si>
  <si>
    <t>NĂM 2023</t>
  </si>
  <si>
    <t>DỰ KIẾN NĂM 2025</t>
  </si>
  <si>
    <t>DỰ KIẾN NĂM 2026</t>
  </si>
  <si>
    <t>DỰ TOÁN</t>
  </si>
  <si>
    <t>THỰC HIỆN</t>
  </si>
  <si>
    <t>BỘI CHI NGÂN SÁCH ĐỊA PHƯƠNG</t>
  </si>
  <si>
    <t>KẾ HOẠCH VAY, TRẢ NỢ GỐC</t>
  </si>
  <si>
    <t>Tổng dư nợ đầu năm</t>
  </si>
  <si>
    <t>Tỷ lệ mức dư nợ đầu kỳ so với mức dư nợ vay tối đa của ngân sách địa phương (%)</t>
  </si>
  <si>
    <t>Vay Chi nhánh Ngân hàng Phát triển</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</si>
  <si>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</si>
  <si>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</si>
  <si>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</si>
  <si>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</si>
  <si>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</si>
  <si>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</si>
  <si>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</si>
  <si>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</si>
  <si>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</si>
  <si>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</si>
  <si>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</si>
  <si>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</si>
  <si>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</si>
  <si>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</si>
  <si>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</si>
  <si>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</si>
  <si>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</si>
  <si>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</si>
  <si>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</si>
  <si>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</si>
  <si>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</si>
  <si>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Tổng dư nợ cuối năm</t>
  </si>
  <si>
    <t>Tỷ lệ mức dư nợ cuối kỳ so với mức dư nợ vay tối đa của ngân sách địa phương (%)</t>
  </si>
  <si>
    <t>Trả nợ lãi, phí</t>
  </si>
  <si>
    <t>DỰ KIẾN NĂM 2027</t>
  </si>
  <si>
    <t>DỰ KIẾN NĂM 2028</t>
  </si>
  <si>
    <t>DỰ KIẾN NĂM 2029</t>
  </si>
  <si>
    <t>DỰ KIẾN NĂM 2030</t>
  </si>
  <si>
    <t>Tổng thu ngân sách địa phương hưởng theo phân cấp</t>
  </si>
  <si>
    <t>Mức dư nợ tối đa của ngân sách địa phương (20%)</t>
  </si>
  <si>
    <t>TỔNG GIAI ĐOẠN 2021-2025</t>
  </si>
  <si>
    <t>KẾ HOẠCH 2025-2027</t>
  </si>
  <si>
    <t>KẾ HOẠCH 2026-2030</t>
  </si>
  <si>
    <t>Vay chương trình kiên cố hoá kênh mương</t>
  </si>
  <si>
    <t>Vay chương trình cụm tuyến cụm, tuyến dân cư giai đoạn 1</t>
  </si>
  <si>
    <t>Vay chương trình cụm tuyến cụm, tuyến dân cư giai đoạn 2</t>
  </si>
  <si>
    <t>Các khoản thu ngân sách địa phương hưởng 100%</t>
  </si>
  <si>
    <t>Các khoản thu ngân sách địa phương hưởng theo tỷ lệ điều tiết</t>
  </si>
  <si>
    <t>Đơn vị tính: Triệu đổng</t>
  </si>
  <si>
    <t>TÊN QUỸ</t>
  </si>
  <si>
    <t>Số dư nguồn đến ngày 31/12/2023</t>
  </si>
  <si>
    <t>Kế hoạch năm 2024</t>
  </si>
  <si>
    <t>Số dư nguồn đến ngày 31/12/2024</t>
  </si>
  <si>
    <t>Tổng nguồn vốn phát sinh trong năm</t>
  </si>
  <si>
    <t>Tổng sử dụng nguồn vốn trong năm</t>
  </si>
  <si>
    <t>Chênh lệch nguồn trong năm</t>
  </si>
  <si>
    <t>Chênh lệch nguổn trong năm</t>
  </si>
  <si>
    <t>Trong đó NSĐP hỗ trợ
(nếu có)</t>
  </si>
  <si>
    <t>5=1+2-4</t>
  </si>
  <si>
    <t>5=2-4</t>
  </si>
  <si>
    <t>6=1+2-4</t>
  </si>
  <si>
    <t>10=7-9</t>
  </si>
  <si>
    <t>11=6+7-9</t>
  </si>
  <si>
    <t>Tổng cộng</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</si>
  <si>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</si>
  <si>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</si>
  <si>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</si>
  <si>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</si>
  <si>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</si>
  <si>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</si>
  <si>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</si>
  <si>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</si>
  <si>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</si>
  <si>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</si>
  <si>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</si>
  <si>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</si>
  <si>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</si>
  <si>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</si>
  <si>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</si>
  <si>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</si>
  <si>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</si>
  <si>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</si>
  <si>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</si>
  <si>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Ước thực hiện năm 2024</t>
  </si>
  <si>
    <t>Kế hoạch năm 2025</t>
  </si>
  <si>
    <t>Số dư nguồn đến ngày 31/12/2025</t>
  </si>
  <si>
    <t>TÌNH HÌNH THỰC HIỆN KẾ HOẠCH TÀI CHÍNH CÁC QUỸ TÀI CHÍNH NGOÀI NGÂN SÁCH DO TỈNH QUẢN LÝ NĂM 2024-2025</t>
  </si>
  <si>
    <t>NĂM 2025</t>
  </si>
  <si>
    <t>NĂM 2026</t>
  </si>
  <si>
    <t>KẾ HOẠCH</t>
  </si>
  <si>
    <t>ƯỚC 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</si>
  <si>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</si>
  <si>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</si>
  <si>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</si>
  <si>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</si>
  <si>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</si>
  <si>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</si>
  <si>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</si>
  <si>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</si>
  <si>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</si>
  <si>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</si>
  <si>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</si>
  <si>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</si>
  <si>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</si>
  <si>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</si>
  <si>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</si>
  <si>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</si>
  <si>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</si>
  <si>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</si>
  <si>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</si>
  <si>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</si>
  <si>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</si>
  <si>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</si>
  <si>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Người</t>
  </si>
  <si>
    <t>- Số học sinh</t>
  </si>
  <si>
    <t>+ Học sinh bán trú</t>
  </si>
  <si>
    <t>+ Đối tượng được hưởng chính sách miễn, giảm học phí theo quy định</t>
  </si>
  <si>
    <t>- Số trường đại học, cao đẳng, dạy nghề công lập do địa phương quản lý</t>
  </si>
  <si>
    <t>Y tế:</t>
  </si>
  <si>
    <t>- Cơ sở khám chữa bệnh</t>
  </si>
  <si>
    <t>- Số giường bệnh</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</si>
  <si>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</si>
  <si>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</si>
  <si>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</si>
  <si>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</si>
  <si>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</si>
  <si>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</si>
  <si>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</si>
  <si>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</si>
  <si>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</si>
  <si>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</si>
  <si>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</si>
  <si>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</si>
  <si>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</si>
  <si>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</si>
  <si>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</si>
  <si>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</si>
  <si>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</si>
  <si>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</si>
  <si>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</si>
  <si>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</si>
  <si>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</si>
  <si>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</si>
  <si>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</si>
  <si>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</si>
  <si>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</si>
  <si>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</si>
  <si>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</si>
  <si>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</si>
  <si>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</si>
  <si>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</si>
  <si>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</si>
  <si>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</si>
  <si>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</si>
  <si>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PHỤ LỤC ĐỐI CHIẾU</t>
  </si>
  <si>
    <t>Đơn vị tính</t>
  </si>
  <si>
    <t>Mục tiêu giai đoạn trước</t>
  </si>
  <si>
    <t>Thực hiện giai đoạn trước</t>
  </si>
  <si>
    <t>Tổng giai đoạn</t>
  </si>
  <si>
    <t>Kế hoạch giai đoạn 2026-2030</t>
  </si>
  <si>
    <t>NĂM 2020</t>
  </si>
  <si>
    <t>Tốc độ tăng trưởng GRDP</t>
  </si>
  <si>
    <t>TĐ: Thuế sản phẩm</t>
  </si>
  <si>
    <t>NĂM 2027</t>
  </si>
  <si>
    <t>NĂM 2028</t>
  </si>
  <si>
    <t>NĂM 2029</t>
  </si>
  <si>
    <t>NĂM 2030</t>
  </si>
  <si>
    <t>Giai đoạn 2026-2030</t>
  </si>
  <si>
    <t>Lao động</t>
  </si>
  <si>
    <t>a)</t>
  </si>
  <si>
    <t>Số lao động có việc làm trên địa bàn tỉnh</t>
  </si>
  <si>
    <t>- Nông - lâm - thủy sản</t>
  </si>
  <si>
    <t>- Công nghiệp - xây dựng</t>
  </si>
  <si>
    <t>- Thương mại - dịch vụ</t>
  </si>
  <si>
    <t>b)</t>
  </si>
  <si>
    <t>Cơ cấu lao động có việc làm trên địa bàn tỉnh</t>
  </si>
  <si>
    <t>Số lao động được giải quyết việc làm</t>
  </si>
  <si>
    <t>. TĐ: Số lao động đi làm việc có thời hạn ở nước ngoài trong năm theo hợp đồng</t>
  </si>
  <si>
    <t xml:space="preserve">d) </t>
  </si>
  <si>
    <t>Tỷ lệ lao động nông nghiệp trong tổng số lao động xã hội</t>
  </si>
  <si>
    <t>Tỷ lệ lao động qua đào tạo</t>
  </si>
  <si>
    <t xml:space="preserve"> + Trong đó, đào tạo nghề</t>
  </si>
  <si>
    <t>Số xã đạt tiêu chuẩn nông thôn mới (lũy kế)</t>
  </si>
  <si>
    <t>Tỷ lệ xã đạt tiêu chuẩn nông thôn mới</t>
  </si>
  <si>
    <t>xã</t>
  </si>
  <si>
    <t>UBND tỉnh, thành phố………..</t>
  </si>
  <si>
    <t>Mẫu biểu số 28</t>
  </si>
  <si>
    <t>(Dùng cho UBND tỉnh, thành phố trực thuộc trung ương báo cáo Bộ Tài chính)</t>
  </si>
  <si>
    <t>Diện tích</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</si>
  <si>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</si>
  <si>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</si>
  <si>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</si>
  <si>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</si>
  <si>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</si>
  <si>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</si>
  <si>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</si>
  <si>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</si>
  <si>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</si>
  <si>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</si>
  <si>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</si>
  <si>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</si>
  <si>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</si>
  <si>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</si>
  <si>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</si>
  <si>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</si>
  <si>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</si>
  <si>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</si>
  <si>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</si>
  <si>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</si>
  <si>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</si>
  <si>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</si>
  <si>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</si>
  <si>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</si>
  <si>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</si>
  <si>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</si>
  <si>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đô thị</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</si>
  <si>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</si>
  <si>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</si>
  <si>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</si>
  <si>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</si>
  <si>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</si>
  <si>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</si>
  <si>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</si>
  <si>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</si>
  <si>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</si>
  <si>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</si>
  <si>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</si>
  <si>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</si>
  <si>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</si>
  <si>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</si>
  <si>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</si>
  <si>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</si>
  <si>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đơn vị</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</si>
  <si>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</si>
  <si>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</si>
  <si>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</si>
  <si>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</si>
  <si>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</si>
  <si>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</si>
  <si>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</si>
  <si>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</si>
  <si>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</si>
  <si>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</si>
  <si>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</si>
  <si>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</si>
  <si>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</si>
  <si>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</si>
  <si>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</si>
  <si>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</si>
  <si>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</si>
  <si>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</si>
  <si>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</si>
  <si>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</si>
  <si>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</si>
  <si>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</si>
  <si>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</si>
  <si>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</si>
  <si>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</si>
  <si>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</si>
  <si>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</si>
  <si>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</si>
  <si>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</si>
  <si>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</si>
  <si>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</si>
  <si>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</si>
  <si>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</si>
  <si>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</si>
  <si>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</si>
  <si>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</si>
  <si>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</si>
  <si>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</si>
  <si>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</si>
  <si>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</si>
  <si>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</si>
  <si>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</si>
  <si>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</si>
  <si>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</si>
  <si>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</si>
  <si>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</si>
  <si>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</si>
  <si>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</si>
  <si>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</si>
  <si>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</si>
  <si>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</si>
  <si>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</si>
  <si>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</si>
  <si>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</si>
  <si>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</si>
  <si>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</si>
  <si>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</si>
  <si>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</si>
  <si>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</si>
  <si>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</si>
  <si>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</si>
  <si>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</si>
  <si>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</si>
  <si>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</si>
  <si>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</si>
  <si>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</si>
  <si>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</si>
  <si>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</si>
  <si>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</si>
  <si>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</si>
  <si>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</si>
  <si>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</si>
  <si>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CHỦ TỊCH</t>
  </si>
  <si>
    <t>(Ký tên, đóng dấu)</t>
  </si>
  <si>
    <t>MỘT SỐ CHỈ TIÊU KINH TẾ - XÃ HỘI CƠ BẢN NĂM 2025</t>
  </si>
  <si>
    <t>Chỉ tiêu kế hoạch giai đoạn 2021 - 2025</t>
  </si>
  <si>
    <t>Thực hiện năm 2023 (năm trước)</t>
  </si>
  <si>
    <t>Thực hiện năm 2024 (năm hiện hành)</t>
  </si>
  <si>
    <t>Năm 2025(năm kế hoạch)</t>
  </si>
  <si>
    <t>Khả năng còn lại theo dư nợ đầu năm</t>
  </si>
  <si>
    <t>Khả năng còn lại theo dư nơ cuối năm</t>
  </si>
  <si>
    <t>Đơn vị tính: Triệu đồng</t>
  </si>
  <si>
    <t>Đơn vị</t>
  </si>
  <si>
    <t>Chi bổ sung có mục tiêu cho ngân sách huyện, thành phố</t>
  </si>
  <si>
    <t>Tổng chi</t>
  </si>
  <si>
    <t>TỔNG CHI ĐẦU TƯ CẤP TỈNH</t>
  </si>
  <si>
    <t>TỔNG CHI THƯỜNG XUYÊN CÁC LĨNH VỰC (CÂN ĐỐI NGÂN SÁCH ĐỊA PHƯƠNG)</t>
  </si>
  <si>
    <t>Tổng chi từ nguồn ngân sách trung ương bổ sung có mục tiêu</t>
  </si>
  <si>
    <t>Bao gồm</t>
  </si>
  <si>
    <t>Tổng chi đầu tư phát triển</t>
  </si>
  <si>
    <t>Tổng chi thường xuyên (cân đối NSĐP)</t>
  </si>
  <si>
    <t>Sự nghiệp y tế</t>
  </si>
  <si>
    <t>Vốn đầu tư phát triển</t>
  </si>
  <si>
    <t>Kinh phí sự nghiệp</t>
  </si>
  <si>
    <t>TỔNG CỘNG</t>
  </si>
  <si>
    <t>CÁC CƠ QUAN, ĐƠN VỊ</t>
  </si>
  <si>
    <t>SỞ, BAN, NGÀNH CẤP TỈNH</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</si>
  <si>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</si>
  <si>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</si>
  <si>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</si>
  <si>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</si>
  <si>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</si>
  <si>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</si>
  <si>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</si>
  <si>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</si>
  <si>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</si>
  <si>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Y tế</t>
  </si>
  <si>
    <t>Sở Công Thương</t>
  </si>
  <si>
    <t>Sở Xây dựng</t>
  </si>
  <si>
    <t>Sở Khoa học và Công nghệ</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</si>
  <si>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</si>
  <si>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</si>
  <si>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</si>
  <si>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</si>
  <si>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</si>
  <si>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</si>
  <si>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</si>
  <si>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</si>
  <si>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</si>
  <si>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</si>
  <si>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</si>
  <si>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</si>
  <si>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Ban Quản lý dự án Đầu tư xây dựng Công trình nông nghiệp và Phát triển nông thôn</t>
  </si>
  <si>
    <t>Trung tâm xúc tiến Đầu tư - Thương mại và Du lịch</t>
  </si>
  <si>
    <t>Vườn Quốc gia Tràm chim</t>
  </si>
  <si>
    <t>CÁC TỔ CHỨC CHÍNH TRỊ - XÃ HỘI; XÃ HỘI NGHỀ NGHIỆP</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</si>
  <si>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</si>
  <si>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</si>
  <si>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</si>
  <si>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</si>
  <si>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</si>
  <si>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</si>
  <si>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</si>
  <si>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</si>
  <si>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</si>
  <si>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</si>
  <si>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</si>
  <si>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</si>
  <si>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</si>
  <si>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</si>
  <si>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</si>
  <si>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</si>
  <si>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KHỐI AN NINH - QUỐC PHÒNG</t>
  </si>
  <si>
    <t>Công an Tỉnh</t>
  </si>
  <si>
    <t>Bộ Chỉ huy Quân sự Tỉnh</t>
  </si>
  <si>
    <t>Bộ Chỉ huy Bộ đội biên phòng</t>
  </si>
  <si>
    <t>CÁC ĐƠN VỊ KHÁC</t>
  </si>
  <si>
    <t>Bảo hiểm Xã hội tỉnh</t>
  </si>
  <si>
    <t>Chi nhánh Ngân hàng chính sách xã hội</t>
  </si>
  <si>
    <t>Hội nhà báo</t>
  </si>
  <si>
    <t>Hội Luật gia Tỉnh</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</si>
  <si>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</si>
  <si>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</si>
  <si>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</si>
  <si>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</si>
  <si>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</si>
  <si>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Cục Thi hành án dân sự tỉnh Đồng Tháp</t>
  </si>
  <si>
    <t>Cục Thuế tỉnh Đồng Tháp</t>
  </si>
  <si>
    <t>Cục Thống kê tỉnh Đồng Tháp</t>
  </si>
  <si>
    <t>Cục Quản lý thị trường Tỉnh</t>
  </si>
  <si>
    <t>Tòa án Nhân dân tỉnh Đồng Tháp</t>
  </si>
  <si>
    <t>V</t>
  </si>
  <si>
    <t>CÁC KHOẢN CHI ĐÃ GIAO THEO LĨNH VỰC (CHƯA GIAO CỤ THỂ ĐẦU NĂM) CHO ĐƠN VỊ TRÊN ĐỊA BÀN TỈNH</t>
  </si>
  <si>
    <t>Chi sự nghiệp khoa học và công nghệ</t>
  </si>
  <si>
    <t>Chi khác ngân sách</t>
  </si>
  <si>
    <t>10% tiết kiệm chi thường xuyên (phần giữ lại ngân sách)</t>
  </si>
  <si>
    <t>CHI BỔ SUNG QUỸ DỰ TRỮ TÀI CHÍNH</t>
  </si>
  <si>
    <t>Đ</t>
  </si>
  <si>
    <t>E</t>
  </si>
  <si>
    <t>Ê</t>
  </si>
  <si>
    <t>G</t>
  </si>
  <si>
    <t>CHI ĐẦU TƯ TỪ NGUỒN THU XỔ SỐ KIẾN THIẾT</t>
  </si>
  <si>
    <t>H</t>
  </si>
  <si>
    <t>K</t>
  </si>
  <si>
    <t>L</t>
  </si>
  <si>
    <t>M</t>
  </si>
  <si>
    <t>CHI BỔ SUNG CHO NGÂN SÁCH HUYỆN, THÀNH PHỐ</t>
  </si>
  <si>
    <t>Dự kiến bố trí chi cân đối NSĐP dự toán 2025-2027 (So với dự toán thu 2024 - tính nguồn thu cân đối 2025-2027)</t>
  </si>
  <si>
    <t>Nội dung chi</t>
  </si>
  <si>
    <t xml:space="preserve">Bố trí tăng chi đầu tư phát triển </t>
  </si>
  <si>
    <t>Bố trí tăng chi thường xuyên (tính tiền lương cơ sở 1.800.000 đồng/tháng)</t>
  </si>
  <si>
    <t>Chi sự nghiệp giáo dục, đào tạo &amp; dạy nghề</t>
  </si>
  <si>
    <t>Chi sự nghiệp khoa học công nghệ</t>
  </si>
  <si>
    <t>Các khoản chi thường xuyên còn lại</t>
  </si>
  <si>
    <t>Chi tạo nguồn cải cách tiền lương từ nguồn tăng thu</t>
  </si>
  <si>
    <t xml:space="preserve">Chi bổ sung quỹ dự trữ tài chính </t>
  </si>
  <si>
    <t>Chi dự phòng ngân sách</t>
  </si>
  <si>
    <t>VI</t>
  </si>
  <si>
    <t>VII</t>
  </si>
  <si>
    <t>Dự toán 2025/Dự toán 2024</t>
  </si>
  <si>
    <t>Dự toán 2026/Dự toán 2025</t>
  </si>
  <si>
    <t>Dự toán 2027/Dự toán 2026</t>
  </si>
  <si>
    <t>Dự toán 2028/Dự toán 2027</t>
  </si>
  <si>
    <t>Dự toán 2029/Dự toán 2028</t>
  </si>
  <si>
    <t>Dự toán 2030/Dự toán 2029</t>
  </si>
  <si>
    <t>Chi Giáo dục - Đào tạo và dạy nghề</t>
  </si>
  <si>
    <t>Chi sự nghiệp Khoa học và Công nghệ</t>
  </si>
  <si>
    <t>Chi An ninh và Trật tự An toàn xã hội</t>
  </si>
  <si>
    <t>Chi trả nợ lãi do Chính quyền địa phương vay</t>
  </si>
  <si>
    <t>DỰ TOÁN CHI NGÂN SÁCH CẤP TỈNH CHO TỪNG CƠ QUAN; ĐƠN VỊ THEO TỪNG LĨNH VỰC NĂM 2025</t>
  </si>
  <si>
    <t>CHI ĐẦU TƯ XÂY DỰNG CƠ BẢN TẬP TRUNG</t>
  </si>
  <si>
    <t>CHI ĐẦU TƯ TỪ NGUỒN THU TIỀN SỬ DỤNG ĐẤT (BAO NHIỆM VỤ THEO NGHỊ QUYẾT 41/2023/NQ-HĐND NGÀY ……</t>
  </si>
  <si>
    <t>CHI ĐẦU TƯ TỪ NGUỒN THOÁI VỐN NHÀ NƯỚC TẠI DOANH NGHIỆP NHÀ NƯỚC DO ĐỊA PHƯƠNG QUẢN LÝ</t>
  </si>
  <si>
    <t>CHI ĐẦU TƯ PHÁT TRIỂN KHÁC</t>
  </si>
  <si>
    <t>CHI TRẢ NỢ LÃI DO CHÍNH QUYỀN ĐỊA PHƯƠNG VAY</t>
  </si>
  <si>
    <t xml:space="preserve">DỰ PHÓNG NGÂN SÁCH </t>
  </si>
  <si>
    <t>CHI TẠO NGUỒN CẢI CÁCH TIỀN LƯƠNG</t>
  </si>
  <si>
    <t xml:space="preserve">CHI TỪ NGUỒN NGÂN SÁCH TRUNG ƯƠNG BỔ SUNG CÓ MỤC TIÊU </t>
  </si>
  <si>
    <t>CHI ĐẦU TƯ TỪ NGUỒN CHÍNH PHỦ VAY VỀ CHO VAY LẠI</t>
  </si>
  <si>
    <t>Chi đầu tư từ nguồn Chính phủ vay về cho vay lại</t>
  </si>
  <si>
    <t>CHỈ  TIÊU</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</si>
  <si>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</si>
  <si>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</si>
  <si>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</si>
  <si>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</si>
  <si>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</si>
  <si>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</si>
  <si>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</si>
  <si>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</si>
  <si>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</si>
  <si>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</si>
  <si>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</si>
  <si>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</si>
  <si>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</si>
  <si>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</si>
  <si>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</si>
  <si>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</si>
  <si>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</si>
  <si>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</si>
  <si>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</si>
  <si>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</si>
  <si>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</si>
  <si>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</si>
  <si>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Thu do cơ quan, tổ chức, đơn vị thuộc tỉnh quản lý</t>
  </si>
  <si>
    <t>Thu do cơ quan, tổ chức, đơn vị thuộc huyện, thành phố quản lý</t>
  </si>
  <si>
    <t xml:space="preserve">Thuế SD đất nông nghiệp </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</si>
  <si>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</si>
  <si>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</si>
  <si>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</si>
  <si>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</si>
  <si>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</si>
  <si>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</si>
  <si>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</si>
  <si>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</si>
  <si>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</si>
  <si>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</si>
  <si>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</si>
  <si>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</si>
  <si>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</si>
  <si>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</si>
  <si>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thực hiện chính sách an sinh xã hội (ngoài chính sách tiền lương)</t>
  </si>
  <si>
    <t>Thu chuyển nguồn CCTL, CS năm trước chuyển sang</t>
  </si>
  <si>
    <t>TỔNG CỘNG (I+II+III)</t>
  </si>
  <si>
    <t xml:space="preserve">Nội dung chi </t>
  </si>
  <si>
    <t xml:space="preserve">H. Hồng Ngự </t>
  </si>
  <si>
    <t xml:space="preserve">H. Tân Hồng </t>
  </si>
  <si>
    <t xml:space="preserve">H. Tam Nông </t>
  </si>
  <si>
    <t xml:space="preserve">H. Thanh Bình </t>
  </si>
  <si>
    <t xml:space="preserve">TP. Cao Lãnh </t>
  </si>
  <si>
    <t xml:space="preserve">H. Cao Lãnh </t>
  </si>
  <si>
    <t xml:space="preserve">H. Tháp Mười </t>
  </si>
  <si>
    <t xml:space="preserve">H. Lai Vung </t>
  </si>
  <si>
    <t xml:space="preserve">TP. Sa Đéc </t>
  </si>
  <si>
    <t xml:space="preserve">H. Châu Thành </t>
  </si>
  <si>
    <t>Tổng chi (I+II+III)</t>
  </si>
  <si>
    <t>Bao gồm:</t>
  </si>
  <si>
    <t xml:space="preserve">Chi thường xuyên </t>
  </si>
  <si>
    <t>Sự nghiệp giáo dục, đào tạo</t>
  </si>
  <si>
    <t>Chi từ nguồn NS cấp Tỉnh bổ sung có mục tiêu</t>
  </si>
  <si>
    <t>Chi đầu tư từ nguồn xổ số kiến thiết</t>
  </si>
  <si>
    <t>Tổng thu NSNN trên địa bàn</t>
  </si>
  <si>
    <t>Thu từ xuất, nhập khẩu</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</si>
  <si>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</si>
  <si>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</si>
  <si>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Thu NSĐP hưởng theo phân cấp</t>
  </si>
  <si>
    <t>Các khoản thu NSĐP hưởng 100 %</t>
  </si>
  <si>
    <t>Các khoản thu phân chia NSĐP hưởng theo tỷ lệ phần trăm ( % )</t>
  </si>
  <si>
    <t>Bổ sung từ ngân sách trung ương</t>
  </si>
  <si>
    <t>Bổ sung cân đối</t>
  </si>
  <si>
    <t>Thu chuyển nguồn các chế độ chính sách còn dư năm trước chuyển sang</t>
  </si>
  <si>
    <t>Chi ngân sách địa phương</t>
  </si>
  <si>
    <t>Chi bổ sung Quỹ dự trữ tài chính</t>
  </si>
  <si>
    <t>Chi chuyển nguồn CCTL</t>
  </si>
  <si>
    <t>Chi trả tiền vay</t>
  </si>
  <si>
    <t>Chi các chương trình từ nguồn bổ sung có mục tiêu của NSTW</t>
  </si>
  <si>
    <t>Giai đoạn 2016-2020</t>
  </si>
  <si>
    <t>Giai đoạn 2021-2025</t>
  </si>
  <si>
    <t>Nguồn thực hiện cải cách tiền lương</t>
  </si>
  <si>
    <t xml:space="preserve">BIỂU CÂN ĐỐI NGÂN SÁCH ĐỊA PHƯƠNG </t>
  </si>
  <si>
    <t>GIAI ĐOẠN 2021-2035</t>
  </si>
  <si>
    <t>Giai đoạn 2026-2030/Giai đoạn 2021-2025 (%)</t>
  </si>
  <si>
    <t>Giai đoạn 2026-2030/Giai đoạn 2016-2020 (%)</t>
  </si>
  <si>
    <t>Giai đoạn 2021-2025/Giai đoạn 2016-2020 (%)</t>
  </si>
  <si>
    <t>BIỂU DỰ TOÁN CHI NGÂN SÁCH ĐỊA PHƯƠNG</t>
  </si>
  <si>
    <t>GIAI ĐOẠN 2021-2025 VÀ 2026-2030</t>
  </si>
  <si>
    <t xml:space="preserve">BIỂU DỰ TOÁN THU NGÂN SÁCH NHÀ NƯỚC TRÊN ĐỊA BÀN </t>
  </si>
  <si>
    <t>GIAI ĐOẠN 2021-2025 VÀ KẾ HOẠCH 2026-2030</t>
  </si>
  <si>
    <t>,</t>
  </si>
  <si>
    <t>Nội dung đề án</t>
  </si>
  <si>
    <t>Về nhiệm vụ, giải pháp chủ yếu để giải quyết tình trạng xây dựng công trình, nhà ở lấn, chiếm sông, kênh, rạch trên địa bàn tỉnh Đồng Tháp đến năm 2030</t>
  </si>
  <si>
    <t>Số Văn bản</t>
  </si>
  <si>
    <t>Số 15/NQ-HĐND ngày 01/7/2024</t>
  </si>
  <si>
    <t>Phân kỳ</t>
  </si>
  <si>
    <t>Tổng kinh phí (Tỷ đồng)</t>
  </si>
  <si>
    <t>Ghi chú</t>
  </si>
  <si>
    <t>- Nguồn vốn giải quyết không để phát sinh các trường hợp lấn, chiếm mới: Sử dụng từ nguồn ngân sách nhà nước theo phân cấp; 
- Nguồn vốn bồi thường, hỗ trợ công trình, nhà ở, vật kiến trúc cho các trường hợp đã lấn, chiếm trước đây: huy động, lồng ghép từ các chương trình, kế hoạch, dự án được cấp thẩm quyền phê duyệt và các nguồn vốn hợp pháp khác.</t>
  </si>
  <si>
    <t>Tổng chi ngân sách địa phương</t>
  </si>
  <si>
    <t>Chi đầu tư xây dựng cơ bản tập trung</t>
  </si>
  <si>
    <t>Ngân sách cấp tỉnh</t>
  </si>
  <si>
    <t>Ngân sách cấp huyện</t>
  </si>
  <si>
    <t>Gồm:</t>
  </si>
  <si>
    <t>Chi đầu tư phát triển từ nguồn cân đối ngân sách địa phương</t>
  </si>
  <si>
    <t>Chi đầu tư phát triển từ nguồn ngân sách trung ương bổ sung có mục tiêu</t>
  </si>
  <si>
    <t>Tổng chi đầu tư phát triển (I+II)</t>
  </si>
  <si>
    <t>Tỷ trọng so với tổng chi cân đối ngân sách địa phương</t>
  </si>
  <si>
    <t>Tỷ trọng so với tổng chi ngân sách địa phương</t>
  </si>
  <si>
    <t>&lt;35</t>
  </si>
  <si>
    <t>Giáo dục và đào tạo</t>
  </si>
  <si>
    <t>Tỷ lệ huy động trẻ em từ 3 tháng tuổi đến 36 tháng tuổi đi nhà trẻ</t>
  </si>
  <si>
    <t>Tỷ lệ huy động trẻ em từ 3 đến 5 tuổi đi học mẫu giáo</t>
  </si>
  <si>
    <t>- Tỷ lệ học sinh đi học phổ thông</t>
  </si>
  <si>
    <t>+ Tiểu học</t>
  </si>
  <si>
    <t>+ Trung học cơ sở</t>
  </si>
  <si>
    <t>+ Trung học phổ thông</t>
  </si>
  <si>
    <t>c)</t>
  </si>
  <si>
    <t>Tỷ lệ trường học các cấp đạt chuẩn quốc gia</t>
  </si>
  <si>
    <t>-  Mầm non</t>
  </si>
  <si>
    <t>-  Tiểu học</t>
  </si>
  <si>
    <t>- Trung học cơ sở</t>
  </si>
  <si>
    <t>- Trung học phổ thông</t>
  </si>
  <si>
    <t>d)</t>
  </si>
  <si>
    <t>Tỷ lệ phòng học kiên cố</t>
  </si>
  <si>
    <t>đ)</t>
  </si>
  <si>
    <t>Số học sinh phổ thông bình quân một lớp</t>
  </si>
  <si>
    <t>Học sinh</t>
  </si>
  <si>
    <t>e)</t>
  </si>
  <si>
    <t>Tỷ lệ Giáo viên/lớp</t>
  </si>
  <si>
    <t>GV/Lớp</t>
  </si>
  <si>
    <t>g)</t>
  </si>
  <si>
    <t>Tỷ lệ học sinh đỗ tốt nghiệp THPT</t>
  </si>
  <si>
    <t>&lt;45</t>
  </si>
  <si>
    <t>Y tế</t>
  </si>
  <si>
    <t>- Số bác sĩ/vạn dân</t>
  </si>
  <si>
    <t>BS</t>
  </si>
  <si>
    <t>- Số dược sĩ đại học trên vạn dân</t>
  </si>
  <si>
    <t>Dược sĩ</t>
  </si>
  <si>
    <t>- Số điều dưỡng viên trên vạn dân</t>
  </si>
  <si>
    <t>Điều dưỡng</t>
  </si>
  <si>
    <t>- Số giường bệnh/vạn dân</t>
  </si>
  <si>
    <t>GB</t>
  </si>
  <si>
    <t xml:space="preserve"> + Trong đó, giường bệnh công lập</t>
  </si>
  <si>
    <r>
      <t xml:space="preserve">- Tỷ lệ trẻ em dưới 5 tuổi bị suy dinh dưỡng theo chiều cao </t>
    </r>
    <r>
      <rPr>
        <i/>
        <sz val="13"/>
        <rFont val="Times New Roman"/>
        <family val="1"/>
      </rPr>
      <t>(kết quả cân của Tỉnh)</t>
    </r>
  </si>
  <si>
    <r>
      <t xml:space="preserve">- Tỷ lệ trẻ em dưới 5 tuổi bị suy dinh dưỡng theo cân nặng </t>
    </r>
    <r>
      <rPr>
        <i/>
        <sz val="13"/>
        <rFont val="Times New Roman"/>
        <family val="1"/>
      </rPr>
      <t>(kết quả cân của Tỉnh)</t>
    </r>
  </si>
  <si>
    <t>- Tỷ lệ dân số tham gia bảo hiểm y tế</t>
  </si>
  <si>
    <t>- Tỷ lệ xã đạt tiêu chí quốc gia về y tế</t>
  </si>
  <si>
    <t>- Tỷ lệ dân số được quản lý bằng hồ sơ sức khỏe điện tử</t>
  </si>
  <si>
    <t>- Tỷ lệ trạm y tế/phường/thị trấn có bác sĩ làm việc</t>
  </si>
  <si>
    <t xml:space="preserve"> - </t>
  </si>
  <si>
    <t>&gt;3,04</t>
  </si>
  <si>
    <t>&lt;15</t>
  </si>
  <si>
    <t>&lt;9</t>
  </si>
  <si>
    <t>&gt;95</t>
  </si>
  <si>
    <t>Về văn hóa</t>
  </si>
  <si>
    <t>- Tỷ lệ hộ gia đình đạt danh hiệu gia đình văn hóa, tiêu biểu</t>
  </si>
  <si>
    <t>- Tỷ lệ ấp đạt chuẩn nông thôn mới, tiêu biểu</t>
  </si>
  <si>
    <t>- Tỷ lệ khóm văn minh đô thị</t>
  </si>
  <si>
    <t>- Tỷ lệ phường, thị trấn đạt chuẩn văn minh đô thị, tiêu biểu</t>
  </si>
  <si>
    <t>- Tỷ lệ xã đạt chuẩn văn hóa nông thôn mới tiêu biểu</t>
  </si>
  <si>
    <t xml:space="preserve">  - Tỷ lệ xã tiêu biều (bắt đầu thực hiện từ năm 2024, Nghị định số 86/2023/NĐ-CP ngày 07/12/2023 của Chính phủ)</t>
  </si>
  <si>
    <t>- Tỷ lệ cơ quan đơn vị, doanh nghiệp đạt chuẩn văn hóa</t>
  </si>
  <si>
    <t>Về môi trường</t>
  </si>
  <si>
    <t>- Tỷ lệ chất thải rắn ở đô thị được thu gom, xử lý</t>
  </si>
  <si>
    <t>- Tỷ lệ chất thải nguy hại được xử lý</t>
  </si>
  <si>
    <t>- Tỷ lệ khu công nghiệp có hệ thống xử lý nước thải tập trung đạt tiêu chuẩn môi trường</t>
  </si>
  <si>
    <t>- Tỷ lệ cụm công nghiệp có hệ thống xử lý nước thải tập trung đạt tiêu chuẩn môi trường</t>
  </si>
  <si>
    <t>- Tỷ lệ cơ sở gây ô nhiễm môi trường nghiêm trọng được xử lý</t>
  </si>
  <si>
    <t xml:space="preserve"> -</t>
  </si>
  <si>
    <t>92,0</t>
  </si>
  <si>
    <t>100,0</t>
  </si>
  <si>
    <t>64,2</t>
  </si>
  <si>
    <t>65,6</t>
  </si>
  <si>
    <t>Chỉ tiêu kế hoạch giai đoạn 2021-2025</t>
  </si>
  <si>
    <t>DỰ BÁO MỘT SỐ CHỈ TIÊU KINH TẾ - XÃ HỘI CƠ BẢN NĂM 2025</t>
  </si>
  <si>
    <t>Thực hiện năm 2023</t>
  </si>
  <si>
    <t>DỰ BÁO MỘT SỐ CHỈ TIÊU KINH TẾ - XÃ HỘI CHỦ YẾU GIAI ĐOẠN 05 NĂM 2021-2025</t>
  </si>
  <si>
    <t xml:space="preserve">Tiền lương cơ sở tăng </t>
  </si>
  <si>
    <t>Sự nghiệp Giáo dục</t>
  </si>
  <si>
    <t>Quản lý nhà nước</t>
  </si>
  <si>
    <t>Quản lý nhà nước dự toán</t>
  </si>
  <si>
    <t>Nhu cầu thực hiện theo Nghị quyết số 55/NQ-HĐND (qlns)</t>
  </si>
  <si>
    <t>Nhu cầu thực hiện theo Nghị quyết số 49/2023/NQ-HĐND (qlnn)</t>
  </si>
  <si>
    <t>Đảm bảo XH (Nhu cầu thực hiện theo Nghị quyết số 48/NQ-HĐND)</t>
  </si>
  <si>
    <t>Sự nghiệp Văn hóa Thể thao Du lịch</t>
  </si>
  <si>
    <t>Sự nghiệp Kinh tế</t>
  </si>
  <si>
    <t>An ninh Quốc phòng</t>
  </si>
  <si>
    <t>An ninh Quốc phòng theo dự toán</t>
  </si>
  <si>
    <t>Nhu cầu thực hiện theo Nghị quyết số 50/2023/NQ-HĐND (Quốc phòng)</t>
  </si>
  <si>
    <t>Sự nghiệp khác</t>
  </si>
  <si>
    <t>Sự nghiệp môi trường</t>
  </si>
  <si>
    <t>Sự nghiệp Khoa học và Công Nghệ</t>
  </si>
  <si>
    <t>Dự toán 2021-2024</t>
  </si>
  <si>
    <t>Tổng số thực hiện 2021-2024</t>
  </si>
  <si>
    <t>Số TW</t>
  </si>
  <si>
    <t>Số ĐP</t>
  </si>
  <si>
    <t>Giảm</t>
  </si>
  <si>
    <t>50% CCTL</t>
  </si>
  <si>
    <t>Chương trình, dự án</t>
  </si>
  <si>
    <t>ĐVT: triệu đồng</t>
  </si>
  <si>
    <t>Stt</t>
  </si>
  <si>
    <t>Thời gian thực hiện theo Hiệp định đã ký kết</t>
  </si>
  <si>
    <t>Tổng số vốn vay theo Hiệp định đã ký kết</t>
  </si>
  <si>
    <t>Dự toán giao năm 2024</t>
  </si>
  <si>
    <t>6 tháng đầu năm 2024</t>
  </si>
  <si>
    <t>Ước thực hiện cả năm 2024</t>
  </si>
  <si>
    <t>……., ngày …. tháng ….. năm 2024</t>
  </si>
  <si>
    <t>TM UỶ BAN NHÂN DÂN TỈNH, THÀNH PHỐ ……..</t>
  </si>
  <si>
    <t>Chương trình vay lại từ nguồn vốn vay ODA của Chính phủ (Dự án chống chịu khí hậu tổng hợp và sinh kế bền vững ĐBSCL (WB9) - Tiểu dự án Nâng cao khả năng thoát lũ và phát triển sinh kế bền vững, thích ứng với biến đổi khí hậu cho vùng Đồng Tháp Mười (các huyện phía bắc tỉnh Đồng Tháp)</t>
  </si>
  <si>
    <t>Dự nợ đầu kỳ năm 2024</t>
  </si>
  <si>
    <t>Tình hình trả nợ vay năm 2024</t>
  </si>
  <si>
    <t>Trả nợ gốc các khoản</t>
  </si>
  <si>
    <t>Trả lãi phí</t>
  </si>
  <si>
    <t>6 tháng cuối năm 2024</t>
  </si>
  <si>
    <t>Dư nợ đến 31/12/2024</t>
  </si>
  <si>
    <t>ỦY BAN NHÂN DÂN TỈNH ĐỒNG THÁP</t>
  </si>
  <si>
    <t>TỔNG HỢP KẾT QUẢ THỰC HIỆN CÁC CHÍNH SÁCH, CHẾ ĐỘ ASXH NĂM 2023, UTH NĂM 2024 VÀ DỰ TOÁN NĂM 2025</t>
  </si>
  <si>
    <t>Đơn vị tính: Triệu đồng</t>
  </si>
  <si>
    <t>Chính sách, chế độ</t>
  </si>
  <si>
    <t>Kết quả thực hiện năm 2023 (*)</t>
  </si>
  <si>
    <t>Ước thực hiện năm 2024 (**)</t>
  </si>
  <si>
    <t>Dự toán năm 2025 (**)</t>
  </si>
  <si>
    <t>Số đối tượng</t>
  </si>
  <si>
    <t>Mức hỗ trợ</t>
  </si>
  <si>
    <t>Kinh phí NSNN thực hiện chính sách</t>
  </si>
  <si>
    <t>Kinh phí đã bố trí trong dự toán chi cân đối NSĐP năm 2023</t>
  </si>
  <si>
    <t>Kinh phí đã bố trí trong dự toán chi cân đối NSĐP năm 2022 còn dư thuộc phạm vi được chuyển nguồn sang năm 2023 theo Nghị quyết số 943/NQ-UBTVQH15 ngày 29/12/2023</t>
  </si>
  <si>
    <t>Nhu cầu kinh phí phát sinh tăng thêm</t>
  </si>
  <si>
    <t>Tỷ lệ hỗ trợ theo QĐ số 127/QĐ-TTg</t>
  </si>
  <si>
    <t>Kinh phí NSTW đã bổ sung theo Quyết định số 1761/QĐ-TTg ngày 31/12/2023</t>
  </si>
  <si>
    <t>Kinh phí NSTW hỗ trợ thừa/thiếu</t>
  </si>
  <si>
    <t>Kinh phí đã bố trí trong dự toán chi cân đối NSĐP năm 2024</t>
  </si>
  <si>
    <t>Kinh phí đã bố trí trong dự toán chi cân đối NSĐP năm 2023 còn dư (nếu có)</t>
  </si>
  <si>
    <t>Gồm</t>
  </si>
  <si>
    <t>Kinh phí NSTW đã bổ sung theo Quyết định số 1602/QĐ-TTg ngày 10/12/2023</t>
  </si>
  <si>
    <t>Kinh phí đã bố trí trong dự toán chi cân đối NSĐP năm 2024 còn dư (nếu có)</t>
  </si>
  <si>
    <t>Kinh phí được chuyển nguồn sang năm 2024 theo quy định Luật NSNN</t>
  </si>
  <si>
    <t>Kinh phí không được chuyển nguồn</t>
  </si>
  <si>
    <t>6=3-(4+5)</t>
  </si>
  <si>
    <t>15=14-16</t>
  </si>
  <si>
    <t>17=12-(13+15)</t>
  </si>
  <si>
    <t>26=25-27</t>
  </si>
  <si>
    <t>28=23-(24+26)</t>
  </si>
  <si>
    <t>TỔNG SỐ</t>
  </si>
  <si>
    <t>Kinh phí thực hiện các chính sách theo tiêu chí chuẩn nghèo đa chiều mới</t>
  </si>
  <si>
    <t>Các chính sách thuộc sự nghiệp giáo dục - đào tạo và dạy nghề</t>
  </si>
  <si>
    <t>1.1</t>
  </si>
  <si>
    <t>Chính sách hỗ trợ chi phí học tập và miễn giảm học phí theo quy định tại Nghị định số Nghị định số 81/2021/NĐ-CP ngày 27/08/2021 và Nghị định số 97/2023/NĐ-CP ngày 31/12/2023</t>
  </si>
  <si>
    <t>Chi tiết theo phụ lục số 01a</t>
  </si>
  <si>
    <t>Cấp bù miễn, giảm học phí</t>
  </si>
  <si>
    <t xml:space="preserve"> + Miễn học phí</t>
  </si>
  <si>
    <t xml:space="preserve"> + Hỗ trợ 70% học phí</t>
  </si>
  <si>
    <t xml:space="preserve"> + Hỗ trợ 50% học phí</t>
  </si>
  <si>
    <t>Hỗ trợ chi phí học tập</t>
  </si>
  <si>
    <t>1.2</t>
  </si>
  <si>
    <t xml:space="preserve">Chính sách phát triển giáo dục mầm non Nghị định 105/2020/NĐ-CP ngày 08/09/2020 của Chính phủ </t>
  </si>
  <si>
    <t>Chi tiết theo phụ lục số 01b, 01c</t>
  </si>
  <si>
    <t>Hỗ trợ tiền ăn trưa trẻ em 3-5 tuổi</t>
  </si>
  <si>
    <t>Hỗ trợ nấu ăn</t>
  </si>
  <si>
    <t>Hỗ trợ giáo viên dạy lớp ghép</t>
  </si>
  <si>
    <t>1.3</t>
  </si>
  <si>
    <t>Học bổng, chi phí học tập cho học sinh khuyết tật theo Thông tư liên tịch số 42/2013/TTLT-BGDĐT-BLĐTBXH-BTC ngày 31/12/2013</t>
  </si>
  <si>
    <t>Chi tiết theo phụ lục số 01d</t>
  </si>
  <si>
    <t>Hỗ trợ học bổng 80% mức lương cơ sở</t>
  </si>
  <si>
    <t>Hỗ trợ mua phương tiện đồ dùng học tập 01 trđ/người/năm học.</t>
  </si>
  <si>
    <t>1.4</t>
  </si>
  <si>
    <t>Kinh phí hỗ trợ học sinh PTTH vùng ĐBKK theo Nghị định số 116/2016/NĐ-CP ngày 18/07/2016 của Chính phủ</t>
  </si>
  <si>
    <t>Chi tiết theo phụ lục số 01e</t>
  </si>
  <si>
    <t>Hỗ trợ tiền ăn</t>
  </si>
  <si>
    <t>Hỗ trợ tiền nhà ở</t>
  </si>
  <si>
    <t>Hỗ trợ Trường PTDT bán trú mua sắm dụng cụ, tủ thuốc dùng chung</t>
  </si>
  <si>
    <t>Hỗ trợ kinh phí tổ chức nấu ăn cho trường</t>
  </si>
  <si>
    <t>1.5</t>
  </si>
  <si>
    <t>Kinh phí hỗ trợ chi phí học tập đối với sinh viên là người DTTS theo Quyết định số 66/2013/QĐ-TTg ngày 11/11/2013 của Thủ tướng Chính phủ</t>
  </si>
  <si>
    <t>Chi tiết theo phụ lục số 01f</t>
  </si>
  <si>
    <t>1.6</t>
  </si>
  <si>
    <t>Kinh phí hỗ trợ chính sách nội trú đối với học sinh, sinh viên học cao đẳng, trung cấp theo Quyết định số 53/2015/QĐ-TTg ngày 20/10/2015 của Thủ tướng Chính phủ.</t>
  </si>
  <si>
    <t>Chi tiết theo phụ lục số 01g</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</si>
  <si>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</si>
  <si>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</si>
  <si>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</si>
  <si>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</si>
  <si>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</si>
  <si>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</si>
  <si>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học bổng học sinh dân tộc nội trú theo Nghị định số 84/2020/NĐ-CP ngày 17/7/2020 của Chính phủ</t>
  </si>
  <si>
    <t>Chi tiết theo phụ lục số 01h</t>
  </si>
  <si>
    <t>- Hỗ trợ 100% học bổng</t>
  </si>
  <si>
    <t>- Hỗ trợ 80% học bổng</t>
  </si>
  <si>
    <t>Kinh phí đào tạo quân sự cấp xã</t>
  </si>
  <si>
    <t>1.9</t>
  </si>
  <si>
    <t>Kinh phí hỗ trợ ưu tiên tuyển sinh và hỗ trợ học tập đối với trẻ mẫu giáo, học sinh, sinh viên dân tộc thiểu số rất ít người theo Nghị định số 57/2017/NĐ-CP ngày 05/5/2017</t>
  </si>
  <si>
    <t>Chi tiết theo phụ lục số 01i</t>
  </si>
  <si>
    <t>- Trẻ em mẫu giáo</t>
  </si>
  <si>
    <t>- HS tiểu học, THCS</t>
  </si>
  <si>
    <t>- PTDT bán trú</t>
  </si>
  <si>
    <t>- PTDT nội trú, cao đẳng, đại học</t>
  </si>
  <si>
    <t>1.10</t>
  </si>
  <si>
    <t>Kinh phí hỗ trợ sinh hoạt phí và học phí cho sinh viên sư phạm theo Nghị định số 116/2020/NĐ-CP ngày 25/09/2020 của Chính phủ</t>
  </si>
  <si>
    <t>Chi tiết theo phụ lục số 01j</t>
  </si>
  <si>
    <t>Các chính sách hỗ trợ BHYT theo quy định tại Luật BHYT và Nghị định số 146/2018/NĐ-CP ngày 17/10/2018 của Chính phủ</t>
  </si>
  <si>
    <t>Chi tiết theo phụ lục số 01k</t>
  </si>
  <si>
    <t>BHYT cho người nghèo, DTTS vùng khó khăn; người đang sinh sống tại vùng ĐBKK, xã đảo, huyện đảo</t>
  </si>
  <si>
    <t xml:space="preserve">BHYT cho đối tượng BTXH: </t>
  </si>
  <si>
    <t>BHYT cho trẻ em dưới 06 tuổi</t>
  </si>
  <si>
    <t>2.4</t>
  </si>
  <si>
    <t>BHYT đối với học sinh, sinh viên</t>
  </si>
  <si>
    <t>2.5</t>
  </si>
  <si>
    <t>BHYT đối với cựu chiến binh, thanh niên xung phong, dân công hỏa tuyến</t>
  </si>
  <si>
    <t>2.6</t>
  </si>
  <si>
    <t>BHYT cho người thuộc hộ cân nghèo, hộ làm nông - lâm - ngư - diêm nghiệp có mức sống trung bình</t>
  </si>
  <si>
    <t>Cận nghèo</t>
  </si>
  <si>
    <t>- Cận nghèo 100%</t>
  </si>
  <si>
    <t>- Cận nghèo 70%</t>
  </si>
  <si>
    <t>Hộ nông lâm ngư nghiệp</t>
  </si>
  <si>
    <t>2.7</t>
  </si>
  <si>
    <t>BHYT cho người hiến tạng</t>
  </si>
  <si>
    <t>2.8</t>
  </si>
  <si>
    <t>BHYT cho người dân các xã ATK, vùng ATK cách mạng</t>
  </si>
  <si>
    <t>2.9</t>
  </si>
  <si>
    <t>Người dân tộc thiểu số đang sinh sống tại địa bàn các xã khu vực II, khu vực III, thôn đặc biệt khó khăn thuộc vùng đồng bào dân tộc thiểu số và miền núi giai đoạn 2016-2020</t>
  </si>
  <si>
    <t>BHYT cho đối tượng di dân campuchia</t>
  </si>
  <si>
    <t>BHYT cho đối tượng từ đủ 80 tuổi trở lên đang hưởng trợ cấp hàng tháng</t>
  </si>
  <si>
    <t>Các chính sách thuộc sự nghiệp đảm bảo xã hội</t>
  </si>
  <si>
    <t>3.1</t>
  </si>
  <si>
    <t>Chi tiết theo phụ lục số 01l</t>
  </si>
  <si>
    <t>Trợ cấp và hỗ trợ nuôi dưỡng hàng tháng</t>
  </si>
  <si>
    <t>Mai táng</t>
  </si>
  <si>
    <t>3.2</t>
  </si>
  <si>
    <t>Chính sách hỗ trợ tiền điện cho hộ nghèo, hộ chính sách xã hội theo quy định tại Quyết định số 28/2014/QĐ-TTg ngày 07/4/2014 của Thủ tướng Chính phủ</t>
  </si>
  <si>
    <t>Chi tiết theo phụ lục số 01m</t>
  </si>
  <si>
    <t>Hộ nghèo</t>
  </si>
  <si>
    <t>Hộ CSXH</t>
  </si>
  <si>
    <t>Hộ đồng bào DTTS sống ở vùng chưa có điện lưới (không thuộc hộ nghèo)</t>
  </si>
  <si>
    <t>3.3</t>
  </si>
  <si>
    <t>Chính sách hỗ trợ người đóng bảo hiểm xã hội tự nguyện theo Nghị định số 134/2015/NĐ-CP ngày 29/12/2015 của Chính phủ</t>
  </si>
  <si>
    <t>Chi tiết theo phụ lục số 01n</t>
  </si>
  <si>
    <t>Người thuộc hộ nghèo (được NSNN hỗ trợ 30% kinh phí)</t>
  </si>
  <si>
    <t>Người thuộc hộ cận nghèo (được NSNN hỗ trợ 25% kinh phí)</t>
  </si>
  <si>
    <t>Đối tượng khác (được NSNN hỗ trợ 10% kinh phí)</t>
  </si>
  <si>
    <t>3.4</t>
  </si>
  <si>
    <t>Chính sách thực hiện Nghị định 56/2013/NĐ-CP ngày 22/5/2013 của Chính phủ về danh hiệu vinh dự nhà nước " Bà mẹ Việt Nam Anh hùng"</t>
  </si>
  <si>
    <t>3.5</t>
  </si>
  <si>
    <t>Chính sách thực hiện Quyết định số 24/2016/QĐ-TTg trợ cấp 1 lần đối với người có thành tích tham gia kháng chiến được tặng Bằng khen của TTCP, BT, Thủ trưởng cơ quan thuộc CP, CT UBND cấp tỉnh.</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</si>
  <si>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</si>
  <si>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</si>
  <si>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Chi tiết theo phụ lục số 01o</t>
  </si>
  <si>
    <t>…</t>
  </si>
  <si>
    <t>(*)</t>
  </si>
  <si>
    <t xml:space="preserve">Đối với kết quả thực hiện các chính sách, chế độ ASXH năm 2023; đề nghị các địa phương tổng hợp số liệu trên cơ sở đã báo cáo theo yêu cầu tại Văn bản số 2733-2736/BTC-NSNN ngày 19/3/2024 của Bộ Tài chính </t>
  </si>
  <si>
    <t>…, ngày…tháng…năm 2024</t>
  </si>
  <si>
    <t>(**)</t>
  </si>
  <si>
    <t>Từ 01/7/2024, xác định nhu cầu kinh phí tăng thêm theo mức lương cơ sở được cấp có thẩm quyền quyết định</t>
  </si>
  <si>
    <t>TM. CHỦ TỊCH ỦY BAN NHÂN DÂN TỈNH, THÀNH PHỐ</t>
  </si>
  <si>
    <t>Địa phương báo cáo chi tiết UTH năm 2024 và dự toán năm 2025 chi tiết theo các phụ lục đính kèm</t>
  </si>
  <si>
    <t>Phụ lục số 01a</t>
  </si>
  <si>
    <t>TỔNG HỢP KINH PHÍ THỰC HIỆN HỖ TRỢ CHI PHÍ HỌC TẬP VÀ CẤP BÙ HỌC PHÍ THEO NGHỊ ĐỊNH SỐ 97/2023/NĐ-CP</t>
  </si>
  <si>
    <t>Đơn vị: Triệu đồng</t>
  </si>
  <si>
    <t>DỰ TOÁN 2025</t>
  </si>
  <si>
    <t>Chỉ tiêu</t>
  </si>
  <si>
    <t>Tổng kinh phí thực hiện chính sách</t>
  </si>
  <si>
    <t>Kinh phí còn thừa/thiếu</t>
  </si>
  <si>
    <t xml:space="preserve">Dự toán nhu cầu thực hiện Kỳ II 
</t>
  </si>
  <si>
    <t xml:space="preserve">Dự toán nhu cầu thực hiện Kỳ I 
</t>
  </si>
  <si>
    <t>Kinh phí đã bố trí trong dự toán chi cân đối NSĐP …..</t>
  </si>
  <si>
    <t>Kinh phí</t>
  </si>
  <si>
    <t>3=5+7</t>
  </si>
  <si>
    <t>9=3-8</t>
  </si>
  <si>
    <t>10=12+14</t>
  </si>
  <si>
    <t>Hỗ trợ chi phí học tập và miễn giảm học phí theo quy định tại Nghị định số 97/2023/NĐ-CP ngày 31/12/2023</t>
  </si>
  <si>
    <t>Cấp huyện, thành phố</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</si>
  <si>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</si>
  <si>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</si>
  <si>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</si>
  <si>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</si>
  <si>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</si>
  <si>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</si>
  <si>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</si>
  <si>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</si>
  <si>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</si>
  <si>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</si>
  <si>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 xml:space="preserve">Thành phố Sa Đéc </t>
  </si>
  <si>
    <t>Huyện Châu Thành</t>
  </si>
  <si>
    <t>Miễn học phí, giảm học phí</t>
  </si>
  <si>
    <t>Miễn học phí</t>
  </si>
  <si>
    <t>Trường CĐCĐ Đồng Tháp</t>
  </si>
  <si>
    <t>Trường CĐ Y Tế</t>
  </si>
  <si>
    <t>Cấp huyện, thành phố (miễn MNPT)</t>
  </si>
  <si>
    <t>Cấp huyện, thành phố (miễn TC,ĐH,CĐ)</t>
  </si>
  <si>
    <t>Giảm học phí</t>
  </si>
  <si>
    <t>Giảm học phí (70%)</t>
  </si>
  <si>
    <t xml:space="preserve">Cấp tỉnh </t>
  </si>
  <si>
    <t>Giảm học phí (50%)</t>
  </si>
  <si>
    <t xml:space="preserve">Kết quả thực hiện Kỳ II năm học 2023-2024
</t>
  </si>
  <si>
    <t xml:space="preserve">Nhu cầu thực hiện Kỳ I năm học 2024-2025
</t>
  </si>
  <si>
    <t>Phụ lục số 01b</t>
  </si>
  <si>
    <t>TỔNG HỢP KINH PHÍ THỰC HIỆN CHÍNH SÁCH PHÁT TRIỂN GIÁO DỤC MẦM NON THEO NGHỊ ĐỊNH SỐ 105/2020/NĐ-CP</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</si>
  <si>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</si>
  <si>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</si>
  <si>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</si>
  <si>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</si>
  <si>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Kinh phí đã bố trí trong dự toán chi cân đối NSĐP năm …</t>
  </si>
  <si>
    <t xml:space="preserve">
Kết quả (nhu cầu) thực hiện Kỳ II năm học 2023-2024
</t>
  </si>
  <si>
    <t>Nhu cầu thực hiện Kỳ I năm học 2024-2025</t>
  </si>
  <si>
    <t xml:space="preserve">
Dự toán nhu cầu thực hiện Kỳ II 
</t>
  </si>
  <si>
    <t xml:space="preserve">
Dự toán nhu cầu thực hiện Kỳ I 
</t>
  </si>
  <si>
    <t>Đối tượng</t>
  </si>
  <si>
    <t xml:space="preserve">Mức hỗ trợ
</t>
  </si>
  <si>
    <t>Thời gian hỗ trợ</t>
  </si>
  <si>
    <t xml:space="preserve">Kinh phí
</t>
  </si>
  <si>
    <t>Số định suất nấu ăn</t>
  </si>
  <si>
    <r>
      <t xml:space="preserve">Kinh phí
</t>
    </r>
    <r>
      <rPr>
        <i/>
        <sz val="12"/>
        <rFont val="Times New Roman"/>
        <family val="1"/>
      </rPr>
      <t>(2,4trđ/45TE/tháng)</t>
    </r>
  </si>
  <si>
    <t>4=1*2*3</t>
  </si>
  <si>
    <t>8=5*6*7</t>
  </si>
  <si>
    <t>12=4+8+10+11</t>
  </si>
  <si>
    <t>14=12-13</t>
  </si>
  <si>
    <t>I.</t>
  </si>
  <si>
    <t>Khối tỉnh</t>
  </si>
  <si>
    <t>….</t>
  </si>
  <si>
    <t>II.</t>
  </si>
  <si>
    <t>Khối Quận/huyện</t>
  </si>
  <si>
    <t>ko phát sinh đối tượng</t>
  </si>
  <si>
    <t>Phụ lục số 01d</t>
  </si>
  <si>
    <t xml:space="preserve">TỔNG HỢP KINH PHÍ THỰC HIỆN HỖ TRỢ HỌC SINH KHUYẾT TẬT THEO THÔNG TƯ LIÊN TỊCH 42/2013/TTLT-BGDĐT-BLĐTBXH-BTC </t>
  </si>
  <si>
    <t>Đơn vị thực hiện</t>
  </si>
  <si>
    <t xml:space="preserve">Kinh phí         </t>
  </si>
  <si>
    <t>Học bổng
(*)</t>
  </si>
  <si>
    <t>Mua sắm phương tiện, đồ dùng học tập (**)</t>
  </si>
  <si>
    <t>Học bổng</t>
  </si>
  <si>
    <t>Mua sắm phương tiện, đồ dùng học tập</t>
  </si>
  <si>
    <t>9=2+6</t>
  </si>
  <si>
    <t>11=9-10</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</si>
  <si>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</si>
  <si>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</si>
  <si>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</si>
  <si>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Kết quả (nhu cầu) thực hiện Kỳ II năm học 2023-2024</t>
  </si>
  <si>
    <t>(Kèm theo Báo cáo số         /BC-UBND ngày……tháng 7 năm 2024 của Ủy ban nhân dân tỉnh Đồng Tháp)</t>
  </si>
  <si>
    <t>Loại đối tượng</t>
  </si>
  <si>
    <t>TÌNH HÌNH ƯỚC THỰC HIỆN NĂM 2024</t>
  </si>
  <si>
    <t xml:space="preserve">Đối tượng </t>
  </si>
  <si>
    <t>Hệ
số</t>
  </si>
  <si>
    <t>6 tháng đầu năm 2024
(*)</t>
  </si>
  <si>
    <t>Theo quy định tại Nghị định số 20/2021/NĐ-CP</t>
  </si>
  <si>
    <t>Mức chuẩn TW quy định</t>
  </si>
  <si>
    <t>Số tiền trợ cấp cơ bản hàng tháng</t>
  </si>
  <si>
    <t>Kinh phí thực hiện</t>
  </si>
  <si>
    <t>4=2*3</t>
  </si>
  <si>
    <t>5=1*4*tháng</t>
  </si>
  <si>
    <t>7=2*6</t>
  </si>
  <si>
    <t>8=1*7* tháng</t>
  </si>
  <si>
    <t>9=5+8</t>
  </si>
  <si>
    <t>5=1*4</t>
  </si>
  <si>
    <t>7=5-6</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</si>
  <si>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</si>
  <si>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</si>
  <si>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</si>
  <si>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</si>
  <si>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</si>
  <si>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</si>
  <si>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</si>
  <si>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</si>
  <si>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</si>
  <si>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</si>
  <si>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</si>
  <si>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</si>
  <si>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</si>
  <si>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</si>
  <si>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</si>
  <si>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</si>
  <si>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Khoản 4 Điều 5</t>
  </si>
  <si>
    <t>Hệ số 1,0 đối với mỗi một con đang nuôi</t>
  </si>
  <si>
    <t>Đang nuôi 1 con</t>
  </si>
  <si>
    <t xml:space="preserve">Đang nuôi 2 con </t>
  </si>
  <si>
    <t xml:space="preserve">Đang nuôi 3 con </t>
  </si>
  <si>
    <t>Đang nuôi 4 con</t>
  </si>
  <si>
    <t>Đang nuôi 5 con</t>
  </si>
  <si>
    <t>Đang nuôi 6 con</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</si>
  <si>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</si>
  <si>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</si>
  <si>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</si>
  <si>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</si>
  <si>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</si>
  <si>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</si>
  <si>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</si>
  <si>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</si>
  <si>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</si>
  <si>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</si>
  <si>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</si>
  <si>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</si>
  <si>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</si>
  <si>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</si>
  <si>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</si>
  <si>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</si>
  <si>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</si>
  <si>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</si>
  <si>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</si>
  <si>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</si>
  <si>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</si>
  <si>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</si>
  <si>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</si>
  <si>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</si>
  <si>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</si>
  <si>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</si>
  <si>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</si>
  <si>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</si>
  <si>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</si>
  <si>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</si>
  <si>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</si>
  <si>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</si>
  <si>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</si>
  <si>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</si>
  <si>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</si>
  <si>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</si>
  <si>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</si>
  <si>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</si>
  <si>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</si>
  <si>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</si>
  <si>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</si>
  <si>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</si>
  <si>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</si>
  <si>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</si>
  <si>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</si>
  <si>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</si>
  <si>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</si>
  <si>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</si>
  <si>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</si>
  <si>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</si>
  <si>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</si>
  <si>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</si>
  <si>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</si>
  <si>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</si>
  <si>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không nguồn nuôi dưỡng quy định tại khoản 1 Điều 5</t>
  </si>
  <si>
    <t>Trẻ em nhiễm HIV thuộc hộ nghèo</t>
  </si>
  <si>
    <t>Người cao tuổi thuộc diện sống ở cơ sở trợ giúp xã hội</t>
  </si>
  <si>
    <t>Người khuyết tật đặc biệt nặng, không lo được cuộc sống</t>
  </si>
  <si>
    <t>Từ đủ 4 tuổi trở lên</t>
  </si>
  <si>
    <r>
      <t xml:space="preserve">Đối tượng cần bảo vệ khẩn cấp: Nạn nhân bạo lực gia đình, TE lang thang, xin ăn </t>
    </r>
    <r>
      <rPr>
        <sz val="12"/>
        <rFont val="Times New Roman"/>
        <family val="1"/>
      </rPr>
      <t>(hỗ trợ tiền ăn 40.000 đồng/ngày/đối tương theo Điều 3 - Thông tư 29/2014/TTLT-BLĐTBXH- BTC)</t>
    </r>
  </si>
  <si>
    <t>BẢO HIỂM Y TẾ THEO QUY ĐỊNH</t>
  </si>
  <si>
    <t>Tổng đối tượng không thuộc hộ nghèo</t>
  </si>
  <si>
    <t>HỖ TRỢ CHI PHÍ MAI TÁNG</t>
  </si>
  <si>
    <t xml:space="preserve">TỔNG HỢP KINH PHÍ NSNN ĐÓNG VÀ HỖ TRỢ ĐÓNG BHYT CHO CÁC ĐỐI TƯỢNG TRÊN ĐỊA BÀN </t>
  </si>
  <si>
    <t>Nhóm đối tượng</t>
  </si>
  <si>
    <t>Kết quả 6 tháng đầu năm 2024
(*)</t>
  </si>
  <si>
    <t>UTH 6 tháng cuối năm 2024</t>
  </si>
  <si>
    <t>Dự toán 6 tháng đầu năm 2025
(*)</t>
  </si>
  <si>
    <t>UTH 6 tháng cuối năm 2025</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</si>
  <si>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</si>
  <si>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</si>
  <si>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</si>
  <si>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</si>
  <si>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</si>
  <si>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</si>
  <si>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</si>
  <si>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</si>
  <si>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</si>
  <si>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</si>
  <si>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</si>
  <si>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</si>
  <si>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</si>
  <si>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</si>
  <si>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 người cao tuổi</t>
  </si>
  <si>
    <t>Đối tượng người hiến tạng</t>
  </si>
  <si>
    <t>6</t>
  </si>
  <si>
    <t xml:space="preserve"> Người dân các xã ATK, vùng ATK cách mạng đang thường trú tại các xã ATK cách mạng đã được cập nhật trong CSDLQG về dân cư, CSDL về cư trú</t>
  </si>
  <si>
    <t>7</t>
  </si>
  <si>
    <t>Đối tượng người di dân Campuchia</t>
  </si>
  <si>
    <t>8</t>
  </si>
  <si>
    <t>Đối tượng từ đủ 80 tuổi trở lên đang hưởng trợ cấp hàng tháng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</si>
  <si>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</si>
  <si>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</si>
  <si>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</si>
  <si>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</si>
  <si>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</si>
  <si>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</si>
  <si>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</si>
  <si>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</si>
  <si>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</si>
  <si>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</si>
  <si>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</si>
  <si>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</si>
  <si>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</si>
  <si>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</si>
  <si>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</si>
  <si>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</si>
  <si>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TỔNG HỢP KINH PHÍ THỰC HIỆN CHÍNH SÁCH HỖ TRỢ TIỀN ĐIỆN CHO HỘ NGHÈO VÀ HỘ CHÍNH SÁCH XÃ HỘI</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</si>
  <si>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</si>
  <si>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</si>
  <si>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</si>
  <si>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</si>
  <si>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</si>
  <si>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</si>
  <si>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</si>
  <si>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</si>
  <si>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</si>
  <si>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</si>
  <si>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1=2+3</t>
  </si>
  <si>
    <t>3=4+5</t>
  </si>
  <si>
    <t>10=11+12</t>
  </si>
  <si>
    <t>14=10-13</t>
  </si>
  <si>
    <t>Bộ Công Thương đã ban hành Quyết định số 1062/QĐ-BCT ngày 04/5/2023 và số 2941/QĐ-BCT ngày 08/11/2023 quy định về giá bán điện</t>
  </si>
  <si>
    <t>Chính phủ đã ban hành Nghị định số 44/2023/NĐ-CP quy định chính sách giảm thuế giá trị gia tăng theo Nghị quyết số 101/2023/QH15 ngày 24/6/2023 của Quốc hội</t>
  </si>
  <si>
    <t>Phụ lục số 01n</t>
  </si>
  <si>
    <t>TỔNG HỢP KINH PHÍ NSNN HỖ TRỢ ĐÓNG BHXH TỰ NGUYỆN CHO CÁC ĐỐI TƯỢNG</t>
  </si>
  <si>
    <t>Thực hiện 6 tháng đầu năm 2024</t>
  </si>
  <si>
    <t xml:space="preserve">Tổng cộng kinh phí thực hiện </t>
  </si>
  <si>
    <t>Dự kiến thực hiện 6 tháng đầu năm
(*)</t>
  </si>
  <si>
    <t xml:space="preserve">Dự kiến UTH </t>
  </si>
  <si>
    <t>Hộ nghèo (30%)</t>
  </si>
  <si>
    <t>Hộ cận nghèo (25%)</t>
  </si>
  <si>
    <t>Các đối tượng khác (10%)</t>
  </si>
  <si>
    <t>Vay Chi nhánh Ngân hàng Đầu tư Phát triển</t>
  </si>
  <si>
    <t>TỔNG HỢP KINH PHÍ TRỢ GIÚP CÁC ĐỐI TƯỢNG BẢO TRỢ XÃ HỘI THEO NGHỊ ĐỊNH 20/2021/NĐ-CP VÀ NGHỊ ĐỊNH SỐ 76/2024/NĐ-CP</t>
  </si>
  <si>
    <t>Chính sách hỗ trợ đối tượng bảo trợ xã hội theo quy định tại Nghị định số 20/2021/NĐ-CP ngày 15/03/2021 của Chính phủ và Nghị định số 76/2024/NĐ-CP ngày 01/7/2024 của Chính phủ</t>
  </si>
  <si>
    <t>2025-2024</t>
  </si>
  <si>
    <t>NGUỒN THỰC HIỆN CẢI CÁCH TIỀN LƯƠNG NĂM 2024</t>
  </si>
  <si>
    <t>70% tăng thu NSĐP thực hiện 2023 so dự toán Thủ tướng Chính phủ giao năm 2023</t>
  </si>
  <si>
    <t>tăng thu 2024-2023</t>
  </si>
  <si>
    <t>70% tăng thu NSĐP thực hiện 2024 so dự toán Thủ tướng Chính phủ giao năm 2024</t>
  </si>
  <si>
    <t>Nguồn tăng thu DT 2025/2024</t>
  </si>
  <si>
    <t>Nguồn tăng thu DT 2024/2023</t>
  </si>
  <si>
    <t>Số tiết kiệm 10% chi thường xuyên dự toán năm 2023</t>
  </si>
  <si>
    <t>Số thu được huy động từ nguồn để lại đơn vị năm 2023 (các đơn vị chưa tự đảm bảo chi thường xuyên) :</t>
  </si>
  <si>
    <t>+ Học phí</t>
  </si>
  <si>
    <t>nhu cầu 2024</t>
  </si>
  <si>
    <t>+ Viện phí</t>
  </si>
  <si>
    <t>+ Nguồn thu khác</t>
  </si>
  <si>
    <t>còn lại 2023</t>
  </si>
  <si>
    <t>Nguồn thực hiện cải cách tiền lương năm 2022 chưa sử dụng hết chuyển sang 2023</t>
  </si>
  <si>
    <t>Nguồn NSTW bổ sung mục tiêu</t>
  </si>
  <si>
    <t>TỔNG NHU CẦU NĂM 2023</t>
  </si>
  <si>
    <t>Nhu cầu thực hiện CCTL theo NĐ 24 năm 2024 (12 tháng )</t>
  </si>
  <si>
    <t>Tổng nhu cầu kinh phí tăng thêm để thực hiện cải cách tiền lương theo Nghị định số 73/2024/NĐ-CP</t>
  </si>
  <si>
    <t>Quỹ tiền lương, phụ cấp, các khoản đóng góp tăng thêm đối với cán bộ, công chức,viên  chức, người làm việc trong khu vực hành chính sự nghiệp</t>
  </si>
  <si>
    <t xml:space="preserve">Quỹ lương, phụ cấp tăng thêm đối với cán bộ chuyên trách và công chức cấp xã </t>
  </si>
  <si>
    <t>Hoạt động phí tăng thêm đối với đại biểu hội đồng nhân dân các cấp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</si>
  <si>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</si>
  <si>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</si>
  <si>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</si>
  <si>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Nhu cầu thực hiện một số loại phụ cấp, trợ cấp theo quy định:</t>
  </si>
  <si>
    <t>Nhu cầu kinh phí thực hiện chính sách tinh giản biên chế năm 2023 theo NĐ số 108/2014/NĐ-CP ngày 20/11/2014, Nghị định số 113/2018/NĐ-CP ngày 31/8/2018, Nghị định số 143/2020/NĐ-CP ngày 10/12/2020, Nghị định số 29/2023/NĐ-CP ngày 03/6/2023 của Chính phủ</t>
  </si>
  <si>
    <t>Nhu cầu kinh phí thực hiện chính sách nghỉ hưu trước tuổi năm 2023 theo NĐ số 26/2015/NĐ-CP ngày 09/3/2015 của Chính phủ</t>
  </si>
  <si>
    <t>Nhu cầu kinh phí tăng thêm thực hiện chế độ thù lao đối với người đã nghỉ hưu giữ chức danh lãnh đạo Hội đặc thù</t>
  </si>
  <si>
    <t>Kinh phí tăng/giảm do thực hiện Nghị định số 33/2023/NĐ-CP ngày 10/6/2023 của Chính phủ</t>
  </si>
  <si>
    <t>CHÊNH LỆCH NHU CẦU VÀ NGUỒN NĂM 2023</t>
  </si>
  <si>
    <t>Phần thiếu nguồn ngân sách trung ương hỗ trợ.</t>
  </si>
  <si>
    <t>Nguồn thực hiện cải cách tiền lương còn dư</t>
  </si>
  <si>
    <t>Thu nội địa không kể tiền SDĐ, XSKT, CPH</t>
  </si>
  <si>
    <t>ƯỚC THỰC HIỆN THU NGÂN SÁCH NHÀ NƯỚC TRÊN ĐỊA BÀN NĂM 2024</t>
  </si>
  <si>
    <t>DỰ TOÁN THU NGÂN SÁCH NHÀ NƯỚC TRÊN ĐỊA BÀN NĂM 2025</t>
  </si>
  <si>
    <t>(Kèm theo Báo cáo số          /BC-UBND ngày            tháng 8 năm 2024 của Ủy ban nhân dân tỉnh Đồng Tháp)</t>
  </si>
  <si>
    <t>(Kèm theo Công văn số         /STC-QLNS ngày       tháng 8 năm 2024 của Sở Tài chính)</t>
  </si>
  <si>
    <t>ƯỚC THỰC HIỆN CHI NGÂN SÁCH ĐỊA PHƯƠNG NĂM 2024</t>
  </si>
  <si>
    <t>DỰ TOÁN CHI NGÂN SÁCH ĐỊA PHƯƠNG NĂM 2025</t>
  </si>
  <si>
    <t>So với dự toán năm 2024 HĐND Tỉnh giao(%)</t>
  </si>
  <si>
    <t>So với dự toán năm 2024 HĐND Tỉnh giao (%)</t>
  </si>
  <si>
    <t>Chi tạo nguồn tiền lương</t>
  </si>
  <si>
    <t>50%(2025/2024)</t>
  </si>
  <si>
    <t>SO SÁNH ƯỚC THỰC HIỆN /DỰ TOÁN TW</t>
  </si>
  <si>
    <t>SO SÁNH ƯỚC THỰC HIỆN /DỰ TOÁN ĐP</t>
  </si>
  <si>
    <t>SO SÁNH DỰ TOÁN 2025/2024 (DU TOAN TRUNG UONG)</t>
  </si>
  <si>
    <t>Tăng/giảm</t>
  </si>
  <si>
    <t>SO SÁNH DỰ TOÁN 2025/2024 (DU TOAN ĐỊA PHƯƠNG)</t>
  </si>
  <si>
    <t>SO SÁNH DỰ TOÁN 2026/2025(DU TOAN TRUNG UONG)</t>
  </si>
  <si>
    <t>SO SÁNH DỰ TOÁN 2026/2025 (DU TOAN ĐỊA PHƯƠNG)</t>
  </si>
  <si>
    <t>NHU CẦU CCTL 6 THÁNG</t>
  </si>
  <si>
    <t>NHU CẦU CCTL 12 THÁNG</t>
  </si>
  <si>
    <t>NHU CẦU LƯƠNG 2,34 (6 THÁNG 2024)</t>
  </si>
  <si>
    <t>NHU CẦU LƯƠNG 2,34 (12 THÁNG 2025)</t>
  </si>
  <si>
    <t>KẾ HOẠCH THU NSNN 03 NĂM 2025-2027</t>
  </si>
  <si>
    <t>Tốc độ thu bình quân</t>
  </si>
  <si>
    <t>DỰ TOÁN THU NGÂN SÁCH NHÀ NƯỚC TRÊN ĐỊA BÀN NĂM 2025 - KẾ HOẠCH THU NGÂN SÁCH NHÀ NƯỚC 03 NĂM 2025-2027</t>
  </si>
  <si>
    <t>KẾ HOẠCH CHI NGÂN SÁCH 0205-2027</t>
  </si>
  <si>
    <t>Tốc độ hằng năm</t>
  </si>
  <si>
    <t>DỰ TOÁN CHI NGÂN SÁCH ĐỊA PHƯƠNG NĂM 2025 - KẾ HOẠCH CHI 03 NĂM 2025-2027</t>
  </si>
  <si>
    <t>CÂN ĐỐI NGÂN SÁCH ĐỊA PHƯƠNG NĂM 2024 - 2025; KẾ HOẠCH 03  NĂM 2025 - 2027</t>
  </si>
  <si>
    <t>Kế hoạch 2025-2027</t>
  </si>
  <si>
    <t>BÁO CÁO NGUỒN KINH PHÍ ĐỂ THỰC HIỆN CẢI CÁCH TIỀN LƯƠNG NĂM 2024 - 2025</t>
  </si>
  <si>
    <t>SỐ TIỀN NĂM 2024 (6 tháng)</t>
  </si>
  <si>
    <t>SỐ TIỀN NĂM 2025 (12 tháng)</t>
  </si>
  <si>
    <t>TÌNH HÌNH TRẢ NỢ; LÃI VAY NĂM 2024</t>
  </si>
  <si>
    <t>Chi trả nợ; lãi do chính quyền địa phương vay</t>
  </si>
  <si>
    <t>NTM</t>
  </si>
  <si>
    <t>GNBV</t>
  </si>
  <si>
    <t>KP 10% quỹ khen thưởng</t>
  </si>
  <si>
    <t>Ngân sách hỗ trợ đóng BHYT</t>
  </si>
  <si>
    <t>Ngân sách đóng BHYT</t>
  </si>
  <si>
    <t>Số đã sử dụng đến thời điểm 01/7/2024</t>
  </si>
  <si>
    <t>Số dư đến thời điểm:  01/7/2024</t>
  </si>
  <si>
    <t>TÌNH HÌNH VAY VÀ TRẢ NỢ VAY NGÂN SÁCH CẤP TỈNH GIAI ĐOẠN 2025-2027</t>
  </si>
  <si>
    <t>DỰ TOÁN THU TỪ HOẠT ĐỘNG CUNG CẤP DỊCH VỤ CỦA ĐƠN VỊ SỰ NGHIỆP CÔNG LẬP 
(KHÔNG BAO GỒM NGUỒN NSNN ĐẶT HÀNG, GIAO NHIỆM VỤ)</t>
  </si>
  <si>
    <t>Dự toán năm 2024</t>
  </si>
  <si>
    <t>Dự toán năm 2025</t>
  </si>
  <si>
    <t>Sự nghiệp giáo dục, đào tạo và dạy nghề</t>
  </si>
  <si>
    <t/>
  </si>
  <si>
    <t>ƯỚC THỰC HIỆN THU NSNN NĂM 2023 VÀ DỰ TOÁN THU NSNN NĂM 2024 
HUYỆN, THÀNH PHỐ</t>
  </si>
  <si>
    <t xml:space="preserve">Tổng số </t>
  </si>
  <si>
    <t>Thành phố Sa Đéc</t>
  </si>
  <si>
    <t xml:space="preserve">TH 8 tháng </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</si>
  <si>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</si>
  <si>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</si>
  <si>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</si>
  <si>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</si>
  <si>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</si>
  <si>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</si>
  <si>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</si>
  <si>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</si>
  <si>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</si>
  <si>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</si>
  <si>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</si>
  <si>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</si>
  <si>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</si>
  <si>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</si>
  <si>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</si>
  <si>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</si>
  <si>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</si>
  <si>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</si>
  <si>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</si>
  <si>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</si>
  <si>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Nguồn tăng thu thực hiện cải cách tiền lương</t>
  </si>
  <si>
    <t>Tổng số thu NSH hưởng theo phân cấp</t>
  </si>
  <si>
    <t>Trong đó: Thu tiền sử dụng đất</t>
  </si>
  <si>
    <t>CÂN ĐỐI NGÂN SÁCH HUYỆN, THÀNH PHỐ NĂM 2023-2024</t>
  </si>
  <si>
    <t>CHỈ TIÊU</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</si>
  <si>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</si>
  <si>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</si>
  <si>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</si>
  <si>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</si>
  <si>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</si>
  <si>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</si>
  <si>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</si>
  <si>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</si>
  <si>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</si>
  <si>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</si>
  <si>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THÀNH PHỐ SA ĐÉC</t>
  </si>
  <si>
    <t>HUYỆN CHAU THÀNH</t>
  </si>
  <si>
    <t>DỰ TOÁN (GIAO ĐẦU NĂM)</t>
  </si>
  <si>
    <t>ĐIỀU CHỈNH DỰ TOÁN</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</si>
  <si>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</si>
  <si>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</si>
  <si>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</si>
  <si>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</si>
  <si>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</si>
  <si>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</si>
  <si>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</si>
  <si>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</si>
  <si>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Bổ sung có mục tiêu kinh phí diễn tập khu vực phòng thủ cấp huyện năm 2024</t>
  </si>
  <si>
    <t>Bổ sung đảm bảo nhiệm vụ chi do giảm dự toán thu các năm trước</t>
  </si>
  <si>
    <t>Thu chuyển nguồn cải cách tiền lương còn thừa năm trước chuyển sang (cấn trừ thu nguồn)</t>
  </si>
  <si>
    <t>Thu chuyển nguồn chế độ chính sách an sinh xã hội còn thừa năm trước chuyển sang</t>
  </si>
  <si>
    <t>CHI NGÂN SÁCH HUYỆN, THÀNH PHỐ</t>
  </si>
  <si>
    <t>Trong đó: Chi đầu tư XDCB tập trung trong nước bao gồm số phân bổ từ nguồn CCTL dự toán năm 2021</t>
  </si>
  <si>
    <t>Chi thường xuyên:</t>
  </si>
  <si>
    <t>Chi sự nghiệp giáo dục đào tạo</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</si>
  <si>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</si>
  <si>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</si>
  <si>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</si>
  <si>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</si>
  <si>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</si>
  <si>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Kinh phí thường xuyên tăng thêm so với dự toán năm trước (Không kể nguồn tiền lương lăng thêm)</t>
  </si>
  <si>
    <t>10% tiết kiệm tăng thêm so với dự toán năm trước</t>
  </si>
  <si>
    <t>Đồng Tháp, ngày             tháng            năm 2023</t>
  </si>
  <si>
    <t>Phòng Tài chính - Kế hoạch</t>
  </si>
  <si>
    <t>Huyện, thành phố</t>
  </si>
  <si>
    <t>Tổng thu ngân sách huyện, thành phố</t>
  </si>
  <si>
    <t xml:space="preserve">Tổng cộng </t>
  </si>
  <si>
    <t>Thu điều tiết theo phân cấp</t>
  </si>
  <si>
    <t>Thu bổ sung từ NS cấp Tỉnh</t>
  </si>
  <si>
    <t>Thu chuyển nguồn từ năm trước chuyển sang</t>
  </si>
  <si>
    <t>Bổ sung mục tiêu</t>
  </si>
  <si>
    <t>Khoản thu 100%</t>
  </si>
  <si>
    <t>Khoản thu phân chia theo tỷ lệ %</t>
  </si>
  <si>
    <t>Kinh phí hỗ trợ địa phương sản xuất lúa</t>
  </si>
  <si>
    <t>5=6+7</t>
  </si>
  <si>
    <t>8=9+10</t>
  </si>
  <si>
    <t>Cộng</t>
  </si>
  <si>
    <t>BẢNG CÂN ĐỐI DỰ TOÁN THU-CHI NĂM 2023 NGÂN SÁCH HUYỆN, THÀNH PHỐ</t>
  </si>
  <si>
    <t>Chi NS huyện, thành phố</t>
  </si>
  <si>
    <t>Cân đối
NSH,TP</t>
  </si>
  <si>
    <t xml:space="preserve">Hồng Ngự </t>
  </si>
  <si>
    <t xml:space="preserve">Tân Hồng </t>
  </si>
  <si>
    <t xml:space="preserve">Tam Nông </t>
  </si>
  <si>
    <t xml:space="preserve">Thanh Bình </t>
  </si>
  <si>
    <t xml:space="preserve">TP Cao Lãnh </t>
  </si>
  <si>
    <t>Tháp Mười</t>
  </si>
  <si>
    <t>Lấp Vò</t>
  </si>
  <si>
    <t xml:space="preserve">Lai Vung </t>
  </si>
  <si>
    <t xml:space="preserve">TP Sa Đéc </t>
  </si>
  <si>
    <t xml:space="preserve">Châu Thành </t>
  </si>
  <si>
    <t>Tổng nguồn thực hiện kinh phí thực hiên CCTL</t>
  </si>
  <si>
    <t>Nguồn thực hiện CCTL năm trước còn thừa (+) hoặc thiếu nguồn (-)</t>
  </si>
  <si>
    <t>10% tiết kiệm chi thường xuyên</t>
  </si>
  <si>
    <t>10% tiết kiệm chi thường xuyên năm 2022</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</si>
  <si>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</si>
  <si>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</si>
  <si>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</si>
  <si>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</si>
  <si>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50%/70% tăng thu NSĐP</t>
  </si>
  <si>
    <t>70% tăng thu NSĐP thực hiện năm trước so với dự toán năm trước (hết ngày 31/12/2023 sẽ xác định tăng/giảm thu NSH)</t>
  </si>
  <si>
    <t>50% tăng thu NSĐP dự toán năm 2022 so với năm năm 2021</t>
  </si>
  <si>
    <t>50% tăng thu NSĐP dự toán năm 2023 so với năm năm 2022</t>
  </si>
  <si>
    <t>50% tăng thu NSĐP dự toán năm 2024 so với năm năm 2023</t>
  </si>
  <si>
    <t>Từ nguồn học phí, sự nghiệp</t>
  </si>
  <si>
    <t>Giảm tỷ lệ theo kiến nghị của Thanh tra, Kiểm toán nhà nước</t>
  </si>
  <si>
    <t>Tổng nhu cầu kinh phí cải cách tiền lương</t>
  </si>
  <si>
    <t>Tổng chi quỹ lương do tăng tiền lương cơ sở 1.800.000 đồng/tháng (12 tháng năm 2024)</t>
  </si>
  <si>
    <t>Kinh phí đề xuất phải bổ sung hoặc chuyển nguồn</t>
  </si>
  <si>
    <t>NS cấp tỉnh bổ sung TLTT (phần chênh lệch (-) giữa nguồn và nhu cầu)</t>
  </si>
  <si>
    <t>Thừa nguồn (+) để thực hiện cải cách tiền lương kỳ sau, năm sau</t>
  </si>
  <si>
    <t>Đề xuất đối với huyện thừa nguồn năm 2024 chuyển sang năm sau, kỳ sau</t>
  </si>
  <si>
    <t>Thừa nguồn để thực hiện cải cách tiền lương năm 2023</t>
  </si>
  <si>
    <t>Thừa nguồn các chế độ chính sách các năm trước chuyển sang</t>
  </si>
  <si>
    <t>Bù trừ nguồn bổ sung từ ngân sách cấp tỉnh</t>
  </si>
  <si>
    <t>Bù trừ 50% giảm thu dự toán năm 2024 so với dự toán 2023</t>
  </si>
  <si>
    <t>Giảm bổ sung các chế độ, chính sách tăng thêm</t>
  </si>
  <si>
    <t>Giảm bổ sung tăng định mức cấp xã</t>
  </si>
  <si>
    <t>Giảm bổ sung hoạt động Trung tâm Dịch vụ nông nghiệp</t>
  </si>
  <si>
    <t>Giảm bổ sung đảm bảo mặt bằng chi không thấp hơn năm 2023</t>
  </si>
  <si>
    <t>Thuyết minh lấy nguồn</t>
  </si>
  <si>
    <t>CCTL còn thực thừa (Dòng 6)</t>
  </si>
  <si>
    <t>Chế độ chính sách còn thừa (Dòng 19-CĐCS)</t>
  </si>
  <si>
    <t>Tổng thu nguồn từ năm trước tại huyện</t>
  </si>
  <si>
    <t>Thuyết minh nhu cầu năm 2024</t>
  </si>
  <si>
    <t>Tổng nhu cầu năm 2024</t>
  </si>
  <si>
    <t>Quỹ tiền lương tăng thêm</t>
  </si>
  <si>
    <t>Dự kiến thôi việc theo NĐ số 29</t>
  </si>
  <si>
    <t>VHTTDL</t>
  </si>
  <si>
    <t>Sự nghiệp KT</t>
  </si>
  <si>
    <t>ANQP</t>
  </si>
  <si>
    <t>Sự nghiệp KHCN</t>
  </si>
  <si>
    <t>Sự nghiệp đảm bảo xã hội</t>
  </si>
  <si>
    <t>TỔNG NHU CẦU CHẾ ĐỘ CHÍNH SÁCH TĂNG THÊM</t>
  </si>
  <si>
    <t>Chế độ chính sách liên quan sự nghiệp giáo dục</t>
  </si>
  <si>
    <t>TỔNG HỢP KINH PHÍ THỰC HIỆN CÁC CHÍNH SÁCH, CHẾ ĐỘ NĂM 2024 BỔ SUNG CHO HUYỆN, THÀNH PHỐ</t>
  </si>
  <si>
    <t>(Kèm theo Công văn số        /STC-QLNS ngày        tháng 9 năm 2023 của Sở Tài chính)</t>
  </si>
  <si>
    <t>TỔNG CỘNG 12 HUYỆN, THÀNH PHỐ</t>
  </si>
  <si>
    <t>HUYỆN CHÂU THÀNH</t>
  </si>
  <si>
    <t>Số
đối tượng</t>
  </si>
  <si>
    <t>Quyết toán</t>
  </si>
  <si>
    <t>Số kinh phí thừa (-)/thiếu (+)</t>
  </si>
  <si>
    <t>Trong đó, Kinh phí đã giao trong định mức chi ngân sách huyện năm 2024</t>
  </si>
  <si>
    <t>Bổ sung dự toán 2024</t>
  </si>
  <si>
    <t>4=2-3</t>
  </si>
  <si>
    <t>9=4+7+8-6</t>
  </si>
  <si>
    <t>13=11-12+9</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</si>
  <si>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</si>
  <si>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</si>
  <si>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Chính sách hỗ trợ thường xuyên cho đối tượng bảo trợ xã hội theo quy định tại Nghị định số 20/2021/NĐ-CP ngày 15/03/2021 của Chính phủ</t>
  </si>
  <si>
    <t>LẬP BIỂU</t>
  </si>
  <si>
    <t>PHÒNG QUẢN LÝ NGÂN SÁCH</t>
  </si>
  <si>
    <t>GIÁM ĐỐC</t>
  </si>
  <si>
    <t>Số đã thảo luận đợt 1</t>
  </si>
  <si>
    <t>Số đã giao thêm</t>
  </si>
  <si>
    <t>Chênh lệch</t>
  </si>
  <si>
    <t>Điều tiết ngân sách tỉnh</t>
  </si>
  <si>
    <t>Ngân sách huyện</t>
  </si>
  <si>
    <t>9=6-3</t>
  </si>
  <si>
    <t>10=7-4</t>
  </si>
  <si>
    <t>11=8-5</t>
  </si>
  <si>
    <t>Kinh phí 
sự nghiệp</t>
  </si>
  <si>
    <t>BỔ SUNG CÓ MỤC TIÊU TỪ NGÂN SÁCH TRUNG ƯƠNG ĐỂ THỰC HIỆN CÁC MỤC TIÊU, NHIỆM VỤ QUAN TRỌNG (I+II)</t>
  </si>
  <si>
    <t>Đầu tư phát triển từ nguồn ngân sách trung ương bổ sung có mục tiêu</t>
  </si>
  <si>
    <t>Bổ sung vốn đầu tư theo ngành, lĩnh vực (vốn ngoài nước)</t>
  </si>
  <si>
    <t>Chương trình mục tiêu ứng phó biến đổi khí hậu và tăng trưởng xanh (giải ngân theo cơ chế tài chính trong nước)</t>
  </si>
  <si>
    <t>Bổ sung vốn đầu tư theo ngành, lĩnh vực (vốn trong nước)</t>
  </si>
  <si>
    <t>Bổ sung vốn đầu tư để thực hiện các chương trình, mục tiêu nhiệm vụ</t>
  </si>
  <si>
    <t>2.1.1</t>
  </si>
  <si>
    <t>Đầu tư các dự án theo ngành, lĩnh vực và Chương trình phục hồi phát triển kinh tế - xã hội</t>
  </si>
  <si>
    <t>Thu hồi các khoản vốn ứng trước của các chương trình mục tiêu (số vốn thiểu địa phương phải bố trí)</t>
  </si>
  <si>
    <t>2.1.2</t>
  </si>
  <si>
    <t>Dự án quan trọng quốc gia, đường bộ cao tốc</t>
  </si>
  <si>
    <t>2.1.3</t>
  </si>
  <si>
    <t>Dự án trọng điểm, liên vùng, đường ven biển</t>
  </si>
  <si>
    <t>Vốn thực hiện 03 chương trình mục tiêu quốc gia</t>
  </si>
  <si>
    <t>2.2.1</t>
  </si>
  <si>
    <t>Chương trình mục tiêu quốc gia giảm nghèo bền vững</t>
  </si>
  <si>
    <t>Dự án 2: Đa dạng hóa sinh kế, phát triển mô hình giảm nghèo (các hoạt động kinh tế)</t>
  </si>
  <si>
    <t>Dự án 3: Hỗ trợ phát triển sản xuất, cải thiện dinh dưỡng (sự nghiệp y tế, dân số và gia đình: 2.977 triệu đồng; các hoạt động kinh tế: 9.404 triệu đồng)</t>
  </si>
  <si>
    <t xml:space="preserve">Dự án 4: Phát triển giáo dục nghề nghiệp, việc làm bền vững (sự nghiệp giáo dục-đào tạo và dạy nghề 8.848 triệu đồng; các hoạt động kinh tế 8.151 triệu đồng) </t>
  </si>
  <si>
    <t>Dự án 6: Truyền thông và giảm nghèo về thông tin (sự nghiệp văn hóa thông tin)</t>
  </si>
  <si>
    <t>Dự án 7: Nâng cao năng lực và giám sát, đánh giá chương trình (sự nghiệp giáo dục- đào tạo và dạy nghề)</t>
  </si>
  <si>
    <t>2.2.2</t>
  </si>
  <si>
    <t>Chương trình mục tiêu quốc gia xây dựng nông thôn mới</t>
  </si>
  <si>
    <t>2.2.3</t>
  </si>
  <si>
    <t>Chương trình mục tiêu quốc gia phát triển kinh tế xã hội vùng đồng bào dân tộc thiểu số và miền núi</t>
  </si>
  <si>
    <t>Kinh phí biên chế giáo viên tăng thêm (Sự nghiệp giáo dục - đào tạo)</t>
  </si>
  <si>
    <t>Hỗ trợ doanh nghiệp nhỏ và vừa (Các hoạt động kinh tế)</t>
  </si>
  <si>
    <t>Kinh phí thực hiện Chương trình Phát triển lâm nghiệp bền vững (Các hoạt động kinh tế)</t>
  </si>
  <si>
    <t>Bổ sung kinh phí thực hiện nhiệm vụ đảm bảo trật tự an toàn giao thông (Các hoạt động kinh tế)</t>
  </si>
  <si>
    <t>Phí sử dụng đường bộ (Các hoạt động kinh tế)</t>
  </si>
  <si>
    <t>Tổng chi ( I+II+III+IV+V+VI)</t>
  </si>
  <si>
    <t>DỰ TOÁN 2025/DỰ TOÁN 2024</t>
  </si>
  <si>
    <t>DỰ TOÁN 2026/DỰ TOÁN 2025</t>
  </si>
  <si>
    <t>DỰ TOÁN 2027/DỰ TOÁN 2026</t>
  </si>
  <si>
    <t>Bố trí tăng chi thường xuyên (tính tiền lương cơ sở 2.340.000 đồng/tháng)</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</si>
  <si>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</si>
  <si>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</si>
  <si>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</si>
  <si>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</si>
  <si>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</si>
  <si>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</si>
  <si>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</si>
  <si>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</si>
  <si>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</si>
  <si>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</si>
  <si>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phát triển (1)</t>
  </si>
  <si>
    <t>Chi giáo dục, đào tạo và dạy nghề</t>
  </si>
  <si>
    <t>Chi bổ sung Quỹ Dự trữ tài chính</t>
  </si>
  <si>
    <t>Chi trả lãi khoản vay của ngân sách cấp tỉnh</t>
  </si>
  <si>
    <t>Chi từ nguồn bổ sung có mục tiêu từ ngân sách trung ương</t>
  </si>
  <si>
    <t>TỈNH ĐỒNG THÁP                                              Độc lập - Tự do - Hạnh phúc</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</si>
  <si>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</si>
  <si>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</si>
  <si>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</si>
  <si>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</si>
  <si>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</si>
  <si>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</si>
  <si>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 xml:space="preserve">Chi đầu tư phát triển </t>
  </si>
  <si>
    <t>Chi sự nghiệp hoạt động môi trường</t>
  </si>
  <si>
    <t xml:space="preserve">Chi sự nghiệp văn xã </t>
  </si>
  <si>
    <t>Chi sự nghiệp khoa học &amp; công nghệ</t>
  </si>
  <si>
    <t>Chi sự nghiệp giáo dục- đào tạo và dạy nghề</t>
  </si>
  <si>
    <t xml:space="preserve">Chi sự nghiệp y tế </t>
  </si>
  <si>
    <t xml:space="preserve">Chi sự nghiệp văn hóa thông tin </t>
  </si>
  <si>
    <t xml:space="preserve">Chi sự nghiệp phát thanh truyền hình </t>
  </si>
  <si>
    <t>f</t>
  </si>
  <si>
    <t xml:space="preserve">Chi sự nghiệp thể dục thể thao </t>
  </si>
  <si>
    <t xml:space="preserve">Chi quản lý hành chánh </t>
  </si>
  <si>
    <t xml:space="preserve">Chi an ninh - quốc phòng  </t>
  </si>
  <si>
    <t xml:space="preserve">An ninh </t>
  </si>
  <si>
    <t xml:space="preserve">Quốc phòng </t>
  </si>
  <si>
    <t xml:space="preserve">Biên phòng </t>
  </si>
  <si>
    <t xml:space="preserve">Chi bổ sung cho ngân sách huyện, thành phố thuộc tỉnh </t>
  </si>
  <si>
    <t>Các nhiệm vụ chi Giáo dục - Đào tạo và dạy nghề</t>
  </si>
  <si>
    <t>Các nhiệm vụ chi sự nghiệp Khoa học và Công nghệ</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</si>
  <si>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</si>
  <si>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</si>
  <si>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</si>
  <si>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Thuế bảo vệ môi trường</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</si>
  <si>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</si>
  <si>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</si>
  <si>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</si>
  <si>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</si>
  <si>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</si>
  <si>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(I+II+III+IV)</t>
  </si>
  <si>
    <t>Các khoản thu 100 %</t>
  </si>
  <si>
    <t>Thu phân chia theo tỷ lệ phần trăm ( % )</t>
  </si>
  <si>
    <t>Chia ra</t>
  </si>
  <si>
    <t>Ngân sách cấp Tỉnh 
(1)</t>
  </si>
  <si>
    <t>Ngân sách huyện, thành phố</t>
  </si>
  <si>
    <t>Chi thường xuyên (3)</t>
  </si>
  <si>
    <t>Chi sự nghiệp giáo dục-đào tạo và dạy nghề</t>
  </si>
  <si>
    <t xml:space="preserve">Chi tạo nguồn, điều chỉnh tiền lương </t>
  </si>
  <si>
    <t>VIII</t>
  </si>
  <si>
    <t>Ghi chú:</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</si>
  <si>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</si>
  <si>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t>- Thu bổ sung cân đối ngân sách:</t>
  </si>
  <si>
    <r>
      <rPr>
        <b/>
        <sz val="14"/>
        <rFont val="Times New Roman"/>
        <family val="1"/>
      </rPr>
      <t>(2)</t>
    </r>
    <r>
      <rPr>
        <sz val="14"/>
        <rFont val="Times New Roman"/>
        <family val="1"/>
      </rPr>
      <t>- Đã bao gồm chi trả nợ gốc các khoản vay của ngân sách địa phương từ nguồn bội thu</t>
    </r>
  </si>
  <si>
    <t xml:space="preserve">Thu chuyển nguồn từ năm trước chuyển sang </t>
  </si>
  <si>
    <t>Tổng chi (I+II+III+IV)</t>
  </si>
  <si>
    <t>Chi từ nguồn ngân sách cấp Tỉnh bổ sung có mục tiêu</t>
  </si>
  <si>
    <t>Dự toán chi ngân sách huyện, thành phố</t>
  </si>
  <si>
    <t>(Kèm theo Nghị quyết số         /NQ-HĐND ngày     /12/2024 của Hội đồng nhân dân Tỉnh)</t>
  </si>
  <si>
    <t>(Kèm theo Nghị quyết số          /NQ-HĐND ngày      /12/2024 của Hội đồng nhân dân Tỉnh)</t>
  </si>
  <si>
    <t>Tổng thu ngân sách địa phương (I+II+III)</t>
  </si>
  <si>
    <t>Chi hoạt động sự nghiệp môi trường</t>
  </si>
  <si>
    <t>Chi sự nghiệp kinh tế</t>
  </si>
  <si>
    <t xml:space="preserve">Chi đảm bảo xã hội </t>
  </si>
  <si>
    <t xml:space="preserve">Chi Quốc phòng- An ninh  </t>
  </si>
  <si>
    <t>Kết quả phân bổ vốn đầu tư phát triển (phần chi cân đối ngân sách địa phương)</t>
  </si>
  <si>
    <t>Tổng mức chi đầu tư phát triển (phần cân đối ngân sách địa phương):</t>
  </si>
  <si>
    <t>Chi đầu tư giáo dục, đào tạo và dạy nghề</t>
  </si>
  <si>
    <t>Chi đầu tư y tế</t>
  </si>
  <si>
    <t>Tình hình huy động vốn đầu tư phát triển của ngân sách địa phương</t>
  </si>
  <si>
    <t>Kế hoạch vay nợ</t>
  </si>
  <si>
    <t>Kế hoạch trả nợ</t>
  </si>
  <si>
    <t>Tổng mức vốn huy động cho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</si>
  <si>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</si>
  <si>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</si>
  <si>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</si>
  <si>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Vay đầu tư tôn nền cụm, tuyến dân cư vùng lũ (giai đoạn 1)</t>
  </si>
  <si>
    <t>Trả nợ gốc từ nguồn bội thu</t>
  </si>
  <si>
    <t xml:space="preserve">b </t>
  </si>
  <si>
    <t>Vay đầu tư tôn nền cụm, tuyến dân cư vùng lũ (giai đoạn 2)</t>
  </si>
  <si>
    <t>Vay lại từ nguồn Chính phủ vay về cho vay lại</t>
  </si>
  <si>
    <t>Phát hành trái phiếu chính quyền địa phương</t>
  </si>
  <si>
    <t>UTH 2024</t>
  </si>
  <si>
    <t>ƯỚC THỰC HIỆN THU NSNN NĂM 2024 VÀ DỰ TOÁN THU NSNN NĂM 2025 
HUYỆN, THÀNH PHỐ</t>
  </si>
  <si>
    <t>Thu NSH không kể tiền sử dụng đất + (thu tại xã)</t>
  </si>
  <si>
    <t>DT25/ UTH24</t>
  </si>
  <si>
    <t>UTH24/ DT24</t>
  </si>
  <si>
    <t>Tăng thu UTH năm 2024 so với dự toán 2024 (không kể thu tiền sử dụng đất)</t>
  </si>
  <si>
    <t>Dành 70% tăng thu UTH năm 2024 so với dự toán 2024</t>
  </si>
  <si>
    <t>Tăng thu dự toán năm 2025 so với dự toán 2024 (không kể thu tiền sử dụng đất) + (thu tại xã)</t>
  </si>
  <si>
    <t>Dành 50% tăng thu dự toán năm 2025 so với dự toán 2024</t>
  </si>
  <si>
    <t>10% TIẾT KIỆM CHI THÊM THƯỜNG XUYÊN NĂM 2023</t>
  </si>
  <si>
    <t>Cơ quan, đơn vị, địa phương</t>
  </si>
  <si>
    <t>10% tiết kiệm chi thường xuyên năm 2024</t>
  </si>
  <si>
    <t>10% tiết kiệm chi thường xuyên năm 2023</t>
  </si>
  <si>
    <t>10% tiết kiệm tăng thêm chi thường xuyên năm 2023</t>
  </si>
  <si>
    <t>Chi hoạt động thường xuyên tăng thêm so với năm 2022</t>
  </si>
  <si>
    <t>Chi hoạt động thường xuyên tăng thêm so với năm 2024</t>
  </si>
  <si>
    <t>10% tiết kiệm tăng thêm chi thường xuyên năm 2024</t>
  </si>
  <si>
    <t>3=4+6</t>
  </si>
  <si>
    <t>6=5*10%</t>
  </si>
  <si>
    <t>Tổng số 12 huyện, thành phố</t>
  </si>
  <si>
    <t>Tổng cộng (I+II)</t>
  </si>
  <si>
    <t>Quyết định Bộ Tài chính giao</t>
  </si>
  <si>
    <t>Chênh lệch (III-IV)</t>
  </si>
  <si>
    <t>Tiền lương tăng thêm 2,340 triệu tháng (12 tháng)</t>
  </si>
  <si>
    <t>DỰ TOÁN (tiền lương tăng thêm 2,340 triệu đồng/tháng (Nếu có) và chính sách an sinh xã hội tăng thêm)</t>
  </si>
  <si>
    <t>DT2025/
DT2024
(Số tuyệt đối)</t>
  </si>
  <si>
    <t>DT2025/
DT2024
(Số tương đối)</t>
  </si>
  <si>
    <t>Tổng thu ngân sách huyện hưởng năm dự toán 2025/dự toán 2024</t>
  </si>
  <si>
    <t>DỰ TOÁN CHI NGÂN SÁCH CHO MỘT SỐ CHƯƠNG TRÌNH, DỰ ÁN, NHIỆM VỤ KHÁC QUAN TRỌNG NĂM 2025</t>
  </si>
  <si>
    <t>Bố trí chi sự nghiệp bảo vệ môi trường</t>
  </si>
  <si>
    <t>Dành 50% tăng thu dự toán 2025/dự toán 2024 để thực hiện CCTL</t>
  </si>
  <si>
    <t>Thực hiện năm 2023
(xác định theo mức chuẩn nghèo mới)</t>
  </si>
  <si>
    <t>Kinh phí thừa/thiếu (+/-) năm 2023</t>
  </si>
  <si>
    <t>Trong đó, Kinh phí đã giao trong định mức chi ngân sách huyện năm 2025</t>
  </si>
  <si>
    <t>Bổ sung dự toán 2025</t>
  </si>
  <si>
    <t>Dự kiến thực hiện năm 2024
(xác định theo mức chuẩn nghèo mới)</t>
  </si>
  <si>
    <t>Dự kiến năm 2025</t>
  </si>
  <si>
    <t>Đồng Tháp, ngày     tháng     năm 2024</t>
  </si>
  <si>
    <t>Các nhiệm vụ chi An ninh và Trật tự an toàn xã hội</t>
  </si>
  <si>
    <t>Các nhiệm vụ chi sự nghiệp y tế, dân số và gia đình</t>
  </si>
  <si>
    <t>Các nhiệm vụ chi sự nghiệp văn hóa thông tin</t>
  </si>
  <si>
    <t>Các nhiệm vụ chi sự nghiệp phát thanh truyền hình</t>
  </si>
  <si>
    <t>Các nhiệm vụ chi sự nghiệp thể dục thể thao</t>
  </si>
  <si>
    <t>Các nhiệm vụ chi sự nghiệp bảo vệ môi trường</t>
  </si>
  <si>
    <t>Các nhiệm vụ chi hoạt động kinh tế</t>
  </si>
  <si>
    <t>Các nhiệm vụ chi hoạt động quản lý nhà nước, đảng, đoàn thể</t>
  </si>
  <si>
    <t>Các nhiệm vụ chi đảm bảo xã hội</t>
  </si>
  <si>
    <t>Chi chú:</t>
  </si>
  <si>
    <t>+</t>
  </si>
  <si>
    <t>Nguồn thực hiện CCTL</t>
  </si>
  <si>
    <t>Nguồn thu phí, lệ phí, nguồn thu của đơn vị</t>
  </si>
  <si>
    <t>Nguồn tiết kiệm 10% dành CCTL</t>
  </si>
  <si>
    <t>Nguồn tiền lương còn thừa</t>
  </si>
  <si>
    <t>Cải cách tiền lương</t>
  </si>
  <si>
    <t>Kinh phí mua xe (nếu có)</t>
  </si>
  <si>
    <t>Kinh phí sửa, chữa trụ sở (nếu có)</t>
  </si>
  <si>
    <t>Kinh phí chưa có chủ trương, kế hoạch ngay khâu dự toán</t>
  </si>
  <si>
    <t>…….</t>
  </si>
  <si>
    <t>PHỤ LỤC I</t>
  </si>
  <si>
    <t>12 HUYỆN, THÀNH PHỐ</t>
  </si>
  <si>
    <t>Thu do cơ quan, tổ chức, đơn vị thuộc huyện, thành phố quản lý (2)</t>
  </si>
  <si>
    <t>Thu do cơ quan, tổ chức, đơn vị thuộc huyện, thành phố quản lý (3)</t>
  </si>
  <si>
    <t>Thu hoa lợi công sản, quỹ đất công ích,.... tại xã, phường, thị trấn</t>
  </si>
  <si>
    <t>TỶ LỆ PHẦN TRĂM PHÂN CHIA NGUỒN THU NGÂN SÁCH HUYỆN, THÀNH PHỐ</t>
  </si>
  <si>
    <t>Thuế giá trị gia tăng, thuế thu nhập doanh nghiệp, thuế thu nhập cá nhân (4)</t>
  </si>
  <si>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</si>
  <si>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</si>
  <si>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II</t>
  </si>
  <si>
    <t>Chi thường xuyên (2)</t>
  </si>
  <si>
    <t>Sự nghiệp giáo dục - đào tạo (3)</t>
  </si>
  <si>
    <r>
      <rPr>
        <b/>
        <sz val="14"/>
        <color theme="1"/>
        <rFont val="Times New Roman"/>
        <family val="1"/>
      </rPr>
      <t>(1): Trong đó:</t>
    </r>
    <r>
      <rPr>
        <sz val="14"/>
        <color theme="1"/>
        <rFont val="Times New Roman"/>
        <family val="1"/>
      </rPr>
      <t xml:space="preserve">
</t>
    </r>
  </si>
  <si>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</si>
  <si>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</si>
  <si>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r>
      <t xml:space="preserve">(2): Trong đó: </t>
    </r>
    <r>
      <rPr>
        <sz val="14"/>
        <color theme="1"/>
        <rFont val="Times New Roman"/>
        <family val="1"/>
      </rPr>
      <t xml:space="preserve">
</t>
    </r>
  </si>
  <si>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</si>
  <si>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t>(3): Trong đó:</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</si>
  <si>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</si>
  <si>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PHỤ LỤC III</t>
  </si>
  <si>
    <r>
      <t xml:space="preserve">Thuế giá trị gia tăng, thuế thu nhập doanh nghiệp, thuế thu nhập cá nhân </t>
    </r>
    <r>
      <rPr>
        <b/>
        <sz val="14"/>
        <rFont val="Times New Roman"/>
        <family val="1"/>
      </rPr>
      <t>(4)</t>
    </r>
  </si>
  <si>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</si>
  <si>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</si>
  <si>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0 Triệu đồng</t>
  </si>
  <si>
    <r>
      <rPr>
        <b/>
        <sz val="14"/>
        <color rgb="FF0000FF"/>
        <rFont val="Times New Roman"/>
        <family val="1"/>
      </rPr>
      <t>(1): Trong đó:</t>
    </r>
    <r>
      <rPr>
        <sz val="14"/>
        <color rgb="FF0000FF"/>
        <rFont val="Times New Roman"/>
        <family val="1"/>
      </rPr>
      <t xml:space="preserve">
</t>
    </r>
  </si>
  <si>
    <t>TỔNG HỢP KINH PHÍ THỰC HIỆN CÁC CHÍNH SÁCH, CHẾ ĐỘ NĂM 2024 -2025 BỔ SUNG CHO HUYỆN, THÀNH PHỐ</t>
  </si>
  <si>
    <t>Kinh phí bổ sung tăng thêm năm 2025</t>
  </si>
  <si>
    <t>Tổng nhu cầu kinh phí 2025</t>
  </si>
  <si>
    <t>Kinh phí còn thừa tại huyện, thành phố</t>
  </si>
  <si>
    <t>(Kèm theo Công văn số        /STC-QLNS ngày        tháng 9 năm 2024 của Sở Tài chính)</t>
  </si>
  <si>
    <t>NSTW</t>
  </si>
  <si>
    <t>NSĐP</t>
  </si>
  <si>
    <t>NST</t>
  </si>
  <si>
    <t>NSH</t>
  </si>
  <si>
    <t>THEO SỐ ĐỊA PHƯƠNG (TĂNG/GIẢM)</t>
  </si>
  <si>
    <t>Đối ứng kinh phí xây dựng Chương trình MTQG Xây dựng Nông thôn mới và Giảm nghèo Bền vững</t>
  </si>
  <si>
    <t>Kinh phí về chính sách hỗ trợ đầu tư phát triển du lịch trên địa bàn tỉnh Đồng Tháp theo Nghị quyết số 01/2022/NQ-HĐND ngày 24/3/2024 của Hội đồng nhân dân Tỉnh</t>
  </si>
  <si>
    <t>Kinh phí cấp bù chi phí hỏa táng theo Quyết định số 302/QĐ-UBND-HC ngày 15/11/2021 của Ủy ban nhân dân tỉnh Đồng Tháp</t>
  </si>
  <si>
    <t>DỰ TOÁN THU NSNN NĂM 2025 TRÊN ĐỊA BÀN HUYỆN, THÀNH PHỐ</t>
  </si>
  <si>
    <t>NGUỒN VÀ NHU CẦU KINH PHÍ ĐỂ THỰC HIỆN CẢI CÁCH TIỀN LƯƠNG CỦA HUYỆN, THÀNH PHỐ NĂM 2024-2025</t>
  </si>
  <si>
    <t>Ngân sách cấp tỉnh bổ sung thực hiện lương cơ sở đến 1.800.000 đồng/tháng (12 tháng năm 2024)</t>
  </si>
  <si>
    <t>Tổng chi quỹ lương do tăng tiền lương cơ sở 2.340.000 đồng/tháng (12 tháng năm 2025)</t>
  </si>
  <si>
    <t>50% tăng thu NSĐP dự toán năm 2025 so với năm năm 2024</t>
  </si>
  <si>
    <t>Tổng chi quỹ lương do tăng tiền lương cơ sở 2.340.000 đồng/tháng (12 tháng năm 2026)</t>
  </si>
  <si>
    <t>Bổ sung nguồn thực hiện điều chỉnh tiền lương cơ sở tăng thêm đến 1.800.000 đồng/tháng; 2.340.000 đồng/tháng (12 tháng)</t>
  </si>
  <si>
    <t>Các khoản chi thường xuyên</t>
  </si>
  <si>
    <t>Dự phòng</t>
  </si>
  <si>
    <t>Tỷ lệ dự phòng</t>
  </si>
  <si>
    <t>2,01%</t>
  </si>
  <si>
    <t>Chi hoạt động thường xuyên tăng thêm so với năm 2025</t>
  </si>
  <si>
    <t>10% tiết kiệm tăng thêm chi thường xuyên năm 2025</t>
  </si>
  <si>
    <t>10% tiết kiệm chi thường xuyên năm 2025</t>
  </si>
  <si>
    <t>ƯỚC THỰC HIỆN THU NGÂN SÁCH NHÀ NƯỚC NĂM 2022
DỰ TOÁN THU NGÂN SÁCH NHÀ NƯỚC NĂM 2023</t>
  </si>
  <si>
    <t xml:space="preserve">Đơn vị tính : Triệu đồng </t>
  </si>
  <si>
    <t>NỘI DUNG  THU</t>
  </si>
  <si>
    <t>DỰ TOÁN NĂM 2022</t>
  </si>
  <si>
    <t>ƯỚC THỰC HIỆN NĂM 2022</t>
  </si>
  <si>
    <t>DỰ TOÁN NĂM 2023</t>
  </si>
  <si>
    <t>ƯỚC THỰC HIỆN NĂM 2023</t>
  </si>
  <si>
    <t>DỰ KIẾN NĂM 2024</t>
  </si>
  <si>
    <t xml:space="preserve">NSĐP HƯỞNG </t>
  </si>
  <si>
    <t>% so với dự toán</t>
  </si>
  <si>
    <t>% so với ước thực hiện 2022</t>
  </si>
  <si>
    <t>% so dự toán năm 2023</t>
  </si>
  <si>
    <t>% so với UTH năm 2023</t>
  </si>
  <si>
    <t>% so với dự toán 2024</t>
  </si>
  <si>
    <t>% so với dự toán 2025</t>
  </si>
  <si>
    <t>4=6+7</t>
  </si>
  <si>
    <t>5=4/3</t>
  </si>
  <si>
    <t>7=8+9</t>
  </si>
  <si>
    <t>10=12+13</t>
  </si>
  <si>
    <t>11=10/4</t>
  </si>
  <si>
    <t>13=14+15</t>
  </si>
  <si>
    <t>17=16/10</t>
  </si>
  <si>
    <t>19=20+21</t>
  </si>
  <si>
    <t>23=22/16</t>
  </si>
  <si>
    <t>25=26+27</t>
  </si>
  <si>
    <t>Trong đó thu nội địa không kể tiền SDĐ, XSKT, CPH</t>
  </si>
  <si>
    <t>Thu từ DN có vốn ĐTNN</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</si>
  <si>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</si>
  <si>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</si>
  <si>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</si>
  <si>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</si>
  <si>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</si>
  <si>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ƯỚC THỰC HIỆN CHI NGÂN SÁCH ĐỊA PHƯƠNG NĂM 2023
DỰ TOÁN CHI NGÂN SÁCH ĐỊA PHƯƠNG NĂM 2024</t>
  </si>
  <si>
    <t>Đơn vị tính : Triệu đồng</t>
  </si>
  <si>
    <t>NỘI DUNG CHI</t>
  </si>
  <si>
    <t>ƯỚC THỰC HIỆN CHI NĂM 2022</t>
  </si>
  <si>
    <t>DỰ TOÁN CHI  NĂM 2023</t>
  </si>
  <si>
    <t>DỰ KIẾN CHI  NĂM 2024</t>
  </si>
  <si>
    <t>DỰ KIẾN CHI  NĂM 2025</t>
  </si>
  <si>
    <t>DỰ KIẾN CHI  NĂM 2026</t>
  </si>
  <si>
    <t>DỰ KIẾN CHI  NĂM 2027</t>
  </si>
  <si>
    <t>DỰ KIẾN CHI  NĂM 2028</t>
  </si>
  <si>
    <t>DỰ KIẾN CHI  NĂM 2029</t>
  </si>
  <si>
    <t>DỰ KIẾN CHI  NĂM 2030</t>
  </si>
  <si>
    <t>Tổng chi NSĐP</t>
  </si>
  <si>
    <t>Chi NS tỉnh</t>
  </si>
  <si>
    <t>Chi NS huyện, xã</t>
  </si>
  <si>
    <t>% so với DT 2022</t>
  </si>
  <si>
    <t>% so với DT 2023</t>
  </si>
  <si>
    <t>% so với DT 2024</t>
  </si>
  <si>
    <t>6=9+10</t>
  </si>
  <si>
    <t>8=6/3</t>
  </si>
  <si>
    <t>11=14+15</t>
  </si>
  <si>
    <t>13=11/3</t>
  </si>
  <si>
    <t>16=19+20</t>
  </si>
  <si>
    <t>18=16/11</t>
  </si>
  <si>
    <t>21=24+25</t>
  </si>
  <si>
    <t>23=21/16</t>
  </si>
  <si>
    <t>Tổng (A+B+C)</t>
  </si>
  <si>
    <t>Chi đầu tư từ nguồn thu XSKT</t>
  </si>
  <si>
    <t>Chi đầu tư từ nguồn thu CPH, thoái vốn DNĐP</t>
  </si>
  <si>
    <t>Chi từ nguồn dự kiến tăng thu sau khi dành CCTL theo quy định</t>
  </si>
  <si>
    <t>Chi từ nguồn NSTW bổ sung có mục tiêu</t>
  </si>
  <si>
    <t>Bổ sung các chính sách khác</t>
  </si>
  <si>
    <t>Ghi chú:(*): Đã bao gồm chi trả nợ gốc các khoản vay của NSĐP từ nguồn bội thu:</t>
  </si>
  <si>
    <t>triệu đồng</t>
  </si>
  <si>
    <t>Tỷ lệ 50% tăng thu so với dự toán thu năm trước</t>
  </si>
  <si>
    <t>tôn nền</t>
  </si>
  <si>
    <t>lãi</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</si>
  <si>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</si>
  <si>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</si>
  <si>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</si>
  <si>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</si>
  <si>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</si>
  <si>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</si>
  <si>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</si>
  <si>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</si>
  <si>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</si>
  <si>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</si>
  <si>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</si>
  <si>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</si>
  <si>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</si>
  <si>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</si>
  <si>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</si>
  <si>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</si>
  <si>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</si>
  <si>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</si>
  <si>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</si>
  <si>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</si>
  <si>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</si>
  <si>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</si>
  <si>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</si>
  <si>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</si>
  <si>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</si>
  <si>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</si>
  <si>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</si>
  <si>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</si>
  <si>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</si>
  <si>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</si>
  <si>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</si>
  <si>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</si>
  <si>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</si>
  <si>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</si>
  <si>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</si>
  <si>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</si>
  <si>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</si>
  <si>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</si>
  <si>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</si>
  <si>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Tăng (giảm) so năm 2021-2025</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</si>
  <si>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</si>
  <si>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</si>
  <si>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</si>
  <si>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</si>
  <si>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</si>
  <si>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</si>
  <si>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</si>
  <si>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</si>
  <si>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</si>
  <si>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viện trợ nếu có</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</si>
  <si>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</si>
  <si>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</si>
  <si>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</si>
  <si>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</si>
  <si>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</si>
  <si>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</si>
  <si>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</si>
  <si>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</si>
  <si>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</si>
  <si>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</si>
  <si>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</si>
  <si>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</si>
  <si>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</si>
  <si>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</si>
  <si>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</si>
  <si>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</si>
  <si>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</si>
  <si>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</si>
  <si>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</si>
  <si>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</si>
  <si>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</si>
  <si>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</si>
  <si>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</si>
  <si>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</si>
  <si>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</si>
  <si>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</si>
  <si>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</si>
  <si>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</si>
  <si>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</si>
  <si>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</si>
  <si>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</si>
  <si>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Các khoản thu nội địa còn lại</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</si>
  <si>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</si>
  <si>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</si>
  <si>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</si>
  <si>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</si>
  <si>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</si>
  <si>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</si>
  <si>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</si>
  <si>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</si>
  <si>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</si>
  <si>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</si>
  <si>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</si>
  <si>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</si>
  <si>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</si>
  <si>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</si>
  <si>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</si>
  <si>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</si>
  <si>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</si>
  <si>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</si>
  <si>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</si>
  <si>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</si>
  <si>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</si>
  <si>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</si>
  <si>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</si>
  <si>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</si>
  <si>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</si>
  <si>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</si>
  <si>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</si>
  <si>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</si>
  <si>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</si>
  <si>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</si>
  <si>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</si>
  <si>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</si>
  <si>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</si>
  <si>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</si>
  <si>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</si>
  <si>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</si>
  <si>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</si>
  <si>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</si>
  <si>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</si>
  <si>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</si>
  <si>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</si>
  <si>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</si>
  <si>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</si>
  <si>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</si>
  <si>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</si>
  <si>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</si>
  <si>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</si>
  <si>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</si>
  <si>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</si>
  <si>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</si>
  <si>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</si>
  <si>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</si>
  <si>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Ước thực hiện</t>
  </si>
  <si>
    <t>Tổng chi ngân sách địa phương (A+B)</t>
  </si>
  <si>
    <t>Chi XDCB tập trung vốn trong nước</t>
  </si>
  <si>
    <t>Chi XDCB từ nguồn thu tiền sử dụng đất</t>
  </si>
  <si>
    <t>Chi đầu tư từ nguồn vốn khác và hỗ trợ khác (từ nguồn thu CPH, thoái vốn DNĐP)</t>
  </si>
  <si>
    <t>Chi sự nghiệp y tế</t>
  </si>
  <si>
    <t>Chi sự nghiệp văn hoá- thông tin</t>
  </si>
  <si>
    <t>Chi sự nghiệp phát thanh truyền hình</t>
  </si>
  <si>
    <t>Chi đảm bảo xã hội</t>
  </si>
  <si>
    <t>Chi quản lý hành chính</t>
  </si>
  <si>
    <t>Chi an ninh- quốc phòng</t>
  </si>
  <si>
    <t>Chi chuyển nguồn cải cách tiền lương,…</t>
  </si>
  <si>
    <t>Chi từ nguồn dự kiến tăng thu sau khi thực hiện CCTL theo quy định</t>
  </si>
  <si>
    <t>Chi trả lãi nợ vay</t>
  </si>
  <si>
    <t>Chi Chương trình MTQG</t>
  </si>
  <si>
    <t>Chi thực hiện mục tiêu, nhiệm vụ quan trọng (Kinh phí XDCB)</t>
  </si>
  <si>
    <t>Chi thực hiện mục tiêu, nhiệm vụ quan trọng (Kinh phí sự nghiệp)</t>
  </si>
  <si>
    <t>Chi mục tiêu, nhiệm vụ khác</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</si>
  <si>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</si>
  <si>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</si>
  <si>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</si>
  <si>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</si>
  <si>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</si>
  <si>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</si>
  <si>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</si>
  <si>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</si>
  <si>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</si>
  <si>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</si>
  <si>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</si>
  <si>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</si>
  <si>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</si>
  <si>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</si>
  <si>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</si>
  <si>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</si>
  <si>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</si>
  <si>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</si>
  <si>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</si>
  <si>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</si>
  <si>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</si>
  <si>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</si>
  <si>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</si>
  <si>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</si>
  <si>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</si>
  <si>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</si>
  <si>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</si>
  <si>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</si>
  <si>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</si>
  <si>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</si>
  <si>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</si>
  <si>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</si>
  <si>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</si>
  <si>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</si>
  <si>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</si>
  <si>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</si>
  <si>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</si>
  <si>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</si>
  <si>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</si>
  <si>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</si>
  <si>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</si>
  <si>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</si>
  <si>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</si>
  <si>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</si>
  <si>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</si>
  <si>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</si>
  <si>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</si>
  <si>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</si>
  <si>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</si>
  <si>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ĐỊA PHƯƠNG NĂM 2021-2025; ĐỊNH HƯỚNG 2026</t>
  </si>
  <si>
    <t>DỰ TOÁN THU NSNN NĂM 2021 TRÊN ĐỊA BÀN HUYỆN, THÀNH PHỐ</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</si>
  <si>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</si>
  <si>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</si>
  <si>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</si>
  <si>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</si>
  <si>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</si>
  <si>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</si>
  <si>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</si>
  <si>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</si>
  <si>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</si>
  <si>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</si>
  <si>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2026</t>
  </si>
  <si>
    <t>Dự kiến 2027</t>
  </si>
  <si>
    <t>Dự kiến 2028</t>
  </si>
  <si>
    <t>Dự kiến 2029</t>
  </si>
  <si>
    <t>Dự kiến 2030</t>
  </si>
  <si>
    <t>Dự kiến 5 năm 2026-2030</t>
  </si>
  <si>
    <t>Mục tiêu, nhiệm vụ quan trọng (vốn XDCB)</t>
  </si>
  <si>
    <t>Bổ sung thực hiện mục tiêu, nhiệm vụ quan trọng (vốn sự nghiệp)</t>
  </si>
  <si>
    <t>Bổ sung nguồn thực hiện CCTL (nếu có); nguồn bổ sung có mục tiêu, nhiệm vụ khác</t>
  </si>
  <si>
    <t>BỘI CHI NSĐP/BỘI THU NSĐP</t>
  </si>
  <si>
    <t>TỔNG MỨC VAY, TRẢ NỢ CỦA NSĐP</t>
  </si>
  <si>
    <t>Trả nợ gốc vay của NSĐP</t>
  </si>
  <si>
    <t>Từ nguồn bội thu, tăng thu, tiết kiệm chi, kết dư ngân sách cấp tỉnh</t>
  </si>
  <si>
    <t>Tổng mức vay của NSĐP</t>
  </si>
  <si>
    <t>CÂN ĐỐI NGÂN SÁCH HUYỆN, THÀNH PHỐ NĂM 2020-2021</t>
  </si>
  <si>
    <t>CHI TỪ NGUỒN NSTW BỔ SUNG CÓ MỤC TIÊU 5 NĂM 2016-2020
DỰ KIẾN CHI TỪ NGUỒN NSTW BỔ SUNG CÓ MỤC TIÊU 5 NĂM 2021-2025</t>
  </si>
  <si>
    <t>ƯỚC THỰC HIỆN 2023</t>
  </si>
  <si>
    <t>DỰ KIẾN CHI NSĐP 5 NĂM 2021-2025</t>
  </si>
  <si>
    <t>Tăng/giảm gđ 2021-2025 so với gđ 2016-2020</t>
  </si>
  <si>
    <t>DỰ TOÁN 2026</t>
  </si>
  <si>
    <t>Chi thực hiện mục tiêu, nhiệm vụ quan trọng khác (XDCB)</t>
  </si>
  <si>
    <t>Chi thực hiện mục tiêu, nhiệm vụ quan trọng khác (Kinh phí sự nghiệp)</t>
  </si>
  <si>
    <t>Bổ sung mục tiêu khác</t>
  </si>
  <si>
    <t>Bình quân 1 năm (làm tròn)</t>
  </si>
  <si>
    <t>CÂN ĐỐI NGÂN SÁCH ĐỊA PHƯƠNG NĂM 2021-2025</t>
  </si>
  <si>
    <t>Sở Kế hoạch và Đầu tư đã trình</t>
  </si>
  <si>
    <t>Kế hoạch chi đầu tư phát triển 2021-2025</t>
  </si>
  <si>
    <t>Đã bố trí dự toán</t>
  </si>
  <si>
    <t>Chênh lệch giữa kế hoạch và số giao</t>
  </si>
  <si>
    <t>Dự kiến</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</si>
  <si>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</si>
  <si>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</si>
  <si>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</si>
  <si>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</si>
  <si>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</si>
  <si>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</si>
  <si>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</si>
  <si>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</si>
  <si>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r>
      <t>Điều chỉnh, BS (đợt 8)</t>
    </r>
    <r>
      <rPr>
        <sz val="10"/>
        <rFont val="Times New Roman"/>
        <family val="1"/>
      </rPr>
      <t xml:space="preserve"> (41/NQ-HĐND, 13/11/2023)</t>
    </r>
    <r>
      <rPr>
        <b/>
        <sz val="10"/>
        <rFont val="Times New Roman"/>
        <family val="1"/>
      </rPr>
      <t xml:space="preserve">
</t>
    </r>
    <r>
      <rPr>
        <sz val="10"/>
        <rFont val="Times New Roman"/>
        <family val="1"/>
      </rPr>
      <t/>
    </r>
  </si>
  <si>
    <r>
      <t>Điều chỉnh, BS (đợt 9)</t>
    </r>
    <r>
      <rPr>
        <sz val="10"/>
        <rFont val="Times New Roman"/>
        <family val="1"/>
      </rPr>
      <t xml:space="preserve"> (47/NQ-HĐND, 09/12/2023)</t>
    </r>
    <r>
      <rPr>
        <b/>
        <sz val="10"/>
        <rFont val="Times New Roman"/>
        <family val="1"/>
      </rPr>
      <t xml:space="preserve">
</t>
    </r>
    <r>
      <rPr>
        <sz val="10"/>
        <rFont val="Times New Roman"/>
        <family val="1"/>
      </rPr>
      <t/>
    </r>
  </si>
  <si>
    <t>Sở KHĐT Trình/Kế hoạch vốn 2021-2025</t>
  </si>
  <si>
    <t>Sở KHĐT Trình/Dự toán đã giao 2021-2024 và Dự kiến 2025</t>
  </si>
  <si>
    <t>3=2-1</t>
  </si>
  <si>
    <t>TỔNG CHI</t>
  </si>
  <si>
    <t>Tổng chi đầu tư phát triển (Chi cân đối ngân sách địa phương)</t>
  </si>
  <si>
    <t>Cấp tỉnh quản lý và phân bổ</t>
  </si>
  <si>
    <t>Cấp huyện quản lý và phân bổ</t>
  </si>
  <si>
    <t>Chi đầu từ nguồn thu tiền sử dụng đất</t>
  </si>
  <si>
    <t>Chi đầu tư từ nguồn vốn khác</t>
  </si>
  <si>
    <t>Chi đầu tư từ nguồn ngân sách trung ương bổ sung có mục tiêu</t>
  </si>
  <si>
    <t>Vốn đầu tư phát triển (Vốn trong nước)</t>
  </si>
  <si>
    <t>Bổ sung chương trình, dự án đầu năm</t>
  </si>
  <si>
    <t>Bổ sung chương trình, dự án trong năm</t>
  </si>
  <si>
    <t>Vốn đầu tư phát triển (Vốn ngoài nước)</t>
  </si>
  <si>
    <t>Chi đầu tư từ nguồn vốn vay</t>
  </si>
  <si>
    <t>Chi đầu tư từ nguồn tăng thu, tiết kiệm chi</t>
  </si>
  <si>
    <t>Tăng thu xổ số kiến thiết</t>
  </si>
  <si>
    <t>Tiết kiệm chi</t>
  </si>
  <si>
    <t>BIỂU TÍNH DỰ TOÁN CHI THƯỜNG XUYÊN NĂM 2022
 (THEO DỰ THẢO ĐỊNH MỨC PHÂN BỔ DỰ TOÁN CHI THƯỜNG XUYÊN NĂM 2022)</t>
  </si>
  <si>
    <t>TỈNH ĐỒNG THÁP</t>
  </si>
  <si>
    <t>Đơn vị: triệu đồng</t>
  </si>
  <si>
    <t>Dự toán 2021 xác định lại
(theo dự toán Tw giao)</t>
  </si>
  <si>
    <t>Dự toán 2022</t>
  </si>
  <si>
    <t>SO SÁNH DT 2022 VÀ DT 2021</t>
  </si>
  <si>
    <t>Chỉ tiêu cơ bản</t>
  </si>
  <si>
    <t>Định mức</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</si>
  <si>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</si>
  <si>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</si>
  <si>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</si>
  <si>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</si>
  <si>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</si>
  <si>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</si>
  <si>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</si>
  <si>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</si>
  <si>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</si>
  <si>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Sự nghiệp giáo dục:</t>
  </si>
  <si>
    <t>Phân bổ theo định mức dân số từ 1 - 18 tuổi</t>
  </si>
  <si>
    <t>Đô thị</t>
  </si>
  <si>
    <t>Đồng bằng (vùng khác còn lại)</t>
  </si>
  <si>
    <t>Núi thấp-vùng sâu (vùng khó khăn)</t>
  </si>
  <si>
    <t>Núi cao-hải đảo (vùng đặc biệt khó khăn)</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</si>
  <si>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</si>
  <si>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</si>
  <si>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</si>
  <si>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</si>
  <si>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</si>
  <si>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</si>
  <si>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</si>
  <si>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</si>
  <si>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</si>
  <si>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</si>
  <si>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</si>
  <si>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</si>
  <si>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</si>
  <si>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</si>
  <si>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</si>
  <si>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</si>
  <si>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</si>
  <si>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</si>
  <si>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</si>
  <si>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</si>
  <si>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</si>
  <si>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</si>
  <si>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</si>
  <si>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</si>
  <si>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Chi sự nghiệp đào tạo:</t>
  </si>
  <si>
    <t>Phân bổ theo định mức dân số (dân số trừ 18 tuổi trở xuống):</t>
  </si>
  <si>
    <t>Phân bổ theo định mức dân số</t>
  </si>
  <si>
    <t>Kinh phí mua BHYT cho trẻ em dưới 6 tuổi (năm 2021)</t>
  </si>
  <si>
    <t>Kinh phí mua BHYT cho người nghèo (năm 2021)</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</si>
  <si>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</si>
  <si>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</si>
  <si>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</si>
  <si>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</si>
  <si>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</si>
  <si>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</si>
  <si>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</si>
  <si>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</si>
  <si>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</si>
  <si>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</si>
  <si>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</si>
  <si>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</si>
  <si>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</si>
  <si>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</si>
  <si>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</si>
  <si>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</si>
  <si>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</si>
  <si>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</si>
  <si>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</si>
  <si>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</si>
  <si>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</si>
  <si>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</si>
  <si>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</si>
  <si>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</si>
  <si>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</si>
  <si>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</si>
  <si>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</si>
  <si>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</si>
  <si>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</si>
  <si>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</si>
  <si>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</si>
  <si>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</si>
  <si>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</si>
  <si>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</si>
  <si>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</si>
  <si>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</si>
  <si>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</si>
  <si>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</si>
  <si>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</si>
  <si>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</si>
  <si>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</si>
  <si>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</si>
  <si>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</si>
  <si>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</si>
  <si>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</si>
  <si>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</si>
  <si>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</si>
  <si>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</si>
  <si>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</si>
  <si>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</si>
  <si>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</si>
  <si>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</si>
  <si>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</si>
  <si>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</si>
  <si>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</si>
  <si>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</si>
  <si>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</si>
  <si>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</si>
  <si>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8.1</t>
  </si>
  <si>
    <t>8.2</t>
  </si>
  <si>
    <t>Phân bổ theo số huyện, xã biên giới, hải đảo</t>
  </si>
  <si>
    <t>Xã biên giới đất liền</t>
  </si>
  <si>
    <t>Xã biên giới đất liền tiếp giáp với 2 tỉnh bạn trở lên</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</si>
  <si>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</si>
  <si>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</si>
  <si>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</si>
  <si>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</si>
  <si>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</si>
  <si>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</si>
  <si>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</si>
  <si>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</si>
  <si>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</si>
  <si>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</si>
  <si>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</si>
  <si>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</si>
  <si>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 loại II</t>
  </si>
  <si>
    <t>Đô thị loại III</t>
  </si>
  <si>
    <t>Đô thị loại IV</t>
  </si>
  <si>
    <t>Đô thị loại V</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</si>
  <si>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</si>
  <si>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</si>
  <si>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</si>
  <si>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</si>
  <si>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</si>
  <si>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</si>
  <si>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</si>
  <si>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</si>
  <si>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</si>
  <si>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</si>
  <si>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</si>
  <si>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</si>
  <si>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</si>
  <si>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</si>
  <si>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</si>
  <si>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</si>
  <si>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</si>
  <si>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</si>
  <si>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</si>
  <si>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</si>
  <si>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</si>
  <si>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</si>
  <si>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</si>
  <si>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</si>
  <si>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</si>
  <si>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</si>
  <si>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</si>
  <si>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</si>
  <si>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</si>
  <si>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</si>
  <si>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2023
DỰ TOÁN THU NGÂN SÁCH NHÀ NƯỚC NĂM 2024</t>
  </si>
  <si>
    <t>THỰC HIỆN 7 THÁNG ĐẦU NĂM 2022</t>
  </si>
  <si>
    <t>THỰC HIỆN 8 THÁNG ĐẦU NĂM 2023</t>
  </si>
  <si>
    <t>7 tháng đầu so với dự toán (%)</t>
  </si>
  <si>
    <t>UTH NĂM 2023</t>
  </si>
  <si>
    <t>UTH 2023/
DT2023(%)</t>
  </si>
  <si>
    <t>DỰ TOÁN NĂM 2024 (Số kiểm tra của BTC)</t>
  </si>
  <si>
    <t>DỰ TOÁN NĂM 2024 (ĐP)</t>
  </si>
  <si>
    <t>Chênh lệch giữa DT2024-BTC với DT2024-ĐP</t>
  </si>
  <si>
    <t>So sánh năm 2024/UTH 2023 (%)</t>
  </si>
  <si>
    <t>Ngân sách trung ương</t>
  </si>
  <si>
    <t>Ngân sách địa phương</t>
  </si>
  <si>
    <t>ĐP</t>
  </si>
  <si>
    <t>BTC</t>
  </si>
  <si>
    <t>6=5/4</t>
  </si>
  <si>
    <t>8=7/4</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</si>
  <si>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</si>
  <si>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</si>
  <si>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</si>
  <si>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</si>
  <si>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</si>
  <si>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</si>
  <si>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</si>
  <si>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cổ phần hóa, thoái vốn DNNN ĐP</t>
  </si>
  <si>
    <t>Các khoảng thu còn lại</t>
  </si>
  <si>
    <t>Dành 50% dự toán 2024/2023 thực hiện CCTL</t>
  </si>
  <si>
    <t>Bố trí chi 50% còn lại</t>
  </si>
  <si>
    <t>SO SÁNH ƯỚC THỰC HIỆN THU NGÂN SÁCH NHÀ NƯỚC NĂM 2023
DỰ TOÁN THU NGÂN SÁCH NHÀ NƯỚC NĂM 2024</t>
  </si>
  <si>
    <t>SS UTH 2023/
DT2023</t>
  </si>
  <si>
    <t>SS DT2024/UTH2023</t>
  </si>
  <si>
    <t>SS DT2024/DT2023</t>
  </si>
  <si>
    <t>(+/-)</t>
  </si>
  <si>
    <t>13=8/3</t>
  </si>
  <si>
    <t>14=8-3</t>
  </si>
  <si>
    <t>15=16+17</t>
  </si>
  <si>
    <t>17=18+19</t>
  </si>
  <si>
    <t>20=15/8</t>
  </si>
  <si>
    <t>21=15-8</t>
  </si>
  <si>
    <t>22=15/3</t>
  </si>
  <si>
    <t>23=15-3</t>
  </si>
  <si>
    <t>Bổ sung nguồn thực hiện CCTL (nếu có); đảm bảo nhiệm vụ chi</t>
  </si>
  <si>
    <t>TỔNG THU NSĐP (A+B+C+D)</t>
  </si>
  <si>
    <t>TỔNG CHI NSĐP (I+II+III+IV)</t>
  </si>
  <si>
    <t>Trong đó: Chi sự nghiệp Giáo dục-Đào tạo</t>
  </si>
  <si>
    <t xml:space="preserve">                Chi sự nghiệp Khoa học-Công nghệ</t>
  </si>
  <si>
    <t xml:space="preserve">                Các khoản còn lại</t>
  </si>
  <si>
    <t>ƯỚC THỰC HIỆN THU NGÂN SÁCH NHÀ NƯỚC NĂM 2023
DỰ TOÁN THU NGÂN SÁCH NHÀ NƯỚC 03 NĂM 2024-2026</t>
  </si>
  <si>
    <t xml:space="preserve">ĐVT: Triệu đồng </t>
  </si>
  <si>
    <t>% so với dự toán 2023</t>
  </si>
  <si>
    <t>ƯỚC THỰC HIỆN CHI NGÂN SÁCH ĐỊA PHƯƠNG NĂM 2023
DỰ TOÁN CHI NGÂN SÁCH ĐỊA PHƯƠNG 03 NĂM 2024-2026</t>
  </si>
  <si>
    <t>ƯỚC THỰC HIỆN CHI NĂM 2023</t>
  </si>
  <si>
    <t>DỰ KIẾN CHI NĂM 2025</t>
  </si>
  <si>
    <t>DỰ KIẾN CHI NĂM 2026</t>
  </si>
  <si>
    <t>% so với DT 2025</t>
  </si>
  <si>
    <t>Sở y tế</t>
  </si>
  <si>
    <t>Chi điều chỉnh tiền lương cơ sở</t>
  </si>
  <si>
    <t>CÂN ĐỐI NGÂN SÁCH ĐỊA PHƯƠNG NĂM 2024-2026</t>
  </si>
  <si>
    <t>Ước thực hiện năm 2023</t>
  </si>
  <si>
    <t>Dự kiến 3 năm 2024-2026</t>
  </si>
  <si>
    <t>Thu ngân sách địa phương  (I+2b-2b1-2b2+II)</t>
  </si>
  <si>
    <t>Các khoản thu cân đối NSĐP (1+2a+2b1+2b2+3)</t>
  </si>
  <si>
    <t>CÂN ĐỐI NGÂN SÁCH ĐỊA PHƯƠNG NĂM 2024-2026
(không kể thu chi điều chỉnh giữa các cấp ngân sách địa phương)</t>
  </si>
  <si>
    <t>Dự toán 2023</t>
  </si>
  <si>
    <t>ƯTH 2023</t>
  </si>
  <si>
    <t>Dự kiến 2025</t>
  </si>
  <si>
    <t>KHTC-NSNN 03 NĂM 2024-2026</t>
  </si>
  <si>
    <t>Tăng/giảm thu UTH2022/DT 2022</t>
  </si>
  <si>
    <t>Tăng/giảm thu DT2023/DT 2022</t>
  </si>
  <si>
    <t>Tăng/giảm thu DK2024/DT 2023</t>
  </si>
  <si>
    <t>Tăng/giảm thu DK2025/DK 2024</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</si>
  <si>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</si>
  <si>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</si>
  <si>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</si>
  <si>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</si>
  <si>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</si>
  <si>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</si>
  <si>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Thu CPH, thoái vốn DNĐP</t>
  </si>
  <si>
    <t xml:space="preserve">                 Các khoản thu còn lại</t>
  </si>
  <si>
    <t xml:space="preserve"> +Tăng/giảm thu (+/-) không kể tiền sử dụng đất, XSKT, thu CPH</t>
  </si>
  <si>
    <t xml:space="preserve"> +Tạo nguồn làm lương từ nguồn tăng thu</t>
  </si>
  <si>
    <t>Phần chi NSĐP</t>
  </si>
  <si>
    <t>Chi cân đối NSĐP</t>
  </si>
  <si>
    <t>Chi XDCB tập trung</t>
  </si>
  <si>
    <t>Vốn từ nguồn thu tiền sử dụng đất</t>
  </si>
  <si>
    <t xml:space="preserve"> +Còn lại</t>
  </si>
  <si>
    <t>Trong đó: Chi sự nghiệp GD-ĐT</t>
  </si>
  <si>
    <t xml:space="preserve">                Chi SN KH-CN</t>
  </si>
  <si>
    <t>Bố trí 50% tăng thu</t>
  </si>
  <si>
    <t xml:space="preserve">Chi từ nguồn NSTW bổ sung có mục tiêu </t>
  </si>
  <si>
    <t>CÂN ĐỐI NGÂN SÁCH ĐỊA PHƯƠNG NĂM 2023-2024
(không kể thu chi điều chỉnh giữa các cấp ngân sách địa phương)</t>
  </si>
  <si>
    <t>KHTC-NSNN 03 NĂM 2023-2025</t>
  </si>
  <si>
    <t>Thu Ngân sách địa phương được hưởng</t>
  </si>
  <si>
    <t>Trong đó: thu cân đối ngân sách địa phương</t>
  </si>
  <si>
    <t>Thu cân đối ngân sách địa phương không kể tiền sử dụng đất; thu xổ số kiến thiết</t>
  </si>
  <si>
    <t xml:space="preserve">                  Thu từ xổ số kiến thiết</t>
  </si>
  <si>
    <t xml:space="preserve">                  Thu cổ phần hóa, thoái vốn doanh nghiệp nhà nước địa phương quản lý  </t>
  </si>
  <si>
    <t xml:space="preserve">                  Các khoản thu còn lại</t>
  </si>
  <si>
    <t>Thu chuyển nguồn làm lương</t>
  </si>
  <si>
    <t>Phần chi ngân sách địa phương</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</si>
  <si>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</si>
  <si>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</si>
  <si>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</si>
  <si>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</si>
  <si>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</si>
  <si>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</si>
  <si>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Thuyết minh tỷ lệ tăng giảm</t>
  </si>
  <si>
    <t>Tỷ lệ tăng thu cân đối NSĐP (không kể XSKT…)</t>
  </si>
  <si>
    <t>Tỷ lệ bố trí CCTL 50% dự toán</t>
  </si>
  <si>
    <t>Tỷ lệ bố trí 50% Dự toán còn lại cho các lĩnh vực</t>
  </si>
  <si>
    <t>Đơn vị tính: %</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</si>
  <si>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</si>
  <si>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</si>
  <si>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</si>
  <si>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</si>
  <si>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</si>
  <si>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</si>
  <si>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</si>
  <si>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 tại xã, phường, thị trấn</t>
  </si>
  <si>
    <t>Thuế GTGT</t>
  </si>
  <si>
    <t>Thuế TNDN</t>
  </si>
  <si>
    <t>Thuế TTĐB</t>
  </si>
  <si>
    <t>Thu khác NQD</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</si>
  <si>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</si>
  <si>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</si>
  <si>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</si>
  <si>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</si>
  <si>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</si>
  <si>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</si>
  <si>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</si>
  <si>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</si>
  <si>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</si>
  <si>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</si>
  <si>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</si>
  <si>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</si>
  <si>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</si>
  <si>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</si>
  <si>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</si>
  <si>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</si>
  <si>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</si>
  <si>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</si>
  <si>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</si>
  <si>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</si>
  <si>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</si>
  <si>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</si>
  <si>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</si>
  <si>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</si>
  <si>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</si>
  <si>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</si>
  <si>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</si>
  <si>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</si>
  <si>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</si>
  <si>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</si>
  <si>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</si>
  <si>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</si>
  <si>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</si>
  <si>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</si>
  <si>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</si>
  <si>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</si>
  <si>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</si>
  <si>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</si>
  <si>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</si>
  <si>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</si>
  <si>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</si>
  <si>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</si>
  <si>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</si>
  <si>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</si>
  <si>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</si>
  <si>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</si>
  <si>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</si>
  <si>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</si>
  <si>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</si>
  <si>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</si>
  <si>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</si>
  <si>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</si>
  <si>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</si>
  <si>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</si>
  <si>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</si>
  <si>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</si>
  <si>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</si>
  <si>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</si>
  <si>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</si>
  <si>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</si>
  <si>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</si>
  <si>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</si>
  <si>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</si>
  <si>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</si>
  <si>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</si>
  <si>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</si>
  <si>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</si>
  <si>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</si>
  <si>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</si>
  <si>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</si>
  <si>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</si>
  <si>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</si>
  <si>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</si>
  <si>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</si>
  <si>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</si>
  <si>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</si>
  <si>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</si>
  <si>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</si>
  <si>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</si>
  <si>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</si>
  <si>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</si>
  <si>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</si>
  <si>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</si>
  <si>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</si>
  <si>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</si>
  <si>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</si>
  <si>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</si>
  <si>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</si>
  <si>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</si>
  <si>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</si>
  <si>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</si>
  <si>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</si>
  <si>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</si>
  <si>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</si>
  <si>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</si>
  <si>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</si>
  <si>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</si>
  <si>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</si>
  <si>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</si>
  <si>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</si>
  <si>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</si>
  <si>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</si>
  <si>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</si>
  <si>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</si>
  <si>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</si>
  <si>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</si>
  <si>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</si>
  <si>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</si>
  <si>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</si>
  <si>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</si>
  <si>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</si>
  <si>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</si>
  <si>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</si>
  <si>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</si>
  <si>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</si>
  <si>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</si>
  <si>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</si>
  <si>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</si>
  <si>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</si>
  <si>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</si>
  <si>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</si>
  <si>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</si>
  <si>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</si>
  <si>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</si>
  <si>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</si>
  <si>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</si>
  <si>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</si>
  <si>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</si>
  <si>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</si>
  <si>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</si>
  <si>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</si>
  <si>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</si>
  <si>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</si>
  <si>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</si>
  <si>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</si>
  <si>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</si>
  <si>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</si>
  <si>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</si>
  <si>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</si>
  <si>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</si>
  <si>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</si>
  <si>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</si>
  <si>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</si>
  <si>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</si>
  <si>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</si>
  <si>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</si>
  <si>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</si>
  <si>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</si>
  <si>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</si>
  <si>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</si>
  <si>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</si>
  <si>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</si>
  <si>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</si>
  <si>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</si>
  <si>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</si>
  <si>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</si>
  <si>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</si>
  <si>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</si>
  <si>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</si>
  <si>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</si>
  <si>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</si>
  <si>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</si>
  <si>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</si>
  <si>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</si>
  <si>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</si>
  <si>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</si>
  <si>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</si>
  <si>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Báo cáo Trung ương</t>
  </si>
  <si>
    <t>Báo cáo địa phương</t>
  </si>
  <si>
    <t>Kết quả Phân bổ</t>
  </si>
  <si>
    <t>Công Khai NSNN1</t>
  </si>
  <si>
    <t>Phụ lục 1-CKNS</t>
  </si>
  <si>
    <t>Phụ lục 2-CKNS</t>
  </si>
  <si>
    <t>Phụ lục 3-CKNS</t>
  </si>
  <si>
    <t>Phụ lục 4-CKNS</t>
  </si>
  <si>
    <t>Phụ lục 5-CKNS</t>
  </si>
  <si>
    <t>Phụ lục 6-CKNS</t>
  </si>
  <si>
    <t>Phụ lục 7-CKNS</t>
  </si>
  <si>
    <t>Phụ lục 8-CKNS</t>
  </si>
  <si>
    <t>Phụ lục 9-CKNS</t>
  </si>
  <si>
    <t>Phụ lục 10-CKNS</t>
  </si>
  <si>
    <t>Phụ lục 1-KQPB</t>
  </si>
  <si>
    <t>Phụ lục 2-KQPB</t>
  </si>
  <si>
    <t>Phụ lục 3-KQPB</t>
  </si>
  <si>
    <t>Phụ lục 4-KQPB</t>
  </si>
  <si>
    <t>Phụ lục 5-KQPB</t>
  </si>
  <si>
    <t>Phụ lục 1-HĐND</t>
  </si>
  <si>
    <t>Phụ lục 2-HĐND</t>
  </si>
  <si>
    <t>Phụ lục 3-HĐND</t>
  </si>
  <si>
    <t>Phụ lục 4-HĐND</t>
  </si>
  <si>
    <t>Phụ lục 5-HĐND</t>
  </si>
  <si>
    <t>Phụ lục 6-HĐND</t>
  </si>
  <si>
    <t>Phụ lục 7-HĐND</t>
  </si>
  <si>
    <t>Phụ lục 8-HĐND</t>
  </si>
  <si>
    <t>Phụ lục 9-HĐND</t>
  </si>
  <si>
    <t>Phụ lục 10-HĐND</t>
  </si>
  <si>
    <t>Quyết định giao dự toán huyện, thành phố</t>
  </si>
  <si>
    <t>H. Lai vung</t>
  </si>
  <si>
    <t>Số Phụ lục</t>
  </si>
  <si>
    <t>Tên file</t>
  </si>
  <si>
    <t>Công khai NSNN</t>
  </si>
  <si>
    <t>Số biểu</t>
  </si>
  <si>
    <t>Biểu 33-CK-NSNN</t>
  </si>
  <si>
    <t>Dự toán trình HĐND</t>
  </si>
  <si>
    <t>Biểu 34-CK-NSNN</t>
  </si>
  <si>
    <t>Biểu 35-CK-NSNN</t>
  </si>
  <si>
    <t>Biểu 36-CK-NSNN</t>
  </si>
  <si>
    <t>Biểu 37-CK-NSNN</t>
  </si>
  <si>
    <t>Biểu 38-CK-NSNN</t>
  </si>
  <si>
    <t>Biểu 39-CK-NSNN</t>
  </si>
  <si>
    <t>Biểu 40-CK-NSNN</t>
  </si>
  <si>
    <t>Biểu 41-CK-NSNN</t>
  </si>
  <si>
    <t>Biểu 42-CK-NSNN</t>
  </si>
  <si>
    <t>Biểu 43-CK-NSNN</t>
  </si>
  <si>
    <t>Biểu 44-CK-NSNN</t>
  </si>
  <si>
    <t>Biểu 45-CK-NSNN</t>
  </si>
  <si>
    <t xml:space="preserve">Biểu 46-CK-NSNN </t>
  </si>
  <si>
    <t>Biểu 47-CK-NSNN</t>
  </si>
  <si>
    <t>Biểu 48-CK-NSNN</t>
  </si>
  <si>
    <t>Biểu 49-CK-NSNN</t>
  </si>
  <si>
    <t>Biểu 50-CK-NSNN</t>
  </si>
  <si>
    <t>Biểu 51-CK-NSNN</t>
  </si>
  <si>
    <t xml:space="preserve">Biểu 52-CK-NSNN </t>
  </si>
  <si>
    <t xml:space="preserve">Biểu 53-CK-NSNN </t>
  </si>
  <si>
    <t>Biểu 54-CK-NSNN</t>
  </si>
  <si>
    <t>Biểu 55-CK-NSNN</t>
  </si>
  <si>
    <t>Biểu 56-CK-NSNN</t>
  </si>
  <si>
    <t>Biểu 57-CK-NSNN</t>
  </si>
  <si>
    <t>Số PL</t>
  </si>
  <si>
    <t>Phụ lục số 1</t>
  </si>
  <si>
    <t>Phụ lục số 2</t>
  </si>
  <si>
    <t>Phụ lục số 4</t>
  </si>
  <si>
    <t>Phụ lục số 5</t>
  </si>
  <si>
    <t>Phụ lục số 6</t>
  </si>
  <si>
    <t>Phụ lục số 7</t>
  </si>
  <si>
    <t>Phụ lục số 8</t>
  </si>
  <si>
    <t>Phụ lục số 9</t>
  </si>
  <si>
    <t>Phụ lục số 10</t>
  </si>
  <si>
    <t>Ước thực hiện chi-dự toán chi năm…</t>
  </si>
  <si>
    <t>Ước thực hiện thu-dự toán thu năm…</t>
  </si>
  <si>
    <t>Phụ lục số 3-CĐC</t>
  </si>
  <si>
    <t>Cân đối chung</t>
  </si>
  <si>
    <t>Phụ lục số 3-CĐC (-BS)</t>
  </si>
  <si>
    <t>Cân đối chung - (không kể BSMT)</t>
  </si>
  <si>
    <t xml:space="preserve">Cân đối ngân sách cấp </t>
  </si>
  <si>
    <t>Dự toán chi NS cấp tỉnh từng lĩnh vực</t>
  </si>
  <si>
    <t>Dự toán chi từ NSTW bổ sung</t>
  </si>
  <si>
    <t>Dự toán thu ngân sách huyện</t>
  </si>
  <si>
    <t>Dự toán chi ngân sách huyện</t>
  </si>
  <si>
    <t>Dự toán chi cân đối ngân sách huyện</t>
  </si>
  <si>
    <t>Dự toán chi từ nguồn NS Tỉnh bổ sung có mục tiêu</t>
  </si>
  <si>
    <t>PHỤ LỤC BÁO CÁO</t>
  </si>
  <si>
    <t>PHỤ LỤC THẨM ĐỊNH</t>
  </si>
  <si>
    <t>Phụ lục số 3.1</t>
  </si>
  <si>
    <t>Phân bổ</t>
  </si>
  <si>
    <t>Phụ lục số 7.1</t>
  </si>
  <si>
    <t>Nhập số liệu thu</t>
  </si>
  <si>
    <t>Phụ lục số 7.2</t>
  </si>
  <si>
    <t>Tiền sử dụng đất - tiền thuê đất</t>
  </si>
  <si>
    <t>Phụ lục số 8.1</t>
  </si>
  <si>
    <t>Phụ lục số 8.2</t>
  </si>
  <si>
    <t>Phụ lục số 8.3</t>
  </si>
  <si>
    <t>Chế độ chính sách</t>
  </si>
  <si>
    <t>Phụ lục số 8.4</t>
  </si>
  <si>
    <t>Tiết kiệm 10% ngân sách huyện</t>
  </si>
  <si>
    <t>Phụ lục số 9.1</t>
  </si>
  <si>
    <t>Cân đối thu-chi ngân sách huyện</t>
  </si>
  <si>
    <t>Cân đối ngân sách - huyện (nhập cân đối tỷ lệ)</t>
  </si>
  <si>
    <t>File NQ-HĐND Phê chuẩn</t>
  </si>
  <si>
    <t>KT-XH GĐ</t>
  </si>
  <si>
    <t>Kinh tế xã hội giai đoạn</t>
  </si>
  <si>
    <t>KT-XH N..</t>
  </si>
  <si>
    <t>Kinh tế xã hội năm</t>
  </si>
  <si>
    <t>Phụ lục số I</t>
  </si>
  <si>
    <t>Ước thực hiện - dự toán thu</t>
  </si>
  <si>
    <t>Phụ lục số II</t>
  </si>
  <si>
    <t>Ước thực hiện - dự toán chi</t>
  </si>
  <si>
    <t>CĐC</t>
  </si>
  <si>
    <t>Phụ lục số III-CĐC</t>
  </si>
  <si>
    <t>Phụ lục số III-CĐC-(BS)</t>
  </si>
  <si>
    <t>CĐC trừ BS</t>
  </si>
  <si>
    <t>Phụ lục số IV</t>
  </si>
  <si>
    <t>Tổng hợp Chế độ chính sách</t>
  </si>
  <si>
    <t>Phụ lục số IVa</t>
  </si>
  <si>
    <t>Phụ lục số IVb</t>
  </si>
  <si>
    <t>Phụ lục số IVd</t>
  </si>
  <si>
    <t>Phụ lục số IVk</t>
  </si>
  <si>
    <t>Phụ lục số IVl</t>
  </si>
  <si>
    <t>Phụ lục số IVm</t>
  </si>
  <si>
    <t>Phụ lục số IVn</t>
  </si>
  <si>
    <t>Chế độ chính Miễn giảm, cấp bù học phí</t>
  </si>
  <si>
    <t>Chính sách giáo dục mầm non 105</t>
  </si>
  <si>
    <t>Chính sách học sinh khuyết tật</t>
  </si>
  <si>
    <t>Chính sách BHYT</t>
  </si>
  <si>
    <t>Chính sách Bảo trợ xã hội</t>
  </si>
  <si>
    <t>Chính sách tiền điện hộ nghèo</t>
  </si>
  <si>
    <t>Chính sách BHXH tự nguyện</t>
  </si>
  <si>
    <t>Phụ lục số V</t>
  </si>
  <si>
    <t>CCTL</t>
  </si>
  <si>
    <t>Phụ lục số VI</t>
  </si>
  <si>
    <t>Dự phòng, Dự trữ</t>
  </si>
  <si>
    <t>Phụ lục số VII</t>
  </si>
  <si>
    <t>Vay nợ</t>
  </si>
  <si>
    <t>Phụ lục số VIII</t>
  </si>
  <si>
    <t>Quỹ tài chính</t>
  </si>
  <si>
    <t>Biểu Nợ vay</t>
  </si>
  <si>
    <t>Biểu mẫu số 03</t>
  </si>
  <si>
    <t>Rút vốn vay - tiến độ</t>
  </si>
  <si>
    <t>PHỤ LỤC GIAI ĐOẠN THEO DÕI TỔNG HỢP</t>
  </si>
  <si>
    <t>PL-Chi thường xuyên</t>
  </si>
  <si>
    <t>Định mức chi thường xuyên</t>
  </si>
  <si>
    <t>Phụ lục số IX</t>
  </si>
  <si>
    <t>Phụ lục số X</t>
  </si>
  <si>
    <t>Phụ lục số XI</t>
  </si>
  <si>
    <t>Phụ lục số XII</t>
  </si>
  <si>
    <t>Phụ lục số XIII</t>
  </si>
  <si>
    <t>Phụ lục thu 03 năm</t>
  </si>
  <si>
    <t>Phụ lục chi 03 năm</t>
  </si>
  <si>
    <t>Phụ lục cân đối 03 năm chung</t>
  </si>
  <si>
    <t>Phụ lục cân đối 03 năm - BS</t>
  </si>
  <si>
    <t>Phụ lục KTXH năm</t>
  </si>
  <si>
    <t>SosanhThuTW-ĐP</t>
  </si>
  <si>
    <t>Thu trung ương - địa phương</t>
  </si>
  <si>
    <t>SoanhTW-ĐP</t>
  </si>
  <si>
    <t xml:space="preserve">Thu chi trung ương - địa phương </t>
  </si>
  <si>
    <t>Thu 03 năm</t>
  </si>
  <si>
    <t>Chi 03 năm</t>
  </si>
  <si>
    <t>CĐ 03 năm</t>
  </si>
  <si>
    <t>CĐC 03 năm</t>
  </si>
  <si>
    <t>CĐC 03 năm - BS</t>
  </si>
  <si>
    <t>Kèm theo báo cáo UBND - Trình HĐND Tỉnh</t>
  </si>
  <si>
    <t>PL-BSMTTTW</t>
  </si>
  <si>
    <t>Phụ lục 1.1</t>
  </si>
  <si>
    <t>Phụ lục 2.1</t>
  </si>
  <si>
    <t>PL chi 21-25</t>
  </si>
  <si>
    <t>PL thu 21-25</t>
  </si>
  <si>
    <t>PLCĐ 21-25</t>
  </si>
  <si>
    <t>Biểu số 1</t>
  </si>
  <si>
    <t>Biểu số 2</t>
  </si>
  <si>
    <t>Biểu số 3</t>
  </si>
  <si>
    <t>Biểu số 4-ĐTC 21-25</t>
  </si>
  <si>
    <t>Biểu số 4.1-ĐTC 2026-2030</t>
  </si>
  <si>
    <t>Tổng hợp giai đoạn - thu</t>
  </si>
  <si>
    <t>Tổng hợp giai đoạn - chi</t>
  </si>
  <si>
    <t>Cân đối giai đoạn</t>
  </si>
  <si>
    <t>Biểu số 1(2)</t>
  </si>
  <si>
    <t>BÁO CÁO NHANH</t>
  </si>
  <si>
    <t>BÁO CÁO 6 THÁNH</t>
  </si>
  <si>
    <t>PHỤ LỤC 1</t>
  </si>
  <si>
    <t>Thu</t>
  </si>
  <si>
    <t>PHỤ LỤC 2</t>
  </si>
  <si>
    <t>Chi</t>
  </si>
  <si>
    <t>PHỤ LỤC 3</t>
  </si>
  <si>
    <t>CĐC-BS</t>
  </si>
  <si>
    <t>TRONG ĐÓ</t>
  </si>
  <si>
    <t>ƯỚC THỰC HIỆN 6 THÁNG ĐẦU NĂM 2024</t>
  </si>
  <si>
    <t>DỰ TOÁN 6 THÁNG CUỐI NĂM 2024</t>
  </si>
  <si>
    <t>ƯỚC THỰC HIỆN CẢ NĂM 2024</t>
  </si>
  <si>
    <t>CHÊNH LỆCH GIỮA UTH SO VỚI DT 2024</t>
  </si>
  <si>
    <t>11=10/3</t>
  </si>
  <si>
    <t>ƯỚC THỰC HIỆN 6 THÁNG ĐẦU NĂM</t>
  </si>
  <si>
    <t>DỰ TOÁN 6 THÁNG CUỐI NĂM</t>
  </si>
  <si>
    <t>CHÊNH LỆCH UTH SO VỚI DT 2024</t>
  </si>
  <si>
    <t>Tổng chi ( A+B+C)</t>
  </si>
  <si>
    <t>Chi đầu tư phát triển khác (Ủy thác qua NH Chính sách chi nhánh tỉnh Đồng Tháp)</t>
  </si>
  <si>
    <t>Chi các hoạt động kinh tế</t>
  </si>
  <si>
    <t>Chi chuyển nguồn cải cách tiền lương sang kỳ sau thực hiện</t>
  </si>
  <si>
    <t>CÂN ĐỐI NGÂN SÁCH  ĐỊA PHƯƠNG NĂM 2023
(Không kể thu chi điều chỉnh giữa các cấp ngân sách địa phương)</t>
  </si>
  <si>
    <t>Tổng thu ngân sách địa phương:</t>
  </si>
  <si>
    <t>Thu NSĐP 6 tháng đầu năm:</t>
  </si>
  <si>
    <t>Ước thực hiện thu NSĐP 6 tháng cuối năm:</t>
  </si>
  <si>
    <t>Tổng chi ngân sách địa phương:</t>
  </si>
  <si>
    <t>Chi ngân sách địa phương 6 tháng đầu năm:</t>
  </si>
  <si>
    <t>Chi bổ sung cho ngân sách huyện, thành phố</t>
  </si>
  <si>
    <t>Chênh lệch thu chi 6 tháng đầu năm</t>
  </si>
  <si>
    <t>Chi ngân sách địa phương 6 tháng cuối năm:</t>
  </si>
  <si>
    <t xml:space="preserve">Cân đối thu-chi </t>
  </si>
  <si>
    <t>CÂN ĐỐI NGÂN SÁCH  ĐỊA PHƯƠNG NĂM 2023</t>
  </si>
  <si>
    <t>Phụ lục thu - 6T</t>
  </si>
  <si>
    <t>Phụ lục chi - 6T</t>
  </si>
  <si>
    <t>Phụ lục CĐC - 6T</t>
  </si>
  <si>
    <t>Phụ lục CĐC - 6T - BS</t>
  </si>
  <si>
    <t>Biểu mẫu số 04</t>
  </si>
  <si>
    <t>Cơ sở nhà đất</t>
  </si>
  <si>
    <t>UBND TỈNH ĐỒNG THÁP</t>
  </si>
  <si>
    <t>TỔNG HỢP DỰ TOÁN THU NGÂN SÁCH NHÀ NƯỚC TỪ NGUỒN THU XỬ LÝ NHÀ ĐẤT
NĂM 2023 VÀ GIAI ĐOẠN 2024-2026</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</si>
  <si>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</si>
  <si>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</si>
  <si>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</si>
  <si>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</si>
  <si>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 và giai đoạn 2024-2026
(Triệu đồng)</t>
  </si>
  <si>
    <t>Ghi chú phương án xử lý nhà (Bán, chuyển mục đích…)</t>
  </si>
  <si>
    <t>Giai đoạn 2024-2026</t>
  </si>
  <si>
    <t xml:space="preserve">Nhà tập thể Sở Tài chính </t>
  </si>
  <si>
    <t>Bán đấu giá</t>
  </si>
  <si>
    <t>Trụ sở cũ Trung tâm Y tế Dự phòng và Trung tâm Chăm sóc sức khỏe sinh sản</t>
  </si>
  <si>
    <t>Nhà tập thể Trung tâm Y tế Dự phòng TP. Cao Lãnh</t>
  </si>
  <si>
    <t xml:space="preserve"> Trung tâm Huấn luyện và thi đấu thể thao thuộc Sở Văn hóa Thể thao và Du lịch</t>
  </si>
  <si>
    <t>Trụ sở Trung tâm Phát triển Quỹ đất Hùng Vương P2, TP. Cao Lãnh</t>
  </si>
  <si>
    <t>Căn nhà số 27 đường Nguyễn Du, phường 2 TP. Cao Lãnh</t>
  </si>
  <si>
    <t>Căn nhà số 29 đường Nguyễn Du, phường 2 TP. Cao Lãnh</t>
  </si>
  <si>
    <t>Phòng giao dịch Ngân hàng chinh sách xã hội TP. Sa Đéc (cũ)</t>
  </si>
  <si>
    <t>Trung tâm Trợ giúp pháp lý nhà nước tỉnh Đồng Tháp</t>
  </si>
  <si>
    <t xml:space="preserve">Cty TNHH MTV Xổ số Kiến thiết Đồng Tháp (Khu đất do Công ty quản lý thửa 36; TBĐ số 5); </t>
  </si>
  <si>
    <t xml:space="preserve">Cty TNHH MTV Xổ số Kiến thiết Đồng Tháp (Khu đất do Công ty quản lý thửa 35; TBĐ số 5);  </t>
  </si>
  <si>
    <t xml:space="preserve">Cty TNHH MTV Xổ số Kiến thiết Đồng Tháp (Văn phòng Công ty thửa số 40. TBĐ: 29; </t>
  </si>
  <si>
    <t xml:space="preserve">Cty TNHH MTV Xổ số Kiến thiết Đồng Tháp (Nhà xe Công ty thửa 269; TBĐ:8); </t>
  </si>
  <si>
    <t xml:space="preserve">Cty TNHH MTV Xổ số Kiến thiết Đồng Tháp (Hội trường mở số thửa đất số 55. TBĐ số 8); </t>
  </si>
  <si>
    <t>Cty TNHH MTV Xổ số Kiến thiết Đồng Tháp (Nhà đất do Công ty quản lý thửa số 4; TBĐ số 8);</t>
  </si>
  <si>
    <t>Trụ sở Trung tâm phát triển Quỹ đất số 01-03 Hùng Vương P2, TP. Cao Lãnh</t>
  </si>
  <si>
    <t>Trụ sở Ban Quản lý dự án Công trình Dân dụng và Công nghiệp, 57 Nguyễn Thái Bình P. Mỹ Phú</t>
  </si>
  <si>
    <t>Trụ sở cũ Quỹ đầu tư phát triển</t>
  </si>
  <si>
    <t>TỔNG HỢP DỰ TOÁN CHI NGÂN SÁCH NHÀ NƯỚC TỪ NGUỒN THU XỬ LÝ NHÀ, ĐẤT 
NĂM 2023 VÀ GIAI ĐOẠN 2024-2026</t>
  </si>
  <si>
    <t>Tên đơn vị và tên dự án đầu tư</t>
  </si>
  <si>
    <t>Quyết định 
phê duyệt</t>
  </si>
  <si>
    <t>Tổng mức
 đầu tư</t>
  </si>
  <si>
    <t>Thời gian khởi 
công hoàn thành</t>
  </si>
  <si>
    <t>Lũy kế thực hiện hết năm 2023</t>
  </si>
  <si>
    <t>Kế hoạch 2024 và giai đoạn 2024-2026</t>
  </si>
  <si>
    <t>Tổng kinh phí</t>
  </si>
  <si>
    <t>Trong đó năm 2023</t>
  </si>
  <si>
    <t>Kế hoạch 2024</t>
  </si>
  <si>
    <t>Phát triển đô thị trên địa bàn tỉnh: (ngân sách tỉnh hỗ trợ mục tiêu 03 đường: Nguyễn Thị Lựu, Vành Đai Tây, Nguyễn Văn Tre)</t>
  </si>
  <si>
    <t>2021-2025</t>
  </si>
  <si>
    <t>Phát triển đô thị trên địa bàn: (ngân sách tỉnh hỗ trợ mục tiêu 03 đường: Nguyễn Tất Thành, N7, D3)</t>
  </si>
  <si>
    <t>Phát triển đô thị trên địa bàn (ngân sách tỉnh hỗ trợ mục tiêu 02 Khu đô thị: An Thạnh, Bắc An Thạnh; cầu Trần Hưng Đạo và 03 đường: Lê Quý Đôn, Nguyễn Văn Linh, Nguyễn Văn Phấn)</t>
  </si>
  <si>
    <t>Biểu mẫu số 05</t>
  </si>
  <si>
    <t>Dự toán chi từ nguồn thu cơ sở nhà đất</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</si>
  <si>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</si>
  <si>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</si>
  <si>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</si>
  <si>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</si>
  <si>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</si>
  <si>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</si>
  <si>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</si>
  <si>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</si>
  <si>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</si>
  <si>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</si>
  <si>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</si>
  <si>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</si>
  <si>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</si>
  <si>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</si>
  <si>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</si>
  <si>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</si>
  <si>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</si>
  <si>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</si>
  <si>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</si>
  <si>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</si>
  <si>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</si>
  <si>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</si>
  <si>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</si>
  <si>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</si>
  <si>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</si>
  <si>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</si>
  <si>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</si>
  <si>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</si>
  <si>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</si>
  <si>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</si>
  <si>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</si>
  <si>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</si>
  <si>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</si>
  <si>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</si>
  <si>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</si>
  <si>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</si>
  <si>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</si>
  <si>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</si>
  <si>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</si>
  <si>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</si>
  <si>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</si>
  <si>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</si>
  <si>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</si>
  <si>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</si>
  <si>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</si>
  <si>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</si>
  <si>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</si>
  <si>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</si>
  <si>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</si>
  <si>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</si>
  <si>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</si>
  <si>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</si>
  <si>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</si>
  <si>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</si>
  <si>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</si>
  <si>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</si>
  <si>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</si>
  <si>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</si>
  <si>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đảo</t>
  </si>
  <si>
    <t>Xã biên giới ven biển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</si>
  <si>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</si>
  <si>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</si>
  <si>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</si>
  <si>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</si>
  <si>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</si>
  <si>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</si>
  <si>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</si>
  <si>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</si>
  <si>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</si>
  <si>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</si>
  <si>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</si>
  <si>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</si>
  <si>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</si>
  <si>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</si>
  <si>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</si>
  <si>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</si>
  <si>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</si>
  <si>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</si>
  <si>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</si>
  <si>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</si>
  <si>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</si>
  <si>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</si>
  <si>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</si>
  <si>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</si>
  <si>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</si>
  <si>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</si>
  <si>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</si>
  <si>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</si>
  <si>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</si>
  <si>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</si>
  <si>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</si>
  <si>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</si>
  <si>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</si>
  <si>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</si>
  <si>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</si>
  <si>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</si>
  <si>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</si>
  <si>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</si>
  <si>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</si>
  <si>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</si>
  <si>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</si>
  <si>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</si>
  <si>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</si>
  <si>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</si>
  <si>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</si>
  <si>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</si>
  <si>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</si>
  <si>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</si>
  <si>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</si>
  <si>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</si>
  <si>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</si>
  <si>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PL so sánh ĐM</t>
  </si>
  <si>
    <t>So sánh định mức</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</si>
  <si>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</si>
  <si>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</si>
  <si>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</si>
  <si>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</si>
  <si>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</si>
  <si>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</si>
  <si>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</si>
  <si>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</si>
  <si>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</si>
  <si>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</si>
  <si>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</si>
  <si>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</si>
  <si>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</si>
  <si>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</si>
  <si>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</si>
  <si>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</si>
  <si>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</si>
  <si>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</si>
  <si>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</si>
  <si>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</si>
  <si>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</si>
  <si>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</si>
  <si>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</si>
  <si>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</si>
  <si>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</si>
  <si>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</si>
  <si>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</si>
  <si>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</si>
  <si>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</si>
  <si>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</si>
  <si>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</si>
  <si>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</si>
  <si>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</si>
  <si>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</si>
  <si>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</si>
  <si>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</si>
  <si>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</si>
  <si>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</si>
  <si>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</si>
  <si>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</si>
  <si>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</si>
  <si>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</si>
  <si>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</si>
  <si>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</si>
  <si>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GD</t>
  </si>
  <si>
    <t>Học phí, viện phí, tiết kiệm</t>
  </si>
  <si>
    <t>Tổng hợp từ biểu tiền lương</t>
  </si>
  <si>
    <t>Tiết kiệm 10%</t>
  </si>
  <si>
    <t>Nhu cầu CCTL 1,49 tr.đ/tháng chênh lệch so DT</t>
  </si>
  <si>
    <t>Tiết kiệm 18, 19</t>
  </si>
  <si>
    <t>Tổng SN khác, TK</t>
  </si>
  <si>
    <t>Bổ sung mục tiêu (Phần NSTW hỗ trợ)</t>
  </si>
  <si>
    <t>Tổng hợp từ biểu ASXH (toàn bộ nhu cầu NSTW hỗ trợ)</t>
  </si>
  <si>
    <t>KẾ HOẠCH TÀI CHÍNH - NGÂN SÁCH GIAI ĐOẠN 5 NĂM 2021-2025</t>
  </si>
  <si>
    <t>Mục tiêu giai đoạn 2016-2020</t>
  </si>
  <si>
    <t>Thực hiện giai doạn 2016-2020</t>
  </si>
  <si>
    <t>Kế hoạch giai doạn 2021-2025</t>
  </si>
  <si>
    <t>Tổng giai doạn</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</si>
  <si>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</si>
  <si>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</si>
  <si>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</si>
  <si>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</si>
  <si>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</si>
  <si>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</si>
  <si>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</si>
  <si>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</si>
  <si>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 xml:space="preserve">                Thu xổ số kiến thiết</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</si>
  <si>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</si>
  <si>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</si>
  <si>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</si>
  <si>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</si>
  <si>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</si>
  <si>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</si>
  <si>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</si>
  <si>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</si>
  <si>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</si>
  <si>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</si>
  <si>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</si>
  <si>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</si>
  <si>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</si>
  <si>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</si>
  <si>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Tỷ trọng trong tổng chi NSĐP (%)</t>
  </si>
  <si>
    <t>Chi trả nợ lãi các khoản do chính quyền địa phương vay</t>
  </si>
  <si>
    <t>BỘI CHI/BỘI THU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</si>
  <si>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</si>
  <si>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PL xac định lại ĐM</t>
  </si>
  <si>
    <t>Địa phương</t>
  </si>
  <si>
    <t>PL xác định lại ĐM-TW</t>
  </si>
  <si>
    <t>Biểu KH05 năm</t>
  </si>
  <si>
    <t>Trung ương</t>
  </si>
  <si>
    <t>Dự toán chi thường xuyên năm 2024</t>
  </si>
  <si>
    <t>Hỗ trợ các Hội văn học nghệ thuật địa phương</t>
  </si>
  <si>
    <t>Ngân sách trung ương bổ sung có mục tiêu - vốn trong nước (kinh phí sự nghiệp)</t>
  </si>
  <si>
    <t>Hỗ trợ các Hội nhà báo địa phương</t>
  </si>
  <si>
    <t>Kinh phí thực hiện các chính sách an sinh xã hội (1)</t>
  </si>
  <si>
    <t>Thu cổ tức, lợi nhuận sau thuế, tiền bán bớt phần vốn nhà nước</t>
  </si>
  <si>
    <t>DỰ TOÁN NĂM 2025 (ĐP)</t>
  </si>
  <si>
    <t>Thu cân đối ngân sách địa phương 2025 so dự toán 2024</t>
  </si>
  <si>
    <t>Phí bảo vệ môi trường KTKS</t>
  </si>
  <si>
    <t>Phí bảo vệ môi trường nước thải</t>
  </si>
  <si>
    <t>BV Phát triển đất trồng lúa</t>
  </si>
  <si>
    <t>Chi quốc phòng; An ninh và trật tư an toàn xã hội</t>
  </si>
  <si>
    <t>Chi quốc phòng; an ninh và trật tự an toàn xã hội</t>
  </si>
  <si>
    <t>đ.1</t>
  </si>
  <si>
    <t>đ.2</t>
  </si>
  <si>
    <t>Do đạc</t>
  </si>
  <si>
    <t>Ủy thác qua Ngân hàng Chính sách xã hội chi nhánh tỉnh Đồng Tháp</t>
  </si>
  <si>
    <t>2.10</t>
  </si>
  <si>
    <t>2.11</t>
  </si>
  <si>
    <t>2.12</t>
  </si>
  <si>
    <t>Bổ sung thực hiện cải cách tiền lương</t>
  </si>
  <si>
    <t>CÂN ĐỐI NGÂN SÁCH CẤP TỈNH NĂM 2025</t>
  </si>
  <si>
    <t>-Thu bổ sung có mục tiêu</t>
  </si>
  <si>
    <t>Thu bổ sung nguồn thực hiện điều chỉnh tiền lương cơ sở 2,34 triệu đồng/tháng</t>
  </si>
  <si>
    <t>Huyện; thành phố</t>
  </si>
  <si>
    <t>Huyện thu</t>
  </si>
  <si>
    <t>Tỉnh thu</t>
  </si>
  <si>
    <t>Tổng</t>
  </si>
  <si>
    <t>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</si>
  <si>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Ủy thác qua Ngân hàng Chính sách xã hội chi nhánh tỉnh Đồng Tháp (từ nguồn thu sổ số kiến thiết năm 2025)</t>
  </si>
  <si>
    <t>đ.3</t>
  </si>
  <si>
    <t>đ.4</t>
  </si>
  <si>
    <t>Tiền xổ số kiến thiết</t>
  </si>
  <si>
    <t>Tăng thô (không kể CCTL+ cân đối)</t>
  </si>
  <si>
    <t>Sự nghiệp ĐT và Dạy nghề</t>
  </si>
  <si>
    <t>Sự nghiệp còn lại</t>
  </si>
  <si>
    <t>10% Công tác đo đạc</t>
  </si>
  <si>
    <t>Huyện, thành phố thu</t>
  </si>
  <si>
    <t>Điều tiết NS Tỉnh 10%</t>
  </si>
  <si>
    <t>Cấp tỉnh trực tiếp thu</t>
  </si>
  <si>
    <t>Cấp tỉnh hưởng (gồm 10%)</t>
  </si>
  <si>
    <t>BẢNG CÂN ĐỐI DỰ TOÁN THU-CHI TIỀN SỬ DỤNG ĐẤT NĂM 2025 NGÂN SÁCH HUYỆN, THÀNH PHỐ</t>
  </si>
  <si>
    <t>Bổ sung đảm bảo nhiệm vụ chi</t>
  </si>
  <si>
    <t>Kinh phí thực hiện chính sách hỗ trợ theo Nghị quyết số 51/2023/NQ-HĐND ngày 10/12/2023 của Hội đồng nhân dân Tỉnh</t>
  </si>
  <si>
    <t>4.3</t>
  </si>
  <si>
    <t>4.4</t>
  </si>
  <si>
    <t>4.5</t>
  </si>
  <si>
    <t>4.6</t>
  </si>
  <si>
    <t>4.7</t>
  </si>
  <si>
    <t>4.8</t>
  </si>
  <si>
    <t>Bổ sung nguồn Cải cách tiền lương tăng thêm 2,340 triệu đồng/tháng (12 tháng)</t>
  </si>
  <si>
    <t>BẢNG CÂN ĐỐI DỰ TOÁN THU-CHI NĂM 2025 NGÂN SÁCH HUYỆN, THÀNH PHỐ</t>
  </si>
  <si>
    <t>8=9+10+11</t>
  </si>
  <si>
    <t>4=5+8+12</t>
  </si>
  <si>
    <t>Bổ sung mục tiêu (1)</t>
  </si>
  <si>
    <t>Dự toán chi ngân sách huyện, thành phố năm 2025</t>
  </si>
  <si>
    <t>Tổng chi NS huyện, thành phố năm 2025</t>
  </si>
  <si>
    <t>14=15+16</t>
  </si>
  <si>
    <t>13=14+17+20+21+22</t>
  </si>
  <si>
    <t>BẢNG DỰ TOÁN CHI BỔ SUNG CÓ MỤC TIÊU CHO NGÂN SÁCH HUYỆN, THÀNH PHỐ NĂM 2025</t>
  </si>
  <si>
    <t>N</t>
  </si>
  <si>
    <t>BỘI THU NGÂN SÁCH ĐỊA PHƯƠNG</t>
  </si>
  <si>
    <t>Bổ sung nguồn thực hiện điều chỉnh tiền lương cơ sở đến 2,340 triệu đồng/tháng</t>
  </si>
  <si>
    <t>Cân đối tăng thêm năm 2025</t>
  </si>
  <si>
    <t>Cân đối tăng thêm năm 2024</t>
  </si>
  <si>
    <t>Tăng Quỹ dự trữ 1.400 lên 2.000</t>
  </si>
  <si>
    <t>Tăng lãi vay 3.000 lên 3.500</t>
  </si>
  <si>
    <t>Trợ cấp bằng mặt bằng so 2024 (huyện; thành phố)</t>
  </si>
  <si>
    <t>Nguồn CCTL trung ương bổ sung</t>
  </si>
  <si>
    <t>Bổ sung cho ngân sách huyện; thành phố</t>
  </si>
  <si>
    <t>Đơn vị hành chính, sự nghiệp cấp tỉnh</t>
  </si>
  <si>
    <t>Đơn vị VP Tỉnh ủy</t>
  </si>
  <si>
    <t>Còn lại</t>
  </si>
  <si>
    <t>CÂN ĐỐI NGÂN SÁCH ĐỊA PHƯƠNG NĂM 2025</t>
  </si>
  <si>
    <t>Bổ sung thực hiện cải cách tiền lương 2,34 triệu đồng/tháng</t>
  </si>
  <si>
    <t>Trong đó: Ủy thác qua Ngân hàng Chính sách xã hội chi nhánh tỉnh Đồng Tháp (từ nguồn thu sổ số kiến thiết năm 2025)</t>
  </si>
  <si>
    <t>Trong đó: 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</si>
  <si>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NĂM 2025</t>
  </si>
  <si>
    <t>- Thu bổ sung thực hiện cải cách tiền lương 2,34 triệu đồng/tháng</t>
  </si>
  <si>
    <t xml:space="preserve">Thuế sử dụng đất nông nghiệp </t>
  </si>
  <si>
    <t>DỰ TOÁN CHI NGÂN SÁCH HUYỆN, THÀNH PHỐ NĂM 2025</t>
  </si>
  <si>
    <t>Thu NSNN trên địa bàn huyện, thành phố
năm 2025</t>
  </si>
  <si>
    <t>Tổng thu NSNN trên địa bàn huyện, thành phố
năm 2025</t>
  </si>
  <si>
    <t xml:space="preserve">TỔNG CỘNG </t>
  </si>
  <si>
    <t xml:space="preserve">Chính sách phát triển giao dục mầm non Nghị định 105/2020/NĐ-CP ngày 08/09/2020 của Chính phủ </t>
  </si>
  <si>
    <t xml:space="preserve">Học bổng, chi phí học tập cho học sinh khuyết tật theo Thông tư liên tịch số 42/2013/TTLT-BGDĐT-BLĐTBXH-BTC ngày 31/12/2013 </t>
  </si>
  <si>
    <t xml:space="preserve">Chính sách hỗ trợ thường xuyên cho đối tượng bảo trợ xã hội theo quy định tại Nghị định số 20/2021/NĐ-CP ngày 15/03/2021 của Chính phủ </t>
  </si>
  <si>
    <t>(Kèm theo Quyết định số        /QĐ-UBND-HC ngày      /12/2024 của Uỷ ban nhân dân tỉnh Đồng Tháp)</t>
  </si>
  <si>
    <t>NHIỆM VỤ CHI NGÂN SÁCH HUYỆN, THÀNH PHỐ NĂM 2025</t>
  </si>
  <si>
    <t>NHIỆM VỤ THU NGÂN SÁCH NHÀ NƯỚC NĂM 2025</t>
  </si>
  <si>
    <t>CHI TỪ NGUỒN NGÂN SÁCH CẤP TỈNH BỔ SUNG CÓ MỤC TIÊU NĂM 2025</t>
  </si>
  <si>
    <r>
      <t>(1):</t>
    </r>
    <r>
      <rPr>
        <sz val="14"/>
        <color theme="1"/>
        <rFont val="Times New Roman"/>
        <family val="1"/>
      </rPr>
      <t xml:space="preserve"> Dự toán thu ngân sách nhà nước năm 2025 không bao gồm các khoản huy động nhân dân đóng góp, các khoản ghi thu, ghi chi vào ngân sách nhà nước theo chế độ quy định.
</t>
    </r>
  </si>
  <si>
    <r>
      <t xml:space="preserve">(5): </t>
    </r>
    <r>
      <rPr>
        <sz val="14"/>
        <color theme="1"/>
        <rFont val="Times New Roman"/>
        <family val="1"/>
      </rPr>
      <t>Chi tiết thu bổ sung có mục tiêu theo Phụ lục số III</t>
    </r>
  </si>
  <si>
    <t>Thu bổ sung có mục tiêu (5)</t>
  </si>
  <si>
    <r>
      <t xml:space="preserve">(2): Trong đó: </t>
    </r>
    <r>
      <rPr>
        <sz val="14"/>
        <color rgb="FFFF0000"/>
        <rFont val="Times New Roman"/>
        <family val="1"/>
      </rPr>
      <t xml:space="preserve">
</t>
    </r>
  </si>
  <si>
    <t>(Kèm theo Báo cáo số          /BC-UBND ngày            tháng 10 năm 2024 của Ủy ban nhân dân tỉnh Đồng Tháp)</t>
  </si>
  <si>
    <t>Kinh phí hỗ trợ địa phương sản xuất lúa (Các hoạt động kinh tế)</t>
  </si>
  <si>
    <t>Chưa kể 12 tỷ dự kiến chuyển đổi</t>
  </si>
  <si>
    <t>Đài Phát thanh và Truyền hình Đồng Tháp</t>
  </si>
  <si>
    <t>Nhu chênh cầu tiền lương 2.340 trđ/tháng (12 tháng)</t>
  </si>
  <si>
    <t>Nhu cầu lương 1.800 trđ/tháng (12 tháng)</t>
  </si>
  <si>
    <t>Chênh lệch nhu cầu/nguồn (3-1)</t>
  </si>
  <si>
    <t>Trong đó; Một số nhiệm vụ chi phải báo cáo cấp có thẩm quyền xem xét, quyết định cho phép thực hiện</t>
  </si>
  <si>
    <t>Kinh phí kiến thiết thị chính; nâng cấp đô thị…..</t>
  </si>
  <si>
    <t>Tổng cộng (B+C+D)</t>
  </si>
  <si>
    <t>TW</t>
  </si>
  <si>
    <t xml:space="preserve">Trong đó: </t>
  </si>
  <si>
    <t>Triệu đồng.</t>
  </si>
  <si>
    <t>- Trả nợ vay từ nguồn vốn Chính phủ vay về cho vay lại</t>
  </si>
  <si>
    <t>- Chương trình Cụm tuyến dân cư, tôn nền vượt lũ</t>
  </si>
  <si>
    <t>Kinh phí thực hiện hỗ trợ đào tạo nghề trình độ sơ cấp và đào tạo dưới 03 tháng năm 2025</t>
  </si>
  <si>
    <t>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</si>
  <si>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t>
  </si>
  <si>
    <t xml:space="preserve">- Bao gồm 10% tiết kiệm tăng thêm năm 2025 so với năm 2024 để thực hiện cải cách tiền lương năm 2025 là: </t>
  </si>
  <si>
    <t>(Kèm theo Báo cáo số            /BC-UBND ngày      /12/2024 của Ủy ban nhân dân tỉnh Đồng Tháp)</t>
  </si>
  <si>
    <t xml:space="preserve">Vay đầu tư tôn nền cụm, tuyến dân cư vùng lũ </t>
  </si>
  <si>
    <t>Vay đầu tư tôn nền cụm, tuyến dân cư vùng lũ</t>
  </si>
  <si>
    <t>CHI TỪ NGUỒN THU VIỆN TRỢ</t>
  </si>
  <si>
    <t>Thu viện trợ không hoàn lại</t>
  </si>
  <si>
    <t>CHI TỪ NGUỒN THU VIỆN TRỢ KHÔNG HOÀN LẠI</t>
  </si>
  <si>
    <t>Chi từ nguồn thu viện trợ không hoàn lại</t>
  </si>
  <si>
    <t>Kinh phí tổ chức đại hội Đảng nhiệm kỳ 2025 - 2030</t>
  </si>
  <si>
    <t>Kinh phí hỗ trợ giá sản phẩm, dịch vụ công ích thủy lợi theo quy định tại Nghị định số 96/2018/NĐ-CP ngày 30/6/2018 của Chính phủ (Bổ sung thêm-giảm dự toán của Ban NN)</t>
  </si>
  <si>
    <t>Lúa nước</t>
  </si>
  <si>
    <t>Thủy lợi phí</t>
  </si>
  <si>
    <t>CĐNS-TW</t>
  </si>
  <si>
    <t>Thu từ nguồn viện trợ không hoàn lại</t>
  </si>
  <si>
    <t>Chi từ nguồn viện trợ không hoàn lại</t>
  </si>
  <si>
    <t>Bội thu ngân sách địa phương (2)</t>
  </si>
  <si>
    <t>Đất trồng lúa theo NĐ 112</t>
  </si>
  <si>
    <t>Chi từ nguồn ngân sách trung ương bổ sung có mục tiêu (chính sách an sinh xã hội năm 2025)</t>
  </si>
  <si>
    <t>ASXH</t>
  </si>
  <si>
    <t>BHYT</t>
  </si>
  <si>
    <r>
      <rPr>
        <b/>
        <sz val="14"/>
        <color theme="1"/>
        <rFont val="Times New Roman"/>
        <family val="1"/>
      </rPr>
      <t>(1)</t>
    </r>
    <r>
      <rPr>
        <sz val="14"/>
        <color theme="1"/>
        <rFont val="Times New Roman"/>
        <family val="1"/>
      </rPr>
      <t>- Dự toán chi ngân sách cấp Tỉnh chưa kể chi bổ sung cho ngân sách huyện, thành phố:</t>
    </r>
    <r>
      <rPr>
        <b/>
        <sz val="14"/>
        <color theme="1"/>
        <rFont val="Times New Roman"/>
        <family val="1"/>
      </rPr>
      <t xml:space="preserve"> </t>
    </r>
  </si>
  <si>
    <r>
      <rPr>
        <b/>
        <sz val="14"/>
        <color theme="1"/>
        <rFont val="Times New Roman"/>
        <family val="1"/>
      </rPr>
      <t>(2)</t>
    </r>
    <r>
      <rPr>
        <sz val="14"/>
        <color theme="1"/>
        <rFont val="Times New Roman"/>
        <family val="1"/>
      </rPr>
      <t>- Đã bao gồm chi trả nợ gốc các khoản vay của ngân sách địa phương từ nguồn bội thu</t>
    </r>
  </si>
  <si>
    <t>P</t>
  </si>
  <si>
    <t>CHI TỪ NGUỒN THU VIỆN TRỢ (SỞ LAO ĐỘNG THƯƠNG BINH VÀ XÃ HỘI)</t>
  </si>
  <si>
    <t>Ban Quản lý dự án Đầu tư xây dựng Công trình Giao thông Tỉnh</t>
  </si>
  <si>
    <t>Ban Quản lý dự án Đầu tư xây dựng Công trình Dân dụng và Công nghiệp Tỉnh</t>
  </si>
  <si>
    <t>Bổ sung kinh phí biên chế giáo viên tăng thêm</t>
  </si>
  <si>
    <t>Chi từ nguồn ngân sách trung ương bổ sung có mục tiêu (kinh phí biên chế giáo viên tăng thêm)</t>
  </si>
  <si>
    <t>Kinh phí biên chế giáo viên tăng thêm</t>
  </si>
  <si>
    <t>3 =4+5+6+7+8+9+10+11</t>
  </si>
  <si>
    <t>Quỹ khen thưởng VP Tỉnh ủy</t>
  </si>
  <si>
    <t>Quỹ khen thương Đơn vị hành chính, sự nghiệp cấp tỉnh</t>
  </si>
  <si>
    <t>Lương của các Hội cấp tỉnh</t>
  </si>
  <si>
    <t>CLTW</t>
  </si>
  <si>
    <t>BG viện trợ - Bội thu</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</si>
  <si>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t>
  </si>
  <si>
    <t>Dự kiến 3 năm 2025-2027</t>
  </si>
  <si>
    <t>Thu Viện trợ</t>
  </si>
  <si>
    <t>KẾ HOẠCH 03 NĂM 2025-2027</t>
  </si>
  <si>
    <t>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</si>
  <si>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TRÊN ĐỊA BÀN NĂM 2025; KẾ HOẠCH TÀI CHÍNH 03 NĂM 2025-2027</t>
  </si>
  <si>
    <t>DỰ TOÁN CHI NGÂN SÁCH ĐỊA PHƯƠNG NĂM 2025; KẾ HOẠCH TÀI CHÍNH - NSNN 03 NĂM (2025-2027)</t>
  </si>
  <si>
    <t>CÂN ĐỐI NGÂN SÁCH ĐỊA PHƯƠNG NĂM 2025; KẾ HOẠCH TÀI CHÍNH - NSNN 03 NĂM (2025-2027)</t>
  </si>
  <si>
    <t>KẾT QUẢ PHÂN BỔ VỐN ĐẦU TƯ DỰ TOÁN NĂM 2025 VÀ 
TÌNH HÌNH HUY ĐỘNG VỐN ĐẦU TƯ PHÁT TRIỂN</t>
  </si>
  <si>
    <t>Dư nợ 31/12/2024</t>
  </si>
  <si>
    <t>Chi từ nguồn ngân sách trung ương bổ sung có mục tiêu (kinh phí hỗ trợ địa phương sản xuất lúa năm 2025)</t>
  </si>
  <si>
    <t>200 Triệu đồng</t>
  </si>
  <si>
    <t>2.654 Triệu đồng</t>
  </si>
  <si>
    <t>1.458 Triệu đồng</t>
  </si>
  <si>
    <t>48 Triệu đồng</t>
  </si>
  <si>
    <t>949 Triệu đồng</t>
  </si>
  <si>
    <t>(Kèm theo Báo cáo số     462/BC-UBND ngày 22 tháng 11 năm 2024 của Ủy ban nhân dân tỉnh Đồng Tháp)</t>
  </si>
  <si>
    <t>(Kèm theo Báo cáo số   462 /BC-UBND ngày   22   tháng 11 năm 2024 của Ủy ban nhân dân tỉnh Đồng Tháp)</t>
  </si>
  <si>
    <t>CÁC QUÝ TRONG NĂM 2025</t>
  </si>
  <si>
    <t>Quý 1</t>
  </si>
  <si>
    <t>Quý 2</t>
  </si>
  <si>
    <t>(Kèm theo Quyết định số       /QĐ-UBND-HC ngày     /12/2024 của Ủy ban nhân dân tỉnh Đồng Tháp)</t>
  </si>
  <si>
    <t>TỶ LỆ PHẦN TRĂM ( % ) PHÂN CHIA CÁC KHOẢN THU CHO TỪNG HUYỆN, THÀNH PHỐ THUỘC TỈNH NĂM 2025</t>
  </si>
  <si>
    <t>(8): Thuế thu nập cá nhân: Thực hiện theo Nghị quyết số 80/2022/NQ-HĐND; Nghị quyết số 41/2023/NQ-HĐND</t>
  </si>
  <si>
    <t>CHO TỪNG XÃ, PHƯỜNG, THỊ TRẤN NĂM 2025</t>
  </si>
  <si>
    <t>(Kèm theo Quyết định số  1230 /QĐ-UBND-HC ngày 19/12/2024 của Uỷ ban nhân dân tỉnh Đồng Tháp)</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</si>
</sst>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Red]\-#,##0;&quot; &quot;"/>
    <numFmt numFmtId="167" formatCode="#,##0.0;[Red]\-#,##0.0;&quot; &quot;"/>
    <numFmt numFmtId="168" formatCode="_(* #,##0.0_);_(* \(#,##0.0\);_(* &quot;-&quot;??_);_(@_)"/>
    <numFmt numFmtId="169" formatCode="_-* #,##0\ _₫_-;\-* #,##0\ _₫_-;_-* &quot;-&quot;??\ _₫_-;_-@_-"/>
    <numFmt numFmtId="170" formatCode="#,##0_ ;\-#,##0\ "/>
    <numFmt numFmtId="171" formatCode="#,##0.0"/>
    <numFmt numFmtId="172" formatCode="0.0"/>
    <numFmt numFmtId="173" formatCode="0.0%"/>
    <numFmt numFmtId="174" formatCode="_-&quot;$&quot;* #,##0_-;\-&quot;$&quot;* #,##0_-;_-&quot;$&quot;* &quot;-&quot;_-;_-@_-"/>
    <numFmt numFmtId="175" formatCode="_-* #,##0_-;\-* #,##0_-;_-* &quot;-&quot;_-;_-@_-"/>
    <numFmt numFmtId="176" formatCode="_-&quot;$&quot;* #,##0.00_-;\-&quot;$&quot;* #,##0.00_-;_-&quot;$&quot;* &quot;-&quot;??_-;_-@_-"/>
    <numFmt numFmtId="177" formatCode="_-* #,##0.00_-;\-* #,##0.00_-;_-* &quot;-&quot;??_-;_-@_-"/>
    <numFmt numFmtId="178" formatCode="#,##0.0_);\(#,##0.0\)"/>
    <numFmt numFmtId="179" formatCode="_(* #,##0_);_(* \(#,##0\);_(* &quot;-&quot;??_);_(@_)"/>
    <numFmt numFmtId="180" formatCode="_-* #,##0.00\ _€_-;\-* #,##0.00\ _€_-;_-* &quot;-&quot;??\ _€_-;_-@_-"/>
    <numFmt numFmtId="181" formatCode="00.000"/>
    <numFmt numFmtId="182" formatCode="&quot;?&quot;#,##0;&quot;?&quot;\-#,##0"/>
    <numFmt numFmtId="183" formatCode="_-* #,##0\ _F_-;\-* #,##0\ _F_-;_-* &quot;-&quot;\ _F_-;_-@_-"/>
    <numFmt numFmtId="184" formatCode="_ &quot;\&quot;* #,##0_ ;_ &quot;\&quot;* \-#,##0_ ;_ &quot;\&quot;* &quot;-&quot;_ ;_ @_ "/>
    <numFmt numFmtId="185" formatCode="_ &quot;\&quot;* #,##0.00_ ;_ &quot;\&quot;* \-#,##0.00_ ;_ &quot;\&quot;* &quot;-&quot;??_ ;_ @_ "/>
    <numFmt numFmtId="186" formatCode="_ * #,##0_ ;_ * \-#,##0_ ;_ * &quot;-&quot;_ ;_ @_ "/>
    <numFmt numFmtId="187" formatCode="_ * #,##0.00_ ;_ * \-#,##0.00_ ;_ * &quot;-&quot;??_ ;_ @_ "/>
    <numFmt numFmtId="188" formatCode="0.000"/>
    <numFmt numFmtId="189" formatCode="_(* #,##0.0000_);_(* \(#,##0.0000\);_(* &quot;-&quot;??_);_(@_)"/>
    <numFmt numFmtId="190" formatCode="0.0%;[Red]\(0.0%\)"/>
    <numFmt numFmtId="191" formatCode="_ * #,##0.00_)&quot;£&quot;_ ;_ * \(#,##0.00\)&quot;£&quot;_ ;_ * &quot;-&quot;??_)&quot;£&quot;_ ;_ @_ "/>
    <numFmt numFmtId="192" formatCode="0.0%;\(0.0%\)"/>
    <numFmt numFmtId="193" formatCode="0.000_)"/>
    <numFmt numFmtId="194" formatCode="&quot;C&quot;#,##0.00_);\(&quot;C&quot;#,##0.00\)"/>
    <numFmt numFmtId="195" formatCode="\$#,##0\ ;\(\$#,##0\)"/>
    <numFmt numFmtId="196" formatCode="&quot;C&quot;#,##0_);\(&quot;C&quot;#,##0\)"/>
    <numFmt numFmtId="197" formatCode="&quot;$&quot;\ \ \ \ #,##0_);\(&quot;$&quot;\ \ \ #,##0\)"/>
    <numFmt numFmtId="198" formatCode="&quot;$&quot;\ \ \ \ \ #,##0_);\(&quot;$&quot;\ \ \ \ \ #,##0\)"/>
    <numFmt numFmtId="199" formatCode="&quot;C&quot;#,##0_);[Red]\(&quot;C&quot;#,##0\)"/>
    <numFmt numFmtId="200" formatCode="#,###;\-#,###;&quot;&quot;;_(@_)"/>
    <numFmt numFmtId="201" formatCode="_-&quot;£&quot;* #,##0_-;\-&quot;£&quot;* #,##0_-;_-&quot;£&quot;* &quot;-&quot;_-;_-@_-"/>
    <numFmt numFmtId="202" formatCode="#,##0\ &quot;$&quot;_);[Red]\(#,##0\ &quot;$&quot;\)"/>
    <numFmt numFmtId="203" formatCode="&quot;$&quot;###,0&quot;.&quot;00_);[Red]\(&quot;$&quot;###,0&quot;.&quot;00\)"/>
    <numFmt numFmtId="204" formatCode="&quot;\&quot;#,##0;[Red]\-&quot;\&quot;#,##0"/>
    <numFmt numFmtId="205" formatCode="&quot;\&quot;#,##0.00;\-&quot;\&quot;#,##0.00"/>
    <numFmt numFmtId="206" formatCode="0.00_)"/>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quot;\&quot;#,##0;[Red]&quot;\&quot;&quot;\&quot;\-#,##0"/>
    <numFmt numFmtId="214" formatCode="&quot;\&quot;#,##0.00;[Red]&quot;\&quot;&quot;\&quot;&quot;\&quot;&quot;\&quot;&quot;\&quot;&quot;\&quot;\-#,##0.00"/>
    <numFmt numFmtId="215" formatCode="&quot;\&quot;#,##0.00;[Red]&quot;\&quot;\-#,##0.00"/>
    <numFmt numFmtId="216" formatCode="&quot;\&quot;#,##0;[Red]&quot;\&quot;\-#,##0"/>
    <numFmt numFmtId="217" formatCode="_-* #,##0_-;\-* #,##0_-;_-* &quot;-&quot;??_-;_-@_-"/>
    <numFmt numFmtId="218" formatCode="_-* #,##0.0_-;\-* #,##0.0_-;_-* &quot;-&quot;??_-;_-@_-"/>
    <numFmt numFmtId="219" formatCode="#,##0_ ;[Red]\-#,##0\ "/>
    <numFmt numFmtId="220" formatCode="#,###;[Red]\-#,###"/>
    <numFmt numFmtId="221" formatCode="#,##0.0_ ;\-#,##0.0\ "/>
    <numFmt numFmtId="222" formatCode="#,##0;[Red]\-#,##0;&quot;&quot;;_-@"/>
    <numFmt numFmtId="223" formatCode="0.0000000"/>
    <numFmt numFmtId="224" formatCode="_(* #,##0.000_);_(* \(#,##0.000\);_(* &quot;-&quot;??_);_(@_)"/>
    <numFmt numFmtId="225" formatCode="_-* #,##0.0000000\ _₫_-;\-* #,##0.0000000\ _₫_-;_-* &quot;-&quot;???????\ _₫_-;_-@_-"/>
    <numFmt numFmtId="226" formatCode="_(* #,##0.00000_);_(* \(#,##0.00000\);_(* &quot;-&quot;??_);_(@_)"/>
    <numFmt numFmtId="227" formatCode="#,##0;[Red]#,##0"/>
    <numFmt numFmtId="228" formatCode="#,##0;[Red]\-#,##0;&quot;&quot;"/>
    <numFmt numFmtId="229" formatCode="#,##0.000"/>
    <numFmt numFmtId="230" formatCode="#,##0.00;[Red]\-#,##0.00;&quot; &quot;"/>
    <numFmt numFmtId="231" formatCode="0.0000%"/>
    <numFmt numFmtId="232" formatCode="###,###,###"/>
    <numFmt numFmtId="233" formatCode="#,###.00;[Red]\-#,###.00"/>
    <numFmt numFmtId="234" formatCode="#,###.0;[Red]\-#,###.0"/>
    <numFmt numFmtId="235" formatCode="#,##0.00;[Red]\-#,###.00"/>
    <numFmt numFmtId="236" formatCode="0.000%"/>
  </numFmts>
  <fonts count="265">
    <font>
      <sz val="11"/>
      <color theme="1"/>
      <name val="Calibri"/>
      <family val="2"/>
      <charset val="163"/>
      <scheme val="minor"/>
    </font>
    <font>
      <sz val="11"/>
      <color theme="1"/>
      <name val="Calibri"/>
      <family val="2"/>
      <charset val="163"/>
      <scheme val="minor"/>
    </font>
    <font>
      <u/>
      <sz val="12"/>
      <color theme="10"/>
      <name val="Times New Roman"/>
      <family val="1"/>
    </font>
    <font>
      <b/>
      <sz val="12"/>
      <color theme="10"/>
      <name val="Times New Roman"/>
      <family val="1"/>
    </font>
    <font>
      <sz val="12"/>
      <name val="Times New Roman"/>
      <family val="1"/>
    </font>
    <font>
      <b/>
      <sz val="12"/>
      <color indexed="81"/>
      <name val="Times New Roman"/>
      <family val="1"/>
    </font>
    <font>
      <sz val="9"/>
      <color indexed="81"/>
      <name val="Tahoma"/>
      <family val="2"/>
    </font>
    <font>
      <b/>
      <sz val="14"/>
      <color indexed="81"/>
      <name val="Times New Roman"/>
      <family val="1"/>
    </font>
    <font>
      <sz val="14"/>
      <color indexed="81"/>
      <name val="Times New Roman"/>
      <family val="1"/>
    </font>
    <font>
      <sz val="12"/>
      <color indexed="81"/>
      <name val="Times New Roman"/>
      <family val="1"/>
    </font>
    <font>
      <b/>
      <sz val="9"/>
      <color indexed="81"/>
      <name val="Tahoma"/>
      <family val="2"/>
    </font>
    <font>
      <b/>
      <sz val="12"/>
      <name val="Times New Roman"/>
      <family val="1"/>
    </font>
    <font>
      <b/>
      <u/>
      <sz val="12"/>
      <name val="Times New Roman"/>
      <family val="1"/>
    </font>
    <font>
      <b/>
      <i/>
      <u/>
      <sz val="12"/>
      <name val="Times New Roman"/>
      <family val="1"/>
    </font>
    <font>
      <b/>
      <sz val="12"/>
      <color theme="1"/>
      <name val="Times New Roman"/>
      <family val="1"/>
    </font>
    <font>
      <b/>
      <i/>
      <sz val="12"/>
      <color theme="1"/>
      <name val="Times New Roman"/>
      <family val="1"/>
    </font>
    <font>
      <i/>
      <sz val="12"/>
      <color theme="1"/>
      <name val="Times New Roman"/>
      <family val="1"/>
    </font>
    <font>
      <sz val="12"/>
      <color theme="1"/>
      <name val="Times New Roman"/>
      <family val="1"/>
    </font>
    <font>
      <b/>
      <sz val="12"/>
      <color rgb="FFFF0000"/>
      <name val="Times New Roman"/>
      <family val="1"/>
    </font>
    <font>
      <i/>
      <sz val="12"/>
      <name val="Times New Roman"/>
      <family val="1"/>
    </font>
    <font>
      <b/>
      <i/>
      <sz val="12"/>
      <name val="Times New Roman"/>
      <family val="1"/>
    </font>
    <font>
      <b/>
      <u/>
      <sz val="12"/>
      <color theme="1"/>
      <name val="Times New Roman"/>
      <family val="1"/>
    </font>
    <font>
      <b/>
      <i/>
      <u/>
      <sz val="12"/>
      <color theme="1"/>
      <name val="Times New Roman"/>
      <family val="1"/>
    </font>
    <font>
      <sz val="12"/>
      <color rgb="FFFF0000"/>
      <name val="Times New Roman"/>
      <family val="1"/>
    </font>
    <font>
      <b/>
      <u/>
      <sz val="12"/>
      <color rgb="FFFF0000"/>
      <name val="Times New Roman"/>
      <family val="1"/>
    </font>
    <font>
      <b/>
      <sz val="8"/>
      <color indexed="81"/>
      <name val="Tahoma"/>
      <family val="2"/>
    </font>
    <font>
      <sz val="8"/>
      <color indexed="81"/>
      <name val="Tahoma"/>
      <family val="2"/>
    </font>
    <font>
      <i/>
      <u/>
      <sz val="12"/>
      <name val="Times New Roman"/>
      <family val="1"/>
    </font>
    <font>
      <i/>
      <u/>
      <sz val="12"/>
      <color theme="1"/>
      <name val="Times New Roman"/>
      <family val="1"/>
    </font>
    <font>
      <sz val="14"/>
      <color theme="1"/>
      <name val="Times New Roman"/>
      <family val="2"/>
    </font>
    <font>
      <sz val="13"/>
      <name val="Times New Roman"/>
      <family val="1"/>
    </font>
    <font>
      <sz val="12"/>
      <name val=".VnTime"/>
      <family val="2"/>
    </font>
    <font>
      <sz val="14"/>
      <name val="Times New Roman"/>
      <family val="1"/>
    </font>
    <font>
      <b/>
      <sz val="13"/>
      <name val="Times New Roman"/>
      <family val="1"/>
    </font>
    <font>
      <sz val="10"/>
      <name val="Times New Roman"/>
      <family val="1"/>
    </font>
    <font>
      <sz val="13"/>
      <name val="Times New Roman"/>
      <family val="1"/>
      <charset val="163"/>
    </font>
    <font>
      <sz val="11"/>
      <color theme="1"/>
      <name val="Calibri"/>
      <family val="2"/>
      <scheme val="minor"/>
    </font>
    <font>
      <sz val="11"/>
      <color indexed="8"/>
      <name val="Calibri"/>
      <family val="2"/>
    </font>
    <font>
      <sz val="13"/>
      <name val=".VnTime"/>
      <family val="2"/>
    </font>
    <font>
      <sz val="14"/>
      <name val="Times New Roman"/>
      <family val="1"/>
      <charset val="163"/>
    </font>
    <font>
      <sz val="12"/>
      <name val="Helv"/>
    </font>
    <font>
      <sz val="8"/>
      <name val="Times New Roman"/>
      <family val="1"/>
    </font>
    <font>
      <sz val="10"/>
      <name val="Arial"/>
      <family val="2"/>
    </font>
    <font>
      <b/>
      <sz val="12"/>
      <name val="Arial"/>
      <family val="2"/>
    </font>
    <font>
      <sz val="12"/>
      <name val="Arial"/>
      <family val="2"/>
    </font>
    <font>
      <sz val="13"/>
      <name val="Arial"/>
      <family val="2"/>
    </font>
    <font>
      <sz val="13"/>
      <color theme="1"/>
      <name val="Times New Roman"/>
      <family val="2"/>
    </font>
    <font>
      <sz val="14"/>
      <color indexed="8"/>
      <name val="Times New Roman"/>
      <family val="2"/>
    </font>
    <font>
      <sz val="13"/>
      <name val="Arial"/>
      <family val="2"/>
      <charset val="163"/>
    </font>
    <font>
      <sz val="11"/>
      <name val="??"/>
      <family val="3"/>
    </font>
    <font>
      <sz val="10"/>
      <name val="?? ??"/>
      <family val="1"/>
      <charset val="136"/>
    </font>
    <font>
      <sz val="14"/>
      <name val="??"/>
      <family val="3"/>
    </font>
    <font>
      <sz val="12"/>
      <name val="????"/>
      <family val="1"/>
      <charset val="136"/>
    </font>
    <font>
      <sz val="12"/>
      <name val="Courier"/>
      <family val="3"/>
    </font>
    <font>
      <sz val="12"/>
      <name val="|??¢¥¢¬¨Ï"/>
      <family val="1"/>
      <charset val="129"/>
    </font>
    <font>
      <sz val="12"/>
      <name val="???"/>
    </font>
    <font>
      <sz val="12"/>
      <name val="¹ÙÅÁÃ¼"/>
      <family val="1"/>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Tms Rmn"/>
    </font>
    <font>
      <sz val="12"/>
      <name val="µ¸¿òÃ¼"/>
      <family val="3"/>
      <charset val="129"/>
    </font>
    <font>
      <sz val="10"/>
      <name val="±¼¸²A¼"/>
      <family val="3"/>
      <charset val="129"/>
    </font>
    <font>
      <sz val="10"/>
      <name val="Helv"/>
    </font>
    <font>
      <b/>
      <sz val="10"/>
      <name val="Helv"/>
      <family val="2"/>
    </font>
    <font>
      <sz val="10"/>
      <name val=".VnArial"/>
      <family val="2"/>
    </font>
    <font>
      <sz val="11"/>
      <name val="Tms Rmn"/>
    </font>
    <font>
      <sz val="10"/>
      <name val="MS Sans Serif"/>
      <family val="2"/>
    </font>
    <font>
      <sz val="10"/>
      <name val="MS Serif"/>
      <family val="1"/>
    </font>
    <font>
      <sz val="10"/>
      <color indexed="8"/>
      <name val="Arial"/>
      <family val="2"/>
    </font>
    <font>
      <sz val="10"/>
      <name val="Arial CE"/>
      <charset val="238"/>
    </font>
    <font>
      <sz val="10"/>
      <color indexed="16"/>
      <name val="MS Serif"/>
      <family val="1"/>
    </font>
    <font>
      <sz val="8"/>
      <name val="Arial"/>
      <family val="2"/>
    </font>
    <font>
      <b/>
      <sz val="12"/>
      <color indexed="9"/>
      <name val="Tms Rmn"/>
    </font>
    <font>
      <b/>
      <sz val="12"/>
      <name val="Helv"/>
      <family val="2"/>
    </font>
    <font>
      <b/>
      <sz val="18"/>
      <name val="Arial"/>
      <family val="2"/>
    </font>
    <font>
      <b/>
      <sz val="8"/>
      <name val="MS Sans Serif"/>
      <family val="2"/>
    </font>
    <font>
      <b/>
      <sz val="10"/>
      <name val=".VnTime"/>
      <family val="2"/>
    </font>
    <font>
      <b/>
      <sz val="14"/>
      <name val=".VnTimeH"/>
      <family val="2"/>
    </font>
    <font>
      <b/>
      <sz val="11"/>
      <name val="Helv"/>
      <family val="2"/>
    </font>
    <font>
      <sz val="7"/>
      <name val="Small Fonts"/>
      <family val="2"/>
    </font>
    <font>
      <b/>
      <i/>
      <sz val="16"/>
      <name val="Helv"/>
    </font>
    <font>
      <b/>
      <sz val="11"/>
      <name val="Arial"/>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8"/>
      <name val="MS Sans Serif"/>
      <family val="2"/>
    </font>
    <font>
      <sz val="8"/>
      <name val="Tms Rmn"/>
    </font>
    <font>
      <sz val="10"/>
      <name val=".VnTime"/>
      <family val="2"/>
    </font>
    <font>
      <b/>
      <sz val="8"/>
      <color indexed="8"/>
      <name val="Helv"/>
    </font>
    <font>
      <b/>
      <sz val="8"/>
      <name val="VN Helvetica"/>
    </font>
    <font>
      <b/>
      <sz val="12"/>
      <name val=".VnTime"/>
      <family val="2"/>
    </font>
    <font>
      <b/>
      <sz val="10"/>
      <name val="VN AvantGBook"/>
    </font>
    <font>
      <b/>
      <sz val="16"/>
      <name val=".VnTime"/>
      <family val="2"/>
    </font>
    <font>
      <sz val="9"/>
      <name val=".VnTime"/>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0"/>
      <name val=" "/>
      <family val="1"/>
      <charset val="136"/>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rgb="FFFF0000"/>
      <name val="Times New Roman"/>
      <family val="1"/>
    </font>
    <font>
      <sz val="11"/>
      <name val="Times New Roman"/>
      <family val="1"/>
    </font>
    <font>
      <sz val="10"/>
      <color indexed="81"/>
      <name val="Tahoma"/>
      <family val="2"/>
    </font>
    <font>
      <b/>
      <sz val="11"/>
      <color rgb="FFFF0000"/>
      <name val="Times New Roman"/>
      <family val="1"/>
    </font>
    <font>
      <b/>
      <sz val="14"/>
      <name val="Times New Roman"/>
      <family val="1"/>
    </font>
    <font>
      <b/>
      <sz val="14"/>
      <color theme="1"/>
      <name val="Times New Roman"/>
      <family val="1"/>
    </font>
    <font>
      <sz val="14"/>
      <color theme="1"/>
      <name val="Times New Roman"/>
      <family val="1"/>
    </font>
    <font>
      <b/>
      <sz val="11"/>
      <name val="Times New Roman"/>
      <family val="1"/>
    </font>
    <font>
      <b/>
      <i/>
      <sz val="11"/>
      <color theme="1"/>
      <name val="Times New Roman"/>
      <family val="1"/>
    </font>
    <font>
      <i/>
      <sz val="11"/>
      <color theme="1"/>
      <name val="Times New Roman"/>
      <family val="1"/>
    </font>
    <font>
      <b/>
      <i/>
      <sz val="14"/>
      <color theme="1"/>
      <name val="Times New Roman"/>
      <family val="1"/>
    </font>
    <font>
      <b/>
      <sz val="14"/>
      <color theme="10"/>
      <name val="Times New Roman"/>
      <family val="1"/>
    </font>
    <font>
      <b/>
      <i/>
      <sz val="14"/>
      <name val="Times New Roman"/>
      <family val="1"/>
    </font>
    <font>
      <b/>
      <u/>
      <sz val="14"/>
      <color theme="1"/>
      <name val="Times New Roman"/>
      <family val="1"/>
    </font>
    <font>
      <b/>
      <u/>
      <sz val="14"/>
      <name val="Times New Roman"/>
      <family val="1"/>
    </font>
    <font>
      <u/>
      <sz val="14"/>
      <color theme="1"/>
      <name val="Times New Roman"/>
      <family val="1"/>
    </font>
    <font>
      <u/>
      <sz val="11"/>
      <color theme="1"/>
      <name val="Times New Roman"/>
      <family val="1"/>
    </font>
    <font>
      <b/>
      <u/>
      <sz val="11"/>
      <color theme="1"/>
      <name val="Times New Roman"/>
      <family val="1"/>
    </font>
    <font>
      <i/>
      <sz val="14"/>
      <name val="Times New Roman"/>
      <family val="1"/>
    </font>
    <font>
      <i/>
      <sz val="14"/>
      <color theme="1"/>
      <name val="Times New Roman"/>
      <family val="1"/>
    </font>
    <font>
      <b/>
      <sz val="16"/>
      <name val="Times New Roman"/>
      <family val="1"/>
    </font>
    <font>
      <sz val="16"/>
      <name val="Times New Roman"/>
      <family val="1"/>
    </font>
    <font>
      <b/>
      <i/>
      <u/>
      <sz val="14"/>
      <name val="Times New Roman"/>
      <family val="1"/>
    </font>
    <font>
      <b/>
      <i/>
      <sz val="12"/>
      <color rgb="FFFF0000"/>
      <name val="Times New Roman"/>
      <family val="1"/>
    </font>
    <font>
      <i/>
      <sz val="12"/>
      <color rgb="FFFF0000"/>
      <name val="Times New Roman"/>
      <family val="1"/>
    </font>
    <font>
      <sz val="14"/>
      <color rgb="FFFF0000"/>
      <name val="Times New Roman"/>
      <family val="1"/>
    </font>
    <font>
      <b/>
      <sz val="14"/>
      <color rgb="FFFF0000"/>
      <name val="Times New Roman"/>
      <family val="1"/>
    </font>
    <font>
      <sz val="11"/>
      <color theme="0"/>
      <name val="Calibri"/>
      <family val="2"/>
      <charset val="163"/>
      <scheme val="minor"/>
    </font>
    <font>
      <sz val="14"/>
      <color rgb="FF0000FF"/>
      <name val="Times New Roman"/>
      <family val="1"/>
    </font>
    <font>
      <b/>
      <sz val="12.5"/>
      <color theme="1"/>
      <name val="Times New Roman"/>
      <family val="1"/>
    </font>
    <font>
      <sz val="11"/>
      <color theme="10"/>
      <name val="Times New Roman"/>
      <family val="2"/>
    </font>
    <font>
      <i/>
      <sz val="11"/>
      <color rgb="FF000000"/>
      <name val="Times New Roman"/>
      <family val="1"/>
    </font>
    <font>
      <sz val="14"/>
      <color rgb="FF0000CC"/>
      <name val="Times New Roman"/>
      <family val="1"/>
    </font>
    <font>
      <b/>
      <sz val="14"/>
      <color theme="0"/>
      <name val="Times New Roman"/>
      <family val="1"/>
    </font>
    <font>
      <i/>
      <sz val="14"/>
      <color rgb="FFFF0000"/>
      <name val="Times New Roman"/>
      <family val="1"/>
    </font>
    <font>
      <b/>
      <i/>
      <sz val="14"/>
      <color rgb="FFFF0000"/>
      <name val="Times New Roman"/>
      <family val="1"/>
    </font>
    <font>
      <b/>
      <sz val="14"/>
      <color rgb="FF0000FF"/>
      <name val="Times New Roman"/>
      <family val="1"/>
    </font>
    <font>
      <b/>
      <u val="singleAccounting"/>
      <sz val="14"/>
      <color rgb="FF0000FF"/>
      <name val="Times New Roman"/>
      <family val="1"/>
    </font>
    <font>
      <b/>
      <sz val="14"/>
      <color rgb="FF000000"/>
      <name val="Times New Roman"/>
      <family val="1"/>
    </font>
    <font>
      <u/>
      <sz val="14"/>
      <name val="Times New Roman"/>
      <family val="1"/>
    </font>
    <font>
      <i/>
      <u/>
      <sz val="14"/>
      <name val="Times New Roman"/>
      <family val="1"/>
    </font>
    <font>
      <u/>
      <sz val="14"/>
      <color rgb="FF0000FF"/>
      <name val="Times New Roman"/>
      <family val="1"/>
    </font>
    <font>
      <b/>
      <u/>
      <sz val="14"/>
      <color rgb="FF0000FF"/>
      <name val="Times New Roman"/>
      <family val="1"/>
    </font>
    <font>
      <sz val="11"/>
      <name val=".VnArial Narrow"/>
      <family val="2"/>
    </font>
    <font>
      <sz val="14"/>
      <color indexed="10"/>
      <name val="Times New Roman"/>
      <family val="1"/>
    </font>
    <font>
      <b/>
      <u/>
      <sz val="12"/>
      <color theme="0"/>
      <name val="Times New Roman"/>
      <family val="1"/>
    </font>
    <font>
      <b/>
      <sz val="12"/>
      <color theme="0"/>
      <name val="Times New Roman"/>
      <family val="1"/>
    </font>
    <font>
      <sz val="12"/>
      <color theme="0"/>
      <name val="Times New Roman"/>
      <family val="1"/>
    </font>
    <font>
      <sz val="12"/>
      <color rgb="FF000000"/>
      <name val="Times New Roman"/>
      <family val="1"/>
    </font>
    <font>
      <b/>
      <sz val="12"/>
      <color rgb="FF000000"/>
      <name val="Times New Roman"/>
      <family val="1"/>
    </font>
    <font>
      <i/>
      <sz val="14"/>
      <color rgb="FF0000FF"/>
      <name val="Times New Roman"/>
      <family val="1"/>
    </font>
    <font>
      <sz val="14"/>
      <color theme="1"/>
      <name val="Times New Roman"/>
      <family val="2"/>
      <charset val="163"/>
    </font>
    <font>
      <sz val="12.5"/>
      <color theme="1"/>
      <name val="Times New Roman"/>
      <family val="1"/>
    </font>
    <font>
      <sz val="13"/>
      <color theme="1"/>
      <name val="Times New Roman"/>
      <family val="1"/>
    </font>
    <font>
      <b/>
      <sz val="13"/>
      <color theme="1"/>
      <name val="Times New Roman"/>
      <family val="1"/>
    </font>
    <font>
      <sz val="12.5"/>
      <name val="Times New Roman"/>
      <family val="1"/>
    </font>
    <font>
      <b/>
      <sz val="12.5"/>
      <name val="Times New Roman"/>
      <family val="1"/>
    </font>
    <font>
      <i/>
      <sz val="13"/>
      <name val="Times New Roman"/>
      <family val="1"/>
    </font>
    <font>
      <sz val="9"/>
      <name val="Times New Roman"/>
      <family val="1"/>
    </font>
    <font>
      <sz val="10"/>
      <name val="Arial"/>
      <family val="2"/>
      <charset val="163"/>
    </font>
    <font>
      <sz val="9"/>
      <color rgb="FF000000"/>
      <name val="Times New Roman"/>
      <family val="1"/>
    </font>
    <font>
      <i/>
      <sz val="11"/>
      <name val="Times New Roman"/>
      <family val="1"/>
    </font>
    <font>
      <b/>
      <sz val="8"/>
      <name val="Times New Roman"/>
      <family val="1"/>
    </font>
    <font>
      <b/>
      <sz val="12"/>
      <color theme="1"/>
      <name val="Times New Roman"/>
      <family val="1"/>
      <charset val="163"/>
    </font>
    <font>
      <b/>
      <sz val="12"/>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sz val="12"/>
      <name val="Times New Roman"/>
      <family val="1"/>
      <charset val="163"/>
    </font>
    <font>
      <b/>
      <sz val="9"/>
      <color indexed="81"/>
      <name val="Tahoma"/>
      <family val="2"/>
      <charset val="163"/>
    </font>
    <font>
      <b/>
      <i/>
      <sz val="10"/>
      <color theme="1"/>
      <name val="Times New Roman"/>
      <family val="1"/>
    </font>
    <font>
      <b/>
      <i/>
      <sz val="10"/>
      <name val="Times New Roman"/>
      <family val="1"/>
    </font>
    <font>
      <u/>
      <sz val="12"/>
      <color indexed="12"/>
      <name val="Times New Roman"/>
      <family val="1"/>
    </font>
    <font>
      <sz val="12"/>
      <color rgb="FF7030A0"/>
      <name val="Times New Roman"/>
      <family val="1"/>
    </font>
    <font>
      <b/>
      <sz val="12"/>
      <color rgb="FF7030A0"/>
      <name val="Times New Roman"/>
      <family val="1"/>
    </font>
    <font>
      <i/>
      <sz val="11"/>
      <color rgb="FF0000FF"/>
      <name val="Times New Roman"/>
      <family val="1"/>
    </font>
    <font>
      <sz val="11"/>
      <color rgb="FF0000FF"/>
      <name val="Times New Roman"/>
      <family val="1"/>
    </font>
    <font>
      <sz val="12"/>
      <color rgb="FF0000FF"/>
      <name val="Times New Roman"/>
      <family val="1"/>
    </font>
    <font>
      <b/>
      <sz val="11"/>
      <color rgb="FF0000FF"/>
      <name val="Times New Roman"/>
      <family val="1"/>
    </font>
    <font>
      <sz val="11"/>
      <color theme="0"/>
      <name val="Times New Roman"/>
      <family val="1"/>
    </font>
    <font>
      <b/>
      <sz val="12"/>
      <color rgb="FF0000FF"/>
      <name val="Times New Roman"/>
      <family val="1"/>
    </font>
    <font>
      <i/>
      <sz val="12"/>
      <name val="Times New Roman"/>
      <family val="1"/>
      <charset val="163"/>
    </font>
    <font>
      <sz val="12"/>
      <name val=".VnArial Narrow"/>
    </font>
    <font>
      <b/>
      <u/>
      <sz val="11"/>
      <name val="Times New Roman"/>
      <family val="1"/>
    </font>
    <font>
      <b/>
      <i/>
      <sz val="11"/>
      <name val="Times New Roman"/>
      <family val="1"/>
    </font>
    <font>
      <b/>
      <u/>
      <sz val="14"/>
      <color theme="0"/>
      <name val="Times New Roman"/>
      <family val="1"/>
    </font>
    <font>
      <sz val="12"/>
      <color theme="1"/>
      <name val="Calibri"/>
      <family val="2"/>
      <charset val="163"/>
      <scheme val="minor"/>
    </font>
    <font>
      <sz val="12"/>
      <color rgb="FFFF0000"/>
      <name val="Times New Roman"/>
      <family val="1"/>
      <charset val="163"/>
    </font>
    <font>
      <sz val="12"/>
      <color theme="0"/>
      <name val="Times New Roman"/>
      <family val="1"/>
      <charset val="163"/>
    </font>
    <font>
      <i/>
      <sz val="11"/>
      <color rgb="FFFF0000"/>
      <name val="Times New Roman"/>
      <family val="1"/>
    </font>
    <font>
      <b/>
      <i/>
      <sz val="10"/>
      <color rgb="FFFF0000"/>
      <name val="Times New Roman"/>
      <family val="1"/>
    </font>
    <font>
      <sz val="13"/>
      <color rgb="FFFF0000"/>
      <name val="Times New Roman"/>
      <family val="1"/>
      <charset val="163"/>
    </font>
    <font>
      <sz val="13"/>
      <color rgb="FFFF0000"/>
      <name val="Times New Roman"/>
      <family val="1"/>
    </font>
    <font>
      <b/>
      <i/>
      <u/>
      <sz val="14"/>
      <color theme="1"/>
      <name val="Times New Roman"/>
      <family val="1"/>
    </font>
    <font>
      <b/>
      <i/>
      <u/>
      <sz val="11"/>
      <color theme="1"/>
      <name val="Times New Roman"/>
      <family val="1"/>
    </font>
    <font>
      <b/>
      <sz val="11"/>
      <color theme="0"/>
      <name val="Times New Roman"/>
      <family val="1"/>
    </font>
    <font>
      <sz val="14"/>
      <color theme="0"/>
      <name val="Times New Roman"/>
      <family val="1"/>
    </font>
    <font>
      <b/>
      <u/>
      <sz val="14"/>
      <color rgb="FFFF0000"/>
      <name val="Times New Roman"/>
      <family val="1"/>
    </font>
    <font>
      <u/>
      <sz val="14"/>
      <color rgb="FFFF0000"/>
      <name val="Times New Roman"/>
      <family val="1"/>
    </font>
    <font>
      <i/>
      <u/>
      <sz val="14"/>
      <color theme="1"/>
      <name val="Times New Roman"/>
      <family val="1"/>
    </font>
    <font>
      <b/>
      <sz val="10"/>
      <name val="Times New Roman"/>
      <family val="1"/>
    </font>
    <font>
      <i/>
      <sz val="12"/>
      <color rgb="FF0000FF"/>
      <name val="Times New Roman"/>
      <family val="1"/>
    </font>
    <font>
      <b/>
      <u/>
      <sz val="14"/>
      <color theme="10"/>
      <name val="Times New Roman"/>
      <family val="1"/>
    </font>
    <font>
      <b/>
      <i/>
      <sz val="14"/>
      <color rgb="FF000000"/>
      <name val="Times New Roman"/>
      <family val="1"/>
    </font>
    <font>
      <sz val="12"/>
      <name val="VNI-Times"/>
    </font>
    <font>
      <b/>
      <sz val="10"/>
      <color indexed="81"/>
      <name val="Tahoma"/>
      <family val="2"/>
    </font>
    <font>
      <u/>
      <sz val="12"/>
      <name val="Times New Roman"/>
      <family val="1"/>
    </font>
    <font>
      <b/>
      <sz val="9"/>
      <color indexed="81"/>
      <name val="Segoe UI"/>
      <family val="2"/>
    </font>
    <font>
      <sz val="9"/>
      <color indexed="81"/>
      <name val="Segoe UI"/>
      <family val="2"/>
    </font>
    <font>
      <b/>
      <u/>
      <sz val="12"/>
      <color rgb="FF0000FF"/>
      <name val="Times New Roman"/>
      <family val="1"/>
    </font>
    <font>
      <b/>
      <u val="singleAccounting"/>
      <sz val="12"/>
      <color rgb="FFFF0000"/>
      <name val="Times New Roman"/>
      <family val="1"/>
    </font>
    <font>
      <b/>
      <u val="singleAccounting"/>
      <sz val="10"/>
      <color rgb="FFFF0000"/>
      <name val="Times New Roman"/>
      <family val="1"/>
    </font>
    <font>
      <sz val="10"/>
      <color rgb="FFFF0000"/>
      <name val="Times New Roman"/>
      <family val="1"/>
    </font>
    <font>
      <i/>
      <sz val="10"/>
      <color rgb="FFFF0000"/>
      <name val="Times New Roman"/>
      <family val="1"/>
    </font>
    <font>
      <i/>
      <u/>
      <sz val="12"/>
      <color rgb="FFFF0000"/>
      <name val="Times New Roman"/>
      <family val="1"/>
    </font>
    <font>
      <i/>
      <u/>
      <sz val="12"/>
      <color rgb="FF0000FF"/>
      <name val="Times New Roman"/>
      <family val="1"/>
    </font>
    <font>
      <u/>
      <sz val="12"/>
      <color rgb="FFFF0000"/>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b/>
      <sz val="10"/>
      <color rgb="FFFF0000"/>
      <name val="Times New Roman"/>
      <family val="1"/>
    </font>
    <font>
      <i/>
      <sz val="10"/>
      <name val="Times New Roman"/>
      <family val="1"/>
    </font>
    <font>
      <sz val="12"/>
      <name val=".VnArial Narrow"/>
      <family val="2"/>
    </font>
    <font>
      <b/>
      <u/>
      <sz val="10"/>
      <name val="Times New Roman"/>
      <family val="1"/>
    </font>
    <font>
      <u/>
      <sz val="10"/>
      <name val="Times New Roman"/>
      <family val="1"/>
    </font>
    <font>
      <b/>
      <sz val="12"/>
      <color rgb="FFFFC000"/>
      <name val="Times New Roman"/>
      <family val="1"/>
    </font>
    <font>
      <b/>
      <sz val="9"/>
      <name val="Times New Roman"/>
      <family val="1"/>
    </font>
    <font>
      <sz val="12"/>
      <color theme="10"/>
      <name val="Times New Roman"/>
      <family val="1"/>
    </font>
    <font>
      <b/>
      <u/>
      <sz val="12"/>
      <color theme="10"/>
      <name val="Times New Roman"/>
      <family val="1"/>
    </font>
    <font>
      <sz val="14"/>
      <color indexed="8"/>
      <name val="Times New Roman"/>
      <family val="1"/>
    </font>
    <font>
      <sz val="11"/>
      <color rgb="FF050505"/>
      <name val="Segoe UI"/>
      <family val="2"/>
    </font>
    <font>
      <i/>
      <sz val="10.5"/>
      <name val="Times New Roman"/>
      <family val="1"/>
    </font>
    <font>
      <b/>
      <sz val="13"/>
      <name val="Arial"/>
      <family val="2"/>
    </font>
    <font>
      <sz val="13"/>
      <name val="Calibri"/>
      <family val="2"/>
      <scheme val="minor"/>
    </font>
    <font>
      <b/>
      <sz val="13"/>
      <name val="Calibri"/>
      <family val="2"/>
      <scheme val="minor"/>
    </font>
    <font>
      <i/>
      <sz val="13"/>
      <name val="Calibri"/>
      <family val="2"/>
      <scheme val="minor"/>
    </font>
    <font>
      <b/>
      <i/>
      <sz val="13"/>
      <name val="Calibri"/>
      <family val="2"/>
      <scheme val="minor"/>
    </font>
    <font>
      <b/>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4"/>
      <color rgb="FF000000"/>
      <name val="Times New Roman"/>
      <family val="1"/>
    </font>
    <font>
      <u/>
      <sz val="12"/>
      <color theme="1"/>
      <name val="Times New Roman"/>
      <family val="1"/>
    </font>
    <font>
      <i/>
      <sz val="14"/>
      <color theme="10"/>
      <name val="Times New Roman"/>
      <family val="1"/>
    </font>
    <font>
      <sz val="14"/>
      <color indexed="81"/>
      <name val="Tahoma"/>
      <family val="2"/>
    </font>
    <font>
      <b/>
      <u val="singleAccounting"/>
      <sz val="14"/>
      <color theme="1"/>
      <name val="Times New Roman"/>
      <family val="1"/>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65"/>
        <bgColor rgb="FF00B0F0"/>
      </patternFill>
    </fill>
    <fill>
      <patternFill patternType="solid">
        <fgColor rgb="FFFFFF00"/>
        <bgColor rgb="FF00B0F0"/>
      </patternFill>
    </fill>
    <fill>
      <patternFill patternType="solid">
        <fgColor rgb="FFFF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ill>
    <fill>
      <patternFill patternType="gray0625">
        <bgColor auto="1"/>
      </patternFill>
    </fill>
    <fill>
      <patternFill patternType="solid">
        <fgColor theme="5"/>
        <bgColor indexed="64"/>
      </patternFill>
    </fill>
    <fill>
      <patternFill patternType="solid">
        <fgColor rgb="FFFF0000"/>
        <bgColor indexed="64"/>
      </patternFill>
    </fill>
  </fills>
  <borders count="227">
    <border>
      <left/>
      <right/>
      <top/>
      <bottom/>
      <diagonal/>
    </border>
    <border>
      <left style="thin">
        <color indexed="64"/>
      </left>
      <right style="thin">
        <color indexed="64"/>
      </right>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auto="1"/>
      </left>
      <right style="double">
        <color auto="1"/>
      </right>
      <top style="hair">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theme="1"/>
      </left>
      <right style="thin">
        <color rgb="FF00B0F0"/>
      </right>
      <top style="hair">
        <color theme="1"/>
      </top>
      <bottom style="hair">
        <color theme="1"/>
      </bottom>
      <diagonal/>
    </border>
    <border>
      <left style="thin">
        <color rgb="FF00B0F0"/>
      </left>
      <right style="thin">
        <color rgb="FF00B0F0"/>
      </right>
      <top style="hair">
        <color theme="1"/>
      </top>
      <bottom style="hair">
        <color theme="1"/>
      </bottom>
      <diagonal/>
    </border>
    <border>
      <left style="thin">
        <color rgb="FF00B0F0"/>
      </left>
      <right style="double">
        <color theme="1"/>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double">
        <color theme="1"/>
      </right>
      <top style="hair">
        <color theme="1"/>
      </top>
      <bottom style="hair">
        <color theme="1"/>
      </bottom>
      <diagonal/>
    </border>
    <border>
      <left style="double">
        <color theme="1"/>
      </left>
      <right style="thin">
        <color rgb="FF00B0F0"/>
      </right>
      <top style="hair">
        <color theme="1"/>
      </top>
      <bottom style="double">
        <color theme="1"/>
      </bottom>
      <diagonal/>
    </border>
    <border>
      <left style="thin">
        <color rgb="FF00B0F0"/>
      </left>
      <right style="thin">
        <color rgb="FF00B0F0"/>
      </right>
      <top style="hair">
        <color theme="1"/>
      </top>
      <bottom style="double">
        <color theme="1"/>
      </bottom>
      <diagonal/>
    </border>
    <border>
      <left style="thin">
        <color rgb="FF00B0F0"/>
      </left>
      <right style="double">
        <color theme="1"/>
      </right>
      <top style="hair">
        <color theme="1"/>
      </top>
      <bottom style="double">
        <color theme="1"/>
      </bottom>
      <diagonal/>
    </border>
    <border>
      <left style="double">
        <color theme="1"/>
      </left>
      <right style="thin">
        <color rgb="FF00B0F0"/>
      </right>
      <top/>
      <bottom style="hair">
        <color theme="1"/>
      </bottom>
      <diagonal/>
    </border>
    <border>
      <left style="thin">
        <color rgb="FF00B0F0"/>
      </left>
      <right style="thin">
        <color rgb="FF00B0F0"/>
      </right>
      <top/>
      <bottom style="hair">
        <color theme="1"/>
      </bottom>
      <diagonal/>
    </border>
    <border>
      <left style="thin">
        <color indexed="64"/>
      </left>
      <right style="thin">
        <color indexed="64"/>
      </right>
      <top/>
      <bottom style="hair">
        <color theme="1"/>
      </bottom>
      <diagonal/>
    </border>
    <border>
      <left style="thin">
        <color indexed="64"/>
      </left>
      <right style="double">
        <color theme="1"/>
      </right>
      <top/>
      <bottom style="hair">
        <color theme="1"/>
      </bottom>
      <diagonal/>
    </border>
    <border>
      <left style="double">
        <color theme="1"/>
      </left>
      <right style="thin">
        <color rgb="FF00B0F0"/>
      </right>
      <top style="double">
        <color theme="1"/>
      </top>
      <bottom style="thin">
        <color theme="1"/>
      </bottom>
      <diagonal/>
    </border>
    <border>
      <left style="thin">
        <color rgb="FF00B0F0"/>
      </left>
      <right style="thin">
        <color rgb="FF00B0F0"/>
      </right>
      <top style="double">
        <color theme="1"/>
      </top>
      <bottom style="thin">
        <color theme="1"/>
      </bottom>
      <diagonal/>
    </border>
    <border>
      <left style="thin">
        <color rgb="FF00B0F0"/>
      </left>
      <right style="double">
        <color theme="1"/>
      </right>
      <top style="double">
        <color theme="1"/>
      </top>
      <bottom style="thin">
        <color theme="1"/>
      </bottom>
      <diagonal/>
    </border>
    <border>
      <left style="double">
        <color theme="1"/>
      </left>
      <right style="thin">
        <color rgb="FF00B0F0"/>
      </right>
      <top style="thin">
        <color theme="1"/>
      </top>
      <bottom style="thin">
        <color theme="1"/>
      </bottom>
      <diagonal/>
    </border>
    <border>
      <left style="thin">
        <color rgb="FF00B0F0"/>
      </left>
      <right style="thin">
        <color rgb="FF00B0F0"/>
      </right>
      <top style="thin">
        <color theme="1"/>
      </top>
      <bottom style="thin">
        <color theme="1"/>
      </bottom>
      <diagonal/>
    </border>
    <border>
      <left style="thin">
        <color rgb="FF00B0F0"/>
      </left>
      <right style="double">
        <color theme="1"/>
      </right>
      <top style="thin">
        <color theme="1"/>
      </top>
      <bottom style="thin">
        <color theme="1"/>
      </bottom>
      <diagonal/>
    </border>
    <border>
      <left style="thin">
        <color indexed="64"/>
      </left>
      <right style="double">
        <color theme="1"/>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hair">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hair">
        <color auto="1"/>
      </top>
      <bottom/>
      <diagonal/>
    </border>
    <border>
      <left style="thin">
        <color rgb="FF00B0F0"/>
      </left>
      <right/>
      <top style="double">
        <color theme="1"/>
      </top>
      <bottom style="thin">
        <color theme="1"/>
      </bottom>
      <diagonal/>
    </border>
    <border>
      <left/>
      <right/>
      <top style="double">
        <color theme="1"/>
      </top>
      <bottom style="thin">
        <color theme="1"/>
      </bottom>
      <diagonal/>
    </border>
    <border>
      <left/>
      <right style="thin">
        <color rgb="FF00B0F0"/>
      </right>
      <top style="double">
        <color theme="1"/>
      </top>
      <bottom style="thin">
        <color theme="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double">
        <color indexed="64"/>
      </bottom>
      <diagonal/>
    </border>
    <border>
      <left/>
      <right style="double">
        <color indexed="64"/>
      </right>
      <top style="double">
        <color indexed="64"/>
      </top>
      <bottom style="thin">
        <color indexed="64"/>
      </bottom>
      <diagonal/>
    </border>
    <border>
      <left/>
      <right style="thin">
        <color rgb="FF00B0F0"/>
      </right>
      <top style="thin">
        <color theme="1"/>
      </top>
      <bottom style="thin">
        <color theme="1"/>
      </bottom>
      <diagonal/>
    </border>
    <border>
      <left/>
      <right style="thin">
        <color indexed="64"/>
      </right>
      <top/>
      <bottom style="hair">
        <color theme="1"/>
      </bottom>
      <diagonal/>
    </border>
    <border>
      <left/>
      <right style="thin">
        <color indexed="64"/>
      </right>
      <top style="hair">
        <color theme="1"/>
      </top>
      <bottom style="hair">
        <color theme="1"/>
      </bottom>
      <diagonal/>
    </border>
    <border>
      <left/>
      <right style="thin">
        <color rgb="FF00B0F0"/>
      </right>
      <top style="hair">
        <color theme="1"/>
      </top>
      <bottom style="hair">
        <color theme="1"/>
      </bottom>
      <diagonal/>
    </border>
    <border>
      <left/>
      <right style="thin">
        <color rgb="FF00B0F0"/>
      </right>
      <top style="hair">
        <color theme="1"/>
      </top>
      <bottom style="double">
        <color theme="1"/>
      </bottom>
      <diagonal/>
    </border>
    <border>
      <left/>
      <right style="double">
        <color theme="1"/>
      </right>
      <top style="double">
        <color theme="1"/>
      </top>
      <bottom style="thin">
        <color theme="1"/>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rgb="FF00B0F0"/>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00B0F0"/>
      </right>
      <top style="thin">
        <color theme="1"/>
      </top>
      <bottom style="thin">
        <color theme="1"/>
      </bottom>
      <diagonal/>
    </border>
    <border>
      <left style="double">
        <color theme="1"/>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indexed="64"/>
      </right>
      <top/>
      <bottom style="hair">
        <color theme="1"/>
      </bottom>
      <diagonal/>
    </border>
    <border>
      <left style="double">
        <color theme="1"/>
      </left>
      <right style="thin">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theme="1"/>
      </top>
      <bottom/>
      <diagonal/>
    </border>
    <border>
      <left/>
      <right style="double">
        <color theme="1"/>
      </right>
      <top style="hair">
        <color theme="1"/>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right/>
      <top style="hair">
        <color theme="1"/>
      </top>
      <bottom style="hair">
        <color theme="1"/>
      </bottom>
      <diagonal/>
    </border>
    <border>
      <left/>
      <right style="double">
        <color theme="1"/>
      </right>
      <top style="hair">
        <color theme="1"/>
      </top>
      <bottom style="hair">
        <color theme="1"/>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s>
  <cellStyleXfs count="416">
    <xf numFmtId="0" fontId="0" fillId="0" borderId="0"/>
    <xf numFmtId="165"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30" fillId="0" borderId="0"/>
    <xf numFmtId="0" fontId="35" fillId="0" borderId="0"/>
    <xf numFmtId="0" fontId="36" fillId="0" borderId="0"/>
    <xf numFmtId="0" fontId="37" fillId="0" borderId="0"/>
    <xf numFmtId="165" fontId="39" fillId="0" borderId="0" applyFont="0" applyFill="0" applyBorder="0" applyAlignment="0" applyProtection="0"/>
    <xf numFmtId="0" fontId="39" fillId="0" borderId="0"/>
    <xf numFmtId="0" fontId="36" fillId="0" borderId="0"/>
    <xf numFmtId="9" fontId="37" fillId="0" borderId="0" applyFont="0" applyFill="0" applyBorder="0" applyAlignment="0" applyProtection="0"/>
    <xf numFmtId="165" fontId="37" fillId="0" borderId="0" applyFont="0" applyFill="0" applyBorder="0" applyAlignment="0" applyProtection="0"/>
    <xf numFmtId="0" fontId="32" fillId="0" borderId="0"/>
    <xf numFmtId="0" fontId="32" fillId="0" borderId="0"/>
    <xf numFmtId="165" fontId="37" fillId="0" borderId="0" applyFont="0" applyFill="0" applyBorder="0" applyAlignment="0" applyProtection="0"/>
    <xf numFmtId="0" fontId="46" fillId="0" borderId="0"/>
    <xf numFmtId="180" fontId="47" fillId="0" borderId="0" applyFont="0" applyFill="0" applyBorder="0" applyAlignment="0" applyProtection="0"/>
    <xf numFmtId="9" fontId="47" fillId="0" borderId="0" applyFont="0" applyFill="0" applyBorder="0" applyAlignment="0" applyProtection="0"/>
    <xf numFmtId="165" fontId="32" fillId="0" borderId="0" applyFont="0" applyFill="0" applyBorder="0" applyAlignment="0" applyProtection="0"/>
    <xf numFmtId="0" fontId="30" fillId="0" borderId="0"/>
    <xf numFmtId="165" fontId="35" fillId="0" borderId="0" applyFont="0" applyFill="0" applyBorder="0" applyAlignment="0" applyProtection="0"/>
    <xf numFmtId="0" fontId="45" fillId="0" borderId="0"/>
    <xf numFmtId="0" fontId="48" fillId="0" borderId="0"/>
    <xf numFmtId="0" fontId="29" fillId="0" borderId="0"/>
    <xf numFmtId="181" fontId="49" fillId="0" borderId="0" applyFont="0" applyFill="0" applyBorder="0" applyAlignment="0" applyProtection="0"/>
    <xf numFmtId="0" fontId="50" fillId="0" borderId="0" applyFont="0" applyFill="0" applyBorder="0" applyAlignment="0" applyProtection="0"/>
    <xf numFmtId="182" fontId="49" fillId="0" borderId="0" applyFont="0" applyFill="0" applyBorder="0" applyAlignment="0" applyProtection="0"/>
    <xf numFmtId="0" fontId="42" fillId="0" borderId="0" applyNumberForma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175" fontId="52" fillId="0" borderId="0" applyFont="0" applyFill="0" applyBorder="0" applyAlignment="0" applyProtection="0"/>
    <xf numFmtId="177" fontId="52" fillId="0" borderId="0" applyFont="0" applyFill="0" applyBorder="0" applyAlignment="0" applyProtection="0"/>
    <xf numFmtId="6" fontId="53" fillId="0" borderId="0" applyFont="0" applyFill="0" applyBorder="0" applyAlignment="0" applyProtection="0"/>
    <xf numFmtId="0" fontId="4" fillId="0" borderId="0">
      <alignment vertical="center"/>
    </xf>
    <xf numFmtId="0" fontId="42" fillId="0" borderId="0" applyFont="0" applyFill="0" applyBorder="0" applyAlignment="0" applyProtection="0"/>
    <xf numFmtId="0" fontId="42" fillId="0" borderId="0" applyFont="0" applyFill="0" applyBorder="0" applyAlignment="0" applyProtection="0"/>
    <xf numFmtId="0" fontId="54" fillId="0" borderId="0"/>
    <xf numFmtId="0" fontId="42" fillId="0" borderId="0" applyNumberFormat="0" applyFill="0" applyBorder="0" applyAlignment="0" applyProtection="0"/>
    <xf numFmtId="183" fontId="31"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9" fontId="56" fillId="0" borderId="0" applyFont="0" applyFill="0" applyBorder="0" applyAlignment="0" applyProtection="0"/>
    <xf numFmtId="0" fontId="57" fillId="5" borderId="0"/>
    <xf numFmtId="0" fontId="58" fillId="5" borderId="0"/>
    <xf numFmtId="0" fontId="59" fillId="0" borderId="0">
      <alignment wrapText="1"/>
    </xf>
    <xf numFmtId="184" fontId="60" fillId="0" borderId="0" applyFont="0" applyFill="0" applyBorder="0" applyAlignment="0" applyProtection="0"/>
    <xf numFmtId="0" fontId="61" fillId="0" borderId="0" applyFont="0" applyFill="0" applyBorder="0" applyAlignment="0" applyProtection="0"/>
    <xf numFmtId="184" fontId="62" fillId="0" borderId="0" applyFont="0" applyFill="0" applyBorder="0" applyAlignment="0" applyProtection="0"/>
    <xf numFmtId="185" fontId="60" fillId="0" borderId="0" applyFont="0" applyFill="0" applyBorder="0" applyAlignment="0" applyProtection="0"/>
    <xf numFmtId="0" fontId="61" fillId="0" borderId="0" applyFont="0" applyFill="0" applyBorder="0" applyAlignment="0" applyProtection="0"/>
    <xf numFmtId="185" fontId="62" fillId="0" borderId="0" applyFont="0" applyFill="0" applyBorder="0" applyAlignment="0" applyProtection="0"/>
    <xf numFmtId="0" fontId="41" fillId="0" borderId="0">
      <alignment horizontal="center" wrapText="1"/>
      <protection locked="0"/>
    </xf>
    <xf numFmtId="186" fontId="60" fillId="0" borderId="0" applyFont="0" applyFill="0" applyBorder="0" applyAlignment="0" applyProtection="0"/>
    <xf numFmtId="0" fontId="61" fillId="0" borderId="0" applyFont="0" applyFill="0" applyBorder="0" applyAlignment="0" applyProtection="0"/>
    <xf numFmtId="186" fontId="62" fillId="0" borderId="0" applyFont="0" applyFill="0" applyBorder="0" applyAlignment="0" applyProtection="0"/>
    <xf numFmtId="187" fontId="60" fillId="0" borderId="0" applyFont="0" applyFill="0" applyBorder="0" applyAlignment="0" applyProtection="0"/>
    <xf numFmtId="0" fontId="61" fillId="0" borderId="0" applyFont="0" applyFill="0" applyBorder="0" applyAlignment="0" applyProtection="0"/>
    <xf numFmtId="187" fontId="62" fillId="0" borderId="0" applyFont="0" applyFill="0" applyBorder="0" applyAlignment="0" applyProtection="0"/>
    <xf numFmtId="0" fontId="63" fillId="0" borderId="0" applyNumberFormat="0" applyFill="0" applyBorder="0" applyAlignment="0" applyProtection="0"/>
    <xf numFmtId="0" fontId="61" fillId="0" borderId="0"/>
    <xf numFmtId="0" fontId="64" fillId="0" borderId="0"/>
    <xf numFmtId="0" fontId="61" fillId="0" borderId="0"/>
    <xf numFmtId="0" fontId="64" fillId="0" borderId="0"/>
    <xf numFmtId="0" fontId="65" fillId="0" borderId="0"/>
    <xf numFmtId="188" fontId="42" fillId="0" borderId="0" applyFill="0" applyBorder="0" applyAlignment="0"/>
    <xf numFmtId="178" fontId="66" fillId="0" borderId="0" applyFill="0" applyBorder="0" applyAlignment="0"/>
    <xf numFmtId="189" fontId="66" fillId="0" borderId="0" applyFill="0" applyBorder="0" applyAlignment="0"/>
    <xf numFmtId="190" fontId="66" fillId="0" borderId="0" applyFill="0" applyBorder="0" applyAlignment="0"/>
    <xf numFmtId="191" fontId="42"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67" fillId="0" borderId="0"/>
    <xf numFmtId="179" fontId="68" fillId="0" borderId="0" applyFont="0" applyFill="0" applyBorder="0" applyAlignment="0" applyProtection="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76" fontId="66" fillId="0" borderId="0" applyFont="0" applyFill="0" applyBorder="0" applyAlignment="0" applyProtection="0"/>
    <xf numFmtId="165" fontId="36" fillId="0" borderId="0" applyFont="0" applyFill="0" applyBorder="0" applyAlignment="0" applyProtection="0"/>
    <xf numFmtId="194" fontId="70" fillId="0" borderId="0"/>
    <xf numFmtId="3" fontId="42" fillId="0" borderId="0" applyFont="0" applyFill="0" applyBorder="0" applyAlignment="0" applyProtection="0"/>
    <xf numFmtId="0" fontId="71" fillId="0" borderId="0" applyNumberFormat="0" applyAlignment="0">
      <alignment horizontal="left"/>
    </xf>
    <xf numFmtId="178" fontId="66" fillId="0" borderId="0" applyFont="0" applyFill="0" applyBorder="0" applyAlignment="0" applyProtection="0"/>
    <xf numFmtId="195" fontId="42" fillId="0" borderId="0" applyFont="0" applyFill="0" applyBorder="0" applyAlignment="0" applyProtection="0"/>
    <xf numFmtId="196" fontId="70" fillId="0" borderId="0"/>
    <xf numFmtId="0" fontId="42" fillId="0" borderId="0" applyFont="0" applyFill="0" applyBorder="0" applyAlignment="0" applyProtection="0"/>
    <xf numFmtId="14" fontId="72" fillId="0" borderId="0" applyFill="0" applyBorder="0" applyAlignment="0"/>
    <xf numFmtId="197" fontId="70" fillId="0" borderId="0" applyFont="0" applyFill="0" applyBorder="0" applyAlignment="0" applyProtection="0"/>
    <xf numFmtId="198" fontId="70" fillId="0" borderId="0" applyFont="0" applyFill="0" applyBorder="0" applyAlignment="0" applyProtection="0"/>
    <xf numFmtId="199" fontId="70" fillId="0" borderId="0"/>
    <xf numFmtId="175" fontId="73" fillId="0" borderId="0" applyFont="0" applyFill="0" applyBorder="0" applyAlignment="0" applyProtection="0"/>
    <xf numFmtId="177"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74" fillId="0" borderId="0" applyNumberFormat="0" applyAlignment="0">
      <alignment horizontal="left"/>
    </xf>
    <xf numFmtId="2" fontId="42" fillId="0" borderId="0" applyFont="0" applyFill="0" applyBorder="0" applyAlignment="0" applyProtection="0"/>
    <xf numFmtId="38" fontId="75" fillId="4" borderId="0" applyNumberFormat="0" applyBorder="0" applyAlignment="0" applyProtection="0"/>
    <xf numFmtId="200" fontId="38" fillId="0" borderId="0" applyFont="0" applyFill="0" applyBorder="0" applyAlignment="0" applyProtection="0"/>
    <xf numFmtId="0" fontId="76" fillId="6" borderId="0"/>
    <xf numFmtId="0" fontId="77" fillId="0" borderId="0">
      <alignment horizontal="left"/>
    </xf>
    <xf numFmtId="0" fontId="43" fillId="0" borderId="38" applyNumberFormat="0" applyAlignment="0" applyProtection="0">
      <alignment horizontal="left" vertical="center"/>
    </xf>
    <xf numFmtId="0" fontId="43" fillId="0" borderId="9">
      <alignment horizontal="left" vertical="center"/>
    </xf>
    <xf numFmtId="0" fontId="78" fillId="0" borderId="0" applyProtection="0"/>
    <xf numFmtId="0" fontId="43" fillId="0" borderId="0" applyProtection="0"/>
    <xf numFmtId="0" fontId="79" fillId="0" borderId="37">
      <alignment horizontal="center"/>
    </xf>
    <xf numFmtId="0" fontId="79" fillId="0" borderId="0">
      <alignment horizontal="center"/>
    </xf>
    <xf numFmtId="5" fontId="80" fillId="7" borderId="11" applyNumberFormat="0" applyAlignment="0">
      <alignment horizontal="left" vertical="top"/>
    </xf>
    <xf numFmtId="49" fontId="81" fillId="0" borderId="11">
      <alignment vertical="center"/>
    </xf>
    <xf numFmtId="10" fontId="75" fillId="4" borderId="11" applyNumberFormat="0" applyBorder="0" applyAlignment="0" applyProtection="0"/>
    <xf numFmtId="0" fontId="31" fillId="0" borderId="0"/>
    <xf numFmtId="0" fontId="70" fillId="0" borderId="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38" fontId="70" fillId="0" borderId="0" applyFont="0" applyFill="0" applyBorder="0" applyAlignment="0" applyProtection="0"/>
    <xf numFmtId="40" fontId="70"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0" fontId="82" fillId="0" borderId="37"/>
    <xf numFmtId="201" fontId="42" fillId="0" borderId="3"/>
    <xf numFmtId="202" fontId="70" fillId="0" borderId="0" applyFont="0" applyFill="0" applyBorder="0" applyAlignment="0" applyProtection="0"/>
    <xf numFmtId="203" fontId="70"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44" fillId="0" borderId="0" applyNumberFormat="0" applyFont="0" applyFill="0" applyAlignment="0"/>
    <xf numFmtId="0" fontId="34" fillId="0" borderId="0"/>
    <xf numFmtId="37" fontId="83" fillId="0" borderId="0"/>
    <xf numFmtId="206" fontId="84" fillId="0" borderId="0"/>
    <xf numFmtId="0" fontId="30" fillId="0" borderId="0"/>
    <xf numFmtId="0" fontId="31" fillId="0" borderId="0"/>
    <xf numFmtId="0" fontId="73" fillId="0" borderId="0"/>
    <xf numFmtId="0" fontId="85" fillId="0" borderId="0" applyNumberFormat="0" applyFill="0" applyBorder="0" applyAlignment="0" applyProtection="0"/>
    <xf numFmtId="0" fontId="85" fillId="0" borderId="0" applyNumberFormat="0" applyFill="0" applyBorder="0" applyAlignment="0" applyProtection="0"/>
    <xf numFmtId="14" fontId="41" fillId="0" borderId="0">
      <alignment horizontal="center" wrapText="1"/>
      <protection locked="0"/>
    </xf>
    <xf numFmtId="191" fontId="42" fillId="0" borderId="0" applyFont="0" applyFill="0" applyBorder="0" applyAlignment="0" applyProtection="0"/>
    <xf numFmtId="207" fontId="42" fillId="0" borderId="0" applyFont="0" applyFill="0" applyBorder="0" applyAlignment="0" applyProtection="0"/>
    <xf numFmtId="10" fontId="42" fillId="0" borderId="0" applyFont="0" applyFill="0" applyBorder="0" applyAlignment="0" applyProtection="0"/>
    <xf numFmtId="9" fontId="70" fillId="0" borderId="39" applyNumberFormat="0" applyBorder="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40" fillId="0" borderId="0"/>
    <xf numFmtId="0" fontId="70" fillId="0" borderId="0" applyNumberFormat="0" applyFont="0" applyFill="0" applyBorder="0" applyAlignment="0" applyProtection="0">
      <alignment horizontal="left"/>
    </xf>
    <xf numFmtId="0" fontId="86" fillId="0" borderId="37">
      <alignment horizontal="center"/>
    </xf>
    <xf numFmtId="0" fontId="87" fillId="8" borderId="0" applyNumberFormat="0" applyFont="0" applyBorder="0" applyAlignment="0">
      <alignment horizontal="center"/>
    </xf>
    <xf numFmtId="14" fontId="88" fillId="0" borderId="0" applyNumberFormat="0" applyFill="0" applyBorder="0" applyAlignment="0" applyProtection="0">
      <alignment horizontal="left"/>
    </xf>
    <xf numFmtId="4" fontId="89" fillId="9" borderId="40" applyNumberFormat="0" applyProtection="0">
      <alignment vertical="center"/>
    </xf>
    <xf numFmtId="4" fontId="90" fillId="9" borderId="40" applyNumberFormat="0" applyProtection="0">
      <alignment vertical="center"/>
    </xf>
    <xf numFmtId="4" fontId="91" fillId="9" borderId="40" applyNumberFormat="0" applyProtection="0">
      <alignment horizontal="left" vertical="center" indent="1"/>
    </xf>
    <xf numFmtId="4" fontId="91" fillId="10" borderId="0" applyNumberFormat="0" applyProtection="0">
      <alignment horizontal="left" vertical="center" indent="1"/>
    </xf>
    <xf numFmtId="4" fontId="91" fillId="11" borderId="40" applyNumberFormat="0" applyProtection="0">
      <alignment horizontal="right" vertical="center"/>
    </xf>
    <xf numFmtId="4" fontId="91" fillId="12" borderId="40" applyNumberFormat="0" applyProtection="0">
      <alignment horizontal="right" vertical="center"/>
    </xf>
    <xf numFmtId="4" fontId="91" fillId="13" borderId="40" applyNumberFormat="0" applyProtection="0">
      <alignment horizontal="right" vertical="center"/>
    </xf>
    <xf numFmtId="4" fontId="91" fillId="14" borderId="40" applyNumberFormat="0" applyProtection="0">
      <alignment horizontal="right" vertical="center"/>
    </xf>
    <xf numFmtId="4" fontId="91" fillId="15" borderId="40" applyNumberFormat="0" applyProtection="0">
      <alignment horizontal="right" vertical="center"/>
    </xf>
    <xf numFmtId="4" fontId="91" fillId="16" borderId="40" applyNumberFormat="0" applyProtection="0">
      <alignment horizontal="right" vertical="center"/>
    </xf>
    <xf numFmtId="4" fontId="91" fillId="17" borderId="40" applyNumberFormat="0" applyProtection="0">
      <alignment horizontal="right" vertical="center"/>
    </xf>
    <xf numFmtId="4" fontId="91" fillId="18" borderId="40" applyNumberFormat="0" applyProtection="0">
      <alignment horizontal="right" vertical="center"/>
    </xf>
    <xf numFmtId="4" fontId="91" fillId="19" borderId="40" applyNumberFormat="0" applyProtection="0">
      <alignment horizontal="right" vertical="center"/>
    </xf>
    <xf numFmtId="4" fontId="89" fillId="20" borderId="41" applyNumberFormat="0" applyProtection="0">
      <alignment horizontal="left" vertical="center" indent="1"/>
    </xf>
    <xf numFmtId="4" fontId="89" fillId="21" borderId="0" applyNumberFormat="0" applyProtection="0">
      <alignment horizontal="left" vertical="center" indent="1"/>
    </xf>
    <xf numFmtId="4" fontId="89" fillId="10" borderId="0" applyNumberFormat="0" applyProtection="0">
      <alignment horizontal="left" vertical="center" indent="1"/>
    </xf>
    <xf numFmtId="4" fontId="91" fillId="21" borderId="40" applyNumberFormat="0" applyProtection="0">
      <alignment horizontal="right" vertical="center"/>
    </xf>
    <xf numFmtId="4" fontId="72" fillId="21" borderId="0" applyNumberFormat="0" applyProtection="0">
      <alignment horizontal="left" vertical="center" indent="1"/>
    </xf>
    <xf numFmtId="4" fontId="72" fillId="10" borderId="0" applyNumberFormat="0" applyProtection="0">
      <alignment horizontal="left" vertical="center" indent="1"/>
    </xf>
    <xf numFmtId="4" fontId="91" fillId="22" borderId="40" applyNumberFormat="0" applyProtection="0">
      <alignment vertical="center"/>
    </xf>
    <xf numFmtId="4" fontId="92" fillId="22" borderId="40" applyNumberFormat="0" applyProtection="0">
      <alignment vertical="center"/>
    </xf>
    <xf numFmtId="4" fontId="89" fillId="21" borderId="42" applyNumberFormat="0" applyProtection="0">
      <alignment horizontal="left" vertical="center" indent="1"/>
    </xf>
    <xf numFmtId="4" fontId="91" fillId="22" borderId="40" applyNumberFormat="0" applyProtection="0">
      <alignment horizontal="right" vertical="center"/>
    </xf>
    <xf numFmtId="4" fontId="92" fillId="22" borderId="40" applyNumberFormat="0" applyProtection="0">
      <alignment horizontal="right" vertical="center"/>
    </xf>
    <xf numFmtId="4" fontId="89" fillId="21" borderId="40" applyNumberFormat="0" applyProtection="0">
      <alignment horizontal="left" vertical="center" indent="1"/>
    </xf>
    <xf numFmtId="4" fontId="93" fillId="7" borderId="42" applyNumberFormat="0" applyProtection="0">
      <alignment horizontal="left" vertical="center" indent="1"/>
    </xf>
    <xf numFmtId="4" fontId="94" fillId="22" borderId="40" applyNumberFormat="0" applyProtection="0">
      <alignment horizontal="right" vertical="center"/>
    </xf>
    <xf numFmtId="0" fontId="87" fillId="1" borderId="9" applyNumberFormat="0" applyFont="0" applyAlignment="0">
      <alignment horizontal="center"/>
    </xf>
    <xf numFmtId="0" fontId="95" fillId="0" borderId="0" applyNumberFormat="0" applyFill="0" applyBorder="0" applyAlignment="0">
      <alignment horizontal="center"/>
    </xf>
    <xf numFmtId="0" fontId="96" fillId="0" borderId="12" applyNumberFormat="0" applyFill="0" applyBorder="0" applyAlignment="0" applyProtection="0"/>
    <xf numFmtId="0" fontId="97" fillId="0" borderId="0" applyNumberFormat="0" applyFill="0" applyBorder="0" applyAlignment="0" applyProtection="0"/>
    <xf numFmtId="179" fontId="68" fillId="0" borderId="0" applyFont="0" applyFill="0" applyBorder="0" applyAlignment="0" applyProtection="0"/>
    <xf numFmtId="0" fontId="82" fillId="0" borderId="0"/>
    <xf numFmtId="40" fontId="98" fillId="0" borderId="0" applyBorder="0">
      <alignment horizontal="right"/>
    </xf>
    <xf numFmtId="208" fontId="38" fillId="0" borderId="8">
      <alignment horizontal="right" vertical="center"/>
    </xf>
    <xf numFmtId="49" fontId="72" fillId="0" borderId="0" applyFill="0" applyBorder="0" applyAlignment="0"/>
    <xf numFmtId="209" fontId="42" fillId="0" borderId="0" applyFill="0" applyBorder="0" applyAlignment="0"/>
    <xf numFmtId="210" fontId="42" fillId="0" borderId="0" applyFill="0" applyBorder="0" applyAlignment="0"/>
    <xf numFmtId="211" fontId="38" fillId="0" borderId="8">
      <alignment horizontal="center"/>
    </xf>
    <xf numFmtId="0" fontId="85" fillId="0" borderId="0" applyNumberFormat="0" applyFill="0" applyBorder="0" applyAlignment="0" applyProtection="0"/>
    <xf numFmtId="210" fontId="38" fillId="0" borderId="0"/>
    <xf numFmtId="212" fontId="38" fillId="0" borderId="11"/>
    <xf numFmtId="5" fontId="99" fillId="23" borderId="7">
      <alignment vertical="top"/>
    </xf>
    <xf numFmtId="0" fontId="100" fillId="24" borderId="11">
      <alignment horizontal="left" vertical="center"/>
    </xf>
    <xf numFmtId="6" fontId="101" fillId="25" borderId="7"/>
    <xf numFmtId="5" fontId="80" fillId="0" borderId="7">
      <alignment horizontal="left" vertical="top"/>
    </xf>
    <xf numFmtId="0" fontId="102" fillId="26" borderId="0">
      <alignment horizontal="left" vertical="center"/>
    </xf>
    <xf numFmtId="5" fontId="97" fillId="0" borderId="1">
      <alignment horizontal="left" vertical="top"/>
    </xf>
    <xf numFmtId="0" fontId="103" fillId="0" borderId="1">
      <alignment horizontal="left" vertical="center"/>
    </xf>
    <xf numFmtId="42" fontId="73" fillId="0" borderId="0" applyFont="0" applyFill="0" applyBorder="0" applyAlignment="0" applyProtection="0"/>
    <xf numFmtId="44" fontId="73" fillId="0" borderId="0" applyFont="0" applyFill="0" applyBorder="0" applyAlignment="0" applyProtection="0"/>
    <xf numFmtId="0" fontId="104" fillId="0" borderId="0" applyNumberFormat="0" applyFill="0" applyBorder="0" applyAlignment="0" applyProtection="0"/>
    <xf numFmtId="40" fontId="105" fillId="0" borderId="0" applyFont="0" applyFill="0" applyBorder="0" applyAlignment="0" applyProtection="0"/>
    <xf numFmtId="38"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9" fontId="106" fillId="0" borderId="0" applyFont="0" applyFill="0" applyBorder="0" applyAlignment="0" applyProtection="0"/>
    <xf numFmtId="0" fontId="107" fillId="0" borderId="0"/>
    <xf numFmtId="0" fontId="44" fillId="0" borderId="0"/>
    <xf numFmtId="175" fontId="108" fillId="0" borderId="0" applyFont="0" applyFill="0" applyBorder="0" applyAlignment="0" applyProtection="0"/>
    <xf numFmtId="177" fontId="108" fillId="0" borderId="0" applyFont="0" applyFill="0" applyBorder="0" applyAlignment="0" applyProtection="0"/>
    <xf numFmtId="213" fontId="42" fillId="0" borderId="0" applyFont="0" applyFill="0" applyBorder="0" applyAlignment="0" applyProtection="0"/>
    <xf numFmtId="214" fontId="42" fillId="0" borderId="0" applyFont="0" applyFill="0" applyBorder="0" applyAlignment="0" applyProtection="0"/>
    <xf numFmtId="215" fontId="109" fillId="0" borderId="0" applyFont="0" applyFill="0" applyBorder="0" applyAlignment="0" applyProtection="0"/>
    <xf numFmtId="216" fontId="109" fillId="0" borderId="0" applyFont="0" applyFill="0" applyBorder="0" applyAlignment="0" applyProtection="0"/>
    <xf numFmtId="0" fontId="110" fillId="0" borderId="0"/>
    <xf numFmtId="0" fontId="34" fillId="0" borderId="0"/>
    <xf numFmtId="174" fontId="108" fillId="0" borderId="0" applyFont="0" applyFill="0" applyBorder="0" applyAlignment="0" applyProtection="0"/>
    <xf numFmtId="6" fontId="53" fillId="0" borderId="0" applyFont="0" applyFill="0" applyBorder="0" applyAlignment="0" applyProtection="0"/>
    <xf numFmtId="176" fontId="108"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4" fillId="0" borderId="0">
      <alignment vertical="center"/>
    </xf>
    <xf numFmtId="187" fontId="29" fillId="0" borderId="0" applyFont="0" applyFill="0" applyBorder="0" applyAlignment="0" applyProtection="0"/>
    <xf numFmtId="0" fontId="42" fillId="0" borderId="0"/>
    <xf numFmtId="0" fontId="42" fillId="0" borderId="0"/>
    <xf numFmtId="0" fontId="42" fillId="0" borderId="0"/>
    <xf numFmtId="17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48" applyNumberFormat="0" applyFill="0" applyBorder="0" applyAlignment="0" applyProtection="0"/>
    <xf numFmtId="0" fontId="29" fillId="0" borderId="0"/>
    <xf numFmtId="0" fontId="96" fillId="0" borderId="52" applyNumberFormat="0" applyFill="0" applyBorder="0" applyAlignment="0" applyProtection="0"/>
    <xf numFmtId="9" fontId="29" fillId="0" borderId="0" applyFont="0" applyFill="0" applyBorder="0" applyAlignment="0" applyProtection="0"/>
    <xf numFmtId="0" fontId="96" fillId="0" borderId="45" applyNumberFormat="0" applyFill="0" applyBorder="0" applyAlignment="0" applyProtection="0"/>
    <xf numFmtId="0" fontId="29" fillId="0" borderId="0"/>
    <xf numFmtId="9" fontId="29" fillId="0" borderId="0" applyFont="0" applyFill="0" applyBorder="0" applyAlignment="0" applyProtection="0"/>
    <xf numFmtId="0" fontId="96" fillId="0" borderId="50" applyNumberFormat="0" applyFill="0" applyBorder="0" applyAlignment="0" applyProtection="0"/>
    <xf numFmtId="0" fontId="96" fillId="0" borderId="54" applyNumberFormat="0" applyFill="0" applyBorder="0" applyAlignment="0" applyProtection="0"/>
    <xf numFmtId="0" fontId="96" fillId="0" borderId="47" applyNumberFormat="0" applyFill="0" applyBorder="0" applyAlignment="0" applyProtection="0"/>
    <xf numFmtId="0" fontId="29" fillId="0" borderId="0"/>
    <xf numFmtId="9" fontId="29" fillId="0" borderId="0" applyFont="0" applyFill="0" applyBorder="0" applyAlignment="0" applyProtection="0"/>
    <xf numFmtId="201" fontId="42" fillId="0" borderId="44"/>
    <xf numFmtId="0" fontId="29" fillId="0" borderId="0"/>
    <xf numFmtId="0" fontId="96" fillId="0" borderId="46" applyNumberFormat="0" applyFill="0" applyBorder="0" applyAlignment="0" applyProtection="0"/>
    <xf numFmtId="9" fontId="29" fillId="0" borderId="0" applyFont="0" applyFill="0" applyBorder="0" applyAlignment="0" applyProtection="0"/>
    <xf numFmtId="0" fontId="96" fillId="0" borderId="53" applyNumberFormat="0" applyFill="0" applyBorder="0" applyAlignment="0" applyProtection="0"/>
    <xf numFmtId="0" fontId="29" fillId="0" borderId="0"/>
    <xf numFmtId="0" fontId="96" fillId="0" borderId="49" applyNumberFormat="0" applyFill="0" applyBorder="0" applyAlignment="0" applyProtection="0"/>
    <xf numFmtId="0" fontId="96" fillId="0" borderId="43" applyNumberFormat="0" applyFill="0" applyBorder="0" applyAlignment="0" applyProtection="0"/>
    <xf numFmtId="9" fontId="29" fillId="0" borderId="0" applyFont="0" applyFill="0" applyBorder="0" applyAlignment="0" applyProtection="0"/>
    <xf numFmtId="0" fontId="29" fillId="0" borderId="0"/>
    <xf numFmtId="0" fontId="96" fillId="0" borderId="51" applyNumberForma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56" applyNumberFormat="0" applyFill="0" applyBorder="0" applyAlignment="0" applyProtection="0"/>
    <xf numFmtId="0" fontId="96" fillId="0" borderId="59" applyNumberForma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5"/>
    <xf numFmtId="165" fontId="73" fillId="0" borderId="0" applyFont="0" applyFill="0" applyBorder="0" applyAlignment="0" applyProtection="0"/>
    <xf numFmtId="16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8"/>
    <xf numFmtId="164" fontId="73" fillId="0" borderId="0" applyFont="0" applyFill="0" applyBorder="0" applyAlignment="0" applyProtection="0"/>
    <xf numFmtId="164" fontId="73" fillId="0" borderId="0" applyFont="0" applyFill="0" applyBorder="0" applyAlignment="0" applyProtection="0"/>
    <xf numFmtId="0" fontId="96" fillId="0" borderId="57" applyNumberForma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177" fontId="29" fillId="0" borderId="0" applyFont="0" applyFill="0" applyBorder="0" applyAlignment="0" applyProtection="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1" fillId="0" borderId="0"/>
    <xf numFmtId="177" fontId="4" fillId="0" borderId="0" applyFont="0" applyFill="0" applyBorder="0" applyAlignment="0" applyProtection="0"/>
    <xf numFmtId="43" fontId="4" fillId="0" borderId="0" applyFont="0" applyFill="0" applyBorder="0" applyAlignment="0" applyProtection="0"/>
    <xf numFmtId="177" fontId="36" fillId="0" borderId="0" applyFont="0" applyFill="0" applyBorder="0" applyAlignment="0" applyProtection="0"/>
    <xf numFmtId="0" fontId="42" fillId="0" borderId="0"/>
    <xf numFmtId="0" fontId="159" fillId="0" borderId="0"/>
    <xf numFmtId="165" fontId="1" fillId="0" borderId="0" applyFont="0" applyFill="0" applyBorder="0" applyAlignment="0" applyProtection="0"/>
    <xf numFmtId="0" fontId="167" fillId="0" borderId="0"/>
    <xf numFmtId="0" fontId="167" fillId="0" borderId="0"/>
    <xf numFmtId="0" fontId="4" fillId="0" borderId="0"/>
    <xf numFmtId="0" fontId="167" fillId="0" borderId="0"/>
    <xf numFmtId="0" fontId="167" fillId="0" borderId="0"/>
    <xf numFmtId="0" fontId="36" fillId="0" borderId="0"/>
    <xf numFmtId="0" fontId="36" fillId="0" borderId="0"/>
    <xf numFmtId="0" fontId="1" fillId="0" borderId="0"/>
    <xf numFmtId="0" fontId="3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8" fillId="0" borderId="0"/>
    <xf numFmtId="165" fontId="17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 fillId="0" borderId="0" applyFont="0" applyFill="0" applyBorder="0" applyAlignment="0" applyProtection="0"/>
    <xf numFmtId="165" fontId="175" fillId="0" borderId="0" applyFont="0" applyFill="0" applyBorder="0" applyAlignment="0" applyProtection="0"/>
    <xf numFmtId="0" fontId="108" fillId="0" borderId="0"/>
    <xf numFmtId="0" fontId="42" fillId="0" borderId="0"/>
    <xf numFmtId="0" fontId="175" fillId="0" borderId="0"/>
    <xf numFmtId="0" fontId="175" fillId="0" borderId="0"/>
    <xf numFmtId="0" fontId="1" fillId="0" borderId="0"/>
    <xf numFmtId="0" fontId="1"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36" fillId="0" borderId="0"/>
    <xf numFmtId="0" fontId="36" fillId="0" borderId="0"/>
    <xf numFmtId="43" fontId="4" fillId="0" borderId="0" applyFont="0" applyFill="0" applyBorder="0" applyAlignment="0" applyProtection="0"/>
    <xf numFmtId="0" fontId="159" fillId="0" borderId="0"/>
    <xf numFmtId="0" fontId="42" fillId="0" borderId="0"/>
    <xf numFmtId="0" fontId="42" fillId="0" borderId="0"/>
    <xf numFmtId="0" fontId="4" fillId="0" borderId="0"/>
    <xf numFmtId="0" fontId="17" fillId="0" borderId="0"/>
    <xf numFmtId="0" fontId="198" fillId="0" borderId="0"/>
    <xf numFmtId="0" fontId="38" fillId="0" borderId="0"/>
    <xf numFmtId="0" fontId="220" fillId="0" borderId="0"/>
    <xf numFmtId="0" fontId="220" fillId="0" borderId="0"/>
    <xf numFmtId="0" fontId="240" fillId="0" borderId="0"/>
    <xf numFmtId="0" fontId="42" fillId="0" borderId="0"/>
    <xf numFmtId="164" fontId="1" fillId="0" borderId="0" applyFont="0" applyFill="0" applyBorder="0" applyAlignment="0" applyProtection="0"/>
  </cellStyleXfs>
  <cellXfs count="6794">
    <xf numFmtId="0" fontId="0" fillId="0" borderId="0" xfId="0"/>
    <xf numFmtId="0" fontId="17" fillId="0" borderId="0" xfId="0" applyFont="1"/>
    <xf numFmtId="3" fontId="12" fillId="0" borderId="13" xfId="0" applyNumberFormat="1" applyFont="1" applyBorder="1" applyAlignment="1">
      <alignment horizontal="center" vertical="center" shrinkToFit="1"/>
    </xf>
    <xf numFmtId="3" fontId="12" fillId="0" borderId="13" xfId="0" applyNumberFormat="1" applyFont="1" applyBorder="1" applyAlignment="1">
      <alignment horizontal="justify" vertical="center" wrapText="1" shrinkToFit="1"/>
    </xf>
    <xf numFmtId="0" fontId="14" fillId="0" borderId="0" xfId="0" applyFont="1"/>
    <xf numFmtId="0" fontId="16" fillId="0" borderId="0" xfId="0" applyFont="1"/>
    <xf numFmtId="3" fontId="17" fillId="0" borderId="0" xfId="0" applyNumberFormat="1" applyFont="1"/>
    <xf numFmtId="3" fontId="14" fillId="0" borderId="0" xfId="1" applyNumberFormat="1" applyFont="1" applyAlignment="1">
      <alignment shrinkToFit="1"/>
    </xf>
    <xf numFmtId="3" fontId="17" fillId="0" borderId="0" xfId="0" applyNumberFormat="1" applyFont="1" applyAlignment="1">
      <alignment shrinkToFit="1"/>
    </xf>
    <xf numFmtId="3" fontId="23" fillId="3" borderId="0" xfId="0" applyNumberFormat="1" applyFont="1" applyFill="1" applyAlignment="1">
      <alignment shrinkToFit="1"/>
    </xf>
    <xf numFmtId="0" fontId="17" fillId="0" borderId="11" xfId="0" applyFont="1" applyBorder="1"/>
    <xf numFmtId="3" fontId="4" fillId="0" borderId="26" xfId="0" applyNumberFormat="1" applyFont="1" applyBorder="1" applyAlignment="1">
      <alignment vertical="center" shrinkToFit="1"/>
    </xf>
    <xf numFmtId="3" fontId="4" fillId="0" borderId="26" xfId="0" applyNumberFormat="1" applyFont="1" applyBorder="1" applyAlignment="1">
      <alignment shrinkToFit="1"/>
    </xf>
    <xf numFmtId="3" fontId="4" fillId="0" borderId="26" xfId="0" applyNumberFormat="1" applyFont="1" applyBorder="1" applyAlignment="1">
      <alignment horizontal="right" shrinkToFit="1"/>
    </xf>
    <xf numFmtId="3" fontId="11" fillId="0" borderId="26" xfId="0" applyNumberFormat="1" applyFont="1" applyBorder="1" applyAlignment="1">
      <alignment vertical="center" shrinkToFit="1"/>
    </xf>
    <xf numFmtId="3" fontId="18" fillId="0" borderId="26" xfId="0" applyNumberFormat="1" applyFont="1" applyBorder="1" applyAlignment="1">
      <alignment vertical="center" shrinkToFit="1"/>
    </xf>
    <xf numFmtId="3" fontId="14" fillId="0" borderId="0" xfId="0" applyNumberFormat="1" applyFont="1" applyAlignment="1">
      <alignment shrinkToFit="1"/>
    </xf>
    <xf numFmtId="3" fontId="14" fillId="0" borderId="26" xfId="1" applyNumberFormat="1" applyFont="1" applyBorder="1" applyAlignment="1">
      <alignment shrinkToFit="1"/>
    </xf>
    <xf numFmtId="3" fontId="14" fillId="0" borderId="26" xfId="0" applyNumberFormat="1" applyFont="1" applyBorder="1" applyAlignment="1">
      <alignment shrinkToFit="1"/>
    </xf>
    <xf numFmtId="3" fontId="16" fillId="0" borderId="26" xfId="1" applyNumberFormat="1" applyFont="1" applyBorder="1" applyAlignment="1">
      <alignment shrinkToFit="1"/>
    </xf>
    <xf numFmtId="3" fontId="14" fillId="0" borderId="29" xfId="1" applyNumberFormat="1" applyFont="1" applyBorder="1" applyAlignment="1">
      <alignment shrinkToFit="1"/>
    </xf>
    <xf numFmtId="3" fontId="14" fillId="0" borderId="30" xfId="1" applyNumberFormat="1" applyFont="1" applyBorder="1" applyAlignment="1">
      <alignment shrinkToFit="1"/>
    </xf>
    <xf numFmtId="0" fontId="17" fillId="0" borderId="30" xfId="0" applyFont="1" applyBorder="1"/>
    <xf numFmtId="0" fontId="17" fillId="0" borderId="31" xfId="0" applyFont="1" applyBorder="1"/>
    <xf numFmtId="3" fontId="14" fillId="0" borderId="26" xfId="1" applyNumberFormat="1" applyFont="1" applyBorder="1"/>
    <xf numFmtId="0" fontId="17" fillId="0" borderId="32" xfId="0" applyFont="1" applyBorder="1"/>
    <xf numFmtId="3" fontId="17" fillId="0" borderId="26" xfId="0" applyNumberFormat="1" applyFont="1" applyBorder="1" applyAlignment="1">
      <alignment shrinkToFit="1"/>
    </xf>
    <xf numFmtId="3" fontId="17" fillId="0" borderId="26" xfId="1" applyNumberFormat="1" applyFont="1" applyBorder="1" applyAlignment="1">
      <alignment shrinkToFit="1"/>
    </xf>
    <xf numFmtId="3" fontId="16" fillId="0" borderId="26" xfId="0" applyNumberFormat="1" applyFont="1" applyBorder="1" applyAlignment="1">
      <alignment shrinkToFit="1"/>
    </xf>
    <xf numFmtId="0" fontId="112" fillId="0" borderId="0" xfId="0" applyFont="1" applyAlignment="1">
      <alignment vertical="center"/>
    </xf>
    <xf numFmtId="0" fontId="112" fillId="0" borderId="0" xfId="0" applyFont="1"/>
    <xf numFmtId="0" fontId="113" fillId="0" borderId="0" xfId="0" applyFont="1"/>
    <xf numFmtId="3" fontId="112" fillId="0" borderId="0" xfId="0" applyNumberFormat="1" applyFont="1"/>
    <xf numFmtId="0" fontId="113" fillId="0" borderId="58" xfId="0" applyFont="1" applyBorder="1" applyAlignment="1">
      <alignment horizontal="center"/>
    </xf>
    <xf numFmtId="0" fontId="113" fillId="0" borderId="60" xfId="0" applyFont="1" applyBorder="1" applyAlignment="1">
      <alignment horizontal="center"/>
    </xf>
    <xf numFmtId="0" fontId="112" fillId="0" borderId="60" xfId="0" applyFont="1" applyBorder="1"/>
    <xf numFmtId="0" fontId="112" fillId="0" borderId="13" xfId="0" applyFont="1" applyBorder="1"/>
    <xf numFmtId="3" fontId="4" fillId="0" borderId="60" xfId="0" applyNumberFormat="1" applyFont="1" applyBorder="1" applyAlignment="1">
      <alignment vertical="center" shrinkToFit="1"/>
    </xf>
    <xf numFmtId="3" fontId="113" fillId="0" borderId="60" xfId="0" applyNumberFormat="1" applyFont="1" applyBorder="1"/>
    <xf numFmtId="3" fontId="11" fillId="0" borderId="60" xfId="0" applyNumberFormat="1" applyFont="1" applyBorder="1" applyAlignment="1">
      <alignment vertical="center" shrinkToFit="1"/>
    </xf>
    <xf numFmtId="3" fontId="11" fillId="0" borderId="60" xfId="1" applyNumberFormat="1" applyFont="1" applyBorder="1" applyAlignment="1">
      <alignment vertical="center" shrinkToFit="1"/>
    </xf>
    <xf numFmtId="3" fontId="112" fillId="0" borderId="60" xfId="0" applyNumberFormat="1" applyFont="1" applyBorder="1"/>
    <xf numFmtId="3" fontId="18" fillId="0" borderId="26" xfId="1" applyNumberFormat="1" applyFont="1" applyBorder="1" applyAlignment="1">
      <alignment shrinkToFit="1"/>
    </xf>
    <xf numFmtId="0" fontId="32" fillId="0" borderId="60" xfId="0" applyFont="1" applyBorder="1" applyAlignment="1">
      <alignment vertical="center" shrinkToFit="1"/>
    </xf>
    <xf numFmtId="3" fontId="32" fillId="0" borderId="60" xfId="0" applyNumberFormat="1" applyFont="1" applyBorder="1" applyAlignment="1">
      <alignment vertical="center" shrinkToFit="1"/>
    </xf>
    <xf numFmtId="3" fontId="121" fillId="0" borderId="60" xfId="0" applyNumberFormat="1" applyFont="1" applyBorder="1" applyAlignment="1">
      <alignment vertical="center" shrinkToFit="1"/>
    </xf>
    <xf numFmtId="3" fontId="122" fillId="0" borderId="60" xfId="0" applyNumberFormat="1" applyFont="1" applyBorder="1" applyAlignment="1">
      <alignment vertical="center" shrinkToFit="1"/>
    </xf>
    <xf numFmtId="0" fontId="122" fillId="0" borderId="0" xfId="0" applyFont="1"/>
    <xf numFmtId="0" fontId="132" fillId="0" borderId="0" xfId="0" applyFont="1"/>
    <xf numFmtId="0" fontId="121" fillId="0" borderId="0" xfId="0" applyFont="1"/>
    <xf numFmtId="0" fontId="121" fillId="0" borderId="11" xfId="0" applyFont="1" applyBorder="1" applyAlignment="1">
      <alignment horizontal="center" vertical="center"/>
    </xf>
    <xf numFmtId="0" fontId="121" fillId="0" borderId="11" xfId="0" applyFont="1" applyBorder="1" applyAlignment="1">
      <alignment horizontal="center"/>
    </xf>
    <xf numFmtId="0" fontId="120" fillId="0" borderId="4" xfId="0" applyFont="1" applyBorder="1" applyAlignment="1">
      <alignment horizontal="center" vertical="center"/>
    </xf>
    <xf numFmtId="0" fontId="136" fillId="0" borderId="0" xfId="347" applyFont="1" applyAlignment="1">
      <alignment vertical="center" wrapText="1"/>
    </xf>
    <xf numFmtId="0" fontId="137" fillId="0" borderId="0" xfId="347" applyFont="1"/>
    <xf numFmtId="0" fontId="136" fillId="0" borderId="0" xfId="347" applyFont="1" applyAlignment="1">
      <alignment horizontal="center" vertical="center" wrapText="1"/>
    </xf>
    <xf numFmtId="0" fontId="32" fillId="0" borderId="0" xfId="347" applyFont="1"/>
    <xf numFmtId="0" fontId="32" fillId="0" borderId="0" xfId="347" applyFont="1" applyAlignment="1">
      <alignment horizontal="center" vertical="center"/>
    </xf>
    <xf numFmtId="0" fontId="32" fillId="0" borderId="0" xfId="347" applyFont="1" applyAlignment="1">
      <alignment horizontal="right" vertical="center"/>
    </xf>
    <xf numFmtId="0" fontId="128" fillId="0" borderId="0" xfId="347" applyFont="1" applyAlignment="1">
      <alignment horizontal="right"/>
    </xf>
    <xf numFmtId="0" fontId="120" fillId="0" borderId="27" xfId="347" applyFont="1" applyBorder="1" applyAlignment="1">
      <alignment horizontal="center" vertical="center" wrapText="1"/>
    </xf>
    <xf numFmtId="0" fontId="120" fillId="0" borderId="23" xfId="347" applyFont="1" applyBorder="1" applyAlignment="1">
      <alignment vertical="center" wrapText="1"/>
    </xf>
    <xf numFmtId="0" fontId="120" fillId="0" borderId="10" xfId="347" applyFont="1" applyBorder="1" applyAlignment="1">
      <alignment horizontal="center" vertical="center" wrapText="1"/>
    </xf>
    <xf numFmtId="0" fontId="120" fillId="0" borderId="11" xfId="347" applyFont="1" applyBorder="1" applyAlignment="1">
      <alignment horizontal="center" vertical="center" wrapText="1"/>
    </xf>
    <xf numFmtId="0" fontId="120" fillId="0" borderId="0" xfId="347" applyFont="1" applyAlignment="1">
      <alignment horizontal="center" vertical="center" wrapText="1"/>
    </xf>
    <xf numFmtId="0" fontId="120" fillId="0" borderId="28" xfId="347" applyFont="1" applyBorder="1" applyAlignment="1">
      <alignment horizontal="center" vertical="center"/>
    </xf>
    <xf numFmtId="0" fontId="120" fillId="0" borderId="14" xfId="347" applyFont="1" applyBorder="1" applyAlignment="1">
      <alignment horizontal="left" vertical="center" shrinkToFit="1"/>
    </xf>
    <xf numFmtId="3" fontId="120" fillId="0" borderId="14" xfId="347" applyNumberFormat="1" applyFont="1" applyBorder="1" applyAlignment="1">
      <alignment horizontal="right" vertical="center"/>
    </xf>
    <xf numFmtId="0" fontId="120" fillId="0" borderId="14" xfId="347" applyFont="1" applyBorder="1" applyAlignment="1">
      <alignment vertical="center"/>
    </xf>
    <xf numFmtId="0" fontId="120" fillId="0" borderId="33" xfId="347" applyFont="1" applyBorder="1" applyAlignment="1">
      <alignment vertical="center"/>
    </xf>
    <xf numFmtId="0" fontId="120" fillId="0" borderId="65" xfId="347" applyFont="1" applyBorder="1" applyAlignment="1">
      <alignment vertical="center"/>
    </xf>
    <xf numFmtId="0" fontId="120" fillId="0" borderId="0" xfId="347" applyFont="1" applyAlignment="1">
      <alignment vertical="center"/>
    </xf>
    <xf numFmtId="0" fontId="120" fillId="0" borderId="26" xfId="347" applyFont="1" applyBorder="1" applyAlignment="1">
      <alignment horizontal="center" vertical="center"/>
    </xf>
    <xf numFmtId="0" fontId="120" fillId="0" borderId="60" xfId="347" applyFont="1" applyBorder="1" applyAlignment="1">
      <alignment horizontal="left" vertical="center" shrinkToFit="1"/>
    </xf>
    <xf numFmtId="179" fontId="120" fillId="0" borderId="60" xfId="1" applyNumberFormat="1" applyFont="1" applyBorder="1" applyAlignment="1">
      <alignment horizontal="right" vertical="center"/>
    </xf>
    <xf numFmtId="179" fontId="120" fillId="0" borderId="60" xfId="1" applyNumberFormat="1" applyFont="1" applyBorder="1" applyAlignment="1">
      <alignment vertical="center"/>
    </xf>
    <xf numFmtId="179" fontId="120" fillId="0" borderId="32" xfId="1" applyNumberFormat="1" applyFont="1" applyBorder="1" applyAlignment="1">
      <alignment vertical="center" shrinkToFit="1"/>
    </xf>
    <xf numFmtId="179" fontId="120" fillId="0" borderId="59" xfId="1" applyNumberFormat="1" applyFont="1" applyBorder="1" applyAlignment="1">
      <alignment vertical="center"/>
    </xf>
    <xf numFmtId="171" fontId="120" fillId="0" borderId="60" xfId="347" applyNumberFormat="1" applyFont="1" applyBorder="1" applyAlignment="1">
      <alignment horizontal="right" vertical="center"/>
    </xf>
    <xf numFmtId="171" fontId="120" fillId="0" borderId="32" xfId="347" applyNumberFormat="1" applyFont="1" applyBorder="1" applyAlignment="1">
      <alignment horizontal="right" vertical="center" shrinkToFit="1"/>
    </xf>
    <xf numFmtId="171" fontId="120" fillId="0" borderId="59" xfId="347" applyNumberFormat="1" applyFont="1" applyBorder="1" applyAlignment="1">
      <alignment horizontal="right" vertical="center"/>
    </xf>
    <xf numFmtId="0" fontId="32" fillId="0" borderId="26" xfId="347" applyFont="1" applyBorder="1" applyAlignment="1">
      <alignment horizontal="center" vertical="center"/>
    </xf>
    <xf numFmtId="0" fontId="32" fillId="0" borderId="60" xfId="347" applyFont="1" applyBorder="1" applyAlignment="1">
      <alignment horizontal="left" vertical="center" shrinkToFit="1"/>
    </xf>
    <xf numFmtId="3" fontId="32" fillId="0" borderId="60" xfId="347" applyNumberFormat="1" applyFont="1" applyBorder="1" applyAlignment="1">
      <alignment horizontal="right" vertical="center"/>
    </xf>
    <xf numFmtId="0" fontId="32" fillId="0" borderId="60" xfId="347" applyFont="1" applyBorder="1" applyAlignment="1">
      <alignment vertical="center"/>
    </xf>
    <xf numFmtId="179" fontId="32" fillId="0" borderId="32" xfId="1" applyNumberFormat="1" applyFont="1" applyBorder="1" applyAlignment="1">
      <alignment vertical="center" shrinkToFit="1"/>
    </xf>
    <xf numFmtId="179" fontId="32" fillId="0" borderId="59" xfId="1" applyNumberFormat="1" applyFont="1" applyBorder="1" applyAlignment="1">
      <alignment vertical="center"/>
    </xf>
    <xf numFmtId="179" fontId="32" fillId="0" borderId="60" xfId="1" applyNumberFormat="1" applyFont="1" applyBorder="1" applyAlignment="1">
      <alignment vertical="center"/>
    </xf>
    <xf numFmtId="0" fontId="32" fillId="0" borderId="0" xfId="347" applyFont="1" applyAlignment="1">
      <alignment vertical="center"/>
    </xf>
    <xf numFmtId="0" fontId="120" fillId="0" borderId="60" xfId="347" applyFont="1" applyBorder="1" applyAlignment="1">
      <alignment vertical="center" shrinkToFit="1"/>
    </xf>
    <xf numFmtId="3" fontId="120" fillId="0" borderId="60" xfId="347" applyNumberFormat="1" applyFont="1" applyBorder="1" applyAlignment="1">
      <alignment horizontal="right" vertical="center"/>
    </xf>
    <xf numFmtId="0" fontId="120" fillId="0" borderId="60" xfId="347" applyFont="1" applyBorder="1" applyAlignment="1">
      <alignment vertical="center"/>
    </xf>
    <xf numFmtId="0" fontId="123" fillId="0" borderId="26" xfId="347" applyFont="1" applyBorder="1" applyAlignment="1">
      <alignment horizontal="center" vertical="center"/>
    </xf>
    <xf numFmtId="0" fontId="123" fillId="0" borderId="60" xfId="347" quotePrefix="1" applyFont="1" applyBorder="1" applyAlignment="1">
      <alignment vertical="center" shrinkToFit="1"/>
    </xf>
    <xf numFmtId="0" fontId="123" fillId="0" borderId="60" xfId="347" quotePrefix="1" applyFont="1" applyBorder="1" applyAlignment="1">
      <alignment vertical="center"/>
    </xf>
    <xf numFmtId="0" fontId="113" fillId="0" borderId="60" xfId="0" applyFont="1" applyBorder="1" applyAlignment="1">
      <alignment horizontal="left" vertical="center" wrapText="1"/>
    </xf>
    <xf numFmtId="179" fontId="123" fillId="0" borderId="32" xfId="1" applyNumberFormat="1" applyFont="1" applyBorder="1" applyAlignment="1">
      <alignment vertical="center" shrinkToFit="1"/>
    </xf>
    <xf numFmtId="3" fontId="113" fillId="0" borderId="59" xfId="0" quotePrefix="1" applyNumberFormat="1" applyFont="1" applyBorder="1" applyAlignment="1">
      <alignment horizontal="justify" vertical="center" wrapText="1" shrinkToFit="1"/>
    </xf>
    <xf numFmtId="3" fontId="113" fillId="0" borderId="60" xfId="0" quotePrefix="1" applyNumberFormat="1" applyFont="1" applyBorder="1" applyAlignment="1">
      <alignment horizontal="justify" vertical="center" wrapText="1" shrinkToFit="1"/>
    </xf>
    <xf numFmtId="3" fontId="113" fillId="0" borderId="60" xfId="0" applyNumberFormat="1" applyFont="1" applyBorder="1" applyAlignment="1">
      <alignment horizontal="justify" vertical="center" wrapText="1" shrinkToFit="1"/>
    </xf>
    <xf numFmtId="0" fontId="113" fillId="0" borderId="60" xfId="0" applyFont="1" applyBorder="1" applyAlignment="1">
      <alignment horizontal="justify" vertical="center" wrapText="1" shrinkToFit="1"/>
    </xf>
    <xf numFmtId="3" fontId="113" fillId="0" borderId="0" xfId="0" quotePrefix="1" applyNumberFormat="1" applyFont="1" applyAlignment="1">
      <alignment horizontal="justify" vertical="center" wrapText="1" shrinkToFit="1"/>
    </xf>
    <xf numFmtId="0" fontId="123" fillId="0" borderId="0" xfId="347" applyFont="1" applyAlignment="1">
      <alignment vertical="center"/>
    </xf>
    <xf numFmtId="0" fontId="120" fillId="0" borderId="32" xfId="347" applyFont="1" applyBorder="1" applyAlignment="1">
      <alignment vertical="center" shrinkToFit="1"/>
    </xf>
    <xf numFmtId="0" fontId="120" fillId="0" borderId="59" xfId="347" applyFont="1" applyBorder="1" applyAlignment="1">
      <alignment vertical="center"/>
    </xf>
    <xf numFmtId="165" fontId="32" fillId="0" borderId="32" xfId="1" applyFont="1" applyBorder="1" applyAlignment="1">
      <alignment vertical="center" shrinkToFit="1"/>
    </xf>
    <xf numFmtId="0" fontId="32" fillId="0" borderId="59" xfId="347" applyFont="1" applyBorder="1" applyAlignment="1">
      <alignment vertical="center"/>
    </xf>
    <xf numFmtId="179" fontId="32" fillId="0" borderId="60" xfId="1" applyNumberFormat="1" applyFont="1" applyBorder="1" applyAlignment="1">
      <alignment horizontal="right" vertical="center"/>
    </xf>
    <xf numFmtId="0" fontId="32" fillId="0" borderId="60" xfId="347" quotePrefix="1" applyFont="1" applyBorder="1" applyAlignment="1">
      <alignment horizontal="left" vertical="center" shrinkToFit="1"/>
    </xf>
    <xf numFmtId="0" fontId="120" fillId="0" borderId="29" xfId="347" applyFont="1" applyBorder="1" applyAlignment="1">
      <alignment horizontal="center" vertical="center"/>
    </xf>
    <xf numFmtId="0" fontId="120" fillId="0" borderId="30" xfId="347" applyFont="1" applyBorder="1" applyAlignment="1">
      <alignment horizontal="left" vertical="center" shrinkToFit="1"/>
    </xf>
    <xf numFmtId="3" fontId="120" fillId="0" borderId="30" xfId="347" applyNumberFormat="1" applyFont="1" applyBorder="1" applyAlignment="1">
      <alignment horizontal="right" vertical="center"/>
    </xf>
    <xf numFmtId="179" fontId="120" fillId="0" borderId="30" xfId="347" applyNumberFormat="1" applyFont="1" applyBorder="1" applyAlignment="1">
      <alignment horizontal="center" vertical="center"/>
    </xf>
    <xf numFmtId="179" fontId="120" fillId="0" borderId="31" xfId="1" applyNumberFormat="1" applyFont="1" applyBorder="1" applyAlignment="1">
      <alignment horizontal="center" vertical="center" shrinkToFit="1"/>
    </xf>
    <xf numFmtId="179" fontId="120" fillId="0" borderId="66" xfId="347" applyNumberFormat="1" applyFont="1" applyBorder="1" applyAlignment="1">
      <alignment horizontal="center" vertical="center"/>
    </xf>
    <xf numFmtId="179" fontId="120" fillId="0" borderId="13" xfId="347" applyNumberFormat="1" applyFont="1" applyBorder="1" applyAlignment="1">
      <alignment horizontal="center" vertical="center"/>
    </xf>
    <xf numFmtId="0" fontId="120" fillId="0" borderId="0" xfId="347" applyFont="1" applyAlignment="1">
      <alignment horizontal="center" vertical="center"/>
    </xf>
    <xf numFmtId="0" fontId="32" fillId="0" borderId="0" xfId="347" applyFont="1" applyAlignment="1">
      <alignment horizontal="center" vertical="center" shrinkToFit="1"/>
    </xf>
    <xf numFmtId="3" fontId="32" fillId="0" borderId="0" xfId="347" applyNumberFormat="1" applyFont="1" applyAlignment="1">
      <alignment horizontal="right" vertical="center"/>
    </xf>
    <xf numFmtId="179" fontId="32" fillId="0" borderId="0" xfId="347" applyNumberFormat="1" applyFont="1" applyAlignment="1">
      <alignment horizontal="center" vertical="center" shrinkToFit="1"/>
    </xf>
    <xf numFmtId="0" fontId="120" fillId="0" borderId="0" xfId="347" applyFont="1" applyAlignment="1">
      <alignment horizontal="right"/>
    </xf>
    <xf numFmtId="0" fontId="120" fillId="0" borderId="0" xfId="347" applyFont="1"/>
    <xf numFmtId="0" fontId="32" fillId="0" borderId="0" xfId="347" applyFont="1" applyAlignment="1">
      <alignment horizontal="right"/>
    </xf>
    <xf numFmtId="0" fontId="133" fillId="0" borderId="0" xfId="0" applyFont="1" applyAlignment="1">
      <alignment vertical="center"/>
    </xf>
    <xf numFmtId="0" fontId="113" fillId="0" borderId="0" xfId="0" applyFont="1" applyAlignment="1">
      <alignment vertical="center"/>
    </xf>
    <xf numFmtId="3" fontId="133" fillId="27" borderId="58" xfId="0" applyNumberFormat="1" applyFont="1" applyFill="1" applyBorder="1" applyAlignment="1">
      <alignment vertical="center" shrinkToFit="1"/>
    </xf>
    <xf numFmtId="3" fontId="113" fillId="27" borderId="60" xfId="0" applyNumberFormat="1" applyFont="1" applyFill="1" applyBorder="1" applyAlignment="1">
      <alignment vertical="center" shrinkToFit="1"/>
    </xf>
    <xf numFmtId="3" fontId="112" fillId="27" borderId="60" xfId="0" applyNumberFormat="1" applyFont="1" applyFill="1" applyBorder="1" applyAlignment="1">
      <alignment vertical="center" shrinkToFit="1"/>
    </xf>
    <xf numFmtId="3" fontId="133" fillId="27" borderId="60" xfId="0" applyNumberFormat="1" applyFont="1" applyFill="1" applyBorder="1" applyAlignment="1">
      <alignment vertical="center" shrinkToFit="1"/>
    </xf>
    <xf numFmtId="3" fontId="125" fillId="27" borderId="60" xfId="1" applyNumberFormat="1" applyFont="1" applyFill="1" applyBorder="1" applyAlignment="1">
      <alignment vertical="center" shrinkToFit="1"/>
    </xf>
    <xf numFmtId="3" fontId="14" fillId="0" borderId="11" xfId="0" applyNumberFormat="1" applyFont="1" applyBorder="1" applyAlignment="1">
      <alignment horizontal="center" vertical="center"/>
    </xf>
    <xf numFmtId="3" fontId="3" fillId="0" borderId="11" xfId="2" applyNumberFormat="1" applyFont="1" applyBorder="1" applyAlignment="1">
      <alignment horizontal="center" vertical="center" shrinkToFit="1"/>
    </xf>
    <xf numFmtId="3" fontId="4" fillId="0" borderId="11" xfId="0" applyNumberFormat="1" applyFont="1" applyBorder="1" applyAlignment="1">
      <alignment horizontal="center" vertical="center" shrinkToFit="1"/>
    </xf>
    <xf numFmtId="3" fontId="17" fillId="0" borderId="11" xfId="0" applyNumberFormat="1" applyFont="1" applyBorder="1" applyAlignment="1">
      <alignment horizontal="center" vertical="center" shrinkToFit="1"/>
    </xf>
    <xf numFmtId="0" fontId="17" fillId="0" borderId="11" xfId="0" applyFont="1" applyBorder="1" applyAlignment="1">
      <alignment wrapText="1"/>
    </xf>
    <xf numFmtId="3" fontId="12" fillId="0" borderId="58" xfId="0" applyNumberFormat="1" applyFont="1" applyBorder="1" applyAlignment="1">
      <alignment horizontal="center" vertical="center" shrinkToFit="1"/>
    </xf>
    <xf numFmtId="3" fontId="12" fillId="0" borderId="58" xfId="0" applyNumberFormat="1" applyFont="1" applyBorder="1" applyAlignment="1">
      <alignment horizontal="justify" vertical="center" wrapText="1" shrinkToFit="1"/>
    </xf>
    <xf numFmtId="172" fontId="14" fillId="0" borderId="58" xfId="0" applyNumberFormat="1" applyFont="1" applyBorder="1"/>
    <xf numFmtId="3" fontId="14" fillId="0" borderId="58" xfId="0" applyNumberFormat="1" applyFont="1" applyBorder="1" applyAlignment="1">
      <alignment shrinkToFit="1"/>
    </xf>
    <xf numFmtId="3" fontId="12" fillId="0" borderId="60" xfId="0" applyNumberFormat="1" applyFont="1" applyBorder="1" applyAlignment="1">
      <alignment horizontal="center" vertical="center" shrinkToFit="1"/>
    </xf>
    <xf numFmtId="3" fontId="12" fillId="0" borderId="60" xfId="0" applyNumberFormat="1" applyFont="1" applyBorder="1" applyAlignment="1">
      <alignment horizontal="justify" vertical="center" wrapText="1" shrinkToFit="1"/>
    </xf>
    <xf numFmtId="172" fontId="14" fillId="0" borderId="60" xfId="0" applyNumberFormat="1" applyFont="1" applyBorder="1"/>
    <xf numFmtId="3" fontId="14" fillId="0" borderId="60" xfId="0" applyNumberFormat="1" applyFont="1" applyBorder="1" applyAlignment="1">
      <alignment shrinkToFit="1"/>
    </xf>
    <xf numFmtId="3" fontId="13" fillId="0" borderId="60" xfId="0" applyNumberFormat="1" applyFont="1" applyBorder="1" applyAlignment="1">
      <alignment horizontal="center" vertical="center" wrapText="1" shrinkToFit="1"/>
    </xf>
    <xf numFmtId="3" fontId="13" fillId="0" borderId="60" xfId="0" applyNumberFormat="1" applyFont="1" applyBorder="1" applyAlignment="1">
      <alignment horizontal="justify" vertical="center" wrapText="1" shrinkToFit="1"/>
    </xf>
    <xf numFmtId="3" fontId="11" fillId="0" borderId="60" xfId="0" applyNumberFormat="1" applyFont="1" applyBorder="1" applyAlignment="1">
      <alignment horizontal="center" vertical="center" shrinkToFit="1"/>
    </xf>
    <xf numFmtId="3" fontId="11" fillId="0" borderId="60" xfId="0" applyNumberFormat="1" applyFont="1" applyBorder="1" applyAlignment="1">
      <alignment horizontal="justify" vertical="center" wrapText="1" shrinkToFit="1"/>
    </xf>
    <xf numFmtId="3" fontId="14" fillId="0" borderId="60" xfId="0" applyNumberFormat="1" applyFont="1" applyBorder="1" applyAlignment="1">
      <alignment vertical="center" shrinkToFit="1"/>
    </xf>
    <xf numFmtId="167" fontId="14" fillId="0" borderId="60" xfId="0" applyNumberFormat="1" applyFont="1" applyBorder="1" applyAlignment="1">
      <alignment vertical="center" shrinkToFit="1"/>
    </xf>
    <xf numFmtId="166" fontId="14" fillId="0" borderId="60" xfId="0" applyNumberFormat="1" applyFont="1" applyBorder="1" applyAlignment="1">
      <alignment vertical="center" shrinkToFit="1"/>
    </xf>
    <xf numFmtId="170" fontId="14" fillId="0" borderId="60" xfId="1" applyNumberFormat="1" applyFont="1" applyFill="1" applyBorder="1" applyAlignment="1">
      <alignment vertical="center" shrinkToFit="1"/>
    </xf>
    <xf numFmtId="3" fontId="4" fillId="0" borderId="60" xfId="0" applyNumberFormat="1" applyFont="1" applyBorder="1" applyAlignment="1">
      <alignment horizontal="justify" vertical="center" wrapText="1" shrinkToFit="1"/>
    </xf>
    <xf numFmtId="3" fontId="17" fillId="0" borderId="60" xfId="0" applyNumberFormat="1" applyFont="1" applyBorder="1" applyAlignment="1">
      <alignment vertical="center" shrinkToFit="1"/>
    </xf>
    <xf numFmtId="167" fontId="17" fillId="0" borderId="60" xfId="0" applyNumberFormat="1" applyFont="1" applyBorder="1" applyAlignment="1">
      <alignment vertical="center" shrinkToFit="1"/>
    </xf>
    <xf numFmtId="166" fontId="17" fillId="0" borderId="60" xfId="0" applyNumberFormat="1" applyFont="1" applyBorder="1" applyAlignment="1">
      <alignment vertical="center" shrinkToFit="1"/>
    </xf>
    <xf numFmtId="0" fontId="17" fillId="0" borderId="60" xfId="0" applyFont="1" applyBorder="1"/>
    <xf numFmtId="170" fontId="17" fillId="0" borderId="60" xfId="1" applyNumberFormat="1" applyFont="1" applyBorder="1"/>
    <xf numFmtId="3" fontId="17" fillId="0" borderId="60" xfId="0" applyNumberFormat="1" applyFont="1" applyBorder="1" applyAlignment="1">
      <alignment shrinkToFit="1"/>
    </xf>
    <xf numFmtId="0" fontId="14" fillId="0" borderId="60" xfId="0" applyFont="1" applyBorder="1"/>
    <xf numFmtId="170" fontId="14" fillId="0" borderId="60" xfId="1" applyNumberFormat="1" applyFont="1" applyBorder="1"/>
    <xf numFmtId="3" fontId="17" fillId="0" borderId="60" xfId="0" applyNumberFormat="1" applyFont="1" applyBorder="1"/>
    <xf numFmtId="3" fontId="14" fillId="0" borderId="60" xfId="0" applyNumberFormat="1" applyFont="1" applyBorder="1"/>
    <xf numFmtId="3" fontId="17" fillId="0" borderId="60" xfId="1" applyNumberFormat="1" applyFont="1" applyBorder="1" applyAlignment="1">
      <alignment shrinkToFit="1"/>
    </xf>
    <xf numFmtId="3" fontId="14" fillId="0" borderId="60" xfId="1" applyNumberFormat="1" applyFont="1" applyBorder="1" applyAlignment="1">
      <alignment shrinkToFit="1"/>
    </xf>
    <xf numFmtId="3" fontId="14" fillId="0" borderId="60" xfId="0" applyNumberFormat="1" applyFont="1" applyBorder="1" applyAlignment="1">
      <alignment horizontal="center" vertical="center" shrinkToFit="1"/>
    </xf>
    <xf numFmtId="3" fontId="14" fillId="0" borderId="60" xfId="0" applyNumberFormat="1" applyFont="1" applyBorder="1" applyAlignment="1">
      <alignment horizontal="justify" vertical="center" wrapText="1" shrinkToFit="1"/>
    </xf>
    <xf numFmtId="3" fontId="14" fillId="0" borderId="60" xfId="1" applyNumberFormat="1" applyFont="1" applyFill="1" applyBorder="1" applyAlignment="1">
      <alignment horizontal="right" vertical="center" shrinkToFit="1"/>
    </xf>
    <xf numFmtId="168" fontId="14" fillId="0" borderId="60" xfId="1" applyNumberFormat="1" applyFont="1" applyFill="1" applyBorder="1" applyAlignment="1">
      <alignment vertical="center" shrinkToFit="1"/>
    </xf>
    <xf numFmtId="166" fontId="15" fillId="0" borderId="60" xfId="0" applyNumberFormat="1" applyFont="1" applyBorder="1" applyAlignment="1">
      <alignment vertical="center" shrinkToFit="1"/>
    </xf>
    <xf numFmtId="3" fontId="14" fillId="0" borderId="60" xfId="1" applyNumberFormat="1" applyFont="1" applyBorder="1"/>
    <xf numFmtId="166" fontId="16" fillId="0" borderId="60" xfId="0" applyNumberFormat="1" applyFont="1" applyBorder="1" applyAlignment="1">
      <alignment vertical="center" shrinkToFit="1"/>
    </xf>
    <xf numFmtId="3" fontId="16" fillId="0" borderId="60" xfId="0" applyNumberFormat="1" applyFont="1" applyBorder="1" applyAlignment="1">
      <alignment shrinkToFit="1"/>
    </xf>
    <xf numFmtId="3" fontId="16" fillId="0" borderId="60" xfId="1" applyNumberFormat="1" applyFont="1" applyBorder="1" applyAlignment="1">
      <alignment shrinkToFit="1"/>
    </xf>
    <xf numFmtId="3" fontId="21" fillId="0" borderId="60" xfId="0" applyNumberFormat="1" applyFont="1" applyBorder="1" applyAlignment="1">
      <alignment vertical="center" shrinkToFit="1"/>
    </xf>
    <xf numFmtId="166" fontId="21" fillId="0" borderId="60" xfId="0" applyNumberFormat="1" applyFont="1" applyBorder="1" applyAlignment="1">
      <alignment vertical="center" shrinkToFit="1"/>
    </xf>
    <xf numFmtId="172" fontId="17" fillId="0" borderId="60" xfId="0" applyNumberFormat="1" applyFont="1" applyBorder="1"/>
    <xf numFmtId="167" fontId="21" fillId="0" borderId="60" xfId="0" applyNumberFormat="1" applyFont="1" applyBorder="1" applyAlignment="1">
      <alignment vertical="center" shrinkToFit="1"/>
    </xf>
    <xf numFmtId="3" fontId="27" fillId="0" borderId="60" xfId="0" applyNumberFormat="1" applyFont="1" applyBorder="1" applyAlignment="1">
      <alignment horizontal="center" vertical="center" shrinkToFit="1"/>
    </xf>
    <xf numFmtId="3" fontId="27" fillId="0" borderId="60" xfId="0" applyNumberFormat="1" applyFont="1" applyBorder="1" applyAlignment="1">
      <alignment horizontal="justify" vertical="center" wrapText="1" shrinkToFit="1"/>
    </xf>
    <xf numFmtId="3" fontId="28" fillId="0" borderId="60" xfId="0" applyNumberFormat="1" applyFont="1" applyBorder="1" applyAlignment="1">
      <alignment vertical="center" shrinkToFit="1"/>
    </xf>
    <xf numFmtId="167" fontId="28" fillId="0" borderId="60" xfId="0" applyNumberFormat="1" applyFont="1" applyBorder="1" applyAlignment="1">
      <alignment vertical="center" shrinkToFit="1"/>
    </xf>
    <xf numFmtId="166" fontId="28" fillId="0" borderId="60" xfId="0" applyNumberFormat="1" applyFont="1" applyBorder="1" applyAlignment="1">
      <alignment vertical="center" shrinkToFit="1"/>
    </xf>
    <xf numFmtId="3" fontId="16" fillId="0" borderId="60" xfId="0" applyNumberFormat="1" applyFont="1" applyBorder="1"/>
    <xf numFmtId="3" fontId="14" fillId="0" borderId="13" xfId="0" applyNumberFormat="1" applyFont="1" applyBorder="1"/>
    <xf numFmtId="3" fontId="14" fillId="0" borderId="13" xfId="0" applyNumberFormat="1" applyFont="1" applyBorder="1" applyAlignment="1">
      <alignment shrinkToFit="1"/>
    </xf>
    <xf numFmtId="3" fontId="18" fillId="0" borderId="60" xfId="0" applyNumberFormat="1" applyFont="1" applyBorder="1" applyAlignment="1">
      <alignment vertical="center" shrinkToFit="1"/>
    </xf>
    <xf numFmtId="3" fontId="24" fillId="0" borderId="60" xfId="0" applyNumberFormat="1" applyFont="1" applyBorder="1" applyAlignment="1">
      <alignment vertical="center" shrinkToFit="1"/>
    </xf>
    <xf numFmtId="10" fontId="17" fillId="0" borderId="32" xfId="0" applyNumberFormat="1" applyFont="1" applyBorder="1"/>
    <xf numFmtId="10" fontId="14" fillId="0" borderId="32" xfId="0" applyNumberFormat="1" applyFont="1" applyBorder="1"/>
    <xf numFmtId="0" fontId="17" fillId="0" borderId="0" xfId="0" applyFont="1" applyAlignment="1">
      <alignment shrinkToFit="1"/>
    </xf>
    <xf numFmtId="3" fontId="17" fillId="0" borderId="0" xfId="1" applyNumberFormat="1" applyFont="1" applyAlignment="1">
      <alignment shrinkToFit="1"/>
    </xf>
    <xf numFmtId="3" fontId="18" fillId="0" borderId="60" xfId="1" applyNumberFormat="1" applyFont="1" applyBorder="1" applyAlignment="1">
      <alignment shrinkToFit="1"/>
    </xf>
    <xf numFmtId="3" fontId="18" fillId="0" borderId="60" xfId="0" applyNumberFormat="1" applyFont="1" applyBorder="1" applyAlignment="1">
      <alignment shrinkToFit="1"/>
    </xf>
    <xf numFmtId="3" fontId="135" fillId="0" borderId="60" xfId="0" applyNumberFormat="1" applyFont="1" applyBorder="1" applyAlignment="1">
      <alignment vertical="center" shrinkToFit="1"/>
    </xf>
    <xf numFmtId="3" fontId="113" fillId="0" borderId="58" xfId="0" applyNumberFormat="1" applyFont="1" applyBorder="1" applyAlignment="1">
      <alignment vertical="center" shrinkToFit="1"/>
    </xf>
    <xf numFmtId="3" fontId="113" fillId="0" borderId="60" xfId="0" applyNumberFormat="1" applyFont="1" applyBorder="1" applyAlignment="1">
      <alignment vertical="center" shrinkToFit="1"/>
    </xf>
    <xf numFmtId="3" fontId="112" fillId="0" borderId="60" xfId="0" applyNumberFormat="1" applyFont="1" applyBorder="1" applyAlignment="1">
      <alignment vertical="center" shrinkToFit="1"/>
    </xf>
    <xf numFmtId="3" fontId="119" fillId="28" borderId="60" xfId="0" applyNumberFormat="1" applyFont="1" applyFill="1" applyBorder="1" applyAlignment="1">
      <alignment vertical="center" shrinkToFit="1"/>
    </xf>
    <xf numFmtId="170" fontId="17" fillId="0" borderId="0" xfId="0" applyNumberFormat="1" applyFont="1"/>
    <xf numFmtId="0" fontId="17" fillId="0" borderId="60" xfId="0" applyFont="1" applyBorder="1" applyAlignment="1">
      <alignment shrinkToFit="1"/>
    </xf>
    <xf numFmtId="170" fontId="14" fillId="0" borderId="60" xfId="1" applyNumberFormat="1" applyFont="1" applyBorder="1" applyAlignment="1">
      <alignment shrinkToFit="1"/>
    </xf>
    <xf numFmtId="170" fontId="18" fillId="0" borderId="60" xfId="1" applyNumberFormat="1" applyFont="1" applyBorder="1" applyAlignment="1">
      <alignment shrinkToFit="1"/>
    </xf>
    <xf numFmtId="3" fontId="17" fillId="0" borderId="60" xfId="0" applyNumberFormat="1" applyFont="1" applyBorder="1" applyAlignment="1">
      <alignment vertical="center"/>
    </xf>
    <xf numFmtId="0" fontId="17" fillId="0" borderId="60" xfId="0" applyFont="1" applyBorder="1" applyAlignment="1">
      <alignment vertical="center"/>
    </xf>
    <xf numFmtId="0" fontId="17" fillId="0" borderId="0" xfId="0" applyFont="1" applyAlignment="1">
      <alignment vertical="center"/>
    </xf>
    <xf numFmtId="3" fontId="18" fillId="0" borderId="30" xfId="1" applyNumberFormat="1" applyFont="1" applyBorder="1" applyAlignment="1">
      <alignment shrinkToFit="1"/>
    </xf>
    <xf numFmtId="3" fontId="14" fillId="0" borderId="30" xfId="1" applyNumberFormat="1" applyFont="1" applyBorder="1" applyAlignment="1">
      <alignment vertical="center" shrinkToFit="1"/>
    </xf>
    <xf numFmtId="3" fontId="18" fillId="3" borderId="0" xfId="0" applyNumberFormat="1" applyFont="1" applyFill="1" applyAlignment="1">
      <alignment shrinkToFit="1"/>
    </xf>
    <xf numFmtId="3" fontId="18" fillId="0" borderId="26" xfId="1" applyNumberFormat="1" applyFont="1" applyBorder="1" applyAlignment="1">
      <alignment vertical="center" shrinkToFit="1"/>
    </xf>
    <xf numFmtId="3" fontId="18" fillId="0" borderId="60" xfId="1" applyNumberFormat="1" applyFont="1" applyBorder="1" applyAlignment="1">
      <alignment vertical="center" shrinkToFit="1"/>
    </xf>
    <xf numFmtId="3" fontId="139" fillId="0" borderId="26" xfId="1" applyNumberFormat="1" applyFont="1" applyBorder="1" applyAlignment="1">
      <alignment vertical="center" shrinkToFit="1"/>
    </xf>
    <xf numFmtId="3" fontId="139" fillId="0" borderId="60" xfId="1" applyNumberFormat="1" applyFont="1" applyBorder="1" applyAlignment="1">
      <alignment vertical="center" shrinkToFit="1"/>
    </xf>
    <xf numFmtId="3" fontId="14" fillId="0" borderId="26" xfId="1" applyNumberFormat="1" applyFont="1" applyBorder="1" applyAlignment="1">
      <alignment vertical="center" shrinkToFit="1"/>
    </xf>
    <xf numFmtId="3" fontId="14" fillId="0" borderId="60" xfId="1" applyNumberFormat="1" applyFont="1" applyBorder="1" applyAlignment="1">
      <alignment vertical="center" shrinkToFit="1"/>
    </xf>
    <xf numFmtId="3" fontId="17" fillId="0" borderId="0" xfId="0" applyNumberFormat="1" applyFont="1" applyAlignment="1">
      <alignment vertical="center" shrinkToFit="1"/>
    </xf>
    <xf numFmtId="3" fontId="18" fillId="3" borderId="0" xfId="0" applyNumberFormat="1" applyFont="1" applyFill="1" applyAlignment="1">
      <alignment vertical="center" shrinkToFit="1"/>
    </xf>
    <xf numFmtId="3" fontId="14" fillId="0" borderId="0" xfId="0" applyNumberFormat="1" applyFont="1" applyAlignment="1">
      <alignment vertical="center" shrinkToFit="1"/>
    </xf>
    <xf numFmtId="10" fontId="16" fillId="0" borderId="32" xfId="0" applyNumberFormat="1" applyFont="1" applyBorder="1"/>
    <xf numFmtId="0" fontId="17" fillId="0" borderId="68" xfId="0" applyFont="1" applyBorder="1"/>
    <xf numFmtId="170" fontId="14" fillId="0" borderId="59" xfId="1" applyNumberFormat="1" applyFont="1" applyBorder="1"/>
    <xf numFmtId="169" fontId="15" fillId="0" borderId="59" xfId="1" applyNumberFormat="1" applyFont="1" applyBorder="1"/>
    <xf numFmtId="169" fontId="14" fillId="0" borderId="59" xfId="1" applyNumberFormat="1" applyFont="1" applyBorder="1"/>
    <xf numFmtId="169" fontId="18" fillId="0" borderId="59" xfId="1" applyNumberFormat="1" applyFont="1" applyBorder="1"/>
    <xf numFmtId="169" fontId="16" fillId="0" borderId="59" xfId="1" applyNumberFormat="1" applyFont="1" applyBorder="1"/>
    <xf numFmtId="3" fontId="3" fillId="0" borderId="62" xfId="2" applyNumberFormat="1" applyFont="1" applyBorder="1" applyAlignment="1">
      <alignment horizontal="center" vertical="center" shrinkToFit="1"/>
    </xf>
    <xf numFmtId="3" fontId="4" fillId="0" borderId="63" xfId="0" applyNumberFormat="1" applyFont="1" applyBorder="1" applyAlignment="1">
      <alignment horizontal="center" vertical="center" shrinkToFit="1"/>
    </xf>
    <xf numFmtId="3" fontId="12" fillId="0" borderId="26" xfId="0" applyNumberFormat="1" applyFont="1" applyBorder="1" applyAlignment="1">
      <alignment horizontal="center" vertical="center" shrinkToFit="1"/>
    </xf>
    <xf numFmtId="3" fontId="12" fillId="0" borderId="32" xfId="0" applyNumberFormat="1" applyFont="1" applyBorder="1" applyAlignment="1">
      <alignment horizontal="justify" vertical="center" wrapText="1" shrinkToFit="1"/>
    </xf>
    <xf numFmtId="3" fontId="20" fillId="0" borderId="26" xfId="0" applyNumberFormat="1" applyFont="1" applyBorder="1" applyAlignment="1">
      <alignment horizontal="center" vertical="center" wrapText="1" shrinkToFit="1"/>
    </xf>
    <xf numFmtId="3" fontId="20" fillId="0" borderId="32" xfId="0" applyNumberFormat="1" applyFont="1" applyBorder="1" applyAlignment="1">
      <alignment horizontal="justify" vertical="center" wrapText="1" shrinkToFit="1"/>
    </xf>
    <xf numFmtId="3" fontId="11" fillId="0" borderId="26" xfId="0" applyNumberFormat="1" applyFont="1" applyBorder="1" applyAlignment="1">
      <alignment horizontal="center" vertical="center" shrinkToFit="1"/>
    </xf>
    <xf numFmtId="3" fontId="11" fillId="0" borderId="32" xfId="0" applyNumberFormat="1" applyFont="1" applyBorder="1" applyAlignment="1">
      <alignment horizontal="justify" vertical="center" wrapText="1" shrinkToFit="1"/>
    </xf>
    <xf numFmtId="3" fontId="4" fillId="0" borderId="32" xfId="0" applyNumberFormat="1" applyFont="1" applyBorder="1" applyAlignment="1">
      <alignment horizontal="justify" vertical="center" wrapText="1" shrinkToFit="1"/>
    </xf>
    <xf numFmtId="3" fontId="14" fillId="0" borderId="26" xfId="0" applyNumberFormat="1" applyFont="1" applyBorder="1" applyAlignment="1">
      <alignment horizontal="center" vertical="center" shrinkToFit="1"/>
    </xf>
    <xf numFmtId="3" fontId="14" fillId="0" borderId="32" xfId="0" applyNumberFormat="1" applyFont="1" applyBorder="1" applyAlignment="1">
      <alignment horizontal="justify" vertical="center" wrapText="1" shrinkToFit="1"/>
    </xf>
    <xf numFmtId="3" fontId="18" fillId="0" borderId="26" xfId="0" applyNumberFormat="1" applyFont="1" applyBorder="1" applyAlignment="1">
      <alignment horizontal="center" vertical="center" shrinkToFit="1"/>
    </xf>
    <xf numFmtId="3" fontId="18" fillId="0" borderId="32" xfId="0" applyNumberFormat="1" applyFont="1" applyBorder="1" applyAlignment="1">
      <alignment horizontal="justify" vertical="center" wrapText="1" shrinkToFit="1"/>
    </xf>
    <xf numFmtId="3" fontId="15" fillId="0" borderId="26" xfId="0" applyNumberFormat="1" applyFont="1" applyBorder="1" applyAlignment="1">
      <alignment horizontal="center" vertical="center" shrinkToFit="1"/>
    </xf>
    <xf numFmtId="3" fontId="16" fillId="0" borderId="32" xfId="0" applyNumberFormat="1" applyFont="1" applyBorder="1" applyAlignment="1">
      <alignment horizontal="justify" vertical="center" wrapText="1" shrinkToFit="1"/>
    </xf>
    <xf numFmtId="3" fontId="19" fillId="0" borderId="26" xfId="0" applyNumberFormat="1" applyFont="1" applyBorder="1" applyAlignment="1">
      <alignment horizontal="center" vertical="center" shrinkToFit="1"/>
    </xf>
    <xf numFmtId="3" fontId="19" fillId="0" borderId="32" xfId="0" applyNumberFormat="1" applyFont="1" applyBorder="1" applyAlignment="1">
      <alignment horizontal="justify" vertical="center" wrapText="1" shrinkToFit="1"/>
    </xf>
    <xf numFmtId="3" fontId="4" fillId="0" borderId="26" xfId="0" applyNumberFormat="1" applyFont="1" applyBorder="1" applyAlignment="1">
      <alignment horizontal="center" vertical="center" shrinkToFit="1"/>
    </xf>
    <xf numFmtId="3" fontId="12" fillId="0" borderId="29" xfId="0" applyNumberFormat="1" applyFont="1" applyBorder="1" applyAlignment="1">
      <alignment horizontal="center" vertical="center" shrinkToFit="1"/>
    </xf>
    <xf numFmtId="3" fontId="12" fillId="0" borderId="31" xfId="0" applyNumberFormat="1" applyFont="1" applyBorder="1" applyAlignment="1">
      <alignment horizontal="justify" vertical="center" wrapText="1" shrinkToFit="1"/>
    </xf>
    <xf numFmtId="0" fontId="17" fillId="0" borderId="58" xfId="0" applyFont="1" applyBorder="1"/>
    <xf numFmtId="0" fontId="17" fillId="0" borderId="63" xfId="0" applyFont="1" applyBorder="1"/>
    <xf numFmtId="173" fontId="14" fillId="0" borderId="60" xfId="3" applyNumberFormat="1" applyFont="1" applyBorder="1"/>
    <xf numFmtId="173" fontId="14" fillId="0" borderId="32" xfId="3" applyNumberFormat="1" applyFont="1" applyBorder="1"/>
    <xf numFmtId="169" fontId="15" fillId="0" borderId="60" xfId="1" applyNumberFormat="1" applyFont="1" applyBorder="1"/>
    <xf numFmtId="3" fontId="15" fillId="0" borderId="60" xfId="0" applyNumberFormat="1" applyFont="1" applyBorder="1" applyAlignment="1">
      <alignment shrinkToFit="1"/>
    </xf>
    <xf numFmtId="3" fontId="15" fillId="0" borderId="60" xfId="1" applyNumberFormat="1" applyFont="1" applyBorder="1" applyAlignment="1">
      <alignment vertical="center" shrinkToFit="1"/>
    </xf>
    <xf numFmtId="169" fontId="14" fillId="0" borderId="60" xfId="1" applyNumberFormat="1" applyFont="1" applyBorder="1"/>
    <xf numFmtId="3" fontId="23" fillId="0" borderId="60" xfId="0" applyNumberFormat="1" applyFont="1" applyBorder="1" applyAlignment="1">
      <alignment shrinkToFit="1"/>
    </xf>
    <xf numFmtId="169" fontId="18" fillId="0" borderId="60" xfId="1" applyNumberFormat="1" applyFont="1" applyBorder="1" applyAlignment="1">
      <alignment vertical="center" shrinkToFit="1"/>
    </xf>
    <xf numFmtId="173" fontId="17" fillId="0" borderId="60" xfId="3" applyNumberFormat="1" applyFont="1" applyBorder="1"/>
    <xf numFmtId="169" fontId="18" fillId="0" borderId="60" xfId="1" applyNumberFormat="1" applyFont="1" applyBorder="1"/>
    <xf numFmtId="0" fontId="18" fillId="0" borderId="60" xfId="0" applyFont="1" applyBorder="1"/>
    <xf numFmtId="173" fontId="18" fillId="0" borderId="60" xfId="3" applyNumberFormat="1" applyFont="1" applyBorder="1"/>
    <xf numFmtId="0" fontId="16" fillId="0" borderId="60" xfId="0" applyFont="1" applyBorder="1"/>
    <xf numFmtId="3" fontId="140" fillId="0" borderId="60" xfId="0" applyNumberFormat="1" applyFont="1" applyBorder="1" applyAlignment="1">
      <alignment shrinkToFit="1"/>
    </xf>
    <xf numFmtId="3" fontId="15" fillId="0" borderId="60" xfId="0" applyNumberFormat="1" applyFont="1" applyBorder="1" applyAlignment="1">
      <alignment vertical="center" shrinkToFit="1"/>
    </xf>
    <xf numFmtId="3" fontId="11" fillId="3" borderId="60" xfId="0" applyNumberFormat="1" applyFont="1" applyFill="1" applyBorder="1" applyAlignment="1">
      <alignment vertical="center" shrinkToFit="1"/>
    </xf>
    <xf numFmtId="169" fontId="16" fillId="0" borderId="60" xfId="1" applyNumberFormat="1" applyFont="1" applyBorder="1"/>
    <xf numFmtId="3" fontId="16" fillId="0" borderId="60" xfId="0" applyNumberFormat="1" applyFont="1" applyBorder="1" applyAlignment="1">
      <alignment vertical="center" shrinkToFit="1"/>
    </xf>
    <xf numFmtId="0" fontId="16" fillId="0" borderId="32" xfId="0" applyFont="1" applyBorder="1"/>
    <xf numFmtId="3" fontId="140" fillId="0" borderId="60" xfId="1" applyNumberFormat="1" applyFont="1" applyBorder="1" applyAlignment="1">
      <alignment shrinkToFit="1"/>
    </xf>
    <xf numFmtId="3" fontId="16" fillId="0" borderId="60" xfId="1" applyNumberFormat="1" applyFont="1" applyBorder="1" applyAlignment="1">
      <alignment vertical="center" shrinkToFit="1"/>
    </xf>
    <xf numFmtId="173" fontId="17" fillId="0" borderId="32" xfId="3" applyNumberFormat="1" applyFont="1" applyBorder="1"/>
    <xf numFmtId="0" fontId="14" fillId="0" borderId="32" xfId="0" applyFont="1" applyBorder="1"/>
    <xf numFmtId="3" fontId="14" fillId="0" borderId="60" xfId="1" applyNumberFormat="1" applyFont="1" applyBorder="1" applyAlignment="1">
      <alignment horizontal="right" shrinkToFit="1"/>
    </xf>
    <xf numFmtId="3" fontId="18" fillId="3" borderId="60" xfId="1" applyNumberFormat="1" applyFont="1" applyFill="1" applyBorder="1" applyAlignment="1">
      <alignment shrinkToFit="1"/>
    </xf>
    <xf numFmtId="169" fontId="14" fillId="0" borderId="30" xfId="1" applyNumberFormat="1" applyFont="1" applyBorder="1"/>
    <xf numFmtId="3" fontId="17" fillId="0" borderId="30" xfId="0" applyNumberFormat="1" applyFont="1" applyBorder="1" applyAlignment="1">
      <alignment shrinkToFit="1"/>
    </xf>
    <xf numFmtId="169" fontId="16" fillId="0" borderId="60" xfId="1" applyNumberFormat="1" applyFont="1" applyBorder="1" applyAlignment="1">
      <alignment shrinkToFit="1"/>
    </xf>
    <xf numFmtId="0" fontId="16" fillId="0" borderId="60" xfId="0" applyFont="1" applyBorder="1" applyAlignment="1">
      <alignment shrinkToFit="1"/>
    </xf>
    <xf numFmtId="173" fontId="17" fillId="0" borderId="32" xfId="3" applyNumberFormat="1" applyFont="1" applyBorder="1" applyAlignment="1">
      <alignment shrinkToFit="1"/>
    </xf>
    <xf numFmtId="169" fontId="16" fillId="0" borderId="59" xfId="1" applyNumberFormat="1" applyFont="1" applyBorder="1" applyAlignment="1">
      <alignment shrinkToFit="1"/>
    </xf>
    <xf numFmtId="169" fontId="14" fillId="0" borderId="69" xfId="1" applyNumberFormat="1" applyFont="1" applyBorder="1"/>
    <xf numFmtId="3" fontId="19" fillId="0" borderId="32" xfId="0" applyNumberFormat="1" applyFont="1" applyBorder="1" applyAlignment="1">
      <alignment vertical="center" shrinkToFit="1"/>
    </xf>
    <xf numFmtId="0" fontId="17" fillId="0" borderId="15" xfId="0" applyFont="1" applyBorder="1"/>
    <xf numFmtId="0" fontId="17" fillId="0" borderId="16" xfId="0" applyFont="1" applyBorder="1"/>
    <xf numFmtId="0" fontId="14" fillId="0" borderId="16" xfId="0" applyFont="1" applyBorder="1"/>
    <xf numFmtId="0" fontId="18" fillId="0" borderId="16" xfId="0" applyFont="1" applyBorder="1"/>
    <xf numFmtId="0" fontId="16" fillId="0" borderId="16" xfId="0" applyFont="1" applyBorder="1"/>
    <xf numFmtId="0" fontId="16" fillId="0" borderId="16" xfId="0" applyFont="1" applyBorder="1" applyAlignment="1">
      <alignment shrinkToFit="1"/>
    </xf>
    <xf numFmtId="0" fontId="17" fillId="0" borderId="70" xfId="0" applyFont="1" applyBorder="1"/>
    <xf numFmtId="0" fontId="17" fillId="0" borderId="62" xfId="0" applyFont="1" applyBorder="1"/>
    <xf numFmtId="10" fontId="17" fillId="0" borderId="32" xfId="0" applyNumberFormat="1" applyFont="1" applyBorder="1" applyAlignment="1">
      <alignment shrinkToFit="1"/>
    </xf>
    <xf numFmtId="3" fontId="17" fillId="0" borderId="26" xfId="0" applyNumberFormat="1" applyFont="1" applyBorder="1" applyAlignment="1">
      <alignment vertical="center" shrinkToFit="1"/>
    </xf>
    <xf numFmtId="3" fontId="14" fillId="0" borderId="26" xfId="0" applyNumberFormat="1" applyFont="1" applyBorder="1" applyAlignment="1">
      <alignment vertical="center" shrinkToFit="1"/>
    </xf>
    <xf numFmtId="3" fontId="16" fillId="0" borderId="26" xfId="0" applyNumberFormat="1" applyFont="1" applyBorder="1" applyAlignment="1">
      <alignment vertical="center" shrinkToFit="1"/>
    </xf>
    <xf numFmtId="3" fontId="16" fillId="0" borderId="26" xfId="1" applyNumberFormat="1" applyFont="1" applyBorder="1" applyAlignment="1">
      <alignment vertical="center" shrinkToFit="1"/>
    </xf>
    <xf numFmtId="3" fontId="14" fillId="0" borderId="29" xfId="1" applyNumberFormat="1" applyFont="1" applyBorder="1" applyAlignment="1">
      <alignment vertical="center" shrinkToFit="1"/>
    </xf>
    <xf numFmtId="3" fontId="23" fillId="3" borderId="0" xfId="1" applyNumberFormat="1" applyFont="1" applyFill="1" applyAlignment="1">
      <alignment shrinkToFit="1"/>
    </xf>
    <xf numFmtId="3" fontId="17" fillId="0" borderId="0" xfId="1" applyNumberFormat="1" applyFont="1" applyAlignment="1">
      <alignment horizontal="right" shrinkToFit="1"/>
    </xf>
    <xf numFmtId="3" fontId="142" fillId="3" borderId="60" xfId="0" applyNumberFormat="1" applyFont="1" applyFill="1" applyBorder="1" applyAlignment="1">
      <alignment vertical="center" shrinkToFit="1"/>
    </xf>
    <xf numFmtId="3" fontId="141" fillId="3" borderId="60" xfId="0" applyNumberFormat="1" applyFont="1" applyFill="1" applyBorder="1" applyAlignment="1">
      <alignment vertical="center" shrinkToFit="1"/>
    </xf>
    <xf numFmtId="0" fontId="122" fillId="0" borderId="60" xfId="0" applyFont="1" applyBorder="1" applyAlignment="1">
      <alignment vertical="center"/>
    </xf>
    <xf numFmtId="3" fontId="121" fillId="0" borderId="78" xfId="0" applyNumberFormat="1" applyFont="1" applyBorder="1" applyAlignment="1">
      <alignment vertical="center" shrinkToFit="1"/>
    </xf>
    <xf numFmtId="3" fontId="122" fillId="0" borderId="78" xfId="0" applyNumberFormat="1" applyFont="1" applyBorder="1" applyAlignment="1">
      <alignment vertical="center" shrinkToFit="1"/>
    </xf>
    <xf numFmtId="3" fontId="122" fillId="0" borderId="78" xfId="0" applyNumberFormat="1" applyFont="1" applyBorder="1" applyAlignment="1">
      <alignment shrinkToFit="1"/>
    </xf>
    <xf numFmtId="3" fontId="122" fillId="0" borderId="79" xfId="0" applyNumberFormat="1" applyFont="1" applyBorder="1" applyAlignment="1">
      <alignment shrinkToFit="1"/>
    </xf>
    <xf numFmtId="3" fontId="113" fillId="27" borderId="78" xfId="0" applyNumberFormat="1" applyFont="1" applyFill="1" applyBorder="1" applyAlignment="1">
      <alignment vertical="center" shrinkToFit="1"/>
    </xf>
    <xf numFmtId="3" fontId="113" fillId="27" borderId="79" xfId="0" applyNumberFormat="1" applyFont="1" applyFill="1" applyBorder="1" applyAlignment="1">
      <alignment vertical="center" shrinkToFit="1"/>
    </xf>
    <xf numFmtId="3" fontId="135" fillId="0" borderId="78" xfId="0" applyNumberFormat="1" applyFont="1" applyBorder="1" applyAlignment="1">
      <alignment vertical="center" shrinkToFit="1"/>
    </xf>
    <xf numFmtId="3" fontId="135" fillId="0" borderId="78" xfId="0" applyNumberFormat="1" applyFont="1" applyBorder="1" applyAlignment="1">
      <alignment shrinkToFit="1"/>
    </xf>
    <xf numFmtId="3" fontId="135" fillId="0" borderId="79" xfId="0" applyNumberFormat="1" applyFont="1" applyBorder="1" applyAlignment="1">
      <alignment shrinkToFit="1"/>
    </xf>
    <xf numFmtId="3" fontId="125" fillId="27" borderId="78" xfId="1" applyNumberFormat="1" applyFont="1" applyFill="1" applyBorder="1" applyAlignment="1">
      <alignment vertical="center" shrinkToFit="1"/>
    </xf>
    <xf numFmtId="3" fontId="125" fillId="27" borderId="79" xfId="1" applyNumberFormat="1" applyFont="1" applyFill="1" applyBorder="1" applyAlignment="1">
      <alignment vertical="center" shrinkToFit="1"/>
    </xf>
    <xf numFmtId="0" fontId="112" fillId="27" borderId="76" xfId="0" applyFont="1" applyFill="1" applyBorder="1"/>
    <xf numFmtId="0" fontId="112" fillId="27" borderId="80" xfId="0" applyFont="1" applyFill="1" applyBorder="1"/>
    <xf numFmtId="0" fontId="112" fillId="27" borderId="81" xfId="0" applyFont="1" applyFill="1" applyBorder="1"/>
    <xf numFmtId="3" fontId="112" fillId="27" borderId="81" xfId="0" applyNumberFormat="1" applyFont="1" applyFill="1" applyBorder="1" applyAlignment="1">
      <alignment vertical="center"/>
    </xf>
    <xf numFmtId="0" fontId="112" fillId="27" borderId="82" xfId="0" applyFont="1" applyFill="1" applyBorder="1"/>
    <xf numFmtId="3" fontId="122" fillId="0" borderId="0" xfId="0" applyNumberFormat="1" applyFont="1" applyAlignment="1">
      <alignment shrinkToFit="1"/>
    </xf>
    <xf numFmtId="3" fontId="122" fillId="0" borderId="0" xfId="1" applyNumberFormat="1" applyFont="1" applyAlignment="1">
      <alignment shrinkToFit="1"/>
    </xf>
    <xf numFmtId="0" fontId="122" fillId="0" borderId="0" xfId="0" applyFont="1" applyAlignment="1">
      <alignment shrinkToFit="1"/>
    </xf>
    <xf numFmtId="0" fontId="122" fillId="0" borderId="0" xfId="0" applyFont="1" applyAlignment="1">
      <alignment horizontal="center"/>
    </xf>
    <xf numFmtId="0" fontId="121" fillId="0" borderId="0" xfId="0" applyFont="1" applyAlignment="1">
      <alignment shrinkToFit="1"/>
    </xf>
    <xf numFmtId="0" fontId="121" fillId="0" borderId="0" xfId="0" applyFont="1" applyAlignment="1">
      <alignment horizontal="center"/>
    </xf>
    <xf numFmtId="3" fontId="121" fillId="0" borderId="0" xfId="0" applyNumberFormat="1" applyFont="1"/>
    <xf numFmtId="3" fontId="121" fillId="0" borderId="0" xfId="0" applyNumberFormat="1" applyFont="1" applyAlignment="1">
      <alignment shrinkToFit="1"/>
    </xf>
    <xf numFmtId="173" fontId="122" fillId="0" borderId="0" xfId="0" applyNumberFormat="1" applyFont="1"/>
    <xf numFmtId="10" fontId="122" fillId="0" borderId="0" xfId="0" applyNumberFormat="1" applyFont="1"/>
    <xf numFmtId="0" fontId="121" fillId="0" borderId="0" xfId="0" applyFont="1" applyAlignment="1">
      <alignment wrapText="1" shrinkToFit="1"/>
    </xf>
    <xf numFmtId="10" fontId="121" fillId="0" borderId="0" xfId="0" applyNumberFormat="1" applyFont="1" applyAlignment="1">
      <alignment vertical="center"/>
    </xf>
    <xf numFmtId="173" fontId="121" fillId="0" borderId="0" xfId="0" applyNumberFormat="1" applyFont="1" applyAlignment="1">
      <alignment vertical="center"/>
    </xf>
    <xf numFmtId="3" fontId="121" fillId="0" borderId="0" xfId="1" applyNumberFormat="1" applyFont="1" applyAlignment="1">
      <alignment shrinkToFit="1"/>
    </xf>
    <xf numFmtId="3" fontId="122" fillId="0" borderId="60" xfId="0" applyNumberFormat="1" applyFont="1" applyBorder="1" applyAlignment="1">
      <alignment vertical="center"/>
    </xf>
    <xf numFmtId="3" fontId="121" fillId="0" borderId="60" xfId="0" applyNumberFormat="1" applyFont="1" applyBorder="1" applyAlignment="1">
      <alignment vertical="center"/>
    </xf>
    <xf numFmtId="0" fontId="121" fillId="0" borderId="60" xfId="0" applyFont="1" applyBorder="1" applyAlignment="1">
      <alignment vertical="center"/>
    </xf>
    <xf numFmtId="3" fontId="133" fillId="27" borderId="60" xfId="0" applyNumberFormat="1" applyFont="1" applyFill="1" applyBorder="1" applyAlignment="1">
      <alignment vertical="center" wrapText="1" shrinkToFit="1"/>
    </xf>
    <xf numFmtId="3" fontId="113" fillId="27" borderId="60" xfId="0" applyNumberFormat="1" applyFont="1" applyFill="1" applyBorder="1" applyAlignment="1">
      <alignment vertical="center" wrapText="1" shrinkToFit="1"/>
    </xf>
    <xf numFmtId="3" fontId="122" fillId="0" borderId="60" xfId="0" applyNumberFormat="1" applyFont="1" applyBorder="1" applyAlignment="1">
      <alignment vertical="center" wrapText="1" shrinkToFit="1"/>
    </xf>
    <xf numFmtId="3" fontId="121" fillId="0" borderId="60" xfId="0" applyNumberFormat="1" applyFont="1" applyBorder="1" applyAlignment="1">
      <alignment vertical="center" wrapText="1" shrinkToFit="1"/>
    </xf>
    <xf numFmtId="3" fontId="112" fillId="27" borderId="60" xfId="0" applyNumberFormat="1" applyFont="1" applyFill="1" applyBorder="1" applyAlignment="1">
      <alignment vertical="center" wrapText="1" shrinkToFit="1"/>
    </xf>
    <xf numFmtId="3" fontId="113" fillId="27" borderId="76" xfId="0" applyNumberFormat="1" applyFont="1" applyFill="1" applyBorder="1" applyAlignment="1">
      <alignment wrapText="1" shrinkToFit="1"/>
    </xf>
    <xf numFmtId="3" fontId="112" fillId="27" borderId="76" xfId="0" applyNumberFormat="1" applyFont="1" applyFill="1" applyBorder="1" applyAlignment="1">
      <alignment wrapText="1" shrinkToFit="1"/>
    </xf>
    <xf numFmtId="3" fontId="129" fillId="0" borderId="78" xfId="0" applyNumberFormat="1" applyFont="1" applyBorder="1" applyAlignment="1">
      <alignment vertical="center" wrapText="1" shrinkToFit="1"/>
    </xf>
    <xf numFmtId="3" fontId="133" fillId="27" borderId="85" xfId="0" applyNumberFormat="1" applyFont="1" applyFill="1" applyBorder="1" applyAlignment="1">
      <alignment vertical="center" shrinkToFit="1"/>
    </xf>
    <xf numFmtId="3" fontId="133" fillId="27" borderId="86" xfId="0" applyNumberFormat="1" applyFont="1" applyFill="1" applyBorder="1" applyAlignment="1">
      <alignment vertical="center" shrinkToFit="1"/>
    </xf>
    <xf numFmtId="0" fontId="113" fillId="27" borderId="91" xfId="0" applyFont="1" applyFill="1" applyBorder="1" applyAlignment="1">
      <alignment horizontal="center" vertical="center"/>
    </xf>
    <xf numFmtId="0" fontId="113" fillId="27" borderId="91" xfId="0" applyFont="1" applyFill="1" applyBorder="1" applyAlignment="1">
      <alignment horizontal="center"/>
    </xf>
    <xf numFmtId="3" fontId="119" fillId="0" borderId="78" xfId="0" applyNumberFormat="1" applyFont="1" applyBorder="1" applyAlignment="1">
      <alignment vertical="center" shrinkToFit="1"/>
    </xf>
    <xf numFmtId="3" fontId="113" fillId="0" borderId="78" xfId="0" applyNumberFormat="1" applyFont="1" applyBorder="1" applyAlignment="1">
      <alignment vertical="center" shrinkToFit="1"/>
    </xf>
    <xf numFmtId="3" fontId="119" fillId="0" borderId="79" xfId="0" applyNumberFormat="1" applyFont="1" applyBorder="1" applyAlignment="1">
      <alignment vertical="center" shrinkToFit="1"/>
    </xf>
    <xf numFmtId="3" fontId="121" fillId="0" borderId="78" xfId="0" applyNumberFormat="1" applyFont="1" applyBorder="1" applyAlignment="1">
      <alignment shrinkToFit="1"/>
    </xf>
    <xf numFmtId="3" fontId="142" fillId="0" borderId="78" xfId="0" applyNumberFormat="1" applyFont="1" applyBorder="1" applyAlignment="1">
      <alignment shrinkToFit="1"/>
    </xf>
    <xf numFmtId="3" fontId="121" fillId="0" borderId="79" xfId="0" applyNumberFormat="1" applyFont="1" applyBorder="1" applyAlignment="1">
      <alignment shrinkToFit="1"/>
    </xf>
    <xf numFmtId="3" fontId="113" fillId="0" borderId="79" xfId="0" applyNumberFormat="1" applyFont="1" applyBorder="1" applyAlignment="1">
      <alignment vertical="center" shrinkToFit="1"/>
    </xf>
    <xf numFmtId="3" fontId="112" fillId="0" borderId="78" xfId="0" applyNumberFormat="1" applyFont="1" applyBorder="1" applyAlignment="1">
      <alignment vertical="center" shrinkToFit="1"/>
    </xf>
    <xf numFmtId="3" fontId="112" fillId="0" borderId="79" xfId="0" applyNumberFormat="1" applyFont="1" applyBorder="1" applyAlignment="1">
      <alignment vertical="center" shrinkToFit="1"/>
    </xf>
    <xf numFmtId="3" fontId="141" fillId="0" borderId="78" xfId="0" applyNumberFormat="1" applyFont="1" applyBorder="1" applyAlignment="1">
      <alignment shrinkToFit="1"/>
    </xf>
    <xf numFmtId="3" fontId="113" fillId="27" borderId="91" xfId="0" applyNumberFormat="1" applyFont="1" applyFill="1" applyBorder="1" applyAlignment="1">
      <alignment horizontal="center" vertical="center"/>
    </xf>
    <xf numFmtId="3" fontId="113" fillId="27" borderId="91" xfId="0" applyNumberFormat="1" applyFont="1" applyFill="1" applyBorder="1" applyAlignment="1">
      <alignment horizontal="center"/>
    </xf>
    <xf numFmtId="3" fontId="113" fillId="27" borderId="92" xfId="0" applyNumberFormat="1" applyFont="1" applyFill="1" applyBorder="1" applyAlignment="1">
      <alignment horizontal="center"/>
    </xf>
    <xf numFmtId="3" fontId="112" fillId="27" borderId="76" xfId="0" applyNumberFormat="1" applyFont="1" applyFill="1" applyBorder="1"/>
    <xf numFmtId="3" fontId="112" fillId="27" borderId="77" xfId="0" applyNumberFormat="1" applyFont="1" applyFill="1" applyBorder="1"/>
    <xf numFmtId="3" fontId="133" fillId="27" borderId="93" xfId="0" applyNumberFormat="1" applyFont="1" applyFill="1" applyBorder="1" applyAlignment="1">
      <alignment vertical="center" shrinkToFit="1"/>
    </xf>
    <xf numFmtId="3" fontId="113" fillId="27" borderId="93" xfId="0" applyNumberFormat="1" applyFont="1" applyFill="1" applyBorder="1" applyAlignment="1">
      <alignment vertical="center" shrinkToFit="1"/>
    </xf>
    <xf numFmtId="3" fontId="122" fillId="0" borderId="93" xfId="0" applyNumberFormat="1" applyFont="1" applyBorder="1" applyAlignment="1">
      <alignment vertical="center"/>
    </xf>
    <xf numFmtId="3" fontId="121" fillId="0" borderId="93" xfId="0" applyNumberFormat="1" applyFont="1" applyBorder="1" applyAlignment="1">
      <alignment vertical="center"/>
    </xf>
    <xf numFmtId="3" fontId="112" fillId="27" borderId="93" xfId="0" applyNumberFormat="1" applyFont="1" applyFill="1" applyBorder="1" applyAlignment="1">
      <alignment vertical="center" shrinkToFit="1"/>
    </xf>
    <xf numFmtId="3" fontId="129" fillId="0" borderId="79" xfId="0" applyNumberFormat="1" applyFont="1" applyBorder="1" applyAlignment="1">
      <alignment vertical="center" wrapText="1" shrinkToFit="1"/>
    </xf>
    <xf numFmtId="0" fontId="120" fillId="0" borderId="11" xfId="347" applyFont="1" applyBorder="1" applyAlignment="1">
      <alignment horizontal="center" vertical="center" shrinkToFit="1"/>
    </xf>
    <xf numFmtId="0" fontId="0" fillId="0" borderId="0" xfId="0" applyAlignment="1">
      <alignment shrinkToFit="1"/>
    </xf>
    <xf numFmtId="0" fontId="121" fillId="0" borderId="58" xfId="347" applyFont="1" applyBorder="1" applyAlignment="1">
      <alignment horizontal="left" vertical="center" shrinkToFit="1"/>
    </xf>
    <xf numFmtId="0" fontId="121" fillId="0" borderId="60" xfId="347" applyFont="1" applyBorder="1" applyAlignment="1">
      <alignment horizontal="left" vertical="center" shrinkToFit="1"/>
    </xf>
    <xf numFmtId="0" fontId="122" fillId="0" borderId="60" xfId="347" applyFont="1" applyBorder="1" applyAlignment="1">
      <alignment horizontal="left" vertical="center" shrinkToFit="1"/>
    </xf>
    <xf numFmtId="0" fontId="121" fillId="0" borderId="60" xfId="347" quotePrefix="1" applyFont="1" applyBorder="1" applyAlignment="1">
      <alignment horizontal="left" vertical="center" shrinkToFit="1"/>
    </xf>
    <xf numFmtId="0" fontId="135" fillId="0" borderId="60" xfId="347" applyFont="1" applyBorder="1" applyAlignment="1">
      <alignment horizontal="left" vertical="center" shrinkToFit="1"/>
    </xf>
    <xf numFmtId="0" fontId="121" fillId="0" borderId="60" xfId="347" quotePrefix="1" applyFont="1" applyBorder="1" applyAlignment="1">
      <alignment horizontal="left" shrinkToFit="1"/>
    </xf>
    <xf numFmtId="0" fontId="121" fillId="0" borderId="60" xfId="347" applyFont="1" applyBorder="1" applyAlignment="1">
      <alignment horizontal="left" shrinkToFit="1"/>
    </xf>
    <xf numFmtId="0" fontId="122" fillId="0" borderId="60" xfId="347" quotePrefix="1" applyFont="1" applyBorder="1" applyAlignment="1">
      <alignment horizontal="left" vertical="center" shrinkToFit="1"/>
    </xf>
    <xf numFmtId="0" fontId="122" fillId="0" borderId="60" xfId="347" quotePrefix="1" applyFont="1" applyBorder="1" applyAlignment="1">
      <alignment horizontal="left" shrinkToFit="1"/>
    </xf>
    <xf numFmtId="0" fontId="122" fillId="0" borderId="95" xfId="0" applyFont="1" applyBorder="1" applyAlignment="1">
      <alignment vertical="center" shrinkToFit="1"/>
    </xf>
    <xf numFmtId="0" fontId="135" fillId="0" borderId="60" xfId="347" quotePrefix="1" applyFont="1" applyBorder="1" applyAlignment="1">
      <alignment horizontal="left" vertical="center" shrinkToFit="1"/>
    </xf>
    <xf numFmtId="3" fontId="16" fillId="0" borderId="0" xfId="0" applyNumberFormat="1" applyFont="1" applyAlignment="1">
      <alignment shrinkToFit="1"/>
    </xf>
    <xf numFmtId="10" fontId="15" fillId="0" borderId="32" xfId="0" applyNumberFormat="1" applyFont="1" applyBorder="1"/>
    <xf numFmtId="173" fontId="16" fillId="0" borderId="32" xfId="3" applyNumberFormat="1" applyFont="1" applyBorder="1"/>
    <xf numFmtId="0" fontId="120" fillId="0" borderId="0" xfId="0" applyFont="1" applyAlignment="1">
      <alignment vertical="center"/>
    </xf>
    <xf numFmtId="0" fontId="32" fillId="0" borderId="0" xfId="0" applyFont="1"/>
    <xf numFmtId="0" fontId="120" fillId="0" borderId="0" xfId="0" applyFont="1" applyAlignment="1">
      <alignment horizontal="center" vertical="center"/>
    </xf>
    <xf numFmtId="0" fontId="120" fillId="0" borderId="0" xfId="0" applyFont="1" applyAlignment="1">
      <alignment horizontal="right" vertical="center"/>
    </xf>
    <xf numFmtId="0" fontId="120" fillId="29" borderId="11" xfId="0" applyFont="1" applyFill="1" applyBorder="1" applyAlignment="1">
      <alignment horizontal="center" vertical="center" wrapText="1" shrinkToFit="1"/>
    </xf>
    <xf numFmtId="0" fontId="120" fillId="29" borderId="11" xfId="0" applyFont="1" applyFill="1" applyBorder="1" applyAlignment="1">
      <alignment horizontal="center" vertical="center" shrinkToFit="1"/>
    </xf>
    <xf numFmtId="0" fontId="120" fillId="0" borderId="0" xfId="0" applyFont="1"/>
    <xf numFmtId="179" fontId="120" fillId="29" borderId="11" xfId="1" applyNumberFormat="1" applyFont="1" applyFill="1" applyBorder="1" applyAlignment="1">
      <alignment horizontal="center" vertical="center" shrinkToFit="1"/>
    </xf>
    <xf numFmtId="0" fontId="32" fillId="0" borderId="58" xfId="0" applyFont="1" applyBorder="1" applyAlignment="1">
      <alignment vertical="center" shrinkToFit="1"/>
    </xf>
    <xf numFmtId="179" fontId="32" fillId="0" borderId="58" xfId="1" applyNumberFormat="1" applyFont="1" applyBorder="1" applyAlignment="1">
      <alignment horizontal="right" vertical="center" shrinkToFit="1"/>
    </xf>
    <xf numFmtId="179" fontId="32" fillId="0" borderId="58" xfId="1" applyNumberFormat="1" applyFont="1" applyBorder="1" applyAlignment="1">
      <alignment horizontal="center" vertical="center" shrinkToFit="1"/>
    </xf>
    <xf numFmtId="179" fontId="32" fillId="0" borderId="58" xfId="1" applyNumberFormat="1" applyFont="1" applyFill="1" applyBorder="1" applyAlignment="1">
      <alignment vertical="center" shrinkToFit="1"/>
    </xf>
    <xf numFmtId="179" fontId="32" fillId="0" borderId="60" xfId="1" applyNumberFormat="1" applyFont="1" applyBorder="1" applyAlignment="1">
      <alignment horizontal="center" vertical="center" shrinkToFit="1"/>
    </xf>
    <xf numFmtId="179" fontId="32" fillId="0" borderId="60" xfId="1" applyNumberFormat="1" applyFont="1" applyFill="1" applyBorder="1" applyAlignment="1">
      <alignment vertical="center" shrinkToFit="1"/>
    </xf>
    <xf numFmtId="179" fontId="141" fillId="0" borderId="60" xfId="1" applyNumberFormat="1" applyFont="1" applyFill="1" applyBorder="1" applyAlignment="1">
      <alignment vertical="center" shrinkToFit="1"/>
    </xf>
    <xf numFmtId="43" fontId="32" fillId="0" borderId="60" xfId="1" applyNumberFormat="1" applyFont="1" applyFill="1" applyBorder="1" applyAlignment="1">
      <alignment vertical="center" shrinkToFit="1"/>
    </xf>
    <xf numFmtId="0" fontId="120" fillId="29" borderId="24" xfId="0" applyFont="1" applyFill="1" applyBorder="1" applyAlignment="1">
      <alignment horizontal="center" vertical="center" shrinkToFit="1"/>
    </xf>
    <xf numFmtId="0" fontId="120" fillId="29" borderId="25" xfId="0" applyFont="1" applyFill="1" applyBorder="1" applyAlignment="1">
      <alignment horizontal="center" vertical="center" shrinkToFit="1"/>
    </xf>
    <xf numFmtId="179" fontId="120" fillId="29" borderId="25" xfId="1" applyNumberFormat="1" applyFont="1" applyFill="1" applyBorder="1" applyAlignment="1">
      <alignment horizontal="center" vertical="center" shrinkToFit="1"/>
    </xf>
    <xf numFmtId="0" fontId="32" fillId="0" borderId="62" xfId="0" applyFont="1" applyBorder="1" applyAlignment="1">
      <alignment horizontal="center" vertical="center" shrinkToFit="1"/>
    </xf>
    <xf numFmtId="179" fontId="32" fillId="0" borderId="63" xfId="1" applyNumberFormat="1" applyFont="1" applyFill="1" applyBorder="1" applyAlignment="1">
      <alignment vertical="center" shrinkToFit="1"/>
    </xf>
    <xf numFmtId="0" fontId="32" fillId="0" borderId="26" xfId="0" applyFont="1" applyBorder="1" applyAlignment="1">
      <alignment horizontal="center" vertical="center" shrinkToFit="1"/>
    </xf>
    <xf numFmtId="179" fontId="32" fillId="0" borderId="32" xfId="1" applyNumberFormat="1" applyFont="1" applyFill="1" applyBorder="1" applyAlignment="1">
      <alignment vertical="center" shrinkToFit="1"/>
    </xf>
    <xf numFmtId="179" fontId="32" fillId="0" borderId="32" xfId="1" applyNumberFormat="1"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vertical="center" shrinkToFit="1"/>
    </xf>
    <xf numFmtId="179" fontId="32" fillId="0" borderId="30" xfId="1" applyNumberFormat="1" applyFont="1" applyBorder="1" applyAlignment="1">
      <alignment horizontal="center" vertical="center" shrinkToFit="1"/>
    </xf>
    <xf numFmtId="179" fontId="32" fillId="0" borderId="30" xfId="1" applyNumberFormat="1" applyFont="1" applyFill="1" applyBorder="1" applyAlignment="1">
      <alignment vertical="center" shrinkToFit="1"/>
    </xf>
    <xf numFmtId="179" fontId="32" fillId="0" borderId="31" xfId="1" applyNumberFormat="1" applyFont="1" applyFill="1" applyBorder="1" applyAlignment="1">
      <alignment vertical="center" shrinkToFit="1"/>
    </xf>
    <xf numFmtId="0" fontId="120" fillId="0" borderId="97" xfId="0" applyFont="1" applyBorder="1" applyAlignment="1">
      <alignment horizontal="center" vertical="center" shrinkToFit="1"/>
    </xf>
    <xf numFmtId="217" fontId="32" fillId="0" borderId="100" xfId="348" applyNumberFormat="1" applyFont="1" applyFill="1" applyBorder="1" applyAlignment="1">
      <alignment vertical="center" shrinkToFit="1"/>
    </xf>
    <xf numFmtId="3" fontId="32" fillId="0" borderId="100" xfId="348" applyNumberFormat="1" applyFont="1" applyFill="1" applyBorder="1" applyAlignment="1">
      <alignment vertical="center" shrinkToFit="1"/>
    </xf>
    <xf numFmtId="177" fontId="32" fillId="0" borderId="101" xfId="348" applyFont="1" applyFill="1" applyBorder="1" applyAlignment="1">
      <alignment vertical="center" shrinkToFit="1"/>
    </xf>
    <xf numFmtId="177" fontId="32" fillId="0" borderId="101" xfId="348" applyFont="1" applyFill="1" applyBorder="1" applyAlignment="1">
      <alignment horizontal="right" vertical="center" shrinkToFit="1"/>
    </xf>
    <xf numFmtId="218" fontId="32" fillId="0" borderId="101" xfId="348" applyNumberFormat="1" applyFont="1" applyFill="1" applyBorder="1" applyAlignment="1">
      <alignment vertical="center" shrinkToFit="1"/>
    </xf>
    <xf numFmtId="217" fontId="32" fillId="0" borderId="101" xfId="348" applyNumberFormat="1" applyFont="1" applyFill="1" applyBorder="1" applyAlignment="1">
      <alignment vertical="center" shrinkToFit="1"/>
    </xf>
    <xf numFmtId="0" fontId="32" fillId="0" borderId="101" xfId="348" applyNumberFormat="1" applyFont="1" applyFill="1" applyBorder="1" applyAlignment="1">
      <alignment vertical="center" shrinkToFit="1"/>
    </xf>
    <xf numFmtId="0" fontId="32" fillId="0" borderId="101" xfId="348" applyNumberFormat="1" applyFont="1" applyFill="1" applyBorder="1" applyAlignment="1">
      <alignment horizontal="center" vertical="center" shrinkToFit="1"/>
    </xf>
    <xf numFmtId="2" fontId="32" fillId="0" borderId="101" xfId="348" applyNumberFormat="1" applyFont="1" applyFill="1" applyBorder="1" applyAlignment="1">
      <alignment vertical="center" shrinkToFit="1"/>
    </xf>
    <xf numFmtId="2" fontId="32" fillId="0" borderId="101" xfId="348" applyNumberFormat="1" applyFont="1" applyFill="1" applyBorder="1" applyAlignment="1">
      <alignment horizontal="center" vertical="center" shrinkToFit="1"/>
    </xf>
    <xf numFmtId="217" fontId="32" fillId="0" borderId="101" xfId="348" applyNumberFormat="1" applyFont="1" applyFill="1" applyBorder="1" applyAlignment="1">
      <alignment horizontal="center" vertical="center" shrinkToFit="1"/>
    </xf>
    <xf numFmtId="218" fontId="144" fillId="0" borderId="101" xfId="348" applyNumberFormat="1" applyFont="1" applyFill="1" applyBorder="1" applyAlignment="1">
      <alignment vertical="center" shrinkToFit="1"/>
    </xf>
    <xf numFmtId="218" fontId="32" fillId="0" borderId="101" xfId="348" applyNumberFormat="1" applyFont="1" applyFill="1" applyBorder="1" applyAlignment="1">
      <alignment horizontal="right" vertical="center" shrinkToFit="1"/>
    </xf>
    <xf numFmtId="177" fontId="144" fillId="0" borderId="101" xfId="348" applyFont="1" applyFill="1" applyBorder="1" applyAlignment="1">
      <alignment vertical="center" shrinkToFit="1"/>
    </xf>
    <xf numFmtId="179" fontId="32" fillId="0" borderId="101" xfId="348" applyNumberFormat="1" applyFont="1" applyFill="1" applyBorder="1" applyAlignment="1">
      <alignment vertical="center" shrinkToFit="1"/>
    </xf>
    <xf numFmtId="217" fontId="32" fillId="0" borderId="102" xfId="348" applyNumberFormat="1" applyFont="1" applyFill="1" applyBorder="1" applyAlignment="1">
      <alignment vertical="center" shrinkToFit="1"/>
    </xf>
    <xf numFmtId="179" fontId="32" fillId="0" borderId="0" xfId="0" applyNumberFormat="1" applyFont="1"/>
    <xf numFmtId="179" fontId="32" fillId="0" borderId="0" xfId="348" applyNumberFormat="1" applyFont="1" applyFill="1"/>
    <xf numFmtId="168" fontId="32" fillId="0" borderId="0" xfId="0" applyNumberFormat="1" applyFont="1"/>
    <xf numFmtId="10" fontId="32" fillId="0" borderId="0" xfId="3" applyNumberFormat="1" applyFont="1" applyFill="1"/>
    <xf numFmtId="0" fontId="120" fillId="0" borderId="11" xfId="0" applyFont="1" applyBorder="1" applyAlignment="1">
      <alignment horizontal="center" vertical="center" wrapText="1"/>
    </xf>
    <xf numFmtId="0" fontId="120" fillId="0" borderId="0" xfId="0" applyFont="1" applyAlignment="1">
      <alignment horizontal="center" vertical="center" wrapText="1"/>
    </xf>
    <xf numFmtId="217" fontId="141" fillId="0" borderId="100" xfId="348" applyNumberFormat="1" applyFont="1" applyFill="1" applyBorder="1" applyAlignment="1">
      <alignment vertical="center" shrinkToFit="1"/>
    </xf>
    <xf numFmtId="0" fontId="141" fillId="0" borderId="0" xfId="0" applyFont="1"/>
    <xf numFmtId="3" fontId="141" fillId="0" borderId="0" xfId="0" applyNumberFormat="1" applyFont="1"/>
    <xf numFmtId="4" fontId="32" fillId="0" borderId="0" xfId="0" applyNumberFormat="1" applyFont="1"/>
    <xf numFmtId="217" fontId="141" fillId="0" borderId="101" xfId="348" applyNumberFormat="1" applyFont="1" applyFill="1" applyBorder="1" applyAlignment="1">
      <alignment vertical="center" shrinkToFit="1"/>
    </xf>
    <xf numFmtId="2" fontId="32" fillId="0" borderId="0" xfId="0" applyNumberFormat="1" applyFont="1"/>
    <xf numFmtId="2" fontId="141" fillId="0" borderId="0" xfId="0" applyNumberFormat="1" applyFont="1"/>
    <xf numFmtId="2" fontId="141" fillId="0" borderId="101" xfId="348" applyNumberFormat="1" applyFont="1" applyFill="1" applyBorder="1" applyAlignment="1">
      <alignment vertical="center" shrinkToFit="1"/>
    </xf>
    <xf numFmtId="177" fontId="141" fillId="0" borderId="101" xfId="348" applyFont="1" applyFill="1" applyBorder="1" applyAlignment="1">
      <alignment vertical="center" shrinkToFit="1"/>
    </xf>
    <xf numFmtId="217" fontId="122" fillId="0" borderId="101" xfId="348" applyNumberFormat="1" applyFont="1" applyFill="1" applyBorder="1" applyAlignment="1">
      <alignment vertical="center" shrinkToFit="1"/>
    </xf>
    <xf numFmtId="177" fontId="122" fillId="0" borderId="101" xfId="348" applyFont="1" applyFill="1" applyBorder="1" applyAlignment="1">
      <alignment vertical="center" shrinkToFit="1"/>
    </xf>
    <xf numFmtId="217" fontId="142" fillId="0" borderId="101" xfId="348" applyNumberFormat="1" applyFont="1" applyFill="1" applyBorder="1" applyAlignment="1">
      <alignment vertical="center" shrinkToFit="1"/>
    </xf>
    <xf numFmtId="2" fontId="122" fillId="0" borderId="0" xfId="0" applyNumberFormat="1" applyFont="1"/>
    <xf numFmtId="217" fontId="122" fillId="0" borderId="100" xfId="348" applyNumberFormat="1" applyFont="1" applyFill="1" applyBorder="1" applyAlignment="1">
      <alignment vertical="center" shrinkToFit="1"/>
    </xf>
    <xf numFmtId="217" fontId="144" fillId="0" borderId="100" xfId="348" applyNumberFormat="1" applyFont="1" applyFill="1" applyBorder="1" applyAlignment="1">
      <alignment horizontal="right" vertical="center" shrinkToFit="1"/>
    </xf>
    <xf numFmtId="177" fontId="144" fillId="0" borderId="101" xfId="348" applyFont="1" applyFill="1" applyBorder="1" applyAlignment="1">
      <alignment horizontal="right" vertical="center" shrinkToFit="1"/>
    </xf>
    <xf numFmtId="217" fontId="144" fillId="0" borderId="101" xfId="348" applyNumberFormat="1" applyFont="1" applyFill="1" applyBorder="1" applyAlignment="1">
      <alignment horizontal="right" vertical="center" shrinkToFit="1"/>
    </xf>
    <xf numFmtId="4" fontId="144" fillId="0" borderId="0" xfId="0" applyNumberFormat="1" applyFont="1" applyAlignment="1">
      <alignment horizontal="right"/>
    </xf>
    <xf numFmtId="2" fontId="144" fillId="0" borderId="0" xfId="0" applyNumberFormat="1" applyFont="1" applyAlignment="1">
      <alignment horizontal="right"/>
    </xf>
    <xf numFmtId="2" fontId="141" fillId="0" borderId="0" xfId="0" applyNumberFormat="1" applyFont="1" applyAlignment="1">
      <alignment horizontal="right"/>
    </xf>
    <xf numFmtId="0" fontId="121" fillId="0" borderId="60" xfId="0" applyFont="1" applyBorder="1" applyAlignment="1">
      <alignment horizontal="center" vertical="center" shrinkToFit="1"/>
    </xf>
    <xf numFmtId="0" fontId="121" fillId="0" borderId="60" xfId="0" applyFont="1" applyBorder="1"/>
    <xf numFmtId="2" fontId="121" fillId="0" borderId="0" xfId="0" applyNumberFormat="1" applyFont="1"/>
    <xf numFmtId="177" fontId="121" fillId="0" borderId="101" xfId="348" applyFont="1" applyFill="1" applyBorder="1" applyAlignment="1">
      <alignment vertical="center" shrinkToFit="1"/>
    </xf>
    <xf numFmtId="2" fontId="121" fillId="0" borderId="0" xfId="0" applyNumberFormat="1" applyFont="1" applyAlignment="1">
      <alignment horizontal="right"/>
    </xf>
    <xf numFmtId="0" fontId="146" fillId="0" borderId="0" xfId="2" applyFont="1"/>
    <xf numFmtId="0" fontId="115" fillId="0" borderId="0" xfId="0" applyFont="1" applyAlignment="1">
      <alignment vertical="center"/>
    </xf>
    <xf numFmtId="0" fontId="3" fillId="0" borderId="108" xfId="2" applyFont="1" applyBorder="1" applyAlignment="1">
      <alignment horizontal="center" vertical="center" wrapText="1"/>
    </xf>
    <xf numFmtId="0" fontId="114" fillId="0" borderId="109" xfId="0" applyFont="1" applyBorder="1" applyAlignment="1">
      <alignment horizontal="center" vertical="center" wrapText="1"/>
    </xf>
    <xf numFmtId="0" fontId="114" fillId="0" borderId="110" xfId="0" applyFont="1" applyBorder="1" applyAlignment="1">
      <alignment horizontal="center" vertical="center" wrapText="1"/>
    </xf>
    <xf numFmtId="0" fontId="115" fillId="0" borderId="108" xfId="0" applyFont="1" applyBorder="1" applyAlignment="1">
      <alignment horizontal="center" vertical="center" wrapText="1"/>
    </xf>
    <xf numFmtId="0" fontId="115" fillId="0" borderId="109" xfId="0" applyFont="1" applyBorder="1" applyAlignment="1">
      <alignment horizontal="center" vertical="center" wrapText="1"/>
    </xf>
    <xf numFmtId="0" fontId="115" fillId="0" borderId="110" xfId="0" applyFont="1" applyBorder="1" applyAlignment="1">
      <alignment horizontal="center" vertical="center" wrapText="1"/>
    </xf>
    <xf numFmtId="0" fontId="115" fillId="0" borderId="111" xfId="0" applyFont="1" applyBorder="1" applyAlignment="1">
      <alignment horizontal="center" vertical="center" wrapText="1"/>
    </xf>
    <xf numFmtId="0" fontId="115" fillId="0" borderId="112" xfId="0" applyFont="1" applyBorder="1" applyAlignment="1">
      <alignment vertical="center" wrapText="1"/>
    </xf>
    <xf numFmtId="0" fontId="115" fillId="0" borderId="112" xfId="0" applyFont="1" applyBorder="1" applyAlignment="1">
      <alignment horizontal="center" vertical="center" wrapText="1"/>
    </xf>
    <xf numFmtId="0" fontId="115" fillId="0" borderId="113" xfId="0" applyFont="1" applyBorder="1" applyAlignment="1">
      <alignment horizontal="center" vertical="center" wrapText="1"/>
    </xf>
    <xf numFmtId="0" fontId="115" fillId="0" borderId="114" xfId="0" applyFont="1" applyBorder="1" applyAlignment="1">
      <alignment horizontal="center" vertical="center" wrapText="1"/>
    </xf>
    <xf numFmtId="0" fontId="115" fillId="0" borderId="115" xfId="0" applyFont="1" applyBorder="1" applyAlignment="1">
      <alignment vertical="center" wrapText="1"/>
    </xf>
    <xf numFmtId="0" fontId="115" fillId="0" borderId="115" xfId="0" applyFont="1" applyBorder="1" applyAlignment="1">
      <alignment horizontal="center" vertical="center" wrapText="1"/>
    </xf>
    <xf numFmtId="0" fontId="115" fillId="0" borderId="116" xfId="0" applyFont="1" applyBorder="1" applyAlignment="1">
      <alignment horizontal="center" vertical="center" wrapText="1"/>
    </xf>
    <xf numFmtId="0" fontId="147" fillId="0" borderId="115" xfId="0" applyFont="1" applyBorder="1" applyAlignment="1">
      <alignment vertical="center" wrapText="1"/>
    </xf>
    <xf numFmtId="0" fontId="147" fillId="0" borderId="115" xfId="0" applyFont="1" applyBorder="1" applyAlignment="1">
      <alignment horizontal="center" vertical="center" wrapText="1"/>
    </xf>
    <xf numFmtId="0" fontId="115" fillId="0" borderId="114" xfId="0" applyFont="1" applyBorder="1" applyAlignment="1">
      <alignment vertical="center" wrapText="1"/>
    </xf>
    <xf numFmtId="0" fontId="115" fillId="0" borderId="115" xfId="0" applyFont="1" applyBorder="1" applyAlignment="1">
      <alignment vertical="center" shrinkToFit="1"/>
    </xf>
    <xf numFmtId="0" fontId="115" fillId="0" borderId="117" xfId="0" applyFont="1" applyBorder="1" applyAlignment="1">
      <alignment horizontal="center" vertical="center"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15" fillId="0" borderId="119" xfId="0" applyFont="1" applyBorder="1" applyAlignment="1">
      <alignment horizontal="center" vertical="center" wrapText="1"/>
    </xf>
    <xf numFmtId="0" fontId="115" fillId="0" borderId="0" xfId="0" applyFont="1" applyAlignment="1">
      <alignment vertical="center" wrapText="1"/>
    </xf>
    <xf numFmtId="0" fontId="121" fillId="0" borderId="11" xfId="347" applyFont="1" applyBorder="1" applyAlignment="1">
      <alignment horizontal="center" vertical="center" wrapText="1"/>
    </xf>
    <xf numFmtId="0" fontId="1" fillId="0" borderId="11" xfId="0" applyFont="1" applyBorder="1"/>
    <xf numFmtId="0" fontId="1" fillId="0" borderId="95" xfId="0" applyFont="1" applyBorder="1"/>
    <xf numFmtId="3" fontId="121" fillId="0" borderId="11" xfId="347" applyNumberFormat="1" applyFont="1" applyBorder="1" applyAlignment="1">
      <alignment horizontal="center" vertical="center" shrinkToFit="1"/>
    </xf>
    <xf numFmtId="170" fontId="121" fillId="0" borderId="11" xfId="1" applyNumberFormat="1" applyFont="1" applyBorder="1" applyAlignment="1">
      <alignment horizontal="center" vertical="center" shrinkToFit="1"/>
    </xf>
    <xf numFmtId="170" fontId="121" fillId="0" borderId="11" xfId="1" applyNumberFormat="1" applyFont="1" applyBorder="1" applyAlignment="1">
      <alignment vertical="center" shrinkToFit="1"/>
    </xf>
    <xf numFmtId="3" fontId="122" fillId="0" borderId="95" xfId="0" applyNumberFormat="1" applyFont="1" applyBorder="1" applyAlignment="1">
      <alignment vertical="center" shrinkToFit="1"/>
    </xf>
    <xf numFmtId="3" fontId="121" fillId="0" borderId="58" xfId="347" applyNumberFormat="1" applyFont="1" applyBorder="1" applyAlignment="1">
      <alignment horizontal="right" vertical="center" shrinkToFit="1"/>
    </xf>
    <xf numFmtId="3" fontId="121" fillId="0" borderId="95" xfId="347" applyNumberFormat="1" applyFont="1" applyBorder="1" applyAlignment="1">
      <alignment horizontal="right" vertical="center" shrinkToFit="1"/>
    </xf>
    <xf numFmtId="3" fontId="121" fillId="0" borderId="60" xfId="1" applyNumberFormat="1" applyFont="1" applyBorder="1" applyAlignment="1">
      <alignment horizontal="right" vertical="center" shrinkToFit="1"/>
    </xf>
    <xf numFmtId="3" fontId="121" fillId="0" borderId="60" xfId="347" applyNumberFormat="1" applyFont="1" applyBorder="1" applyAlignment="1">
      <alignment horizontal="right" vertical="center" shrinkToFit="1"/>
    </xf>
    <xf numFmtId="0" fontId="1" fillId="0" borderId="60" xfId="0" applyFont="1" applyBorder="1"/>
    <xf numFmtId="0" fontId="1" fillId="0" borderId="16" xfId="0" applyFont="1" applyBorder="1"/>
    <xf numFmtId="3" fontId="122" fillId="0" borderId="60" xfId="3" applyNumberFormat="1" applyFont="1" applyBorder="1" applyAlignment="1">
      <alignment horizontal="right" vertical="center" shrinkToFit="1"/>
    </xf>
    <xf numFmtId="3" fontId="122" fillId="0" borderId="60" xfId="3" applyNumberFormat="1" applyFont="1" applyBorder="1" applyAlignment="1">
      <alignment horizontal="right" vertical="center"/>
    </xf>
    <xf numFmtId="3" fontId="121" fillId="0" borderId="60" xfId="1" quotePrefix="1" applyNumberFormat="1" applyFont="1" applyBorder="1" applyAlignment="1">
      <alignment horizontal="right" vertical="center" shrinkToFit="1"/>
    </xf>
    <xf numFmtId="3" fontId="121" fillId="0" borderId="60" xfId="1" quotePrefix="1" applyNumberFormat="1" applyFont="1" applyBorder="1" applyAlignment="1">
      <alignment horizontal="right" vertical="center"/>
    </xf>
    <xf numFmtId="3" fontId="135" fillId="0" borderId="60" xfId="18" applyNumberFormat="1" applyFont="1" applyBorder="1" applyAlignment="1">
      <alignment horizontal="right" shrinkToFit="1"/>
    </xf>
    <xf numFmtId="3" fontId="135" fillId="0" borderId="60" xfId="347" applyNumberFormat="1" applyFont="1" applyBorder="1" applyAlignment="1">
      <alignment horizontal="right" vertical="center" shrinkToFit="1"/>
    </xf>
    <xf numFmtId="3" fontId="135" fillId="0" borderId="60" xfId="0" applyNumberFormat="1" applyFont="1" applyBorder="1" applyAlignment="1">
      <alignment horizontal="right" shrinkToFit="1"/>
    </xf>
    <xf numFmtId="3" fontId="121" fillId="0" borderId="60" xfId="347" applyNumberFormat="1" applyFont="1" applyBorder="1" applyAlignment="1">
      <alignment horizontal="right" shrinkToFit="1"/>
    </xf>
    <xf numFmtId="3" fontId="121" fillId="0" borderId="60" xfId="1" applyNumberFormat="1" applyFont="1" applyBorder="1" applyAlignment="1">
      <alignment horizontal="right" shrinkToFit="1"/>
    </xf>
    <xf numFmtId="3" fontId="121" fillId="0" borderId="60" xfId="1" applyNumberFormat="1" applyFont="1" applyFill="1" applyBorder="1" applyAlignment="1">
      <alignment horizontal="right" shrinkToFit="1"/>
    </xf>
    <xf numFmtId="3" fontId="122" fillId="0" borderId="60" xfId="347" applyNumberFormat="1" applyFont="1" applyBorder="1" applyAlignment="1">
      <alignment horizontal="right" shrinkToFit="1"/>
    </xf>
    <xf numFmtId="3" fontId="135" fillId="0" borderId="60" xfId="347" applyNumberFormat="1" applyFont="1" applyBorder="1" applyAlignment="1">
      <alignment horizontal="right" shrinkToFit="1"/>
    </xf>
    <xf numFmtId="3" fontId="122" fillId="0" borderId="60" xfId="1" quotePrefix="1" applyNumberFormat="1" applyFont="1" applyBorder="1" applyAlignment="1">
      <alignment horizontal="right" vertical="center" shrinkToFit="1"/>
    </xf>
    <xf numFmtId="3" fontId="122" fillId="0" borderId="60" xfId="1" quotePrefix="1" applyNumberFormat="1" applyFont="1" applyBorder="1" applyAlignment="1">
      <alignment horizontal="right" shrinkToFit="1"/>
    </xf>
    <xf numFmtId="3" fontId="121" fillId="0" borderId="60" xfId="1" quotePrefix="1" applyNumberFormat="1" applyFont="1" applyBorder="1" applyAlignment="1">
      <alignment horizontal="right" shrinkToFit="1"/>
    </xf>
    <xf numFmtId="3" fontId="122" fillId="0" borderId="60" xfId="1" applyNumberFormat="1" applyFont="1" applyBorder="1" applyAlignment="1">
      <alignment horizontal="right" shrinkToFit="1"/>
    </xf>
    <xf numFmtId="3" fontId="135" fillId="0" borderId="60" xfId="1" applyNumberFormat="1" applyFont="1" applyBorder="1" applyAlignment="1">
      <alignment horizontal="right" shrinkToFit="1"/>
    </xf>
    <xf numFmtId="0" fontId="122" fillId="0" borderId="96" xfId="0" applyFont="1" applyBorder="1" applyAlignment="1">
      <alignment vertical="center" shrinkToFit="1"/>
    </xf>
    <xf numFmtId="0" fontId="1" fillId="0" borderId="96" xfId="0" applyFont="1" applyBorder="1"/>
    <xf numFmtId="3" fontId="0" fillId="0" borderId="0" xfId="0" applyNumberFormat="1"/>
    <xf numFmtId="0" fontId="121" fillId="0" borderId="0" xfId="347" applyFont="1" applyAlignment="1">
      <alignment horizontal="left" shrinkToFit="1"/>
    </xf>
    <xf numFmtId="219" fontId="148" fillId="0" borderId="60" xfId="347" applyNumberFormat="1" applyFont="1" applyBorder="1" applyAlignment="1">
      <alignment shrinkToFit="1"/>
    </xf>
    <xf numFmtId="3" fontId="122" fillId="0" borderId="60" xfId="0" applyNumberFormat="1" applyFont="1" applyBorder="1"/>
    <xf numFmtId="0" fontId="122" fillId="0" borderId="60" xfId="0" applyFont="1" applyBorder="1"/>
    <xf numFmtId="0" fontId="122" fillId="0" borderId="16" xfId="0" applyFont="1" applyBorder="1"/>
    <xf numFmtId="219" fontId="135" fillId="0" borderId="60" xfId="347" applyNumberFormat="1" applyFont="1" applyBorder="1" applyAlignment="1">
      <alignment vertical="center" shrinkToFit="1"/>
    </xf>
    <xf numFmtId="219" fontId="122" fillId="0" borderId="60" xfId="347" applyNumberFormat="1" applyFont="1" applyBorder="1" applyAlignment="1">
      <alignment shrinkToFit="1"/>
    </xf>
    <xf numFmtId="3" fontId="122" fillId="0" borderId="60" xfId="1" applyNumberFormat="1" applyFont="1" applyFill="1" applyBorder="1" applyAlignment="1">
      <alignment horizontal="right" shrinkToFit="1"/>
    </xf>
    <xf numFmtId="3" fontId="135" fillId="0" borderId="60" xfId="1" applyNumberFormat="1" applyFont="1" applyFill="1" applyBorder="1" applyAlignment="1">
      <alignment horizontal="right" shrinkToFit="1"/>
    </xf>
    <xf numFmtId="3" fontId="149" fillId="0" borderId="60" xfId="347" applyNumberFormat="1" applyFont="1" applyBorder="1" applyAlignment="1">
      <alignment horizontal="right" vertical="center" shrinkToFit="1"/>
    </xf>
    <xf numFmtId="3" fontId="121" fillId="0" borderId="32" xfId="1" applyNumberFormat="1" applyFont="1" applyBorder="1" applyAlignment="1">
      <alignment horizontal="right" vertical="center" shrinkToFit="1"/>
    </xf>
    <xf numFmtId="0" fontId="1" fillId="0" borderId="32" xfId="0" applyFont="1" applyBorder="1"/>
    <xf numFmtId="3" fontId="121" fillId="0" borderId="32" xfId="1" quotePrefix="1" applyNumberFormat="1" applyFont="1" applyBorder="1" applyAlignment="1">
      <alignment horizontal="right" vertical="center" shrinkToFit="1"/>
    </xf>
    <xf numFmtId="0" fontId="122" fillId="0" borderId="32" xfId="0" applyFont="1" applyBorder="1"/>
    <xf numFmtId="3" fontId="121" fillId="0" borderId="32" xfId="1" applyNumberFormat="1" applyFont="1" applyBorder="1" applyAlignment="1">
      <alignment horizontal="right" shrinkToFit="1"/>
    </xf>
    <xf numFmtId="3" fontId="122" fillId="0" borderId="32" xfId="347" applyNumberFormat="1" applyFont="1" applyBorder="1" applyAlignment="1">
      <alignment horizontal="right" shrinkToFit="1"/>
    </xf>
    <xf numFmtId="219" fontId="148" fillId="0" borderId="32" xfId="347" applyNumberFormat="1" applyFont="1" applyBorder="1" applyAlignment="1">
      <alignment shrinkToFit="1"/>
    </xf>
    <xf numFmtId="3" fontId="121" fillId="0" borderId="32" xfId="1" quotePrefix="1" applyNumberFormat="1" applyFont="1" applyBorder="1" applyAlignment="1">
      <alignment horizontal="right" shrinkToFit="1"/>
    </xf>
    <xf numFmtId="3" fontId="122" fillId="0" borderId="32" xfId="1" applyNumberFormat="1" applyFont="1" applyBorder="1" applyAlignment="1">
      <alignment horizontal="right" shrinkToFit="1"/>
    </xf>
    <xf numFmtId="3" fontId="122" fillId="0" borderId="121" xfId="0" applyNumberFormat="1" applyFont="1" applyBorder="1" applyAlignment="1">
      <alignment vertical="center" shrinkToFit="1"/>
    </xf>
    <xf numFmtId="0" fontId="1" fillId="0" borderId="121" xfId="0" applyFont="1" applyBorder="1" applyAlignment="1">
      <alignment shrinkToFit="1"/>
    </xf>
    <xf numFmtId="0" fontId="122" fillId="0" borderId="122" xfId="0" applyFont="1" applyBorder="1" applyAlignment="1">
      <alignment vertical="center" shrinkToFit="1"/>
    </xf>
    <xf numFmtId="0" fontId="1" fillId="0" borderId="122" xfId="0" applyFont="1" applyBorder="1"/>
    <xf numFmtId="0" fontId="120" fillId="0" borderId="120" xfId="347" applyFont="1" applyBorder="1" applyAlignment="1">
      <alignment horizontal="center" vertical="center" shrinkToFit="1"/>
    </xf>
    <xf numFmtId="9" fontId="122" fillId="0" borderId="60" xfId="3" applyFont="1" applyBorder="1" applyAlignment="1">
      <alignment horizontal="right" vertical="center" shrinkToFit="1"/>
    </xf>
    <xf numFmtId="0" fontId="120" fillId="0" borderId="123" xfId="347" applyFont="1" applyBorder="1" applyAlignment="1">
      <alignment horizontal="center" vertical="center" shrinkToFit="1"/>
    </xf>
    <xf numFmtId="0" fontId="122" fillId="0" borderId="124" xfId="0" applyFont="1" applyBorder="1" applyAlignment="1">
      <alignment vertical="center" shrinkToFit="1"/>
    </xf>
    <xf numFmtId="3" fontId="122" fillId="0" borderId="125" xfId="0" applyNumberFormat="1" applyFont="1" applyBorder="1" applyAlignment="1">
      <alignment vertical="center" shrinkToFit="1"/>
    </xf>
    <xf numFmtId="3" fontId="121" fillId="0" borderId="126" xfId="347" applyNumberFormat="1" applyFont="1" applyBorder="1" applyAlignment="1">
      <alignment horizontal="right" vertical="center" shrinkToFit="1"/>
    </xf>
    <xf numFmtId="3" fontId="122" fillId="0" borderId="126" xfId="0" applyNumberFormat="1" applyFont="1" applyBorder="1" applyAlignment="1">
      <alignment vertical="center" shrinkToFit="1"/>
    </xf>
    <xf numFmtId="3" fontId="121" fillId="0" borderId="59" xfId="1" applyNumberFormat="1" applyFont="1" applyBorder="1" applyAlignment="1">
      <alignment horizontal="right" vertical="center" shrinkToFit="1"/>
    </xf>
    <xf numFmtId="0" fontId="1" fillId="0" borderId="127" xfId="0" applyFont="1" applyBorder="1"/>
    <xf numFmtId="3" fontId="121" fillId="0" borderId="59" xfId="1" quotePrefix="1" applyNumberFormat="1" applyFont="1" applyBorder="1" applyAlignment="1">
      <alignment horizontal="right" vertical="center" shrinkToFit="1"/>
    </xf>
    <xf numFmtId="0" fontId="122" fillId="0" borderId="127" xfId="0" applyFont="1" applyBorder="1"/>
    <xf numFmtId="3" fontId="121" fillId="0" borderId="59" xfId="1" applyNumberFormat="1" applyFont="1" applyBorder="1" applyAlignment="1">
      <alignment horizontal="right" shrinkToFit="1"/>
    </xf>
    <xf numFmtId="3" fontId="122" fillId="0" borderId="59" xfId="347" applyNumberFormat="1" applyFont="1" applyBorder="1" applyAlignment="1">
      <alignment horizontal="right" shrinkToFit="1"/>
    </xf>
    <xf numFmtId="219" fontId="148" fillId="0" borderId="59" xfId="347" applyNumberFormat="1" applyFont="1" applyBorder="1" applyAlignment="1">
      <alignment shrinkToFit="1"/>
    </xf>
    <xf numFmtId="3" fontId="121" fillId="0" borderId="59" xfId="1" quotePrefix="1" applyNumberFormat="1" applyFont="1" applyBorder="1" applyAlignment="1">
      <alignment horizontal="right" shrinkToFit="1"/>
    </xf>
    <xf numFmtId="3" fontId="122" fillId="0" borderId="59" xfId="1" applyNumberFormat="1" applyFont="1" applyBorder="1" applyAlignment="1">
      <alignment horizontal="right" shrinkToFit="1"/>
    </xf>
    <xf numFmtId="0" fontId="122" fillId="0" borderId="126" xfId="0" applyFont="1" applyBorder="1" applyAlignment="1">
      <alignment vertical="center" shrinkToFit="1"/>
    </xf>
    <xf numFmtId="0" fontId="122" fillId="0" borderId="128" xfId="0" applyFont="1" applyBorder="1" applyAlignment="1">
      <alignment vertical="center" shrinkToFit="1"/>
    </xf>
    <xf numFmtId="0" fontId="120" fillId="0" borderId="25" xfId="347" applyFont="1" applyBorder="1" applyAlignment="1">
      <alignment horizontal="center" vertical="center" wrapText="1"/>
    </xf>
    <xf numFmtId="0" fontId="120" fillId="0" borderId="24" xfId="347" applyFont="1" applyBorder="1" applyAlignment="1">
      <alignment horizontal="center" vertical="center" wrapText="1"/>
    </xf>
    <xf numFmtId="0" fontId="1" fillId="0" borderId="25" xfId="0" applyFont="1" applyBorder="1"/>
    <xf numFmtId="0" fontId="120" fillId="0" borderId="24" xfId="347" applyFont="1" applyBorder="1" applyAlignment="1">
      <alignment horizontal="center" vertical="center" shrinkToFit="1"/>
    </xf>
    <xf numFmtId="170" fontId="121" fillId="0" borderId="25" xfId="1" applyNumberFormat="1" applyFont="1" applyBorder="1" applyAlignment="1">
      <alignment vertical="center" shrinkToFit="1"/>
    </xf>
    <xf numFmtId="0" fontId="121" fillId="0" borderId="62" xfId="347" applyFont="1" applyBorder="1" applyAlignment="1">
      <alignment horizontal="center" vertical="center" wrapText="1"/>
    </xf>
    <xf numFmtId="3" fontId="121" fillId="0" borderId="63" xfId="347" applyNumberFormat="1" applyFont="1" applyBorder="1" applyAlignment="1">
      <alignment horizontal="right" vertical="center" shrinkToFit="1"/>
    </xf>
    <xf numFmtId="0" fontId="121" fillId="0" borderId="26" xfId="347" applyFont="1" applyBorder="1" applyAlignment="1">
      <alignment horizontal="center" vertical="center" wrapText="1"/>
    </xf>
    <xf numFmtId="0" fontId="122" fillId="0" borderId="26" xfId="347" applyFont="1" applyBorder="1" applyAlignment="1">
      <alignment horizontal="center" vertical="center" wrapText="1"/>
    </xf>
    <xf numFmtId="9" fontId="122" fillId="0" borderId="32" xfId="3" applyFont="1" applyBorder="1" applyAlignment="1">
      <alignment horizontal="right" vertical="center" shrinkToFit="1"/>
    </xf>
    <xf numFmtId="0" fontId="121" fillId="0" borderId="26" xfId="347" applyFont="1" applyBorder="1" applyAlignment="1">
      <alignment horizontal="center" vertical="center"/>
    </xf>
    <xf numFmtId="0" fontId="135" fillId="0" borderId="26" xfId="347" applyFont="1" applyBorder="1" applyAlignment="1">
      <alignment horizontal="center" vertical="center"/>
    </xf>
    <xf numFmtId="0" fontId="1" fillId="0" borderId="0" xfId="0" applyFont="1"/>
    <xf numFmtId="0" fontId="126" fillId="0" borderId="26" xfId="347" applyFont="1" applyBorder="1" applyAlignment="1">
      <alignment horizontal="center" vertical="center"/>
    </xf>
    <xf numFmtId="0" fontId="122" fillId="0" borderId="26" xfId="347" applyFont="1" applyBorder="1" applyAlignment="1">
      <alignment horizontal="center"/>
    </xf>
    <xf numFmtId="0" fontId="121" fillId="0" borderId="26" xfId="347" applyFont="1" applyBorder="1" applyAlignment="1">
      <alignment horizontal="center"/>
    </xf>
    <xf numFmtId="0" fontId="121" fillId="0" borderId="29" xfId="347" applyFont="1" applyBorder="1" applyAlignment="1">
      <alignment horizontal="center"/>
    </xf>
    <xf numFmtId="0" fontId="121" fillId="0" borderId="30" xfId="347" quotePrefix="1" applyFont="1" applyBorder="1" applyAlignment="1">
      <alignment horizontal="left" shrinkToFit="1"/>
    </xf>
    <xf numFmtId="219" fontId="121" fillId="0" borderId="30" xfId="347" applyNumberFormat="1" applyFont="1" applyBorder="1" applyAlignment="1">
      <alignment shrinkToFit="1"/>
    </xf>
    <xf numFmtId="3" fontId="121" fillId="0" borderId="30" xfId="1" quotePrefix="1" applyNumberFormat="1" applyFont="1" applyBorder="1" applyAlignment="1">
      <alignment horizontal="right" shrinkToFit="1"/>
    </xf>
    <xf numFmtId="3" fontId="121" fillId="0" borderId="30" xfId="1" applyNumberFormat="1" applyFont="1" applyBorder="1" applyAlignment="1">
      <alignment horizontal="right" shrinkToFit="1"/>
    </xf>
    <xf numFmtId="3" fontId="121" fillId="0" borderId="30" xfId="1" applyNumberFormat="1" applyFont="1" applyFill="1" applyBorder="1" applyAlignment="1">
      <alignment horizontal="right" shrinkToFit="1"/>
    </xf>
    <xf numFmtId="219" fontId="120" fillId="0" borderId="30" xfId="347" applyNumberFormat="1" applyFont="1" applyBorder="1" applyAlignment="1">
      <alignment shrinkToFit="1"/>
    </xf>
    <xf numFmtId="219" fontId="120" fillId="0" borderId="31" xfId="347" applyNumberFormat="1" applyFont="1" applyBorder="1" applyAlignment="1">
      <alignment shrinkToFit="1"/>
    </xf>
    <xf numFmtId="3" fontId="149" fillId="0" borderId="60" xfId="1" applyNumberFormat="1" applyFont="1" applyFill="1" applyBorder="1" applyAlignment="1">
      <alignment horizontal="right" vertical="center" shrinkToFit="1"/>
    </xf>
    <xf numFmtId="0" fontId="143" fillId="0" borderId="60" xfId="0" applyFont="1" applyBorder="1"/>
    <xf numFmtId="0" fontId="143" fillId="0" borderId="32" xfId="0" applyFont="1" applyBorder="1"/>
    <xf numFmtId="0" fontId="32" fillId="0" borderId="0" xfId="0" applyFont="1" applyAlignment="1">
      <alignment horizontal="center"/>
    </xf>
    <xf numFmtId="3" fontId="120" fillId="0" borderId="11" xfId="0" applyNumberFormat="1" applyFont="1" applyBorder="1" applyAlignment="1">
      <alignment horizontal="center" vertical="center" wrapText="1"/>
    </xf>
    <xf numFmtId="0" fontId="120" fillId="0" borderId="18" xfId="0" applyFont="1" applyBorder="1" applyAlignment="1">
      <alignment horizontal="center" vertical="center" wrapText="1"/>
    </xf>
    <xf numFmtId="0" fontId="130" fillId="0" borderId="131" xfId="0" applyFont="1" applyBorder="1" applyAlignment="1">
      <alignment horizontal="center"/>
    </xf>
    <xf numFmtId="0" fontId="130" fillId="0" borderId="11" xfId="0" applyFont="1" applyBorder="1" applyAlignment="1">
      <alignment horizontal="center"/>
    </xf>
    <xf numFmtId="0" fontId="130" fillId="0" borderId="0" xfId="0" applyFont="1"/>
    <xf numFmtId="0" fontId="130" fillId="0" borderId="2" xfId="0" applyFont="1" applyBorder="1" applyAlignment="1">
      <alignment horizontal="center" vertical="center"/>
    </xf>
    <xf numFmtId="0" fontId="130" fillId="0" borderId="58" xfId="0" applyFont="1" applyBorder="1" applyAlignment="1">
      <alignment horizontal="justify" vertical="justify" shrinkToFit="1"/>
    </xf>
    <xf numFmtId="0" fontId="130" fillId="0" borderId="4" xfId="0" applyFont="1" applyBorder="1" applyAlignment="1">
      <alignment horizontal="center" vertical="center"/>
    </xf>
    <xf numFmtId="0" fontId="130" fillId="0" borderId="60" xfId="0" applyFont="1" applyBorder="1" applyAlignment="1">
      <alignment horizontal="justify" vertical="justify" shrinkToFit="1"/>
    </xf>
    <xf numFmtId="0" fontId="32" fillId="0" borderId="4" xfId="0" applyFont="1" applyBorder="1" applyAlignment="1">
      <alignment horizontal="center" vertical="center"/>
    </xf>
    <xf numFmtId="0" fontId="32" fillId="0" borderId="60" xfId="0" applyFont="1" applyBorder="1" applyAlignment="1">
      <alignment horizontal="justify" vertical="justify" shrinkToFit="1"/>
    </xf>
    <xf numFmtId="3" fontId="121" fillId="0" borderId="60" xfId="1" applyNumberFormat="1" applyFont="1" applyFill="1" applyBorder="1" applyAlignment="1">
      <alignment horizontal="right" vertical="center"/>
    </xf>
    <xf numFmtId="0" fontId="32" fillId="0" borderId="0" xfId="0" applyFont="1" applyAlignment="1">
      <alignment vertical="center"/>
    </xf>
    <xf numFmtId="3" fontId="32" fillId="0" borderId="0" xfId="0" applyNumberFormat="1" applyFont="1" applyAlignment="1">
      <alignment vertical="center"/>
    </xf>
    <xf numFmtId="3" fontId="122" fillId="0" borderId="60" xfId="349" applyNumberFormat="1" applyFont="1" applyFill="1" applyBorder="1" applyAlignment="1">
      <alignment horizontal="right" vertical="center"/>
    </xf>
    <xf numFmtId="171" fontId="130" fillId="0" borderId="4" xfId="0" applyNumberFormat="1" applyFont="1" applyBorder="1" applyAlignment="1">
      <alignment horizontal="center" vertical="center"/>
    </xf>
    <xf numFmtId="171" fontId="130" fillId="0" borderId="60" xfId="0" applyNumberFormat="1" applyFont="1" applyBorder="1" applyAlignment="1">
      <alignment horizontal="justify" vertical="justify" shrinkToFit="1"/>
    </xf>
    <xf numFmtId="0" fontId="120" fillId="0" borderId="60" xfId="0" applyFont="1" applyBorder="1" applyAlignment="1">
      <alignment horizontal="justify" vertical="justify" shrinkToFit="1"/>
    </xf>
    <xf numFmtId="179" fontId="32" fillId="0" borderId="0" xfId="0" applyNumberFormat="1" applyFont="1" applyAlignment="1">
      <alignment vertical="center"/>
    </xf>
    <xf numFmtId="0" fontId="122" fillId="0" borderId="4" xfId="0" applyFont="1" applyBorder="1" applyAlignment="1">
      <alignment horizontal="center" vertical="center"/>
    </xf>
    <xf numFmtId="0" fontId="122" fillId="0" borderId="60" xfId="0" applyFont="1" applyBorder="1" applyAlignment="1">
      <alignment horizontal="justify" vertical="justify" shrinkToFit="1"/>
    </xf>
    <xf numFmtId="0" fontId="32" fillId="0" borderId="60" xfId="0" applyFont="1" applyBorder="1" applyAlignment="1">
      <alignment vertical="center"/>
    </xf>
    <xf numFmtId="0" fontId="129" fillId="0" borderId="4" xfId="0" applyFont="1" applyBorder="1" applyAlignment="1">
      <alignment horizontal="center" vertical="center"/>
    </xf>
    <xf numFmtId="0" fontId="129" fillId="0" borderId="60" xfId="0" applyFont="1" applyBorder="1" applyAlignment="1">
      <alignment horizontal="justify" vertical="justify" shrinkToFit="1"/>
    </xf>
    <xf numFmtId="9" fontId="32" fillId="0" borderId="0" xfId="3" applyFont="1" applyFill="1" applyAlignment="1">
      <alignment vertical="center"/>
    </xf>
    <xf numFmtId="3" fontId="32" fillId="0" borderId="60" xfId="0" applyNumberFormat="1" applyFont="1" applyBorder="1" applyAlignment="1">
      <alignment vertical="center"/>
    </xf>
    <xf numFmtId="3" fontId="122" fillId="0" borderId="60" xfId="0" applyNumberFormat="1" applyFont="1" applyBorder="1" applyAlignment="1">
      <alignment horizontal="justify" vertical="justify" shrinkToFit="1"/>
    </xf>
    <xf numFmtId="0" fontId="121" fillId="0" borderId="4" xfId="0" applyFont="1" applyBorder="1" applyAlignment="1">
      <alignment horizontal="center" vertical="center"/>
    </xf>
    <xf numFmtId="0" fontId="121" fillId="0" borderId="60" xfId="0" applyFont="1" applyBorder="1" applyAlignment="1">
      <alignment horizontal="justify" vertical="justify" shrinkToFit="1"/>
    </xf>
    <xf numFmtId="3" fontId="130" fillId="0" borderId="20" xfId="0" applyNumberFormat="1" applyFont="1" applyBorder="1" applyAlignment="1">
      <alignment vertical="center"/>
    </xf>
    <xf numFmtId="0" fontId="135" fillId="0" borderId="4" xfId="0" applyFont="1" applyBorder="1" applyAlignment="1">
      <alignment horizontal="center" vertical="center"/>
    </xf>
    <xf numFmtId="0" fontId="135" fillId="0" borderId="60" xfId="0" applyFont="1" applyBorder="1" applyAlignment="1">
      <alignment horizontal="justify" vertical="justify" shrinkToFit="1"/>
    </xf>
    <xf numFmtId="0" fontId="134" fillId="0" borderId="60" xfId="0" applyFont="1" applyBorder="1" applyAlignment="1">
      <alignment vertical="center"/>
    </xf>
    <xf numFmtId="0" fontId="134" fillId="0" borderId="0" xfId="0" applyFont="1" applyAlignment="1">
      <alignment vertical="center"/>
    </xf>
    <xf numFmtId="0" fontId="120" fillId="0" borderId="60" xfId="0" applyFont="1" applyBorder="1" applyAlignment="1">
      <alignment vertical="center"/>
    </xf>
    <xf numFmtId="3" fontId="120" fillId="0" borderId="60" xfId="0" applyNumberFormat="1" applyFont="1" applyBorder="1" applyAlignment="1">
      <alignment vertical="center"/>
    </xf>
    <xf numFmtId="0" fontId="126" fillId="0" borderId="4" xfId="0" applyFont="1" applyBorder="1" applyAlignment="1">
      <alignment horizontal="center" vertical="center"/>
    </xf>
    <xf numFmtId="0" fontId="128" fillId="0" borderId="0" xfId="0" applyFont="1" applyAlignment="1">
      <alignment vertical="center"/>
    </xf>
    <xf numFmtId="0" fontId="142" fillId="0" borderId="4" xfId="0" applyFont="1" applyBorder="1" applyAlignment="1">
      <alignment horizontal="center" vertical="center"/>
    </xf>
    <xf numFmtId="0" fontId="142" fillId="0" borderId="60" xfId="0" applyFont="1" applyBorder="1" applyAlignment="1">
      <alignment horizontal="justify" vertical="justify" shrinkToFit="1"/>
    </xf>
    <xf numFmtId="0" fontId="150" fillId="0" borderId="0" xfId="0" applyFont="1" applyAlignment="1">
      <alignment vertical="center"/>
    </xf>
    <xf numFmtId="0" fontId="150" fillId="0" borderId="4" xfId="0" applyFont="1" applyBorder="1" applyAlignment="1">
      <alignment horizontal="center" vertical="center"/>
    </xf>
    <xf numFmtId="3" fontId="120" fillId="0" borderId="20" xfId="0" applyNumberFormat="1" applyFont="1" applyBorder="1" applyAlignment="1">
      <alignment vertical="center"/>
    </xf>
    <xf numFmtId="0" fontId="142" fillId="0" borderId="60" xfId="0" applyFont="1" applyBorder="1" applyAlignment="1">
      <alignment vertical="center"/>
    </xf>
    <xf numFmtId="0" fontId="121" fillId="0" borderId="60" xfId="0" applyFont="1" applyBorder="1" applyAlignment="1">
      <alignment horizontal="justify" vertical="center" shrinkToFit="1"/>
    </xf>
    <xf numFmtId="179" fontId="135" fillId="0" borderId="60" xfId="1" applyNumberFormat="1" applyFont="1" applyFill="1" applyBorder="1" applyAlignment="1">
      <alignment vertical="center"/>
    </xf>
    <xf numFmtId="0" fontId="121" fillId="0" borderId="60" xfId="0" applyFont="1" applyBorder="1" applyAlignment="1">
      <alignment vertical="center" wrapText="1" shrinkToFit="1"/>
    </xf>
    <xf numFmtId="3" fontId="121" fillId="0" borderId="60" xfId="0" applyNumberFormat="1" applyFont="1" applyBorder="1" applyAlignment="1">
      <alignment horizontal="justify" vertical="center" shrinkToFit="1"/>
    </xf>
    <xf numFmtId="0" fontId="121" fillId="0" borderId="5" xfId="0" applyFont="1" applyBorder="1" applyAlignment="1">
      <alignment horizontal="center" vertical="center"/>
    </xf>
    <xf numFmtId="0" fontId="121" fillId="0" borderId="6" xfId="0" applyFont="1" applyBorder="1" applyAlignment="1">
      <alignment horizontal="justify" vertical="justify" shrinkToFit="1"/>
    </xf>
    <xf numFmtId="0" fontId="120" fillId="0" borderId="0" xfId="0" applyFont="1" applyAlignment="1">
      <alignment vertical="center" wrapText="1" shrinkToFit="1"/>
    </xf>
    <xf numFmtId="179" fontId="120" fillId="0" borderId="0" xfId="1" applyNumberFormat="1" applyFont="1" applyAlignment="1">
      <alignment vertical="center" shrinkToFit="1"/>
    </xf>
    <xf numFmtId="0" fontId="134" fillId="0" borderId="0" xfId="0" applyFont="1" applyAlignment="1">
      <alignment horizontal="center" vertical="center"/>
    </xf>
    <xf numFmtId="0" fontId="134" fillId="0" borderId="0" xfId="0" applyFont="1" applyAlignment="1">
      <alignment vertical="center" wrapText="1" shrinkToFit="1"/>
    </xf>
    <xf numFmtId="10" fontId="134" fillId="0" borderId="0" xfId="3" applyNumberFormat="1" applyFont="1" applyAlignment="1">
      <alignment vertical="center"/>
    </xf>
    <xf numFmtId="173" fontId="134" fillId="0" borderId="0" xfId="0" applyNumberFormat="1" applyFont="1" applyAlignment="1">
      <alignment vertical="center"/>
    </xf>
    <xf numFmtId="9" fontId="134" fillId="0" borderId="0" xfId="0" applyNumberFormat="1" applyFont="1" applyAlignment="1">
      <alignment vertical="center"/>
    </xf>
    <xf numFmtId="0" fontId="120" fillId="0" borderId="0" xfId="0" applyFont="1" applyAlignment="1">
      <alignment horizontal="center"/>
    </xf>
    <xf numFmtId="0" fontId="120" fillId="0" borderId="0" xfId="0" applyFont="1" applyAlignment="1">
      <alignment shrinkToFit="1"/>
    </xf>
    <xf numFmtId="179" fontId="120" fillId="0" borderId="0" xfId="1" applyNumberFormat="1" applyFont="1" applyAlignment="1">
      <alignment shrinkToFit="1"/>
    </xf>
    <xf numFmtId="179" fontId="120" fillId="0" borderId="0" xfId="0" applyNumberFormat="1" applyFont="1" applyAlignment="1">
      <alignment shrinkToFit="1"/>
    </xf>
    <xf numFmtId="179" fontId="120" fillId="3" borderId="0" xfId="1" applyNumberFormat="1" applyFont="1" applyFill="1" applyAlignment="1">
      <alignment shrinkToFit="1"/>
    </xf>
    <xf numFmtId="179" fontId="120" fillId="3" borderId="0" xfId="0" applyNumberFormat="1" applyFont="1" applyFill="1" applyAlignment="1">
      <alignment shrinkToFit="1"/>
    </xf>
    <xf numFmtId="179" fontId="120" fillId="0" borderId="0" xfId="0" applyNumberFormat="1" applyFont="1" applyAlignment="1">
      <alignment vertical="center" shrinkToFit="1"/>
    </xf>
    <xf numFmtId="179" fontId="152" fillId="3" borderId="0" xfId="0" applyNumberFormat="1" applyFont="1" applyFill="1" applyAlignment="1">
      <alignment vertical="center" shrinkToFit="1"/>
    </xf>
    <xf numFmtId="0" fontId="120" fillId="0" borderId="0" xfId="0" applyFont="1" applyAlignment="1">
      <alignment vertical="center" shrinkToFit="1"/>
    </xf>
    <xf numFmtId="179" fontId="153" fillId="0" borderId="0" xfId="0" applyNumberFormat="1" applyFont="1" applyAlignment="1">
      <alignment vertical="center" shrinkToFit="1"/>
    </xf>
    <xf numFmtId="179" fontId="142" fillId="0" borderId="0" xfId="0" applyNumberFormat="1" applyFont="1" applyAlignment="1">
      <alignment vertical="center" shrinkToFit="1"/>
    </xf>
    <xf numFmtId="179" fontId="152" fillId="0" borderId="0" xfId="0" applyNumberFormat="1" applyFont="1" applyAlignment="1">
      <alignment vertical="center" shrinkToFit="1"/>
    </xf>
    <xf numFmtId="179" fontId="152" fillId="0" borderId="0" xfId="1" applyNumberFormat="1" applyFont="1" applyAlignment="1">
      <alignment vertical="center"/>
    </xf>
    <xf numFmtId="0" fontId="120" fillId="0" borderId="0" xfId="0" applyFont="1" applyAlignment="1">
      <alignment wrapText="1" shrinkToFit="1"/>
    </xf>
    <xf numFmtId="179" fontId="142" fillId="0" borderId="0" xfId="0" applyNumberFormat="1" applyFont="1" applyAlignment="1">
      <alignment shrinkToFit="1"/>
    </xf>
    <xf numFmtId="179" fontId="120" fillId="0" borderId="0" xfId="1" applyNumberFormat="1" applyFont="1" applyFill="1" applyAlignment="1">
      <alignment shrinkToFit="1"/>
    </xf>
    <xf numFmtId="179" fontId="120" fillId="0" borderId="0" xfId="1" applyNumberFormat="1" applyFont="1"/>
    <xf numFmtId="179" fontId="142" fillId="0" borderId="0" xfId="1" applyNumberFormat="1" applyFont="1"/>
    <xf numFmtId="179" fontId="32" fillId="0" borderId="0" xfId="1" applyNumberFormat="1" applyFont="1"/>
    <xf numFmtId="179" fontId="120" fillId="0" borderId="0" xfId="0" applyNumberFormat="1" applyFont="1"/>
    <xf numFmtId="179" fontId="142" fillId="3" borderId="0" xfId="0" applyNumberFormat="1" applyFont="1" applyFill="1"/>
    <xf numFmtId="179" fontId="120" fillId="3" borderId="0" xfId="0" applyNumberFormat="1" applyFont="1" applyFill="1"/>
    <xf numFmtId="179" fontId="152" fillId="3" borderId="0" xfId="0" applyNumberFormat="1" applyFont="1" applyFill="1"/>
    <xf numFmtId="179" fontId="142" fillId="0" borderId="0" xfId="0" applyNumberFormat="1" applyFont="1"/>
    <xf numFmtId="179" fontId="141" fillId="0" borderId="0" xfId="0" applyNumberFormat="1" applyFont="1"/>
    <xf numFmtId="0" fontId="32" fillId="0" borderId="0" xfId="0" applyFont="1" applyAlignment="1">
      <alignment shrinkToFit="1"/>
    </xf>
    <xf numFmtId="3" fontId="32" fillId="0" borderId="0" xfId="0" applyNumberFormat="1" applyFont="1"/>
    <xf numFmtId="3" fontId="130" fillId="0" borderId="60" xfId="0" applyNumberFormat="1" applyFont="1" applyBorder="1" applyAlignment="1" applyProtection="1">
      <alignment vertical="center" shrinkToFit="1"/>
      <protection locked="0"/>
    </xf>
    <xf numFmtId="3" fontId="32" fillId="0" borderId="60" xfId="0" applyNumberFormat="1" applyFont="1" applyBorder="1" applyAlignment="1" applyProtection="1">
      <alignment vertical="center" shrinkToFit="1"/>
      <protection locked="0"/>
    </xf>
    <xf numFmtId="3" fontId="130" fillId="0" borderId="13" xfId="0" applyNumberFormat="1" applyFont="1" applyBorder="1" applyAlignment="1" applyProtection="1">
      <alignment vertical="center" wrapText="1" shrinkToFit="1"/>
      <protection locked="0"/>
    </xf>
    <xf numFmtId="0" fontId="113" fillId="0" borderId="11" xfId="0" applyFont="1" applyBorder="1" applyAlignment="1">
      <alignment horizontal="center"/>
    </xf>
    <xf numFmtId="0" fontId="112" fillId="0" borderId="11" xfId="0" applyFont="1" applyBorder="1"/>
    <xf numFmtId="3" fontId="130" fillId="0" borderId="58" xfId="0" applyNumberFormat="1" applyFont="1" applyBorder="1" applyAlignment="1" applyProtection="1">
      <alignment vertical="center" shrinkToFit="1"/>
      <protection locked="0"/>
    </xf>
    <xf numFmtId="0" fontId="112" fillId="0" borderId="58" xfId="0" applyFont="1" applyBorder="1"/>
    <xf numFmtId="0" fontId="113" fillId="0" borderId="13" xfId="0" applyFont="1" applyBorder="1" applyAlignment="1">
      <alignment horizontal="center"/>
    </xf>
    <xf numFmtId="3" fontId="113" fillId="0" borderId="58" xfId="0" applyNumberFormat="1" applyFont="1" applyBorder="1"/>
    <xf numFmtId="3" fontId="113" fillId="0" borderId="13" xfId="0" applyNumberFormat="1" applyFont="1" applyBorder="1"/>
    <xf numFmtId="3" fontId="113" fillId="0" borderId="11" xfId="0" applyNumberFormat="1" applyFont="1" applyBorder="1"/>
    <xf numFmtId="3" fontId="122" fillId="0" borderId="0" xfId="0" applyNumberFormat="1" applyFont="1"/>
    <xf numFmtId="0" fontId="134" fillId="0" borderId="0" xfId="0" applyFont="1" applyAlignment="1">
      <alignment horizontal="center"/>
    </xf>
    <xf numFmtId="0" fontId="130" fillId="0" borderId="0" xfId="0" applyFont="1" applyAlignment="1">
      <alignment horizontal="right"/>
    </xf>
    <xf numFmtId="0" fontId="120" fillId="0" borderId="58" xfId="0" applyFont="1" applyBorder="1" applyAlignment="1">
      <alignment horizontal="center" vertical="center"/>
    </xf>
    <xf numFmtId="0" fontId="120" fillId="0" borderId="60" xfId="0" applyFont="1" applyBorder="1" applyAlignment="1">
      <alignment horizontal="center" vertical="center"/>
    </xf>
    <xf numFmtId="3" fontId="32" fillId="0" borderId="0" xfId="0" applyNumberFormat="1" applyFont="1" applyAlignment="1">
      <alignment horizontal="left"/>
    </xf>
    <xf numFmtId="3" fontId="120" fillId="0" borderId="0" xfId="0" applyNumberFormat="1" applyFont="1"/>
    <xf numFmtId="3" fontId="120" fillId="0" borderId="0" xfId="0" applyNumberFormat="1" applyFont="1" applyAlignment="1">
      <alignment horizontal="center"/>
    </xf>
    <xf numFmtId="3" fontId="120" fillId="0" borderId="0" xfId="0" applyNumberFormat="1" applyFont="1" applyAlignment="1">
      <alignment horizontal="centerContinuous"/>
    </xf>
    <xf numFmtId="3" fontId="134" fillId="0" borderId="0" xfId="0" applyNumberFormat="1" applyFont="1"/>
    <xf numFmtId="43" fontId="32" fillId="0" borderId="0" xfId="349" applyFont="1"/>
    <xf numFmtId="3" fontId="120" fillId="0" borderId="133" xfId="0" applyNumberFormat="1" applyFont="1" applyBorder="1" applyAlignment="1">
      <alignment horizontal="right"/>
    </xf>
    <xf numFmtId="3" fontId="120" fillId="0" borderId="11" xfId="0" applyNumberFormat="1" applyFont="1" applyBorder="1" applyAlignment="1">
      <alignment horizontal="center" vertical="center" shrinkToFit="1"/>
    </xf>
    <xf numFmtId="3" fontId="32" fillId="0" borderId="0" xfId="0" applyNumberFormat="1" applyFont="1" applyAlignment="1">
      <alignment shrinkToFit="1"/>
    </xf>
    <xf numFmtId="3" fontId="130" fillId="0" borderId="58" xfId="0" applyNumberFormat="1" applyFont="1" applyBorder="1" applyAlignment="1">
      <alignment horizontal="center" shrinkToFit="1"/>
    </xf>
    <xf numFmtId="3" fontId="130" fillId="0" borderId="58" xfId="0" applyNumberFormat="1" applyFont="1" applyBorder="1" applyAlignment="1">
      <alignment shrinkToFit="1"/>
    </xf>
    <xf numFmtId="166" fontId="130" fillId="0" borderId="58" xfId="0" applyNumberFormat="1" applyFont="1" applyBorder="1" applyAlignment="1">
      <alignment horizontal="right" shrinkToFit="1"/>
    </xf>
    <xf numFmtId="3" fontId="155" fillId="0" borderId="0" xfId="0" applyNumberFormat="1" applyFont="1"/>
    <xf numFmtId="3" fontId="156" fillId="0" borderId="60" xfId="0" applyNumberFormat="1" applyFont="1" applyBorder="1" applyAlignment="1">
      <alignment shrinkToFit="1"/>
    </xf>
    <xf numFmtId="166" fontId="156" fillId="0" borderId="60" xfId="0" applyNumberFormat="1" applyFont="1" applyBorder="1" applyAlignment="1">
      <alignment horizontal="right" shrinkToFit="1"/>
    </xf>
    <xf numFmtId="3" fontId="156" fillId="0" borderId="0" xfId="0" applyNumberFormat="1" applyFont="1"/>
    <xf numFmtId="3" fontId="130" fillId="0" borderId="60" xfId="0" applyNumberFormat="1" applyFont="1" applyBorder="1" applyAlignment="1">
      <alignment horizontal="center" shrinkToFit="1"/>
    </xf>
    <xf numFmtId="3" fontId="130" fillId="0" borderId="60" xfId="0" applyNumberFormat="1" applyFont="1" applyBorder="1" applyAlignment="1">
      <alignment shrinkToFit="1"/>
    </xf>
    <xf numFmtId="166" fontId="130" fillId="0" borderId="60" xfId="0" applyNumberFormat="1" applyFont="1" applyBorder="1" applyAlignment="1">
      <alignment horizontal="right" shrinkToFit="1"/>
    </xf>
    <xf numFmtId="3" fontId="32" fillId="0" borderId="60" xfId="0" applyNumberFormat="1" applyFont="1" applyBorder="1" applyAlignment="1">
      <alignment horizontal="center" shrinkToFit="1"/>
    </xf>
    <xf numFmtId="3" fontId="32" fillId="0" borderId="60" xfId="0" applyNumberFormat="1" applyFont="1" applyBorder="1" applyAlignment="1">
      <alignment shrinkToFit="1"/>
    </xf>
    <xf numFmtId="166" fontId="32" fillId="0" borderId="60" xfId="0" applyNumberFormat="1" applyFont="1" applyBorder="1" applyAlignment="1">
      <alignment horizontal="right" shrinkToFit="1"/>
    </xf>
    <xf numFmtId="179" fontId="32" fillId="0" borderId="60" xfId="349" applyNumberFormat="1" applyFont="1" applyBorder="1" applyAlignment="1">
      <alignment horizontal="right" shrinkToFit="1"/>
    </xf>
    <xf numFmtId="179" fontId="130" fillId="0" borderId="60" xfId="349" applyNumberFormat="1" applyFont="1" applyBorder="1" applyAlignment="1">
      <alignment horizontal="right" shrinkToFit="1"/>
    </xf>
    <xf numFmtId="3" fontId="130" fillId="0" borderId="0" xfId="0" applyNumberFormat="1" applyFont="1"/>
    <xf numFmtId="3" fontId="120" fillId="0" borderId="60" xfId="0" applyNumberFormat="1" applyFont="1" applyBorder="1" applyAlignment="1">
      <alignment horizontal="center" shrinkToFit="1"/>
    </xf>
    <xf numFmtId="166" fontId="120" fillId="0" borderId="60" xfId="0" applyNumberFormat="1" applyFont="1" applyBorder="1" applyAlignment="1">
      <alignment horizontal="right" shrinkToFit="1"/>
    </xf>
    <xf numFmtId="0" fontId="144" fillId="0" borderId="60" xfId="0" applyFont="1" applyBorder="1" applyAlignment="1">
      <alignment vertical="center" shrinkToFit="1"/>
    </xf>
    <xf numFmtId="179" fontId="157" fillId="0" borderId="60" xfId="349" applyNumberFormat="1" applyFont="1" applyBorder="1" applyAlignment="1">
      <alignment horizontal="right" shrinkToFit="1"/>
    </xf>
    <xf numFmtId="166" fontId="157" fillId="0" borderId="60" xfId="0" applyNumberFormat="1" applyFont="1" applyBorder="1" applyAlignment="1">
      <alignment horizontal="right" shrinkToFit="1"/>
    </xf>
    <xf numFmtId="3" fontId="157" fillId="0" borderId="0" xfId="0" applyNumberFormat="1" applyFont="1"/>
    <xf numFmtId="3" fontId="130" fillId="0" borderId="13" xfId="0" applyNumberFormat="1" applyFont="1" applyBorder="1" applyAlignment="1">
      <alignment horizontal="center" shrinkToFit="1"/>
    </xf>
    <xf numFmtId="9" fontId="32" fillId="0" borderId="0" xfId="3" applyFont="1"/>
    <xf numFmtId="3" fontId="32" fillId="0" borderId="0" xfId="0" applyNumberFormat="1" applyFont="1" applyAlignment="1">
      <alignment horizontal="centerContinuous"/>
    </xf>
    <xf numFmtId="166" fontId="130" fillId="0" borderId="58" xfId="0" applyNumberFormat="1" applyFont="1" applyBorder="1" applyAlignment="1">
      <alignment shrinkToFit="1"/>
    </xf>
    <xf numFmtId="166" fontId="130" fillId="0" borderId="60" xfId="0" applyNumberFormat="1" applyFont="1" applyBorder="1" applyAlignment="1">
      <alignment shrinkToFit="1"/>
    </xf>
    <xf numFmtId="3" fontId="134" fillId="0" borderId="60" xfId="0" applyNumberFormat="1" applyFont="1" applyBorder="1" applyAlignment="1">
      <alignment shrinkToFit="1"/>
    </xf>
    <xf numFmtId="166" fontId="150" fillId="0" borderId="60" xfId="0" applyNumberFormat="1" applyFont="1" applyBorder="1" applyAlignment="1">
      <alignment shrinkToFit="1"/>
    </xf>
    <xf numFmtId="0" fontId="144" fillId="0" borderId="60" xfId="0" applyFont="1" applyBorder="1" applyAlignment="1">
      <alignment vertical="center"/>
    </xf>
    <xf numFmtId="166" fontId="32" fillId="0" borderId="60" xfId="0" applyNumberFormat="1" applyFont="1" applyBorder="1" applyAlignment="1">
      <alignment shrinkToFit="1"/>
    </xf>
    <xf numFmtId="166" fontId="134" fillId="0" borderId="60" xfId="0" applyNumberFormat="1" applyFont="1" applyBorder="1" applyAlignment="1">
      <alignment shrinkToFit="1"/>
    </xf>
    <xf numFmtId="3" fontId="130" fillId="0" borderId="13" xfId="0" applyNumberFormat="1" applyFont="1" applyBorder="1" applyAlignment="1">
      <alignment shrinkToFit="1"/>
    </xf>
    <xf numFmtId="219" fontId="32" fillId="0" borderId="60" xfId="0" applyNumberFormat="1" applyFont="1" applyBorder="1" applyAlignment="1">
      <alignment vertical="center" shrinkToFit="1"/>
    </xf>
    <xf numFmtId="219" fontId="160" fillId="0" borderId="60" xfId="0" applyNumberFormat="1" applyFont="1" applyBorder="1" applyAlignment="1">
      <alignment vertical="center" shrinkToFit="1"/>
    </xf>
    <xf numFmtId="3" fontId="160" fillId="0" borderId="0" xfId="0" applyNumberFormat="1" applyFont="1" applyAlignment="1">
      <alignment vertical="center"/>
    </xf>
    <xf numFmtId="10" fontId="32" fillId="0" borderId="0" xfId="3" applyNumberFormat="1" applyFont="1"/>
    <xf numFmtId="0" fontId="11" fillId="0" borderId="60" xfId="0" applyFont="1" applyBorder="1" applyAlignment="1">
      <alignment vertical="center"/>
    </xf>
    <xf numFmtId="0" fontId="12" fillId="0" borderId="60" xfId="0" applyFont="1" applyBorder="1" applyAlignment="1">
      <alignment vertical="center"/>
    </xf>
    <xf numFmtId="0" fontId="11" fillId="0" borderId="60" xfId="0" applyFont="1" applyBorder="1" applyAlignment="1">
      <alignment vertical="center" shrinkToFit="1"/>
    </xf>
    <xf numFmtId="0" fontId="4" fillId="0" borderId="60" xfId="0" applyFont="1" applyBorder="1" applyAlignment="1">
      <alignment vertical="center"/>
    </xf>
    <xf numFmtId="0" fontId="19" fillId="0" borderId="60" xfId="0" applyFont="1" applyBorder="1" applyAlignment="1">
      <alignment vertical="center"/>
    </xf>
    <xf numFmtId="3" fontId="12" fillId="0" borderId="60" xfId="0" applyNumberFormat="1" applyFont="1" applyBorder="1" applyAlignment="1">
      <alignment vertical="center" wrapText="1" shrinkToFit="1"/>
    </xf>
    <xf numFmtId="0" fontId="11" fillId="0" borderId="60" xfId="0" applyFont="1" applyBorder="1" applyAlignment="1">
      <alignment vertical="center" wrapText="1" shrinkToFit="1"/>
    </xf>
    <xf numFmtId="0" fontId="12" fillId="0" borderId="58" xfId="0" applyFont="1" applyBorder="1" applyAlignment="1">
      <alignment vertical="center"/>
    </xf>
    <xf numFmtId="0" fontId="14" fillId="0" borderId="0" xfId="0" applyFont="1" applyAlignment="1">
      <alignment vertical="center"/>
    </xf>
    <xf numFmtId="0" fontId="21" fillId="0" borderId="0" xfId="0" applyFont="1"/>
    <xf numFmtId="0" fontId="12" fillId="0" borderId="58" xfId="0" applyFont="1" applyBorder="1" applyAlignment="1">
      <alignment horizontal="center" vertical="center"/>
    </xf>
    <xf numFmtId="3" fontId="21" fillId="0" borderId="58" xfId="0" applyNumberFormat="1" applyFont="1" applyBorder="1"/>
    <xf numFmtId="0" fontId="11" fillId="0" borderId="60" xfId="0" applyFont="1" applyBorder="1" applyAlignment="1">
      <alignment horizontal="center" vertical="center"/>
    </xf>
    <xf numFmtId="0" fontId="12" fillId="0" borderId="60" xfId="0" applyFont="1" applyBorder="1" applyAlignment="1">
      <alignment horizontal="center" vertical="center"/>
    </xf>
    <xf numFmtId="3" fontId="21" fillId="0" borderId="60" xfId="0" applyNumberFormat="1" applyFont="1" applyBorder="1"/>
    <xf numFmtId="0" fontId="4" fillId="0" borderId="60" xfId="0" applyFont="1" applyBorder="1" applyAlignment="1">
      <alignment horizontal="center" vertical="center"/>
    </xf>
    <xf numFmtId="0" fontId="19" fillId="0" borderId="60" xfId="0" applyFont="1" applyBorder="1" applyAlignment="1">
      <alignment horizontal="center" vertical="center"/>
    </xf>
    <xf numFmtId="3" fontId="23" fillId="0" borderId="60" xfId="0" applyNumberFormat="1" applyFont="1" applyBorder="1"/>
    <xf numFmtId="0" fontId="19" fillId="0" borderId="60" xfId="0" applyFont="1" applyBorder="1" applyAlignment="1">
      <alignment horizontal="center" vertical="center" wrapText="1"/>
    </xf>
    <xf numFmtId="0" fontId="12" fillId="0" borderId="13" xfId="0" applyFont="1" applyBorder="1" applyAlignment="1">
      <alignment horizontal="center" vertical="center"/>
    </xf>
    <xf numFmtId="3" fontId="12" fillId="0" borderId="13" xfId="0" applyNumberFormat="1" applyFont="1" applyBorder="1" applyAlignment="1">
      <alignment vertical="center" wrapText="1"/>
    </xf>
    <xf numFmtId="3" fontId="140" fillId="0" borderId="0" xfId="0" applyNumberFormat="1" applyFont="1" applyAlignment="1">
      <alignment shrinkToFit="1"/>
    </xf>
    <xf numFmtId="3" fontId="139" fillId="0" borderId="0" xfId="0" applyNumberFormat="1" applyFont="1" applyAlignment="1">
      <alignment shrinkToFit="1"/>
    </xf>
    <xf numFmtId="0" fontId="17" fillId="0" borderId="13" xfId="0" applyFont="1" applyBorder="1"/>
    <xf numFmtId="9" fontId="17" fillId="0" borderId="0" xfId="3" applyFont="1"/>
    <xf numFmtId="0" fontId="14" fillId="0" borderId="11" xfId="0" applyFont="1" applyBorder="1" applyAlignment="1">
      <alignment horizontal="center" vertical="center" wrapText="1"/>
    </xf>
    <xf numFmtId="3" fontId="24" fillId="0" borderId="60" xfId="0" applyNumberFormat="1" applyFont="1" applyBorder="1"/>
    <xf numFmtId="3" fontId="18" fillId="0" borderId="60" xfId="0" applyNumberFormat="1" applyFont="1" applyBorder="1"/>
    <xf numFmtId="3" fontId="21" fillId="0" borderId="60" xfId="0" applyNumberFormat="1" applyFont="1" applyBorder="1" applyAlignment="1">
      <alignment shrinkToFit="1"/>
    </xf>
    <xf numFmtId="3" fontId="17" fillId="0" borderId="13" xfId="0" applyNumberFormat="1" applyFont="1" applyBorder="1" applyAlignment="1">
      <alignment shrinkToFit="1"/>
    </xf>
    <xf numFmtId="0" fontId="17" fillId="0" borderId="0" xfId="0" applyFont="1" applyAlignment="1">
      <alignment horizontal="center"/>
    </xf>
    <xf numFmtId="0" fontId="14" fillId="0" borderId="58" xfId="0" applyFont="1" applyBorder="1"/>
    <xf numFmtId="1" fontId="17" fillId="0" borderId="0" xfId="0" applyNumberFormat="1" applyFont="1"/>
    <xf numFmtId="0" fontId="17" fillId="0" borderId="0" xfId="0" applyFont="1" applyAlignment="1">
      <alignment vertical="center" wrapText="1"/>
    </xf>
    <xf numFmtId="0" fontId="14" fillId="0" borderId="62" xfId="0" applyFont="1" applyBorder="1" applyAlignment="1">
      <alignment horizontal="center"/>
    </xf>
    <xf numFmtId="0" fontId="14" fillId="0" borderId="63" xfId="0" applyFont="1" applyBorder="1"/>
    <xf numFmtId="0" fontId="14" fillId="0" borderId="68" xfId="0" applyFont="1" applyBorder="1"/>
    <xf numFmtId="3" fontId="14" fillId="0" borderId="62" xfId="0" applyNumberFormat="1" applyFont="1" applyBorder="1" applyAlignment="1">
      <alignment shrinkToFit="1"/>
    </xf>
    <xf numFmtId="3" fontId="14" fillId="0" borderId="58" xfId="0" applyNumberFormat="1" applyFont="1" applyBorder="1" applyAlignment="1">
      <alignment vertical="center" shrinkToFit="1"/>
    </xf>
    <xf numFmtId="10" fontId="14" fillId="0" borderId="63" xfId="0" applyNumberFormat="1" applyFont="1" applyBorder="1"/>
    <xf numFmtId="3" fontId="14" fillId="0" borderId="62" xfId="0" applyNumberFormat="1" applyFont="1" applyBorder="1" applyAlignment="1">
      <alignment vertical="center" shrinkToFit="1"/>
    </xf>
    <xf numFmtId="3" fontId="14" fillId="0" borderId="58" xfId="1" applyNumberFormat="1" applyFont="1" applyBorder="1" applyAlignment="1">
      <alignment vertical="center" shrinkToFit="1"/>
    </xf>
    <xf numFmtId="173" fontId="14" fillId="0" borderId="63" xfId="3" applyNumberFormat="1" applyFont="1" applyBorder="1"/>
    <xf numFmtId="0" fontId="14" fillId="0" borderId="26" xfId="0" applyFont="1" applyBorder="1" applyAlignment="1">
      <alignment horizontal="center"/>
    </xf>
    <xf numFmtId="0" fontId="14" fillId="0" borderId="59" xfId="0" applyFont="1" applyBorder="1"/>
    <xf numFmtId="0" fontId="17" fillId="0" borderId="59" xfId="0" applyFont="1" applyBorder="1"/>
    <xf numFmtId="0" fontId="17" fillId="0" borderId="26" xfId="0" applyFont="1" applyBorder="1" applyAlignment="1">
      <alignment horizontal="center"/>
    </xf>
    <xf numFmtId="3" fontId="4" fillId="0" borderId="32" xfId="0" applyNumberFormat="1" applyFont="1" applyBorder="1" applyAlignment="1">
      <alignment horizontal="justify" vertical="justify" wrapText="1" shrinkToFit="1"/>
    </xf>
    <xf numFmtId="3" fontId="17" fillId="0" borderId="26" xfId="0" applyNumberFormat="1" applyFont="1" applyBorder="1"/>
    <xf numFmtId="3" fontId="23" fillId="0" borderId="60" xfId="0" applyNumberFormat="1" applyFont="1" applyBorder="1" applyAlignment="1">
      <alignment vertical="center" shrinkToFit="1"/>
    </xf>
    <xf numFmtId="3" fontId="17" fillId="0" borderId="60" xfId="1" applyNumberFormat="1" applyFont="1" applyBorder="1" applyAlignment="1">
      <alignment vertical="center" shrinkToFit="1"/>
    </xf>
    <xf numFmtId="3" fontId="23" fillId="0" borderId="26" xfId="0" applyNumberFormat="1" applyFont="1" applyBorder="1"/>
    <xf numFmtId="3" fontId="17" fillId="3" borderId="60" xfId="1" applyNumberFormat="1" applyFont="1" applyFill="1" applyBorder="1" applyAlignment="1">
      <alignment vertical="center" shrinkToFit="1"/>
    </xf>
    <xf numFmtId="10" fontId="163" fillId="0" borderId="32" xfId="0" applyNumberFormat="1" applyFont="1" applyBorder="1"/>
    <xf numFmtId="0" fontId="17" fillId="0" borderId="26" xfId="0" applyFont="1" applyBorder="1" applyAlignment="1">
      <alignment horizontal="center" vertical="center"/>
    </xf>
    <xf numFmtId="0" fontId="164" fillId="0" borderId="26" xfId="0" applyFont="1" applyBorder="1" applyAlignment="1">
      <alignment horizontal="center" vertical="center" wrapText="1"/>
    </xf>
    <xf numFmtId="0" fontId="164" fillId="0" borderId="32" xfId="0" applyFont="1" applyBorder="1" applyAlignment="1">
      <alignment vertical="center" wrapText="1"/>
    </xf>
    <xf numFmtId="0" fontId="23" fillId="0" borderId="26" xfId="0" applyFont="1" applyBorder="1" applyAlignment="1">
      <alignment horizontal="center" vertical="center" wrapText="1"/>
    </xf>
    <xf numFmtId="0" fontId="23" fillId="0" borderId="32" xfId="0" applyFont="1" applyBorder="1" applyAlignment="1">
      <alignment vertical="center" wrapText="1"/>
    </xf>
    <xf numFmtId="3" fontId="17" fillId="3" borderId="60" xfId="0" applyNumberFormat="1" applyFont="1" applyFill="1" applyBorder="1" applyAlignment="1">
      <alignment shrinkToFit="1"/>
    </xf>
    <xf numFmtId="0" fontId="165" fillId="0" borderId="26" xfId="0" applyFont="1" applyBorder="1" applyAlignment="1">
      <alignment horizontal="center" vertical="center" wrapText="1"/>
    </xf>
    <xf numFmtId="0" fontId="165" fillId="0" borderId="32" xfId="0" applyFont="1" applyBorder="1" applyAlignment="1">
      <alignment vertical="center" wrapText="1"/>
    </xf>
    <xf numFmtId="10" fontId="162" fillId="0" borderId="32" xfId="0" applyNumberFormat="1" applyFont="1" applyBorder="1"/>
    <xf numFmtId="3" fontId="14" fillId="0" borderId="26" xfId="0" applyNumberFormat="1" applyFont="1" applyBorder="1"/>
    <xf numFmtId="3" fontId="14" fillId="3" borderId="60" xfId="0" applyNumberFormat="1" applyFont="1" applyFill="1" applyBorder="1" applyAlignment="1">
      <alignment vertical="center" shrinkToFit="1"/>
    </xf>
    <xf numFmtId="3" fontId="14" fillId="0" borderId="26" xfId="0" applyNumberFormat="1" applyFont="1" applyBorder="1" applyAlignment="1">
      <alignment horizontal="center" vertical="center" wrapText="1" shrinkToFit="1"/>
    </xf>
    <xf numFmtId="3" fontId="14" fillId="0" borderId="32" xfId="0" applyNumberFormat="1" applyFont="1" applyBorder="1" applyAlignment="1">
      <alignment horizontal="justify" vertical="justify" wrapText="1" shrinkToFit="1"/>
    </xf>
    <xf numFmtId="3" fontId="17" fillId="0" borderId="26" xfId="0" applyNumberFormat="1" applyFont="1" applyBorder="1" applyAlignment="1">
      <alignment horizontal="center" vertical="center" wrapText="1" shrinkToFit="1"/>
    </xf>
    <xf numFmtId="3" fontId="17" fillId="0" borderId="32" xfId="0" applyNumberFormat="1" applyFont="1" applyBorder="1" applyAlignment="1">
      <alignment horizontal="justify" vertical="justify" wrapText="1" shrinkToFit="1"/>
    </xf>
    <xf numFmtId="3" fontId="23" fillId="0" borderId="26" xfId="0" applyNumberFormat="1" applyFont="1" applyBorder="1" applyAlignment="1">
      <alignment vertical="center" shrinkToFit="1"/>
    </xf>
    <xf numFmtId="0" fontId="165" fillId="0" borderId="32" xfId="0" applyFont="1" applyBorder="1" applyAlignment="1">
      <alignment vertical="center" shrinkToFit="1"/>
    </xf>
    <xf numFmtId="0" fontId="17" fillId="0" borderId="26" xfId="0" applyFont="1" applyBorder="1" applyAlignment="1">
      <alignment shrinkToFit="1"/>
    </xf>
    <xf numFmtId="0" fontId="165" fillId="0" borderId="29" xfId="0" applyFont="1" applyBorder="1" applyAlignment="1">
      <alignment horizontal="center" vertical="center" wrapText="1"/>
    </xf>
    <xf numFmtId="0" fontId="165" fillId="0" borderId="31" xfId="0" applyFont="1" applyBorder="1" applyAlignment="1">
      <alignment vertical="center" shrinkToFit="1"/>
    </xf>
    <xf numFmtId="0" fontId="17" fillId="0" borderId="66" xfId="0" applyFont="1" applyBorder="1"/>
    <xf numFmtId="0" fontId="17" fillId="0" borderId="61" xfId="0" applyFont="1" applyBorder="1"/>
    <xf numFmtId="3" fontId="17" fillId="0" borderId="29" xfId="0" applyNumberFormat="1" applyFont="1" applyBorder="1"/>
    <xf numFmtId="3" fontId="17" fillId="0" borderId="30" xfId="0" applyNumberFormat="1" applyFont="1" applyBorder="1"/>
    <xf numFmtId="3" fontId="17" fillId="0" borderId="29" xfId="0" applyNumberFormat="1" applyFont="1" applyBorder="1" applyAlignment="1">
      <alignment vertical="center" shrinkToFit="1"/>
    </xf>
    <xf numFmtId="3" fontId="17" fillId="0" borderId="30" xfId="0" applyNumberFormat="1" applyFont="1" applyBorder="1" applyAlignment="1">
      <alignment vertical="center" shrinkToFit="1"/>
    </xf>
    <xf numFmtId="3" fontId="17" fillId="0" borderId="30" xfId="1" applyNumberFormat="1" applyFont="1" applyBorder="1" applyAlignment="1">
      <alignment vertical="center" shrinkToFit="1"/>
    </xf>
    <xf numFmtId="3" fontId="14" fillId="0" borderId="30" xfId="0" applyNumberFormat="1" applyFont="1" applyBorder="1" applyAlignment="1">
      <alignment vertical="center" shrinkToFit="1"/>
    </xf>
    <xf numFmtId="0" fontId="17" fillId="0" borderId="29" xfId="0" applyFont="1" applyBorder="1" applyAlignment="1">
      <alignment shrinkToFit="1"/>
    </xf>
    <xf numFmtId="0" fontId="17" fillId="0" borderId="30" xfId="0" applyFont="1" applyBorder="1" applyAlignment="1">
      <alignment shrinkToFit="1"/>
    </xf>
    <xf numFmtId="169" fontId="17" fillId="0" borderId="0" xfId="1" applyNumberFormat="1" applyFont="1" applyAlignment="1">
      <alignment horizontal="right" shrinkToFit="1"/>
    </xf>
    <xf numFmtId="10" fontId="17" fillId="0" borderId="0" xfId="3" applyNumberFormat="1" applyFont="1"/>
    <xf numFmtId="10" fontId="17" fillId="0" borderId="0" xfId="0" applyNumberFormat="1" applyFont="1"/>
    <xf numFmtId="3" fontId="23" fillId="0" borderId="0" xfId="0" applyNumberFormat="1" applyFont="1"/>
    <xf numFmtId="3" fontId="23" fillId="0" borderId="0" xfId="0" applyNumberFormat="1" applyFont="1" applyAlignment="1">
      <alignment shrinkToFit="1"/>
    </xf>
    <xf numFmtId="169" fontId="17" fillId="0" borderId="0" xfId="0" applyNumberFormat="1" applyFont="1"/>
    <xf numFmtId="170" fontId="17" fillId="0" borderId="0" xfId="1" applyNumberFormat="1" applyFont="1" applyAlignment="1">
      <alignment shrinkToFit="1"/>
    </xf>
    <xf numFmtId="3" fontId="23" fillId="0" borderId="32" xfId="0" applyNumberFormat="1" applyFont="1" applyBorder="1" applyAlignment="1">
      <alignment horizontal="justify" vertical="center" wrapText="1" shrinkToFit="1"/>
    </xf>
    <xf numFmtId="0" fontId="17" fillId="0" borderId="59" xfId="0" applyFont="1" applyBorder="1" applyAlignment="1">
      <alignment vertical="center"/>
    </xf>
    <xf numFmtId="172" fontId="17" fillId="0" borderId="60" xfId="0" applyNumberFormat="1" applyFont="1" applyBorder="1" applyAlignment="1">
      <alignment vertical="center"/>
    </xf>
    <xf numFmtId="0" fontId="17" fillId="0" borderId="16" xfId="0" applyFont="1" applyBorder="1" applyAlignment="1">
      <alignment vertical="center"/>
    </xf>
    <xf numFmtId="3" fontId="17" fillId="0" borderId="26" xfId="0" applyNumberFormat="1" applyFont="1" applyBorder="1" applyAlignment="1">
      <alignment vertical="center"/>
    </xf>
    <xf numFmtId="10" fontId="163" fillId="0" borderId="32" xfId="0" applyNumberFormat="1" applyFont="1" applyBorder="1" applyAlignment="1">
      <alignment vertical="center"/>
    </xf>
    <xf numFmtId="173" fontId="17" fillId="0" borderId="32" xfId="3" applyNumberFormat="1" applyFont="1" applyBorder="1" applyAlignment="1">
      <alignment vertical="center"/>
    </xf>
    <xf numFmtId="0" fontId="4" fillId="0" borderId="60" xfId="0" applyFont="1" applyBorder="1" applyAlignment="1">
      <alignment vertical="center" shrinkToFit="1"/>
    </xf>
    <xf numFmtId="0" fontId="19" fillId="0" borderId="60" xfId="0" applyFont="1" applyBorder="1" applyAlignment="1">
      <alignment vertical="center" shrinkToFit="1"/>
    </xf>
    <xf numFmtId="173" fontId="21" fillId="0" borderId="58" xfId="3" applyNumberFormat="1" applyFont="1" applyBorder="1" applyAlignment="1">
      <alignment shrinkToFit="1"/>
    </xf>
    <xf numFmtId="173" fontId="14" fillId="0" borderId="60" xfId="3" applyNumberFormat="1" applyFont="1" applyBorder="1" applyAlignment="1">
      <alignment shrinkToFit="1"/>
    </xf>
    <xf numFmtId="173" fontId="21" fillId="0" borderId="60" xfId="3" applyNumberFormat="1" applyFont="1" applyBorder="1" applyAlignment="1">
      <alignment shrinkToFit="1"/>
    </xf>
    <xf numFmtId="173" fontId="17" fillId="0" borderId="60" xfId="3" applyNumberFormat="1" applyFont="1" applyBorder="1" applyAlignment="1">
      <alignment shrinkToFit="1"/>
    </xf>
    <xf numFmtId="173" fontId="21" fillId="0" borderId="58" xfId="0" applyNumberFormat="1" applyFont="1" applyBorder="1"/>
    <xf numFmtId="173" fontId="14" fillId="0" borderId="60" xfId="0" applyNumberFormat="1" applyFont="1" applyBorder="1"/>
    <xf numFmtId="173" fontId="21" fillId="0" borderId="60" xfId="0" applyNumberFormat="1" applyFont="1" applyBorder="1"/>
    <xf numFmtId="173" fontId="17" fillId="0" borderId="60" xfId="0" applyNumberFormat="1" applyFont="1" applyBorder="1"/>
    <xf numFmtId="0" fontId="163" fillId="0" borderId="60" xfId="0" applyFont="1" applyBorder="1"/>
    <xf numFmtId="173" fontId="163" fillId="0" borderId="60" xfId="0" applyNumberFormat="1" applyFont="1" applyBorder="1"/>
    <xf numFmtId="173" fontId="163" fillId="0" borderId="60" xfId="3" applyNumberFormat="1" applyFont="1" applyBorder="1" applyAlignment="1">
      <alignment shrinkToFit="1"/>
    </xf>
    <xf numFmtId="0" fontId="17" fillId="0" borderId="136" xfId="0" applyFont="1" applyBorder="1"/>
    <xf numFmtId="0" fontId="17" fillId="0" borderId="137" xfId="0" applyFont="1" applyBorder="1"/>
    <xf numFmtId="0" fontId="17" fillId="0" borderId="138" xfId="0" applyFont="1" applyBorder="1"/>
    <xf numFmtId="0" fontId="17" fillId="0" borderId="139" xfId="0" applyFont="1" applyBorder="1"/>
    <xf numFmtId="0" fontId="17" fillId="0" borderId="135" xfId="0" applyFont="1" applyBorder="1"/>
    <xf numFmtId="173" fontId="17" fillId="0" borderId="13" xfId="3" applyNumberFormat="1" applyFont="1" applyBorder="1" applyAlignment="1">
      <alignment shrinkToFit="1"/>
    </xf>
    <xf numFmtId="173" fontId="17" fillId="0" borderId="13" xfId="0" applyNumberFormat="1" applyFont="1" applyBorder="1"/>
    <xf numFmtId="3" fontId="15" fillId="0" borderId="0" xfId="0" applyNumberFormat="1" applyFont="1" applyAlignment="1">
      <alignment shrinkToFit="1"/>
    </xf>
    <xf numFmtId="0" fontId="17" fillId="0" borderId="11" xfId="0" applyFont="1" applyBorder="1" applyAlignment="1">
      <alignment horizontal="center" vertical="center" wrapText="1"/>
    </xf>
    <xf numFmtId="173" fontId="16" fillId="0" borderId="0" xfId="3" applyNumberFormat="1" applyFont="1" applyAlignment="1">
      <alignment shrinkToFit="1"/>
    </xf>
    <xf numFmtId="0" fontId="17" fillId="0" borderId="0" xfId="0" applyFont="1" applyAlignment="1">
      <alignment horizontal="center" vertical="center"/>
    </xf>
    <xf numFmtId="0" fontId="14" fillId="0" borderId="11" xfId="0" applyFont="1" applyBorder="1" applyAlignment="1">
      <alignment vertical="center"/>
    </xf>
    <xf numFmtId="0" fontId="17" fillId="0" borderId="11" xfId="0" applyFont="1" applyBorder="1" applyAlignment="1">
      <alignment horizontal="center" vertical="center"/>
    </xf>
    <xf numFmtId="3" fontId="17" fillId="0" borderId="11" xfId="0" applyNumberFormat="1" applyFont="1" applyBorder="1" applyAlignment="1">
      <alignment horizontal="center" vertical="center"/>
    </xf>
    <xf numFmtId="0" fontId="112" fillId="0" borderId="11" xfId="0" quotePrefix="1" applyFont="1" applyBorder="1" applyAlignment="1">
      <alignment horizontal="justify" vertical="center" wrapText="1"/>
    </xf>
    <xf numFmtId="0" fontId="14" fillId="0" borderId="0" xfId="0" applyFont="1" applyAlignment="1">
      <alignment horizontal="center" wrapText="1"/>
    </xf>
    <xf numFmtId="0" fontId="14" fillId="0" borderId="58" xfId="0" applyFont="1" applyBorder="1" applyAlignment="1">
      <alignment horizontal="center"/>
    </xf>
    <xf numFmtId="0" fontId="14" fillId="0" borderId="58" xfId="0" applyFont="1" applyBorder="1" applyAlignment="1">
      <alignment horizontal="left"/>
    </xf>
    <xf numFmtId="3" fontId="14" fillId="0" borderId="58" xfId="0" applyNumberFormat="1" applyFont="1" applyBorder="1"/>
    <xf numFmtId="3" fontId="18" fillId="0" borderId="58" xfId="0" applyNumberFormat="1" applyFont="1" applyBorder="1"/>
    <xf numFmtId="0" fontId="14" fillId="0" borderId="60" xfId="0" applyFont="1" applyBorder="1" applyAlignment="1">
      <alignment horizontal="center"/>
    </xf>
    <xf numFmtId="0" fontId="17" fillId="0" borderId="60" xfId="0" applyFont="1" applyBorder="1" applyAlignment="1">
      <alignment horizontal="center"/>
    </xf>
    <xf numFmtId="0" fontId="23" fillId="0" borderId="60" xfId="0" applyFont="1" applyBorder="1"/>
    <xf numFmtId="0" fontId="14" fillId="0" borderId="60" xfId="0" applyFont="1" applyBorder="1" applyAlignment="1">
      <alignment horizontal="center" vertical="center"/>
    </xf>
    <xf numFmtId="0" fontId="14" fillId="0" borderId="60" xfId="0" applyFont="1" applyBorder="1" applyAlignment="1">
      <alignment vertical="center" wrapText="1"/>
    </xf>
    <xf numFmtId="3" fontId="14" fillId="0" borderId="60" xfId="0" applyNumberFormat="1" applyFont="1" applyBorder="1" applyAlignment="1">
      <alignment vertical="center"/>
    </xf>
    <xf numFmtId="3" fontId="18" fillId="0" borderId="60" xfId="0" applyNumberFormat="1" applyFont="1" applyBorder="1" applyAlignment="1">
      <alignment vertical="center"/>
    </xf>
    <xf numFmtId="0" fontId="16" fillId="0" borderId="60" xfId="0" applyFont="1" applyBorder="1" applyAlignment="1">
      <alignment horizontal="center"/>
    </xf>
    <xf numFmtId="173" fontId="16" fillId="0" borderId="60" xfId="3" applyNumberFormat="1" applyFont="1" applyBorder="1"/>
    <xf numFmtId="173" fontId="140" fillId="0" borderId="60" xfId="3" applyNumberFormat="1" applyFont="1" applyBorder="1"/>
    <xf numFmtId="0" fontId="17" fillId="0" borderId="13" xfId="0" applyFont="1" applyBorder="1" applyAlignment="1">
      <alignment horizontal="center"/>
    </xf>
    <xf numFmtId="3" fontId="17" fillId="0" borderId="13" xfId="0" applyNumberFormat="1" applyFont="1" applyBorder="1"/>
    <xf numFmtId="0" fontId="134" fillId="0" borderId="0" xfId="0" applyFont="1"/>
    <xf numFmtId="3" fontId="150" fillId="0" borderId="0" xfId="0" applyNumberFormat="1" applyFont="1"/>
    <xf numFmtId="217" fontId="134" fillId="0" borderId="105" xfId="348" applyNumberFormat="1" applyFont="1" applyFill="1" applyBorder="1" applyAlignment="1">
      <alignment vertical="center" shrinkToFit="1"/>
    </xf>
    <xf numFmtId="217" fontId="150" fillId="0" borderId="105" xfId="348" applyNumberFormat="1" applyFont="1" applyFill="1" applyBorder="1" applyAlignment="1">
      <alignment vertical="center" shrinkToFit="1"/>
    </xf>
    <xf numFmtId="217" fontId="166" fillId="0" borderId="105" xfId="348" applyNumberFormat="1" applyFont="1" applyFill="1" applyBorder="1" applyAlignment="1">
      <alignment horizontal="right" vertical="center" shrinkToFit="1"/>
    </xf>
    <xf numFmtId="3" fontId="134" fillId="0" borderId="105" xfId="348" applyNumberFormat="1" applyFont="1" applyFill="1" applyBorder="1" applyAlignment="1">
      <alignment vertical="center" shrinkToFit="1"/>
    </xf>
    <xf numFmtId="0" fontId="121" fillId="0" borderId="58" xfId="0" applyFont="1" applyBorder="1" applyAlignment="1">
      <alignment horizontal="center" vertical="center" wrapText="1"/>
    </xf>
    <xf numFmtId="0" fontId="122" fillId="0" borderId="58" xfId="0" applyFont="1" applyBorder="1" applyAlignment="1">
      <alignment vertical="center" wrapText="1" shrinkToFit="1"/>
    </xf>
    <xf numFmtId="0" fontId="122" fillId="0" borderId="58" xfId="0" applyFont="1" applyBorder="1" applyAlignment="1">
      <alignment horizontal="center" vertical="center" shrinkToFit="1"/>
    </xf>
    <xf numFmtId="170" fontId="122" fillId="0" borderId="14" xfId="1" applyNumberFormat="1" applyFont="1" applyBorder="1" applyAlignment="1">
      <alignment horizontal="right"/>
    </xf>
    <xf numFmtId="170" fontId="122" fillId="0" borderId="58" xfId="1" applyNumberFormat="1" applyFont="1" applyBorder="1" applyAlignment="1">
      <alignment horizontal="right"/>
    </xf>
    <xf numFmtId="170" fontId="135" fillId="0" borderId="14" xfId="1" applyNumberFormat="1" applyFont="1" applyBorder="1"/>
    <xf numFmtId="0" fontId="126" fillId="0" borderId="14" xfId="0" applyFont="1" applyBorder="1" applyAlignment="1">
      <alignment horizontal="center" vertical="center" wrapText="1"/>
    </xf>
    <xf numFmtId="0" fontId="135" fillId="0" borderId="60" xfId="0" applyFont="1" applyBorder="1" applyAlignment="1">
      <alignment vertical="center" wrapText="1" shrinkToFit="1"/>
    </xf>
    <xf numFmtId="0" fontId="135" fillId="0" borderId="14" xfId="0" applyFont="1" applyBorder="1" applyAlignment="1">
      <alignment horizontal="center" vertical="center" shrinkToFit="1"/>
    </xf>
    <xf numFmtId="170" fontId="135" fillId="0" borderId="14" xfId="1" applyNumberFormat="1" applyFont="1" applyBorder="1" applyAlignment="1">
      <alignment horizontal="right"/>
    </xf>
    <xf numFmtId="170" fontId="135" fillId="0" borderId="14" xfId="1" applyNumberFormat="1" applyFont="1" applyBorder="1" applyAlignment="1">
      <alignment shrinkToFit="1"/>
    </xf>
    <xf numFmtId="0" fontId="121" fillId="0" borderId="60" xfId="0" applyFont="1" applyBorder="1" applyAlignment="1">
      <alignment horizontal="center" vertical="center" wrapText="1"/>
    </xf>
    <xf numFmtId="0" fontId="122" fillId="0" borderId="60" xfId="0" applyFont="1" applyBorder="1" applyAlignment="1">
      <alignment vertical="center" wrapText="1" shrinkToFit="1"/>
    </xf>
    <xf numFmtId="0" fontId="122" fillId="0" borderId="60" xfId="0" applyFont="1" applyBorder="1" applyAlignment="1">
      <alignment horizontal="center" vertical="center" shrinkToFit="1"/>
    </xf>
    <xf numFmtId="221" fontId="122" fillId="0" borderId="14" xfId="1" applyNumberFormat="1" applyFont="1" applyBorder="1" applyAlignment="1">
      <alignment shrinkToFit="1"/>
    </xf>
    <xf numFmtId="2" fontId="122" fillId="0" borderId="60" xfId="0" applyNumberFormat="1" applyFont="1" applyBorder="1" applyAlignment="1">
      <alignment horizontal="right"/>
    </xf>
    <xf numFmtId="2" fontId="122" fillId="0" borderId="60" xfId="0" applyNumberFormat="1" applyFont="1" applyBorder="1"/>
    <xf numFmtId="2" fontId="122" fillId="0" borderId="60" xfId="3" applyNumberFormat="1" applyFont="1" applyBorder="1" applyAlignment="1">
      <alignment horizontal="right"/>
    </xf>
    <xf numFmtId="4" fontId="122" fillId="0" borderId="60" xfId="3" applyNumberFormat="1" applyFont="1" applyBorder="1" applyAlignment="1">
      <alignment horizontal="right"/>
    </xf>
    <xf numFmtId="0" fontId="122" fillId="0" borderId="60" xfId="0" applyFont="1" applyBorder="1" applyAlignment="1">
      <alignment horizontal="right"/>
    </xf>
    <xf numFmtId="217" fontId="122" fillId="0" borderId="60" xfId="0" applyNumberFormat="1" applyFont="1" applyBorder="1" applyAlignment="1">
      <alignment shrinkToFit="1"/>
    </xf>
    <xf numFmtId="217" fontId="122" fillId="0" borderId="60" xfId="0" applyNumberFormat="1" applyFont="1" applyBorder="1" applyAlignment="1">
      <alignment vertical="center"/>
    </xf>
    <xf numFmtId="4" fontId="122" fillId="0" borderId="60" xfId="0" applyNumberFormat="1" applyFont="1" applyBorder="1" applyAlignment="1">
      <alignment horizontal="right"/>
    </xf>
    <xf numFmtId="217" fontId="122" fillId="0" borderId="60" xfId="0" applyNumberFormat="1" applyFont="1" applyBorder="1" applyAlignment="1">
      <alignment horizontal="right"/>
    </xf>
    <xf numFmtId="177" fontId="122" fillId="0" borderId="60" xfId="0" applyNumberFormat="1" applyFont="1" applyBorder="1" applyAlignment="1">
      <alignment horizontal="right"/>
    </xf>
    <xf numFmtId="177" fontId="122" fillId="0" borderId="60" xfId="0" applyNumberFormat="1" applyFont="1" applyBorder="1"/>
    <xf numFmtId="170" fontId="122" fillId="0" borderId="60" xfId="1" applyNumberFormat="1" applyFont="1" applyBorder="1" applyAlignment="1">
      <alignment horizontal="right" vertical="center" shrinkToFit="1"/>
    </xf>
    <xf numFmtId="3" fontId="121" fillId="0" borderId="60" xfId="0" applyNumberFormat="1" applyFont="1" applyBorder="1" applyAlignment="1">
      <alignment horizontal="center" vertical="center" wrapText="1"/>
    </xf>
    <xf numFmtId="3" fontId="122" fillId="0" borderId="60" xfId="0" applyNumberFormat="1" applyFont="1" applyBorder="1" applyAlignment="1">
      <alignment horizontal="center" vertical="center" shrinkToFit="1"/>
    </xf>
    <xf numFmtId="3" fontId="145" fillId="0" borderId="60" xfId="0" applyNumberFormat="1" applyFont="1" applyBorder="1" applyAlignment="1">
      <alignment horizontal="center" vertical="center"/>
    </xf>
    <xf numFmtId="3" fontId="145" fillId="0" borderId="60" xfId="0" applyNumberFormat="1" applyFont="1" applyBorder="1" applyAlignment="1">
      <alignment horizontal="justify" vertical="center"/>
    </xf>
    <xf numFmtId="3" fontId="121" fillId="0" borderId="60" xfId="0" applyNumberFormat="1" applyFont="1" applyBorder="1" applyAlignment="1">
      <alignment horizontal="center" vertical="center" shrinkToFit="1"/>
    </xf>
    <xf numFmtId="3" fontId="121" fillId="0" borderId="60" xfId="0" applyNumberFormat="1" applyFont="1" applyBorder="1" applyAlignment="1">
      <alignment shrinkToFit="1"/>
    </xf>
    <xf numFmtId="3" fontId="168" fillId="0" borderId="60" xfId="18" quotePrefix="1" applyNumberFormat="1" applyFont="1" applyBorder="1" applyAlignment="1">
      <alignment horizontal="justify" vertical="center" wrapText="1"/>
    </xf>
    <xf numFmtId="3" fontId="169" fillId="0" borderId="60" xfId="353" applyNumberFormat="1" applyFont="1" applyFill="1" applyBorder="1" applyAlignment="1">
      <alignment horizontal="right" vertical="center" wrapText="1"/>
    </xf>
    <xf numFmtId="3" fontId="169" fillId="0" borderId="60" xfId="0" applyNumberFormat="1" applyFont="1" applyBorder="1" applyAlignment="1">
      <alignment horizontal="right" vertical="center" wrapText="1"/>
    </xf>
    <xf numFmtId="3" fontId="122" fillId="2" borderId="60" xfId="0" applyNumberFormat="1" applyFont="1" applyFill="1" applyBorder="1" applyAlignment="1">
      <alignment horizontal="center" vertical="center" wrapText="1"/>
    </xf>
    <xf numFmtId="0" fontId="145" fillId="0" borderId="60" xfId="0" applyFont="1" applyBorder="1" applyAlignment="1">
      <alignment horizontal="center" vertical="center"/>
    </xf>
    <xf numFmtId="0" fontId="145" fillId="0" borderId="60" xfId="0" applyFont="1" applyBorder="1" applyAlignment="1">
      <alignment horizontal="justify" vertical="center"/>
    </xf>
    <xf numFmtId="2" fontId="121" fillId="0" borderId="60" xfId="0" applyNumberFormat="1" applyFont="1" applyBorder="1"/>
    <xf numFmtId="0" fontId="168" fillId="0" borderId="60" xfId="18" quotePrefix="1" applyFont="1" applyBorder="1" applyAlignment="1">
      <alignment horizontal="justify" vertical="center" wrapText="1"/>
    </xf>
    <xf numFmtId="0" fontId="122" fillId="0" borderId="60" xfId="2" applyFont="1" applyFill="1" applyBorder="1" applyAlignment="1">
      <alignment vertical="center" wrapText="1" shrinkToFit="1"/>
    </xf>
    <xf numFmtId="0" fontId="122" fillId="0" borderId="13" xfId="0" applyFont="1" applyBorder="1"/>
    <xf numFmtId="3" fontId="170" fillId="0" borderId="60" xfId="353" applyNumberFormat="1" applyFont="1" applyFill="1" applyBorder="1" applyAlignment="1">
      <alignment vertical="center" shrinkToFit="1"/>
    </xf>
    <xf numFmtId="3" fontId="169" fillId="0" borderId="60" xfId="353" applyNumberFormat="1" applyFont="1" applyFill="1" applyBorder="1" applyAlignment="1">
      <alignment vertical="center" shrinkToFit="1"/>
    </xf>
    <xf numFmtId="3" fontId="122" fillId="0" borderId="60" xfId="0" applyNumberFormat="1" applyFont="1" applyBorder="1" applyAlignment="1">
      <alignment shrinkToFit="1"/>
    </xf>
    <xf numFmtId="3" fontId="33" fillId="0" borderId="60" xfId="365" applyNumberFormat="1" applyFont="1" applyFill="1" applyBorder="1" applyAlignment="1">
      <alignment vertical="center" shrinkToFit="1"/>
    </xf>
    <xf numFmtId="0" fontId="145" fillId="0" borderId="60" xfId="18" quotePrefix="1" applyFont="1" applyBorder="1" applyAlignment="1">
      <alignment horizontal="justify" vertical="center" wrapText="1"/>
    </xf>
    <xf numFmtId="0" fontId="121" fillId="0" borderId="14" xfId="0" applyFont="1" applyBorder="1" applyAlignment="1">
      <alignment horizontal="center" vertical="center" wrapText="1"/>
    </xf>
    <xf numFmtId="0" fontId="121" fillId="0" borderId="60" xfId="0" applyFont="1" applyBorder="1" applyAlignment="1">
      <alignment horizontal="right"/>
    </xf>
    <xf numFmtId="0" fontId="122" fillId="0" borderId="14" xfId="0" applyFont="1" applyBorder="1" applyAlignment="1">
      <alignment horizontal="center" vertical="center" shrinkToFit="1"/>
    </xf>
    <xf numFmtId="0" fontId="122" fillId="0" borderId="14" xfId="0" applyFont="1" applyBorder="1"/>
    <xf numFmtId="0" fontId="168" fillId="0" borderId="60" xfId="7" applyFont="1" applyBorder="1" applyAlignment="1">
      <alignment horizontal="center" vertical="center"/>
    </xf>
    <xf numFmtId="0" fontId="168" fillId="0" borderId="60" xfId="6" applyFont="1" applyBorder="1" applyAlignment="1">
      <alignment horizontal="justify" vertical="center" wrapText="1"/>
    </xf>
    <xf numFmtId="3" fontId="30" fillId="0" borderId="60" xfId="365" applyNumberFormat="1" applyFont="1" applyFill="1" applyBorder="1" applyAlignment="1">
      <alignment vertical="center" shrinkToFit="1"/>
    </xf>
    <xf numFmtId="0" fontId="145" fillId="0" borderId="60" xfId="6" applyFont="1" applyBorder="1" applyAlignment="1">
      <alignment horizontal="center" vertical="center"/>
    </xf>
    <xf numFmtId="0" fontId="145" fillId="0" borderId="60" xfId="6" applyFont="1" applyBorder="1" applyAlignment="1">
      <alignment horizontal="justify" vertical="center" wrapText="1"/>
    </xf>
    <xf numFmtId="165" fontId="33" fillId="2" borderId="60" xfId="367" applyFont="1" applyFill="1" applyBorder="1" applyAlignment="1">
      <alignment vertical="center" wrapText="1"/>
    </xf>
    <xf numFmtId="0" fontId="122" fillId="0" borderId="14" xfId="2" applyFont="1" applyFill="1" applyBorder="1" applyAlignment="1">
      <alignment vertical="center" wrapText="1" shrinkToFit="1"/>
    </xf>
    <xf numFmtId="165" fontId="11" fillId="2" borderId="60" xfId="367" applyFont="1" applyFill="1" applyBorder="1" applyAlignment="1">
      <alignment vertical="center" wrapText="1"/>
    </xf>
    <xf numFmtId="165" fontId="33" fillId="2" borderId="60" xfId="367" applyFont="1" applyFill="1" applyBorder="1" applyAlignment="1">
      <alignment vertical="center"/>
    </xf>
    <xf numFmtId="165" fontId="33" fillId="2" borderId="60" xfId="367" applyFont="1" applyFill="1" applyBorder="1" applyAlignment="1">
      <alignment horizontal="right" vertical="center" wrapText="1"/>
    </xf>
    <xf numFmtId="0" fontId="168" fillId="0" borderId="60" xfId="6" applyFont="1" applyBorder="1" applyAlignment="1">
      <alignment horizontal="center" vertical="center"/>
    </xf>
    <xf numFmtId="165" fontId="30" fillId="2" borderId="60" xfId="367" applyFont="1" applyFill="1" applyBorder="1" applyAlignment="1">
      <alignment vertical="center" wrapText="1"/>
    </xf>
    <xf numFmtId="165" fontId="4" fillId="2" borderId="60" xfId="367" applyFont="1" applyFill="1" applyBorder="1" applyAlignment="1">
      <alignment vertical="center" wrapText="1"/>
    </xf>
    <xf numFmtId="165" fontId="30" fillId="2" borderId="60" xfId="367" applyFont="1" applyFill="1" applyBorder="1" applyAlignment="1">
      <alignment vertical="center"/>
    </xf>
    <xf numFmtId="165" fontId="30" fillId="2" borderId="60" xfId="367" applyFont="1" applyFill="1" applyBorder="1" applyAlignment="1">
      <alignment horizontal="right" vertical="center" wrapText="1"/>
    </xf>
    <xf numFmtId="0" fontId="30" fillId="2" borderId="60" xfId="0" applyFont="1" applyFill="1" applyBorder="1" applyAlignment="1">
      <alignment horizontal="right" vertical="center" wrapText="1"/>
    </xf>
    <xf numFmtId="2" fontId="30" fillId="2" borderId="60" xfId="354" applyNumberFormat="1" applyFont="1" applyFill="1" applyBorder="1" applyAlignment="1">
      <alignment horizontal="right" vertical="center"/>
    </xf>
    <xf numFmtId="2" fontId="30" fillId="2" borderId="60" xfId="0" applyNumberFormat="1" applyFont="1" applyFill="1" applyBorder="1" applyAlignment="1">
      <alignment vertical="center" wrapText="1"/>
    </xf>
    <xf numFmtId="0" fontId="33" fillId="0" borderId="60" xfId="354" applyFont="1" applyBorder="1" applyAlignment="1">
      <alignment horizontal="center" vertical="center"/>
    </xf>
    <xf numFmtId="0" fontId="33" fillId="0" borderId="60" xfId="354" quotePrefix="1" applyFont="1" applyBorder="1" applyAlignment="1">
      <alignment horizontal="justify" vertical="center" wrapText="1"/>
    </xf>
    <xf numFmtId="0" fontId="30" fillId="0" borderId="60" xfId="354" applyFont="1" applyBorder="1" applyAlignment="1">
      <alignment horizontal="center" vertical="center"/>
    </xf>
    <xf numFmtId="0" fontId="33" fillId="0" borderId="60" xfId="354" applyFont="1" applyBorder="1" applyAlignment="1">
      <alignment horizontal="justify" vertical="center" wrapText="1"/>
    </xf>
    <xf numFmtId="0" fontId="33" fillId="0" borderId="60" xfId="357" applyFont="1" applyBorder="1" applyAlignment="1">
      <alignment horizontal="center" vertical="center"/>
    </xf>
    <xf numFmtId="217" fontId="32" fillId="0" borderId="0" xfId="348" applyNumberFormat="1" applyFont="1" applyFill="1" applyBorder="1" applyAlignment="1">
      <alignment vertical="center" shrinkToFit="1"/>
    </xf>
    <xf numFmtId="0" fontId="33" fillId="0" borderId="0" xfId="354" quotePrefix="1" applyFont="1" applyAlignment="1">
      <alignment horizontal="center" vertical="center" wrapText="1"/>
    </xf>
    <xf numFmtId="0" fontId="33" fillId="0" borderId="0" xfId="357" applyFont="1" applyAlignment="1">
      <alignment horizontal="center" vertical="center"/>
    </xf>
    <xf numFmtId="0" fontId="33" fillId="0" borderId="0" xfId="354" quotePrefix="1" applyFont="1" applyAlignment="1">
      <alignment horizontal="justify" vertical="center" wrapText="1"/>
    </xf>
    <xf numFmtId="0" fontId="30" fillId="0" borderId="60" xfId="357" applyFont="1" applyBorder="1" applyAlignment="1">
      <alignment horizontal="center" vertical="center"/>
    </xf>
    <xf numFmtId="0" fontId="30" fillId="0" borderId="60" xfId="354" quotePrefix="1" applyFont="1" applyBorder="1" applyAlignment="1">
      <alignment horizontal="justify" vertical="center" wrapText="1"/>
    </xf>
    <xf numFmtId="0" fontId="32" fillId="0" borderId="60" xfId="354" quotePrefix="1" applyFont="1" applyBorder="1" applyAlignment="1">
      <alignment horizontal="justify" vertical="center" wrapText="1"/>
    </xf>
    <xf numFmtId="0" fontId="33" fillId="0" borderId="60" xfId="354" quotePrefix="1" applyFont="1" applyBorder="1" applyAlignment="1">
      <alignment horizontal="center" vertical="center" wrapText="1"/>
    </xf>
    <xf numFmtId="0" fontId="30" fillId="0" borderId="60" xfId="354" quotePrefix="1" applyFont="1" applyBorder="1" applyAlignment="1">
      <alignment horizontal="center" vertical="center" wrapText="1"/>
    </xf>
    <xf numFmtId="0" fontId="32" fillId="2" borderId="60" xfId="0" applyFont="1" applyFill="1" applyBorder="1" applyAlignment="1">
      <alignment horizontal="center" vertical="center" wrapText="1"/>
    </xf>
    <xf numFmtId="2" fontId="33" fillId="0" borderId="60" xfId="0" applyNumberFormat="1" applyFont="1" applyBorder="1" applyAlignment="1">
      <alignment horizontal="right" vertical="center" wrapText="1"/>
    </xf>
    <xf numFmtId="2" fontId="33" fillId="0" borderId="60" xfId="354" applyNumberFormat="1" applyFont="1" applyBorder="1" applyAlignment="1">
      <alignment horizontal="right" vertical="center"/>
    </xf>
    <xf numFmtId="2" fontId="33" fillId="0" borderId="60" xfId="0" applyNumberFormat="1" applyFont="1" applyBorder="1" applyAlignment="1">
      <alignment vertical="center" wrapText="1"/>
    </xf>
    <xf numFmtId="0" fontId="122" fillId="0" borderId="140" xfId="0" applyFont="1" applyBorder="1"/>
    <xf numFmtId="2" fontId="171" fillId="2" borderId="7" xfId="0" quotePrefix="1" applyNumberFormat="1" applyFont="1" applyFill="1" applyBorder="1" applyAlignment="1">
      <alignment vertical="center" wrapText="1"/>
    </xf>
    <xf numFmtId="0" fontId="30" fillId="0" borderId="140" xfId="354" applyFont="1" applyBorder="1" applyAlignment="1">
      <alignment horizontal="center" vertical="center"/>
    </xf>
    <xf numFmtId="0" fontId="33" fillId="0" borderId="140" xfId="354" applyFont="1" applyBorder="1" applyAlignment="1">
      <alignment horizontal="justify" vertical="center" wrapText="1"/>
    </xf>
    <xf numFmtId="0" fontId="33" fillId="0" borderId="60" xfId="354" quotePrefix="1" applyFont="1" applyBorder="1" applyAlignment="1">
      <alignment vertical="center" shrinkToFit="1"/>
    </xf>
    <xf numFmtId="0" fontId="33" fillId="0" borderId="140" xfId="357" applyFont="1" applyBorder="1" applyAlignment="1">
      <alignment horizontal="center" vertical="center"/>
    </xf>
    <xf numFmtId="3" fontId="172" fillId="0" borderId="60" xfId="360" applyNumberFormat="1" applyFont="1" applyBorder="1" applyAlignment="1">
      <alignment horizontal="right" vertical="center" wrapText="1"/>
    </xf>
    <xf numFmtId="2" fontId="30" fillId="0" borderId="60" xfId="354" applyNumberFormat="1" applyFont="1" applyBorder="1" applyAlignment="1">
      <alignment horizontal="right" vertical="center"/>
    </xf>
    <xf numFmtId="2" fontId="30" fillId="0" borderId="60" xfId="0" applyNumberFormat="1" applyFont="1" applyBorder="1" applyAlignment="1">
      <alignment horizontal="right" vertical="center" wrapText="1"/>
    </xf>
    <xf numFmtId="2" fontId="30" fillId="0" borderId="60" xfId="0" applyNumberFormat="1" applyFont="1" applyBorder="1" applyAlignment="1">
      <alignment vertical="center" wrapText="1"/>
    </xf>
    <xf numFmtId="4" fontId="172" fillId="0" borderId="60" xfId="370" applyNumberFormat="1" applyFont="1" applyFill="1" applyBorder="1" applyAlignment="1">
      <alignment horizontal="right" vertical="center" wrapText="1"/>
    </xf>
    <xf numFmtId="0" fontId="32" fillId="2" borderId="60" xfId="0" applyFont="1" applyFill="1" applyBorder="1" applyAlignment="1">
      <alignment horizontal="center" vertical="center"/>
    </xf>
    <xf numFmtId="0" fontId="33" fillId="0" borderId="60" xfId="0" applyFont="1" applyBorder="1" applyAlignment="1">
      <alignment vertical="center" wrapText="1"/>
    </xf>
    <xf numFmtId="0" fontId="120" fillId="2" borderId="60" xfId="0" applyFont="1" applyFill="1" applyBorder="1" applyAlignment="1">
      <alignment horizontal="center" vertical="center" wrapText="1"/>
    </xf>
    <xf numFmtId="2" fontId="33" fillId="0" borderId="60" xfId="354" quotePrefix="1" applyNumberFormat="1" applyFont="1" applyBorder="1" applyAlignment="1">
      <alignment horizontal="right" vertical="center" wrapText="1"/>
    </xf>
    <xf numFmtId="2" fontId="30" fillId="0" borderId="60" xfId="354" quotePrefix="1" applyNumberFormat="1" applyFont="1" applyBorder="1" applyAlignment="1">
      <alignment horizontal="right" vertical="center" wrapText="1"/>
    </xf>
    <xf numFmtId="0" fontId="30" fillId="0" borderId="140" xfId="357" applyFont="1" applyBorder="1" applyAlignment="1">
      <alignment horizontal="center" vertical="center"/>
    </xf>
    <xf numFmtId="0" fontId="30" fillId="0" borderId="140" xfId="354" quotePrefix="1" applyFont="1" applyBorder="1" applyAlignment="1">
      <alignment horizontal="center" vertical="center" wrapText="1"/>
    </xf>
    <xf numFmtId="2" fontId="30" fillId="0" borderId="140" xfId="0" applyNumberFormat="1" applyFont="1" applyBorder="1" applyAlignment="1">
      <alignment vertical="center" wrapText="1"/>
    </xf>
    <xf numFmtId="2" fontId="30" fillId="0" borderId="140" xfId="354" quotePrefix="1" applyNumberFormat="1" applyFont="1" applyBorder="1" applyAlignment="1">
      <alignment horizontal="right" vertical="center" wrapText="1"/>
    </xf>
    <xf numFmtId="2" fontId="30" fillId="0" borderId="140" xfId="0" applyNumberFormat="1" applyFont="1" applyBorder="1" applyAlignment="1">
      <alignment horizontal="right" vertical="center" wrapText="1"/>
    </xf>
    <xf numFmtId="0" fontId="32" fillId="2" borderId="140" xfId="0" applyFont="1" applyFill="1" applyBorder="1" applyAlignment="1">
      <alignment horizontal="center" vertical="center" wrapText="1"/>
    </xf>
    <xf numFmtId="1" fontId="171" fillId="2" borderId="60" xfId="0" quotePrefix="1" applyNumberFormat="1" applyFont="1" applyFill="1" applyBorder="1" applyAlignment="1">
      <alignment vertical="center" wrapText="1"/>
    </xf>
    <xf numFmtId="3" fontId="171" fillId="2" borderId="60" xfId="0" applyNumberFormat="1" applyFont="1" applyFill="1" applyBorder="1" applyAlignment="1">
      <alignment vertical="center" wrapText="1"/>
    </xf>
    <xf numFmtId="0" fontId="30" fillId="0" borderId="140" xfId="354" quotePrefix="1" applyFont="1" applyBorder="1" applyAlignment="1">
      <alignment horizontal="justify" vertical="center" wrapText="1"/>
    </xf>
    <xf numFmtId="171" fontId="171" fillId="2" borderId="60" xfId="0" applyNumberFormat="1" applyFont="1" applyFill="1" applyBorder="1" applyAlignment="1">
      <alignment vertical="center" wrapText="1"/>
    </xf>
    <xf numFmtId="0" fontId="30" fillId="2" borderId="60" xfId="354" applyFont="1" applyFill="1" applyBorder="1" applyAlignment="1">
      <alignment horizontal="center" vertical="center"/>
    </xf>
    <xf numFmtId="2" fontId="35"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xf>
    <xf numFmtId="2" fontId="30"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wrapText="1"/>
    </xf>
    <xf numFmtId="0" fontId="30" fillId="2" borderId="60" xfId="354" applyFont="1" applyFill="1" applyBorder="1" applyAlignment="1">
      <alignment horizontal="center" vertical="center" wrapText="1"/>
    </xf>
    <xf numFmtId="0" fontId="173" fillId="0" borderId="60" xfId="354" applyFont="1" applyBorder="1" applyAlignment="1">
      <alignment horizontal="center" vertical="center"/>
    </xf>
    <xf numFmtId="0" fontId="173" fillId="2" borderId="60" xfId="354" applyFont="1" applyFill="1" applyBorder="1" applyAlignment="1">
      <alignment horizontal="center" vertical="center"/>
    </xf>
    <xf numFmtId="2" fontId="173" fillId="2" borderId="60" xfId="354" quotePrefix="1" applyNumberFormat="1" applyFont="1" applyFill="1" applyBorder="1" applyAlignment="1">
      <alignment horizontal="right" vertical="center" wrapText="1"/>
    </xf>
    <xf numFmtId="2" fontId="173" fillId="2" borderId="60" xfId="0" applyNumberFormat="1" applyFont="1" applyFill="1" applyBorder="1" applyAlignment="1">
      <alignment horizontal="right" vertical="center"/>
    </xf>
    <xf numFmtId="0" fontId="30" fillId="2" borderId="60" xfId="354" applyFont="1" applyFill="1" applyBorder="1" applyAlignment="1">
      <alignment horizontal="right" vertical="center"/>
    </xf>
    <xf numFmtId="0" fontId="30" fillId="2" borderId="60" xfId="0" applyFont="1" applyFill="1" applyBorder="1" applyAlignment="1">
      <alignment horizontal="right" vertical="center"/>
    </xf>
    <xf numFmtId="0" fontId="30" fillId="0" borderId="60" xfId="354" quotePrefix="1" applyFont="1" applyBorder="1" applyAlignment="1">
      <alignment vertical="center" shrinkToFit="1"/>
    </xf>
    <xf numFmtId="0" fontId="173" fillId="0" borderId="60" xfId="354" applyFont="1" applyBorder="1" applyAlignment="1">
      <alignment vertical="center" shrinkToFit="1"/>
    </xf>
    <xf numFmtId="0" fontId="30" fillId="0" borderId="13" xfId="357" applyFont="1" applyBorder="1" applyAlignment="1">
      <alignment horizontal="center" vertical="center"/>
    </xf>
    <xf numFmtId="1" fontId="30" fillId="0" borderId="60" xfId="0" applyNumberFormat="1" applyFont="1" applyBorder="1" applyAlignment="1">
      <alignment vertical="center" wrapText="1"/>
    </xf>
    <xf numFmtId="2" fontId="30" fillId="0" borderId="16" xfId="0" applyNumberFormat="1" applyFont="1" applyBorder="1" applyAlignment="1">
      <alignment horizontal="right" vertical="center"/>
    </xf>
    <xf numFmtId="2" fontId="30" fillId="0" borderId="60" xfId="0" applyNumberFormat="1" applyFont="1" applyBorder="1" applyAlignment="1">
      <alignment vertical="center"/>
    </xf>
    <xf numFmtId="1" fontId="30" fillId="0" borderId="60" xfId="0" applyNumberFormat="1" applyFont="1" applyBorder="1" applyAlignment="1">
      <alignment horizontal="center" vertical="center" wrapText="1"/>
    </xf>
    <xf numFmtId="171" fontId="30" fillId="0" borderId="16" xfId="0" applyNumberFormat="1" applyFont="1" applyBorder="1" applyAlignment="1">
      <alignment horizontal="right" vertical="center"/>
    </xf>
    <xf numFmtId="171" fontId="30" fillId="0" borderId="60" xfId="0" applyNumberFormat="1" applyFont="1" applyBorder="1" applyAlignment="1">
      <alignment vertical="center"/>
    </xf>
    <xf numFmtId="172" fontId="30" fillId="0" borderId="60" xfId="0" applyNumberFormat="1" applyFont="1" applyBorder="1" applyAlignment="1">
      <alignment vertical="center" wrapText="1"/>
    </xf>
    <xf numFmtId="0" fontId="117" fillId="0" borderId="60" xfId="0" applyFont="1" applyBorder="1"/>
    <xf numFmtId="0" fontId="32" fillId="0" borderId="60" xfId="0" applyFont="1" applyBorder="1" applyAlignment="1">
      <alignment horizontal="center" vertical="center"/>
    </xf>
    <xf numFmtId="2" fontId="32" fillId="0" borderId="60" xfId="0" applyNumberFormat="1" applyFont="1" applyBorder="1" applyAlignment="1">
      <alignment vertical="center" wrapText="1"/>
    </xf>
    <xf numFmtId="2" fontId="30" fillId="0" borderId="60" xfId="0" quotePrefix="1" applyNumberFormat="1" applyFont="1" applyBorder="1" applyAlignment="1">
      <alignment horizontal="center" vertical="center" wrapText="1"/>
    </xf>
    <xf numFmtId="2" fontId="171" fillId="0" borderId="60" xfId="0" quotePrefix="1" applyNumberFormat="1" applyFont="1" applyBorder="1" applyAlignment="1">
      <alignment horizontal="right" vertical="center" wrapText="1"/>
    </xf>
    <xf numFmtId="172" fontId="30" fillId="0" borderId="60" xfId="357" applyNumberFormat="1" applyFont="1" applyBorder="1" applyAlignment="1">
      <alignment horizontal="center" vertical="center"/>
    </xf>
    <xf numFmtId="172" fontId="30" fillId="0" borderId="60" xfId="354" applyNumberFormat="1" applyFont="1" applyBorder="1" applyAlignment="1">
      <alignment horizontal="center" vertical="center"/>
    </xf>
    <xf numFmtId="171" fontId="30" fillId="0" borderId="60" xfId="0" applyNumberFormat="1" applyFont="1" applyBorder="1" applyAlignment="1">
      <alignment horizontal="right" vertical="center"/>
    </xf>
    <xf numFmtId="172" fontId="30" fillId="0" borderId="60" xfId="0" applyNumberFormat="1" applyFont="1" applyBorder="1" applyAlignment="1">
      <alignment horizontal="right" vertical="center" wrapText="1"/>
    </xf>
    <xf numFmtId="2" fontId="171" fillId="2" borderId="60" xfId="0" quotePrefix="1" applyNumberFormat="1" applyFont="1" applyFill="1" applyBorder="1" applyAlignment="1">
      <alignment horizontal="right" vertical="center" wrapText="1"/>
    </xf>
    <xf numFmtId="172" fontId="30" fillId="2" borderId="60" xfId="354" applyNumberFormat="1" applyFont="1" applyFill="1" applyBorder="1" applyAlignment="1">
      <alignment horizontal="center" vertical="center"/>
    </xf>
    <xf numFmtId="172" fontId="174" fillId="2" borderId="60" xfId="354" applyNumberFormat="1" applyFont="1" applyFill="1" applyBorder="1" applyAlignment="1">
      <alignment horizontal="center" vertical="center" wrapText="1"/>
    </xf>
    <xf numFmtId="171" fontId="30" fillId="2" borderId="60" xfId="0" applyNumberFormat="1" applyFont="1" applyFill="1" applyBorder="1" applyAlignment="1">
      <alignment vertical="center"/>
    </xf>
    <xf numFmtId="171" fontId="30" fillId="2" borderId="60" xfId="0" applyNumberFormat="1" applyFont="1" applyFill="1" applyBorder="1" applyAlignment="1">
      <alignment horizontal="right" vertical="center" wrapText="1"/>
    </xf>
    <xf numFmtId="172" fontId="30" fillId="2" borderId="60" xfId="0" applyNumberFormat="1" applyFont="1" applyFill="1" applyBorder="1" applyAlignment="1">
      <alignment horizontal="right" vertical="center" wrapText="1"/>
    </xf>
    <xf numFmtId="172" fontId="30" fillId="0" borderId="60" xfId="354" applyNumberFormat="1" applyFont="1" applyBorder="1" applyAlignment="1">
      <alignment horizontal="right" vertical="center"/>
    </xf>
    <xf numFmtId="172" fontId="30" fillId="2" borderId="60" xfId="357" applyNumberFormat="1" applyFont="1" applyFill="1" applyBorder="1" applyAlignment="1">
      <alignment horizontal="right" vertical="center"/>
    </xf>
    <xf numFmtId="172" fontId="30" fillId="2" borderId="60" xfId="354" applyNumberFormat="1" applyFont="1" applyFill="1" applyBorder="1" applyAlignment="1">
      <alignment horizontal="right" vertical="center"/>
    </xf>
    <xf numFmtId="172" fontId="30" fillId="2" borderId="13" xfId="0" applyNumberFormat="1" applyFont="1" applyFill="1" applyBorder="1" applyAlignment="1">
      <alignment horizontal="right" vertical="center" wrapText="1"/>
    </xf>
    <xf numFmtId="172" fontId="30" fillId="2" borderId="13" xfId="357" applyNumberFormat="1" applyFont="1" applyFill="1" applyBorder="1" applyAlignment="1">
      <alignment horizontal="right" vertical="center"/>
    </xf>
    <xf numFmtId="0" fontId="32" fillId="0" borderId="13" xfId="0" applyFont="1" applyBorder="1" applyAlignment="1">
      <alignment horizontal="center" vertical="center"/>
    </xf>
    <xf numFmtId="0" fontId="33" fillId="0" borderId="60" xfId="354" applyFont="1" applyBorder="1" applyAlignment="1">
      <alignment vertical="center" shrinkToFit="1"/>
    </xf>
    <xf numFmtId="0" fontId="30" fillId="2" borderId="60" xfId="354" quotePrefix="1" applyFont="1" applyFill="1" applyBorder="1" applyAlignment="1">
      <alignment vertical="center" shrinkToFit="1"/>
    </xf>
    <xf numFmtId="0" fontId="30" fillId="0" borderId="60" xfId="357" quotePrefix="1" applyFont="1" applyBorder="1" applyAlignment="1">
      <alignment vertical="center" shrinkToFit="1"/>
    </xf>
    <xf numFmtId="0" fontId="30" fillId="0" borderId="13" xfId="357" quotePrefix="1" applyFont="1" applyBorder="1" applyAlignment="1">
      <alignment vertical="center" shrinkToFit="1"/>
    </xf>
    <xf numFmtId="0" fontId="32" fillId="0" borderId="58" xfId="0" applyFont="1" applyBorder="1"/>
    <xf numFmtId="0" fontId="120" fillId="0" borderId="58" xfId="0" applyFont="1" applyBorder="1" applyAlignment="1">
      <alignment vertical="center" wrapText="1"/>
    </xf>
    <xf numFmtId="0" fontId="120" fillId="0" borderId="60" xfId="0" applyFont="1" applyBorder="1" applyAlignment="1">
      <alignment horizontal="center" vertical="center" wrapText="1"/>
    </xf>
    <xf numFmtId="170" fontId="122" fillId="0" borderId="60" xfId="1" applyNumberFormat="1" applyFont="1" applyBorder="1" applyAlignment="1">
      <alignment horizontal="right"/>
    </xf>
    <xf numFmtId="0" fontId="126" fillId="0" borderId="60" xfId="0" applyFont="1" applyBorder="1" applyAlignment="1">
      <alignment horizontal="center" vertical="center" wrapText="1"/>
    </xf>
    <xf numFmtId="0" fontId="135" fillId="0" borderId="60" xfId="0" applyFont="1" applyBorder="1" applyAlignment="1">
      <alignment horizontal="center" vertical="center" shrinkToFit="1"/>
    </xf>
    <xf numFmtId="170" fontId="135" fillId="0" borderId="60" xfId="1" applyNumberFormat="1" applyFont="1" applyBorder="1" applyAlignment="1">
      <alignment horizontal="right"/>
    </xf>
    <xf numFmtId="170" fontId="135" fillId="0" borderId="60" xfId="1" applyNumberFormat="1" applyFont="1" applyBorder="1" applyAlignment="1">
      <alignment shrinkToFit="1"/>
    </xf>
    <xf numFmtId="170" fontId="135" fillId="0" borderId="60" xfId="1" applyNumberFormat="1" applyFont="1" applyBorder="1"/>
    <xf numFmtId="2" fontId="171" fillId="2" borderId="60" xfId="0" quotePrefix="1" applyNumberFormat="1" applyFont="1" applyFill="1" applyBorder="1" applyAlignment="1">
      <alignment vertical="center" wrapText="1"/>
    </xf>
    <xf numFmtId="2" fontId="30" fillId="0" borderId="60" xfId="0" applyNumberFormat="1" applyFont="1" applyBorder="1" applyAlignment="1">
      <alignment horizontal="right" vertical="center"/>
    </xf>
    <xf numFmtId="0" fontId="117" fillId="0" borderId="60" xfId="0" applyFont="1" applyBorder="1" applyAlignment="1">
      <alignment horizontal="right"/>
    </xf>
    <xf numFmtId="0" fontId="122" fillId="0" borderId="0" xfId="0" applyFont="1" applyAlignment="1">
      <alignment horizontal="right"/>
    </xf>
    <xf numFmtId="169" fontId="15" fillId="0" borderId="59" xfId="1" applyNumberFormat="1" applyFont="1" applyBorder="1" applyAlignment="1">
      <alignment vertical="center"/>
    </xf>
    <xf numFmtId="169" fontId="15" fillId="0" borderId="60" xfId="1" applyNumberFormat="1" applyFont="1" applyBorder="1" applyAlignment="1">
      <alignment vertical="center"/>
    </xf>
    <xf numFmtId="0" fontId="15" fillId="0" borderId="60" xfId="0" applyFont="1" applyBorder="1" applyAlignment="1">
      <alignment vertical="center"/>
    </xf>
    <xf numFmtId="3" fontId="15" fillId="0" borderId="60" xfId="1" applyNumberFormat="1" applyFont="1" applyBorder="1" applyAlignment="1">
      <alignment vertical="center"/>
    </xf>
    <xf numFmtId="0" fontId="15" fillId="0" borderId="16" xfId="0" applyFont="1" applyBorder="1" applyAlignment="1">
      <alignment vertical="center"/>
    </xf>
    <xf numFmtId="3" fontId="15" fillId="0" borderId="26" xfId="1" applyNumberFormat="1" applyFont="1" applyBorder="1" applyAlignment="1">
      <alignment vertical="center" shrinkToFit="1"/>
    </xf>
    <xf numFmtId="173" fontId="14" fillId="0" borderId="60" xfId="3" applyNumberFormat="1" applyFont="1" applyBorder="1" applyAlignment="1">
      <alignment vertical="center"/>
    </xf>
    <xf numFmtId="10" fontId="14" fillId="0" borderId="32" xfId="0" applyNumberFormat="1" applyFont="1" applyBorder="1" applyAlignment="1">
      <alignment vertical="center"/>
    </xf>
    <xf numFmtId="173" fontId="14" fillId="0" borderId="32" xfId="3" applyNumberFormat="1" applyFont="1" applyBorder="1" applyAlignment="1">
      <alignment vertical="center"/>
    </xf>
    <xf numFmtId="172" fontId="14" fillId="0" borderId="60" xfId="0" applyNumberFormat="1" applyFont="1" applyBorder="1" applyAlignment="1">
      <alignment vertical="center"/>
    </xf>
    <xf numFmtId="0" fontId="15" fillId="0" borderId="0" xfId="0" applyFont="1" applyAlignment="1">
      <alignment vertical="center"/>
    </xf>
    <xf numFmtId="3" fontId="170" fillId="0" borderId="60" xfId="23" applyNumberFormat="1" applyFont="1" applyFill="1" applyBorder="1" applyAlignment="1" applyProtection="1">
      <alignment shrinkToFit="1"/>
    </xf>
    <xf numFmtId="170" fontId="14" fillId="0" borderId="60" xfId="1" applyNumberFormat="1" applyFont="1" applyFill="1" applyBorder="1" applyAlignment="1">
      <alignment horizontal="right" shrinkToFit="1"/>
    </xf>
    <xf numFmtId="173" fontId="17" fillId="0" borderId="0" xfId="3" applyNumberFormat="1" applyFont="1"/>
    <xf numFmtId="171" fontId="14" fillId="0" borderId="60" xfId="0" applyNumberFormat="1" applyFont="1" applyBorder="1" applyAlignment="1">
      <alignment shrinkToFit="1"/>
    </xf>
    <xf numFmtId="171" fontId="17" fillId="0" borderId="60" xfId="0" applyNumberFormat="1" applyFont="1" applyBorder="1" applyAlignment="1">
      <alignment shrinkToFit="1"/>
    </xf>
    <xf numFmtId="173" fontId="15" fillId="0" borderId="32" xfId="3" applyNumberFormat="1" applyFont="1" applyBorder="1" applyAlignment="1">
      <alignment vertical="center"/>
    </xf>
    <xf numFmtId="0" fontId="32" fillId="2" borderId="0" xfId="0" applyFont="1" applyFill="1"/>
    <xf numFmtId="0" fontId="135" fillId="0" borderId="11" xfId="0" applyFont="1" applyBorder="1" applyAlignment="1">
      <alignment horizontal="center" vertical="center"/>
    </xf>
    <xf numFmtId="0" fontId="135" fillId="0" borderId="0" xfId="0" applyFont="1" applyAlignment="1">
      <alignment horizontal="center" vertical="center"/>
    </xf>
    <xf numFmtId="0" fontId="120" fillId="0" borderId="0" xfId="0" applyFont="1" applyAlignment="1">
      <alignment horizontal="left" vertical="center"/>
    </xf>
    <xf numFmtId="4" fontId="32" fillId="0" borderId="0" xfId="0" applyNumberFormat="1" applyFont="1" applyAlignment="1">
      <alignment horizontal="left" vertical="center"/>
    </xf>
    <xf numFmtId="0" fontId="32" fillId="2" borderId="0" xfId="0" applyFont="1" applyFill="1" applyAlignment="1">
      <alignment wrapText="1"/>
    </xf>
    <xf numFmtId="0" fontId="32" fillId="2" borderId="0" xfId="0" applyFont="1" applyFill="1" applyAlignment="1">
      <alignment horizontal="center"/>
    </xf>
    <xf numFmtId="0" fontId="121" fillId="0" borderId="58" xfId="0" applyFont="1" applyBorder="1" applyAlignment="1">
      <alignment horizontal="center" vertical="center"/>
    </xf>
    <xf numFmtId="0" fontId="121" fillId="0" borderId="58" xfId="0" applyFont="1" applyBorder="1" applyAlignment="1">
      <alignment horizontal="left" wrapText="1"/>
    </xf>
    <xf numFmtId="0" fontId="122" fillId="0" borderId="60" xfId="0" applyFont="1" applyBorder="1" applyAlignment="1">
      <alignment horizontal="center" vertical="center"/>
    </xf>
    <xf numFmtId="165" fontId="122" fillId="2" borderId="60" xfId="382" applyFont="1" applyFill="1" applyBorder="1" applyAlignment="1">
      <alignment vertical="center" wrapText="1"/>
    </xf>
    <xf numFmtId="3" fontId="122" fillId="2" borderId="60" xfId="382" applyNumberFormat="1" applyFont="1" applyFill="1" applyBorder="1" applyAlignment="1">
      <alignment vertical="center" shrinkToFit="1"/>
    </xf>
    <xf numFmtId="3" fontId="122" fillId="2" borderId="60" xfId="382" applyNumberFormat="1" applyFont="1" applyFill="1" applyBorder="1" applyAlignment="1">
      <alignment vertical="center"/>
    </xf>
    <xf numFmtId="3" fontId="122" fillId="2" borderId="60" xfId="382" applyNumberFormat="1" applyFont="1" applyFill="1" applyBorder="1" applyAlignment="1">
      <alignment vertical="center" wrapText="1"/>
    </xf>
    <xf numFmtId="0" fontId="122" fillId="0" borderId="13" xfId="0" applyFont="1" applyBorder="1" applyAlignment="1">
      <alignment horizontal="center"/>
    </xf>
    <xf numFmtId="0" fontId="121" fillId="0" borderId="13" xfId="0" applyFont="1" applyBorder="1" applyAlignment="1">
      <alignment horizontal="center"/>
    </xf>
    <xf numFmtId="3" fontId="122" fillId="0" borderId="13" xfId="0" applyNumberFormat="1" applyFont="1" applyBorder="1"/>
    <xf numFmtId="3" fontId="122" fillId="3" borderId="60" xfId="382" applyNumberFormat="1" applyFont="1" applyFill="1" applyBorder="1" applyAlignment="1">
      <alignment vertical="center" wrapText="1"/>
    </xf>
    <xf numFmtId="3" fontId="135" fillId="0" borderId="60" xfId="0" applyNumberFormat="1" applyFont="1" applyBorder="1" applyAlignment="1">
      <alignment horizontal="right" vertical="center" shrinkToFit="1"/>
    </xf>
    <xf numFmtId="0" fontId="120" fillId="0" borderId="0" xfId="401" applyFont="1" applyAlignment="1">
      <alignment horizontal="right"/>
    </xf>
    <xf numFmtId="0" fontId="120" fillId="0" borderId="0" xfId="401" applyFont="1"/>
    <xf numFmtId="0" fontId="32" fillId="0" borderId="0" xfId="401" applyFont="1"/>
    <xf numFmtId="0" fontId="32" fillId="0" borderId="0" xfId="401" applyFont="1" applyAlignment="1">
      <alignment horizontal="center"/>
    </xf>
    <xf numFmtId="0" fontId="176" fillId="0" borderId="0" xfId="401" applyFont="1" applyAlignment="1">
      <alignment horizontal="right" wrapText="1"/>
    </xf>
    <xf numFmtId="0" fontId="121" fillId="0" borderId="0" xfId="401" applyFont="1"/>
    <xf numFmtId="0" fontId="112" fillId="0" borderId="0" xfId="401" applyFont="1"/>
    <xf numFmtId="0" fontId="117" fillId="0" borderId="0" xfId="401" applyFont="1" applyAlignment="1">
      <alignment horizontal="center"/>
    </xf>
    <xf numFmtId="0" fontId="4" fillId="0" borderId="0" xfId="401" applyFont="1" applyAlignment="1">
      <alignment horizontal="center" vertical="center"/>
    </xf>
    <xf numFmtId="0" fontId="117" fillId="0" borderId="0" xfId="401" applyFont="1"/>
    <xf numFmtId="0" fontId="177" fillId="0" borderId="0" xfId="401" applyFont="1" applyAlignment="1">
      <alignment horizontal="right" vertical="center"/>
    </xf>
    <xf numFmtId="0" fontId="177" fillId="0" borderId="0" xfId="401" applyFont="1" applyAlignment="1">
      <alignment vertical="center"/>
    </xf>
    <xf numFmtId="0" fontId="17" fillId="0" borderId="58" xfId="401" applyFont="1" applyBorder="1" applyAlignment="1">
      <alignment horizontal="center"/>
    </xf>
    <xf numFmtId="0" fontId="117" fillId="0" borderId="58" xfId="401" applyFont="1" applyBorder="1" applyAlignment="1">
      <alignment horizontal="center" vertical="center" wrapText="1"/>
    </xf>
    <xf numFmtId="0" fontId="117" fillId="0" borderId="60" xfId="401" applyFont="1" applyBorder="1" applyAlignment="1">
      <alignment horizontal="center" vertical="center" wrapText="1"/>
    </xf>
    <xf numFmtId="0" fontId="14" fillId="0" borderId="60" xfId="401" applyFont="1" applyBorder="1" applyAlignment="1">
      <alignment horizontal="justify" vertical="center" wrapText="1"/>
    </xf>
    <xf numFmtId="0" fontId="17" fillId="0" borderId="60" xfId="401" applyFont="1" applyBorder="1" applyAlignment="1">
      <alignment horizontal="justify" vertical="center" wrapText="1"/>
    </xf>
    <xf numFmtId="0" fontId="16" fillId="0" borderId="60" xfId="401" applyFont="1" applyBorder="1" applyAlignment="1">
      <alignment horizontal="justify" vertical="center" wrapText="1"/>
    </xf>
    <xf numFmtId="0" fontId="16" fillId="0" borderId="60" xfId="401" applyFont="1" applyBorder="1" applyAlignment="1">
      <alignment horizontal="center" vertical="center"/>
    </xf>
    <xf numFmtId="0" fontId="177" fillId="0" borderId="60" xfId="401" applyFont="1" applyBorder="1" applyAlignment="1">
      <alignment horizontal="center" vertical="center" wrapText="1"/>
    </xf>
    <xf numFmtId="0" fontId="17" fillId="0" borderId="60" xfId="401" applyFont="1" applyBorder="1" applyAlignment="1">
      <alignment horizontal="center" vertical="center"/>
    </xf>
    <xf numFmtId="219" fontId="123" fillId="0" borderId="60" xfId="403" applyNumberFormat="1" applyFont="1" applyFill="1" applyBorder="1" applyAlignment="1">
      <alignment horizontal="right" vertical="center" wrapText="1"/>
    </xf>
    <xf numFmtId="0" fontId="17" fillId="0" borderId="60" xfId="401" quotePrefix="1" applyFont="1" applyBorder="1" applyAlignment="1">
      <alignment horizontal="justify" vertical="center" wrapText="1"/>
    </xf>
    <xf numFmtId="0" fontId="14" fillId="0" borderId="60" xfId="401" applyFont="1" applyBorder="1" applyAlignment="1">
      <alignment horizontal="center" vertical="center"/>
    </xf>
    <xf numFmtId="0" fontId="4" fillId="0" borderId="60" xfId="0" applyFont="1" applyBorder="1" applyAlignment="1">
      <alignment horizontal="justify" vertical="center" wrapText="1"/>
    </xf>
    <xf numFmtId="0" fontId="11" fillId="0" borderId="13" xfId="401" applyFont="1" applyBorder="1" applyAlignment="1">
      <alignment horizontal="center" vertical="center"/>
    </xf>
    <xf numFmtId="0" fontId="117" fillId="0" borderId="13" xfId="401" applyFont="1" applyBorder="1" applyAlignment="1">
      <alignment horizontal="center" vertical="center" wrapText="1"/>
    </xf>
    <xf numFmtId="0" fontId="135" fillId="0" borderId="0" xfId="401" applyFont="1"/>
    <xf numFmtId="0" fontId="11" fillId="0" borderId="0" xfId="7" applyFont="1" applyAlignment="1">
      <alignment horizontal="left"/>
    </xf>
    <xf numFmtId="0" fontId="4" fillId="0" borderId="0" xfId="7" applyFont="1"/>
    <xf numFmtId="0" fontId="4" fillId="0" borderId="0" xfId="7" applyFont="1" applyAlignment="1">
      <alignment horizontal="center"/>
    </xf>
    <xf numFmtId="0" fontId="11" fillId="0" borderId="11" xfId="7" applyFont="1" applyBorder="1" applyAlignment="1">
      <alignment horizontal="center" vertical="center" wrapText="1"/>
    </xf>
    <xf numFmtId="0" fontId="34" fillId="0" borderId="11" xfId="7" applyFont="1" applyBorder="1" applyAlignment="1">
      <alignment horizontal="center" vertical="justify"/>
    </xf>
    <xf numFmtId="0" fontId="34" fillId="0" borderId="11" xfId="7" applyFont="1" applyBorder="1" applyAlignment="1">
      <alignment horizontal="center" vertical="center"/>
    </xf>
    <xf numFmtId="0" fontId="4" fillId="0" borderId="14" xfId="7" applyFont="1" applyBorder="1" applyAlignment="1">
      <alignment horizontal="center" vertical="center"/>
    </xf>
    <xf numFmtId="0" fontId="11" fillId="0" borderId="14" xfId="7" applyFont="1" applyBorder="1" applyAlignment="1">
      <alignment horizontal="center" vertical="center"/>
    </xf>
    <xf numFmtId="3" fontId="11" fillId="0" borderId="14" xfId="7" applyNumberFormat="1" applyFont="1" applyBorder="1" applyAlignment="1">
      <alignment horizontal="right" vertical="center"/>
    </xf>
    <xf numFmtId="3" fontId="11" fillId="0" borderId="14" xfId="7" applyNumberFormat="1" applyFont="1" applyBorder="1" applyAlignment="1">
      <alignment vertical="center"/>
    </xf>
    <xf numFmtId="0" fontId="11" fillId="0" borderId="60" xfId="405" applyFont="1" applyBorder="1" applyAlignment="1">
      <alignment horizontal="left" vertical="center" wrapText="1"/>
    </xf>
    <xf numFmtId="0" fontId="14" fillId="0" borderId="60" xfId="7" applyFont="1" applyBorder="1" applyAlignment="1">
      <alignment horizontal="center" vertical="center"/>
    </xf>
    <xf numFmtId="0" fontId="14" fillId="0" borderId="60" xfId="7" applyFont="1" applyBorder="1" applyAlignment="1">
      <alignment horizontal="left" vertical="center"/>
    </xf>
    <xf numFmtId="179" fontId="14" fillId="0" borderId="60" xfId="403" applyNumberFormat="1" applyFont="1" applyBorder="1" applyAlignment="1">
      <alignment horizontal="right" vertical="center"/>
    </xf>
    <xf numFmtId="3" fontId="14" fillId="0" borderId="60" xfId="7" applyNumberFormat="1" applyFont="1" applyBorder="1" applyAlignment="1">
      <alignment horizontal="right" vertical="center"/>
    </xf>
    <xf numFmtId="0" fontId="17" fillId="0" borderId="0" xfId="7" applyFont="1"/>
    <xf numFmtId="3" fontId="17" fillId="0" borderId="60" xfId="7" applyNumberFormat="1" applyFont="1" applyBorder="1" applyAlignment="1">
      <alignment horizontal="right" vertical="center"/>
    </xf>
    <xf numFmtId="0" fontId="17" fillId="0" borderId="60" xfId="7" applyFont="1" applyBorder="1" applyAlignment="1">
      <alignment horizontal="center" vertical="center"/>
    </xf>
    <xf numFmtId="0" fontId="17" fillId="0" borderId="60" xfId="7" applyFont="1" applyBorder="1" applyAlignment="1">
      <alignment horizontal="left" vertical="center"/>
    </xf>
    <xf numFmtId="179" fontId="17" fillId="0" borderId="60" xfId="403" applyNumberFormat="1" applyFont="1" applyBorder="1" applyAlignment="1">
      <alignment vertical="center"/>
    </xf>
    <xf numFmtId="0" fontId="17" fillId="0" borderId="60" xfId="7" applyFont="1" applyBorder="1" applyAlignment="1">
      <alignment vertical="center"/>
    </xf>
    <xf numFmtId="3" fontId="17" fillId="0" borderId="60" xfId="7" applyNumberFormat="1" applyFont="1" applyBorder="1" applyAlignment="1">
      <alignment vertical="center"/>
    </xf>
    <xf numFmtId="0" fontId="14" fillId="0" borderId="0" xfId="7" applyFont="1"/>
    <xf numFmtId="179" fontId="17" fillId="0" borderId="60" xfId="403" applyNumberFormat="1" applyFont="1" applyBorder="1" applyAlignment="1">
      <alignment horizontal="right" vertical="center"/>
    </xf>
    <xf numFmtId="0" fontId="14" fillId="0" borderId="60" xfId="7" applyFont="1" applyBorder="1" applyAlignment="1">
      <alignment horizontal="justify" vertical="center" wrapText="1"/>
    </xf>
    <xf numFmtId="0" fontId="14" fillId="0" borderId="60" xfId="7" applyFont="1" applyBorder="1" applyAlignment="1">
      <alignment vertical="center"/>
    </xf>
    <xf numFmtId="168" fontId="17" fillId="0" borderId="0" xfId="7" applyNumberFormat="1" applyFont="1"/>
    <xf numFmtId="223" fontId="17" fillId="0" borderId="0" xfId="7" applyNumberFormat="1" applyFont="1"/>
    <xf numFmtId="224" fontId="17" fillId="0" borderId="0" xfId="7" applyNumberFormat="1" applyFont="1"/>
    <xf numFmtId="225" fontId="17" fillId="0" borderId="0" xfId="7" applyNumberFormat="1" applyFont="1"/>
    <xf numFmtId="179" fontId="14" fillId="0" borderId="0" xfId="7" applyNumberFormat="1" applyFont="1"/>
    <xf numFmtId="226" fontId="14" fillId="0" borderId="0" xfId="7" applyNumberFormat="1" applyFont="1"/>
    <xf numFmtId="0" fontId="181" fillId="0" borderId="60" xfId="7" applyFont="1" applyBorder="1" applyAlignment="1">
      <alignment horizontal="center" vertical="center"/>
    </xf>
    <xf numFmtId="0" fontId="181" fillId="0" borderId="60" xfId="7" applyFont="1" applyBorder="1" applyAlignment="1">
      <alignment horizontal="left" vertical="center"/>
    </xf>
    <xf numFmtId="0" fontId="181" fillId="0" borderId="60" xfId="7" applyFont="1" applyBorder="1" applyAlignment="1">
      <alignment vertical="center"/>
    </xf>
    <xf numFmtId="3" fontId="181" fillId="0" borderId="60" xfId="7" applyNumberFormat="1" applyFont="1" applyBorder="1" applyAlignment="1">
      <alignment vertical="center"/>
    </xf>
    <xf numFmtId="0" fontId="181" fillId="0" borderId="0" xfId="7" applyFont="1"/>
    <xf numFmtId="179" fontId="181" fillId="0" borderId="0" xfId="403" applyNumberFormat="1" applyFont="1"/>
    <xf numFmtId="226" fontId="181" fillId="0" borderId="0" xfId="7" applyNumberFormat="1" applyFont="1"/>
    <xf numFmtId="179" fontId="181" fillId="0" borderId="0" xfId="403" applyNumberFormat="1" applyFont="1" applyFill="1"/>
    <xf numFmtId="43" fontId="181" fillId="0" borderId="0" xfId="403" applyFont="1"/>
    <xf numFmtId="0" fontId="180" fillId="0" borderId="60" xfId="7" applyFont="1" applyBorder="1" applyAlignment="1">
      <alignment horizontal="center" vertical="center"/>
    </xf>
    <xf numFmtId="0" fontId="180" fillId="0" borderId="60" xfId="7" applyFont="1" applyBorder="1" applyAlignment="1">
      <alignment horizontal="left" vertical="center"/>
    </xf>
    <xf numFmtId="3" fontId="180" fillId="0" borderId="60" xfId="7" applyNumberFormat="1" applyFont="1" applyBorder="1" applyAlignment="1">
      <alignment horizontal="right" vertical="center"/>
    </xf>
    <xf numFmtId="0" fontId="180" fillId="0" borderId="0" xfId="7" applyFont="1"/>
    <xf numFmtId="179" fontId="180" fillId="0" borderId="0" xfId="7" applyNumberFormat="1" applyFont="1"/>
    <xf numFmtId="226" fontId="180" fillId="0" borderId="0" xfId="7" applyNumberFormat="1" applyFont="1"/>
    <xf numFmtId="0" fontId="11" fillId="0" borderId="60" xfId="7" applyFont="1" applyBorder="1" applyAlignment="1">
      <alignment horizontal="center" vertical="center"/>
    </xf>
    <xf numFmtId="0" fontId="11" fillId="0" borderId="60" xfId="7" applyFont="1" applyBorder="1" applyAlignment="1">
      <alignment horizontal="left" vertical="center"/>
    </xf>
    <xf numFmtId="179" fontId="11" fillId="0" borderId="60" xfId="403" applyNumberFormat="1" applyFont="1" applyBorder="1" applyAlignment="1">
      <alignment horizontal="right" vertical="center"/>
    </xf>
    <xf numFmtId="3" fontId="11" fillId="0" borderId="60" xfId="7" applyNumberFormat="1" applyFont="1" applyBorder="1" applyAlignment="1">
      <alignment horizontal="right" vertical="center"/>
    </xf>
    <xf numFmtId="0" fontId="11" fillId="0" borderId="0" xfId="7" applyFont="1"/>
    <xf numFmtId="165" fontId="11" fillId="0" borderId="0" xfId="7" applyNumberFormat="1" applyFont="1"/>
    <xf numFmtId="0" fontId="179" fillId="0" borderId="60" xfId="7" applyFont="1" applyBorder="1" applyAlignment="1">
      <alignment horizontal="center" vertical="center"/>
    </xf>
    <xf numFmtId="0" fontId="179" fillId="0" borderId="60" xfId="7" applyFont="1" applyBorder="1" applyAlignment="1">
      <alignment horizontal="left" vertical="center"/>
    </xf>
    <xf numFmtId="179" fontId="183" fillId="0" borderId="60" xfId="403" applyNumberFormat="1" applyFont="1" applyBorder="1" applyAlignment="1">
      <alignment horizontal="right" vertical="center"/>
    </xf>
    <xf numFmtId="0" fontId="179" fillId="0" borderId="0" xfId="7" applyFont="1"/>
    <xf numFmtId="179" fontId="179" fillId="0" borderId="60" xfId="403" applyNumberFormat="1" applyFont="1" applyBorder="1" applyAlignment="1">
      <alignment horizontal="right" vertical="center"/>
    </xf>
    <xf numFmtId="3" fontId="179" fillId="0" borderId="60" xfId="7" applyNumberFormat="1" applyFont="1" applyBorder="1" applyAlignment="1">
      <alignment horizontal="right" vertical="center"/>
    </xf>
    <xf numFmtId="0" fontId="184" fillId="0" borderId="0" xfId="7" applyFont="1"/>
    <xf numFmtId="0" fontId="184" fillId="0" borderId="60" xfId="7" applyFont="1" applyBorder="1" applyAlignment="1">
      <alignment horizontal="center" vertical="center"/>
    </xf>
    <xf numFmtId="0" fontId="184" fillId="0" borderId="60" xfId="7" applyFont="1" applyBorder="1" applyAlignment="1">
      <alignment horizontal="left" vertical="center"/>
    </xf>
    <xf numFmtId="0" fontId="184" fillId="0" borderId="60" xfId="7" applyFont="1" applyBorder="1" applyAlignment="1">
      <alignment vertical="center"/>
    </xf>
    <xf numFmtId="0" fontId="181" fillId="0" borderId="13" xfId="7" applyFont="1" applyBorder="1" applyAlignment="1">
      <alignment horizontal="center" vertical="center"/>
    </xf>
    <xf numFmtId="0" fontId="181" fillId="0" borderId="13" xfId="7" applyFont="1" applyBorder="1" applyAlignment="1">
      <alignment horizontal="left" vertical="center"/>
    </xf>
    <xf numFmtId="0" fontId="181" fillId="0" borderId="13" xfId="7" applyFont="1" applyBorder="1" applyAlignment="1">
      <alignment vertical="center"/>
    </xf>
    <xf numFmtId="3" fontId="181" fillId="0" borderId="13" xfId="7" applyNumberFormat="1" applyFont="1" applyBorder="1" applyAlignment="1">
      <alignment vertical="center"/>
    </xf>
    <xf numFmtId="0" fontId="19" fillId="0" borderId="0" xfId="7" applyFont="1" applyAlignment="1">
      <alignment horizontal="center"/>
    </xf>
    <xf numFmtId="0" fontId="19" fillId="0" borderId="0" xfId="7" quotePrefix="1" applyFont="1"/>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4" fillId="0" borderId="0" xfId="401" applyFont="1"/>
    <xf numFmtId="0" fontId="23" fillId="0" borderId="0" xfId="0" applyFont="1"/>
    <xf numFmtId="172" fontId="23" fillId="0" borderId="0" xfId="0" applyNumberFormat="1" applyFont="1"/>
    <xf numFmtId="0" fontId="4" fillId="0" borderId="0" xfId="0" applyFont="1"/>
    <xf numFmtId="0" fontId="4" fillId="0" borderId="0" xfId="0"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23" fillId="0" borderId="60" xfId="401" applyFont="1" applyBorder="1" applyAlignment="1">
      <alignment horizontal="justify" vertical="center" wrapText="1"/>
    </xf>
    <xf numFmtId="0" fontId="23" fillId="0" borderId="60" xfId="401" applyFont="1" applyBorder="1" applyAlignment="1">
      <alignment horizontal="center" vertical="center"/>
    </xf>
    <xf numFmtId="0" fontId="18" fillId="0" borderId="60" xfId="401" applyFont="1" applyBorder="1" applyAlignment="1">
      <alignment horizontal="center" vertical="center"/>
    </xf>
    <xf numFmtId="3" fontId="123" fillId="0" borderId="58" xfId="401" applyNumberFormat="1" applyFont="1" applyBorder="1" applyAlignment="1">
      <alignment horizontal="right" vertical="center"/>
    </xf>
    <xf numFmtId="3" fontId="123" fillId="0" borderId="60" xfId="401" applyNumberFormat="1" applyFont="1" applyBorder="1" applyAlignment="1">
      <alignment horizontal="right" vertical="center"/>
    </xf>
    <xf numFmtId="3" fontId="123" fillId="0" borderId="60" xfId="403" applyNumberFormat="1" applyFont="1" applyFill="1" applyBorder="1" applyAlignment="1">
      <alignment horizontal="right" vertical="center"/>
    </xf>
    <xf numFmtId="3" fontId="117" fillId="0" borderId="60" xfId="403" applyNumberFormat="1" applyFont="1" applyFill="1" applyBorder="1" applyAlignment="1">
      <alignment horizontal="right" vertical="center"/>
    </xf>
    <xf numFmtId="3" fontId="177" fillId="0" borderId="60" xfId="403" applyNumberFormat="1" applyFont="1" applyFill="1" applyBorder="1" applyAlignment="1">
      <alignment horizontal="right" vertical="center"/>
    </xf>
    <xf numFmtId="3" fontId="123" fillId="0" borderId="13" xfId="403" applyNumberFormat="1" applyFont="1" applyFill="1" applyBorder="1" applyAlignment="1">
      <alignment horizontal="right" vertical="center"/>
    </xf>
    <xf numFmtId="3" fontId="112" fillId="0" borderId="60" xfId="403" applyNumberFormat="1" applyFont="1" applyFill="1" applyBorder="1" applyAlignment="1">
      <alignment horizontal="right" vertical="center"/>
    </xf>
    <xf numFmtId="3" fontId="123" fillId="0" borderId="60" xfId="401" applyNumberFormat="1" applyFont="1" applyBorder="1" applyAlignment="1">
      <alignment horizontal="right" vertical="center" shrinkToFit="1"/>
    </xf>
    <xf numFmtId="3" fontId="123" fillId="0" borderId="58" xfId="401" applyNumberFormat="1" applyFont="1" applyBorder="1" applyAlignment="1">
      <alignment horizontal="right" vertical="center" shrinkToFit="1"/>
    </xf>
    <xf numFmtId="0" fontId="4" fillId="0" borderId="60" xfId="401" applyFont="1" applyBorder="1" applyAlignment="1">
      <alignment horizontal="justify" vertical="center" wrapText="1"/>
    </xf>
    <xf numFmtId="0" fontId="186" fillId="0" borderId="11" xfId="401" applyFont="1" applyBorder="1" applyAlignment="1">
      <alignment horizontal="center" vertical="center" wrapText="1"/>
    </xf>
    <xf numFmtId="0" fontId="187" fillId="0" borderId="11" xfId="401" applyFont="1" applyBorder="1" applyAlignment="1">
      <alignment horizontal="center" vertical="center" wrapText="1"/>
    </xf>
    <xf numFmtId="0" fontId="187" fillId="0" borderId="11" xfId="401" applyFont="1" applyBorder="1" applyAlignment="1">
      <alignment horizontal="center" vertical="center" shrinkToFit="1"/>
    </xf>
    <xf numFmtId="0" fontId="21" fillId="0" borderId="58" xfId="401" applyFont="1" applyBorder="1" applyAlignment="1">
      <alignment horizontal="center"/>
    </xf>
    <xf numFmtId="0" fontId="112" fillId="0" borderId="60" xfId="401" quotePrefix="1" applyFont="1" applyBorder="1" applyAlignment="1">
      <alignment horizontal="center" vertical="center"/>
    </xf>
    <xf numFmtId="0" fontId="112" fillId="0" borderId="13" xfId="401" quotePrefix="1" applyFont="1" applyBorder="1" applyAlignment="1">
      <alignment horizontal="center" vertical="center"/>
    </xf>
    <xf numFmtId="3" fontId="4" fillId="0" borderId="13" xfId="401" applyNumberFormat="1" applyFont="1" applyBorder="1" applyAlignment="1">
      <alignment horizontal="center" vertical="center"/>
    </xf>
    <xf numFmtId="3" fontId="117" fillId="0" borderId="13" xfId="401" applyNumberFormat="1" applyFont="1" applyBorder="1" applyAlignment="1">
      <alignment vertical="center"/>
    </xf>
    <xf numFmtId="0" fontId="117" fillId="0" borderId="13" xfId="401" applyFont="1" applyBorder="1" applyAlignment="1">
      <alignment vertical="center"/>
    </xf>
    <xf numFmtId="0" fontId="17" fillId="0" borderId="60" xfId="401" applyFont="1" applyBorder="1" applyAlignment="1">
      <alignment horizontal="justify" vertical="center"/>
    </xf>
    <xf numFmtId="0" fontId="112" fillId="0" borderId="14" xfId="401" quotePrefix="1" applyFont="1" applyBorder="1" applyAlignment="1">
      <alignment horizontal="center" vertical="center"/>
    </xf>
    <xf numFmtId="0" fontId="4" fillId="0" borderId="14" xfId="401" applyFont="1" applyBorder="1" applyAlignment="1">
      <alignment horizontal="justify" vertical="center" wrapText="1"/>
    </xf>
    <xf numFmtId="3" fontId="117" fillId="0" borderId="14" xfId="403" applyNumberFormat="1" applyFont="1" applyFill="1" applyBorder="1" applyAlignment="1">
      <alignment horizontal="right" vertical="center"/>
    </xf>
    <xf numFmtId="219" fontId="117" fillId="0" borderId="14" xfId="403" applyNumberFormat="1" applyFont="1" applyFill="1" applyBorder="1" applyAlignment="1">
      <alignment horizontal="right" vertical="center" wrapText="1"/>
    </xf>
    <xf numFmtId="0" fontId="117" fillId="0" borderId="14" xfId="401" applyFont="1" applyBorder="1" applyAlignment="1">
      <alignment horizontal="center" vertical="center" wrapText="1"/>
    </xf>
    <xf numFmtId="0" fontId="11" fillId="0" borderId="13" xfId="0" applyFont="1" applyBorder="1" applyAlignment="1">
      <alignment horizontal="justify" vertical="center" wrapText="1"/>
    </xf>
    <xf numFmtId="3" fontId="123" fillId="0" borderId="58" xfId="401" applyNumberFormat="1" applyFont="1" applyBorder="1" applyAlignment="1">
      <alignment vertical="center" shrinkToFit="1"/>
    </xf>
    <xf numFmtId="3" fontId="123" fillId="0" borderId="60" xfId="401" applyNumberFormat="1" applyFont="1" applyBorder="1" applyAlignment="1">
      <alignment vertical="center" shrinkToFit="1"/>
    </xf>
    <xf numFmtId="3" fontId="123" fillId="0" borderId="60" xfId="403" applyNumberFormat="1" applyFont="1" applyFill="1" applyBorder="1" applyAlignment="1">
      <alignment vertical="center" shrinkToFit="1"/>
    </xf>
    <xf numFmtId="3" fontId="117" fillId="0" borderId="60" xfId="403" applyNumberFormat="1" applyFont="1" applyFill="1" applyBorder="1" applyAlignment="1">
      <alignment vertical="center" shrinkToFit="1"/>
    </xf>
    <xf numFmtId="3" fontId="177" fillId="0" borderId="60" xfId="403" applyNumberFormat="1" applyFont="1" applyFill="1" applyBorder="1" applyAlignment="1">
      <alignment vertical="center" shrinkToFit="1"/>
    </xf>
    <xf numFmtId="3" fontId="123" fillId="32" borderId="60" xfId="403" applyNumberFormat="1" applyFont="1" applyFill="1" applyBorder="1" applyAlignment="1">
      <alignment vertical="center" shrinkToFit="1"/>
    </xf>
    <xf numFmtId="3" fontId="123" fillId="0" borderId="13" xfId="403" applyNumberFormat="1" applyFont="1" applyFill="1" applyBorder="1" applyAlignment="1">
      <alignment vertical="center" shrinkToFit="1"/>
    </xf>
    <xf numFmtId="0" fontId="11" fillId="0" borderId="0" xfId="18" applyFont="1" applyAlignment="1">
      <alignment vertical="center"/>
    </xf>
    <xf numFmtId="179" fontId="4" fillId="2" borderId="0" xfId="403" applyNumberFormat="1" applyFont="1" applyFill="1" applyAlignment="1">
      <alignment horizontal="center" vertical="center" wrapText="1"/>
    </xf>
    <xf numFmtId="43" fontId="4" fillId="2" borderId="0" xfId="403" applyFont="1" applyFill="1" applyAlignment="1">
      <alignment vertical="center" wrapTex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19" fillId="2" borderId="0" xfId="0" applyFont="1" applyFill="1" applyAlignment="1">
      <alignment horizontal="right" vertical="center" wrapText="1"/>
    </xf>
    <xf numFmtId="0" fontId="11" fillId="2" borderId="0" xfId="0" applyFont="1" applyFill="1" applyAlignment="1">
      <alignment vertical="center" wrapText="1"/>
    </xf>
    <xf numFmtId="0" fontId="11" fillId="2" borderId="58" xfId="406" applyFont="1" applyFill="1" applyBorder="1" applyAlignment="1">
      <alignment horizontal="center" vertical="center"/>
    </xf>
    <xf numFmtId="179" fontId="11" fillId="0" borderId="14" xfId="403" applyNumberFormat="1" applyFont="1" applyFill="1" applyBorder="1" applyAlignment="1">
      <alignment horizontal="right" vertical="center" wrapText="1"/>
    </xf>
    <xf numFmtId="179" fontId="11" fillId="2" borderId="14" xfId="403" applyNumberFormat="1" applyFont="1" applyFill="1" applyBorder="1" applyAlignment="1">
      <alignment horizontal="right" vertical="center" wrapText="1"/>
    </xf>
    <xf numFmtId="179" fontId="11" fillId="2" borderId="14" xfId="0" applyNumberFormat="1" applyFont="1" applyFill="1" applyBorder="1" applyAlignment="1">
      <alignment vertical="center" wrapText="1"/>
    </xf>
    <xf numFmtId="179" fontId="11" fillId="2" borderId="0" xfId="0" applyNumberFormat="1" applyFont="1" applyFill="1" applyAlignment="1">
      <alignment vertical="center" wrapText="1"/>
    </xf>
    <xf numFmtId="179" fontId="11" fillId="2" borderId="0" xfId="403" applyNumberFormat="1" applyFont="1" applyFill="1" applyAlignment="1">
      <alignment vertical="center" wrapText="1"/>
    </xf>
    <xf numFmtId="0" fontId="11" fillId="2" borderId="60" xfId="406" applyFont="1" applyFill="1" applyBorder="1" applyAlignment="1">
      <alignment horizontal="center" vertical="center"/>
    </xf>
    <xf numFmtId="179" fontId="11" fillId="2" borderId="60" xfId="403" applyNumberFormat="1" applyFont="1" applyFill="1" applyBorder="1" applyAlignment="1">
      <alignment horizontal="right" vertical="center" wrapText="1"/>
    </xf>
    <xf numFmtId="0" fontId="11" fillId="2" borderId="60" xfId="0" applyFont="1" applyFill="1" applyBorder="1" applyAlignment="1">
      <alignment vertical="center" wrapText="1"/>
    </xf>
    <xf numFmtId="179" fontId="11" fillId="0" borderId="0" xfId="403" applyNumberFormat="1" applyFont="1" applyFill="1"/>
    <xf numFmtId="0" fontId="11" fillId="2" borderId="60" xfId="406" applyFont="1" applyFill="1" applyBorder="1" applyAlignment="1">
      <alignment horizontal="left" vertical="center" wrapText="1"/>
    </xf>
    <xf numFmtId="0" fontId="4" fillId="2" borderId="60" xfId="0" applyFont="1" applyFill="1" applyBorder="1" applyAlignment="1">
      <alignment vertical="center" wrapText="1"/>
    </xf>
    <xf numFmtId="0" fontId="4" fillId="2" borderId="60" xfId="406" applyFont="1" applyFill="1" applyBorder="1" applyAlignment="1">
      <alignment horizontal="left" vertical="center" wrapText="1"/>
    </xf>
    <xf numFmtId="179" fontId="4" fillId="2" borderId="60" xfId="403" applyNumberFormat="1" applyFont="1" applyFill="1" applyBorder="1" applyAlignment="1">
      <alignment horizontal="center" vertical="center"/>
    </xf>
    <xf numFmtId="179" fontId="4" fillId="2" borderId="60" xfId="0" applyNumberFormat="1" applyFont="1" applyFill="1" applyBorder="1" applyAlignment="1">
      <alignment vertical="center" wrapText="1"/>
    </xf>
    <xf numFmtId="0" fontId="4" fillId="2" borderId="60" xfId="406" applyFont="1" applyFill="1" applyBorder="1" applyAlignment="1">
      <alignment horizontal="center" vertical="center"/>
    </xf>
    <xf numFmtId="0" fontId="23" fillId="2" borderId="60" xfId="406" applyFont="1" applyFill="1" applyBorder="1" applyAlignment="1">
      <alignment horizontal="center" vertical="center"/>
    </xf>
    <xf numFmtId="179" fontId="23" fillId="2" borderId="60" xfId="0" applyNumberFormat="1" applyFont="1" applyFill="1" applyBorder="1" applyAlignment="1">
      <alignment vertical="center" wrapText="1"/>
    </xf>
    <xf numFmtId="0" fontId="23" fillId="2" borderId="60" xfId="0" applyFont="1" applyFill="1" applyBorder="1" applyAlignment="1">
      <alignment vertical="center" wrapText="1"/>
    </xf>
    <xf numFmtId="0" fontId="23" fillId="2" borderId="0" xfId="0" applyFont="1" applyFill="1" applyAlignment="1">
      <alignment vertical="center" wrapText="1"/>
    </xf>
    <xf numFmtId="172" fontId="11" fillId="2" borderId="60" xfId="406" applyNumberFormat="1" applyFont="1" applyFill="1" applyBorder="1" applyAlignment="1">
      <alignment horizontal="center" vertical="center"/>
    </xf>
    <xf numFmtId="172" fontId="11" fillId="2" borderId="60" xfId="406" applyNumberFormat="1" applyFont="1" applyFill="1" applyBorder="1" applyAlignment="1">
      <alignment vertical="center" wrapText="1"/>
    </xf>
    <xf numFmtId="179" fontId="11" fillId="2" borderId="60" xfId="0" applyNumberFormat="1" applyFont="1" applyFill="1" applyBorder="1" applyAlignment="1">
      <alignment vertical="center" wrapText="1"/>
    </xf>
    <xf numFmtId="172" fontId="4" fillId="2" borderId="60" xfId="406" applyNumberFormat="1" applyFont="1" applyFill="1" applyBorder="1" applyAlignment="1">
      <alignment horizontal="center" vertical="center"/>
    </xf>
    <xf numFmtId="172" fontId="4" fillId="2" borderId="60" xfId="406" applyNumberFormat="1" applyFont="1" applyFill="1" applyBorder="1" applyAlignment="1">
      <alignment vertical="center" wrapText="1"/>
    </xf>
    <xf numFmtId="172" fontId="4" fillId="2" borderId="60" xfId="406" applyNumberFormat="1" applyFont="1" applyFill="1" applyBorder="1" applyAlignment="1">
      <alignment vertical="center"/>
    </xf>
    <xf numFmtId="1" fontId="11" fillId="2" borderId="60" xfId="406" applyNumberFormat="1" applyFont="1" applyFill="1" applyBorder="1" applyAlignment="1">
      <alignment horizontal="center" vertical="center"/>
    </xf>
    <xf numFmtId="1" fontId="18" fillId="2" borderId="60" xfId="406" applyNumberFormat="1" applyFont="1" applyFill="1" applyBorder="1" applyAlignment="1">
      <alignment horizontal="center" vertical="center"/>
    </xf>
    <xf numFmtId="179" fontId="11" fillId="2" borderId="60" xfId="403" applyNumberFormat="1" applyFont="1" applyFill="1" applyBorder="1" applyAlignment="1">
      <alignment horizontal="center" vertical="center"/>
    </xf>
    <xf numFmtId="0" fontId="11" fillId="2" borderId="13" xfId="406" applyFont="1" applyFill="1" applyBorder="1" applyAlignment="1">
      <alignment horizontal="center" vertical="center"/>
    </xf>
    <xf numFmtId="0" fontId="11" fillId="2" borderId="13" xfId="406" applyFont="1" applyFill="1" applyBorder="1" applyAlignment="1">
      <alignment horizontal="left" vertical="center" wrapText="1"/>
    </xf>
    <xf numFmtId="0" fontId="4" fillId="2" borderId="13" xfId="0" applyFont="1" applyFill="1" applyBorder="1" applyAlignment="1">
      <alignment vertical="center" wrapText="1"/>
    </xf>
    <xf numFmtId="0" fontId="4" fillId="2" borderId="0" xfId="0" applyFont="1" applyFill="1" applyAlignment="1">
      <alignment horizontal="center" vertical="center" wrapText="1"/>
    </xf>
    <xf numFmtId="168" fontId="4" fillId="2" borderId="0" xfId="403" applyNumberFormat="1" applyFont="1" applyFill="1" applyAlignment="1">
      <alignment vertical="center" wrapText="1"/>
    </xf>
    <xf numFmtId="0" fontId="19" fillId="0" borderId="0" xfId="18" applyFont="1" applyAlignment="1">
      <alignment vertical="center" wrapText="1"/>
    </xf>
    <xf numFmtId="0" fontId="4" fillId="0" borderId="0" xfId="18" applyFont="1" applyAlignment="1">
      <alignment vertical="center"/>
    </xf>
    <xf numFmtId="179" fontId="4" fillId="0" borderId="0" xfId="18" applyNumberFormat="1" applyFont="1" applyAlignment="1">
      <alignment vertical="center"/>
    </xf>
    <xf numFmtId="0" fontId="140" fillId="0" borderId="0" xfId="18" applyFont="1" applyAlignment="1">
      <alignment vertical="center"/>
    </xf>
    <xf numFmtId="0" fontId="19" fillId="0" borderId="0" xfId="18" applyFont="1" applyAlignment="1">
      <alignment vertical="center"/>
    </xf>
    <xf numFmtId="43" fontId="11" fillId="0" borderId="0" xfId="403" applyFont="1" applyFill="1" applyAlignment="1">
      <alignment horizontal="center" vertical="center"/>
    </xf>
    <xf numFmtId="0" fontId="11" fillId="0" borderId="0" xfId="18" applyFont="1" applyAlignment="1">
      <alignment horizontal="center" vertical="center"/>
    </xf>
    <xf numFmtId="0" fontId="4" fillId="0" borderId="0" xfId="407"/>
    <xf numFmtId="0" fontId="4" fillId="0" borderId="0" xfId="407" applyAlignment="1">
      <alignment horizontal="center"/>
    </xf>
    <xf numFmtId="179" fontId="4" fillId="0" borderId="0" xfId="403" applyNumberFormat="1" applyFont="1" applyFill="1"/>
    <xf numFmtId="0" fontId="11" fillId="0" borderId="0" xfId="407" applyFont="1"/>
    <xf numFmtId="0" fontId="11" fillId="0" borderId="11" xfId="407" applyFont="1" applyBorder="1" applyAlignment="1">
      <alignment horizontal="center" vertical="center" wrapText="1"/>
    </xf>
    <xf numFmtId="0" fontId="11" fillId="0" borderId="58" xfId="407" applyFont="1" applyBorder="1" applyAlignment="1">
      <alignment horizontal="center" vertical="center" wrapText="1"/>
    </xf>
    <xf numFmtId="3" fontId="11" fillId="0" borderId="0" xfId="407" applyNumberFormat="1" applyFont="1"/>
    <xf numFmtId="0" fontId="4" fillId="0" borderId="60" xfId="408" applyFont="1" applyBorder="1" applyAlignment="1">
      <alignment horizontal="center" vertical="center" wrapText="1"/>
    </xf>
    <xf numFmtId="3" fontId="12" fillId="0" borderId="14" xfId="407" applyNumberFormat="1" applyFont="1" applyBorder="1"/>
    <xf numFmtId="0" fontId="12" fillId="0" borderId="0" xfId="407" applyFont="1"/>
    <xf numFmtId="0" fontId="12" fillId="2" borderId="60" xfId="407" applyFont="1" applyFill="1" applyBorder="1"/>
    <xf numFmtId="0" fontId="12" fillId="2" borderId="0" xfId="407" applyFont="1" applyFill="1"/>
    <xf numFmtId="0" fontId="4" fillId="0" borderId="13" xfId="408" applyFont="1" applyBorder="1" applyAlignment="1">
      <alignment horizontal="center" vertical="center" wrapText="1"/>
    </xf>
    <xf numFmtId="0" fontId="12" fillId="2" borderId="13" xfId="407" applyFont="1" applyFill="1" applyBorder="1"/>
    <xf numFmtId="3" fontId="12" fillId="0" borderId="13" xfId="407" applyNumberFormat="1" applyFont="1" applyBorder="1"/>
    <xf numFmtId="0" fontId="19" fillId="0" borderId="0" xfId="407" applyFont="1"/>
    <xf numFmtId="0" fontId="16" fillId="0" borderId="0" xfId="402" applyFont="1"/>
    <xf numFmtId="0" fontId="11" fillId="0" borderId="0" xfId="402" applyFont="1"/>
    <xf numFmtId="0" fontId="4" fillId="0" borderId="0" xfId="407" applyAlignment="1">
      <alignment horizontal="left"/>
    </xf>
    <xf numFmtId="0" fontId="4" fillId="0" borderId="0" xfId="402" applyFont="1"/>
    <xf numFmtId="0" fontId="11" fillId="0" borderId="0" xfId="356" applyFont="1" applyAlignment="1">
      <alignment horizontal="left" vertical="center"/>
    </xf>
    <xf numFmtId="0" fontId="4" fillId="0" borderId="0" xfId="356" applyAlignment="1">
      <alignment vertical="center"/>
    </xf>
    <xf numFmtId="0" fontId="11" fillId="0" borderId="0" xfId="18" applyFont="1" applyAlignment="1">
      <alignment horizontal="right" vertical="center"/>
    </xf>
    <xf numFmtId="0" fontId="11" fillId="0" borderId="0" xfId="356" applyFont="1" applyAlignment="1">
      <alignment vertical="center"/>
    </xf>
    <xf numFmtId="0" fontId="11" fillId="0" borderId="0" xfId="356" applyFont="1" applyAlignment="1">
      <alignment horizontal="right" vertical="center"/>
    </xf>
    <xf numFmtId="0" fontId="11" fillId="0" borderId="0" xfId="356" applyFont="1" applyAlignment="1">
      <alignment horizontal="center" vertical="center" wrapText="1"/>
    </xf>
    <xf numFmtId="0" fontId="19" fillId="0" borderId="0" xfId="356" applyFont="1" applyAlignment="1">
      <alignment horizontal="right" vertical="center"/>
    </xf>
    <xf numFmtId="0" fontId="188" fillId="0" borderId="0" xfId="2" applyNumberFormat="1" applyFont="1" applyFill="1" applyBorder="1" applyAlignment="1" applyProtection="1">
      <alignment horizontal="center" vertical="center" wrapText="1"/>
    </xf>
    <xf numFmtId="49" fontId="4" fillId="0" borderId="0" xfId="356" applyNumberFormat="1" applyAlignment="1">
      <alignment horizontal="center" vertical="center"/>
    </xf>
    <xf numFmtId="3" fontId="11" fillId="0" borderId="0" xfId="356" applyNumberFormat="1" applyFont="1" applyAlignment="1">
      <alignment vertical="center"/>
    </xf>
    <xf numFmtId="3" fontId="4" fillId="2" borderId="0" xfId="356" applyNumberFormat="1" applyFill="1" applyAlignment="1">
      <alignment vertical="center"/>
    </xf>
    <xf numFmtId="3" fontId="4" fillId="0" borderId="0" xfId="356" applyNumberFormat="1" applyAlignment="1">
      <alignment vertical="center"/>
    </xf>
    <xf numFmtId="179" fontId="17" fillId="0" borderId="13" xfId="403" applyNumberFormat="1" applyFont="1" applyBorder="1" applyAlignment="1">
      <alignment vertical="center"/>
    </xf>
    <xf numFmtId="49" fontId="4" fillId="0" borderId="0" xfId="356" applyNumberFormat="1" applyAlignment="1">
      <alignment horizontal="justify" vertical="center" wrapText="1"/>
    </xf>
    <xf numFmtId="0" fontId="4" fillId="0" borderId="0" xfId="356" applyAlignment="1">
      <alignment horizontal="center" vertical="center"/>
    </xf>
    <xf numFmtId="0" fontId="11" fillId="0" borderId="0" xfId="18" applyFont="1" applyAlignment="1">
      <alignment vertical="center" wrapText="1"/>
    </xf>
    <xf numFmtId="0" fontId="16" fillId="0" borderId="0" xfId="401" applyFont="1"/>
    <xf numFmtId="0" fontId="11" fillId="0" borderId="0" xfId="401" applyFont="1"/>
    <xf numFmtId="0" fontId="4" fillId="0" borderId="0" xfId="401" applyFont="1"/>
    <xf numFmtId="0" fontId="11" fillId="0" borderId="0" xfId="356" applyFont="1" applyAlignment="1">
      <alignment horizontal="center" vertical="center"/>
    </xf>
    <xf numFmtId="49" fontId="4" fillId="0" borderId="11" xfId="0" applyNumberFormat="1" applyFont="1" applyBorder="1" applyAlignment="1">
      <alignment horizontal="center" vertical="center"/>
    </xf>
    <xf numFmtId="49" fontId="4" fillId="0" borderId="11" xfId="0" quotePrefix="1" applyNumberFormat="1" applyFont="1" applyBorder="1" applyAlignment="1">
      <alignment horizontal="center" vertical="center" wrapText="1"/>
    </xf>
    <xf numFmtId="49" fontId="11" fillId="0" borderId="58" xfId="0" applyNumberFormat="1" applyFont="1" applyBorder="1" applyAlignment="1">
      <alignment horizontal="center" vertical="center"/>
    </xf>
    <xf numFmtId="49" fontId="11" fillId="0" borderId="58" xfId="0" applyNumberFormat="1" applyFont="1" applyBorder="1" applyAlignment="1">
      <alignment horizontal="center" vertical="center" wrapText="1"/>
    </xf>
    <xf numFmtId="3" fontId="11" fillId="0" borderId="58" xfId="0" applyNumberFormat="1" applyFont="1" applyBorder="1" applyAlignment="1">
      <alignment horizontal="right" vertical="center"/>
    </xf>
    <xf numFmtId="3" fontId="11" fillId="0" borderId="60" xfId="0" applyNumberFormat="1" applyFont="1" applyBorder="1" applyAlignment="1">
      <alignment horizontal="right" vertical="center"/>
    </xf>
    <xf numFmtId="49" fontId="4" fillId="0" borderId="60" xfId="0" applyNumberFormat="1" applyFont="1" applyBorder="1" applyAlignment="1">
      <alignment horizontal="center" vertical="center"/>
    </xf>
    <xf numFmtId="49" fontId="4" fillId="0" borderId="60" xfId="0" applyNumberFormat="1" applyFont="1" applyBorder="1" applyAlignment="1">
      <alignment horizontal="left" vertical="center" wrapText="1"/>
    </xf>
    <xf numFmtId="3" fontId="23" fillId="0" borderId="60" xfId="0" applyNumberFormat="1" applyFont="1" applyBorder="1" applyAlignment="1">
      <alignment vertical="center"/>
    </xf>
    <xf numFmtId="3" fontId="4" fillId="0" borderId="60" xfId="0" applyNumberFormat="1" applyFont="1" applyBorder="1" applyAlignment="1">
      <alignment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3" fontId="11" fillId="0" borderId="11" xfId="0" applyNumberFormat="1" applyFont="1" applyBorder="1" applyAlignment="1">
      <alignment horizontal="right" vertical="center"/>
    </xf>
    <xf numFmtId="3" fontId="23" fillId="0" borderId="11" xfId="0" applyNumberFormat="1" applyFont="1" applyBorder="1" applyAlignment="1">
      <alignment vertical="center"/>
    </xf>
    <xf numFmtId="3" fontId="4" fillId="0" borderId="11" xfId="0" applyNumberFormat="1" applyFont="1" applyBorder="1" applyAlignment="1">
      <alignment horizontal="right" vertical="center"/>
    </xf>
    <xf numFmtId="3" fontId="4" fillId="0" borderId="11" xfId="0" applyNumberFormat="1" applyFont="1" applyBorder="1" applyAlignment="1">
      <alignment vertical="center"/>
    </xf>
    <xf numFmtId="49" fontId="4" fillId="0" borderId="11" xfId="0" applyNumberFormat="1" applyFont="1" applyBorder="1" applyAlignment="1">
      <alignment horizontal="justify" vertical="center" wrapText="1"/>
    </xf>
    <xf numFmtId="0" fontId="19" fillId="0" borderId="0" xfId="356" applyFont="1" applyAlignment="1">
      <alignment vertical="center" wrapText="1"/>
    </xf>
    <xf numFmtId="49" fontId="4" fillId="0" borderId="13" xfId="0" applyNumberFormat="1" applyFont="1" applyBorder="1" applyAlignment="1">
      <alignment horizontal="justify" vertical="center" wrapText="1"/>
    </xf>
    <xf numFmtId="0" fontId="4" fillId="0" borderId="0" xfId="18" applyFont="1" applyAlignment="1">
      <alignment horizontal="right" vertical="center" wrapText="1"/>
    </xf>
    <xf numFmtId="0" fontId="4" fillId="0" borderId="0" xfId="18" applyFont="1" applyAlignment="1">
      <alignment vertical="center" wrapText="1"/>
    </xf>
    <xf numFmtId="3" fontId="12" fillId="0" borderId="60" xfId="407" applyNumberFormat="1" applyFont="1" applyBorder="1" applyAlignment="1">
      <alignment horizontal="right" shrinkToFit="1"/>
    </xf>
    <xf numFmtId="0" fontId="12" fillId="2" borderId="60" xfId="407" applyFont="1" applyFill="1" applyBorder="1" applyAlignment="1">
      <alignment horizontal="right" shrinkToFit="1"/>
    </xf>
    <xf numFmtId="0" fontId="12" fillId="2" borderId="13" xfId="407" applyFont="1" applyFill="1" applyBorder="1" applyAlignment="1">
      <alignment horizontal="right" shrinkToFit="1"/>
    </xf>
    <xf numFmtId="3" fontId="12" fillId="0" borderId="13" xfId="407" applyNumberFormat="1" applyFont="1" applyBorder="1" applyAlignment="1">
      <alignment horizontal="right" shrinkToFit="1"/>
    </xf>
    <xf numFmtId="0" fontId="4" fillId="0" borderId="7" xfId="407" applyBorder="1" applyAlignment="1">
      <alignment horizontal="center" vertical="center" shrinkToFit="1"/>
    </xf>
    <xf numFmtId="0" fontId="4" fillId="3" borderId="7" xfId="407" applyFill="1" applyBorder="1" applyAlignment="1">
      <alignment horizontal="center" vertical="center" shrinkToFit="1"/>
    </xf>
    <xf numFmtId="0" fontId="4" fillId="0" borderId="11" xfId="407" applyBorder="1" applyAlignment="1">
      <alignment horizontal="center" vertical="center" shrinkToFit="1"/>
    </xf>
    <xf numFmtId="0" fontId="4" fillId="0" borderId="138" xfId="407" applyBorder="1" applyAlignment="1">
      <alignment horizontal="center" vertical="center" shrinkToFit="1"/>
    </xf>
    <xf numFmtId="0" fontId="4" fillId="0" borderId="11" xfId="407" applyBorder="1" applyAlignment="1">
      <alignment horizontal="center" vertical="center" wrapText="1"/>
    </xf>
    <xf numFmtId="3" fontId="11" fillId="0" borderId="58" xfId="407" applyNumberFormat="1" applyFont="1" applyBorder="1" applyAlignment="1">
      <alignment horizontal="right" vertical="center" shrinkToFit="1"/>
    </xf>
    <xf numFmtId="3" fontId="11" fillId="0" borderId="58" xfId="407" applyNumberFormat="1" applyFont="1" applyBorder="1" applyAlignment="1">
      <alignment horizontal="center" vertical="center" wrapText="1"/>
    </xf>
    <xf numFmtId="0" fontId="4" fillId="0" borderId="60" xfId="405" applyFont="1" applyBorder="1" applyAlignment="1">
      <alignment horizontal="left" vertical="center"/>
    </xf>
    <xf numFmtId="3" fontId="4" fillId="0" borderId="60" xfId="407" applyNumberFormat="1" applyBorder="1" applyAlignment="1">
      <alignment horizontal="right" vertical="center" shrinkToFit="1"/>
    </xf>
    <xf numFmtId="3" fontId="4" fillId="3" borderId="60" xfId="407" applyNumberFormat="1" applyFill="1" applyBorder="1" applyAlignment="1">
      <alignment horizontal="right" vertical="center" shrinkToFit="1"/>
    </xf>
    <xf numFmtId="3" fontId="4" fillId="2" borderId="60" xfId="407" applyNumberFormat="1" applyFill="1" applyBorder="1" applyAlignment="1">
      <alignment horizontal="right" vertical="center" shrinkToFit="1"/>
    </xf>
    <xf numFmtId="0" fontId="4" fillId="0" borderId="13" xfId="405" applyFont="1" applyBorder="1" applyAlignment="1">
      <alignment horizontal="left" vertical="center"/>
    </xf>
    <xf numFmtId="3" fontId="4" fillId="0" borderId="13" xfId="407" applyNumberFormat="1" applyBorder="1" applyAlignment="1">
      <alignment horizontal="right" vertical="center" shrinkToFit="1"/>
    </xf>
    <xf numFmtId="3" fontId="4" fillId="2" borderId="13" xfId="407" applyNumberFormat="1" applyFill="1" applyBorder="1" applyAlignment="1">
      <alignment horizontal="right" vertical="center" shrinkToFit="1"/>
    </xf>
    <xf numFmtId="0" fontId="19" fillId="0" borderId="0" xfId="407" applyFont="1" applyAlignment="1">
      <alignment horizontal="right"/>
    </xf>
    <xf numFmtId="0" fontId="11" fillId="2" borderId="11" xfId="406" applyFont="1" applyFill="1" applyBorder="1" applyAlignment="1">
      <alignment horizontal="center" vertical="center"/>
    </xf>
    <xf numFmtId="3" fontId="11" fillId="2" borderId="11" xfId="406" applyNumberFormat="1" applyFont="1" applyFill="1" applyBorder="1" applyAlignment="1">
      <alignment horizontal="center" vertical="center"/>
    </xf>
    <xf numFmtId="3" fontId="11" fillId="2" borderId="11" xfId="403" applyNumberFormat="1" applyFont="1" applyFill="1" applyBorder="1" applyAlignment="1">
      <alignment horizontal="center" vertical="center"/>
    </xf>
    <xf numFmtId="0" fontId="11" fillId="2" borderId="11" xfId="0" applyFont="1" applyFill="1" applyBorder="1" applyAlignment="1">
      <alignment horizontal="center" vertical="center" wrapText="1"/>
    </xf>
    <xf numFmtId="3" fontId="11" fillId="2" borderId="11" xfId="403" quotePrefix="1" applyNumberFormat="1" applyFont="1" applyFill="1" applyBorder="1" applyAlignment="1">
      <alignment horizontal="center" vertical="center"/>
    </xf>
    <xf numFmtId="0" fontId="11" fillId="2" borderId="11" xfId="0" quotePrefix="1" applyFont="1" applyFill="1" applyBorder="1" applyAlignment="1">
      <alignment horizontal="center" vertical="center" wrapText="1"/>
    </xf>
    <xf numFmtId="0" fontId="11" fillId="2" borderId="10" xfId="0" applyFont="1" applyFill="1" applyBorder="1" applyAlignment="1">
      <alignment horizontal="center" vertical="center" wrapText="1"/>
    </xf>
    <xf numFmtId="179" fontId="11" fillId="2" borderId="0" xfId="403" applyNumberFormat="1" applyFont="1" applyFill="1" applyAlignment="1">
      <alignment horizontal="center" vertical="center" wrapText="1"/>
    </xf>
    <xf numFmtId="3" fontId="11" fillId="2" borderId="11" xfId="403" applyNumberFormat="1" applyFont="1" applyFill="1" applyBorder="1" applyAlignment="1">
      <alignment horizontal="center" vertical="center" shrinkToFit="1"/>
    </xf>
    <xf numFmtId="179" fontId="11" fillId="0" borderId="11" xfId="403" applyNumberFormat="1" applyFont="1" applyFill="1" applyBorder="1" applyAlignment="1"/>
    <xf numFmtId="3" fontId="11" fillId="2" borderId="58" xfId="403" applyNumberFormat="1" applyFont="1" applyFill="1" applyBorder="1" applyAlignment="1">
      <alignment horizontal="right" vertical="center" shrinkToFit="1"/>
    </xf>
    <xf numFmtId="3" fontId="11" fillId="0" borderId="58" xfId="403" applyNumberFormat="1" applyFont="1" applyFill="1" applyBorder="1" applyAlignment="1">
      <alignment horizontal="right" vertical="center" shrinkToFit="1"/>
    </xf>
    <xf numFmtId="3" fontId="11" fillId="2" borderId="60" xfId="403" applyNumberFormat="1" applyFont="1" applyFill="1" applyBorder="1" applyAlignment="1">
      <alignment horizontal="right" vertical="center" shrinkToFit="1"/>
    </xf>
    <xf numFmtId="3" fontId="4" fillId="2" borderId="60" xfId="403" applyNumberFormat="1" applyFont="1" applyFill="1" applyBorder="1" applyAlignment="1">
      <alignment horizontal="right" vertical="center" shrinkToFit="1"/>
    </xf>
    <xf numFmtId="3" fontId="4" fillId="2" borderId="13" xfId="403" applyNumberFormat="1" applyFont="1" applyFill="1" applyBorder="1" applyAlignment="1">
      <alignment horizontal="center" vertical="center" shrinkToFit="1"/>
    </xf>
    <xf numFmtId="3" fontId="4" fillId="2" borderId="13" xfId="403" applyNumberFormat="1" applyFont="1" applyFill="1" applyBorder="1" applyAlignment="1">
      <alignment vertical="center" shrinkToFit="1"/>
    </xf>
    <xf numFmtId="3" fontId="11" fillId="0" borderId="13" xfId="401" applyNumberFormat="1" applyFont="1" applyBorder="1" applyAlignment="1">
      <alignment horizontal="center" shrinkToFit="1"/>
    </xf>
    <xf numFmtId="3" fontId="11" fillId="2" borderId="13" xfId="403" applyNumberFormat="1" applyFont="1" applyFill="1" applyBorder="1" applyAlignment="1">
      <alignment horizontal="right" vertical="center" shrinkToFit="1"/>
    </xf>
    <xf numFmtId="3" fontId="11" fillId="2" borderId="13" xfId="403" applyNumberFormat="1" applyFont="1" applyFill="1" applyBorder="1" applyAlignment="1">
      <alignment horizontal="center" vertical="center" shrinkToFit="1"/>
    </xf>
    <xf numFmtId="3" fontId="11" fillId="2" borderId="13" xfId="403" applyNumberFormat="1" applyFont="1" applyFill="1" applyBorder="1" applyAlignment="1">
      <alignment vertical="center" shrinkToFit="1"/>
    </xf>
    <xf numFmtId="0" fontId="4" fillId="2" borderId="0" xfId="0" applyFont="1" applyFill="1" applyAlignment="1">
      <alignment vertical="center" shrinkToFit="1"/>
    </xf>
    <xf numFmtId="0" fontId="4" fillId="2" borderId="60" xfId="406" applyFont="1" applyFill="1" applyBorder="1" applyAlignment="1">
      <alignment horizontal="left" vertical="center" shrinkToFi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shrinkToFit="1"/>
    </xf>
    <xf numFmtId="2" fontId="11" fillId="0" borderId="58" xfId="0" applyNumberFormat="1" applyFont="1" applyBorder="1" applyAlignment="1">
      <alignment horizontal="center" vertical="center"/>
    </xf>
    <xf numFmtId="179" fontId="11" fillId="0" borderId="58" xfId="403" applyNumberFormat="1" applyFont="1" applyBorder="1" applyAlignment="1">
      <alignment horizontal="right" vertical="center"/>
    </xf>
    <xf numFmtId="227" fontId="11" fillId="0" borderId="58" xfId="0" applyNumberFormat="1" applyFont="1" applyBorder="1" applyAlignment="1">
      <alignment horizontal="right" vertical="center"/>
    </xf>
    <xf numFmtId="227" fontId="4" fillId="0" borderId="0" xfId="0" applyNumberFormat="1" applyFont="1"/>
    <xf numFmtId="2" fontId="11" fillId="0" borderId="60" xfId="0" applyNumberFormat="1" applyFont="1" applyBorder="1" applyAlignment="1">
      <alignment horizontal="center" vertical="center"/>
    </xf>
    <xf numFmtId="2" fontId="11" fillId="0" borderId="60" xfId="0" applyNumberFormat="1" applyFont="1" applyBorder="1" applyAlignment="1">
      <alignment horizontal="left" vertical="center"/>
    </xf>
    <xf numFmtId="179" fontId="4" fillId="0" borderId="60" xfId="403" applyNumberFormat="1" applyFont="1" applyBorder="1" applyAlignment="1">
      <alignment horizontal="right" vertical="center"/>
    </xf>
    <xf numFmtId="227" fontId="11" fillId="0" borderId="60" xfId="0" applyNumberFormat="1" applyFont="1" applyBorder="1" applyAlignment="1">
      <alignment horizontal="right" vertical="center"/>
    </xf>
    <xf numFmtId="2" fontId="4" fillId="0" borderId="60" xfId="0" applyNumberFormat="1" applyFont="1" applyBorder="1" applyAlignment="1">
      <alignment horizontal="center" vertical="center"/>
    </xf>
    <xf numFmtId="2" fontId="4" fillId="0" borderId="60" xfId="0" applyNumberFormat="1" applyFont="1" applyBorder="1" applyAlignment="1">
      <alignment horizontal="left" vertical="center"/>
    </xf>
    <xf numFmtId="0" fontId="23" fillId="0" borderId="60" xfId="0" applyFont="1" applyBorder="1" applyAlignment="1">
      <alignment horizontal="center" vertical="center"/>
    </xf>
    <xf numFmtId="0" fontId="23" fillId="0" borderId="60" xfId="0" applyFont="1" applyBorder="1" applyAlignment="1">
      <alignment vertical="center"/>
    </xf>
    <xf numFmtId="179" fontId="23" fillId="0" borderId="60" xfId="403" applyNumberFormat="1" applyFont="1" applyBorder="1" applyAlignment="1">
      <alignment vertical="center"/>
    </xf>
    <xf numFmtId="179" fontId="23" fillId="0" borderId="60" xfId="403" applyNumberFormat="1" applyFont="1" applyBorder="1" applyAlignment="1">
      <alignment horizontal="right" vertical="center"/>
    </xf>
    <xf numFmtId="227" fontId="23" fillId="0" borderId="60" xfId="0" applyNumberFormat="1" applyFont="1" applyBorder="1" applyAlignment="1">
      <alignment vertical="center"/>
    </xf>
    <xf numFmtId="179" fontId="23" fillId="0" borderId="60" xfId="403" applyNumberFormat="1" applyFont="1" applyFill="1" applyBorder="1" applyAlignment="1">
      <alignment vertical="center"/>
    </xf>
    <xf numFmtId="179" fontId="23" fillId="0" borderId="60" xfId="403" applyNumberFormat="1" applyFont="1" applyFill="1" applyBorder="1" applyAlignment="1">
      <alignment horizontal="right" vertical="center"/>
    </xf>
    <xf numFmtId="0" fontId="23" fillId="0" borderId="13" xfId="0" applyFont="1" applyBorder="1" applyAlignment="1">
      <alignment horizontal="center" vertical="center"/>
    </xf>
    <xf numFmtId="0" fontId="23" fillId="0" borderId="13" xfId="0" applyFont="1" applyBorder="1" applyAlignment="1">
      <alignment vertical="center"/>
    </xf>
    <xf numFmtId="179" fontId="23" fillId="0" borderId="13" xfId="403" applyNumberFormat="1" applyFont="1" applyBorder="1" applyAlignment="1">
      <alignment vertical="center"/>
    </xf>
    <xf numFmtId="179" fontId="23" fillId="0" borderId="13" xfId="403" applyNumberFormat="1" applyFont="1" applyBorder="1" applyAlignment="1">
      <alignment horizontal="right" vertical="center"/>
    </xf>
    <xf numFmtId="227" fontId="23" fillId="0" borderId="13" xfId="0" applyNumberFormat="1" applyFont="1" applyBorder="1" applyAlignment="1">
      <alignment vertical="center"/>
    </xf>
    <xf numFmtId="0" fontId="11" fillId="0" borderId="0" xfId="0" applyFont="1" applyAlignment="1">
      <alignment horizontal="right"/>
    </xf>
    <xf numFmtId="0" fontId="11" fillId="0" borderId="0" xfId="0" applyFont="1" applyAlignment="1">
      <alignment horizontal="center"/>
    </xf>
    <xf numFmtId="227" fontId="11" fillId="0" borderId="11" xfId="0" applyNumberFormat="1" applyFont="1" applyBorder="1" applyAlignment="1">
      <alignment horizontal="center" vertical="center"/>
    </xf>
    <xf numFmtId="179" fontId="11" fillId="0" borderId="11" xfId="403" applyNumberFormat="1" applyFont="1" applyBorder="1" applyAlignment="1">
      <alignment horizontal="right" vertical="center"/>
    </xf>
    <xf numFmtId="172" fontId="4" fillId="0" borderId="0" xfId="0" applyNumberFormat="1" applyFont="1"/>
    <xf numFmtId="227" fontId="23" fillId="0" borderId="11" xfId="0" applyNumberFormat="1" applyFont="1" applyBorder="1" applyAlignment="1">
      <alignment vertical="center"/>
    </xf>
    <xf numFmtId="227" fontId="4" fillId="0" borderId="11" xfId="0" applyNumberFormat="1" applyFont="1" applyBorder="1" applyAlignment="1">
      <alignment vertical="center"/>
    </xf>
    <xf numFmtId="0" fontId="11" fillId="31" borderId="11" xfId="0" applyFont="1" applyFill="1" applyBorder="1"/>
    <xf numFmtId="2" fontId="14" fillId="0" borderId="58" xfId="0" applyNumberFormat="1" applyFont="1" applyBorder="1" applyAlignment="1">
      <alignment horizontal="center" vertical="center"/>
    </xf>
    <xf numFmtId="179" fontId="14" fillId="0" borderId="58" xfId="403" applyNumberFormat="1" applyFont="1" applyBorder="1" applyAlignment="1">
      <alignment horizontal="right" vertical="center"/>
    </xf>
    <xf numFmtId="2" fontId="14" fillId="0" borderId="60" xfId="0" applyNumberFormat="1" applyFont="1" applyBorder="1" applyAlignment="1">
      <alignment horizontal="center" vertical="center"/>
    </xf>
    <xf numFmtId="2" fontId="14" fillId="0" borderId="60" xfId="0" applyNumberFormat="1" applyFont="1" applyBorder="1" applyAlignment="1">
      <alignment horizontal="left" vertical="center"/>
    </xf>
    <xf numFmtId="2" fontId="17" fillId="0" borderId="60" xfId="0" applyNumberFormat="1" applyFont="1" applyBorder="1" applyAlignment="1">
      <alignment horizontal="center" vertical="center"/>
    </xf>
    <xf numFmtId="2" fontId="17" fillId="0" borderId="60" xfId="0" applyNumberFormat="1" applyFont="1" applyBorder="1" applyAlignment="1">
      <alignment horizontal="left" vertical="center" shrinkToFit="1"/>
    </xf>
    <xf numFmtId="0" fontId="17" fillId="0" borderId="60" xfId="0" applyFont="1" applyBorder="1" applyAlignment="1">
      <alignment horizontal="center" vertical="center"/>
    </xf>
    <xf numFmtId="179" fontId="17" fillId="0" borderId="60" xfId="403" applyNumberFormat="1" applyFont="1" applyBorder="1" applyAlignment="1">
      <alignment horizontal="center" vertical="center"/>
    </xf>
    <xf numFmtId="179" fontId="17" fillId="0" borderId="60" xfId="403" applyNumberFormat="1" applyFont="1" applyFill="1" applyBorder="1" applyAlignment="1">
      <alignment horizontal="right" vertical="center"/>
    </xf>
    <xf numFmtId="0" fontId="17" fillId="0" borderId="13" xfId="0" applyFont="1" applyBorder="1" applyAlignment="1">
      <alignment horizontal="center" vertical="center"/>
    </xf>
    <xf numFmtId="0" fontId="17" fillId="0" borderId="13" xfId="0" applyFont="1" applyBorder="1" applyAlignment="1">
      <alignment vertical="center"/>
    </xf>
    <xf numFmtId="179" fontId="17" fillId="0" borderId="13" xfId="403" applyNumberFormat="1" applyFont="1" applyBorder="1" applyAlignment="1">
      <alignment horizontal="center" vertical="center"/>
    </xf>
    <xf numFmtId="179" fontId="17" fillId="0" borderId="13" xfId="403" applyNumberFormat="1" applyFont="1" applyBorder="1" applyAlignment="1">
      <alignment horizontal="right" vertical="center"/>
    </xf>
    <xf numFmtId="0" fontId="189" fillId="2" borderId="0" xfId="18" applyFont="1" applyFill="1" applyAlignment="1">
      <alignment vertical="center"/>
    </xf>
    <xf numFmtId="43" fontId="11" fillId="0" borderId="0" xfId="403" applyFont="1" applyFill="1" applyBorder="1" applyAlignment="1">
      <alignment horizontal="center" vertical="center" wrapText="1"/>
    </xf>
    <xf numFmtId="0" fontId="11" fillId="0" borderId="0" xfId="18" applyFont="1" applyAlignment="1">
      <alignment horizontal="center" vertical="center" wrapText="1"/>
    </xf>
    <xf numFmtId="43" fontId="19" fillId="0" borderId="0" xfId="403" applyFont="1" applyFill="1" applyBorder="1" applyAlignment="1">
      <alignment horizontal="right" vertical="center"/>
    </xf>
    <xf numFmtId="0" fontId="19" fillId="0" borderId="0" xfId="18" applyFont="1" applyAlignment="1">
      <alignment horizontal="right" vertical="center"/>
    </xf>
    <xf numFmtId="49" fontId="19" fillId="0" borderId="11" xfId="18" applyNumberFormat="1" applyFont="1" applyBorder="1" applyAlignment="1">
      <alignment horizontal="center" vertical="center"/>
    </xf>
    <xf numFmtId="49" fontId="19" fillId="0" borderId="8" xfId="18" applyNumberFormat="1" applyFont="1" applyBorder="1" applyAlignment="1">
      <alignment horizontal="center" vertical="center" wrapText="1"/>
    </xf>
    <xf numFmtId="49" fontId="19" fillId="2" borderId="11" xfId="18" applyNumberFormat="1" applyFont="1" applyFill="1" applyBorder="1" applyAlignment="1">
      <alignment horizontal="center" vertical="center"/>
    </xf>
    <xf numFmtId="49" fontId="19" fillId="0" borderId="11" xfId="18" quotePrefix="1" applyNumberFormat="1" applyFont="1" applyBorder="1" applyAlignment="1">
      <alignment horizontal="center" vertical="center"/>
    </xf>
    <xf numFmtId="43" fontId="19" fillId="0" borderId="0" xfId="403" applyFont="1" applyFill="1" applyBorder="1" applyAlignment="1">
      <alignment horizontal="center" vertical="center"/>
    </xf>
    <xf numFmtId="49" fontId="19" fillId="0" borderId="0" xfId="18" applyNumberFormat="1" applyFont="1" applyAlignment="1">
      <alignment horizontal="center" vertical="center"/>
    </xf>
    <xf numFmtId="49" fontId="11" fillId="0" borderId="60" xfId="18" applyNumberFormat="1" applyFont="1" applyBorder="1" applyAlignment="1">
      <alignment horizontal="center" vertical="center"/>
    </xf>
    <xf numFmtId="49" fontId="11" fillId="0" borderId="16" xfId="18" applyNumberFormat="1" applyFont="1" applyBorder="1" applyAlignment="1">
      <alignment horizontal="center" vertical="center" wrapText="1"/>
    </xf>
    <xf numFmtId="179" fontId="11" fillId="2" borderId="60" xfId="403" applyNumberFormat="1" applyFont="1" applyFill="1" applyBorder="1" applyAlignment="1">
      <alignment horizontal="right" vertical="center"/>
    </xf>
    <xf numFmtId="43" fontId="11" fillId="0" borderId="0" xfId="403" applyFont="1" applyFill="1" applyBorder="1" applyAlignment="1">
      <alignment vertical="center"/>
    </xf>
    <xf numFmtId="3" fontId="11" fillId="0" borderId="0" xfId="18" applyNumberFormat="1" applyFont="1" applyAlignment="1">
      <alignment vertical="center"/>
    </xf>
    <xf numFmtId="179" fontId="11" fillId="0" borderId="0" xfId="403" applyNumberFormat="1" applyFont="1" applyFill="1" applyAlignment="1">
      <alignment vertical="center"/>
    </xf>
    <xf numFmtId="49" fontId="11" fillId="0" borderId="16" xfId="18" applyNumberFormat="1" applyFont="1" applyBorder="1" applyAlignment="1">
      <alignment horizontal="left" vertical="center" wrapText="1"/>
    </xf>
    <xf numFmtId="49" fontId="4" fillId="0" borderId="14" xfId="18" applyNumberFormat="1" applyFont="1" applyBorder="1" applyAlignment="1">
      <alignment horizontal="center" vertical="center"/>
    </xf>
    <xf numFmtId="49" fontId="4" fillId="0" borderId="16" xfId="18" applyNumberFormat="1" applyFont="1" applyBorder="1" applyAlignment="1">
      <alignment horizontal="justify" vertical="center" wrapText="1"/>
    </xf>
    <xf numFmtId="179" fontId="4" fillId="0" borderId="60" xfId="403" applyNumberFormat="1" applyFont="1" applyBorder="1" applyAlignment="1">
      <alignment vertical="center"/>
    </xf>
    <xf numFmtId="43" fontId="4" fillId="0" borderId="0" xfId="403" applyFont="1" applyFill="1" applyBorder="1" applyAlignment="1">
      <alignment horizontal="right" vertical="center"/>
    </xf>
    <xf numFmtId="3" fontId="4" fillId="0" borderId="0" xfId="18" applyNumberFormat="1" applyFont="1" applyAlignment="1">
      <alignment vertical="center"/>
    </xf>
    <xf numFmtId="49" fontId="4" fillId="0" borderId="16" xfId="18" applyNumberFormat="1" applyFont="1" applyBorder="1" applyAlignment="1">
      <alignment horizontal="left" vertical="center" wrapText="1"/>
    </xf>
    <xf numFmtId="49" fontId="19" fillId="0" borderId="14" xfId="18" applyNumberFormat="1" applyFont="1" applyBorder="1" applyAlignment="1">
      <alignment horizontal="center" vertical="center"/>
    </xf>
    <xf numFmtId="49" fontId="19" fillId="0" borderId="16" xfId="18" applyNumberFormat="1" applyFont="1" applyBorder="1" applyAlignment="1">
      <alignment vertical="center" wrapText="1"/>
    </xf>
    <xf numFmtId="179" fontId="19" fillId="2" borderId="60" xfId="403" applyNumberFormat="1" applyFont="1" applyFill="1" applyBorder="1" applyAlignment="1">
      <alignment horizontal="center" vertical="center"/>
    </xf>
    <xf numFmtId="179" fontId="19" fillId="0" borderId="60" xfId="403" applyNumberFormat="1" applyFont="1" applyBorder="1" applyAlignment="1">
      <alignment horizontal="right" vertical="center"/>
    </xf>
    <xf numFmtId="179" fontId="19" fillId="0" borderId="60" xfId="403" applyNumberFormat="1" applyFont="1" applyBorder="1" applyAlignment="1">
      <alignment vertical="center"/>
    </xf>
    <xf numFmtId="3" fontId="140" fillId="0" borderId="0" xfId="18" applyNumberFormat="1" applyFont="1" applyAlignment="1">
      <alignment vertical="center"/>
    </xf>
    <xf numFmtId="49" fontId="19" fillId="2" borderId="16" xfId="18" applyNumberFormat="1" applyFont="1" applyFill="1" applyBorder="1" applyAlignment="1">
      <alignment vertical="center" wrapText="1"/>
    </xf>
    <xf numFmtId="179" fontId="140" fillId="0" borderId="60" xfId="403" applyNumberFormat="1" applyFont="1" applyBorder="1" applyAlignment="1">
      <alignment horizontal="right" vertical="center"/>
    </xf>
    <xf numFmtId="179" fontId="20" fillId="0" borderId="60" xfId="403" applyNumberFormat="1" applyFont="1" applyBorder="1" applyAlignment="1">
      <alignment vertical="center"/>
    </xf>
    <xf numFmtId="3" fontId="23" fillId="0" borderId="0" xfId="18" applyNumberFormat="1" applyFont="1" applyAlignment="1">
      <alignment vertical="center"/>
    </xf>
    <xf numFmtId="179" fontId="11" fillId="0" borderId="60" xfId="403" applyNumberFormat="1" applyFont="1" applyBorder="1" applyAlignment="1">
      <alignment vertical="center"/>
    </xf>
    <xf numFmtId="49" fontId="11" fillId="0" borderId="14" xfId="18" applyNumberFormat="1" applyFont="1" applyBorder="1" applyAlignment="1">
      <alignment horizontal="center" vertical="center"/>
    </xf>
    <xf numFmtId="49" fontId="19" fillId="0" borderId="16" xfId="18" applyNumberFormat="1" applyFont="1" applyBorder="1" applyAlignment="1">
      <alignment horizontal="left" vertical="center" wrapText="1"/>
    </xf>
    <xf numFmtId="3" fontId="19" fillId="0" borderId="0" xfId="18" applyNumberFormat="1" applyFont="1" applyAlignment="1">
      <alignment vertical="center"/>
    </xf>
    <xf numFmtId="49" fontId="4" fillId="0" borderId="60" xfId="18" applyNumberFormat="1" applyFont="1" applyBorder="1" applyAlignment="1">
      <alignment horizontal="left" vertical="center" wrapText="1"/>
    </xf>
    <xf numFmtId="0" fontId="4" fillId="0" borderId="0" xfId="18" applyFont="1" applyAlignment="1">
      <alignment horizontal="justify" vertical="center"/>
    </xf>
    <xf numFmtId="49" fontId="4" fillId="0" borderId="13" xfId="18" applyNumberFormat="1" applyFont="1" applyBorder="1" applyAlignment="1">
      <alignment horizontal="center" vertical="center"/>
    </xf>
    <xf numFmtId="49" fontId="4" fillId="0" borderId="61" xfId="18" applyNumberFormat="1" applyFont="1" applyBorder="1" applyAlignment="1">
      <alignment horizontal="center" vertical="center"/>
    </xf>
    <xf numFmtId="49" fontId="189" fillId="2" borderId="72" xfId="18" applyNumberFormat="1" applyFont="1" applyFill="1" applyBorder="1" applyAlignment="1">
      <alignment horizontal="justify" vertical="center" wrapText="1"/>
    </xf>
    <xf numFmtId="49" fontId="4" fillId="0" borderId="72" xfId="18" applyNumberFormat="1" applyFont="1" applyBorder="1" applyAlignment="1">
      <alignment horizontal="justify" vertical="center" wrapText="1"/>
    </xf>
    <xf numFmtId="49" fontId="4" fillId="0" borderId="0" xfId="18" applyNumberFormat="1" applyFont="1" applyAlignment="1">
      <alignment horizontal="justify" vertical="center" wrapText="1"/>
    </xf>
    <xf numFmtId="0" fontId="4" fillId="0" borderId="0" xfId="18" applyFont="1" applyAlignment="1">
      <alignment horizontal="center" vertical="center"/>
    </xf>
    <xf numFmtId="3" fontId="190" fillId="2" borderId="0" xfId="18" applyNumberFormat="1" applyFont="1" applyFill="1" applyAlignment="1">
      <alignment vertical="center"/>
    </xf>
    <xf numFmtId="43" fontId="11" fillId="0" borderId="0" xfId="403" applyFont="1" applyFill="1" applyAlignment="1">
      <alignment vertical="center"/>
    </xf>
    <xf numFmtId="0" fontId="190" fillId="2" borderId="0" xfId="18" applyFont="1" applyFill="1" applyAlignment="1">
      <alignment horizontal="center" vertical="center"/>
    </xf>
    <xf numFmtId="0" fontId="190" fillId="2" borderId="0" xfId="18" applyFont="1" applyFill="1" applyAlignment="1">
      <alignment vertical="center"/>
    </xf>
    <xf numFmtId="43" fontId="4" fillId="0" borderId="0" xfId="403" applyFont="1" applyFill="1" applyAlignment="1">
      <alignment horizontal="center" vertical="center"/>
    </xf>
    <xf numFmtId="0" fontId="11" fillId="0" borderId="0" xfId="18" applyFont="1" applyAlignment="1">
      <alignment horizontal="left" vertical="center" wrapText="1"/>
    </xf>
    <xf numFmtId="43" fontId="11" fillId="0" borderId="0" xfId="403" applyFont="1" applyAlignment="1">
      <alignment horizontal="center" vertical="center"/>
    </xf>
    <xf numFmtId="0" fontId="11" fillId="0" borderId="0" xfId="18" applyFont="1" applyAlignment="1">
      <alignment horizontal="left" vertical="center"/>
    </xf>
    <xf numFmtId="43" fontId="4" fillId="0" borderId="0" xfId="403" applyFont="1" applyFill="1" applyAlignment="1">
      <alignment vertical="center"/>
    </xf>
    <xf numFmtId="3" fontId="163" fillId="0" borderId="0" xfId="18" applyNumberFormat="1" applyFont="1" applyAlignment="1">
      <alignment vertical="center"/>
    </xf>
    <xf numFmtId="0" fontId="163" fillId="0" borderId="0" xfId="18" applyFont="1" applyAlignment="1">
      <alignment vertical="center"/>
    </xf>
    <xf numFmtId="0" fontId="163" fillId="2" borderId="0" xfId="18" applyFont="1" applyFill="1" applyAlignment="1">
      <alignment vertical="center"/>
    </xf>
    <xf numFmtId="3" fontId="116" fillId="0" borderId="60" xfId="403" applyNumberFormat="1" applyFont="1" applyFill="1" applyBorder="1" applyAlignment="1">
      <alignment horizontal="right" vertical="center"/>
    </xf>
    <xf numFmtId="3" fontId="116" fillId="0" borderId="60" xfId="403" applyNumberFormat="1" applyFont="1" applyFill="1" applyBorder="1" applyAlignment="1">
      <alignment vertical="center" shrinkToFit="1"/>
    </xf>
    <xf numFmtId="0" fontId="116" fillId="0" borderId="60" xfId="401" applyFont="1" applyBorder="1" applyAlignment="1">
      <alignment horizontal="center" vertical="center" wrapText="1"/>
    </xf>
    <xf numFmtId="3" fontId="119" fillId="0" borderId="60" xfId="403" applyNumberFormat="1" applyFont="1" applyFill="1" applyBorder="1" applyAlignment="1">
      <alignment horizontal="right" vertical="center"/>
    </xf>
    <xf numFmtId="3" fontId="119" fillId="0" borderId="60" xfId="403" applyNumberFormat="1" applyFont="1" applyFill="1" applyBorder="1" applyAlignment="1">
      <alignment vertical="center" shrinkToFit="1"/>
    </xf>
    <xf numFmtId="0" fontId="119" fillId="0" borderId="60" xfId="401" applyFont="1" applyBorder="1" applyAlignment="1">
      <alignment horizontal="center" vertical="center" wrapText="1"/>
    </xf>
    <xf numFmtId="0" fontId="23" fillId="0" borderId="60" xfId="401" quotePrefix="1" applyFont="1" applyBorder="1" applyAlignment="1">
      <alignment horizontal="justify" vertical="center" wrapText="1"/>
    </xf>
    <xf numFmtId="222" fontId="141" fillId="0" borderId="60" xfId="404" quotePrefix="1" applyNumberFormat="1" applyFont="1" applyBorder="1" applyAlignment="1">
      <alignment vertical="center" wrapText="1"/>
    </xf>
    <xf numFmtId="3" fontId="177" fillId="0" borderId="0" xfId="401" applyNumberFormat="1" applyFont="1" applyAlignment="1">
      <alignment vertical="center"/>
    </xf>
    <xf numFmtId="3" fontId="191" fillId="0" borderId="60" xfId="403" applyNumberFormat="1" applyFont="1" applyFill="1" applyBorder="1" applyAlignment="1">
      <alignment horizontal="right" vertical="center"/>
    </xf>
    <xf numFmtId="3" fontId="192" fillId="0" borderId="60" xfId="403" applyNumberFormat="1" applyFont="1" applyFill="1" applyBorder="1" applyAlignment="1">
      <alignment horizontal="right" vertical="center"/>
    </xf>
    <xf numFmtId="0" fontId="193" fillId="0" borderId="60" xfId="401" applyFont="1" applyBorder="1" applyAlignment="1">
      <alignment horizontal="center" vertical="center"/>
    </xf>
    <xf numFmtId="0" fontId="193" fillId="0" borderId="60" xfId="401" applyFont="1" applyBorder="1" applyAlignment="1">
      <alignment horizontal="justify" vertical="center" wrapText="1"/>
    </xf>
    <xf numFmtId="3" fontId="192" fillId="0" borderId="60" xfId="403" applyNumberFormat="1" applyFont="1" applyFill="1" applyBorder="1" applyAlignment="1">
      <alignment vertical="center" shrinkToFit="1"/>
    </xf>
    <xf numFmtId="0" fontId="192" fillId="0" borderId="60" xfId="401" applyFont="1" applyBorder="1" applyAlignment="1">
      <alignment horizontal="center" vertical="center" wrapText="1"/>
    </xf>
    <xf numFmtId="3" fontId="194" fillId="0" borderId="60" xfId="403" applyNumberFormat="1" applyFont="1" applyFill="1" applyBorder="1" applyAlignment="1">
      <alignment vertical="center" shrinkToFit="1"/>
    </xf>
    <xf numFmtId="3" fontId="195" fillId="0" borderId="60" xfId="403" applyNumberFormat="1" applyFont="1" applyFill="1" applyBorder="1" applyAlignment="1">
      <alignment horizontal="right" vertical="center"/>
    </xf>
    <xf numFmtId="0" fontId="196" fillId="0" borderId="60" xfId="401" applyFont="1" applyBorder="1" applyAlignment="1">
      <alignment horizontal="center" vertical="center"/>
    </xf>
    <xf numFmtId="0" fontId="196" fillId="0" borderId="60" xfId="401" applyFont="1" applyBorder="1" applyAlignment="1">
      <alignment horizontal="justify" vertical="center" wrapText="1"/>
    </xf>
    <xf numFmtId="3" fontId="194" fillId="0" borderId="60" xfId="403" applyNumberFormat="1" applyFont="1" applyFill="1" applyBorder="1" applyAlignment="1">
      <alignment horizontal="right" vertical="center"/>
    </xf>
    <xf numFmtId="0" fontId="194" fillId="0" borderId="60" xfId="401" applyFont="1" applyBorder="1" applyAlignment="1">
      <alignment vertical="center" wrapText="1"/>
    </xf>
    <xf numFmtId="3" fontId="194" fillId="32" borderId="60" xfId="403" applyNumberFormat="1" applyFont="1" applyFill="1" applyBorder="1" applyAlignment="1">
      <alignment horizontal="right" vertical="center"/>
    </xf>
    <xf numFmtId="3" fontId="194" fillId="32" borderId="60" xfId="403" applyNumberFormat="1" applyFont="1" applyFill="1" applyBorder="1" applyAlignment="1">
      <alignment vertical="center" shrinkToFit="1"/>
    </xf>
    <xf numFmtId="0" fontId="11" fillId="0" borderId="11" xfId="401" applyFont="1" applyBorder="1" applyAlignment="1">
      <alignment horizontal="center" vertical="center" wrapText="1"/>
    </xf>
    <xf numFmtId="0" fontId="123" fillId="0" borderId="60" xfId="401" applyFont="1" applyBorder="1" applyAlignment="1">
      <alignment horizontal="center" vertical="center" wrapText="1"/>
    </xf>
    <xf numFmtId="3" fontId="4" fillId="0" borderId="60" xfId="0" applyNumberFormat="1" applyFont="1" applyBorder="1" applyAlignment="1">
      <alignment horizontal="left" vertical="center" shrinkToFit="1"/>
    </xf>
    <xf numFmtId="3" fontId="4" fillId="2" borderId="60" xfId="0" applyNumberFormat="1" applyFont="1" applyFill="1" applyBorder="1" applyAlignment="1">
      <alignment horizontal="right" vertical="center" shrinkToFit="1"/>
    </xf>
    <xf numFmtId="3" fontId="23" fillId="2" borderId="60" xfId="0" applyNumberFormat="1" applyFont="1" applyFill="1" applyBorder="1" applyAlignment="1">
      <alignment horizontal="right" vertical="center" shrinkToFit="1"/>
    </xf>
    <xf numFmtId="3" fontId="11" fillId="2" borderId="60" xfId="0" applyNumberFormat="1" applyFont="1" applyFill="1" applyBorder="1" applyAlignment="1">
      <alignment horizontal="right" vertical="center" shrinkToFit="1"/>
    </xf>
    <xf numFmtId="3" fontId="4" fillId="0" borderId="60" xfId="403" applyNumberFormat="1" applyFont="1" applyFill="1" applyBorder="1" applyAlignment="1">
      <alignment horizontal="right" vertical="center" shrinkToFit="1"/>
    </xf>
    <xf numFmtId="3" fontId="11" fillId="2" borderId="60" xfId="406" applyNumberFormat="1" applyFont="1" applyFill="1" applyBorder="1" applyAlignment="1">
      <alignment horizontal="right" vertical="center" shrinkToFit="1"/>
    </xf>
    <xf numFmtId="0" fontId="117" fillId="0" borderId="0" xfId="401" applyFont="1" applyAlignment="1">
      <alignment horizontal="center" vertical="center"/>
    </xf>
    <xf numFmtId="0" fontId="112" fillId="0" borderId="0" xfId="401" applyFont="1" applyAlignment="1">
      <alignment vertical="center"/>
    </xf>
    <xf numFmtId="0" fontId="112" fillId="0" borderId="0" xfId="401" applyFont="1" applyAlignment="1">
      <alignment vertical="center" wrapText="1"/>
    </xf>
    <xf numFmtId="0" fontId="186" fillId="0" borderId="0" xfId="401" applyFont="1" applyAlignment="1">
      <alignment horizontal="center" vertical="center" wrapText="1"/>
    </xf>
    <xf numFmtId="0" fontId="125" fillId="0" borderId="0" xfId="401" applyFont="1" applyAlignment="1">
      <alignment vertical="center"/>
    </xf>
    <xf numFmtId="0" fontId="113" fillId="0" borderId="0" xfId="401" applyFont="1" applyAlignment="1">
      <alignment vertical="center"/>
    </xf>
    <xf numFmtId="3" fontId="113" fillId="0" borderId="60" xfId="401" applyNumberFormat="1" applyFont="1" applyBorder="1" applyAlignment="1">
      <alignment vertical="center"/>
    </xf>
    <xf numFmtId="0" fontId="116" fillId="0" borderId="0" xfId="401" applyFont="1" applyAlignment="1">
      <alignment vertical="center"/>
    </xf>
    <xf numFmtId="0" fontId="119" fillId="0" borderId="0" xfId="401" applyFont="1" applyAlignment="1">
      <alignment vertical="center"/>
    </xf>
    <xf numFmtId="0" fontId="112" fillId="0" borderId="133" xfId="401" applyFont="1" applyBorder="1" applyAlignment="1">
      <alignment vertical="center"/>
    </xf>
    <xf numFmtId="0" fontId="117" fillId="0" borderId="0" xfId="401" applyFont="1" applyAlignment="1">
      <alignment vertical="center"/>
    </xf>
    <xf numFmtId="0" fontId="4" fillId="0" borderId="13" xfId="401" applyFont="1" applyBorder="1" applyAlignment="1">
      <alignment horizontal="justify" vertical="center" wrapText="1"/>
    </xf>
    <xf numFmtId="3" fontId="19" fillId="0" borderId="60" xfId="0" applyNumberFormat="1" applyFont="1" applyBorder="1" applyAlignment="1">
      <alignment horizontal="center" vertical="center" shrinkToFit="1"/>
    </xf>
    <xf numFmtId="3" fontId="19" fillId="0" borderId="60" xfId="0" applyNumberFormat="1" applyFont="1" applyBorder="1" applyAlignment="1">
      <alignment horizontal="justify" vertical="center" wrapText="1" shrinkToFit="1"/>
    </xf>
    <xf numFmtId="167" fontId="16" fillId="0" borderId="60" xfId="0" applyNumberFormat="1" applyFont="1" applyBorder="1" applyAlignment="1">
      <alignment vertical="center" shrinkToFit="1"/>
    </xf>
    <xf numFmtId="3" fontId="117" fillId="0" borderId="0" xfId="401" applyNumberFormat="1" applyFont="1"/>
    <xf numFmtId="173" fontId="122" fillId="0" borderId="0" xfId="3" applyNumberFormat="1" applyFont="1"/>
    <xf numFmtId="10" fontId="122" fillId="0" borderId="0" xfId="3" applyNumberFormat="1" applyFont="1"/>
    <xf numFmtId="0" fontId="14" fillId="0" borderId="11" xfId="0" applyFont="1" applyBorder="1" applyAlignment="1">
      <alignment horizontal="center" vertical="center"/>
    </xf>
    <xf numFmtId="3" fontId="14" fillId="0" borderId="11" xfId="0" applyNumberFormat="1" applyFont="1" applyBorder="1" applyAlignment="1">
      <alignment horizontal="center" vertical="center" wrapText="1"/>
    </xf>
    <xf numFmtId="0" fontId="14" fillId="0" borderId="11" xfId="0" applyFont="1" applyBorder="1" applyAlignment="1">
      <alignment horizontal="center"/>
    </xf>
    <xf numFmtId="3" fontId="4" fillId="0" borderId="60" xfId="0" applyNumberFormat="1" applyFont="1" applyBorder="1" applyAlignment="1">
      <alignment horizontal="center" vertical="center" shrinkToFit="1"/>
    </xf>
    <xf numFmtId="171" fontId="14" fillId="0" borderId="58" xfId="0" applyNumberFormat="1" applyFont="1" applyBorder="1"/>
    <xf numFmtId="171" fontId="14" fillId="0" borderId="60" xfId="0" applyNumberFormat="1" applyFont="1" applyBorder="1"/>
    <xf numFmtId="171" fontId="17" fillId="0" borderId="60" xfId="0" applyNumberFormat="1" applyFont="1" applyBorder="1"/>
    <xf numFmtId="171" fontId="21" fillId="0" borderId="60" xfId="0" applyNumberFormat="1" applyFont="1" applyBorder="1"/>
    <xf numFmtId="3" fontId="21" fillId="0" borderId="13" xfId="0" applyNumberFormat="1" applyFont="1" applyBorder="1" applyAlignment="1">
      <alignment shrinkToFit="1"/>
    </xf>
    <xf numFmtId="0" fontId="115" fillId="0" borderId="60" xfId="0" applyFont="1" applyBorder="1" applyAlignment="1">
      <alignment vertical="center" shrinkToFit="1"/>
    </xf>
    <xf numFmtId="0" fontId="14" fillId="0" borderId="58" xfId="0" applyFont="1" applyBorder="1" applyAlignment="1">
      <alignment horizontal="center" vertical="center"/>
    </xf>
    <xf numFmtId="3" fontId="4" fillId="0" borderId="60" xfId="0" applyNumberFormat="1" applyFont="1" applyBorder="1" applyAlignment="1">
      <alignment horizontal="justify" vertical="justify" wrapText="1" shrinkToFit="1"/>
    </xf>
    <xf numFmtId="0" fontId="164" fillId="0" borderId="60" xfId="0" applyFont="1" applyBorder="1" applyAlignment="1">
      <alignment horizontal="center" vertical="center" wrapText="1"/>
    </xf>
    <xf numFmtId="0" fontId="164" fillId="0" borderId="60" xfId="0" applyFont="1" applyBorder="1" applyAlignment="1">
      <alignment vertical="center" wrapText="1"/>
    </xf>
    <xf numFmtId="0" fontId="165" fillId="0" borderId="60" xfId="0" applyFont="1" applyBorder="1" applyAlignment="1">
      <alignment horizontal="center" vertical="center" wrapText="1"/>
    </xf>
    <xf numFmtId="0" fontId="165" fillId="0" borderId="60" xfId="0" applyFont="1" applyBorder="1" applyAlignment="1">
      <alignment vertical="center" wrapText="1"/>
    </xf>
    <xf numFmtId="3" fontId="14" fillId="0" borderId="60" xfId="0" applyNumberFormat="1" applyFont="1" applyBorder="1" applyAlignment="1">
      <alignment horizontal="center" vertical="center" wrapText="1" shrinkToFit="1"/>
    </xf>
    <xf numFmtId="3" fontId="14" fillId="0" borderId="60" xfId="0" applyNumberFormat="1" applyFont="1" applyBorder="1" applyAlignment="1">
      <alignment horizontal="justify" vertical="justify" wrapText="1" shrinkToFit="1"/>
    </xf>
    <xf numFmtId="3" fontId="17" fillId="0" borderId="60" xfId="0" applyNumberFormat="1" applyFont="1" applyBorder="1" applyAlignment="1">
      <alignment horizontal="center" vertical="center" wrapText="1" shrinkToFit="1"/>
    </xf>
    <xf numFmtId="3" fontId="17" fillId="0" borderId="60" xfId="0" applyNumberFormat="1" applyFont="1" applyBorder="1" applyAlignment="1">
      <alignment horizontal="justify" vertical="justify" wrapText="1" shrinkToFit="1"/>
    </xf>
    <xf numFmtId="0" fontId="165" fillId="0" borderId="60" xfId="0" applyFont="1" applyBorder="1" applyAlignment="1">
      <alignment vertical="center" shrinkToFit="1"/>
    </xf>
    <xf numFmtId="0" fontId="165" fillId="0" borderId="13" xfId="0" applyFont="1" applyBorder="1" applyAlignment="1">
      <alignment horizontal="center" vertical="center" wrapText="1"/>
    </xf>
    <xf numFmtId="0" fontId="165" fillId="0" borderId="13" xfId="0" applyFont="1" applyBorder="1" applyAlignment="1">
      <alignment vertical="center" shrinkToFit="1"/>
    </xf>
    <xf numFmtId="3" fontId="116" fillId="0" borderId="60" xfId="0" applyNumberFormat="1" applyFont="1" applyBorder="1" applyAlignment="1">
      <alignment shrinkToFit="1"/>
    </xf>
    <xf numFmtId="173" fontId="14" fillId="0" borderId="58" xfId="0" applyNumberFormat="1" applyFont="1" applyBorder="1" applyAlignment="1">
      <alignment shrinkToFit="1"/>
    </xf>
    <xf numFmtId="173" fontId="14" fillId="0" borderId="60" xfId="0" applyNumberFormat="1" applyFont="1" applyBorder="1" applyAlignment="1">
      <alignment shrinkToFit="1"/>
    </xf>
    <xf numFmtId="173" fontId="17" fillId="0" borderId="60" xfId="0" applyNumberFormat="1" applyFont="1" applyBorder="1" applyAlignment="1">
      <alignment shrinkToFit="1"/>
    </xf>
    <xf numFmtId="173" fontId="163" fillId="0" borderId="60" xfId="0" applyNumberFormat="1" applyFont="1" applyBorder="1" applyAlignment="1">
      <alignment shrinkToFit="1"/>
    </xf>
    <xf numFmtId="173" fontId="162" fillId="0" borderId="60" xfId="0" applyNumberFormat="1" applyFont="1" applyBorder="1" applyAlignment="1">
      <alignment shrinkToFit="1"/>
    </xf>
    <xf numFmtId="173" fontId="162" fillId="0" borderId="13" xfId="0" applyNumberFormat="1" applyFont="1" applyBorder="1" applyAlignment="1">
      <alignment shrinkToFit="1"/>
    </xf>
    <xf numFmtId="173" fontId="14" fillId="0" borderId="13" xfId="0" applyNumberFormat="1" applyFont="1" applyBorder="1" applyAlignment="1">
      <alignment shrinkToFit="1"/>
    </xf>
    <xf numFmtId="171" fontId="14" fillId="0" borderId="58" xfId="0" applyNumberFormat="1" applyFont="1" applyBorder="1" applyAlignment="1">
      <alignment shrinkToFit="1"/>
    </xf>
    <xf numFmtId="171" fontId="14" fillId="0" borderId="13" xfId="0" applyNumberFormat="1" applyFont="1" applyBorder="1" applyAlignment="1">
      <alignment shrinkToFit="1"/>
    </xf>
    <xf numFmtId="3" fontId="113" fillId="0" borderId="60" xfId="0" applyNumberFormat="1" applyFont="1" applyBorder="1" applyAlignment="1">
      <alignment shrinkToFit="1"/>
    </xf>
    <xf numFmtId="0" fontId="123" fillId="27" borderId="11" xfId="0"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vertical="center"/>
    </xf>
    <xf numFmtId="0" fontId="113" fillId="27" borderId="11" xfId="0" applyFont="1" applyFill="1" applyBorder="1" applyAlignment="1">
      <alignment horizontal="center"/>
    </xf>
    <xf numFmtId="3" fontId="133" fillId="27" borderId="11" xfId="0" applyNumberFormat="1" applyFont="1" applyFill="1" applyBorder="1" applyAlignment="1">
      <alignment vertical="center" shrinkToFit="1"/>
    </xf>
    <xf numFmtId="3" fontId="113" fillId="27" borderId="58" xfId="0" applyNumberFormat="1" applyFont="1" applyFill="1" applyBorder="1" applyAlignment="1">
      <alignment vertical="center" shrinkToFit="1"/>
    </xf>
    <xf numFmtId="3" fontId="112" fillId="27" borderId="60" xfId="0" applyNumberFormat="1" applyFont="1" applyFill="1" applyBorder="1" applyAlignment="1">
      <alignment shrinkToFit="1"/>
    </xf>
    <xf numFmtId="3" fontId="112" fillId="27" borderId="60" xfId="1" applyNumberFormat="1" applyFont="1" applyFill="1" applyBorder="1" applyAlignment="1">
      <alignment vertical="center" shrinkToFit="1"/>
    </xf>
    <xf numFmtId="3" fontId="119" fillId="0" borderId="60" xfId="0" applyNumberFormat="1" applyFont="1" applyBorder="1" applyAlignment="1">
      <alignment vertical="center" shrinkToFit="1"/>
    </xf>
    <xf numFmtId="0" fontId="112" fillId="27" borderId="60" xfId="0" applyFont="1" applyFill="1" applyBorder="1" applyAlignment="1">
      <alignment vertical="center" shrinkToFit="1"/>
    </xf>
    <xf numFmtId="0" fontId="113" fillId="27" borderId="60" xfId="0" applyFont="1" applyFill="1" applyBorder="1" applyAlignment="1">
      <alignment shrinkToFit="1"/>
    </xf>
    <xf numFmtId="3" fontId="113" fillId="27" borderId="60" xfId="0" applyNumberFormat="1" applyFont="1" applyFill="1" applyBorder="1" applyAlignment="1">
      <alignment shrinkToFit="1"/>
    </xf>
    <xf numFmtId="3" fontId="133" fillId="27" borderId="13" xfId="0" applyNumberFormat="1" applyFont="1" applyFill="1" applyBorder="1" applyAlignment="1">
      <alignment vertical="center" shrinkToFit="1"/>
    </xf>
    <xf numFmtId="3" fontId="112" fillId="0" borderId="60" xfId="0" applyNumberFormat="1" applyFont="1" applyBorder="1" applyAlignment="1">
      <alignment shrinkToFit="1"/>
    </xf>
    <xf numFmtId="0" fontId="11" fillId="0" borderId="11" xfId="0" applyFont="1" applyBorder="1" applyAlignment="1">
      <alignment horizontal="center" vertical="center"/>
    </xf>
    <xf numFmtId="0" fontId="11" fillId="0" borderId="11" xfId="0" applyFont="1" applyBorder="1" applyAlignment="1">
      <alignment horizontal="center"/>
    </xf>
    <xf numFmtId="0" fontId="21" fillId="0" borderId="2" xfId="0" applyFont="1" applyBorder="1" applyAlignment="1">
      <alignment horizontal="center"/>
    </xf>
    <xf numFmtId="0" fontId="12" fillId="0" borderId="58" xfId="0" applyFont="1" applyBorder="1" applyAlignment="1">
      <alignment vertical="center" shrinkToFit="1"/>
    </xf>
    <xf numFmtId="3" fontId="21" fillId="27" borderId="58" xfId="0" applyNumberFormat="1" applyFont="1" applyFill="1" applyBorder="1" applyAlignment="1">
      <alignment vertical="center" shrinkToFit="1"/>
    </xf>
    <xf numFmtId="0" fontId="11" fillId="0" borderId="4" xfId="0" applyFont="1" applyBorder="1" applyAlignment="1">
      <alignment horizontal="center" vertical="center"/>
    </xf>
    <xf numFmtId="3" fontId="14" fillId="27" borderId="60" xfId="0" applyNumberFormat="1" applyFont="1" applyFill="1" applyBorder="1" applyAlignment="1">
      <alignment vertical="center" shrinkToFit="1"/>
    </xf>
    <xf numFmtId="0" fontId="19" fillId="0" borderId="4" xfId="0" applyFont="1" applyBorder="1" applyAlignment="1">
      <alignment horizontal="center" vertical="center"/>
    </xf>
    <xf numFmtId="3" fontId="16" fillId="27" borderId="60" xfId="1" applyNumberFormat="1" applyFont="1" applyFill="1" applyBorder="1" applyAlignment="1">
      <alignment vertical="center" shrinkToFit="1"/>
    </xf>
    <xf numFmtId="0" fontId="19" fillId="0" borderId="60" xfId="0" applyFont="1" applyBorder="1" applyAlignment="1">
      <alignment horizontal="left" vertical="center" shrinkToFit="1"/>
    </xf>
    <xf numFmtId="3" fontId="16" fillId="0" borderId="60" xfId="1" applyNumberFormat="1" applyFont="1" applyFill="1" applyBorder="1" applyAlignment="1">
      <alignment vertical="center" shrinkToFit="1"/>
    </xf>
    <xf numFmtId="3" fontId="4" fillId="0" borderId="4" xfId="0" applyNumberFormat="1" applyFont="1" applyBorder="1" applyAlignment="1">
      <alignment horizontal="center" vertical="center" shrinkToFit="1"/>
    </xf>
    <xf numFmtId="3" fontId="17" fillId="27" borderId="60" xfId="0" applyNumberFormat="1" applyFont="1" applyFill="1" applyBorder="1" applyAlignment="1">
      <alignment vertical="center" shrinkToFit="1"/>
    </xf>
    <xf numFmtId="0" fontId="12" fillId="0" borderId="4" xfId="0" applyFont="1" applyBorder="1" applyAlignment="1">
      <alignment horizontal="center" vertical="center"/>
    </xf>
    <xf numFmtId="0" fontId="12" fillId="0" borderId="60" xfId="0" applyFont="1" applyBorder="1" applyAlignment="1">
      <alignment vertical="center" shrinkToFit="1"/>
    </xf>
    <xf numFmtId="3" fontId="21" fillId="27" borderId="60" xfId="0" applyNumberFormat="1" applyFont="1" applyFill="1" applyBorder="1" applyAlignment="1">
      <alignment vertical="center" shrinkToFit="1"/>
    </xf>
    <xf numFmtId="0" fontId="4" fillId="0" borderId="4" xfId="0" applyFont="1" applyBorder="1" applyAlignment="1">
      <alignment horizontal="center" vertical="center"/>
    </xf>
    <xf numFmtId="0" fontId="11" fillId="6" borderId="4" xfId="0" applyFont="1" applyFill="1" applyBorder="1" applyAlignment="1">
      <alignment horizontal="center" vertical="center"/>
    </xf>
    <xf numFmtId="0" fontId="11" fillId="6" borderId="60" xfId="0" applyFont="1" applyFill="1" applyBorder="1" applyAlignment="1">
      <alignment vertical="center" shrinkToFit="1"/>
    </xf>
    <xf numFmtId="3" fontId="11" fillId="0" borderId="60" xfId="0" applyNumberFormat="1" applyFont="1" applyBorder="1" applyAlignment="1">
      <alignment wrapText="1" shrinkToFit="1"/>
    </xf>
    <xf numFmtId="0" fontId="11" fillId="0" borderId="4" xfId="0" applyFont="1" applyBorder="1" applyAlignment="1">
      <alignment horizontal="center" vertical="center" shrinkToFit="1"/>
    </xf>
    <xf numFmtId="3" fontId="11" fillId="0" borderId="60" xfId="0" applyNumberFormat="1" applyFont="1" applyBorder="1" applyAlignment="1">
      <alignment vertical="center" wrapText="1"/>
    </xf>
    <xf numFmtId="0" fontId="14" fillId="0" borderId="60" xfId="0" applyFont="1" applyBorder="1" applyAlignment="1">
      <alignment vertical="center" shrinkToFit="1"/>
    </xf>
    <xf numFmtId="0" fontId="12" fillId="0" borderId="5" xfId="0" applyFont="1" applyBorder="1" applyAlignment="1">
      <alignment horizontal="center" vertical="center"/>
    </xf>
    <xf numFmtId="0" fontId="12" fillId="0" borderId="6" xfId="0" applyFont="1" applyBorder="1" applyAlignment="1">
      <alignment horizontal="center" vertical="center" shrinkToFit="1"/>
    </xf>
    <xf numFmtId="3" fontId="21" fillId="0" borderId="6" xfId="0" applyNumberFormat="1" applyFont="1" applyBorder="1" applyAlignment="1">
      <alignment vertical="center" shrinkToFit="1"/>
    </xf>
    <xf numFmtId="0" fontId="133" fillId="27" borderId="11" xfId="0" applyFont="1" applyFill="1" applyBorder="1" applyAlignment="1">
      <alignment horizontal="center" vertical="center"/>
    </xf>
    <xf numFmtId="0" fontId="199" fillId="27" borderId="11" xfId="0" applyFont="1" applyFill="1" applyBorder="1" applyAlignment="1">
      <alignment vertical="center" shrinkToFit="1"/>
    </xf>
    <xf numFmtId="0" fontId="200" fillId="27" borderId="58" xfId="0" applyFont="1" applyFill="1" applyBorder="1" applyAlignment="1">
      <alignment horizontal="center" vertical="center" shrinkToFit="1"/>
    </xf>
    <xf numFmtId="0" fontId="200" fillId="27" borderId="58" xfId="0" applyFont="1" applyFill="1" applyBorder="1" applyAlignment="1">
      <alignment vertical="center" shrinkToFit="1"/>
    </xf>
    <xf numFmtId="3" fontId="112" fillId="0" borderId="58" xfId="0" applyNumberFormat="1" applyFont="1" applyBorder="1" applyAlignment="1">
      <alignment vertical="center" shrinkToFit="1"/>
    </xf>
    <xf numFmtId="0" fontId="123" fillId="27" borderId="60" xfId="0" applyFont="1" applyFill="1" applyBorder="1" applyAlignment="1">
      <alignment horizontal="center" vertical="center" shrinkToFit="1"/>
    </xf>
    <xf numFmtId="0" fontId="123" fillId="27" borderId="60" xfId="0" applyFont="1" applyFill="1" applyBorder="1" applyAlignment="1">
      <alignment vertical="center" shrinkToFit="1"/>
    </xf>
    <xf numFmtId="0" fontId="177" fillId="27" borderId="60" xfId="0" applyFont="1" applyFill="1" applyBorder="1" applyAlignment="1">
      <alignment horizontal="center" vertical="center" shrinkToFit="1"/>
    </xf>
    <xf numFmtId="0" fontId="177" fillId="27" borderId="60" xfId="0" applyFont="1" applyFill="1" applyBorder="1" applyAlignment="1">
      <alignment vertical="center" shrinkToFit="1"/>
    </xf>
    <xf numFmtId="3" fontId="125" fillId="0" borderId="60" xfId="0" applyNumberFormat="1" applyFont="1" applyBorder="1" applyAlignment="1">
      <alignment vertical="center" shrinkToFit="1"/>
    </xf>
    <xf numFmtId="0" fontId="177" fillId="27" borderId="60" xfId="0" applyFont="1" applyFill="1" applyBorder="1" applyAlignment="1">
      <alignment horizontal="left" vertical="center" shrinkToFit="1"/>
    </xf>
    <xf numFmtId="3" fontId="125" fillId="0" borderId="60" xfId="0" applyNumberFormat="1" applyFont="1" applyBorder="1" applyAlignment="1">
      <alignment shrinkToFit="1"/>
    </xf>
    <xf numFmtId="3" fontId="117" fillId="27" borderId="60" xfId="0" applyNumberFormat="1" applyFont="1" applyFill="1" applyBorder="1" applyAlignment="1">
      <alignment horizontal="center" vertical="center" shrinkToFit="1"/>
    </xf>
    <xf numFmtId="3" fontId="117" fillId="27" borderId="60" xfId="0" applyNumberFormat="1" applyFont="1" applyFill="1" applyBorder="1" applyAlignment="1">
      <alignment horizontal="justify" vertical="center" shrinkToFit="1"/>
    </xf>
    <xf numFmtId="3" fontId="117" fillId="27" borderId="60" xfId="0" applyNumberFormat="1" applyFont="1" applyFill="1" applyBorder="1" applyAlignment="1">
      <alignment vertical="center" shrinkToFit="1"/>
    </xf>
    <xf numFmtId="3" fontId="123" fillId="27" borderId="60" xfId="0" applyNumberFormat="1" applyFont="1" applyFill="1" applyBorder="1" applyAlignment="1">
      <alignment vertical="center" shrinkToFit="1"/>
    </xf>
    <xf numFmtId="0" fontId="199" fillId="27" borderId="60" xfId="0" applyFont="1" applyFill="1" applyBorder="1" applyAlignment="1">
      <alignment horizontal="center" vertical="center" shrinkToFit="1"/>
    </xf>
    <xf numFmtId="0" fontId="199" fillId="27" borderId="60" xfId="0" applyFont="1" applyFill="1" applyBorder="1" applyAlignment="1">
      <alignment vertical="center" shrinkToFit="1"/>
    </xf>
    <xf numFmtId="0" fontId="117" fillId="27" borderId="60" xfId="0" applyFont="1" applyFill="1" applyBorder="1" applyAlignment="1">
      <alignment horizontal="center" vertical="center" shrinkToFit="1"/>
    </xf>
    <xf numFmtId="0" fontId="117" fillId="27" borderId="60" xfId="0" applyFont="1" applyFill="1" applyBorder="1" applyAlignment="1">
      <alignment vertical="center" shrinkToFit="1"/>
    </xf>
    <xf numFmtId="0" fontId="117" fillId="0" borderId="60" xfId="0" applyFont="1" applyBorder="1" applyAlignment="1">
      <alignment horizontal="center" vertical="center" shrinkToFit="1"/>
    </xf>
    <xf numFmtId="0" fontId="123" fillId="27" borderId="60" xfId="0" applyFont="1" applyFill="1" applyBorder="1" applyAlignment="1">
      <alignment horizontal="center" shrinkToFit="1"/>
    </xf>
    <xf numFmtId="3" fontId="123" fillId="27" borderId="60" xfId="0" applyNumberFormat="1" applyFont="1" applyFill="1" applyBorder="1" applyAlignment="1">
      <alignment shrinkToFit="1"/>
    </xf>
    <xf numFmtId="0" fontId="123" fillId="27" borderId="60" xfId="0" applyFont="1" applyFill="1" applyBorder="1" applyAlignment="1">
      <alignment shrinkToFit="1"/>
    </xf>
    <xf numFmtId="0" fontId="199" fillId="27" borderId="13" xfId="0" applyFont="1" applyFill="1" applyBorder="1" applyAlignment="1">
      <alignment horizontal="center" vertical="center" shrinkToFit="1"/>
    </xf>
    <xf numFmtId="3" fontId="133" fillId="0" borderId="13" xfId="0" applyNumberFormat="1" applyFont="1" applyBorder="1" applyAlignment="1">
      <alignment vertical="center" shrinkToFit="1"/>
    </xf>
    <xf numFmtId="9" fontId="122" fillId="0" borderId="0" xfId="3" applyFont="1"/>
    <xf numFmtId="0" fontId="121" fillId="0" borderId="0" xfId="0" applyFont="1" applyAlignment="1">
      <alignment horizontal="center" vertical="center"/>
    </xf>
    <xf numFmtId="3" fontId="125" fillId="0" borderId="60" xfId="1" applyNumberFormat="1" applyFont="1" applyFill="1" applyBorder="1" applyAlignment="1">
      <alignment vertical="center" shrinkToFit="1"/>
    </xf>
    <xf numFmtId="0" fontId="121" fillId="0" borderId="18" xfId="0" applyFont="1" applyBorder="1" applyAlignment="1">
      <alignment horizontal="center"/>
    </xf>
    <xf numFmtId="0" fontId="129" fillId="0" borderId="2" xfId="0" applyFont="1" applyBorder="1" applyAlignment="1">
      <alignment horizontal="center"/>
    </xf>
    <xf numFmtId="3" fontId="133" fillId="0" borderId="58" xfId="0" applyNumberFormat="1" applyFont="1" applyBorder="1" applyAlignment="1">
      <alignment vertical="center" shrinkToFit="1"/>
    </xf>
    <xf numFmtId="3" fontId="133" fillId="0" borderId="19" xfId="0" applyNumberFormat="1" applyFont="1" applyBorder="1" applyAlignment="1">
      <alignment vertical="center" shrinkToFit="1"/>
    </xf>
    <xf numFmtId="0" fontId="131" fillId="0" borderId="0" xfId="0" applyFont="1"/>
    <xf numFmtId="3" fontId="122" fillId="0" borderId="20" xfId="0" applyNumberFormat="1" applyFont="1" applyBorder="1" applyAlignment="1">
      <alignment vertical="center" shrinkToFit="1"/>
    </xf>
    <xf numFmtId="3" fontId="113" fillId="0" borderId="20" xfId="0" applyNumberFormat="1" applyFont="1" applyBorder="1" applyAlignment="1">
      <alignment vertical="center" shrinkToFit="1"/>
    </xf>
    <xf numFmtId="3" fontId="121" fillId="0" borderId="20" xfId="0" applyNumberFormat="1" applyFont="1" applyBorder="1" applyAlignment="1">
      <alignment vertical="center" shrinkToFit="1"/>
    </xf>
    <xf numFmtId="3" fontId="135" fillId="0" borderId="20" xfId="0" applyNumberFormat="1" applyFont="1" applyBorder="1" applyAlignment="1">
      <alignment vertical="center" shrinkToFit="1"/>
    </xf>
    <xf numFmtId="0" fontId="135" fillId="0" borderId="0" xfId="0" applyFont="1"/>
    <xf numFmtId="3" fontId="125" fillId="0" borderId="20" xfId="1" applyNumberFormat="1" applyFont="1" applyFill="1" applyBorder="1" applyAlignment="1">
      <alignment vertical="center" shrinkToFit="1"/>
    </xf>
    <xf numFmtId="3" fontId="142" fillId="0" borderId="60" xfId="0" applyNumberFormat="1" applyFont="1" applyBorder="1" applyAlignment="1">
      <alignment vertical="center" shrinkToFit="1"/>
    </xf>
    <xf numFmtId="3" fontId="112" fillId="0" borderId="20" xfId="0" applyNumberFormat="1" applyFont="1" applyBorder="1" applyAlignment="1">
      <alignment vertical="center" shrinkToFit="1"/>
    </xf>
    <xf numFmtId="3" fontId="141" fillId="0" borderId="60" xfId="0" applyNumberFormat="1" applyFont="1" applyBorder="1" applyAlignment="1">
      <alignment vertical="center" shrinkToFit="1"/>
    </xf>
    <xf numFmtId="3" fontId="133" fillId="0" borderId="60" xfId="0" applyNumberFormat="1" applyFont="1" applyBorder="1" applyAlignment="1">
      <alignment vertical="center" shrinkToFit="1"/>
    </xf>
    <xf numFmtId="3" fontId="133" fillId="0" borderId="20" xfId="0" applyNumberFormat="1" applyFont="1" applyBorder="1" applyAlignment="1">
      <alignment vertical="center" shrinkToFit="1"/>
    </xf>
    <xf numFmtId="3" fontId="122" fillId="0" borderId="20" xfId="0" applyNumberFormat="1" applyFont="1" applyBorder="1" applyAlignment="1">
      <alignment vertical="center"/>
    </xf>
    <xf numFmtId="3" fontId="121" fillId="0" borderId="20" xfId="0" applyNumberFormat="1" applyFont="1" applyBorder="1" applyAlignment="1">
      <alignment vertical="center"/>
    </xf>
    <xf numFmtId="3" fontId="121" fillId="0" borderId="60" xfId="1" applyNumberFormat="1" applyFont="1" applyFill="1" applyBorder="1" applyAlignment="1">
      <alignment vertical="center"/>
    </xf>
    <xf numFmtId="0" fontId="121" fillId="0" borderId="20" xfId="0" applyFont="1" applyBorder="1" applyAlignment="1">
      <alignment vertical="center"/>
    </xf>
    <xf numFmtId="3" fontId="129" fillId="0" borderId="6" xfId="0" applyNumberFormat="1" applyFont="1" applyBorder="1" applyAlignment="1">
      <alignment vertical="center" shrinkToFit="1"/>
    </xf>
    <xf numFmtId="3" fontId="129" fillId="0" borderId="21" xfId="0" applyNumberFormat="1" applyFont="1" applyBorder="1" applyAlignment="1">
      <alignment vertical="center" shrinkToFit="1"/>
    </xf>
    <xf numFmtId="3" fontId="17" fillId="0" borderId="0" xfId="3" applyNumberFormat="1" applyFont="1" applyFill="1"/>
    <xf numFmtId="3" fontId="21" fillId="0" borderId="58" xfId="0" applyNumberFormat="1" applyFont="1" applyBorder="1" applyAlignment="1">
      <alignment vertical="center" shrinkToFit="1"/>
    </xf>
    <xf numFmtId="167" fontId="21" fillId="0" borderId="58" xfId="0" applyNumberFormat="1" applyFont="1" applyBorder="1" applyAlignment="1">
      <alignment vertical="center" shrinkToFit="1"/>
    </xf>
    <xf numFmtId="166" fontId="21" fillId="0" borderId="58" xfId="0" applyNumberFormat="1" applyFont="1" applyBorder="1" applyAlignment="1">
      <alignment vertical="center" shrinkToFit="1"/>
    </xf>
    <xf numFmtId="171" fontId="14" fillId="0" borderId="58" xfId="3" applyNumberFormat="1" applyFont="1" applyFill="1" applyBorder="1"/>
    <xf numFmtId="170" fontId="21" fillId="0" borderId="58" xfId="1" applyNumberFormat="1" applyFont="1" applyFill="1" applyBorder="1" applyAlignment="1">
      <alignment vertical="center" shrinkToFit="1"/>
    </xf>
    <xf numFmtId="172" fontId="14" fillId="0" borderId="58" xfId="0" applyNumberFormat="1" applyFont="1" applyBorder="1" applyAlignment="1">
      <alignment shrinkToFit="1"/>
    </xf>
    <xf numFmtId="173" fontId="14" fillId="0" borderId="58" xfId="3" applyNumberFormat="1" applyFont="1" applyFill="1" applyBorder="1" applyAlignment="1">
      <alignment shrinkToFit="1"/>
    </xf>
    <xf numFmtId="170" fontId="14" fillId="0" borderId="0" xfId="0" applyNumberFormat="1" applyFont="1"/>
    <xf numFmtId="0" fontId="14" fillId="0" borderId="0" xfId="0" applyFont="1" applyAlignment="1">
      <alignment shrinkToFit="1"/>
    </xf>
    <xf numFmtId="171" fontId="14" fillId="0" borderId="60" xfId="3" applyNumberFormat="1" applyFont="1" applyFill="1" applyBorder="1"/>
    <xf numFmtId="170" fontId="21" fillId="0" borderId="60" xfId="1" applyNumberFormat="1" applyFont="1" applyFill="1" applyBorder="1" applyAlignment="1">
      <alignment vertical="center" shrinkToFit="1"/>
    </xf>
    <xf numFmtId="172" fontId="14" fillId="0" borderId="60" xfId="0" applyNumberFormat="1" applyFont="1" applyBorder="1" applyAlignment="1">
      <alignment shrinkToFit="1"/>
    </xf>
    <xf numFmtId="173" fontId="14" fillId="0" borderId="60" xfId="3" applyNumberFormat="1" applyFont="1" applyFill="1" applyBorder="1" applyAlignment="1">
      <alignment shrinkToFit="1"/>
    </xf>
    <xf numFmtId="3" fontId="22" fillId="0" borderId="60" xfId="0" applyNumberFormat="1" applyFont="1" applyBorder="1" applyAlignment="1">
      <alignment vertical="center" wrapText="1" shrinkToFit="1"/>
    </xf>
    <xf numFmtId="167" fontId="21" fillId="0" borderId="60" xfId="0" applyNumberFormat="1" applyFont="1" applyBorder="1" applyAlignment="1">
      <alignment vertical="center" wrapText="1" shrinkToFit="1"/>
    </xf>
    <xf numFmtId="3" fontId="22" fillId="0" borderId="60" xfId="0" applyNumberFormat="1" applyFont="1" applyBorder="1" applyAlignment="1">
      <alignment vertical="center" shrinkToFit="1"/>
    </xf>
    <xf numFmtId="3" fontId="17" fillId="0" borderId="60" xfId="1" applyNumberFormat="1" applyFont="1" applyFill="1" applyBorder="1"/>
    <xf numFmtId="170" fontId="17" fillId="0" borderId="60" xfId="1" applyNumberFormat="1" applyFont="1" applyFill="1" applyBorder="1"/>
    <xf numFmtId="170" fontId="17" fillId="0" borderId="60" xfId="1" applyNumberFormat="1" applyFont="1" applyFill="1" applyBorder="1" applyAlignment="1">
      <alignment shrinkToFit="1"/>
    </xf>
    <xf numFmtId="0" fontId="14" fillId="0" borderId="60" xfId="0" applyFont="1" applyBorder="1" applyAlignment="1">
      <alignment shrinkToFit="1"/>
    </xf>
    <xf numFmtId="170" fontId="14" fillId="0" borderId="60" xfId="1" applyNumberFormat="1" applyFont="1" applyFill="1" applyBorder="1" applyAlignment="1">
      <alignment shrinkToFit="1"/>
    </xf>
    <xf numFmtId="3" fontId="17" fillId="0" borderId="60" xfId="1" applyNumberFormat="1" applyFont="1" applyFill="1" applyBorder="1" applyAlignment="1">
      <alignment shrinkToFit="1"/>
    </xf>
    <xf numFmtId="171" fontId="14" fillId="0" borderId="60" xfId="3" applyNumberFormat="1" applyFont="1" applyFill="1" applyBorder="1" applyAlignment="1">
      <alignment shrinkToFit="1"/>
    </xf>
    <xf numFmtId="3" fontId="14" fillId="0" borderId="60" xfId="1" applyNumberFormat="1" applyFont="1" applyFill="1" applyBorder="1" applyAlignment="1">
      <alignment shrinkToFit="1"/>
    </xf>
    <xf numFmtId="3" fontId="14" fillId="0" borderId="60" xfId="3" applyNumberFormat="1" applyFont="1" applyFill="1" applyBorder="1" applyAlignment="1">
      <alignment shrinkToFit="1"/>
    </xf>
    <xf numFmtId="170" fontId="14" fillId="0" borderId="60" xfId="0" applyNumberFormat="1" applyFont="1" applyBorder="1" applyAlignment="1">
      <alignment horizontal="right" shrinkToFit="1"/>
    </xf>
    <xf numFmtId="3" fontId="15" fillId="0" borderId="60" xfId="0" applyNumberFormat="1" applyFont="1" applyBorder="1" applyAlignment="1">
      <alignment horizontal="center" vertical="center" shrinkToFit="1"/>
    </xf>
    <xf numFmtId="3" fontId="16" fillId="0" borderId="60" xfId="0" applyNumberFormat="1" applyFont="1" applyBorder="1" applyAlignment="1">
      <alignment horizontal="justify" vertical="center" wrapText="1" shrinkToFit="1"/>
    </xf>
    <xf numFmtId="3" fontId="16" fillId="0" borderId="60" xfId="1" applyNumberFormat="1" applyFont="1" applyFill="1" applyBorder="1" applyAlignment="1">
      <alignment shrinkToFit="1"/>
    </xf>
    <xf numFmtId="172" fontId="14" fillId="0" borderId="60" xfId="3" applyNumberFormat="1" applyFont="1" applyFill="1" applyBorder="1" applyAlignment="1">
      <alignment shrinkToFit="1"/>
    </xf>
    <xf numFmtId="3" fontId="17" fillId="0" borderId="60" xfId="3" applyNumberFormat="1" applyFont="1" applyFill="1" applyBorder="1" applyAlignment="1">
      <alignment shrinkToFit="1"/>
    </xf>
    <xf numFmtId="172" fontId="17" fillId="0" borderId="60" xfId="3" applyNumberFormat="1" applyFont="1" applyFill="1" applyBorder="1" applyAlignment="1">
      <alignment shrinkToFit="1"/>
    </xf>
    <xf numFmtId="0" fontId="21" fillId="0" borderId="60" xfId="0" applyFont="1" applyBorder="1" applyAlignment="1">
      <alignment vertical="center" shrinkToFit="1"/>
    </xf>
    <xf numFmtId="3" fontId="21" fillId="0" borderId="13" xfId="0" applyNumberFormat="1" applyFont="1" applyBorder="1" applyAlignment="1">
      <alignment vertical="center" shrinkToFit="1"/>
    </xf>
    <xf numFmtId="167" fontId="21" fillId="0" borderId="13" xfId="0" applyNumberFormat="1" applyFont="1" applyBorder="1" applyAlignment="1">
      <alignment vertical="center" shrinkToFit="1"/>
    </xf>
    <xf numFmtId="0" fontId="14" fillId="0" borderId="13" xfId="0" applyFont="1" applyBorder="1"/>
    <xf numFmtId="170" fontId="17" fillId="0" borderId="0" xfId="0" applyNumberFormat="1" applyFont="1" applyAlignment="1">
      <alignment shrinkToFit="1"/>
    </xf>
    <xf numFmtId="169" fontId="17" fillId="0" borderId="0" xfId="1" applyNumberFormat="1" applyFont="1" applyFill="1"/>
    <xf numFmtId="0" fontId="14" fillId="0" borderId="0" xfId="0" applyFont="1" applyAlignment="1">
      <alignment horizontal="center" shrinkToFit="1"/>
    </xf>
    <xf numFmtId="170" fontId="17" fillId="0" borderId="0" xfId="1" applyNumberFormat="1" applyFont="1" applyFill="1"/>
    <xf numFmtId="166" fontId="17" fillId="0" borderId="0" xfId="0" applyNumberFormat="1" applyFont="1"/>
    <xf numFmtId="173" fontId="17" fillId="0" borderId="0" xfId="3" applyNumberFormat="1" applyFont="1" applyFill="1"/>
    <xf numFmtId="9" fontId="17" fillId="0" borderId="0" xfId="3" applyFont="1" applyFill="1"/>
    <xf numFmtId="0" fontId="14" fillId="0" borderId="0" xfId="0" applyFont="1" applyAlignment="1">
      <alignment horizontal="center"/>
    </xf>
    <xf numFmtId="169" fontId="14" fillId="0" borderId="0" xfId="1" applyNumberFormat="1" applyFont="1" applyFill="1" applyAlignment="1">
      <alignment shrinkToFit="1"/>
    </xf>
    <xf numFmtId="169" fontId="14" fillId="0" borderId="0" xfId="1" applyNumberFormat="1" applyFont="1" applyFill="1" applyAlignment="1">
      <alignment horizontal="right" shrinkToFit="1"/>
    </xf>
    <xf numFmtId="3" fontId="14" fillId="0" borderId="11" xfId="2" applyNumberFormat="1" applyFont="1" applyFill="1" applyBorder="1" applyAlignment="1">
      <alignment horizontal="center" vertical="center" shrinkToFit="1"/>
    </xf>
    <xf numFmtId="3" fontId="21" fillId="0" borderId="58" xfId="0" applyNumberFormat="1" applyFont="1" applyBorder="1" applyAlignment="1">
      <alignment horizontal="center" vertical="center" shrinkToFit="1"/>
    </xf>
    <xf numFmtId="3" fontId="21" fillId="0" borderId="58" xfId="0" applyNumberFormat="1" applyFont="1" applyBorder="1" applyAlignment="1">
      <alignment horizontal="justify" vertical="center" wrapText="1" shrinkToFit="1"/>
    </xf>
    <xf numFmtId="3" fontId="21" fillId="0" borderId="60" xfId="0" applyNumberFormat="1" applyFont="1" applyBorder="1" applyAlignment="1">
      <alignment horizontal="center" vertical="center" shrinkToFit="1"/>
    </xf>
    <xf numFmtId="3" fontId="21" fillId="0" borderId="60" xfId="0" applyNumberFormat="1" applyFont="1" applyBorder="1" applyAlignment="1">
      <alignment horizontal="justify" vertical="center" wrapText="1" shrinkToFit="1"/>
    </xf>
    <xf numFmtId="3" fontId="22" fillId="0" borderId="60" xfId="0" applyNumberFormat="1" applyFont="1" applyBorder="1" applyAlignment="1">
      <alignment horizontal="center" vertical="center" wrapText="1" shrinkToFit="1"/>
    </xf>
    <xf numFmtId="3" fontId="22" fillId="0" borderId="60" xfId="0" applyNumberFormat="1" applyFont="1" applyBorder="1" applyAlignment="1">
      <alignment horizontal="justify" vertical="center" wrapText="1" shrinkToFit="1"/>
    </xf>
    <xf numFmtId="3" fontId="17" fillId="0" borderId="60" xfId="0" applyNumberFormat="1" applyFont="1" applyBorder="1" applyAlignment="1">
      <alignment horizontal="justify" vertical="center" wrapText="1" shrinkToFit="1"/>
    </xf>
    <xf numFmtId="3" fontId="169" fillId="0" borderId="60" xfId="23" applyNumberFormat="1" applyFont="1" applyFill="1" applyBorder="1" applyAlignment="1" applyProtection="1">
      <alignment shrinkToFit="1"/>
    </xf>
    <xf numFmtId="3" fontId="169" fillId="0" borderId="60" xfId="7" applyNumberFormat="1" applyFont="1" applyBorder="1" applyAlignment="1">
      <alignment horizontal="right" shrinkToFit="1"/>
    </xf>
    <xf numFmtId="170" fontId="169" fillId="0" borderId="60" xfId="1" applyNumberFormat="1" applyFont="1" applyFill="1" applyBorder="1" applyAlignment="1" applyProtection="1">
      <alignment horizontal="right" shrinkToFit="1"/>
    </xf>
    <xf numFmtId="3" fontId="169" fillId="0" borderId="60" xfId="272" applyNumberFormat="1" applyFont="1" applyBorder="1" applyAlignment="1">
      <alignment horizontal="right" shrinkToFit="1"/>
    </xf>
    <xf numFmtId="167" fontId="15" fillId="0" borderId="60" xfId="0" applyNumberFormat="1" applyFont="1" applyBorder="1" applyAlignment="1">
      <alignment vertical="center" shrinkToFit="1"/>
    </xf>
    <xf numFmtId="3" fontId="28" fillId="0" borderId="60" xfId="0" applyNumberFormat="1" applyFont="1" applyBorder="1" applyAlignment="1">
      <alignment horizontal="center" vertical="center" shrinkToFit="1"/>
    </xf>
    <xf numFmtId="3" fontId="28" fillId="0" borderId="60" xfId="0" applyNumberFormat="1" applyFont="1" applyBorder="1" applyAlignment="1">
      <alignment horizontal="justify" vertical="center" wrapText="1" shrinkToFit="1"/>
    </xf>
    <xf numFmtId="3" fontId="16" fillId="0" borderId="60" xfId="0" applyNumberFormat="1" applyFont="1" applyBorder="1" applyAlignment="1">
      <alignment horizontal="center" vertical="center" shrinkToFit="1"/>
    </xf>
    <xf numFmtId="3" fontId="17" fillId="0" borderId="60" xfId="0" applyNumberFormat="1" applyFont="1" applyBorder="1" applyAlignment="1">
      <alignment horizontal="left" vertical="center" shrinkToFit="1"/>
    </xf>
    <xf numFmtId="3" fontId="15" fillId="0" borderId="60" xfId="0" applyNumberFormat="1" applyFont="1" applyBorder="1"/>
    <xf numFmtId="3" fontId="21" fillId="0" borderId="13" xfId="0" applyNumberFormat="1" applyFont="1" applyBorder="1" applyAlignment="1">
      <alignment horizontal="center" vertical="center" shrinkToFit="1"/>
    </xf>
    <xf numFmtId="3" fontId="21" fillId="0" borderId="13" xfId="0" applyNumberFormat="1" applyFont="1" applyBorder="1" applyAlignment="1">
      <alignment horizontal="justify" vertical="center" wrapText="1" shrinkToFit="1"/>
    </xf>
    <xf numFmtId="3" fontId="14" fillId="0" borderId="0" xfId="0" applyNumberFormat="1" applyFont="1"/>
    <xf numFmtId="170" fontId="14" fillId="0" borderId="0" xfId="1" applyNumberFormat="1" applyFont="1" applyFill="1"/>
    <xf numFmtId="0" fontId="112" fillId="0" borderId="0" xfId="0" applyFont="1" applyAlignment="1">
      <alignment horizontal="center"/>
    </xf>
    <xf numFmtId="173" fontId="112" fillId="0" borderId="0" xfId="3" applyNumberFormat="1" applyFont="1" applyFill="1"/>
    <xf numFmtId="3" fontId="112" fillId="0" borderId="0" xfId="0" applyNumberFormat="1" applyFont="1" applyAlignment="1">
      <alignment shrinkToFit="1"/>
    </xf>
    <xf numFmtId="10" fontId="112" fillId="0" borderId="0" xfId="3" applyNumberFormat="1" applyFont="1" applyFill="1"/>
    <xf numFmtId="0" fontId="112" fillId="0" borderId="0" xfId="0" applyFont="1" applyAlignment="1">
      <alignment vertical="center" wrapText="1"/>
    </xf>
    <xf numFmtId="0" fontId="113" fillId="0" borderId="11" xfId="0" applyFont="1" applyBorder="1" applyAlignment="1">
      <alignment horizontal="center" vertical="center" wrapText="1"/>
    </xf>
    <xf numFmtId="0" fontId="113" fillId="0" borderId="58" xfId="0" applyFont="1" applyBorder="1" applyAlignment="1">
      <alignment horizontal="center" vertical="center"/>
    </xf>
    <xf numFmtId="0" fontId="113" fillId="0" borderId="58" xfId="0" applyFont="1" applyBorder="1" applyAlignment="1">
      <alignment horizontal="center" vertical="center" shrinkToFit="1"/>
    </xf>
    <xf numFmtId="0" fontId="113" fillId="0" borderId="58" xfId="0" applyFont="1" applyBorder="1" applyAlignment="1">
      <alignment vertical="center" shrinkToFit="1"/>
    </xf>
    <xf numFmtId="171" fontId="113" fillId="0" borderId="58" xfId="0" applyNumberFormat="1" applyFont="1" applyBorder="1" applyAlignment="1">
      <alignment vertical="center" shrinkToFit="1"/>
    </xf>
    <xf numFmtId="173" fontId="113" fillId="0" borderId="58" xfId="3" applyNumberFormat="1" applyFont="1" applyFill="1" applyBorder="1" applyAlignment="1">
      <alignment vertical="center" shrinkToFit="1"/>
    </xf>
    <xf numFmtId="3" fontId="113" fillId="0" borderId="58" xfId="0" applyNumberFormat="1" applyFont="1" applyBorder="1" applyAlignment="1">
      <alignment horizontal="right" vertical="center" shrinkToFit="1"/>
    </xf>
    <xf numFmtId="173" fontId="113" fillId="0" borderId="58" xfId="3" applyNumberFormat="1" applyFont="1" applyFill="1" applyBorder="1" applyAlignment="1">
      <alignment horizontal="right" vertical="center" shrinkToFit="1"/>
    </xf>
    <xf numFmtId="173" fontId="113" fillId="0" borderId="58" xfId="1" applyNumberFormat="1" applyFont="1" applyFill="1" applyBorder="1" applyAlignment="1">
      <alignment vertical="center" shrinkToFit="1"/>
    </xf>
    <xf numFmtId="173" fontId="113" fillId="0" borderId="58" xfId="0" applyNumberFormat="1" applyFont="1" applyBorder="1" applyAlignment="1">
      <alignment vertical="center" shrinkToFit="1"/>
    </xf>
    <xf numFmtId="10" fontId="113" fillId="0" borderId="58" xfId="0" applyNumberFormat="1" applyFont="1" applyBorder="1" applyAlignment="1">
      <alignment vertical="center" shrinkToFit="1"/>
    </xf>
    <xf numFmtId="0" fontId="113" fillId="0" borderId="60" xfId="0" applyFont="1" applyBorder="1" applyAlignment="1">
      <alignment horizontal="center" shrinkToFit="1"/>
    </xf>
    <xf numFmtId="172" fontId="113" fillId="0" borderId="60" xfId="0" applyNumberFormat="1" applyFont="1" applyBorder="1" applyAlignment="1">
      <alignment vertical="center" shrinkToFit="1"/>
    </xf>
    <xf numFmtId="171" fontId="113" fillId="0" borderId="60" xfId="0" applyNumberFormat="1" applyFont="1" applyBorder="1" applyAlignment="1">
      <alignment vertical="center" shrinkToFit="1"/>
    </xf>
    <xf numFmtId="173" fontId="113" fillId="0" borderId="60" xfId="3" applyNumberFormat="1" applyFont="1" applyFill="1" applyBorder="1" applyAlignment="1">
      <alignment vertical="center" shrinkToFit="1"/>
    </xf>
    <xf numFmtId="3" fontId="113" fillId="0" borderId="60" xfId="0" applyNumberFormat="1" applyFont="1" applyBorder="1" applyAlignment="1">
      <alignment horizontal="right" shrinkToFit="1"/>
    </xf>
    <xf numFmtId="173" fontId="113" fillId="0" borderId="60" xfId="3" applyNumberFormat="1" applyFont="1" applyFill="1" applyBorder="1" applyAlignment="1">
      <alignment horizontal="right" vertical="center" shrinkToFit="1"/>
    </xf>
    <xf numFmtId="171" fontId="113" fillId="0" borderId="60" xfId="0" applyNumberFormat="1" applyFont="1" applyBorder="1" applyAlignment="1">
      <alignment shrinkToFit="1"/>
    </xf>
    <xf numFmtId="173" fontId="113" fillId="0" borderId="60" xfId="3" applyNumberFormat="1" applyFont="1" applyFill="1" applyBorder="1" applyAlignment="1">
      <alignment shrinkToFit="1"/>
    </xf>
    <xf numFmtId="173" fontId="113" fillId="0" borderId="60" xfId="1" applyNumberFormat="1" applyFont="1" applyFill="1" applyBorder="1" applyAlignment="1">
      <alignment shrinkToFit="1"/>
    </xf>
    <xf numFmtId="173" fontId="113" fillId="0" borderId="60" xfId="0" applyNumberFormat="1" applyFont="1" applyBorder="1" applyAlignment="1">
      <alignment shrinkToFit="1"/>
    </xf>
    <xf numFmtId="10" fontId="113" fillId="0" borderId="60" xfId="0" applyNumberFormat="1" applyFont="1" applyBorder="1" applyAlignment="1">
      <alignment shrinkToFit="1"/>
    </xf>
    <xf numFmtId="10" fontId="113" fillId="0" borderId="60" xfId="0" applyNumberFormat="1" applyFont="1" applyBorder="1" applyAlignment="1">
      <alignment vertical="center" shrinkToFit="1"/>
    </xf>
    <xf numFmtId="0" fontId="113" fillId="0" borderId="60" xfId="0" applyFont="1" applyBorder="1"/>
    <xf numFmtId="3" fontId="113" fillId="0" borderId="60" xfId="1" applyNumberFormat="1" applyFont="1" applyFill="1" applyBorder="1" applyAlignment="1">
      <alignment shrinkToFit="1"/>
    </xf>
    <xf numFmtId="3" fontId="113" fillId="0" borderId="60" xfId="1" applyNumberFormat="1" applyFont="1" applyFill="1" applyBorder="1" applyAlignment="1">
      <alignment vertical="center" shrinkToFit="1"/>
    </xf>
    <xf numFmtId="3" fontId="113" fillId="0" borderId="60" xfId="1" applyNumberFormat="1" applyFont="1" applyFill="1" applyBorder="1" applyAlignment="1">
      <alignment horizontal="right" shrinkToFit="1"/>
    </xf>
    <xf numFmtId="171" fontId="113" fillId="0" borderId="60" xfId="1" applyNumberFormat="1" applyFont="1" applyFill="1" applyBorder="1" applyAlignment="1">
      <alignment horizontal="right" shrinkToFit="1"/>
    </xf>
    <xf numFmtId="0" fontId="112" fillId="0" borderId="60" xfId="0" applyFont="1" applyBorder="1" applyAlignment="1">
      <alignment horizontal="center"/>
    </xf>
    <xf numFmtId="3" fontId="112" fillId="0" borderId="60" xfId="1" applyNumberFormat="1" applyFont="1" applyFill="1" applyBorder="1" applyAlignment="1">
      <alignment shrinkToFit="1"/>
    </xf>
    <xf numFmtId="172" fontId="112" fillId="0" borderId="60" xfId="0" applyNumberFormat="1" applyFont="1" applyBorder="1" applyAlignment="1">
      <alignment vertical="center" shrinkToFit="1"/>
    </xf>
    <xf numFmtId="171" fontId="112" fillId="0" borderId="60" xfId="0" applyNumberFormat="1" applyFont="1" applyBorder="1" applyAlignment="1">
      <alignment vertical="center" shrinkToFit="1"/>
    </xf>
    <xf numFmtId="173" fontId="112" fillId="0" borderId="60" xfId="3" applyNumberFormat="1" applyFont="1" applyFill="1" applyBorder="1" applyAlignment="1">
      <alignment vertical="center" shrinkToFit="1"/>
    </xf>
    <xf numFmtId="3" fontId="112" fillId="0" borderId="60" xfId="0" applyNumberFormat="1" applyFont="1" applyBorder="1" applyAlignment="1">
      <alignment horizontal="right" shrinkToFit="1"/>
    </xf>
    <xf numFmtId="173" fontId="112" fillId="0" borderId="60" xfId="3" applyNumberFormat="1" applyFont="1" applyFill="1" applyBorder="1" applyAlignment="1">
      <alignment horizontal="right" vertical="center" shrinkToFit="1"/>
    </xf>
    <xf numFmtId="171" fontId="112" fillId="0" borderId="60" xfId="0" applyNumberFormat="1" applyFont="1" applyBorder="1" applyAlignment="1">
      <alignment shrinkToFit="1"/>
    </xf>
    <xf numFmtId="173" fontId="112" fillId="0" borderId="60" xfId="3" applyNumberFormat="1" applyFont="1" applyFill="1" applyBorder="1" applyAlignment="1">
      <alignment shrinkToFit="1"/>
    </xf>
    <xf numFmtId="173" fontId="112" fillId="0" borderId="60" xfId="1" applyNumberFormat="1" applyFont="1" applyFill="1" applyBorder="1" applyAlignment="1">
      <alignment shrinkToFit="1"/>
    </xf>
    <xf numFmtId="173" fontId="112" fillId="0" borderId="60" xfId="0" applyNumberFormat="1" applyFont="1" applyBorder="1" applyAlignment="1">
      <alignment shrinkToFit="1"/>
    </xf>
    <xf numFmtId="171" fontId="112" fillId="0" borderId="60" xfId="1" applyNumberFormat="1" applyFont="1" applyFill="1" applyBorder="1" applyAlignment="1">
      <alignment horizontal="right" shrinkToFit="1"/>
    </xf>
    <xf numFmtId="10" fontId="112" fillId="0" borderId="60" xfId="0" applyNumberFormat="1" applyFont="1" applyBorder="1" applyAlignment="1">
      <alignment shrinkToFit="1"/>
    </xf>
    <xf numFmtId="10" fontId="112" fillId="0" borderId="60" xfId="0" applyNumberFormat="1" applyFont="1" applyBorder="1" applyAlignment="1">
      <alignment vertical="center" shrinkToFit="1"/>
    </xf>
    <xf numFmtId="0" fontId="112" fillId="0" borderId="60" xfId="0" applyFont="1" applyBorder="1" applyAlignment="1">
      <alignment horizontal="center" vertical="center"/>
    </xf>
    <xf numFmtId="3" fontId="113" fillId="0" borderId="60" xfId="1" applyNumberFormat="1" applyFont="1" applyFill="1" applyBorder="1"/>
    <xf numFmtId="3" fontId="113" fillId="0" borderId="60" xfId="0" applyNumberFormat="1" applyFont="1" applyBorder="1" applyAlignment="1">
      <alignment horizontal="center" vertical="center" wrapText="1" shrinkToFit="1"/>
    </xf>
    <xf numFmtId="3" fontId="113" fillId="0" borderId="60" xfId="0" applyNumberFormat="1" applyFont="1" applyBorder="1" applyAlignment="1">
      <alignment horizontal="justify" vertical="justify" wrapText="1" shrinkToFit="1"/>
    </xf>
    <xf numFmtId="172" fontId="113" fillId="0" borderId="60" xfId="0" applyNumberFormat="1" applyFont="1" applyBorder="1" applyAlignment="1">
      <alignment shrinkToFit="1"/>
    </xf>
    <xf numFmtId="3" fontId="112" fillId="0" borderId="60" xfId="0" applyNumberFormat="1" applyFont="1" applyBorder="1" applyAlignment="1">
      <alignment horizontal="center" vertical="center" wrapText="1" shrinkToFit="1"/>
    </xf>
    <xf numFmtId="3" fontId="112" fillId="0" borderId="60" xfId="0" applyNumberFormat="1" applyFont="1" applyBorder="1" applyAlignment="1">
      <alignment horizontal="justify" vertical="justify" wrapText="1" shrinkToFit="1"/>
    </xf>
    <xf numFmtId="169" fontId="112" fillId="0" borderId="60" xfId="1" applyNumberFormat="1" applyFont="1" applyFill="1" applyBorder="1" applyAlignment="1">
      <alignment shrinkToFit="1"/>
    </xf>
    <xf numFmtId="172" fontId="112" fillId="0" borderId="60" xfId="1" applyNumberFormat="1" applyFont="1" applyFill="1" applyBorder="1" applyAlignment="1">
      <alignment shrinkToFit="1"/>
    </xf>
    <xf numFmtId="173" fontId="112" fillId="0" borderId="60" xfId="0" applyNumberFormat="1" applyFont="1" applyBorder="1"/>
    <xf numFmtId="172" fontId="112" fillId="0" borderId="60" xfId="0" applyNumberFormat="1" applyFont="1" applyBorder="1" applyAlignment="1">
      <alignment shrinkToFit="1"/>
    </xf>
    <xf numFmtId="0" fontId="113" fillId="0" borderId="60" xfId="0" applyFont="1" applyBorder="1" applyAlignment="1">
      <alignment shrinkToFit="1"/>
    </xf>
    <xf numFmtId="173" fontId="113" fillId="0" borderId="60" xfId="0" applyNumberFormat="1" applyFont="1" applyBorder="1"/>
    <xf numFmtId="3" fontId="113" fillId="0" borderId="13" xfId="0" applyNumberFormat="1" applyFont="1" applyBorder="1" applyAlignment="1">
      <alignment shrinkToFit="1"/>
    </xf>
    <xf numFmtId="3" fontId="113" fillId="0" borderId="13" xfId="0" applyNumberFormat="1" applyFont="1" applyBorder="1" applyAlignment="1">
      <alignment vertical="center" shrinkToFit="1"/>
    </xf>
    <xf numFmtId="0" fontId="113" fillId="0" borderId="13" xfId="0" applyFont="1" applyBorder="1" applyAlignment="1">
      <alignment shrinkToFit="1"/>
    </xf>
    <xf numFmtId="0" fontId="113" fillId="0" borderId="13" xfId="0" applyFont="1" applyBorder="1"/>
    <xf numFmtId="173" fontId="113" fillId="0" borderId="13" xfId="0" applyNumberFormat="1" applyFont="1" applyBorder="1"/>
    <xf numFmtId="172" fontId="113" fillId="0" borderId="13" xfId="0" applyNumberFormat="1" applyFont="1" applyBorder="1" applyAlignment="1">
      <alignment shrinkToFit="1"/>
    </xf>
    <xf numFmtId="10" fontId="112" fillId="0" borderId="0" xfId="0" applyNumberFormat="1" applyFont="1"/>
    <xf numFmtId="9" fontId="112" fillId="0" borderId="0" xfId="3" applyFont="1" applyFill="1"/>
    <xf numFmtId="0" fontId="113" fillId="0" borderId="0" xfId="0" applyFont="1" applyAlignment="1">
      <alignment horizontal="center"/>
    </xf>
    <xf numFmtId="170" fontId="113" fillId="0" borderId="0" xfId="1" applyNumberFormat="1" applyFont="1" applyFill="1"/>
    <xf numFmtId="170" fontId="113" fillId="0" borderId="0" xfId="1" applyNumberFormat="1" applyFont="1" applyFill="1" applyAlignment="1">
      <alignment shrinkToFit="1"/>
    </xf>
    <xf numFmtId="3" fontId="113" fillId="0" borderId="0" xfId="0" applyNumberFormat="1" applyFont="1"/>
    <xf numFmtId="3" fontId="113" fillId="0" borderId="0" xfId="0" applyNumberFormat="1" applyFont="1" applyAlignment="1">
      <alignment shrinkToFit="1"/>
    </xf>
    <xf numFmtId="170" fontId="112" fillId="0" borderId="0" xfId="1" applyNumberFormat="1" applyFont="1" applyFill="1"/>
    <xf numFmtId="170" fontId="112" fillId="0" borderId="0" xfId="1" applyNumberFormat="1" applyFont="1" applyFill="1" applyAlignment="1">
      <alignment shrinkToFit="1"/>
    </xf>
    <xf numFmtId="169" fontId="112" fillId="0" borderId="0" xfId="1" applyNumberFormat="1" applyFont="1" applyFill="1" applyAlignment="1">
      <alignment shrinkToFit="1"/>
    </xf>
    <xf numFmtId="170" fontId="112" fillId="0" borderId="0" xfId="0" applyNumberFormat="1" applyFont="1"/>
    <xf numFmtId="170" fontId="112" fillId="0" borderId="0" xfId="0" applyNumberFormat="1" applyFont="1" applyAlignment="1">
      <alignment shrinkToFit="1"/>
    </xf>
    <xf numFmtId="169" fontId="112" fillId="0" borderId="0" xfId="0" applyNumberFormat="1" applyFont="1" applyAlignment="1">
      <alignment shrinkToFit="1"/>
    </xf>
    <xf numFmtId="0" fontId="112" fillId="0" borderId="60" xfId="0" applyFont="1" applyBorder="1" applyAlignment="1">
      <alignment horizontal="center" vertical="center" wrapText="1"/>
    </xf>
    <xf numFmtId="0" fontId="112" fillId="0" borderId="60" xfId="0" applyFont="1" applyBorder="1" applyAlignment="1">
      <alignment vertical="center" wrapText="1"/>
    </xf>
    <xf numFmtId="0" fontId="113" fillId="0" borderId="60" xfId="0" applyFont="1" applyBorder="1" applyAlignment="1">
      <alignment horizontal="center" vertical="center" wrapText="1"/>
    </xf>
    <xf numFmtId="0" fontId="113" fillId="0" borderId="60" xfId="0" applyFont="1" applyBorder="1" applyAlignment="1">
      <alignment vertical="center" wrapText="1"/>
    </xf>
    <xf numFmtId="3" fontId="112" fillId="0" borderId="60" xfId="0" applyNumberFormat="1" applyFont="1" applyBorder="1" applyAlignment="1">
      <alignment horizontal="center" vertical="center" shrinkToFit="1"/>
    </xf>
    <xf numFmtId="3" fontId="112" fillId="0" borderId="60" xfId="0" applyNumberFormat="1" applyFont="1" applyBorder="1" applyAlignment="1">
      <alignment horizontal="justify" vertical="center" wrapText="1" shrinkToFit="1"/>
    </xf>
    <xf numFmtId="0" fontId="113" fillId="0" borderId="60" xfId="0" applyFont="1" applyBorder="1" applyAlignment="1">
      <alignment vertical="center" shrinkToFit="1"/>
    </xf>
    <xf numFmtId="0" fontId="113" fillId="0" borderId="13" xfId="0" applyFont="1" applyBorder="1" applyAlignment="1">
      <alignment horizontal="center" vertical="center" wrapText="1"/>
    </xf>
    <xf numFmtId="0" fontId="113" fillId="0" borderId="13" xfId="0" applyFont="1" applyBorder="1" applyAlignment="1">
      <alignment vertical="center" shrinkToFit="1"/>
    </xf>
    <xf numFmtId="173" fontId="113" fillId="0" borderId="13" xfId="3" applyNumberFormat="1" applyFont="1" applyFill="1" applyBorder="1" applyAlignment="1">
      <alignment vertical="center" shrinkToFit="1"/>
    </xf>
    <xf numFmtId="3" fontId="17" fillId="0" borderId="60" xfId="381" applyNumberFormat="1" applyFont="1" applyBorder="1"/>
    <xf numFmtId="3" fontId="112" fillId="0" borderId="60" xfId="0" applyNumberFormat="1" applyFont="1" applyBorder="1" applyAlignment="1">
      <alignment vertical="top" shrinkToFit="1"/>
    </xf>
    <xf numFmtId="0" fontId="126" fillId="0" borderId="0" xfId="0" applyFont="1"/>
    <xf numFmtId="3" fontId="121" fillId="0" borderId="6" xfId="0" applyNumberFormat="1" applyFont="1" applyBorder="1" applyAlignment="1">
      <alignment vertical="center" shrinkToFit="1"/>
    </xf>
    <xf numFmtId="3" fontId="121" fillId="0" borderId="21" xfId="0" applyNumberFormat="1" applyFont="1" applyBorder="1" applyAlignment="1">
      <alignment vertical="center" shrinkToFit="1"/>
    </xf>
    <xf numFmtId="0" fontId="121" fillId="0" borderId="10" xfId="0" applyFont="1" applyBorder="1" applyAlignment="1">
      <alignment horizontal="center" vertical="center"/>
    </xf>
    <xf numFmtId="3" fontId="133" fillId="0" borderId="68" xfId="0" applyNumberFormat="1" applyFont="1" applyBorder="1" applyAlignment="1">
      <alignment vertical="center" shrinkToFit="1"/>
    </xf>
    <xf numFmtId="3" fontId="122" fillId="0" borderId="59" xfId="0" applyNumberFormat="1" applyFont="1" applyBorder="1" applyAlignment="1">
      <alignment vertical="center" shrinkToFit="1"/>
    </xf>
    <xf numFmtId="3" fontId="121" fillId="0" borderId="59" xfId="0" applyNumberFormat="1" applyFont="1" applyBorder="1" applyAlignment="1">
      <alignment vertical="center" shrinkToFit="1"/>
    </xf>
    <xf numFmtId="3" fontId="135" fillId="0" borderId="59" xfId="0" applyNumberFormat="1" applyFont="1" applyBorder="1" applyAlignment="1">
      <alignment vertical="center" shrinkToFit="1"/>
    </xf>
    <xf numFmtId="3" fontId="113" fillId="0" borderId="59" xfId="0" applyNumberFormat="1" applyFont="1" applyBorder="1" applyAlignment="1">
      <alignment vertical="center" shrinkToFit="1"/>
    </xf>
    <xf numFmtId="3" fontId="112" fillId="0" borderId="59" xfId="0" applyNumberFormat="1" applyFont="1" applyBorder="1" applyAlignment="1">
      <alignment vertical="center" shrinkToFit="1"/>
    </xf>
    <xf numFmtId="3" fontId="133" fillId="0" borderId="59" xfId="0" applyNumberFormat="1" applyFont="1" applyBorder="1" applyAlignment="1">
      <alignment vertical="center" shrinkToFit="1"/>
    </xf>
    <xf numFmtId="0" fontId="122" fillId="0" borderId="59" xfId="0" applyFont="1" applyBorder="1" applyAlignment="1">
      <alignment vertical="center"/>
    </xf>
    <xf numFmtId="3" fontId="121" fillId="0" borderId="59" xfId="0" applyNumberFormat="1" applyFont="1" applyBorder="1" applyAlignment="1">
      <alignment vertical="center"/>
    </xf>
    <xf numFmtId="3" fontId="122" fillId="0" borderId="59" xfId="0" applyNumberFormat="1" applyFont="1" applyBorder="1" applyAlignment="1">
      <alignment vertical="center"/>
    </xf>
    <xf numFmtId="3" fontId="121" fillId="0" borderId="147" xfId="0" applyNumberFormat="1" applyFont="1" applyBorder="1" applyAlignment="1">
      <alignment vertical="center" shrinkToFit="1"/>
    </xf>
    <xf numFmtId="3" fontId="113" fillId="0" borderId="20" xfId="0" applyNumberFormat="1" applyFont="1" applyBorder="1" applyAlignment="1">
      <alignment shrinkToFit="1"/>
    </xf>
    <xf numFmtId="3" fontId="125" fillId="0" borderId="20" xfId="0" applyNumberFormat="1" applyFont="1" applyBorder="1" applyAlignment="1">
      <alignment vertical="center" shrinkToFit="1"/>
    </xf>
    <xf numFmtId="3" fontId="113" fillId="0" borderId="151" xfId="0" applyNumberFormat="1" applyFont="1" applyBorder="1" applyAlignment="1">
      <alignment vertical="center" shrinkToFit="1"/>
    </xf>
    <xf numFmtId="3" fontId="121" fillId="0" borderId="151" xfId="0" applyNumberFormat="1" applyFont="1" applyBorder="1" applyAlignment="1">
      <alignment vertical="center" shrinkToFit="1"/>
    </xf>
    <xf numFmtId="3" fontId="112" fillId="0" borderId="151" xfId="0" applyNumberFormat="1" applyFont="1" applyBorder="1" applyAlignment="1">
      <alignment vertical="center" shrinkToFit="1"/>
    </xf>
    <xf numFmtId="3" fontId="122" fillId="0" borderId="151" xfId="0" applyNumberFormat="1" applyFont="1" applyBorder="1" applyAlignment="1">
      <alignment shrinkToFit="1"/>
    </xf>
    <xf numFmtId="3" fontId="121" fillId="0" borderId="151" xfId="0" applyNumberFormat="1" applyFont="1" applyBorder="1" applyAlignment="1">
      <alignment shrinkToFit="1"/>
    </xf>
    <xf numFmtId="0" fontId="124" fillId="0" borderId="0" xfId="0" applyFont="1"/>
    <xf numFmtId="0" fontId="123" fillId="0" borderId="91" xfId="0" applyFont="1" applyBorder="1" applyAlignment="1">
      <alignment horizontal="center" vertical="center"/>
    </xf>
    <xf numFmtId="0" fontId="123" fillId="0" borderId="91" xfId="0" applyFont="1" applyBorder="1" applyAlignment="1">
      <alignment horizontal="center"/>
    </xf>
    <xf numFmtId="0" fontId="113" fillId="0" borderId="91" xfId="0" applyFont="1" applyBorder="1" applyAlignment="1">
      <alignment horizontal="center" vertical="center"/>
    </xf>
    <xf numFmtId="0" fontId="113" fillId="0" borderId="91" xfId="0" applyFont="1" applyBorder="1" applyAlignment="1">
      <alignment horizontal="center"/>
    </xf>
    <xf numFmtId="0" fontId="113" fillId="0" borderId="92" xfId="0" applyFont="1" applyBorder="1" applyAlignment="1">
      <alignment horizontal="center"/>
    </xf>
    <xf numFmtId="0" fontId="113" fillId="0" borderId="149" xfId="0" applyFont="1" applyBorder="1" applyAlignment="1">
      <alignment horizontal="center" vertical="center"/>
    </xf>
    <xf numFmtId="3" fontId="113" fillId="0" borderId="91" xfId="0" applyNumberFormat="1" applyFont="1" applyBorder="1" applyAlignment="1">
      <alignment horizontal="center" vertical="center"/>
    </xf>
    <xf numFmtId="3" fontId="113" fillId="0" borderId="91" xfId="0" applyNumberFormat="1" applyFont="1" applyBorder="1" applyAlignment="1">
      <alignment horizontal="center"/>
    </xf>
    <xf numFmtId="3" fontId="113" fillId="0" borderId="92" xfId="0" applyNumberFormat="1" applyFont="1" applyBorder="1" applyAlignment="1">
      <alignment horizontal="center"/>
    </xf>
    <xf numFmtId="0" fontId="129" fillId="0" borderId="83" xfId="0" applyFont="1" applyBorder="1" applyAlignment="1">
      <alignment horizontal="center" vertical="center"/>
    </xf>
    <xf numFmtId="0" fontId="130" fillId="0" borderId="84" xfId="0" applyFont="1" applyBorder="1" applyAlignment="1">
      <alignment vertical="center" shrinkToFit="1"/>
    </xf>
    <xf numFmtId="3" fontId="133" fillId="0" borderId="84" xfId="0" applyNumberFormat="1" applyFont="1" applyBorder="1" applyAlignment="1">
      <alignment vertical="center" shrinkToFit="1"/>
    </xf>
    <xf numFmtId="3" fontId="133" fillId="0" borderId="85" xfId="0" applyNumberFormat="1" applyFont="1" applyBorder="1" applyAlignment="1">
      <alignment vertical="center" shrinkToFit="1"/>
    </xf>
    <xf numFmtId="3" fontId="133" fillId="0" borderId="86" xfId="0" applyNumberFormat="1" applyFont="1" applyBorder="1" applyAlignment="1">
      <alignment vertical="center" shrinkToFit="1"/>
    </xf>
    <xf numFmtId="3" fontId="133" fillId="0" borderId="150" xfId="0" applyNumberFormat="1" applyFont="1" applyBorder="1" applyAlignment="1">
      <alignment vertical="center" shrinkToFit="1"/>
    </xf>
    <xf numFmtId="0" fontId="128" fillId="0" borderId="75" xfId="0" applyFont="1" applyBorder="1" applyAlignment="1">
      <alignment horizontal="center" vertical="center"/>
    </xf>
    <xf numFmtId="0" fontId="128" fillId="0" borderId="76" xfId="0" applyFont="1" applyBorder="1" applyAlignment="1">
      <alignment vertical="center" shrinkToFit="1"/>
    </xf>
    <xf numFmtId="3" fontId="113" fillId="0" borderId="76" xfId="0" applyNumberFormat="1" applyFont="1" applyBorder="1" applyAlignment="1">
      <alignment vertical="center" shrinkToFit="1"/>
    </xf>
    <xf numFmtId="3" fontId="122" fillId="0" borderId="151" xfId="0" applyNumberFormat="1" applyFont="1" applyBorder="1" applyAlignment="1">
      <alignment vertical="center" shrinkToFit="1"/>
    </xf>
    <xf numFmtId="0" fontId="120" fillId="0" borderId="75" xfId="0" applyFont="1" applyBorder="1" applyAlignment="1">
      <alignment horizontal="center" vertical="center"/>
    </xf>
    <xf numFmtId="0" fontId="120" fillId="0" borderId="76" xfId="0" applyFont="1" applyBorder="1" applyAlignment="1">
      <alignment vertical="center" shrinkToFit="1"/>
    </xf>
    <xf numFmtId="3" fontId="112" fillId="0" borderId="76" xfId="0" applyNumberFormat="1" applyFont="1" applyBorder="1" applyAlignment="1">
      <alignment shrinkToFit="1"/>
    </xf>
    <xf numFmtId="0" fontId="134" fillId="0" borderId="75" xfId="0" applyFont="1" applyBorder="1" applyAlignment="1">
      <alignment horizontal="center" vertical="center"/>
    </xf>
    <xf numFmtId="0" fontId="134" fillId="0" borderId="76" xfId="0" applyFont="1" applyBorder="1" applyAlignment="1">
      <alignment vertical="center" shrinkToFit="1"/>
    </xf>
    <xf numFmtId="3" fontId="112" fillId="0" borderId="76" xfId="1" applyNumberFormat="1" applyFont="1" applyFill="1" applyBorder="1" applyAlignment="1">
      <alignment vertical="center" shrinkToFit="1"/>
    </xf>
    <xf numFmtId="3" fontId="135" fillId="0" borderId="151" xfId="0" applyNumberFormat="1" applyFont="1" applyBorder="1" applyAlignment="1">
      <alignment vertical="center" shrinkToFit="1"/>
    </xf>
    <xf numFmtId="0" fontId="134" fillId="0" borderId="76" xfId="0" applyFont="1" applyBorder="1" applyAlignment="1">
      <alignment horizontal="left" vertical="center" shrinkToFit="1"/>
    </xf>
    <xf numFmtId="3" fontId="125" fillId="0" borderId="78" xfId="1" applyNumberFormat="1" applyFont="1" applyFill="1" applyBorder="1" applyAlignment="1">
      <alignment vertical="center" shrinkToFit="1"/>
    </xf>
    <xf numFmtId="3" fontId="135" fillId="0" borderId="151" xfId="0" applyNumberFormat="1" applyFont="1" applyBorder="1" applyAlignment="1">
      <alignment shrinkToFit="1"/>
    </xf>
    <xf numFmtId="3" fontId="125" fillId="0" borderId="79" xfId="1" applyNumberFormat="1" applyFont="1" applyFill="1" applyBorder="1" applyAlignment="1">
      <alignment vertical="center" shrinkToFit="1"/>
    </xf>
    <xf numFmtId="3" fontId="32" fillId="0" borderId="75" xfId="0" applyNumberFormat="1" applyFont="1" applyBorder="1" applyAlignment="1">
      <alignment horizontal="center" vertical="center" shrinkToFit="1"/>
    </xf>
    <xf numFmtId="3" fontId="32" fillId="0" borderId="76" xfId="0" applyNumberFormat="1" applyFont="1" applyBorder="1" applyAlignment="1">
      <alignment horizontal="justify" vertical="center" wrapText="1" shrinkToFit="1"/>
    </xf>
    <xf numFmtId="3" fontId="112" fillId="0" borderId="76" xfId="0" applyNumberFormat="1" applyFont="1" applyBorder="1" applyAlignment="1">
      <alignment vertical="center" shrinkToFit="1"/>
    </xf>
    <xf numFmtId="3" fontId="32" fillId="0" borderId="76" xfId="0" applyNumberFormat="1" applyFont="1" applyBorder="1" applyAlignment="1">
      <alignment vertical="center" shrinkToFit="1"/>
    </xf>
    <xf numFmtId="3" fontId="120" fillId="0" borderId="76" xfId="0" applyNumberFormat="1" applyFont="1" applyBorder="1" applyAlignment="1">
      <alignment vertical="center" shrinkToFit="1"/>
    </xf>
    <xf numFmtId="0" fontId="130" fillId="0" borderId="75" xfId="0" applyFont="1" applyBorder="1" applyAlignment="1">
      <alignment horizontal="center" vertical="center"/>
    </xf>
    <xf numFmtId="0" fontId="130" fillId="0" borderId="76" xfId="0" applyFont="1" applyBorder="1" applyAlignment="1">
      <alignment vertical="center" shrinkToFit="1"/>
    </xf>
    <xf numFmtId="3" fontId="133" fillId="0" borderId="78" xfId="0" applyNumberFormat="1" applyFont="1" applyBorder="1" applyAlignment="1">
      <alignment vertical="center" shrinkToFit="1"/>
    </xf>
    <xf numFmtId="3" fontId="133" fillId="0" borderId="60" xfId="0" applyNumberFormat="1" applyFont="1" applyBorder="1" applyAlignment="1">
      <alignment vertical="center" wrapText="1" shrinkToFit="1"/>
    </xf>
    <xf numFmtId="3" fontId="133" fillId="0" borderId="93" xfId="0" applyNumberFormat="1" applyFont="1" applyBorder="1" applyAlignment="1">
      <alignment vertical="center" shrinkToFit="1"/>
    </xf>
    <xf numFmtId="3" fontId="113" fillId="0" borderId="60" xfId="0" applyNumberFormat="1" applyFont="1" applyBorder="1" applyAlignment="1">
      <alignment vertical="center" wrapText="1" shrinkToFit="1"/>
    </xf>
    <xf numFmtId="3" fontId="113" fillId="0" borderId="93" xfId="0" applyNumberFormat="1" applyFont="1" applyBorder="1" applyAlignment="1">
      <alignment vertical="center" shrinkToFit="1"/>
    </xf>
    <xf numFmtId="0" fontId="32" fillId="0" borderId="75" xfId="0" applyFont="1" applyBorder="1" applyAlignment="1">
      <alignment horizontal="center" vertical="center"/>
    </xf>
    <xf numFmtId="0" fontId="32" fillId="0" borderId="76" xfId="0" applyFont="1" applyBorder="1" applyAlignment="1">
      <alignment vertical="center" shrinkToFit="1"/>
    </xf>
    <xf numFmtId="3" fontId="113" fillId="0" borderId="76" xfId="0" applyNumberFormat="1" applyFont="1" applyBorder="1" applyAlignment="1">
      <alignment vertical="center"/>
    </xf>
    <xf numFmtId="0" fontId="112" fillId="0" borderId="76" xfId="0" applyFont="1" applyBorder="1" applyAlignment="1">
      <alignment vertical="center"/>
    </xf>
    <xf numFmtId="3" fontId="112" fillId="0" borderId="76" xfId="0" applyNumberFormat="1" applyFont="1" applyBorder="1" applyAlignment="1">
      <alignment vertical="center"/>
    </xf>
    <xf numFmtId="0" fontId="32" fillId="0" borderId="76" xfId="0" applyFont="1" applyBorder="1" applyAlignment="1">
      <alignment horizontal="left" vertical="center" shrinkToFit="1"/>
    </xf>
    <xf numFmtId="3" fontId="112" fillId="0" borderId="60" xfId="0" applyNumberFormat="1" applyFont="1" applyBorder="1" applyAlignment="1">
      <alignment vertical="center" wrapText="1" shrinkToFit="1"/>
    </xf>
    <xf numFmtId="3" fontId="112" fillId="0" borderId="93" xfId="0" applyNumberFormat="1" applyFont="1" applyBorder="1" applyAlignment="1">
      <alignment vertical="center" shrinkToFit="1"/>
    </xf>
    <xf numFmtId="0" fontId="120" fillId="0" borderId="75" xfId="0" applyFont="1" applyBorder="1" applyAlignment="1">
      <alignment horizontal="center"/>
    </xf>
    <xf numFmtId="3" fontId="120" fillId="0" borderId="76" xfId="0" applyNumberFormat="1" applyFont="1" applyBorder="1" applyAlignment="1">
      <alignment wrapText="1" shrinkToFit="1"/>
    </xf>
    <xf numFmtId="0" fontId="113" fillId="0" borderId="76" xfId="0" applyFont="1" applyBorder="1"/>
    <xf numFmtId="3" fontId="113" fillId="0" borderId="76" xfId="0" applyNumberFormat="1" applyFont="1" applyBorder="1"/>
    <xf numFmtId="3" fontId="121" fillId="0" borderId="76" xfId="0" applyNumberFormat="1" applyFont="1" applyBorder="1" applyAlignment="1">
      <alignment shrinkToFit="1"/>
    </xf>
    <xf numFmtId="0" fontId="120" fillId="0" borderId="76" xfId="0" applyFont="1" applyBorder="1" applyAlignment="1">
      <alignment shrinkToFit="1"/>
    </xf>
    <xf numFmtId="0" fontId="120" fillId="0" borderId="75" xfId="0" applyFont="1" applyBorder="1" applyAlignment="1">
      <alignment horizontal="center" shrinkToFit="1"/>
    </xf>
    <xf numFmtId="3" fontId="113" fillId="0" borderId="76" xfId="0" applyNumberFormat="1" applyFont="1" applyBorder="1" applyAlignment="1">
      <alignment shrinkToFit="1"/>
    </xf>
    <xf numFmtId="3" fontId="122" fillId="0" borderId="76" xfId="0" applyNumberFormat="1" applyFont="1" applyBorder="1" applyAlignment="1">
      <alignment vertical="center" shrinkToFit="1"/>
    </xf>
    <xf numFmtId="3" fontId="120" fillId="0" borderId="76" xfId="0" applyNumberFormat="1" applyFont="1" applyBorder="1" applyAlignment="1">
      <alignment vertical="center" wrapText="1"/>
    </xf>
    <xf numFmtId="3" fontId="113" fillId="0" borderId="76" xfId="0" applyNumberFormat="1" applyFont="1" applyBorder="1" applyAlignment="1">
      <alignment wrapText="1" shrinkToFit="1"/>
    </xf>
    <xf numFmtId="3" fontId="112" fillId="0" borderId="76" xfId="0" applyNumberFormat="1" applyFont="1" applyBorder="1" applyAlignment="1">
      <alignment wrapText="1" shrinkToFit="1"/>
    </xf>
    <xf numFmtId="0" fontId="112" fillId="0" borderId="76" xfId="0" applyFont="1" applyBorder="1"/>
    <xf numFmtId="0" fontId="112" fillId="0" borderId="152" xfId="0" applyFont="1" applyBorder="1"/>
    <xf numFmtId="3" fontId="112" fillId="0" borderId="76" xfId="0" applyNumberFormat="1" applyFont="1" applyBorder="1"/>
    <xf numFmtId="3" fontId="112" fillId="0" borderId="77" xfId="0" applyNumberFormat="1" applyFont="1" applyBorder="1"/>
    <xf numFmtId="0" fontId="130" fillId="0" borderId="76" xfId="0" applyFont="1" applyBorder="1" applyAlignment="1">
      <alignment horizontal="center" vertical="center" shrinkToFit="1"/>
    </xf>
    <xf numFmtId="3" fontId="133" fillId="0" borderId="76" xfId="0" applyNumberFormat="1" applyFont="1" applyBorder="1" applyAlignment="1">
      <alignment vertical="center" shrinkToFit="1"/>
    </xf>
    <xf numFmtId="3" fontId="129" fillId="0" borderId="78" xfId="0" applyNumberFormat="1" applyFont="1" applyBorder="1" applyAlignment="1">
      <alignment vertical="center" shrinkToFit="1"/>
    </xf>
    <xf numFmtId="3" fontId="201" fillId="0" borderId="78" xfId="0" applyNumberFormat="1" applyFont="1" applyBorder="1" applyAlignment="1">
      <alignment vertical="center" wrapText="1" shrinkToFit="1"/>
    </xf>
    <xf numFmtId="3" fontId="129" fillId="0" borderId="151" xfId="0" applyNumberFormat="1" applyFont="1" applyBorder="1" applyAlignment="1">
      <alignment vertical="center" wrapText="1" shrinkToFit="1"/>
    </xf>
    <xf numFmtId="0" fontId="112" fillId="0" borderId="80" xfId="0" applyFont="1" applyBorder="1"/>
    <xf numFmtId="0" fontId="112" fillId="0" borderId="81" xfId="0" applyFont="1" applyBorder="1"/>
    <xf numFmtId="3" fontId="112" fillId="0" borderId="81" xfId="0" applyNumberFormat="1" applyFont="1" applyBorder="1" applyAlignment="1">
      <alignment vertical="center"/>
    </xf>
    <xf numFmtId="0" fontId="112" fillId="0" borderId="82" xfId="0" applyFont="1" applyBorder="1"/>
    <xf numFmtId="0" fontId="112" fillId="0" borderId="153" xfId="0" applyFont="1" applyBorder="1"/>
    <xf numFmtId="0" fontId="113" fillId="0" borderId="9" xfId="0" applyFont="1" applyBorder="1" applyAlignment="1">
      <alignment horizontal="center"/>
    </xf>
    <xf numFmtId="0" fontId="129" fillId="0" borderId="58" xfId="0" applyFont="1" applyBorder="1" applyAlignment="1">
      <alignment vertical="center" shrinkToFit="1"/>
    </xf>
    <xf numFmtId="0" fontId="121" fillId="0" borderId="60" xfId="0" applyFont="1" applyBorder="1" applyAlignment="1">
      <alignment vertical="center" shrinkToFit="1"/>
    </xf>
    <xf numFmtId="0" fontId="135" fillId="0" borderId="60" xfId="0" applyFont="1" applyBorder="1" applyAlignment="1">
      <alignment vertical="center" shrinkToFit="1"/>
    </xf>
    <xf numFmtId="0" fontId="135" fillId="0" borderId="60" xfId="0" applyFont="1" applyBorder="1" applyAlignment="1">
      <alignment horizontal="left" vertical="center" shrinkToFit="1"/>
    </xf>
    <xf numFmtId="3" fontId="122" fillId="0" borderId="4" xfId="0" applyNumberFormat="1" applyFont="1" applyBorder="1" applyAlignment="1">
      <alignment horizontal="center" vertical="center" shrinkToFit="1"/>
    </xf>
    <xf numFmtId="3" fontId="122" fillId="0" borderId="60" xfId="0" applyNumberFormat="1" applyFont="1" applyBorder="1" applyAlignment="1">
      <alignment horizontal="justify" vertical="center" wrapText="1" shrinkToFit="1"/>
    </xf>
    <xf numFmtId="0" fontId="129" fillId="0" borderId="60" xfId="0" applyFont="1" applyBorder="1" applyAlignment="1">
      <alignment vertical="center" shrinkToFit="1"/>
    </xf>
    <xf numFmtId="0" fontId="122" fillId="0" borderId="60" xfId="0" applyFont="1" applyBorder="1" applyAlignment="1">
      <alignment vertical="center" shrinkToFit="1"/>
    </xf>
    <xf numFmtId="0" fontId="122" fillId="0" borderId="60" xfId="0" applyFont="1" applyBorder="1" applyAlignment="1">
      <alignment horizontal="left" vertical="center" shrinkToFit="1"/>
    </xf>
    <xf numFmtId="3" fontId="121" fillId="0" borderId="60" xfId="0" applyNumberFormat="1" applyFont="1" applyBorder="1" applyAlignment="1">
      <alignment wrapText="1" shrinkToFit="1"/>
    </xf>
    <xf numFmtId="0" fontId="121" fillId="0" borderId="4" xfId="0" applyFont="1" applyBorder="1" applyAlignment="1">
      <alignment horizontal="center" vertical="center" shrinkToFit="1"/>
    </xf>
    <xf numFmtId="3" fontId="121" fillId="0" borderId="60" xfId="0" applyNumberFormat="1" applyFont="1" applyBorder="1" applyAlignment="1">
      <alignment vertical="center" wrapText="1"/>
    </xf>
    <xf numFmtId="0" fontId="121" fillId="0" borderId="6" xfId="0" applyFont="1" applyBorder="1" applyAlignment="1">
      <alignment horizontal="center" vertical="center" shrinkToFit="1"/>
    </xf>
    <xf numFmtId="0" fontId="129" fillId="0" borderId="5" xfId="0" applyFont="1" applyBorder="1" applyAlignment="1">
      <alignment horizontal="center" vertical="center"/>
    </xf>
    <xf numFmtId="0" fontId="129" fillId="0" borderId="6" xfId="0" applyFont="1" applyBorder="1" applyAlignment="1">
      <alignment horizontal="center" vertical="center" shrinkToFit="1"/>
    </xf>
    <xf numFmtId="0" fontId="123" fillId="27" borderId="159" xfId="0" applyFont="1" applyFill="1" applyBorder="1" applyAlignment="1">
      <alignment horizontal="center" vertical="center"/>
    </xf>
    <xf numFmtId="0" fontId="123" fillId="27" borderId="159" xfId="0" applyFont="1" applyFill="1" applyBorder="1" applyAlignment="1">
      <alignment horizontal="center"/>
    </xf>
    <xf numFmtId="0" fontId="113" fillId="27" borderId="159" xfId="0" applyFont="1" applyFill="1" applyBorder="1" applyAlignment="1">
      <alignment horizontal="center" vertical="center"/>
    </xf>
    <xf numFmtId="0" fontId="113" fillId="27" borderId="159" xfId="0" applyFont="1" applyFill="1" applyBorder="1" applyAlignment="1">
      <alignment horizontal="center"/>
    </xf>
    <xf numFmtId="0" fontId="113" fillId="27" borderId="160" xfId="0" applyFont="1" applyFill="1" applyBorder="1" applyAlignment="1">
      <alignment horizontal="center"/>
    </xf>
    <xf numFmtId="0" fontId="129" fillId="27" borderId="161" xfId="0" applyFont="1" applyFill="1" applyBorder="1" applyAlignment="1">
      <alignment horizontal="center" vertical="center"/>
    </xf>
    <xf numFmtId="0" fontId="130" fillId="27" borderId="162" xfId="0" applyFont="1" applyFill="1" applyBorder="1" applyAlignment="1">
      <alignment vertical="center" shrinkToFit="1"/>
    </xf>
    <xf numFmtId="3" fontId="133" fillId="27" borderId="162" xfId="0" applyNumberFormat="1" applyFont="1" applyFill="1" applyBorder="1" applyAlignment="1">
      <alignment vertical="center" shrinkToFit="1"/>
    </xf>
    <xf numFmtId="3" fontId="133" fillId="27" borderId="163" xfId="0" applyNumberFormat="1" applyFont="1" applyFill="1" applyBorder="1" applyAlignment="1">
      <alignment vertical="center" shrinkToFit="1"/>
    </xf>
    <xf numFmtId="0" fontId="128" fillId="27" borderId="164" xfId="0" applyFont="1" applyFill="1" applyBorder="1" applyAlignment="1">
      <alignment horizontal="center" vertical="center"/>
    </xf>
    <xf numFmtId="0" fontId="128" fillId="27" borderId="165" xfId="0" applyFont="1" applyFill="1" applyBorder="1" applyAlignment="1">
      <alignment vertical="center" shrinkToFit="1"/>
    </xf>
    <xf numFmtId="3" fontId="113" fillId="27" borderId="165" xfId="0" applyNumberFormat="1" applyFont="1" applyFill="1" applyBorder="1" applyAlignment="1">
      <alignment vertical="center" shrinkToFit="1"/>
    </xf>
    <xf numFmtId="3" fontId="121" fillId="0" borderId="165" xfId="0" applyNumberFormat="1" applyFont="1" applyBorder="1" applyAlignment="1">
      <alignment vertical="center" shrinkToFit="1"/>
    </xf>
    <xf numFmtId="3" fontId="121" fillId="0" borderId="166" xfId="0" applyNumberFormat="1" applyFont="1" applyBorder="1" applyAlignment="1">
      <alignment vertical="center" shrinkToFit="1"/>
    </xf>
    <xf numFmtId="0" fontId="120" fillId="27" borderId="164" xfId="0" applyFont="1" applyFill="1" applyBorder="1" applyAlignment="1">
      <alignment horizontal="center" vertical="center"/>
    </xf>
    <xf numFmtId="0" fontId="120" fillId="27" borderId="165" xfId="0" applyFont="1" applyFill="1" applyBorder="1" applyAlignment="1">
      <alignment vertical="center" shrinkToFit="1"/>
    </xf>
    <xf numFmtId="3" fontId="113" fillId="27" borderId="166" xfId="0" applyNumberFormat="1" applyFont="1" applyFill="1" applyBorder="1" applyAlignment="1">
      <alignment vertical="center" shrinkToFit="1"/>
    </xf>
    <xf numFmtId="3" fontId="112" fillId="27" borderId="165" xfId="0" applyNumberFormat="1" applyFont="1" applyFill="1" applyBorder="1" applyAlignment="1">
      <alignment shrinkToFit="1"/>
    </xf>
    <xf numFmtId="3" fontId="122" fillId="0" borderId="165" xfId="0" applyNumberFormat="1" applyFont="1" applyBorder="1" applyAlignment="1">
      <alignment vertical="center" shrinkToFit="1"/>
    </xf>
    <xf numFmtId="3" fontId="122" fillId="0" borderId="166" xfId="0" applyNumberFormat="1" applyFont="1" applyBorder="1" applyAlignment="1">
      <alignment vertical="center" shrinkToFit="1"/>
    </xf>
    <xf numFmtId="0" fontId="134" fillId="27" borderId="164" xfId="0" applyFont="1" applyFill="1" applyBorder="1" applyAlignment="1">
      <alignment horizontal="center" vertical="center"/>
    </xf>
    <xf numFmtId="0" fontId="134" fillId="27" borderId="165" xfId="0" applyFont="1" applyFill="1" applyBorder="1" applyAlignment="1">
      <alignment vertical="center" shrinkToFit="1"/>
    </xf>
    <xf numFmtId="3" fontId="112" fillId="27" borderId="165" xfId="1" applyNumberFormat="1" applyFont="1" applyFill="1" applyBorder="1" applyAlignment="1">
      <alignment vertical="center" shrinkToFit="1"/>
    </xf>
    <xf numFmtId="3" fontId="135" fillId="0" borderId="165" xfId="0" applyNumberFormat="1" applyFont="1" applyBorder="1" applyAlignment="1">
      <alignment vertical="center" shrinkToFit="1"/>
    </xf>
    <xf numFmtId="3" fontId="135" fillId="0" borderId="166" xfId="0" applyNumberFormat="1" applyFont="1" applyBorder="1" applyAlignment="1">
      <alignment vertical="center" shrinkToFit="1"/>
    </xf>
    <xf numFmtId="0" fontId="134" fillId="27" borderId="165" xfId="0" applyFont="1" applyFill="1" applyBorder="1" applyAlignment="1">
      <alignment horizontal="left" vertical="center" shrinkToFit="1"/>
    </xf>
    <xf numFmtId="3" fontId="125" fillId="27" borderId="165" xfId="1" applyNumberFormat="1" applyFont="1" applyFill="1" applyBorder="1" applyAlignment="1">
      <alignment vertical="center" shrinkToFit="1"/>
    </xf>
    <xf numFmtId="3" fontId="125" fillId="27" borderId="166" xfId="1" applyNumberFormat="1" applyFont="1" applyFill="1" applyBorder="1" applyAlignment="1">
      <alignment vertical="center" shrinkToFit="1"/>
    </xf>
    <xf numFmtId="3" fontId="119" fillId="0" borderId="166" xfId="0" applyNumberFormat="1" applyFont="1" applyBorder="1" applyAlignment="1">
      <alignment vertical="center" shrinkToFit="1"/>
    </xf>
    <xf numFmtId="3" fontId="113" fillId="0" borderId="166" xfId="0" applyNumberFormat="1" applyFont="1" applyBorder="1" applyAlignment="1">
      <alignment vertical="center" shrinkToFit="1"/>
    </xf>
    <xf numFmtId="3" fontId="32" fillId="27" borderId="164" xfId="0" applyNumberFormat="1" applyFont="1" applyFill="1" applyBorder="1" applyAlignment="1">
      <alignment horizontal="center" vertical="center" shrinkToFit="1"/>
    </xf>
    <xf numFmtId="3" fontId="32" fillId="27" borderId="165" xfId="0" applyNumberFormat="1" applyFont="1" applyFill="1" applyBorder="1" applyAlignment="1">
      <alignment horizontal="justify" vertical="center" wrapText="1" shrinkToFit="1"/>
    </xf>
    <xf numFmtId="3" fontId="112" fillId="27" borderId="165" xfId="0" applyNumberFormat="1" applyFont="1" applyFill="1" applyBorder="1" applyAlignment="1">
      <alignment vertical="center" shrinkToFit="1"/>
    </xf>
    <xf numFmtId="3" fontId="112" fillId="0" borderId="166" xfId="0" applyNumberFormat="1" applyFont="1" applyBorder="1" applyAlignment="1">
      <alignment vertical="center" shrinkToFit="1"/>
    </xf>
    <xf numFmtId="3" fontId="3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shrinkToFit="1"/>
    </xf>
    <xf numFmtId="0" fontId="130" fillId="27" borderId="164" xfId="0" applyFont="1" applyFill="1" applyBorder="1" applyAlignment="1">
      <alignment horizontal="center" vertical="center"/>
    </xf>
    <xf numFmtId="0" fontId="130" fillId="27" borderId="165" xfId="0" applyFont="1" applyFill="1" applyBorder="1" applyAlignment="1">
      <alignment vertical="center" shrinkToFit="1"/>
    </xf>
    <xf numFmtId="3" fontId="133" fillId="27" borderId="165" xfId="0" applyNumberFormat="1" applyFont="1" applyFill="1" applyBorder="1" applyAlignment="1">
      <alignment vertical="center" shrinkToFit="1"/>
    </xf>
    <xf numFmtId="3" fontId="133" fillId="27" borderId="166" xfId="0" applyNumberFormat="1" applyFont="1" applyFill="1" applyBorder="1" applyAlignment="1">
      <alignment vertical="center" shrinkToFit="1"/>
    </xf>
    <xf numFmtId="0" fontId="32" fillId="27" borderId="164" xfId="0" applyFont="1" applyFill="1" applyBorder="1" applyAlignment="1">
      <alignment horizontal="center" vertical="center"/>
    </xf>
    <xf numFmtId="0" fontId="32" fillId="27" borderId="165" xfId="0" applyFont="1" applyFill="1" applyBorder="1" applyAlignment="1">
      <alignment vertical="center" shrinkToFit="1"/>
    </xf>
    <xf numFmtId="3" fontId="113" fillId="27" borderId="165" xfId="0" applyNumberFormat="1" applyFont="1" applyFill="1" applyBorder="1" applyAlignment="1">
      <alignment vertical="center"/>
    </xf>
    <xf numFmtId="0" fontId="112" fillId="27" borderId="165" xfId="0" applyFont="1" applyFill="1" applyBorder="1" applyAlignment="1">
      <alignment vertical="center"/>
    </xf>
    <xf numFmtId="3" fontId="112" fillId="27" borderId="165" xfId="0" applyNumberFormat="1" applyFont="1" applyFill="1" applyBorder="1" applyAlignment="1">
      <alignment vertical="center"/>
    </xf>
    <xf numFmtId="0" fontId="32" fillId="27" borderId="165" xfId="0" applyFont="1" applyFill="1" applyBorder="1" applyAlignment="1">
      <alignment horizontal="left" vertical="center" shrinkToFit="1"/>
    </xf>
    <xf numFmtId="3" fontId="112" fillId="27" borderId="166" xfId="0" applyNumberFormat="1" applyFont="1" applyFill="1" applyBorder="1" applyAlignment="1">
      <alignment vertical="center" shrinkToFit="1"/>
    </xf>
    <xf numFmtId="0" fontId="120" fillId="27" borderId="164" xfId="0" applyFont="1" applyFill="1" applyBorder="1" applyAlignment="1">
      <alignment horizontal="center"/>
    </xf>
    <xf numFmtId="3" fontId="120" fillId="27" borderId="165" xfId="0" applyNumberFormat="1" applyFont="1" applyFill="1" applyBorder="1" applyAlignment="1">
      <alignment wrapText="1" shrinkToFit="1"/>
    </xf>
    <xf numFmtId="0" fontId="113" fillId="27" borderId="165" xfId="0" applyFont="1" applyFill="1" applyBorder="1"/>
    <xf numFmtId="3" fontId="113" fillId="27" borderId="165" xfId="0" applyNumberFormat="1" applyFont="1" applyFill="1" applyBorder="1"/>
    <xf numFmtId="3" fontId="121" fillId="27" borderId="165" xfId="0" applyNumberFormat="1" applyFont="1" applyFill="1" applyBorder="1" applyAlignment="1">
      <alignment shrinkToFit="1"/>
    </xf>
    <xf numFmtId="0" fontId="120" fillId="27" borderId="165" xfId="0" applyFont="1" applyFill="1" applyBorder="1" applyAlignment="1">
      <alignment shrinkToFit="1"/>
    </xf>
    <xf numFmtId="0" fontId="120" fillId="27" borderId="164" xfId="0" applyFont="1" applyFill="1" applyBorder="1" applyAlignment="1">
      <alignment horizontal="center" shrinkToFit="1"/>
    </xf>
    <xf numFmtId="3" fontId="113" fillId="27" borderId="165" xfId="0" applyNumberFormat="1" applyFont="1" applyFill="1" applyBorder="1" applyAlignment="1">
      <alignment shrinkToFit="1"/>
    </xf>
    <xf numFmtId="3" fontId="12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wrapText="1"/>
    </xf>
    <xf numFmtId="0" fontId="130" fillId="27" borderId="165" xfId="0" applyFont="1" applyFill="1" applyBorder="1" applyAlignment="1">
      <alignment horizontal="center" vertical="center" shrinkToFit="1"/>
    </xf>
    <xf numFmtId="3" fontId="129" fillId="0" borderId="165" xfId="0" applyNumberFormat="1" applyFont="1" applyBorder="1" applyAlignment="1">
      <alignment vertical="center" shrinkToFit="1"/>
    </xf>
    <xf numFmtId="3" fontId="129" fillId="0" borderId="166" xfId="0" applyNumberFormat="1" applyFont="1" applyBorder="1" applyAlignment="1">
      <alignment vertical="center" shrinkToFit="1"/>
    </xf>
    <xf numFmtId="0" fontId="4" fillId="0" borderId="60" xfId="381" applyFont="1" applyBorder="1" applyAlignment="1">
      <alignment vertical="center" wrapText="1" shrinkToFit="1"/>
    </xf>
    <xf numFmtId="0" fontId="197" fillId="0" borderId="0" xfId="381" applyFont="1" applyAlignment="1">
      <alignment horizontal="center"/>
    </xf>
    <xf numFmtId="0" fontId="180" fillId="0" borderId="0" xfId="381" applyFont="1" applyAlignment="1">
      <alignment wrapText="1"/>
    </xf>
    <xf numFmtId="0" fontId="4" fillId="0" borderId="60" xfId="0" applyFont="1" applyBorder="1" applyAlignment="1">
      <alignment vertical="center" wrapText="1" shrinkToFit="1"/>
    </xf>
    <xf numFmtId="0" fontId="197" fillId="0" borderId="0" xfId="0" applyFont="1" applyAlignment="1">
      <alignment wrapText="1"/>
    </xf>
    <xf numFmtId="0" fontId="184" fillId="0" borderId="0" xfId="381" applyFont="1"/>
    <xf numFmtId="0" fontId="184" fillId="0" borderId="0" xfId="381" applyFont="1" applyAlignment="1">
      <alignment horizontal="center"/>
    </xf>
    <xf numFmtId="0" fontId="197" fillId="0" borderId="0" xfId="381" applyFont="1" applyAlignment="1">
      <alignment horizontal="right"/>
    </xf>
    <xf numFmtId="0" fontId="184" fillId="0" borderId="0" xfId="381" applyFont="1" applyAlignment="1">
      <alignment wrapText="1"/>
    </xf>
    <xf numFmtId="0" fontId="184" fillId="0" borderId="11" xfId="381" applyFont="1" applyBorder="1" applyAlignment="1">
      <alignment horizontal="center" vertical="center" wrapText="1"/>
    </xf>
    <xf numFmtId="0" fontId="184" fillId="0" borderId="0" xfId="381" applyFont="1" applyAlignment="1">
      <alignment vertical="center" wrapText="1"/>
    </xf>
    <xf numFmtId="0" fontId="180" fillId="0" borderId="14" xfId="381" applyFont="1" applyBorder="1" applyAlignment="1">
      <alignment horizontal="center" vertical="center" wrapText="1"/>
    </xf>
    <xf numFmtId="0" fontId="180" fillId="0" borderId="14" xfId="381" applyFont="1" applyBorder="1" applyAlignment="1">
      <alignment vertical="center" wrapText="1"/>
    </xf>
    <xf numFmtId="179" fontId="11" fillId="0" borderId="14" xfId="1" applyNumberFormat="1" applyFont="1" applyFill="1" applyBorder="1" applyAlignment="1">
      <alignment horizontal="center" vertical="center" wrapText="1"/>
    </xf>
    <xf numFmtId="179" fontId="11" fillId="0" borderId="0" xfId="381" applyNumberFormat="1" applyFont="1" applyAlignment="1">
      <alignment vertical="center" wrapText="1"/>
    </xf>
    <xf numFmtId="0" fontId="184" fillId="0" borderId="60" xfId="381" applyFont="1" applyBorder="1" applyAlignment="1">
      <alignment horizontal="center" vertical="center" wrapText="1"/>
    </xf>
    <xf numFmtId="0" fontId="184" fillId="0" borderId="60" xfId="381" applyFont="1" applyBorder="1" applyAlignment="1">
      <alignment vertical="center" wrapText="1" shrinkToFit="1"/>
    </xf>
    <xf numFmtId="179" fontId="184" fillId="0" borderId="60" xfId="1" applyNumberFormat="1" applyFont="1" applyFill="1" applyBorder="1" applyAlignment="1">
      <alignment horizontal="center" vertical="center" wrapText="1"/>
    </xf>
    <xf numFmtId="179" fontId="184" fillId="0" borderId="60" xfId="1" applyNumberFormat="1" applyFont="1" applyFill="1" applyBorder="1" applyAlignment="1">
      <alignment vertical="center" wrapText="1"/>
    </xf>
    <xf numFmtId="179" fontId="184" fillId="0" borderId="0" xfId="1" applyNumberFormat="1" applyFont="1" applyFill="1" applyAlignment="1">
      <alignment vertical="center" wrapText="1"/>
    </xf>
    <xf numFmtId="179" fontId="203" fillId="0" borderId="0" xfId="1" applyNumberFormat="1" applyFont="1" applyFill="1" applyAlignment="1">
      <alignment vertical="center" wrapText="1"/>
    </xf>
    <xf numFmtId="0" fontId="203" fillId="0" borderId="0" xfId="381" applyFont="1" applyAlignment="1">
      <alignment vertical="center" wrapText="1"/>
    </xf>
    <xf numFmtId="0" fontId="204" fillId="0" borderId="0" xfId="381" applyFont="1" applyAlignment="1">
      <alignment vertical="center" wrapText="1"/>
    </xf>
    <xf numFmtId="179" fontId="204" fillId="0" borderId="0" xfId="381" applyNumberFormat="1" applyFont="1" applyAlignment="1">
      <alignment vertical="center" wrapText="1"/>
    </xf>
    <xf numFmtId="179" fontId="184" fillId="0" borderId="0" xfId="381" applyNumberFormat="1" applyFont="1" applyAlignment="1">
      <alignment vertical="center" wrapText="1"/>
    </xf>
    <xf numFmtId="179" fontId="11" fillId="0" borderId="0" xfId="1" applyNumberFormat="1" applyFont="1" applyFill="1" applyAlignment="1">
      <alignment vertical="center" wrapText="1"/>
    </xf>
    <xf numFmtId="179" fontId="4" fillId="0" borderId="0" xfId="1" applyNumberFormat="1" applyFont="1" applyFill="1" applyAlignment="1">
      <alignment vertical="center" wrapText="1"/>
    </xf>
    <xf numFmtId="0" fontId="184" fillId="0" borderId="60" xfId="381" quotePrefix="1" applyFont="1" applyBorder="1" applyAlignment="1">
      <alignment vertical="center" wrapText="1" shrinkToFit="1"/>
    </xf>
    <xf numFmtId="0" fontId="180" fillId="0" borderId="60" xfId="381" applyFont="1" applyBorder="1" applyAlignment="1">
      <alignment horizontal="center" vertical="center" wrapText="1"/>
    </xf>
    <xf numFmtId="0" fontId="180" fillId="0" borderId="60" xfId="381" applyFont="1" applyBorder="1" applyAlignment="1">
      <alignment vertical="center" wrapText="1" shrinkToFit="1"/>
    </xf>
    <xf numFmtId="179" fontId="11" fillId="0" borderId="60" xfId="1" applyNumberFormat="1" applyFont="1" applyFill="1" applyBorder="1" applyAlignment="1">
      <alignment horizontal="center" vertical="center" wrapText="1"/>
    </xf>
    <xf numFmtId="3" fontId="11" fillId="0" borderId="0" xfId="0" applyNumberFormat="1" applyFont="1" applyAlignment="1">
      <alignment vertical="center"/>
    </xf>
    <xf numFmtId="49" fontId="180" fillId="0" borderId="60" xfId="409" applyNumberFormat="1" applyFont="1" applyBorder="1" applyAlignment="1">
      <alignment vertical="center" wrapText="1" shrinkToFit="1"/>
    </xf>
    <xf numFmtId="179" fontId="11" fillId="0" borderId="60" xfId="1" applyNumberFormat="1" applyFont="1" applyFill="1" applyBorder="1" applyAlignment="1">
      <alignment vertical="center" wrapText="1"/>
    </xf>
    <xf numFmtId="0" fontId="184" fillId="0" borderId="60" xfId="409" applyFont="1" applyBorder="1" applyAlignment="1">
      <alignment vertical="center" wrapText="1" shrinkToFit="1"/>
    </xf>
    <xf numFmtId="49" fontId="184" fillId="0" borderId="60" xfId="409" applyNumberFormat="1" applyFont="1" applyBorder="1" applyAlignment="1">
      <alignment vertical="center" wrapText="1" shrinkToFit="1"/>
    </xf>
    <xf numFmtId="0" fontId="184" fillId="0" borderId="13" xfId="381" applyFont="1" applyBorder="1" applyAlignment="1">
      <alignment horizontal="center" vertical="center" wrapText="1"/>
    </xf>
    <xf numFmtId="0" fontId="184" fillId="0" borderId="13" xfId="381" applyFont="1" applyBorder="1" applyAlignment="1">
      <alignment vertical="center" wrapText="1" shrinkToFit="1"/>
    </xf>
    <xf numFmtId="179" fontId="184" fillId="0" borderId="13" xfId="1" applyNumberFormat="1" applyFont="1" applyFill="1" applyBorder="1" applyAlignment="1">
      <alignment vertical="center" wrapText="1"/>
    </xf>
    <xf numFmtId="0" fontId="184" fillId="0" borderId="0" xfId="381" applyFont="1" applyAlignment="1">
      <alignment horizontal="center" vertical="center" wrapText="1"/>
    </xf>
    <xf numFmtId="179" fontId="184" fillId="0" borderId="0" xfId="1" applyNumberFormat="1" applyFont="1" applyFill="1" applyAlignment="1">
      <alignment wrapText="1"/>
    </xf>
    <xf numFmtId="179" fontId="184" fillId="0" borderId="0" xfId="381" applyNumberFormat="1" applyFont="1" applyAlignment="1">
      <alignment wrapText="1"/>
    </xf>
    <xf numFmtId="0" fontId="197" fillId="0" borderId="0" xfId="381" quotePrefix="1" applyFont="1" applyAlignment="1">
      <alignment horizontal="center" wrapText="1"/>
    </xf>
    <xf numFmtId="0" fontId="197" fillId="0" borderId="0" xfId="0" applyFont="1" applyAlignment="1">
      <alignment horizontal="right"/>
    </xf>
    <xf numFmtId="179" fontId="184" fillId="0" borderId="0" xfId="1" applyNumberFormat="1" applyFont="1" applyFill="1"/>
    <xf numFmtId="0" fontId="180" fillId="0" borderId="0" xfId="381" applyFont="1" applyAlignment="1">
      <alignment horizontal="right"/>
    </xf>
    <xf numFmtId="0" fontId="184" fillId="0" borderId="0" xfId="381" applyFont="1" applyAlignment="1">
      <alignment horizontal="right"/>
    </xf>
    <xf numFmtId="179" fontId="184" fillId="0" borderId="0" xfId="381" applyNumberFormat="1" applyFont="1"/>
    <xf numFmtId="165" fontId="121" fillId="2" borderId="58" xfId="382" applyFont="1" applyFill="1" applyBorder="1" applyAlignment="1">
      <alignment vertical="center" wrapText="1"/>
    </xf>
    <xf numFmtId="3" fontId="121" fillId="2" borderId="58" xfId="382" applyNumberFormat="1" applyFont="1" applyFill="1" applyBorder="1" applyAlignment="1">
      <alignment vertical="center" shrinkToFit="1"/>
    </xf>
    <xf numFmtId="3" fontId="121" fillId="2" borderId="58" xfId="382" applyNumberFormat="1" applyFont="1" applyFill="1" applyBorder="1" applyAlignment="1">
      <alignment vertical="center"/>
    </xf>
    <xf numFmtId="3" fontId="121" fillId="0" borderId="58" xfId="0" applyNumberFormat="1" applyFont="1" applyBorder="1" applyAlignment="1">
      <alignment vertical="center"/>
    </xf>
    <xf numFmtId="0" fontId="121" fillId="0" borderId="60" xfId="0" applyFont="1" applyBorder="1" applyAlignment="1">
      <alignment horizontal="center" vertical="center"/>
    </xf>
    <xf numFmtId="165" fontId="121" fillId="2" borderId="60" xfId="382" applyFont="1" applyFill="1" applyBorder="1" applyAlignment="1">
      <alignment vertical="center" wrapText="1"/>
    </xf>
    <xf numFmtId="3" fontId="121" fillId="2" borderId="60" xfId="382" applyNumberFormat="1" applyFont="1" applyFill="1" applyBorder="1" applyAlignment="1">
      <alignment vertical="center" shrinkToFit="1"/>
    </xf>
    <xf numFmtId="3" fontId="121" fillId="2" borderId="60" xfId="382" applyNumberFormat="1" applyFont="1" applyFill="1" applyBorder="1" applyAlignment="1">
      <alignment vertical="center" wrapText="1"/>
    </xf>
    <xf numFmtId="0" fontId="142" fillId="0" borderId="0" xfId="401" applyFont="1"/>
    <xf numFmtId="0" fontId="141" fillId="0" borderId="0" xfId="401" applyFont="1" applyAlignment="1">
      <alignment horizontal="center"/>
    </xf>
    <xf numFmtId="0" fontId="205" fillId="0" borderId="0" xfId="401" applyFont="1" applyAlignment="1">
      <alignment vertical="center"/>
    </xf>
    <xf numFmtId="0" fontId="206" fillId="0" borderId="11" xfId="401" applyFont="1" applyBorder="1" applyAlignment="1">
      <alignment horizontal="center" vertical="center" wrapText="1"/>
    </xf>
    <xf numFmtId="3" fontId="119" fillId="0" borderId="58" xfId="401" applyNumberFormat="1" applyFont="1" applyBorder="1" applyAlignment="1">
      <alignment horizontal="right" vertical="center"/>
    </xf>
    <xf numFmtId="3" fontId="119" fillId="0" borderId="60" xfId="401" applyNumberFormat="1" applyFont="1" applyBorder="1" applyAlignment="1">
      <alignment horizontal="right" vertical="center"/>
    </xf>
    <xf numFmtId="3" fontId="205" fillId="0" borderId="60" xfId="403" applyNumberFormat="1" applyFont="1" applyFill="1" applyBorder="1" applyAlignment="1">
      <alignment horizontal="right" vertical="center"/>
    </xf>
    <xf numFmtId="3" fontId="119" fillId="32" borderId="60" xfId="403" applyNumberFormat="1" applyFont="1" applyFill="1" applyBorder="1" applyAlignment="1">
      <alignment horizontal="right" vertical="center"/>
    </xf>
    <xf numFmtId="3" fontId="119" fillId="0" borderId="13" xfId="403" applyNumberFormat="1" applyFont="1" applyFill="1" applyBorder="1" applyAlignment="1">
      <alignment horizontal="right" vertical="center"/>
    </xf>
    <xf numFmtId="3" fontId="116" fillId="0" borderId="14" xfId="403" applyNumberFormat="1" applyFont="1" applyFill="1" applyBorder="1" applyAlignment="1">
      <alignment horizontal="right" vertical="center"/>
    </xf>
    <xf numFmtId="3" fontId="116" fillId="0" borderId="13" xfId="401" applyNumberFormat="1" applyFont="1" applyBorder="1" applyAlignment="1">
      <alignment vertical="center"/>
    </xf>
    <xf numFmtId="0" fontId="116" fillId="0" borderId="0" xfId="401" applyFont="1"/>
    <xf numFmtId="3" fontId="116" fillId="0" borderId="0" xfId="401" applyNumberFormat="1" applyFont="1"/>
    <xf numFmtId="3" fontId="123" fillId="0" borderId="60" xfId="403" applyNumberFormat="1" applyFont="1" applyFill="1" applyBorder="1" applyAlignment="1">
      <alignment horizontal="right" vertical="center" shrinkToFit="1"/>
    </xf>
    <xf numFmtId="3" fontId="192" fillId="0" borderId="60" xfId="403" applyNumberFormat="1" applyFont="1" applyFill="1" applyBorder="1" applyAlignment="1">
      <alignment horizontal="right" vertical="center" shrinkToFit="1"/>
    </xf>
    <xf numFmtId="3" fontId="117" fillId="0" borderId="60" xfId="403" applyNumberFormat="1" applyFont="1" applyFill="1" applyBorder="1" applyAlignment="1">
      <alignment horizontal="right" vertical="center" shrinkToFit="1"/>
    </xf>
    <xf numFmtId="3" fontId="177" fillId="0" borderId="60" xfId="403" applyNumberFormat="1" applyFont="1" applyFill="1" applyBorder="1" applyAlignment="1">
      <alignment horizontal="right" vertical="center" shrinkToFit="1"/>
    </xf>
    <xf numFmtId="3" fontId="116" fillId="0" borderId="60" xfId="403" applyNumberFormat="1" applyFont="1" applyFill="1" applyBorder="1" applyAlignment="1">
      <alignment horizontal="right" vertical="center" shrinkToFit="1"/>
    </xf>
    <xf numFmtId="3" fontId="119" fillId="0" borderId="60" xfId="403" applyNumberFormat="1" applyFont="1" applyFill="1" applyBorder="1" applyAlignment="1">
      <alignment horizontal="right" vertical="center" shrinkToFit="1"/>
    </xf>
    <xf numFmtId="3" fontId="194" fillId="0" borderId="60" xfId="403" applyNumberFormat="1" applyFont="1" applyFill="1" applyBorder="1" applyAlignment="1">
      <alignment horizontal="right" vertical="center" shrinkToFit="1"/>
    </xf>
    <xf numFmtId="3" fontId="112" fillId="0" borderId="60" xfId="403" applyNumberFormat="1" applyFont="1" applyFill="1" applyBorder="1" applyAlignment="1">
      <alignment horizontal="right" vertical="center" shrinkToFit="1"/>
    </xf>
    <xf numFmtId="3" fontId="123" fillId="0" borderId="13" xfId="403" applyNumberFormat="1" applyFont="1" applyFill="1" applyBorder="1" applyAlignment="1">
      <alignment horizontal="right" vertical="center" shrinkToFit="1"/>
    </xf>
    <xf numFmtId="3" fontId="117" fillId="0" borderId="14" xfId="403" applyNumberFormat="1" applyFont="1" applyFill="1" applyBorder="1" applyAlignment="1">
      <alignment horizontal="right" vertical="center" shrinkToFit="1"/>
    </xf>
    <xf numFmtId="3" fontId="117" fillId="0" borderId="13" xfId="401" applyNumberFormat="1" applyFont="1" applyBorder="1" applyAlignment="1">
      <alignment horizontal="center" vertical="center" shrinkToFit="1"/>
    </xf>
    <xf numFmtId="0" fontId="117" fillId="0" borderId="0" xfId="401" applyFont="1" applyAlignment="1">
      <alignment horizontal="center" shrinkToFit="1"/>
    </xf>
    <xf numFmtId="0" fontId="121" fillId="0" borderId="0" xfId="401" applyFont="1" applyAlignment="1">
      <alignment shrinkToFit="1"/>
    </xf>
    <xf numFmtId="3" fontId="191" fillId="0" borderId="60" xfId="403" applyNumberFormat="1" applyFont="1" applyFill="1" applyBorder="1" applyAlignment="1">
      <alignment horizontal="right" vertical="center" shrinkToFit="1"/>
    </xf>
    <xf numFmtId="3" fontId="191" fillId="0" borderId="60" xfId="401" applyNumberFormat="1" applyFont="1" applyBorder="1" applyAlignment="1">
      <alignment vertical="center" shrinkToFit="1"/>
    </xf>
    <xf numFmtId="3" fontId="194" fillId="32" borderId="60" xfId="403" applyNumberFormat="1" applyFont="1" applyFill="1" applyBorder="1" applyAlignment="1">
      <alignment horizontal="right" vertical="center" shrinkToFit="1"/>
    </xf>
    <xf numFmtId="3" fontId="112" fillId="0" borderId="60" xfId="403" applyNumberFormat="1" applyFont="1" applyBorder="1" applyAlignment="1">
      <alignment horizontal="right" vertical="center" shrinkToFit="1"/>
    </xf>
    <xf numFmtId="0" fontId="120" fillId="0" borderId="0" xfId="0" applyFont="1" applyAlignment="1">
      <alignment vertical="center" wrapText="1"/>
    </xf>
    <xf numFmtId="0" fontId="173" fillId="0" borderId="0" xfId="0" applyFont="1" applyAlignment="1">
      <alignment vertical="center" wrapText="1"/>
    </xf>
    <xf numFmtId="170" fontId="17" fillId="0" borderId="0" xfId="1" applyNumberFormat="1" applyFont="1" applyFill="1" applyAlignment="1">
      <alignment shrinkToFit="1"/>
    </xf>
    <xf numFmtId="179" fontId="203" fillId="0" borderId="60" xfId="1" applyNumberFormat="1" applyFont="1" applyFill="1" applyBorder="1" applyAlignment="1">
      <alignment vertical="center" wrapText="1"/>
    </xf>
    <xf numFmtId="179" fontId="203" fillId="0" borderId="60" xfId="1" applyNumberFormat="1" applyFont="1" applyFill="1" applyBorder="1" applyAlignment="1">
      <alignment horizontal="center" vertical="center" wrapText="1"/>
    </xf>
    <xf numFmtId="9" fontId="122" fillId="0" borderId="0" xfId="0" applyNumberFormat="1" applyFont="1"/>
    <xf numFmtId="3" fontId="177" fillId="3" borderId="60" xfId="403" applyNumberFormat="1" applyFont="1" applyFill="1" applyBorder="1" applyAlignment="1">
      <alignment vertical="center" shrinkToFit="1"/>
    </xf>
    <xf numFmtId="3" fontId="11" fillId="0" borderId="14" xfId="405" applyNumberFormat="1" applyFont="1" applyBorder="1" applyAlignment="1">
      <alignment horizontal="right" vertical="center"/>
    </xf>
    <xf numFmtId="3" fontId="11" fillId="0" borderId="14" xfId="405" applyNumberFormat="1" applyFont="1" applyBorder="1" applyAlignment="1">
      <alignment vertical="center"/>
    </xf>
    <xf numFmtId="179" fontId="208" fillId="0" borderId="60" xfId="403" applyNumberFormat="1" applyFont="1" applyFill="1" applyBorder="1" applyAlignment="1">
      <alignment horizontal="right" vertical="center"/>
    </xf>
    <xf numFmtId="0" fontId="142" fillId="0" borderId="11" xfId="347" applyFont="1" applyBorder="1" applyAlignment="1">
      <alignment horizontal="center" vertical="center" wrapText="1"/>
    </xf>
    <xf numFmtId="0" fontId="142" fillId="0" borderId="25" xfId="347" applyFont="1" applyBorder="1" applyAlignment="1">
      <alignment horizontal="center" vertical="center" wrapText="1"/>
    </xf>
    <xf numFmtId="0" fontId="142" fillId="0" borderId="123" xfId="347" applyFont="1" applyBorder="1" applyAlignment="1">
      <alignment horizontal="center" vertical="center" shrinkToFit="1"/>
    </xf>
    <xf numFmtId="0" fontId="142" fillId="0" borderId="120" xfId="347" applyFont="1" applyBorder="1" applyAlignment="1">
      <alignment horizontal="center" vertical="center" shrinkToFit="1"/>
    </xf>
    <xf numFmtId="0" fontId="141" fillId="0" borderId="124" xfId="0" applyFont="1" applyBorder="1" applyAlignment="1">
      <alignment vertical="center" shrinkToFit="1"/>
    </xf>
    <xf numFmtId="0" fontId="141" fillId="0" borderId="122" xfId="0" applyFont="1" applyBorder="1" applyAlignment="1">
      <alignment vertical="center" shrinkToFit="1"/>
    </xf>
    <xf numFmtId="170" fontId="142" fillId="0" borderId="11" xfId="1" applyNumberFormat="1" applyFont="1" applyBorder="1" applyAlignment="1">
      <alignment vertical="center" shrinkToFit="1"/>
    </xf>
    <xf numFmtId="170" fontId="142" fillId="0" borderId="25" xfId="1" applyNumberFormat="1" applyFont="1" applyBorder="1" applyAlignment="1">
      <alignment vertical="center" shrinkToFit="1"/>
    </xf>
    <xf numFmtId="3" fontId="141" fillId="0" borderId="125" xfId="0" applyNumberFormat="1" applyFont="1" applyBorder="1" applyAlignment="1">
      <alignment vertical="center" shrinkToFit="1"/>
    </xf>
    <xf numFmtId="3" fontId="141" fillId="0" borderId="121" xfId="0" applyNumberFormat="1" applyFont="1" applyBorder="1" applyAlignment="1">
      <alignment vertical="center" shrinkToFit="1"/>
    </xf>
    <xf numFmtId="3" fontId="142" fillId="0" borderId="58" xfId="347" applyNumberFormat="1" applyFont="1" applyBorder="1" applyAlignment="1">
      <alignment horizontal="right" vertical="center" shrinkToFit="1"/>
    </xf>
    <xf numFmtId="3" fontId="142" fillId="0" borderId="63" xfId="347" applyNumberFormat="1" applyFont="1" applyBorder="1" applyAlignment="1">
      <alignment horizontal="right" vertical="center" shrinkToFit="1"/>
    </xf>
    <xf numFmtId="3" fontId="142" fillId="0" borderId="126" xfId="347" applyNumberFormat="1" applyFont="1" applyBorder="1" applyAlignment="1">
      <alignment horizontal="right" vertical="center" shrinkToFit="1"/>
    </xf>
    <xf numFmtId="3" fontId="142" fillId="0" borderId="95" xfId="347" applyNumberFormat="1" applyFont="1" applyBorder="1" applyAlignment="1">
      <alignment horizontal="right" vertical="center" shrinkToFit="1"/>
    </xf>
    <xf numFmtId="3" fontId="141" fillId="0" borderId="126" xfId="0" applyNumberFormat="1" applyFont="1" applyBorder="1" applyAlignment="1">
      <alignment vertical="center" shrinkToFit="1"/>
    </xf>
    <xf numFmtId="3" fontId="141" fillId="0" borderId="95" xfId="0" applyNumberFormat="1" applyFont="1" applyBorder="1" applyAlignment="1">
      <alignment vertical="center" shrinkToFit="1"/>
    </xf>
    <xf numFmtId="3" fontId="142" fillId="0" borderId="60" xfId="1" applyNumberFormat="1" applyFont="1" applyBorder="1" applyAlignment="1">
      <alignment horizontal="right" vertical="center" shrinkToFit="1"/>
    </xf>
    <xf numFmtId="3" fontId="142" fillId="0" borderId="32" xfId="1" applyNumberFormat="1" applyFont="1" applyBorder="1" applyAlignment="1">
      <alignment horizontal="right" vertical="center" shrinkToFit="1"/>
    </xf>
    <xf numFmtId="3" fontId="142" fillId="0" borderId="59" xfId="1" applyNumberFormat="1" applyFont="1" applyBorder="1" applyAlignment="1">
      <alignment horizontal="right" vertical="center" shrinkToFit="1"/>
    </xf>
    <xf numFmtId="9" fontId="141" fillId="0" borderId="60" xfId="3" applyFont="1" applyBorder="1" applyAlignment="1">
      <alignment horizontal="right" vertical="center" shrinkToFit="1"/>
    </xf>
    <xf numFmtId="9" fontId="141" fillId="0" borderId="32" xfId="3" applyFont="1" applyBorder="1" applyAlignment="1">
      <alignment horizontal="right" vertical="center" shrinkToFit="1"/>
    </xf>
    <xf numFmtId="3" fontId="142" fillId="0" borderId="60" xfId="1" quotePrefix="1" applyNumberFormat="1" applyFont="1" applyBorder="1" applyAlignment="1">
      <alignment horizontal="right" vertical="center" shrinkToFit="1"/>
    </xf>
    <xf numFmtId="3" fontId="142" fillId="0" borderId="32" xfId="1" quotePrefix="1" applyNumberFormat="1" applyFont="1" applyBorder="1" applyAlignment="1">
      <alignment horizontal="right" vertical="center" shrinkToFit="1"/>
    </xf>
    <xf numFmtId="3" fontId="142" fillId="0" borderId="59" xfId="1" quotePrefix="1" applyNumberFormat="1" applyFont="1" applyBorder="1" applyAlignment="1">
      <alignment horizontal="right" vertical="center" shrinkToFit="1"/>
    </xf>
    <xf numFmtId="3" fontId="141" fillId="0" borderId="60" xfId="0" applyNumberFormat="1" applyFont="1" applyBorder="1"/>
    <xf numFmtId="0" fontId="141" fillId="0" borderId="60" xfId="0" applyFont="1" applyBorder="1"/>
    <xf numFmtId="0" fontId="141" fillId="0" borderId="32" xfId="0" applyFont="1" applyBorder="1"/>
    <xf numFmtId="0" fontId="141" fillId="0" borderId="127" xfId="0" applyFont="1" applyBorder="1"/>
    <xf numFmtId="0" fontId="141" fillId="0" borderId="16" xfId="0" applyFont="1" applyBorder="1"/>
    <xf numFmtId="3" fontId="142" fillId="0" borderId="60" xfId="1" applyNumberFormat="1" applyFont="1" applyBorder="1" applyAlignment="1">
      <alignment horizontal="right" shrinkToFit="1"/>
    </xf>
    <xf numFmtId="3" fontId="142" fillId="0" borderId="32" xfId="1" applyNumberFormat="1" applyFont="1" applyBorder="1" applyAlignment="1">
      <alignment horizontal="right" shrinkToFit="1"/>
    </xf>
    <xf numFmtId="3" fontId="142" fillId="0" borderId="59" xfId="1" applyNumberFormat="1" applyFont="1" applyBorder="1" applyAlignment="1">
      <alignment horizontal="right" shrinkToFit="1"/>
    </xf>
    <xf numFmtId="3" fontId="141" fillId="0" borderId="60" xfId="347" applyNumberFormat="1" applyFont="1" applyBorder="1" applyAlignment="1">
      <alignment horizontal="right" shrinkToFit="1"/>
    </xf>
    <xf numFmtId="3" fontId="141" fillId="0" borderId="32" xfId="347" applyNumberFormat="1" applyFont="1" applyBorder="1" applyAlignment="1">
      <alignment horizontal="right" shrinkToFit="1"/>
    </xf>
    <xf numFmtId="3" fontId="141" fillId="0" borderId="59" xfId="347" applyNumberFormat="1" applyFont="1" applyBorder="1" applyAlignment="1">
      <alignment horizontal="right" shrinkToFit="1"/>
    </xf>
    <xf numFmtId="219" fontId="141" fillId="0" borderId="60" xfId="347" applyNumberFormat="1" applyFont="1" applyBorder="1" applyAlignment="1">
      <alignment shrinkToFit="1"/>
    </xf>
    <xf numFmtId="219" fontId="141" fillId="0" borderId="32" xfId="347" applyNumberFormat="1" applyFont="1" applyBorder="1" applyAlignment="1">
      <alignment shrinkToFit="1"/>
    </xf>
    <xf numFmtId="219" fontId="141" fillId="0" borderId="59" xfId="347" applyNumberFormat="1" applyFont="1" applyBorder="1" applyAlignment="1">
      <alignment shrinkToFit="1"/>
    </xf>
    <xf numFmtId="3" fontId="142" fillId="0" borderId="60" xfId="1" quotePrefix="1" applyNumberFormat="1" applyFont="1" applyBorder="1" applyAlignment="1">
      <alignment horizontal="right" shrinkToFit="1"/>
    </xf>
    <xf numFmtId="3" fontId="142" fillId="0" borderId="32" xfId="1" quotePrefix="1" applyNumberFormat="1" applyFont="1" applyBorder="1" applyAlignment="1">
      <alignment horizontal="right" shrinkToFit="1"/>
    </xf>
    <xf numFmtId="3" fontId="142" fillId="0" borderId="59" xfId="1" quotePrefix="1" applyNumberFormat="1" applyFont="1" applyBorder="1" applyAlignment="1">
      <alignment horizontal="right" shrinkToFit="1"/>
    </xf>
    <xf numFmtId="3" fontId="141" fillId="0" borderId="60" xfId="1" applyNumberFormat="1" applyFont="1" applyBorder="1" applyAlignment="1">
      <alignment horizontal="right" shrinkToFit="1"/>
    </xf>
    <xf numFmtId="3" fontId="141" fillId="0" borderId="32" xfId="1" applyNumberFormat="1" applyFont="1" applyBorder="1" applyAlignment="1">
      <alignment horizontal="right" shrinkToFit="1"/>
    </xf>
    <xf numFmtId="3" fontId="141" fillId="0" borderId="59" xfId="1" applyNumberFormat="1" applyFont="1" applyBorder="1" applyAlignment="1">
      <alignment horizontal="right" shrinkToFit="1"/>
    </xf>
    <xf numFmtId="0" fontId="141" fillId="0" borderId="126" xfId="0" applyFont="1" applyBorder="1" applyAlignment="1">
      <alignment vertical="center" shrinkToFit="1"/>
    </xf>
    <xf numFmtId="0" fontId="141" fillId="0" borderId="95" xfId="0" applyFont="1" applyBorder="1" applyAlignment="1">
      <alignment vertical="center" shrinkToFit="1"/>
    </xf>
    <xf numFmtId="219" fontId="142" fillId="0" borderId="30" xfId="347" applyNumberFormat="1" applyFont="1" applyBorder="1" applyAlignment="1">
      <alignment shrinkToFit="1"/>
    </xf>
    <xf numFmtId="219" fontId="142" fillId="0" borderId="31" xfId="347" applyNumberFormat="1" applyFont="1" applyBorder="1" applyAlignment="1">
      <alignment shrinkToFit="1"/>
    </xf>
    <xf numFmtId="0" fontId="141" fillId="0" borderId="128" xfId="0" applyFont="1" applyBorder="1" applyAlignment="1">
      <alignment vertical="center" shrinkToFit="1"/>
    </xf>
    <xf numFmtId="0" fontId="141" fillId="0" borderId="96" xfId="0" applyFont="1" applyBorder="1" applyAlignment="1">
      <alignment vertical="center" shrinkToFit="1"/>
    </xf>
    <xf numFmtId="0" fontId="121" fillId="0" borderId="27" xfId="347" applyFont="1" applyBorder="1" applyAlignment="1">
      <alignment vertical="center" wrapText="1"/>
    </xf>
    <xf numFmtId="0" fontId="121" fillId="0" borderId="35" xfId="347" applyFont="1" applyBorder="1" applyAlignment="1">
      <alignment vertical="center" wrapText="1"/>
    </xf>
    <xf numFmtId="0" fontId="121" fillId="0" borderId="10" xfId="347" applyFont="1" applyBorder="1" applyAlignment="1">
      <alignment horizontal="center" vertical="center" wrapText="1"/>
    </xf>
    <xf numFmtId="3" fontId="121" fillId="0" borderId="10" xfId="347" applyNumberFormat="1" applyFont="1" applyBorder="1" applyAlignment="1">
      <alignment horizontal="center" vertical="center" shrinkToFit="1"/>
    </xf>
    <xf numFmtId="3" fontId="121" fillId="0" borderId="68" xfId="347" applyNumberFormat="1" applyFont="1" applyBorder="1" applyAlignment="1">
      <alignment horizontal="right" vertical="center" shrinkToFit="1"/>
    </xf>
    <xf numFmtId="3" fontId="149" fillId="0" borderId="59" xfId="347" applyNumberFormat="1" applyFont="1" applyBorder="1" applyAlignment="1">
      <alignment horizontal="right" vertical="center" shrinkToFit="1"/>
    </xf>
    <xf numFmtId="9" fontId="122" fillId="0" borderId="59" xfId="3" applyFont="1" applyBorder="1" applyAlignment="1">
      <alignment horizontal="right" vertical="center" shrinkToFit="1"/>
    </xf>
    <xf numFmtId="219" fontId="135" fillId="0" borderId="59" xfId="347" applyNumberFormat="1" applyFont="1" applyBorder="1" applyAlignment="1">
      <alignment vertical="center" shrinkToFit="1"/>
    </xf>
    <xf numFmtId="3" fontId="121" fillId="0" borderId="59" xfId="347" applyNumberFormat="1" applyFont="1" applyBorder="1" applyAlignment="1">
      <alignment horizontal="right" vertical="center" shrinkToFit="1"/>
    </xf>
    <xf numFmtId="3" fontId="135" fillId="0" borderId="59" xfId="347" applyNumberFormat="1" applyFont="1" applyBorder="1" applyAlignment="1">
      <alignment horizontal="right" shrinkToFit="1"/>
    </xf>
    <xf numFmtId="3" fontId="122" fillId="0" borderId="59" xfId="3" applyNumberFormat="1" applyFont="1" applyBorder="1" applyAlignment="1">
      <alignment horizontal="right" vertical="center" shrinkToFit="1"/>
    </xf>
    <xf numFmtId="3" fontId="135" fillId="0" borderId="59" xfId="1" applyNumberFormat="1" applyFont="1" applyBorder="1" applyAlignment="1">
      <alignment horizontal="right" shrinkToFit="1"/>
    </xf>
    <xf numFmtId="3" fontId="121" fillId="0" borderId="69" xfId="1" applyNumberFormat="1" applyFont="1" applyBorder="1" applyAlignment="1">
      <alignment horizontal="right" shrinkToFit="1"/>
    </xf>
    <xf numFmtId="0" fontId="121" fillId="0" borderId="25" xfId="347" applyFont="1" applyBorder="1" applyAlignment="1">
      <alignment horizontal="center" vertical="center" wrapText="1"/>
    </xf>
    <xf numFmtId="3" fontId="121" fillId="0" borderId="25" xfId="347" applyNumberFormat="1" applyFont="1" applyBorder="1" applyAlignment="1">
      <alignment horizontal="center" vertical="center" shrinkToFit="1"/>
    </xf>
    <xf numFmtId="3" fontId="149" fillId="0" borderId="32" xfId="347" applyNumberFormat="1" applyFont="1" applyBorder="1" applyAlignment="1">
      <alignment horizontal="right" vertical="center" shrinkToFit="1"/>
    </xf>
    <xf numFmtId="219" fontId="135" fillId="0" borderId="32" xfId="347" applyNumberFormat="1" applyFont="1" applyBorder="1" applyAlignment="1">
      <alignment vertical="center" shrinkToFit="1"/>
    </xf>
    <xf numFmtId="3" fontId="121" fillId="0" borderId="32" xfId="347" applyNumberFormat="1" applyFont="1" applyBorder="1" applyAlignment="1">
      <alignment horizontal="right" vertical="center" shrinkToFit="1"/>
    </xf>
    <xf numFmtId="3" fontId="135" fillId="0" borderId="32" xfId="347" applyNumberFormat="1" applyFont="1" applyBorder="1" applyAlignment="1">
      <alignment horizontal="right" shrinkToFit="1"/>
    </xf>
    <xf numFmtId="3" fontId="122" fillId="0" borderId="32" xfId="3" applyNumberFormat="1" applyFont="1" applyBorder="1" applyAlignment="1">
      <alignment horizontal="right" vertical="center" shrinkToFit="1"/>
    </xf>
    <xf numFmtId="3" fontId="135" fillId="0" borderId="32" xfId="1" applyNumberFormat="1" applyFont="1" applyBorder="1" applyAlignment="1">
      <alignment horizontal="right" shrinkToFit="1"/>
    </xf>
    <xf numFmtId="3" fontId="121" fillId="0" borderId="31" xfId="1" applyNumberFormat="1" applyFont="1" applyBorder="1" applyAlignment="1">
      <alignment horizontal="right" shrinkToFit="1"/>
    </xf>
    <xf numFmtId="179" fontId="208" fillId="0" borderId="60" xfId="403" applyNumberFormat="1" applyFont="1" applyBorder="1" applyAlignment="1">
      <alignment vertical="center"/>
    </xf>
    <xf numFmtId="179" fontId="208" fillId="0" borderId="60" xfId="403" applyNumberFormat="1" applyFont="1" applyFill="1" applyBorder="1" applyAlignment="1">
      <alignment vertical="center"/>
    </xf>
    <xf numFmtId="179" fontId="208" fillId="0" borderId="13" xfId="403" applyNumberFormat="1" applyFont="1" applyBorder="1" applyAlignment="1">
      <alignment vertical="center"/>
    </xf>
    <xf numFmtId="179" fontId="208" fillId="0" borderId="60" xfId="403" applyNumberFormat="1" applyFont="1" applyBorder="1" applyAlignment="1">
      <alignment horizontal="right" vertical="center"/>
    </xf>
    <xf numFmtId="179" fontId="208" fillId="0" borderId="13" xfId="403" applyNumberFormat="1" applyFont="1" applyBorder="1" applyAlignment="1">
      <alignment horizontal="right" vertical="center"/>
    </xf>
    <xf numFmtId="3" fontId="192" fillId="3" borderId="60" xfId="403" applyNumberFormat="1" applyFont="1" applyFill="1" applyBorder="1" applyAlignment="1">
      <alignment horizontal="right" vertical="center" shrinkToFit="1"/>
    </xf>
    <xf numFmtId="3" fontId="117" fillId="3" borderId="60" xfId="403" applyNumberFormat="1" applyFont="1" applyFill="1" applyBorder="1" applyAlignment="1">
      <alignment vertical="center" shrinkToFit="1"/>
    </xf>
    <xf numFmtId="172" fontId="112" fillId="0" borderId="0" xfId="3" applyNumberFormat="1" applyFont="1" applyFill="1"/>
    <xf numFmtId="0" fontId="116" fillId="0" borderId="11" xfId="0" applyFont="1" applyBorder="1"/>
    <xf numFmtId="0" fontId="116" fillId="0" borderId="25" xfId="0" applyFont="1" applyBorder="1"/>
    <xf numFmtId="0" fontId="116" fillId="0" borderId="122" xfId="0" applyFont="1" applyBorder="1"/>
    <xf numFmtId="0" fontId="116" fillId="0" borderId="121" xfId="0" applyFont="1" applyBorder="1" applyAlignment="1">
      <alignment shrinkToFit="1"/>
    </xf>
    <xf numFmtId="0" fontId="112" fillId="0" borderId="0" xfId="0" applyFont="1" applyAlignment="1">
      <alignment shrinkToFit="1"/>
    </xf>
    <xf numFmtId="0" fontId="116" fillId="0" borderId="95" xfId="0" applyFont="1" applyBorder="1"/>
    <xf numFmtId="0" fontId="195" fillId="0" borderId="60" xfId="0" applyFont="1" applyBorder="1"/>
    <xf numFmtId="0" fontId="116" fillId="0" borderId="60" xfId="0" applyFont="1" applyBorder="1"/>
    <xf numFmtId="0" fontId="116" fillId="0" borderId="32" xfId="0" applyFont="1" applyBorder="1"/>
    <xf numFmtId="0" fontId="116" fillId="0" borderId="127" xfId="0" applyFont="1" applyBorder="1"/>
    <xf numFmtId="0" fontId="116" fillId="0" borderId="16" xfId="0" applyFont="1" applyBorder="1"/>
    <xf numFmtId="0" fontId="116" fillId="0" borderId="96" xfId="0" applyFont="1" applyBorder="1"/>
    <xf numFmtId="0" fontId="112" fillId="0" borderId="11" xfId="0" applyFont="1" applyBorder="1" applyAlignment="1">
      <alignment horizontal="center" vertical="center" wrapText="1"/>
    </xf>
    <xf numFmtId="179" fontId="113" fillId="0" borderId="58" xfId="1" applyNumberFormat="1" applyFont="1" applyBorder="1" applyAlignment="1">
      <alignment vertical="center"/>
    </xf>
    <xf numFmtId="0" fontId="112" fillId="0" borderId="60" xfId="0" applyFont="1" applyBorder="1" applyAlignment="1">
      <alignment vertical="center"/>
    </xf>
    <xf numFmtId="179" fontId="112" fillId="0" borderId="60" xfId="1" applyNumberFormat="1" applyFont="1" applyBorder="1" applyAlignment="1">
      <alignment vertical="center"/>
    </xf>
    <xf numFmtId="179" fontId="112" fillId="0" borderId="0" xfId="1" applyNumberFormat="1" applyFont="1" applyAlignment="1">
      <alignment vertical="center"/>
    </xf>
    <xf numFmtId="0" fontId="112" fillId="0" borderId="60" xfId="0" applyFont="1" applyBorder="1" applyAlignment="1">
      <alignment horizontal="left" vertical="center" wrapText="1"/>
    </xf>
    <xf numFmtId="0" fontId="112" fillId="0" borderId="13" xfId="0" applyFont="1" applyBorder="1" applyAlignment="1">
      <alignment horizontal="center" vertical="center"/>
    </xf>
    <xf numFmtId="0" fontId="112" fillId="0" borderId="13" xfId="0" applyFont="1" applyBorder="1" applyAlignment="1">
      <alignment horizontal="left" vertical="center" wrapText="1"/>
    </xf>
    <xf numFmtId="179" fontId="112" fillId="0" borderId="13" xfId="1" applyNumberFormat="1" applyFont="1" applyBorder="1" applyAlignment="1">
      <alignment vertical="center"/>
    </xf>
    <xf numFmtId="3" fontId="195" fillId="0" borderId="0" xfId="0" applyNumberFormat="1" applyFont="1" applyAlignment="1">
      <alignment shrinkToFit="1"/>
    </xf>
    <xf numFmtId="173" fontId="195" fillId="0" borderId="0" xfId="3" applyNumberFormat="1" applyFont="1" applyFill="1"/>
    <xf numFmtId="10" fontId="195" fillId="0" borderId="0" xfId="3" applyNumberFormat="1" applyFont="1" applyFill="1"/>
    <xf numFmtId="173" fontId="211" fillId="0" borderId="60" xfId="3" applyNumberFormat="1" applyFont="1" applyFill="1" applyBorder="1" applyAlignment="1">
      <alignment vertical="center" shrinkToFit="1"/>
    </xf>
    <xf numFmtId="173" fontId="211" fillId="0" borderId="13" xfId="3" applyNumberFormat="1" applyFont="1" applyFill="1" applyBorder="1" applyAlignment="1">
      <alignment vertical="center" shrinkToFit="1"/>
    </xf>
    <xf numFmtId="173" fontId="195" fillId="0" borderId="60" xfId="3" applyNumberFormat="1" applyFont="1" applyFill="1" applyBorder="1" applyAlignment="1">
      <alignment vertical="center" shrinkToFit="1"/>
    </xf>
    <xf numFmtId="179" fontId="11" fillId="0" borderId="14" xfId="403" applyNumberFormat="1" applyFont="1" applyBorder="1" applyAlignment="1">
      <alignment horizontal="right" vertical="center" shrinkToFit="1"/>
    </xf>
    <xf numFmtId="179" fontId="14" fillId="0" borderId="60" xfId="403" applyNumberFormat="1" applyFont="1" applyBorder="1" applyAlignment="1">
      <alignment horizontal="right" vertical="center" shrinkToFit="1"/>
    </xf>
    <xf numFmtId="179" fontId="170" fillId="0" borderId="60" xfId="403" applyNumberFormat="1" applyFont="1" applyBorder="1" applyAlignment="1">
      <alignment horizontal="right" vertical="center" shrinkToFit="1"/>
    </xf>
    <xf numFmtId="179" fontId="17" fillId="0" borderId="60" xfId="403" applyNumberFormat="1" applyFont="1" applyBorder="1" applyAlignment="1">
      <alignment vertical="center" shrinkToFit="1"/>
    </xf>
    <xf numFmtId="179" fontId="169" fillId="0" borderId="60" xfId="403" applyNumberFormat="1" applyFont="1" applyBorder="1" applyAlignment="1">
      <alignment horizontal="right" vertical="center" shrinkToFit="1"/>
    </xf>
    <xf numFmtId="4" fontId="14" fillId="0" borderId="60" xfId="403" applyNumberFormat="1" applyFont="1" applyBorder="1" applyAlignment="1">
      <alignment horizontal="right" vertical="center" shrinkToFit="1"/>
    </xf>
    <xf numFmtId="43" fontId="169" fillId="0" borderId="60" xfId="403" applyFont="1" applyBorder="1" applyAlignment="1">
      <alignment horizontal="right" vertical="center" shrinkToFit="1"/>
    </xf>
    <xf numFmtId="179" fontId="17" fillId="0" borderId="60" xfId="403" applyNumberFormat="1" applyFont="1" applyBorder="1" applyAlignment="1">
      <alignment horizontal="right" vertical="center" shrinkToFit="1"/>
    </xf>
    <xf numFmtId="179" fontId="17" fillId="0" borderId="60" xfId="403" applyNumberFormat="1" applyFont="1" applyFill="1" applyBorder="1" applyAlignment="1">
      <alignment vertical="center" shrinkToFit="1"/>
    </xf>
    <xf numFmtId="179" fontId="169" fillId="0" borderId="60" xfId="403" applyNumberFormat="1" applyFont="1" applyFill="1" applyBorder="1" applyAlignment="1">
      <alignment horizontal="right" vertical="center" shrinkToFit="1"/>
    </xf>
    <xf numFmtId="43" fontId="169" fillId="0" borderId="60" xfId="403" applyFont="1" applyFill="1" applyBorder="1" applyAlignment="1">
      <alignment horizontal="right" vertical="center" shrinkToFit="1"/>
    </xf>
    <xf numFmtId="179" fontId="208" fillId="0" borderId="60" xfId="403" applyNumberFormat="1" applyFont="1" applyFill="1" applyBorder="1" applyAlignment="1">
      <alignment horizontal="right" vertical="center" shrinkToFit="1"/>
    </xf>
    <xf numFmtId="179" fontId="182" fillId="0" borderId="60" xfId="403" applyNumberFormat="1" applyFont="1" applyBorder="1" applyAlignment="1">
      <alignment horizontal="right" vertical="center" shrinkToFit="1"/>
    </xf>
    <xf numFmtId="179" fontId="181" fillId="0" borderId="60" xfId="403" applyNumberFormat="1" applyFont="1" applyBorder="1" applyAlignment="1">
      <alignment horizontal="right" vertical="center" shrinkToFit="1"/>
    </xf>
    <xf numFmtId="179" fontId="181" fillId="0" borderId="60" xfId="403" applyNumberFormat="1" applyFont="1" applyBorder="1" applyAlignment="1">
      <alignment vertical="center" shrinkToFit="1"/>
    </xf>
    <xf numFmtId="179" fontId="182" fillId="0" borderId="60" xfId="403" applyNumberFormat="1" applyFont="1" applyFill="1" applyBorder="1" applyAlignment="1">
      <alignment horizontal="right" vertical="center" shrinkToFit="1"/>
    </xf>
    <xf numFmtId="179" fontId="207" fillId="0" borderId="60" xfId="403" applyNumberFormat="1" applyFont="1" applyBorder="1" applyAlignment="1">
      <alignment horizontal="right" vertical="center" shrinkToFit="1"/>
    </xf>
    <xf numFmtId="179" fontId="180" fillId="0" borderId="60" xfId="403" applyNumberFormat="1" applyFont="1" applyBorder="1" applyAlignment="1">
      <alignment horizontal="right" vertical="center" shrinkToFit="1"/>
    </xf>
    <xf numFmtId="179" fontId="207" fillId="0" borderId="60" xfId="403" applyNumberFormat="1" applyFont="1" applyFill="1" applyBorder="1" applyAlignment="1">
      <alignment horizontal="right" vertical="center" shrinkToFit="1"/>
    </xf>
    <xf numFmtId="43" fontId="11" fillId="0" borderId="60" xfId="403" applyFont="1" applyBorder="1" applyAlignment="1">
      <alignment horizontal="right" vertical="center" shrinkToFit="1"/>
    </xf>
    <xf numFmtId="179" fontId="11" fillId="0" borderId="60" xfId="403" applyNumberFormat="1" applyFont="1" applyBorder="1" applyAlignment="1">
      <alignment horizontal="right" vertical="center" shrinkToFit="1"/>
    </xf>
    <xf numFmtId="224" fontId="11" fillId="0" borderId="60" xfId="403" applyNumberFormat="1" applyFont="1" applyBorder="1" applyAlignment="1">
      <alignment horizontal="right" vertical="center" shrinkToFit="1"/>
    </xf>
    <xf numFmtId="179" fontId="183" fillId="0" borderId="60" xfId="403" applyNumberFormat="1" applyFont="1" applyBorder="1" applyAlignment="1">
      <alignment horizontal="right" vertical="center" shrinkToFit="1"/>
    </xf>
    <xf numFmtId="43" fontId="182" fillId="0" borderId="60" xfId="403" applyFont="1" applyBorder="1" applyAlignment="1">
      <alignment horizontal="right" vertical="center" shrinkToFit="1"/>
    </xf>
    <xf numFmtId="179" fontId="179" fillId="0" borderId="60" xfId="403" applyNumberFormat="1" applyFont="1" applyBorder="1" applyAlignment="1">
      <alignment horizontal="right" vertical="center" shrinkToFit="1"/>
    </xf>
    <xf numFmtId="179" fontId="203" fillId="0" borderId="60" xfId="403" applyNumberFormat="1" applyFont="1" applyBorder="1" applyAlignment="1">
      <alignment vertical="center" shrinkToFit="1"/>
    </xf>
    <xf numFmtId="179" fontId="184" fillId="0" borderId="60" xfId="403" applyNumberFormat="1" applyFont="1" applyBorder="1" applyAlignment="1">
      <alignment horizontal="right" vertical="center" shrinkToFit="1"/>
    </xf>
    <xf numFmtId="179" fontId="184" fillId="0" borderId="60" xfId="403" applyNumberFormat="1" applyFont="1" applyBorder="1" applyAlignment="1">
      <alignment vertical="center" shrinkToFit="1"/>
    </xf>
    <xf numFmtId="224" fontId="180" fillId="0" borderId="60" xfId="403" applyNumberFormat="1" applyFont="1" applyBorder="1" applyAlignment="1">
      <alignment horizontal="right" vertical="center" shrinkToFit="1"/>
    </xf>
    <xf numFmtId="179" fontId="182" fillId="0" borderId="13" xfId="403" applyNumberFormat="1" applyFont="1" applyBorder="1" applyAlignment="1">
      <alignment horizontal="right" vertical="center" shrinkToFit="1"/>
    </xf>
    <xf numFmtId="0" fontId="19" fillId="0" borderId="0" xfId="7" quotePrefix="1" applyFont="1" applyAlignment="1">
      <alignment shrinkToFit="1"/>
    </xf>
    <xf numFmtId="0" fontId="4" fillId="0" borderId="0" xfId="7" applyFont="1" applyAlignment="1">
      <alignment shrinkToFit="1"/>
    </xf>
    <xf numFmtId="0" fontId="212" fillId="0" borderId="60" xfId="0" applyFont="1" applyBorder="1"/>
    <xf numFmtId="221" fontId="212" fillId="0" borderId="60" xfId="1" applyNumberFormat="1" applyFont="1" applyBorder="1" applyAlignment="1">
      <alignment shrinkToFit="1"/>
    </xf>
    <xf numFmtId="2" fontId="212" fillId="0" borderId="60" xfId="0" applyNumberFormat="1" applyFont="1" applyBorder="1" applyAlignment="1">
      <alignment horizontal="right"/>
    </xf>
    <xf numFmtId="2" fontId="212" fillId="0" borderId="60" xfId="0" applyNumberFormat="1" applyFont="1" applyBorder="1"/>
    <xf numFmtId="0" fontId="120" fillId="0" borderId="58" xfId="0" applyFont="1" applyBorder="1" applyAlignment="1">
      <alignment horizontal="center" vertical="center" wrapText="1"/>
    </xf>
    <xf numFmtId="0" fontId="11" fillId="0" borderId="72" xfId="0" applyFont="1" applyBorder="1" applyAlignment="1">
      <alignment horizontal="center" vertical="center"/>
    </xf>
    <xf numFmtId="0" fontId="120" fillId="0" borderId="11" xfId="0" applyFont="1" applyBorder="1" applyAlignment="1">
      <alignment horizontal="center" vertical="center"/>
    </xf>
    <xf numFmtId="0" fontId="120" fillId="0" borderId="11" xfId="0" applyFont="1" applyBorder="1" applyAlignment="1">
      <alignment horizontal="center"/>
    </xf>
    <xf numFmtId="0" fontId="32" fillId="0" borderId="0" xfId="0" quotePrefix="1" applyFont="1" applyAlignment="1">
      <alignment horizontal="center"/>
    </xf>
    <xf numFmtId="0" fontId="120" fillId="0" borderId="133" xfId="0" applyFont="1" applyBorder="1"/>
    <xf numFmtId="166" fontId="120" fillId="0" borderId="133" xfId="0" applyNumberFormat="1" applyFont="1" applyBorder="1"/>
    <xf numFmtId="0" fontId="120" fillId="0" borderId="133" xfId="0" applyFont="1" applyBorder="1" applyAlignment="1">
      <alignment horizontal="right"/>
    </xf>
    <xf numFmtId="9" fontId="120" fillId="0" borderId="133" xfId="0" applyNumberFormat="1" applyFont="1" applyBorder="1" applyAlignment="1">
      <alignment horizontal="right"/>
    </xf>
    <xf numFmtId="9" fontId="32" fillId="0" borderId="0" xfId="3" applyFont="1" applyFill="1"/>
    <xf numFmtId="9" fontId="32" fillId="0" borderId="0" xfId="0" applyNumberFormat="1" applyFont="1"/>
    <xf numFmtId="0" fontId="121"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xf>
    <xf numFmtId="0" fontId="130" fillId="0" borderId="58" xfId="0" applyFont="1" applyBorder="1" applyAlignment="1">
      <alignment horizontal="center" vertical="center" shrinkToFit="1"/>
    </xf>
    <xf numFmtId="0" fontId="130" fillId="0" borderId="58" xfId="0" applyFont="1" applyBorder="1" applyAlignment="1">
      <alignment vertical="center" shrinkToFit="1"/>
    </xf>
    <xf numFmtId="166" fontId="130" fillId="0" borderId="58" xfId="0" applyNumberFormat="1" applyFont="1" applyBorder="1" applyAlignment="1">
      <alignment vertical="center" shrinkToFit="1"/>
    </xf>
    <xf numFmtId="166" fontId="129" fillId="0" borderId="58" xfId="0" applyNumberFormat="1" applyFont="1" applyBorder="1" applyAlignment="1">
      <alignment vertical="center" shrinkToFit="1"/>
    </xf>
    <xf numFmtId="166" fontId="213" fillId="0" borderId="58" xfId="0" applyNumberFormat="1" applyFont="1" applyBorder="1" applyAlignment="1">
      <alignment vertical="center" shrinkToFit="1"/>
    </xf>
    <xf numFmtId="9" fontId="130" fillId="0" borderId="58" xfId="3" applyFont="1" applyFill="1" applyBorder="1" applyAlignment="1">
      <alignment vertical="center" shrinkToFit="1"/>
    </xf>
    <xf numFmtId="219" fontId="130" fillId="0" borderId="58" xfId="403" applyNumberFormat="1" applyFont="1" applyFill="1" applyBorder="1" applyAlignment="1">
      <alignment vertical="center" shrinkToFit="1"/>
    </xf>
    <xf numFmtId="0" fontId="130" fillId="0" borderId="0" xfId="0" applyFont="1" applyAlignment="1">
      <alignment vertical="center"/>
    </xf>
    <xf numFmtId="0" fontId="130" fillId="0" borderId="14" xfId="0" applyFont="1" applyBorder="1" applyAlignment="1">
      <alignment horizontal="center" vertical="center" shrinkToFit="1"/>
    </xf>
    <xf numFmtId="0" fontId="130" fillId="0" borderId="14" xfId="0" applyFont="1" applyBorder="1" applyAlignment="1">
      <alignment vertical="center" shrinkToFit="1"/>
    </xf>
    <xf numFmtId="166" fontId="130" fillId="0" borderId="14" xfId="0" applyNumberFormat="1" applyFont="1" applyBorder="1" applyAlignment="1">
      <alignment vertical="center" shrinkToFit="1"/>
    </xf>
    <xf numFmtId="166" fontId="130" fillId="0" borderId="60" xfId="0" applyNumberFormat="1" applyFont="1" applyBorder="1" applyAlignment="1">
      <alignment vertical="center" shrinkToFit="1"/>
    </xf>
    <xf numFmtId="3" fontId="130" fillId="0" borderId="14" xfId="0" applyNumberFormat="1" applyFont="1" applyBorder="1" applyAlignment="1">
      <alignment vertical="center" shrinkToFit="1"/>
    </xf>
    <xf numFmtId="9" fontId="130" fillId="0" borderId="60" xfId="3" applyFont="1" applyFill="1" applyBorder="1" applyAlignment="1">
      <alignment vertical="center" shrinkToFit="1"/>
    </xf>
    <xf numFmtId="219" fontId="130" fillId="0" borderId="60" xfId="403" applyNumberFormat="1" applyFont="1" applyFill="1" applyBorder="1" applyAlignment="1">
      <alignment vertical="center" shrinkToFit="1"/>
    </xf>
    <xf numFmtId="0" fontId="155" fillId="0" borderId="60" xfId="0" applyFont="1" applyBorder="1" applyAlignment="1">
      <alignment horizontal="center" vertical="center" shrinkToFit="1"/>
    </xf>
    <xf numFmtId="0" fontId="155" fillId="0" borderId="60" xfId="0" applyFont="1" applyBorder="1" applyAlignment="1">
      <alignment vertical="center" shrinkToFit="1"/>
    </xf>
    <xf numFmtId="166" fontId="155" fillId="0" borderId="60" xfId="0" applyNumberFormat="1" applyFont="1" applyBorder="1" applyAlignment="1">
      <alignment vertical="center" shrinkToFit="1"/>
    </xf>
    <xf numFmtId="166" fontId="131" fillId="0" borderId="60" xfId="0" applyNumberFormat="1" applyFont="1" applyBorder="1" applyAlignment="1">
      <alignment vertical="center" shrinkToFit="1"/>
    </xf>
    <xf numFmtId="166" fontId="214" fillId="0" borderId="60" xfId="0" applyNumberFormat="1" applyFont="1" applyBorder="1" applyAlignment="1">
      <alignment vertical="center" shrinkToFit="1"/>
    </xf>
    <xf numFmtId="3" fontId="155" fillId="0" borderId="60" xfId="0" applyNumberFormat="1" applyFont="1" applyBorder="1" applyAlignment="1">
      <alignment vertical="center" shrinkToFit="1"/>
    </xf>
    <xf numFmtId="9" fontId="155" fillId="0" borderId="60" xfId="3" applyFont="1" applyFill="1" applyBorder="1" applyAlignment="1">
      <alignment vertical="center" shrinkToFit="1"/>
    </xf>
    <xf numFmtId="219" fontId="155" fillId="0" borderId="60" xfId="403" applyNumberFormat="1" applyFont="1" applyFill="1" applyBorder="1" applyAlignment="1">
      <alignment vertical="center" shrinkToFit="1"/>
    </xf>
    <xf numFmtId="0" fontId="155" fillId="0" borderId="0" xfId="0" applyFont="1" applyAlignment="1">
      <alignment vertical="center"/>
    </xf>
    <xf numFmtId="0" fontId="32" fillId="0" borderId="60" xfId="0" applyFont="1" applyBorder="1" applyAlignment="1">
      <alignment horizontal="center" vertical="center" shrinkToFit="1"/>
    </xf>
    <xf numFmtId="166" fontId="32" fillId="0" borderId="60" xfId="0" applyNumberFormat="1" applyFont="1" applyBorder="1" applyAlignment="1">
      <alignment vertical="center" shrinkToFit="1"/>
    </xf>
    <xf numFmtId="166" fontId="141" fillId="0" borderId="60" xfId="0" applyNumberFormat="1" applyFont="1" applyBorder="1" applyAlignment="1">
      <alignment vertical="center" shrinkToFit="1"/>
    </xf>
    <xf numFmtId="166" fontId="122" fillId="0" borderId="60" xfId="0" applyNumberFormat="1" applyFont="1" applyBorder="1" applyAlignment="1">
      <alignment vertical="center" shrinkToFit="1"/>
    </xf>
    <xf numFmtId="9" fontId="32" fillId="0" borderId="60" xfId="3" applyFont="1" applyFill="1" applyBorder="1" applyAlignment="1">
      <alignment vertical="center" shrinkToFit="1"/>
    </xf>
    <xf numFmtId="219" fontId="32" fillId="0" borderId="60" xfId="403" applyNumberFormat="1" applyFont="1" applyFill="1" applyBorder="1" applyAlignment="1">
      <alignment vertical="center" shrinkToFit="1"/>
    </xf>
    <xf numFmtId="166" fontId="121" fillId="0" borderId="60" xfId="0" applyNumberFormat="1" applyFont="1" applyBorder="1" applyAlignment="1">
      <alignment vertical="center" shrinkToFit="1"/>
    </xf>
    <xf numFmtId="166" fontId="120" fillId="0" borderId="60" xfId="0" applyNumberFormat="1" applyFont="1" applyBorder="1" applyAlignment="1">
      <alignment vertical="center" shrinkToFit="1"/>
    </xf>
    <xf numFmtId="3" fontId="131" fillId="0" borderId="60" xfId="0" applyNumberFormat="1" applyFont="1" applyBorder="1" applyAlignment="1">
      <alignment vertical="center"/>
    </xf>
    <xf numFmtId="3" fontId="141" fillId="0" borderId="60" xfId="0" applyNumberFormat="1" applyFont="1" applyBorder="1" applyAlignment="1">
      <alignment vertical="center"/>
    </xf>
    <xf numFmtId="166" fontId="129" fillId="0" borderId="60" xfId="0" applyNumberFormat="1" applyFont="1" applyBorder="1" applyAlignment="1">
      <alignment vertical="center" shrinkToFit="1"/>
    </xf>
    <xf numFmtId="166" fontId="141" fillId="32" borderId="60" xfId="0" applyNumberFormat="1" applyFont="1" applyFill="1" applyBorder="1" applyAlignment="1">
      <alignment vertical="center" shrinkToFit="1"/>
    </xf>
    <xf numFmtId="3" fontId="155" fillId="0" borderId="60" xfId="0" applyNumberFormat="1" applyFont="1" applyBorder="1" applyAlignment="1">
      <alignment vertical="center"/>
    </xf>
    <xf numFmtId="166" fontId="142" fillId="0" borderId="60" xfId="0" applyNumberFormat="1" applyFont="1" applyBorder="1" applyAlignment="1">
      <alignment vertical="center" shrinkToFit="1"/>
    </xf>
    <xf numFmtId="0" fontId="32" fillId="0" borderId="140" xfId="0" applyFont="1" applyBorder="1" applyAlignment="1">
      <alignment horizontal="center" vertical="center" shrinkToFit="1"/>
    </xf>
    <xf numFmtId="0" fontId="32" fillId="0" borderId="140" xfId="0" applyFont="1" applyBorder="1" applyAlignment="1">
      <alignment vertical="center" shrinkToFit="1"/>
    </xf>
    <xf numFmtId="9" fontId="155" fillId="0" borderId="13" xfId="3" applyFont="1" applyFill="1" applyBorder="1" applyAlignment="1">
      <alignment vertical="center" shrinkToFit="1"/>
    </xf>
    <xf numFmtId="219" fontId="155" fillId="0" borderId="13" xfId="403" applyNumberFormat="1" applyFont="1" applyFill="1" applyBorder="1" applyAlignment="1">
      <alignment vertical="center" shrinkToFit="1"/>
    </xf>
    <xf numFmtId="0" fontId="130" fillId="0" borderId="60" xfId="0" applyFont="1" applyBorder="1" applyAlignment="1">
      <alignment horizontal="center" vertical="center" shrinkToFit="1"/>
    </xf>
    <xf numFmtId="0" fontId="130" fillId="0" borderId="60" xfId="0" applyFont="1" applyBorder="1" applyAlignment="1">
      <alignment vertical="center" shrinkToFit="1"/>
    </xf>
    <xf numFmtId="166" fontId="138" fillId="0" borderId="60" xfId="0" applyNumberFormat="1" applyFont="1" applyBorder="1" applyAlignment="1">
      <alignment vertical="center" shrinkToFit="1"/>
    </xf>
    <xf numFmtId="166" fontId="156" fillId="0" borderId="60" xfId="0" applyNumberFormat="1" applyFont="1" applyBorder="1" applyAlignment="1">
      <alignment vertical="center" shrinkToFit="1"/>
    </xf>
    <xf numFmtId="166" fontId="215" fillId="0" borderId="60" xfId="0" applyNumberFormat="1" applyFont="1" applyBorder="1" applyAlignment="1">
      <alignment vertical="center" shrinkToFit="1"/>
    </xf>
    <xf numFmtId="166" fontId="213" fillId="0" borderId="60" xfId="0" applyNumberFormat="1" applyFont="1" applyBorder="1" applyAlignment="1">
      <alignment vertical="center" shrinkToFit="1"/>
    </xf>
    <xf numFmtId="0" fontId="120" fillId="0" borderId="60" xfId="0" applyFont="1" applyBorder="1" applyAlignment="1">
      <alignment horizontal="center" vertical="center" shrinkToFit="1"/>
    </xf>
    <xf numFmtId="49" fontId="32" fillId="0" borderId="60" xfId="0" applyNumberFormat="1" applyFont="1" applyBorder="1" applyAlignment="1">
      <alignment vertical="center" shrinkToFit="1"/>
    </xf>
    <xf numFmtId="49" fontId="120" fillId="0" borderId="60" xfId="0" applyNumberFormat="1" applyFont="1" applyBorder="1" applyAlignment="1">
      <alignment vertical="center" shrinkToFit="1"/>
    </xf>
    <xf numFmtId="49" fontId="130" fillId="0" borderId="60" xfId="0" applyNumberFormat="1" applyFont="1" applyBorder="1" applyAlignment="1">
      <alignment vertical="center" shrinkToFit="1"/>
    </xf>
    <xf numFmtId="0" fontId="130" fillId="0" borderId="13" xfId="0" applyFont="1" applyBorder="1" applyAlignment="1">
      <alignment horizontal="center" vertical="center" shrinkToFit="1"/>
    </xf>
    <xf numFmtId="49" fontId="130" fillId="0" borderId="13" xfId="0" applyNumberFormat="1" applyFont="1" applyBorder="1" applyAlignment="1">
      <alignment vertical="center" shrinkToFit="1"/>
    </xf>
    <xf numFmtId="166" fontId="130" fillId="0" borderId="13" xfId="0" applyNumberFormat="1" applyFont="1" applyBorder="1" applyAlignment="1">
      <alignment vertical="center" shrinkToFit="1"/>
    </xf>
    <xf numFmtId="166" fontId="129" fillId="0" borderId="13" xfId="0" applyNumberFormat="1" applyFont="1" applyBorder="1" applyAlignment="1">
      <alignment vertical="center" shrinkToFit="1"/>
    </xf>
    <xf numFmtId="38" fontId="32" fillId="0" borderId="0" xfId="0" applyNumberFormat="1" applyFont="1" applyAlignment="1">
      <alignment shrinkToFit="1"/>
    </xf>
    <xf numFmtId="166" fontId="32" fillId="0" borderId="0" xfId="0" applyNumberFormat="1" applyFont="1"/>
    <xf numFmtId="9" fontId="32" fillId="0" borderId="0" xfId="3" applyFont="1" applyFill="1" applyAlignment="1">
      <alignment shrinkToFit="1"/>
    </xf>
    <xf numFmtId="10" fontId="32" fillId="0" borderId="0" xfId="3" applyNumberFormat="1" applyFont="1" applyFill="1" applyAlignment="1">
      <alignment shrinkToFit="1"/>
    </xf>
    <xf numFmtId="2" fontId="32" fillId="0" borderId="0" xfId="3" applyNumberFormat="1" applyFont="1" applyFill="1" applyAlignment="1">
      <alignment shrinkToFit="1"/>
    </xf>
    <xf numFmtId="10" fontId="32" fillId="0" borderId="0" xfId="0" applyNumberFormat="1" applyFont="1" applyAlignment="1">
      <alignment shrinkToFit="1"/>
    </xf>
    <xf numFmtId="179" fontId="32" fillId="0" borderId="0" xfId="403" applyNumberFormat="1" applyFont="1" applyFill="1"/>
    <xf numFmtId="2" fontId="32" fillId="0" borderId="0" xfId="0" applyNumberFormat="1" applyFont="1" applyAlignment="1">
      <alignment shrinkToFit="1"/>
    </xf>
    <xf numFmtId="179" fontId="32" fillId="0" borderId="0" xfId="0" applyNumberFormat="1" applyFont="1" applyAlignment="1">
      <alignment shrinkToFit="1"/>
    </xf>
    <xf numFmtId="219" fontId="32" fillId="0" borderId="0" xfId="0" applyNumberFormat="1" applyFont="1"/>
    <xf numFmtId="166" fontId="32" fillId="0" borderId="0" xfId="0" applyNumberFormat="1" applyFont="1" applyAlignment="1">
      <alignment shrinkToFit="1"/>
    </xf>
    <xf numFmtId="3" fontId="32" fillId="0" borderId="0" xfId="403" applyNumberFormat="1" applyFont="1" applyFill="1"/>
    <xf numFmtId="179" fontId="32" fillId="0" borderId="0" xfId="403" applyNumberFormat="1" applyFont="1" applyFill="1" applyAlignment="1">
      <alignment shrinkToFit="1"/>
    </xf>
    <xf numFmtId="0" fontId="130" fillId="0" borderId="0" xfId="0" applyFont="1" applyAlignment="1">
      <alignment horizontal="center" vertical="center" shrinkToFit="1"/>
    </xf>
    <xf numFmtId="49" fontId="130" fillId="0" borderId="0" xfId="0" applyNumberFormat="1" applyFont="1" applyAlignment="1">
      <alignment vertical="center" shrinkToFit="1"/>
    </xf>
    <xf numFmtId="166" fontId="130" fillId="0" borderId="0" xfId="0" applyNumberFormat="1" applyFont="1" applyAlignment="1">
      <alignment vertical="center" shrinkToFit="1"/>
    </xf>
    <xf numFmtId="166" fontId="155" fillId="0" borderId="0" xfId="0" applyNumberFormat="1" applyFont="1" applyAlignment="1">
      <alignment vertical="center" shrinkToFit="1"/>
    </xf>
    <xf numFmtId="166" fontId="129" fillId="0" borderId="0" xfId="0" applyNumberFormat="1" applyFont="1" applyAlignment="1">
      <alignment vertical="center" shrinkToFit="1"/>
    </xf>
    <xf numFmtId="0" fontId="32" fillId="0" borderId="0" xfId="352" applyFont="1"/>
    <xf numFmtId="0" fontId="120" fillId="0" borderId="0" xfId="352" applyFont="1" applyAlignment="1">
      <alignment horizontal="centerContinuous" vertical="center"/>
    </xf>
    <xf numFmtId="0" fontId="32" fillId="0" borderId="0" xfId="352" applyFont="1" applyAlignment="1">
      <alignment horizontal="centerContinuous" vertical="center"/>
    </xf>
    <xf numFmtId="0" fontId="120" fillId="0" borderId="0" xfId="352" applyFont="1"/>
    <xf numFmtId="0" fontId="120" fillId="0" borderId="0" xfId="352" applyFont="1" applyAlignment="1">
      <alignment horizontal="centerContinuous"/>
    </xf>
    <xf numFmtId="166" fontId="120" fillId="0" borderId="0" xfId="352" applyNumberFormat="1" applyFont="1" applyAlignment="1">
      <alignment horizontal="centerContinuous"/>
    </xf>
    <xf numFmtId="0" fontId="120" fillId="0" borderId="0" xfId="352" applyFont="1" applyAlignment="1">
      <alignment horizontal="right"/>
    </xf>
    <xf numFmtId="0" fontId="134" fillId="0" borderId="0" xfId="352" applyFont="1" applyAlignment="1">
      <alignment vertical="center"/>
    </xf>
    <xf numFmtId="0" fontId="120" fillId="0" borderId="0" xfId="352" applyFont="1" applyAlignment="1">
      <alignment horizontal="center" vertical="center"/>
    </xf>
    <xf numFmtId="166" fontId="120" fillId="0" borderId="11" xfId="352" applyNumberFormat="1" applyFont="1" applyBorder="1" applyAlignment="1">
      <alignment horizontal="center" vertical="center" wrapText="1"/>
    </xf>
    <xf numFmtId="166" fontId="120" fillId="0" borderId="24" xfId="352" applyNumberFormat="1" applyFont="1" applyBorder="1" applyAlignment="1">
      <alignment horizontal="center" vertical="center" wrapText="1"/>
    </xf>
    <xf numFmtId="166" fontId="120" fillId="0" borderId="10" xfId="352" applyNumberFormat="1" applyFont="1" applyBorder="1" applyAlignment="1">
      <alignment horizontal="center" vertical="center" wrapText="1"/>
    </xf>
    <xf numFmtId="0" fontId="120" fillId="0" borderId="24" xfId="352" applyFont="1" applyBorder="1" applyAlignment="1">
      <alignment horizontal="center" vertical="center"/>
    </xf>
    <xf numFmtId="0" fontId="120" fillId="0" borderId="11" xfId="352" applyFont="1" applyBorder="1" applyAlignment="1">
      <alignment horizontal="center" vertical="center"/>
    </xf>
    <xf numFmtId="166" fontId="120" fillId="0" borderId="11" xfId="352" applyNumberFormat="1" applyFont="1" applyBorder="1" applyAlignment="1">
      <alignment horizontal="center" vertical="center"/>
    </xf>
    <xf numFmtId="0" fontId="120" fillId="0" borderId="25" xfId="352" applyFont="1" applyBorder="1" applyAlignment="1">
      <alignment horizontal="center" vertical="center"/>
    </xf>
    <xf numFmtId="166" fontId="120" fillId="0" borderId="24" xfId="352" applyNumberFormat="1" applyFont="1" applyBorder="1" applyAlignment="1">
      <alignment horizontal="center" vertical="center"/>
    </xf>
    <xf numFmtId="166" fontId="120" fillId="0" borderId="10" xfId="352" applyNumberFormat="1" applyFont="1" applyBorder="1" applyAlignment="1">
      <alignment horizontal="center" vertical="center"/>
    </xf>
    <xf numFmtId="0" fontId="130" fillId="0" borderId="28" xfId="352" applyFont="1" applyBorder="1" applyAlignment="1">
      <alignment horizontal="center" vertical="center"/>
    </xf>
    <xf numFmtId="0" fontId="130" fillId="0" borderId="14" xfId="352" applyFont="1" applyBorder="1" applyAlignment="1">
      <alignment horizontal="justify" vertical="center" shrinkToFit="1"/>
    </xf>
    <xf numFmtId="219" fontId="130" fillId="0" borderId="58" xfId="352" applyNumberFormat="1" applyFont="1" applyBorder="1" applyAlignment="1">
      <alignment vertical="center" shrinkToFit="1"/>
    </xf>
    <xf numFmtId="219" fontId="130" fillId="0" borderId="32" xfId="352" applyNumberFormat="1" applyFont="1" applyBorder="1" applyAlignment="1">
      <alignment vertical="center" shrinkToFit="1"/>
    </xf>
    <xf numFmtId="0" fontId="130" fillId="0" borderId="0" xfId="352" applyFont="1" applyAlignment="1">
      <alignment horizontal="center" vertical="center"/>
    </xf>
    <xf numFmtId="0" fontId="120" fillId="0" borderId="26" xfId="352" applyFont="1" applyBorder="1" applyAlignment="1">
      <alignment horizontal="center" vertical="center"/>
    </xf>
    <xf numFmtId="0" fontId="120" fillId="0" borderId="14" xfId="352" applyFont="1" applyBorder="1" applyAlignment="1">
      <alignment horizontal="justify" vertical="center" shrinkToFit="1"/>
    </xf>
    <xf numFmtId="219" fontId="120" fillId="0" borderId="60" xfId="352" applyNumberFormat="1" applyFont="1" applyBorder="1" applyAlignment="1">
      <alignment vertical="center" shrinkToFit="1"/>
    </xf>
    <xf numFmtId="219" fontId="120" fillId="0" borderId="60" xfId="403" applyNumberFormat="1" applyFont="1" applyFill="1" applyBorder="1" applyAlignment="1">
      <alignment vertical="center" shrinkToFit="1"/>
    </xf>
    <xf numFmtId="219" fontId="120" fillId="0" borderId="32" xfId="352" applyNumberFormat="1" applyFont="1" applyBorder="1" applyAlignment="1">
      <alignment vertical="center" shrinkToFit="1"/>
    </xf>
    <xf numFmtId="219" fontId="120" fillId="0" borderId="26" xfId="352" applyNumberFormat="1" applyFont="1" applyBorder="1" applyAlignment="1">
      <alignment vertical="center" shrinkToFit="1"/>
    </xf>
    <xf numFmtId="219" fontId="120" fillId="0" borderId="59" xfId="352" applyNumberFormat="1" applyFont="1" applyBorder="1" applyAlignment="1">
      <alignment vertical="center" shrinkToFit="1"/>
    </xf>
    <xf numFmtId="0" fontId="134" fillId="0" borderId="26" xfId="352" applyFont="1" applyBorder="1" applyAlignment="1">
      <alignment horizontal="center" vertical="center"/>
    </xf>
    <xf numFmtId="0" fontId="134" fillId="0" borderId="14" xfId="352" applyFont="1" applyBorder="1" applyAlignment="1">
      <alignment horizontal="justify" vertical="center" shrinkToFit="1"/>
    </xf>
    <xf numFmtId="219" fontId="134" fillId="0" borderId="60" xfId="352" applyNumberFormat="1" applyFont="1" applyBorder="1" applyAlignment="1">
      <alignment vertical="center" shrinkToFit="1"/>
    </xf>
    <xf numFmtId="219" fontId="134" fillId="0" borderId="60" xfId="403" applyNumberFormat="1" applyFont="1" applyFill="1" applyBorder="1" applyAlignment="1">
      <alignment vertical="center" shrinkToFit="1"/>
    </xf>
    <xf numFmtId="219" fontId="134" fillId="0" borderId="32" xfId="352" applyNumberFormat="1" applyFont="1" applyBorder="1" applyAlignment="1">
      <alignment vertical="center" shrinkToFit="1"/>
    </xf>
    <xf numFmtId="219" fontId="134" fillId="0" borderId="26" xfId="352" applyNumberFormat="1" applyFont="1" applyBorder="1" applyAlignment="1">
      <alignment vertical="center" shrinkToFit="1"/>
    </xf>
    <xf numFmtId="219" fontId="134" fillId="0" borderId="59" xfId="352" applyNumberFormat="1" applyFont="1" applyBorder="1" applyAlignment="1">
      <alignment vertical="center" shrinkToFit="1"/>
    </xf>
    <xf numFmtId="0" fontId="134" fillId="0" borderId="0" xfId="352" applyFont="1" applyAlignment="1">
      <alignment horizontal="center" vertical="center"/>
    </xf>
    <xf numFmtId="0" fontId="121" fillId="0" borderId="26" xfId="352" applyFont="1" applyBorder="1" applyAlignment="1">
      <alignment horizontal="center" vertical="center"/>
    </xf>
    <xf numFmtId="0" fontId="121" fillId="0" borderId="60" xfId="352" applyFont="1" applyBorder="1" applyAlignment="1">
      <alignment horizontal="justify" vertical="center" shrinkToFit="1"/>
    </xf>
    <xf numFmtId="219" fontId="121" fillId="0" borderId="60" xfId="352" applyNumberFormat="1" applyFont="1" applyBorder="1" applyAlignment="1">
      <alignment vertical="center" shrinkToFit="1"/>
    </xf>
    <xf numFmtId="219" fontId="121" fillId="0" borderId="60" xfId="403" applyNumberFormat="1" applyFont="1" applyFill="1" applyBorder="1" applyAlignment="1">
      <alignment vertical="center" shrinkToFit="1"/>
    </xf>
    <xf numFmtId="219" fontId="121" fillId="0" borderId="32" xfId="352" applyNumberFormat="1" applyFont="1" applyBorder="1" applyAlignment="1">
      <alignment vertical="center" shrinkToFit="1"/>
    </xf>
    <xf numFmtId="219" fontId="121" fillId="0" borderId="26" xfId="352" applyNumberFormat="1" applyFont="1" applyBorder="1" applyAlignment="1">
      <alignment vertical="center" shrinkToFit="1"/>
    </xf>
    <xf numFmtId="219" fontId="121" fillId="0" borderId="59" xfId="352" applyNumberFormat="1" applyFont="1" applyBorder="1" applyAlignment="1">
      <alignment vertical="center" shrinkToFit="1"/>
    </xf>
    <xf numFmtId="0" fontId="121" fillId="0" borderId="0" xfId="352" applyFont="1" applyAlignment="1">
      <alignment horizontal="center" vertical="center"/>
    </xf>
    <xf numFmtId="0" fontId="120" fillId="0" borderId="60" xfId="352" applyFont="1" applyBorder="1" applyAlignment="1">
      <alignment horizontal="justify" vertical="center" shrinkToFit="1"/>
    </xf>
    <xf numFmtId="219" fontId="32" fillId="0" borderId="60" xfId="352" applyNumberFormat="1" applyFont="1" applyBorder="1" applyAlignment="1">
      <alignment vertical="center" shrinkToFit="1"/>
    </xf>
    <xf numFmtId="219" fontId="32" fillId="0" borderId="32" xfId="352" applyNumberFormat="1" applyFont="1" applyBorder="1" applyAlignment="1">
      <alignment vertical="center" shrinkToFit="1"/>
    </xf>
    <xf numFmtId="219" fontId="32" fillId="0" borderId="26" xfId="352" applyNumberFormat="1" applyFont="1" applyBorder="1" applyAlignment="1">
      <alignment vertical="center" shrinkToFit="1"/>
    </xf>
    <xf numFmtId="219" fontId="32" fillId="0" borderId="59" xfId="352" applyNumberFormat="1" applyFont="1" applyBorder="1" applyAlignment="1">
      <alignment vertical="center" shrinkToFit="1"/>
    </xf>
    <xf numFmtId="219" fontId="141" fillId="0" borderId="60" xfId="352" applyNumberFormat="1" applyFont="1" applyBorder="1" applyAlignment="1">
      <alignment vertical="center" shrinkToFit="1"/>
    </xf>
    <xf numFmtId="219" fontId="150" fillId="0" borderId="60" xfId="352" applyNumberFormat="1" applyFont="1" applyBorder="1" applyAlignment="1">
      <alignment vertical="center" shrinkToFit="1"/>
    </xf>
    <xf numFmtId="219" fontId="142" fillId="0" borderId="60" xfId="352" applyNumberFormat="1" applyFont="1" applyBorder="1" applyAlignment="1">
      <alignment vertical="center" shrinkToFit="1"/>
    </xf>
    <xf numFmtId="0" fontId="130" fillId="0" borderId="26" xfId="352" applyFont="1" applyBorder="1" applyAlignment="1">
      <alignment horizontal="center" vertical="center"/>
    </xf>
    <xf numFmtId="43" fontId="130" fillId="0" borderId="60" xfId="403" applyFont="1" applyFill="1" applyBorder="1" applyAlignment="1">
      <alignment vertical="center" shrinkToFit="1"/>
    </xf>
    <xf numFmtId="219" fontId="130" fillId="0" borderId="60" xfId="352" applyNumberFormat="1" applyFont="1" applyBorder="1" applyAlignment="1">
      <alignment vertical="center" shrinkToFit="1"/>
    </xf>
    <xf numFmtId="219" fontId="130" fillId="0" borderId="26" xfId="352" applyNumberFormat="1" applyFont="1" applyBorder="1" applyAlignment="1">
      <alignment vertical="center" shrinkToFit="1"/>
    </xf>
    <xf numFmtId="219" fontId="130" fillId="0" borderId="59" xfId="352" applyNumberFormat="1" applyFont="1" applyBorder="1" applyAlignment="1">
      <alignment vertical="center" shrinkToFit="1"/>
    </xf>
    <xf numFmtId="0" fontId="130" fillId="0" borderId="0" xfId="352" applyFont="1" applyAlignment="1">
      <alignment vertical="center"/>
    </xf>
    <xf numFmtId="0" fontId="130" fillId="0" borderId="60" xfId="352" applyFont="1" applyBorder="1" applyAlignment="1">
      <alignment vertical="center" shrinkToFit="1"/>
    </xf>
    <xf numFmtId="0" fontId="120" fillId="0" borderId="0" xfId="352" applyFont="1" applyAlignment="1">
      <alignment vertical="center"/>
    </xf>
    <xf numFmtId="0" fontId="128" fillId="0" borderId="26" xfId="352" applyFont="1" applyBorder="1" applyAlignment="1">
      <alignment horizontal="center" vertical="center"/>
    </xf>
    <xf numFmtId="0" fontId="134" fillId="0" borderId="60" xfId="352" quotePrefix="1" applyFont="1" applyBorder="1" applyAlignment="1">
      <alignment vertical="center" wrapText="1"/>
    </xf>
    <xf numFmtId="0" fontId="128" fillId="0" borderId="0" xfId="352" applyFont="1" applyAlignment="1">
      <alignment vertical="center"/>
    </xf>
    <xf numFmtId="219" fontId="213" fillId="0" borderId="60" xfId="352" applyNumberFormat="1" applyFont="1" applyBorder="1" applyAlignment="1">
      <alignment vertical="center" shrinkToFit="1"/>
    </xf>
    <xf numFmtId="219" fontId="130" fillId="3" borderId="60" xfId="352" applyNumberFormat="1" applyFont="1" applyFill="1" applyBorder="1" applyAlignment="1">
      <alignment vertical="center" shrinkToFit="1"/>
    </xf>
    <xf numFmtId="0" fontId="32" fillId="0" borderId="60" xfId="352" applyFont="1" applyBorder="1" applyAlignment="1">
      <alignment vertical="center" shrinkToFit="1"/>
    </xf>
    <xf numFmtId="0" fontId="130" fillId="0" borderId="172" xfId="352" applyFont="1" applyBorder="1" applyAlignment="1">
      <alignment horizontal="center" vertical="center"/>
    </xf>
    <xf numFmtId="0" fontId="130" fillId="0" borderId="140" xfId="352" applyFont="1" applyBorder="1" applyAlignment="1">
      <alignment vertical="center" shrinkToFit="1"/>
    </xf>
    <xf numFmtId="219" fontId="130" fillId="0" borderId="140" xfId="352" applyNumberFormat="1" applyFont="1" applyBorder="1" applyAlignment="1">
      <alignment vertical="center" shrinkToFit="1"/>
    </xf>
    <xf numFmtId="219" fontId="130" fillId="0" borderId="140" xfId="403" applyNumberFormat="1" applyFont="1" applyFill="1" applyBorder="1" applyAlignment="1">
      <alignment vertical="center" shrinkToFit="1"/>
    </xf>
    <xf numFmtId="219" fontId="130" fillId="0" borderId="173" xfId="352" applyNumberFormat="1" applyFont="1" applyBorder="1" applyAlignment="1">
      <alignment vertical="center" shrinkToFit="1"/>
    </xf>
    <xf numFmtId="219" fontId="130" fillId="0" borderId="172" xfId="352" applyNumberFormat="1" applyFont="1" applyBorder="1" applyAlignment="1">
      <alignment vertical="center" shrinkToFit="1"/>
    </xf>
    <xf numFmtId="219" fontId="130" fillId="0" borderId="174" xfId="352" applyNumberFormat="1" applyFont="1" applyBorder="1" applyAlignment="1">
      <alignment vertical="center" shrinkToFit="1"/>
    </xf>
    <xf numFmtId="219" fontId="213" fillId="0" borderId="140" xfId="352" applyNumberFormat="1" applyFont="1" applyBorder="1" applyAlignment="1">
      <alignment vertical="center" shrinkToFit="1"/>
    </xf>
    <xf numFmtId="0" fontId="130" fillId="0" borderId="29" xfId="352" applyFont="1" applyBorder="1" applyAlignment="1">
      <alignment horizontal="center" vertical="center"/>
    </xf>
    <xf numFmtId="0" fontId="130" fillId="0" borderId="30" xfId="352" applyFont="1" applyBorder="1" applyAlignment="1">
      <alignment vertical="center" shrinkToFit="1"/>
    </xf>
    <xf numFmtId="219" fontId="130" fillId="0" borderId="30" xfId="352" applyNumberFormat="1" applyFont="1" applyBorder="1" applyAlignment="1">
      <alignment vertical="center" shrinkToFit="1"/>
    </xf>
    <xf numFmtId="219" fontId="130" fillId="0" borderId="30" xfId="403" applyNumberFormat="1" applyFont="1" applyFill="1" applyBorder="1" applyAlignment="1">
      <alignment vertical="center" shrinkToFit="1"/>
    </xf>
    <xf numFmtId="219" fontId="130" fillId="0" borderId="31" xfId="352" applyNumberFormat="1" applyFont="1" applyBorder="1" applyAlignment="1">
      <alignment vertical="center" shrinkToFit="1"/>
    </xf>
    <xf numFmtId="219" fontId="130" fillId="0" borderId="29" xfId="352" applyNumberFormat="1" applyFont="1" applyBorder="1" applyAlignment="1">
      <alignment vertical="center" shrinkToFit="1"/>
    </xf>
    <xf numFmtId="219" fontId="213" fillId="0" borderId="30" xfId="352" applyNumberFormat="1" applyFont="1" applyBorder="1" applyAlignment="1">
      <alignment vertical="center" shrinkToFit="1"/>
    </xf>
    <xf numFmtId="219" fontId="130" fillId="3" borderId="30" xfId="352" applyNumberFormat="1" applyFont="1" applyFill="1" applyBorder="1" applyAlignment="1">
      <alignment vertical="center" shrinkToFit="1"/>
    </xf>
    <xf numFmtId="219" fontId="130" fillId="0" borderId="69" xfId="352" applyNumberFormat="1" applyFont="1" applyBorder="1" applyAlignment="1">
      <alignment vertical="center" shrinkToFit="1"/>
    </xf>
    <xf numFmtId="219" fontId="213" fillId="3" borderId="30" xfId="352" applyNumberFormat="1" applyFont="1" applyFill="1" applyBorder="1" applyAlignment="1">
      <alignment vertical="center" shrinkToFit="1"/>
    </xf>
    <xf numFmtId="166" fontId="32" fillId="0" borderId="0" xfId="352" applyNumberFormat="1" applyFont="1"/>
    <xf numFmtId="219" fontId="32" fillId="0" borderId="0" xfId="352" applyNumberFormat="1" applyFont="1"/>
    <xf numFmtId="219" fontId="120" fillId="0" borderId="0" xfId="352" applyNumberFormat="1" applyFont="1" applyAlignment="1">
      <alignment vertical="center" shrinkToFit="1"/>
    </xf>
    <xf numFmtId="179" fontId="32" fillId="0" borderId="0" xfId="352" applyNumberFormat="1" applyFont="1"/>
    <xf numFmtId="219" fontId="32" fillId="0" borderId="0" xfId="352" applyNumberFormat="1" applyFont="1" applyAlignment="1">
      <alignment vertical="center" shrinkToFit="1"/>
    </xf>
    <xf numFmtId="3" fontId="32" fillId="0" borderId="0" xfId="403" applyNumberFormat="1" applyFont="1" applyFill="1" applyAlignment="1">
      <alignment shrinkToFit="1"/>
    </xf>
    <xf numFmtId="3" fontId="32" fillId="0" borderId="0" xfId="352" applyNumberFormat="1" applyFont="1" applyAlignment="1">
      <alignment shrinkToFit="1"/>
    </xf>
    <xf numFmtId="179" fontId="32" fillId="0" borderId="0" xfId="352" applyNumberFormat="1" applyFont="1" applyAlignment="1">
      <alignment shrinkToFit="1"/>
    </xf>
    <xf numFmtId="0" fontId="32" fillId="0" borderId="134" xfId="0" applyFont="1" applyBorder="1" applyAlignment="1">
      <alignment horizontal="center" vertical="center"/>
    </xf>
    <xf numFmtId="0" fontId="32" fillId="0" borderId="13" xfId="0" applyFont="1" applyBorder="1" applyAlignment="1">
      <alignment vertical="center" shrinkToFit="1"/>
    </xf>
    <xf numFmtId="38" fontId="32" fillId="0" borderId="0" xfId="0" applyNumberFormat="1" applyFont="1"/>
    <xf numFmtId="0" fontId="11" fillId="0" borderId="133" xfId="0" applyFont="1" applyBorder="1" applyAlignment="1">
      <alignment horizontal="right"/>
    </xf>
    <xf numFmtId="0" fontId="11" fillId="0" borderId="133" xfId="0" applyFont="1" applyBorder="1" applyAlignment="1">
      <alignment horizontal="center"/>
    </xf>
    <xf numFmtId="0" fontId="11" fillId="0" borderId="0" xfId="0" applyFont="1"/>
    <xf numFmtId="0" fontId="11" fillId="0" borderId="72"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left" vertical="center"/>
    </xf>
    <xf numFmtId="220" fontId="4" fillId="0" borderId="11" xfId="0" applyNumberFormat="1" applyFont="1" applyBorder="1" applyAlignment="1">
      <alignment vertical="center" shrinkToFit="1"/>
    </xf>
    <xf numFmtId="3" fontId="4" fillId="0" borderId="0" xfId="0" applyNumberFormat="1" applyFont="1"/>
    <xf numFmtId="220" fontId="11" fillId="0" borderId="11" xfId="0" applyNumberFormat="1" applyFont="1" applyBorder="1" applyAlignment="1">
      <alignment vertical="center" shrinkToFit="1"/>
    </xf>
    <xf numFmtId="220" fontId="11" fillId="0" borderId="0" xfId="0" applyNumberFormat="1" applyFont="1"/>
    <xf numFmtId="38" fontId="4" fillId="0" borderId="0" xfId="0" applyNumberFormat="1" applyFont="1"/>
    <xf numFmtId="0" fontId="4" fillId="0" borderId="0" xfId="381" applyFont="1"/>
    <xf numFmtId="0" fontId="4" fillId="0" borderId="0" xfId="381" applyFont="1" applyAlignment="1">
      <alignment horizontal="right"/>
    </xf>
    <xf numFmtId="228" fontId="4" fillId="0" borderId="0" xfId="381" applyNumberFormat="1" applyFont="1" applyAlignment="1">
      <alignment horizontal="right"/>
    </xf>
    <xf numFmtId="0" fontId="11" fillId="0" borderId="0" xfId="381" applyFont="1"/>
    <xf numFmtId="0" fontId="12" fillId="0" borderId="60" xfId="381" applyFont="1" applyBorder="1" applyAlignment="1">
      <alignment horizontal="center" vertical="center" shrinkToFit="1"/>
    </xf>
    <xf numFmtId="0" fontId="199" fillId="0" borderId="58" xfId="381" applyFont="1" applyBorder="1" applyAlignment="1">
      <alignment horizontal="center" shrinkToFit="1"/>
    </xf>
    <xf numFmtId="0" fontId="199" fillId="0" borderId="58" xfId="381" applyFont="1" applyBorder="1" applyAlignment="1">
      <alignment vertical="center" shrinkToFit="1"/>
    </xf>
    <xf numFmtId="228" fontId="12" fillId="0" borderId="58" xfId="381" applyNumberFormat="1" applyFont="1" applyBorder="1" applyAlignment="1">
      <alignment shrinkToFit="1"/>
    </xf>
    <xf numFmtId="228" fontId="12" fillId="3" borderId="58" xfId="381" applyNumberFormat="1" applyFont="1" applyFill="1" applyBorder="1" applyAlignment="1">
      <alignment shrinkToFit="1"/>
    </xf>
    <xf numFmtId="0" fontId="12" fillId="0" borderId="0" xfId="381" applyFont="1"/>
    <xf numFmtId="49" fontId="11" fillId="0" borderId="60" xfId="381" applyNumberFormat="1" applyFont="1" applyBorder="1" applyAlignment="1">
      <alignment horizontal="center" vertical="center"/>
    </xf>
    <xf numFmtId="49" fontId="123" fillId="0" borderId="60" xfId="381" applyNumberFormat="1" applyFont="1" applyBorder="1" applyAlignment="1">
      <alignment horizontal="center" vertical="center"/>
    </xf>
    <xf numFmtId="49" fontId="123" fillId="0" borderId="60" xfId="381" applyNumberFormat="1" applyFont="1" applyBorder="1" applyAlignment="1">
      <alignment vertical="center" shrinkToFit="1"/>
    </xf>
    <xf numFmtId="228" fontId="11" fillId="0" borderId="60" xfId="381" applyNumberFormat="1" applyFont="1" applyBorder="1" applyAlignment="1">
      <alignment vertical="center" shrinkToFit="1"/>
    </xf>
    <xf numFmtId="228" fontId="14" fillId="3" borderId="60" xfId="381" applyNumberFormat="1" applyFont="1" applyFill="1" applyBorder="1" applyAlignment="1">
      <alignment vertical="center" shrinkToFit="1"/>
    </xf>
    <xf numFmtId="228" fontId="14" fillId="0" borderId="60" xfId="381" applyNumberFormat="1" applyFont="1" applyBorder="1" applyAlignment="1">
      <alignment vertical="center" shrinkToFit="1"/>
    </xf>
    <xf numFmtId="49" fontId="19" fillId="0" borderId="60" xfId="381" applyNumberFormat="1" applyFont="1" applyBorder="1" applyAlignment="1">
      <alignment horizontal="center" vertical="center"/>
    </xf>
    <xf numFmtId="49" fontId="177" fillId="0" borderId="60" xfId="381" applyNumberFormat="1" applyFont="1" applyBorder="1" applyAlignment="1">
      <alignment horizontal="center" vertical="center"/>
    </xf>
    <xf numFmtId="49" fontId="19" fillId="0" borderId="60" xfId="381" applyNumberFormat="1" applyFont="1" applyBorder="1" applyAlignment="1">
      <alignment vertical="center" shrinkToFit="1"/>
    </xf>
    <xf numFmtId="228" fontId="19" fillId="0" borderId="60" xfId="381" applyNumberFormat="1" applyFont="1" applyBorder="1" applyAlignment="1">
      <alignment vertical="center" shrinkToFit="1"/>
    </xf>
    <xf numFmtId="0" fontId="19" fillId="0" borderId="0" xfId="381" applyFont="1"/>
    <xf numFmtId="0" fontId="19" fillId="0" borderId="60" xfId="410" applyFont="1" applyBorder="1" applyAlignment="1">
      <alignment vertical="center" shrinkToFit="1"/>
    </xf>
    <xf numFmtId="49" fontId="20" fillId="0" borderId="60" xfId="381" applyNumberFormat="1" applyFont="1" applyBorder="1" applyAlignment="1">
      <alignment horizontal="center" vertical="center"/>
    </xf>
    <xf numFmtId="0" fontId="20" fillId="0" borderId="0" xfId="381" applyFont="1"/>
    <xf numFmtId="49" fontId="140" fillId="0" borderId="60" xfId="381" applyNumberFormat="1" applyFont="1" applyBorder="1" applyAlignment="1">
      <alignment horizontal="center" vertical="center"/>
    </xf>
    <xf numFmtId="49" fontId="205" fillId="0" borderId="60" xfId="381" applyNumberFormat="1" applyFont="1" applyBorder="1" applyAlignment="1">
      <alignment horizontal="center" vertical="center"/>
    </xf>
    <xf numFmtId="49" fontId="205" fillId="0" borderId="60" xfId="381" applyNumberFormat="1" applyFont="1" applyBorder="1" applyAlignment="1">
      <alignment vertical="center" wrapText="1" shrinkToFit="1"/>
    </xf>
    <xf numFmtId="228" fontId="140" fillId="0" borderId="60" xfId="381" applyNumberFormat="1" applyFont="1" applyBorder="1" applyAlignment="1">
      <alignment vertical="center" shrinkToFit="1"/>
    </xf>
    <xf numFmtId="0" fontId="140" fillId="0" borderId="0" xfId="381" applyFont="1"/>
    <xf numFmtId="49" fontId="191" fillId="0" borderId="60" xfId="381" applyNumberFormat="1" applyFont="1" applyBorder="1" applyAlignment="1">
      <alignment horizontal="center" vertical="center"/>
    </xf>
    <xf numFmtId="49" fontId="191" fillId="0" borderId="60" xfId="381" applyNumberFormat="1" applyFont="1" applyBorder="1" applyAlignment="1">
      <alignment vertical="center" shrinkToFit="1"/>
    </xf>
    <xf numFmtId="228" fontId="217" fillId="0" borderId="60" xfId="381" applyNumberFormat="1" applyFont="1" applyBorder="1" applyAlignment="1">
      <alignment vertical="center" shrinkToFit="1"/>
    </xf>
    <xf numFmtId="49" fontId="4" fillId="0" borderId="60" xfId="381" applyNumberFormat="1" applyFont="1" applyBorder="1" applyAlignment="1">
      <alignment horizontal="center" vertical="center"/>
    </xf>
    <xf numFmtId="49" fontId="177" fillId="0" borderId="60" xfId="381" applyNumberFormat="1" applyFont="1" applyBorder="1" applyAlignment="1">
      <alignment vertical="center" shrinkToFit="1"/>
    </xf>
    <xf numFmtId="49" fontId="12" fillId="0" borderId="60" xfId="381" applyNumberFormat="1" applyFont="1" applyBorder="1" applyAlignment="1">
      <alignment horizontal="center" vertical="center"/>
    </xf>
    <xf numFmtId="228" fontId="11" fillId="0" borderId="60" xfId="348" applyNumberFormat="1" applyFont="1" applyFill="1" applyBorder="1" applyAlignment="1">
      <alignment vertical="center" shrinkToFit="1"/>
    </xf>
    <xf numFmtId="228" fontId="12" fillId="0" borderId="0" xfId="381" applyNumberFormat="1" applyFont="1"/>
    <xf numFmtId="228" fontId="11" fillId="0" borderId="0" xfId="381" applyNumberFormat="1" applyFont="1"/>
    <xf numFmtId="49" fontId="14" fillId="0" borderId="60" xfId="381" applyNumberFormat="1" applyFont="1" applyBorder="1" applyAlignment="1">
      <alignment vertical="center" shrinkToFit="1"/>
    </xf>
    <xf numFmtId="217" fontId="14" fillId="0" borderId="60" xfId="348" applyNumberFormat="1" applyFont="1" applyBorder="1" applyAlignment="1">
      <alignment horizontal="right" shrinkToFit="1"/>
    </xf>
    <xf numFmtId="49" fontId="199" fillId="0" borderId="60" xfId="381" applyNumberFormat="1" applyFont="1" applyBorder="1" applyAlignment="1">
      <alignment horizontal="center" vertical="center"/>
    </xf>
    <xf numFmtId="49" fontId="199" fillId="0" borderId="60" xfId="381" applyNumberFormat="1" applyFont="1" applyBorder="1" applyAlignment="1">
      <alignment vertical="center" shrinkToFit="1"/>
    </xf>
    <xf numFmtId="228" fontId="12" fillId="0" borderId="60" xfId="381" applyNumberFormat="1" applyFont="1" applyBorder="1" applyAlignment="1">
      <alignment vertical="center" shrinkToFit="1"/>
    </xf>
    <xf numFmtId="49" fontId="117" fillId="0" borderId="60" xfId="381" applyNumberFormat="1" applyFont="1" applyBorder="1" applyAlignment="1">
      <alignment horizontal="center" vertical="center"/>
    </xf>
    <xf numFmtId="0" fontId="117" fillId="0" borderId="60" xfId="0" applyFont="1" applyBorder="1" applyAlignment="1">
      <alignment vertical="center" shrinkToFit="1"/>
    </xf>
    <xf numFmtId="228" fontId="4" fillId="0" borderId="60" xfId="381" applyNumberFormat="1" applyFont="1" applyBorder="1" applyAlignment="1">
      <alignment vertical="center" shrinkToFit="1"/>
    </xf>
    <xf numFmtId="0" fontId="117" fillId="0" borderId="60" xfId="381" applyFont="1" applyBorder="1" applyAlignment="1">
      <alignment vertical="center" shrinkToFit="1"/>
    </xf>
    <xf numFmtId="228" fontId="18" fillId="3" borderId="60" xfId="381" applyNumberFormat="1" applyFont="1" applyFill="1" applyBorder="1" applyAlignment="1">
      <alignment vertical="center" shrinkToFit="1"/>
    </xf>
    <xf numFmtId="228" fontId="23" fillId="3" borderId="60" xfId="381" applyNumberFormat="1" applyFont="1" applyFill="1" applyBorder="1" applyAlignment="1">
      <alignment vertical="center" shrinkToFit="1"/>
    </xf>
    <xf numFmtId="0" fontId="117" fillId="0" borderId="60" xfId="381" applyFont="1" applyBorder="1" applyAlignment="1">
      <alignment horizontal="center" shrinkToFit="1"/>
    </xf>
    <xf numFmtId="0" fontId="17" fillId="0" borderId="60" xfId="381" applyFont="1" applyBorder="1" applyAlignment="1">
      <alignment horizontal="center" shrinkToFit="1"/>
    </xf>
    <xf numFmtId="228" fontId="17" fillId="2" borderId="60" xfId="381" applyNumberFormat="1" applyFont="1" applyFill="1" applyBorder="1" applyAlignment="1">
      <alignment vertical="center" shrinkToFit="1"/>
    </xf>
    <xf numFmtId="228" fontId="17" fillId="0" borderId="60" xfId="381" applyNumberFormat="1" applyFont="1" applyBorder="1" applyAlignment="1">
      <alignment vertical="center" shrinkToFit="1"/>
    </xf>
    <xf numFmtId="0" fontId="16" fillId="0" borderId="60" xfId="381" applyFont="1" applyBorder="1" applyAlignment="1">
      <alignment horizontal="center" shrinkToFit="1"/>
    </xf>
    <xf numFmtId="228" fontId="16" fillId="2" borderId="60" xfId="381" applyNumberFormat="1" applyFont="1" applyFill="1" applyBorder="1" applyAlignment="1">
      <alignment vertical="center" shrinkToFit="1"/>
    </xf>
    <xf numFmtId="228" fontId="16" fillId="0" borderId="60" xfId="381" applyNumberFormat="1" applyFont="1" applyBorder="1" applyAlignment="1">
      <alignment vertical="center" shrinkToFit="1"/>
    </xf>
    <xf numFmtId="219" fontId="16" fillId="0" borderId="60" xfId="0" applyNumberFormat="1" applyFont="1" applyBorder="1" applyAlignment="1">
      <alignment vertical="center" shrinkToFit="1"/>
    </xf>
    <xf numFmtId="0" fontId="199" fillId="0" borderId="60" xfId="0" applyFont="1" applyBorder="1" applyAlignment="1">
      <alignment vertical="center" shrinkToFit="1"/>
    </xf>
    <xf numFmtId="3" fontId="4" fillId="0" borderId="60" xfId="403" applyNumberFormat="1" applyFont="1" applyBorder="1" applyAlignment="1">
      <alignment vertical="center" shrinkToFit="1"/>
    </xf>
    <xf numFmtId="3" fontId="4" fillId="3" borderId="60" xfId="403" applyNumberFormat="1" applyFont="1" applyFill="1" applyBorder="1" applyAlignment="1">
      <alignment vertical="center" shrinkToFit="1"/>
    </xf>
    <xf numFmtId="0" fontId="4" fillId="0" borderId="133" xfId="381" applyFont="1" applyBorder="1"/>
    <xf numFmtId="49" fontId="117" fillId="0" borderId="13" xfId="381" applyNumberFormat="1" applyFont="1" applyBorder="1" applyAlignment="1">
      <alignment horizontal="center" vertical="center"/>
    </xf>
    <xf numFmtId="0" fontId="117" fillId="0" borderId="13" xfId="0" applyFont="1" applyBorder="1" applyAlignment="1">
      <alignment vertical="center" shrinkToFit="1"/>
    </xf>
    <xf numFmtId="3" fontId="4" fillId="0" borderId="13" xfId="403" applyNumberFormat="1" applyFont="1" applyBorder="1" applyAlignment="1">
      <alignment vertical="center" shrinkToFit="1"/>
    </xf>
    <xf numFmtId="49" fontId="199" fillId="0" borderId="14" xfId="381" applyNumberFormat="1" applyFont="1" applyBorder="1" applyAlignment="1">
      <alignment horizontal="center" vertical="center"/>
    </xf>
    <xf numFmtId="0" fontId="199" fillId="0" borderId="14" xfId="0" applyFont="1" applyBorder="1" applyAlignment="1">
      <alignment vertical="center" shrinkToFit="1"/>
    </xf>
    <xf numFmtId="3" fontId="12" fillId="0" borderId="14" xfId="403" applyNumberFormat="1" applyFont="1" applyBorder="1" applyAlignment="1">
      <alignment vertical="center" shrinkToFit="1"/>
    </xf>
    <xf numFmtId="0" fontId="177" fillId="0" borderId="60" xfId="0" applyFont="1" applyBorder="1" applyAlignment="1">
      <alignment vertical="center" shrinkToFit="1"/>
    </xf>
    <xf numFmtId="3" fontId="19" fillId="0" borderId="60" xfId="403" applyNumberFormat="1" applyFont="1" applyBorder="1" applyAlignment="1">
      <alignment vertical="center" shrinkToFit="1"/>
    </xf>
    <xf numFmtId="49" fontId="177" fillId="0" borderId="13" xfId="381" applyNumberFormat="1" applyFont="1" applyBorder="1" applyAlignment="1">
      <alignment horizontal="center" vertical="center"/>
    </xf>
    <xf numFmtId="0" fontId="177" fillId="0" borderId="13" xfId="0" applyFont="1" applyBorder="1" applyAlignment="1">
      <alignment vertical="center" shrinkToFit="1"/>
    </xf>
    <xf numFmtId="3" fontId="19" fillId="0" borderId="13" xfId="403" applyNumberFormat="1" applyFont="1" applyBorder="1" applyAlignment="1">
      <alignment vertical="center" shrinkToFit="1"/>
    </xf>
    <xf numFmtId="3" fontId="4" fillId="0" borderId="0" xfId="403" applyNumberFormat="1" applyFont="1"/>
    <xf numFmtId="228" fontId="4" fillId="0" borderId="0" xfId="381" applyNumberFormat="1" applyFont="1"/>
    <xf numFmtId="3" fontId="4" fillId="0" borderId="0" xfId="381" applyNumberFormat="1" applyFont="1"/>
    <xf numFmtId="179" fontId="4" fillId="0" borderId="0" xfId="381" applyNumberFormat="1" applyFont="1"/>
    <xf numFmtId="179" fontId="11" fillId="0" borderId="0" xfId="403" applyNumberFormat="1" applyFont="1"/>
    <xf numFmtId="179" fontId="4" fillId="0" borderId="0" xfId="403" applyNumberFormat="1" applyFont="1"/>
    <xf numFmtId="0" fontId="32" fillId="0" borderId="0" xfId="0" applyFont="1" applyAlignment="1">
      <alignment horizontal="center" vertical="center"/>
    </xf>
    <xf numFmtId="219" fontId="32" fillId="0" borderId="0" xfId="0" applyNumberFormat="1" applyFont="1" applyAlignment="1">
      <alignment horizontal="center" vertical="center"/>
    </xf>
    <xf numFmtId="0" fontId="120" fillId="0" borderId="11" xfId="0" applyFont="1" applyBorder="1" applyAlignment="1">
      <alignment horizontal="center" vertical="center" wrapText="1" shrinkToFit="1"/>
    </xf>
    <xf numFmtId="0" fontId="120" fillId="0" borderId="25"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20" fillId="0" borderId="25" xfId="0" applyFont="1" applyBorder="1" applyAlignment="1">
      <alignment horizontal="center" vertical="center" shrinkToFit="1"/>
    </xf>
    <xf numFmtId="0" fontId="120" fillId="0" borderId="62" xfId="0" applyFont="1" applyBorder="1" applyAlignment="1">
      <alignment horizontal="center" vertical="center" wrapText="1"/>
    </xf>
    <xf numFmtId="219" fontId="120" fillId="0" borderId="58" xfId="0" applyNumberFormat="1" applyFont="1" applyBorder="1" applyAlignment="1">
      <alignment horizontal="right" vertical="center" wrapText="1"/>
    </xf>
    <xf numFmtId="219" fontId="120" fillId="0" borderId="63" xfId="0" applyNumberFormat="1" applyFont="1" applyBorder="1" applyAlignment="1">
      <alignment horizontal="right" vertical="center" wrapText="1"/>
    </xf>
    <xf numFmtId="219" fontId="120" fillId="0" borderId="62" xfId="0" applyNumberFormat="1" applyFont="1" applyBorder="1" applyAlignment="1">
      <alignment horizontal="right" vertical="center" wrapText="1"/>
    </xf>
    <xf numFmtId="0" fontId="120" fillId="0" borderId="26" xfId="0" applyFont="1" applyBorder="1" applyAlignment="1">
      <alignment horizontal="center" vertical="center" wrapText="1"/>
    </xf>
    <xf numFmtId="0" fontId="120" fillId="0" borderId="60" xfId="0" applyFont="1" applyBorder="1" applyAlignment="1">
      <alignment horizontal="justify" vertical="justify" wrapText="1"/>
    </xf>
    <xf numFmtId="219" fontId="120" fillId="0" borderId="60" xfId="0" applyNumberFormat="1" applyFont="1" applyBorder="1" applyAlignment="1">
      <alignment horizontal="right" vertical="center" wrapText="1"/>
    </xf>
    <xf numFmtId="219" fontId="120" fillId="0" borderId="32" xfId="0" applyNumberFormat="1" applyFont="1" applyBorder="1" applyAlignment="1">
      <alignment horizontal="right" vertical="center" wrapText="1"/>
    </xf>
    <xf numFmtId="219" fontId="120" fillId="0" borderId="26" xfId="0" applyNumberFormat="1" applyFont="1" applyBorder="1" applyAlignment="1">
      <alignment horizontal="right" vertical="center" wrapText="1"/>
    </xf>
    <xf numFmtId="0" fontId="32" fillId="0" borderId="60" xfId="0" applyFont="1" applyBorder="1" applyAlignment="1">
      <alignment horizontal="justify" vertical="justify" wrapText="1"/>
    </xf>
    <xf numFmtId="219" fontId="32" fillId="0" borderId="60" xfId="348" applyNumberFormat="1" applyFont="1" applyFill="1" applyBorder="1" applyAlignment="1">
      <alignment horizontal="right" vertical="center" wrapText="1"/>
    </xf>
    <xf numFmtId="219" fontId="32" fillId="0" borderId="32" xfId="348" applyNumberFormat="1" applyFont="1" applyFill="1" applyBorder="1" applyAlignment="1">
      <alignment horizontal="right" vertical="center" wrapText="1"/>
    </xf>
    <xf numFmtId="219" fontId="32" fillId="0" borderId="26" xfId="403" applyNumberFormat="1" applyFont="1" applyFill="1" applyBorder="1" applyAlignment="1">
      <alignment horizontal="right" vertical="center" shrinkToFit="1"/>
    </xf>
    <xf numFmtId="219" fontId="32" fillId="0" borderId="60" xfId="403" applyNumberFormat="1" applyFont="1" applyBorder="1" applyAlignment="1">
      <alignment vertical="center" shrinkToFit="1"/>
    </xf>
    <xf numFmtId="219" fontId="32" fillId="0" borderId="60" xfId="403" applyNumberFormat="1" applyFont="1" applyFill="1" applyBorder="1" applyAlignment="1">
      <alignment horizontal="right" vertical="center" shrinkToFit="1"/>
    </xf>
    <xf numFmtId="219" fontId="32" fillId="0" borderId="32" xfId="403" applyNumberFormat="1" applyFont="1" applyFill="1" applyBorder="1" applyAlignment="1">
      <alignment horizontal="right" vertical="center" shrinkToFit="1"/>
    </xf>
    <xf numFmtId="219" fontId="32" fillId="0" borderId="60" xfId="403" applyNumberFormat="1" applyFont="1" applyFill="1" applyBorder="1" applyAlignment="1">
      <alignment horizontal="right" vertical="center" wrapText="1"/>
    </xf>
    <xf numFmtId="179" fontId="32" fillId="0" borderId="60" xfId="403" applyNumberFormat="1" applyFont="1" applyFill="1" applyBorder="1" applyAlignment="1">
      <alignment horizontal="right" vertical="center" shrinkToFit="1"/>
    </xf>
    <xf numFmtId="219" fontId="32" fillId="0" borderId="60" xfId="403" applyNumberFormat="1" applyFont="1" applyBorder="1" applyAlignment="1">
      <alignment horizontal="left" vertical="center" shrinkToFit="1"/>
    </xf>
    <xf numFmtId="219" fontId="32" fillId="0" borderId="60" xfId="403" applyNumberFormat="1" applyFont="1" applyBorder="1" applyAlignment="1">
      <alignment horizontal="right" vertical="center" shrinkToFit="1"/>
    </xf>
    <xf numFmtId="219" fontId="141" fillId="0" borderId="60" xfId="403" applyNumberFormat="1" applyFont="1" applyFill="1" applyBorder="1" applyAlignment="1">
      <alignment horizontal="right" vertical="center" wrapText="1"/>
    </xf>
    <xf numFmtId="219" fontId="120" fillId="0" borderId="60" xfId="348" applyNumberFormat="1" applyFont="1" applyFill="1" applyBorder="1" applyAlignment="1">
      <alignment horizontal="right" vertical="center" wrapText="1"/>
    </xf>
    <xf numFmtId="219" fontId="120" fillId="0" borderId="32" xfId="348" applyNumberFormat="1" applyFont="1" applyFill="1" applyBorder="1" applyAlignment="1">
      <alignment horizontal="right" vertical="center" wrapText="1"/>
    </xf>
    <xf numFmtId="219" fontId="120" fillId="0" borderId="26" xfId="348" applyNumberFormat="1" applyFont="1" applyFill="1" applyBorder="1" applyAlignment="1">
      <alignment horizontal="right" vertical="center" wrapText="1"/>
    </xf>
    <xf numFmtId="0" fontId="120" fillId="0" borderId="29" xfId="0" applyFont="1" applyBorder="1" applyAlignment="1">
      <alignment horizontal="center" vertical="center" wrapText="1"/>
    </xf>
    <xf numFmtId="0" fontId="32" fillId="0" borderId="30" xfId="0" applyFont="1" applyBorder="1" applyAlignment="1">
      <alignment horizontal="justify" vertical="justify" wrapText="1"/>
    </xf>
    <xf numFmtId="219" fontId="32" fillId="0" borderId="30" xfId="348" applyNumberFormat="1" applyFont="1" applyFill="1" applyBorder="1" applyAlignment="1">
      <alignment horizontal="right" vertical="center" wrapText="1"/>
    </xf>
    <xf numFmtId="219" fontId="32" fillId="0" borderId="31" xfId="348" applyNumberFormat="1" applyFont="1" applyFill="1" applyBorder="1" applyAlignment="1">
      <alignment horizontal="right" vertical="center" wrapText="1"/>
    </xf>
    <xf numFmtId="219" fontId="32" fillId="0" borderId="29" xfId="403" applyNumberFormat="1" applyFont="1" applyFill="1" applyBorder="1" applyAlignment="1">
      <alignment horizontal="right" vertical="center" shrinkToFit="1"/>
    </xf>
    <xf numFmtId="219" fontId="32" fillId="0" borderId="30" xfId="403" applyNumberFormat="1" applyFont="1" applyBorder="1" applyAlignment="1">
      <alignment vertical="center" shrinkToFit="1"/>
    </xf>
    <xf numFmtId="219" fontId="32" fillId="0" borderId="30" xfId="403" applyNumberFormat="1" applyFont="1" applyFill="1" applyBorder="1" applyAlignment="1">
      <alignment horizontal="right" vertical="center" shrinkToFit="1"/>
    </xf>
    <xf numFmtId="219" fontId="32" fillId="0" borderId="31" xfId="403" applyNumberFormat="1" applyFont="1" applyFill="1" applyBorder="1" applyAlignment="1">
      <alignment horizontal="right" vertical="center" shrinkToFit="1"/>
    </xf>
    <xf numFmtId="219" fontId="32" fillId="0" borderId="30" xfId="403" applyNumberFormat="1" applyFont="1" applyFill="1" applyBorder="1" applyAlignment="1">
      <alignment horizontal="right" vertical="center" wrapText="1"/>
    </xf>
    <xf numFmtId="179" fontId="32" fillId="0" borderId="30" xfId="403" applyNumberFormat="1" applyFont="1" applyFill="1" applyBorder="1" applyAlignment="1">
      <alignment horizontal="right" vertical="center" shrinkToFit="1"/>
    </xf>
    <xf numFmtId="219" fontId="141" fillId="0" borderId="0" xfId="0" applyNumberFormat="1" applyFont="1"/>
    <xf numFmtId="0" fontId="141" fillId="0" borderId="0" xfId="0" applyFont="1" applyAlignment="1">
      <alignment horizontal="left" vertical="center" wrapText="1"/>
    </xf>
    <xf numFmtId="219" fontId="142" fillId="0" borderId="0" xfId="0" applyNumberFormat="1" applyFont="1"/>
    <xf numFmtId="0" fontId="219" fillId="0" borderId="0" xfId="0" applyFont="1" applyAlignment="1">
      <alignment horizontal="center" vertical="center"/>
    </xf>
    <xf numFmtId="0" fontId="212" fillId="0" borderId="0" xfId="0" applyFont="1"/>
    <xf numFmtId="0" fontId="154" fillId="0" borderId="0" xfId="0" applyFont="1" applyAlignment="1">
      <alignment horizontal="center" vertical="center"/>
    </xf>
    <xf numFmtId="0" fontId="32" fillId="0" borderId="58" xfId="0" applyFont="1" applyBorder="1" applyAlignment="1">
      <alignment horizontal="center" vertical="center"/>
    </xf>
    <xf numFmtId="179" fontId="32" fillId="0" borderId="58" xfId="403" applyNumberFormat="1" applyFont="1" applyBorder="1" applyAlignment="1">
      <alignment horizontal="center" vertical="center"/>
    </xf>
    <xf numFmtId="0" fontId="32" fillId="0" borderId="58" xfId="0" applyFont="1" applyBorder="1" applyAlignment="1">
      <alignment vertical="center"/>
    </xf>
    <xf numFmtId="179" fontId="32" fillId="0" borderId="60" xfId="403" applyNumberFormat="1" applyFont="1" applyBorder="1" applyAlignment="1">
      <alignment horizontal="center" vertical="center"/>
    </xf>
    <xf numFmtId="179" fontId="32" fillId="0" borderId="13" xfId="403" applyNumberFormat="1" applyFont="1" applyBorder="1" applyAlignment="1">
      <alignment horizontal="center" vertical="center"/>
    </xf>
    <xf numFmtId="0" fontId="32" fillId="0" borderId="13" xfId="0" applyFont="1" applyBorder="1" applyAlignment="1">
      <alignment vertical="center"/>
    </xf>
    <xf numFmtId="3" fontId="120" fillId="34" borderId="11" xfId="0" applyNumberFormat="1" applyFont="1" applyFill="1" applyBorder="1" applyAlignment="1">
      <alignment horizontal="center" vertical="center" shrinkToFit="1"/>
    </xf>
    <xf numFmtId="3" fontId="120" fillId="34" borderId="11" xfId="403" applyNumberFormat="1" applyFont="1" applyFill="1" applyBorder="1" applyAlignment="1">
      <alignment horizontal="center" vertical="center" shrinkToFit="1"/>
    </xf>
    <xf numFmtId="0" fontId="120" fillId="0" borderId="11" xfId="0" applyFont="1" applyBorder="1" applyAlignment="1">
      <alignment vertical="center"/>
    </xf>
    <xf numFmtId="0" fontId="120" fillId="0" borderId="0" xfId="0" applyFont="1" applyAlignment="1">
      <alignment horizontal="right"/>
    </xf>
    <xf numFmtId="0" fontId="120" fillId="0" borderId="11" xfId="411" applyFont="1" applyBorder="1" applyAlignment="1">
      <alignment horizontal="center" vertical="center" wrapText="1" shrinkToFit="1"/>
    </xf>
    <xf numFmtId="0" fontId="120" fillId="0" borderId="18" xfId="411" applyFont="1" applyBorder="1" applyAlignment="1">
      <alignment horizontal="center" vertical="center" wrapText="1" shrinkToFit="1"/>
    </xf>
    <xf numFmtId="0" fontId="130" fillId="0" borderId="2" xfId="411" applyFont="1" applyBorder="1" applyAlignment="1">
      <alignment horizontal="center" vertical="center" shrinkToFit="1"/>
    </xf>
    <xf numFmtId="0" fontId="130" fillId="0" borderId="58" xfId="411" applyFont="1" applyBorder="1" applyAlignment="1">
      <alignment horizontal="left" vertical="center" shrinkToFit="1"/>
    </xf>
    <xf numFmtId="166" fontId="130" fillId="0" borderId="58" xfId="411" applyNumberFormat="1" applyFont="1" applyBorder="1" applyAlignment="1">
      <alignment vertical="center"/>
    </xf>
    <xf numFmtId="166" fontId="130" fillId="0" borderId="19" xfId="411" applyNumberFormat="1" applyFont="1" applyBorder="1" applyAlignment="1">
      <alignment vertical="center"/>
    </xf>
    <xf numFmtId="0" fontId="130" fillId="0" borderId="4" xfId="411" applyFont="1" applyBorder="1" applyAlignment="1">
      <alignment horizontal="center" vertical="center" wrapText="1"/>
    </xf>
    <xf numFmtId="0" fontId="130" fillId="0" borderId="60" xfId="411" applyFont="1" applyBorder="1" applyAlignment="1">
      <alignment vertical="center" wrapText="1"/>
    </xf>
    <xf numFmtId="166" fontId="130" fillId="0" borderId="60" xfId="411" applyNumberFormat="1" applyFont="1" applyBorder="1" applyAlignment="1">
      <alignment vertical="center"/>
    </xf>
    <xf numFmtId="166" fontId="130" fillId="0" borderId="20" xfId="411" applyNumberFormat="1" applyFont="1" applyBorder="1" applyAlignment="1">
      <alignment vertical="center"/>
    </xf>
    <xf numFmtId="0" fontId="155" fillId="0" borderId="0" xfId="0" applyFont="1"/>
    <xf numFmtId="166" fontId="155" fillId="0" borderId="0" xfId="0" applyNumberFormat="1" applyFont="1"/>
    <xf numFmtId="0" fontId="120" fillId="0" borderId="60" xfId="411" applyFont="1" applyBorder="1" applyAlignment="1">
      <alignment vertical="center" wrapText="1"/>
    </xf>
    <xf numFmtId="0" fontId="156" fillId="0" borderId="4" xfId="411" applyFont="1" applyBorder="1" applyAlignment="1">
      <alignment horizontal="center" vertical="center" wrapText="1"/>
    </xf>
    <xf numFmtId="0" fontId="134" fillId="0" borderId="60" xfId="411" applyFont="1" applyBorder="1" applyAlignment="1">
      <alignment vertical="center" wrapText="1"/>
    </xf>
    <xf numFmtId="0" fontId="130" fillId="0" borderId="4" xfId="411" applyFont="1" applyBorder="1" applyAlignment="1">
      <alignment horizontal="center" vertical="center" shrinkToFit="1"/>
    </xf>
    <xf numFmtId="0" fontId="32" fillId="0" borderId="4" xfId="411" applyFont="1" applyBorder="1" applyAlignment="1">
      <alignment horizontal="center" vertical="center" shrinkToFit="1"/>
    </xf>
    <xf numFmtId="0" fontId="32" fillId="0" borderId="60" xfId="411" applyFont="1" applyBorder="1" applyAlignment="1">
      <alignment vertical="center" wrapText="1"/>
    </xf>
    <xf numFmtId="166" fontId="32" fillId="0" borderId="60" xfId="411" applyNumberFormat="1" applyFont="1" applyBorder="1" applyAlignment="1">
      <alignment vertical="center"/>
    </xf>
    <xf numFmtId="166" fontId="155" fillId="0" borderId="20" xfId="411" applyNumberFormat="1" applyFont="1" applyBorder="1" applyAlignment="1">
      <alignment vertical="center"/>
    </xf>
    <xf numFmtId="166" fontId="32" fillId="0" borderId="20" xfId="411" applyNumberFormat="1" applyFont="1" applyBorder="1" applyAlignment="1">
      <alignment vertical="center"/>
    </xf>
    <xf numFmtId="179" fontId="32" fillId="0" borderId="0" xfId="403" applyNumberFormat="1" applyFont="1" applyFill="1" applyAlignment="1">
      <alignment vertical="center"/>
    </xf>
    <xf numFmtId="0" fontId="122" fillId="0" borderId="4" xfId="411" applyFont="1" applyBorder="1" applyAlignment="1">
      <alignment horizontal="center" vertical="center" shrinkToFit="1"/>
    </xf>
    <xf numFmtId="0" fontId="122" fillId="0" borderId="60" xfId="411" applyFont="1" applyBorder="1" applyAlignment="1">
      <alignment vertical="center" wrapText="1"/>
    </xf>
    <xf numFmtId="166" fontId="122" fillId="0" borderId="60" xfId="411" applyNumberFormat="1" applyFont="1" applyBorder="1" applyAlignment="1">
      <alignment vertical="center"/>
    </xf>
    <xf numFmtId="166" fontId="122" fillId="0" borderId="20" xfId="411" applyNumberFormat="1" applyFont="1" applyBorder="1" applyAlignment="1">
      <alignment vertical="center"/>
    </xf>
    <xf numFmtId="179" fontId="122" fillId="0" borderId="0" xfId="403" applyNumberFormat="1" applyFont="1" applyFill="1"/>
    <xf numFmtId="166" fontId="122" fillId="0" borderId="60" xfId="411" applyNumberFormat="1" applyFont="1" applyBorder="1" applyAlignment="1">
      <alignment vertical="center" wrapText="1"/>
    </xf>
    <xf numFmtId="166" fontId="122" fillId="0" borderId="20" xfId="411" applyNumberFormat="1" applyFont="1" applyBorder="1" applyAlignment="1">
      <alignment vertical="center" wrapText="1"/>
    </xf>
    <xf numFmtId="166" fontId="135" fillId="0" borderId="60" xfId="411" applyNumberFormat="1" applyFont="1" applyBorder="1" applyAlignment="1">
      <alignment vertical="center" wrapText="1"/>
    </xf>
    <xf numFmtId="166" fontId="135" fillId="0" borderId="20" xfId="411" applyNumberFormat="1" applyFont="1" applyBorder="1" applyAlignment="1">
      <alignment vertical="center" wrapText="1"/>
    </xf>
    <xf numFmtId="179" fontId="135" fillId="0" borderId="0" xfId="403" applyNumberFormat="1" applyFont="1" applyFill="1"/>
    <xf numFmtId="179" fontId="122" fillId="0" borderId="0" xfId="403" applyNumberFormat="1" applyFont="1" applyFill="1" applyAlignment="1">
      <alignment vertical="center"/>
    </xf>
    <xf numFmtId="166" fontId="32" fillId="0" borderId="60" xfId="411" applyNumberFormat="1" applyFont="1" applyBorder="1" applyAlignment="1">
      <alignment vertical="center" wrapText="1"/>
    </xf>
    <xf numFmtId="166" fontId="32" fillId="0" borderId="20" xfId="411" applyNumberFormat="1" applyFont="1" applyBorder="1" applyAlignment="1">
      <alignment vertical="center" wrapText="1"/>
    </xf>
    <xf numFmtId="0" fontId="134" fillId="0" borderId="4" xfId="411" applyFont="1" applyBorder="1" applyAlignment="1">
      <alignment horizontal="center" vertical="center" shrinkToFit="1"/>
    </xf>
    <xf numFmtId="166" fontId="134" fillId="0" borderId="60" xfId="411" applyNumberFormat="1" applyFont="1" applyBorder="1" applyAlignment="1">
      <alignment vertical="center" wrapText="1"/>
    </xf>
    <xf numFmtId="166" fontId="134" fillId="0" borderId="20" xfId="411" applyNumberFormat="1" applyFont="1" applyBorder="1" applyAlignment="1">
      <alignment vertical="center" wrapText="1"/>
    </xf>
    <xf numFmtId="0" fontId="32" fillId="0" borderId="4" xfId="411" applyFont="1" applyBorder="1" applyAlignment="1">
      <alignment horizontal="center" vertical="center" wrapText="1"/>
    </xf>
    <xf numFmtId="3" fontId="32" fillId="0" borderId="60" xfId="411" applyNumberFormat="1" applyFont="1" applyBorder="1" applyAlignment="1">
      <alignment vertical="center" wrapText="1"/>
    </xf>
    <xf numFmtId="3" fontId="32" fillId="0" borderId="20" xfId="411" applyNumberFormat="1" applyFont="1" applyBorder="1" applyAlignment="1">
      <alignment vertical="center" wrapText="1"/>
    </xf>
    <xf numFmtId="0" fontId="141" fillId="0" borderId="0" xfId="0" applyFont="1" applyAlignment="1">
      <alignment vertical="center"/>
    </xf>
    <xf numFmtId="3" fontId="32" fillId="0" borderId="20" xfId="0" applyNumberFormat="1" applyFont="1" applyBorder="1" applyAlignment="1">
      <alignment vertical="center"/>
    </xf>
    <xf numFmtId="0" fontId="32" fillId="0" borderId="5" xfId="411" applyFont="1" applyBorder="1" applyAlignment="1">
      <alignment horizontal="center" vertical="center" wrapText="1"/>
    </xf>
    <xf numFmtId="0" fontId="32" fillId="0" borderId="6" xfId="411" applyFont="1" applyBorder="1" applyAlignment="1">
      <alignment vertical="center" wrapText="1"/>
    </xf>
    <xf numFmtId="3" fontId="32" fillId="0" borderId="6" xfId="0" applyNumberFormat="1" applyFont="1" applyBorder="1" applyAlignment="1">
      <alignment vertical="center"/>
    </xf>
    <xf numFmtId="3" fontId="32" fillId="0" borderId="21" xfId="0" applyNumberFormat="1" applyFont="1" applyBorder="1" applyAlignment="1">
      <alignment vertical="center"/>
    </xf>
    <xf numFmtId="3" fontId="130" fillId="0" borderId="58" xfId="0" applyNumberFormat="1" applyFont="1" applyBorder="1" applyAlignment="1" applyProtection="1">
      <alignment horizontal="center" vertical="center" shrinkToFit="1"/>
      <protection locked="0"/>
    </xf>
    <xf numFmtId="0" fontId="121" fillId="0" borderId="58" xfId="0" applyFont="1" applyBorder="1" applyAlignment="1">
      <alignment horizontal="center"/>
    </xf>
    <xf numFmtId="0" fontId="121" fillId="0" borderId="60" xfId="0" applyFont="1" applyBorder="1" applyAlignment="1">
      <alignment horizontal="center"/>
    </xf>
    <xf numFmtId="0" fontId="121" fillId="0" borderId="58" xfId="0" applyFont="1" applyBorder="1"/>
    <xf numFmtId="0" fontId="121" fillId="0" borderId="13" xfId="0" applyFont="1" applyBorder="1"/>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64" xfId="0" applyFont="1" applyBorder="1" applyAlignment="1">
      <alignment horizontal="center" vertical="center" wrapText="1"/>
    </xf>
    <xf numFmtId="0" fontId="129" fillId="0" borderId="2" xfId="0" applyFont="1" applyBorder="1" applyAlignment="1">
      <alignment horizontal="center" vertical="center"/>
    </xf>
    <xf numFmtId="0" fontId="129" fillId="0" borderId="58" xfId="0" applyFont="1" applyBorder="1" applyAlignment="1">
      <alignment vertical="center"/>
    </xf>
    <xf numFmtId="3" fontId="129" fillId="0" borderId="19" xfId="0" applyNumberFormat="1" applyFont="1" applyBorder="1" applyAlignment="1">
      <alignment vertical="center"/>
    </xf>
    <xf numFmtId="0" fontId="135" fillId="0" borderId="60" xfId="0" applyFont="1" applyBorder="1" applyAlignment="1">
      <alignment vertical="center"/>
    </xf>
    <xf numFmtId="3" fontId="135" fillId="0" borderId="20" xfId="0" applyNumberFormat="1" applyFont="1" applyBorder="1" applyAlignment="1">
      <alignment vertical="center"/>
    </xf>
    <xf numFmtId="0" fontId="129" fillId="0" borderId="60" xfId="0" applyFont="1" applyBorder="1" applyAlignment="1">
      <alignment vertical="center"/>
    </xf>
    <xf numFmtId="3" fontId="129" fillId="0" borderId="20" xfId="0" applyNumberFormat="1" applyFont="1" applyBorder="1" applyAlignment="1">
      <alignment vertical="center"/>
    </xf>
    <xf numFmtId="0" fontId="135" fillId="0" borderId="4" xfId="0" applyFont="1" applyBorder="1" applyAlignment="1">
      <alignment horizontal="center" vertical="center" wrapText="1"/>
    </xf>
    <xf numFmtId="0" fontId="135" fillId="0" borderId="60" xfId="0" applyFont="1" applyBorder="1" applyAlignment="1">
      <alignment vertical="center" wrapText="1"/>
    </xf>
    <xf numFmtId="38" fontId="120" fillId="0" borderId="0" xfId="0" applyNumberFormat="1" applyFont="1"/>
    <xf numFmtId="3" fontId="121" fillId="0" borderId="6" xfId="0" applyNumberFormat="1" applyFont="1" applyBorder="1" applyAlignment="1">
      <alignment vertical="center" wrapText="1"/>
    </xf>
    <xf numFmtId="3" fontId="121" fillId="0" borderId="21" xfId="0" applyNumberFormat="1" applyFont="1" applyBorder="1" applyAlignment="1">
      <alignment vertical="center"/>
    </xf>
    <xf numFmtId="173" fontId="32" fillId="0" borderId="0" xfId="3" applyNumberFormat="1" applyFont="1"/>
    <xf numFmtId="0" fontId="32" fillId="0" borderId="0" xfId="0" applyFont="1" applyAlignment="1">
      <alignment horizontal="center" vertical="center" wrapText="1"/>
    </xf>
    <xf numFmtId="0" fontId="130" fillId="0" borderId="58" xfId="0" applyFont="1" applyBorder="1" applyAlignment="1">
      <alignment vertical="center"/>
    </xf>
    <xf numFmtId="0" fontId="130" fillId="0" borderId="60" xfId="0" applyFont="1" applyBorder="1" applyAlignment="1">
      <alignment vertical="center"/>
    </xf>
    <xf numFmtId="3" fontId="129" fillId="0" borderId="20" xfId="0" applyNumberFormat="1" applyFont="1" applyBorder="1" applyAlignment="1">
      <alignment horizontal="right" vertical="center"/>
    </xf>
    <xf numFmtId="0" fontId="134" fillId="0" borderId="4" xfId="0" applyFont="1" applyBorder="1" applyAlignment="1">
      <alignment horizontal="center" vertical="center"/>
    </xf>
    <xf numFmtId="3" fontId="135" fillId="0" borderId="20" xfId="0" applyNumberFormat="1" applyFont="1" applyBorder="1" applyAlignment="1">
      <alignment horizontal="right" vertical="center"/>
    </xf>
    <xf numFmtId="0" fontId="134" fillId="0" borderId="60" xfId="0" applyFont="1" applyBorder="1" applyAlignment="1">
      <alignment vertical="center" shrinkToFit="1"/>
    </xf>
    <xf numFmtId="0" fontId="156" fillId="0" borderId="0" xfId="0" applyFont="1"/>
    <xf numFmtId="3" fontId="130" fillId="0" borderId="60" xfId="0" applyNumberFormat="1" applyFont="1" applyBorder="1" applyAlignment="1">
      <alignment vertical="center" shrinkToFit="1"/>
    </xf>
    <xf numFmtId="179" fontId="130" fillId="0" borderId="0" xfId="403" applyNumberFormat="1" applyFont="1"/>
    <xf numFmtId="0" fontId="130" fillId="0" borderId="4" xfId="0" applyFont="1" applyBorder="1" applyAlignment="1">
      <alignment horizontal="center" vertical="center" wrapText="1"/>
    </xf>
    <xf numFmtId="0" fontId="130" fillId="0" borderId="60" xfId="0" applyFont="1" applyBorder="1" applyAlignment="1">
      <alignment vertical="center" wrapText="1"/>
    </xf>
    <xf numFmtId="3" fontId="129" fillId="0" borderId="20" xfId="0" applyNumberFormat="1" applyFont="1" applyBorder="1" applyAlignment="1">
      <alignment horizontal="right" vertical="center" wrapText="1"/>
    </xf>
    <xf numFmtId="3" fontId="130" fillId="0" borderId="0" xfId="0" applyNumberFormat="1" applyFont="1" applyAlignment="1">
      <alignment vertical="center" wrapText="1"/>
    </xf>
    <xf numFmtId="0" fontId="130" fillId="0" borderId="0" xfId="0" applyFont="1" applyAlignment="1">
      <alignment vertical="center" wrapText="1"/>
    </xf>
    <xf numFmtId="179" fontId="130" fillId="0" borderId="0" xfId="403" applyNumberFormat="1" applyFont="1" applyAlignment="1">
      <alignment vertical="center" wrapText="1"/>
    </xf>
    <xf numFmtId="3" fontId="130" fillId="0" borderId="4" xfId="0" applyNumberFormat="1" applyFont="1" applyBorder="1" applyAlignment="1">
      <alignment horizontal="center" vertical="center"/>
    </xf>
    <xf numFmtId="3" fontId="134" fillId="0" borderId="4" xfId="0" applyNumberFormat="1" applyFont="1" applyBorder="1" applyAlignment="1">
      <alignment horizontal="center" vertical="center"/>
    </xf>
    <xf numFmtId="3" fontId="135" fillId="0" borderId="20" xfId="0" applyNumberFormat="1" applyFont="1" applyBorder="1" applyAlignment="1">
      <alignment horizontal="right" vertical="center" wrapText="1"/>
    </xf>
    <xf numFmtId="3" fontId="134" fillId="0" borderId="0" xfId="0" applyNumberFormat="1" applyFont="1" applyAlignment="1">
      <alignment vertical="center" wrapText="1"/>
    </xf>
    <xf numFmtId="0" fontId="134" fillId="0" borderId="0" xfId="0" applyFont="1" applyAlignment="1">
      <alignment vertical="center" wrapText="1"/>
    </xf>
    <xf numFmtId="179" fontId="134" fillId="0" borderId="0" xfId="403" applyNumberFormat="1" applyFont="1" applyAlignment="1">
      <alignment vertical="center" wrapText="1"/>
    </xf>
    <xf numFmtId="3" fontId="134" fillId="0" borderId="60" xfId="0" applyNumberFormat="1" applyFont="1" applyBorder="1" applyAlignment="1">
      <alignment vertical="center" shrinkToFit="1"/>
    </xf>
    <xf numFmtId="38" fontId="130" fillId="0" borderId="0" xfId="0" applyNumberFormat="1" applyFont="1" applyAlignment="1">
      <alignment vertical="center" wrapText="1"/>
    </xf>
    <xf numFmtId="3" fontId="120" fillId="0" borderId="60" xfId="0" applyNumberFormat="1" applyFont="1" applyBorder="1" applyAlignment="1">
      <alignment vertical="center" shrinkToFit="1"/>
    </xf>
    <xf numFmtId="3" fontId="120" fillId="0" borderId="0" xfId="0" applyNumberFormat="1" applyFont="1" applyAlignment="1">
      <alignment vertical="center" wrapText="1"/>
    </xf>
    <xf numFmtId="3" fontId="122" fillId="0" borderId="20" xfId="0" applyNumberFormat="1" applyFont="1" applyBorder="1" applyAlignment="1">
      <alignment horizontal="right" vertical="center" wrapText="1"/>
    </xf>
    <xf numFmtId="3" fontId="130" fillId="0" borderId="60" xfId="0" applyNumberFormat="1" applyFont="1" applyBorder="1" applyAlignment="1">
      <alignment vertical="center" wrapText="1"/>
    </xf>
    <xf numFmtId="3" fontId="120" fillId="0" borderId="0" xfId="412" applyNumberFormat="1" applyFont="1"/>
    <xf numFmtId="3" fontId="32" fillId="0" borderId="0" xfId="412" applyNumberFormat="1" applyFont="1"/>
    <xf numFmtId="0" fontId="32" fillId="0" borderId="0" xfId="412" applyFont="1"/>
    <xf numFmtId="3" fontId="32" fillId="0" borderId="0" xfId="412" applyNumberFormat="1" applyFont="1" applyAlignment="1">
      <alignment horizontal="center"/>
    </xf>
    <xf numFmtId="3" fontId="120" fillId="0" borderId="0" xfId="412" applyNumberFormat="1" applyFont="1" applyAlignment="1">
      <alignment horizontal="centerContinuous"/>
    </xf>
    <xf numFmtId="3" fontId="120" fillId="0" borderId="0" xfId="412" applyNumberFormat="1" applyFont="1" applyAlignment="1">
      <alignment horizontal="center" wrapText="1"/>
    </xf>
    <xf numFmtId="3" fontId="130" fillId="0" borderId="2" xfId="412" applyNumberFormat="1" applyFont="1" applyBorder="1" applyAlignment="1">
      <alignment horizontal="center" vertical="center"/>
    </xf>
    <xf numFmtId="3" fontId="130" fillId="0" borderId="58" xfId="412" applyNumberFormat="1" applyFont="1" applyBorder="1" applyAlignment="1">
      <alignment vertical="center" wrapText="1"/>
    </xf>
    <xf numFmtId="219" fontId="130" fillId="0" borderId="19" xfId="412" applyNumberFormat="1" applyFont="1" applyBorder="1" applyAlignment="1">
      <alignment vertical="center"/>
    </xf>
    <xf numFmtId="3" fontId="130" fillId="0" borderId="0" xfId="412" applyNumberFormat="1" applyFont="1" applyAlignment="1">
      <alignment vertical="center"/>
    </xf>
    <xf numFmtId="3" fontId="130" fillId="0" borderId="4" xfId="412" applyNumberFormat="1" applyFont="1" applyBorder="1" applyAlignment="1">
      <alignment horizontal="center" vertical="center"/>
    </xf>
    <xf numFmtId="3" fontId="130" fillId="0" borderId="60" xfId="412" applyNumberFormat="1" applyFont="1" applyBorder="1" applyAlignment="1">
      <alignment vertical="center" shrinkToFit="1"/>
    </xf>
    <xf numFmtId="219" fontId="130" fillId="0" borderId="20" xfId="412" applyNumberFormat="1" applyFont="1" applyBorder="1" applyAlignment="1">
      <alignment vertical="center"/>
    </xf>
    <xf numFmtId="3" fontId="32" fillId="0" borderId="4" xfId="412" applyNumberFormat="1" applyFont="1" applyBorder="1" applyAlignment="1">
      <alignment horizontal="center" vertical="center"/>
    </xf>
    <xf numFmtId="3" fontId="32" fillId="0" borderId="60" xfId="412" applyNumberFormat="1" applyFont="1" applyBorder="1" applyAlignment="1">
      <alignment vertical="center" shrinkToFit="1"/>
    </xf>
    <xf numFmtId="219" fontId="32" fillId="0" borderId="20" xfId="412" applyNumberFormat="1" applyFont="1" applyBorder="1" applyAlignment="1">
      <alignment vertical="center"/>
    </xf>
    <xf numFmtId="3" fontId="32" fillId="0" borderId="0" xfId="412" applyNumberFormat="1" applyFont="1" applyAlignment="1">
      <alignment vertical="center"/>
    </xf>
    <xf numFmtId="3" fontId="120" fillId="0" borderId="0" xfId="412" applyNumberFormat="1" applyFont="1" applyAlignment="1">
      <alignment vertical="center"/>
    </xf>
    <xf numFmtId="219" fontId="32" fillId="0" borderId="20" xfId="412" applyNumberFormat="1" applyFont="1" applyBorder="1" applyAlignment="1">
      <alignment vertical="center" shrinkToFit="1"/>
    </xf>
    <xf numFmtId="219" fontId="130" fillId="0" borderId="20" xfId="412" applyNumberFormat="1" applyFont="1" applyBorder="1" applyAlignment="1">
      <alignment vertical="center" shrinkToFit="1"/>
    </xf>
    <xf numFmtId="3" fontId="155" fillId="0" borderId="0" xfId="412" applyNumberFormat="1" applyFont="1" applyAlignment="1">
      <alignment vertical="center"/>
    </xf>
    <xf numFmtId="3" fontId="130" fillId="0" borderId="60" xfId="412" applyNumberFormat="1" applyFont="1" applyBorder="1" applyAlignment="1">
      <alignment horizontal="center" vertical="center" shrinkToFit="1"/>
    </xf>
    <xf numFmtId="3" fontId="120" fillId="0" borderId="4" xfId="412" applyNumberFormat="1" applyFont="1" applyBorder="1" applyAlignment="1">
      <alignment horizontal="center" vertical="center"/>
    </xf>
    <xf numFmtId="3" fontId="120" fillId="0" borderId="60" xfId="412" applyNumberFormat="1" applyFont="1" applyBorder="1" applyAlignment="1">
      <alignment vertical="center" shrinkToFit="1"/>
    </xf>
    <xf numFmtId="219" fontId="120" fillId="0" borderId="20" xfId="412" applyNumberFormat="1" applyFont="1" applyBorder="1" applyAlignment="1">
      <alignment vertical="center" shrinkToFit="1"/>
    </xf>
    <xf numFmtId="219" fontId="120" fillId="0" borderId="20" xfId="412" applyNumberFormat="1" applyFont="1" applyBorder="1" applyAlignment="1">
      <alignment vertical="center"/>
    </xf>
    <xf numFmtId="3" fontId="120" fillId="0" borderId="178" xfId="412" applyNumberFormat="1" applyFont="1" applyBorder="1" applyAlignment="1">
      <alignment horizontal="center" vertical="center"/>
    </xf>
    <xf numFmtId="3" fontId="120" fillId="0" borderId="140" xfId="412" applyNumberFormat="1" applyFont="1" applyBorder="1" applyAlignment="1">
      <alignment vertical="center" shrinkToFit="1"/>
    </xf>
    <xf numFmtId="219" fontId="120" fillId="0" borderId="179" xfId="412" applyNumberFormat="1" applyFont="1" applyBorder="1" applyAlignment="1">
      <alignment vertical="center"/>
    </xf>
    <xf numFmtId="3" fontId="120" fillId="0" borderId="5" xfId="412" applyNumberFormat="1" applyFont="1" applyBorder="1" applyAlignment="1">
      <alignment horizontal="center" vertical="center"/>
    </xf>
    <xf numFmtId="0" fontId="120" fillId="0" borderId="6" xfId="0" applyFont="1" applyBorder="1" applyAlignment="1">
      <alignment vertical="center"/>
    </xf>
    <xf numFmtId="219" fontId="120" fillId="0" borderId="21" xfId="412" applyNumberFormat="1" applyFont="1" applyBorder="1" applyAlignment="1">
      <alignment vertical="center"/>
    </xf>
    <xf numFmtId="0" fontId="120" fillId="0" borderId="0" xfId="0" applyFont="1" applyAlignment="1">
      <alignment horizontal="center" wrapText="1"/>
    </xf>
    <xf numFmtId="0" fontId="129" fillId="0" borderId="58" xfId="0" applyFont="1" applyBorder="1" applyAlignment="1">
      <alignment horizontal="center" shrinkToFit="1"/>
    </xf>
    <xf numFmtId="3" fontId="129" fillId="0" borderId="58" xfId="0" applyNumberFormat="1" applyFont="1" applyBorder="1" applyAlignment="1">
      <alignment vertical="center" shrinkToFit="1"/>
    </xf>
    <xf numFmtId="3" fontId="129" fillId="0" borderId="19" xfId="0" applyNumberFormat="1" applyFont="1" applyBorder="1" applyAlignment="1">
      <alignment vertical="center" shrinkToFit="1"/>
    </xf>
    <xf numFmtId="3" fontId="129" fillId="0" borderId="60" xfId="0" applyNumberFormat="1" applyFont="1" applyBorder="1" applyAlignment="1">
      <alignment vertical="center" shrinkToFit="1"/>
    </xf>
    <xf numFmtId="3" fontId="129" fillId="0" borderId="20" xfId="0" applyNumberFormat="1" applyFont="1" applyBorder="1" applyAlignment="1">
      <alignment vertical="center" shrinkToFit="1"/>
    </xf>
    <xf numFmtId="3" fontId="141" fillId="0" borderId="20" xfId="0" applyNumberFormat="1" applyFont="1" applyBorder="1" applyAlignment="1">
      <alignment vertical="center" shrinkToFit="1"/>
    </xf>
    <xf numFmtId="0" fontId="122" fillId="0" borderId="4" xfId="0" applyFont="1" applyBorder="1" applyAlignment="1">
      <alignment horizontal="center" vertical="center" wrapText="1"/>
    </xf>
    <xf numFmtId="0" fontId="158" fillId="0" borderId="0" xfId="0" applyFont="1"/>
    <xf numFmtId="0" fontId="152" fillId="0" borderId="0" xfId="0" applyFont="1"/>
    <xf numFmtId="0" fontId="144" fillId="0" borderId="0" xfId="0" applyFont="1"/>
    <xf numFmtId="3" fontId="129" fillId="0" borderId="60" xfId="0" applyNumberFormat="1" applyFont="1" applyBorder="1" applyAlignment="1">
      <alignment vertical="center" wrapText="1" shrinkToFit="1"/>
    </xf>
    <xf numFmtId="0" fontId="129" fillId="0" borderId="4" xfId="0" applyFont="1" applyBorder="1" applyAlignment="1">
      <alignment horizontal="center" vertical="center" wrapText="1"/>
    </xf>
    <xf numFmtId="0" fontId="129" fillId="0" borderId="60" xfId="0" applyFont="1" applyBorder="1" applyAlignment="1">
      <alignment vertical="center" wrapText="1"/>
    </xf>
    <xf numFmtId="3" fontId="32" fillId="0" borderId="0" xfId="0" applyNumberFormat="1" applyFont="1" applyAlignment="1">
      <alignment horizontal="justify" vertical="justify" wrapText="1" shrinkToFit="1"/>
    </xf>
    <xf numFmtId="3" fontId="120" fillId="0" borderId="0" xfId="0" applyNumberFormat="1" applyFont="1" applyAlignment="1">
      <alignment vertical="center"/>
    </xf>
    <xf numFmtId="3" fontId="134" fillId="0" borderId="0" xfId="0" quotePrefix="1" applyNumberFormat="1" applyFont="1" applyAlignment="1">
      <alignment horizontal="justify" vertical="justify" wrapText="1" shrinkToFit="1"/>
    </xf>
    <xf numFmtId="3" fontId="134" fillId="0" borderId="0" xfId="0" applyNumberFormat="1" applyFont="1" applyAlignment="1">
      <alignment vertical="center"/>
    </xf>
    <xf numFmtId="0" fontId="129" fillId="0" borderId="58" xfId="411" applyFont="1" applyBorder="1" applyAlignment="1">
      <alignment horizontal="justify" vertical="justify" wrapText="1" shrinkToFit="1"/>
    </xf>
    <xf numFmtId="166" fontId="129" fillId="0" borderId="58" xfId="411" applyNumberFormat="1" applyFont="1" applyBorder="1" applyAlignment="1">
      <alignment vertical="center"/>
    </xf>
    <xf numFmtId="0" fontId="129" fillId="0" borderId="4" xfId="411" applyFont="1" applyBorder="1" applyAlignment="1">
      <alignment horizontal="center" vertical="center" wrapText="1"/>
    </xf>
    <xf numFmtId="0" fontId="129" fillId="0" borderId="60" xfId="411" applyFont="1" applyBorder="1" applyAlignment="1">
      <alignment vertical="center" wrapText="1" shrinkToFit="1"/>
    </xf>
    <xf numFmtId="166" fontId="129" fillId="0" borderId="60" xfId="411" applyNumberFormat="1" applyFont="1" applyBorder="1" applyAlignment="1">
      <alignment vertical="center"/>
    </xf>
    <xf numFmtId="0" fontId="122" fillId="0" borderId="60" xfId="411" applyFont="1" applyBorder="1" applyAlignment="1">
      <alignment vertical="center" wrapText="1" shrinkToFit="1"/>
    </xf>
    <xf numFmtId="0" fontId="215" fillId="0" borderId="4" xfId="411" applyFont="1" applyBorder="1" applyAlignment="1">
      <alignment horizontal="center" vertical="center" wrapText="1"/>
    </xf>
    <xf numFmtId="0" fontId="129" fillId="0" borderId="4" xfId="411" applyFont="1" applyBorder="1" applyAlignment="1">
      <alignment horizontal="center" vertical="center" shrinkToFit="1"/>
    </xf>
    <xf numFmtId="166" fontId="129" fillId="0" borderId="60" xfId="411" applyNumberFormat="1" applyFont="1" applyBorder="1" applyAlignment="1">
      <alignment vertical="center" wrapText="1"/>
    </xf>
    <xf numFmtId="166" fontId="121" fillId="0" borderId="20" xfId="411" applyNumberFormat="1" applyFont="1" applyBorder="1" applyAlignment="1">
      <alignment vertical="center" wrapText="1"/>
    </xf>
    <xf numFmtId="166" fontId="129" fillId="0" borderId="20" xfId="411" applyNumberFormat="1" applyFont="1" applyBorder="1" applyAlignment="1">
      <alignment vertical="center" wrapText="1"/>
    </xf>
    <xf numFmtId="166" fontId="120" fillId="0" borderId="60" xfId="411" applyNumberFormat="1" applyFont="1" applyBorder="1" applyAlignment="1">
      <alignment vertical="center" wrapText="1"/>
    </xf>
    <xf numFmtId="166" fontId="121" fillId="0" borderId="60" xfId="411" applyNumberFormat="1" applyFont="1" applyBorder="1" applyAlignment="1">
      <alignment vertical="center" wrapText="1"/>
    </xf>
    <xf numFmtId="166" fontId="129" fillId="0" borderId="20" xfId="411" applyNumberFormat="1" applyFont="1" applyBorder="1" applyAlignment="1">
      <alignment vertical="center"/>
    </xf>
    <xf numFmtId="0" fontId="122" fillId="0" borderId="4" xfId="411" applyFont="1" applyBorder="1" applyAlignment="1">
      <alignment horizontal="center" vertical="center" wrapText="1"/>
    </xf>
    <xf numFmtId="0" fontId="122" fillId="0" borderId="5" xfId="411" applyFont="1" applyBorder="1" applyAlignment="1">
      <alignment horizontal="center" vertical="center" wrapText="1"/>
    </xf>
    <xf numFmtId="0" fontId="122" fillId="0" borderId="6" xfId="411" applyFont="1" applyBorder="1" applyAlignment="1">
      <alignment vertical="center" wrapText="1" shrinkToFit="1"/>
    </xf>
    <xf numFmtId="166" fontId="122" fillId="0" borderId="6" xfId="411" applyNumberFormat="1" applyFont="1" applyBorder="1" applyAlignment="1">
      <alignment vertical="center" wrapText="1"/>
    </xf>
    <xf numFmtId="166" fontId="122" fillId="0" borderId="21" xfId="411" applyNumberFormat="1" applyFont="1" applyBorder="1" applyAlignment="1">
      <alignment vertical="center"/>
    </xf>
    <xf numFmtId="3" fontId="122" fillId="0" borderId="0" xfId="0" applyNumberFormat="1" applyFont="1" applyAlignment="1">
      <alignment horizontal="left"/>
    </xf>
    <xf numFmtId="3" fontId="121" fillId="0" borderId="0" xfId="0" applyNumberFormat="1" applyFont="1" applyAlignment="1">
      <alignment vertical="center" wrapText="1"/>
    </xf>
    <xf numFmtId="3" fontId="122" fillId="0" borderId="0" xfId="0" applyNumberFormat="1" applyFont="1" applyAlignment="1">
      <alignment vertical="center" wrapText="1"/>
    </xf>
    <xf numFmtId="3" fontId="122" fillId="0" borderId="0" xfId="0" applyNumberFormat="1" applyFont="1" applyAlignment="1">
      <alignment horizontal="center" vertical="center" wrapText="1"/>
    </xf>
    <xf numFmtId="3" fontId="121" fillId="0" borderId="0" xfId="0" applyNumberFormat="1" applyFont="1" applyAlignment="1">
      <alignment horizontal="center" vertical="center" wrapText="1"/>
    </xf>
    <xf numFmtId="177" fontId="122" fillId="0" borderId="0" xfId="348" applyFont="1" applyFill="1"/>
    <xf numFmtId="3" fontId="121" fillId="0" borderId="11" xfId="0" applyNumberFormat="1" applyFont="1" applyBorder="1" applyAlignment="1">
      <alignment horizontal="center" vertical="center" shrinkToFit="1"/>
    </xf>
    <xf numFmtId="3" fontId="121" fillId="0" borderId="18" xfId="0" applyNumberFormat="1" applyFont="1" applyBorder="1" applyAlignment="1">
      <alignment horizontal="center" vertical="center" shrinkToFit="1"/>
    </xf>
    <xf numFmtId="3" fontId="129" fillId="0" borderId="58" xfId="0" applyNumberFormat="1" applyFont="1" applyBorder="1" applyAlignment="1">
      <alignment horizontal="right" shrinkToFit="1"/>
    </xf>
    <xf numFmtId="3" fontId="129" fillId="0" borderId="60" xfId="0" applyNumberFormat="1" applyFont="1" applyBorder="1" applyAlignment="1">
      <alignment shrinkToFit="1"/>
    </xf>
    <xf numFmtId="3" fontId="129" fillId="0" borderId="60" xfId="0" applyNumberFormat="1" applyFont="1" applyBorder="1" applyAlignment="1">
      <alignment horizontal="right" shrinkToFit="1"/>
    </xf>
    <xf numFmtId="3" fontId="122" fillId="0" borderId="60" xfId="0" applyNumberFormat="1" applyFont="1" applyBorder="1" applyAlignment="1">
      <alignment horizontal="right" shrinkToFit="1"/>
    </xf>
    <xf numFmtId="3" fontId="122" fillId="0" borderId="20" xfId="0" applyNumberFormat="1" applyFont="1" applyBorder="1" applyAlignment="1">
      <alignment shrinkToFit="1"/>
    </xf>
    <xf numFmtId="3" fontId="129" fillId="0" borderId="20" xfId="0" applyNumberFormat="1" applyFont="1" applyBorder="1" applyAlignment="1">
      <alignment horizontal="right" shrinkToFit="1"/>
    </xf>
    <xf numFmtId="3" fontId="121" fillId="0" borderId="60" xfId="0" applyNumberFormat="1" applyFont="1" applyBorder="1" applyAlignment="1">
      <alignment horizontal="right" shrinkToFit="1"/>
    </xf>
    <xf numFmtId="3" fontId="122" fillId="0" borderId="4" xfId="0" applyNumberFormat="1" applyFont="1" applyBorder="1" applyAlignment="1">
      <alignment horizontal="center" vertical="center" wrapText="1" shrinkToFit="1"/>
    </xf>
    <xf numFmtId="3" fontId="122" fillId="0" borderId="60" xfId="0" applyNumberFormat="1" applyFont="1" applyBorder="1" applyAlignment="1">
      <alignment horizontal="right" vertical="center" shrinkToFit="1"/>
    </xf>
    <xf numFmtId="3" fontId="129" fillId="0" borderId="6" xfId="0" applyNumberFormat="1" applyFont="1" applyBorder="1" applyAlignment="1">
      <alignment horizontal="right" vertical="center" shrinkToFit="1"/>
    </xf>
    <xf numFmtId="3" fontId="122" fillId="0" borderId="0" xfId="0" applyNumberFormat="1" applyFont="1" applyAlignment="1">
      <alignment vertical="center"/>
    </xf>
    <xf numFmtId="9" fontId="122" fillId="0" borderId="0" xfId="3" applyFont="1" applyFill="1"/>
    <xf numFmtId="3" fontId="127" fillId="0" borderId="130" xfId="2" applyNumberFormat="1" applyFont="1" applyBorder="1" applyAlignment="1">
      <alignment horizontal="center" vertical="center" wrapText="1"/>
    </xf>
    <xf numFmtId="3" fontId="129" fillId="0" borderId="58" xfId="0" applyNumberFormat="1" applyFont="1" applyBorder="1" applyAlignment="1">
      <alignment horizontal="center" shrinkToFit="1"/>
    </xf>
    <xf numFmtId="166" fontId="129" fillId="0" borderId="58" xfId="0" applyNumberFormat="1" applyFont="1" applyBorder="1" applyAlignment="1">
      <alignment shrinkToFit="1"/>
    </xf>
    <xf numFmtId="3" fontId="129" fillId="0" borderId="0" xfId="0" applyNumberFormat="1" applyFont="1" applyAlignment="1">
      <alignment vertical="center"/>
    </xf>
    <xf numFmtId="3" fontId="122" fillId="0" borderId="4" xfId="0" applyNumberFormat="1" applyFont="1" applyBorder="1" applyAlignment="1">
      <alignment horizontal="center" vertical="center"/>
    </xf>
    <xf numFmtId="166" fontId="122" fillId="0" borderId="20" xfId="0" applyNumberFormat="1" applyFont="1" applyBorder="1" applyAlignment="1">
      <alignment vertical="center" shrinkToFit="1"/>
    </xf>
    <xf numFmtId="3" fontId="135" fillId="0" borderId="4" xfId="0" applyNumberFormat="1" applyFont="1" applyBorder="1" applyAlignment="1">
      <alignment horizontal="center" vertical="center"/>
    </xf>
    <xf numFmtId="3" fontId="4" fillId="0" borderId="60" xfId="0" applyNumberFormat="1" applyFont="1" applyBorder="1" applyAlignment="1">
      <alignment shrinkToFit="1"/>
    </xf>
    <xf numFmtId="3" fontId="4" fillId="0" borderId="13" xfId="0" applyNumberFormat="1" applyFont="1" applyBorder="1" applyAlignment="1">
      <alignment shrinkToFit="1"/>
    </xf>
    <xf numFmtId="0" fontId="121" fillId="0" borderId="0" xfId="0" applyFont="1" applyAlignment="1">
      <alignment horizontal="center" wrapText="1"/>
    </xf>
    <xf numFmtId="4" fontId="121" fillId="0" borderId="11" xfId="352" applyNumberFormat="1" applyFont="1" applyBorder="1" applyAlignment="1">
      <alignment horizontal="center" vertical="center" wrapText="1" shrinkToFit="1"/>
    </xf>
    <xf numFmtId="0" fontId="121" fillId="0" borderId="131" xfId="0" applyFont="1" applyBorder="1" applyAlignment="1">
      <alignment horizontal="center" vertical="center" shrinkToFit="1"/>
    </xf>
    <xf numFmtId="0" fontId="121" fillId="0" borderId="11" xfId="0" applyFont="1" applyBorder="1" applyAlignment="1">
      <alignment horizontal="center" vertical="center" shrinkToFit="1"/>
    </xf>
    <xf numFmtId="0" fontId="122" fillId="0" borderId="175" xfId="0" applyFont="1" applyBorder="1" applyAlignment="1">
      <alignment horizontal="center" vertical="center"/>
    </xf>
    <xf numFmtId="0" fontId="122" fillId="0" borderId="14" xfId="0" applyFont="1" applyBorder="1" applyAlignment="1">
      <alignment vertical="center" shrinkToFit="1"/>
    </xf>
    <xf numFmtId="219" fontId="122" fillId="0" borderId="14" xfId="0" applyNumberFormat="1" applyFont="1" applyBorder="1" applyAlignment="1">
      <alignment vertical="center" shrinkToFit="1"/>
    </xf>
    <xf numFmtId="219" fontId="122" fillId="0" borderId="14" xfId="0" applyNumberFormat="1" applyFont="1" applyBorder="1" applyAlignment="1">
      <alignment horizontal="right" vertical="center" shrinkToFit="1"/>
    </xf>
    <xf numFmtId="219" fontId="122" fillId="0" borderId="60" xfId="0" applyNumberFormat="1" applyFont="1" applyBorder="1" applyAlignment="1">
      <alignment vertical="center" shrinkToFit="1"/>
    </xf>
    <xf numFmtId="0" fontId="122" fillId="0" borderId="0" xfId="0" applyFont="1" applyAlignment="1">
      <alignment vertical="center"/>
    </xf>
    <xf numFmtId="0" fontId="122" fillId="0" borderId="134" xfId="0" applyFont="1" applyBorder="1" applyAlignment="1">
      <alignment horizontal="center" vertical="center"/>
    </xf>
    <xf numFmtId="0" fontId="122" fillId="0" borderId="13" xfId="0" applyFont="1" applyBorder="1" applyAlignment="1">
      <alignment vertical="center" shrinkToFit="1"/>
    </xf>
    <xf numFmtId="219" fontId="122" fillId="0" borderId="13" xfId="0" applyNumberFormat="1" applyFont="1" applyBorder="1" applyAlignment="1">
      <alignment vertical="center" shrinkToFit="1"/>
    </xf>
    <xf numFmtId="219" fontId="121" fillId="0" borderId="183" xfId="0" applyNumberFormat="1" applyFont="1" applyBorder="1" applyAlignment="1">
      <alignment vertical="center" shrinkToFit="1"/>
    </xf>
    <xf numFmtId="219" fontId="121" fillId="0" borderId="184" xfId="0" applyNumberFormat="1" applyFont="1" applyBorder="1" applyAlignment="1">
      <alignment horizontal="right" vertical="center" shrinkToFit="1"/>
    </xf>
    <xf numFmtId="38" fontId="122" fillId="0" borderId="0" xfId="0" applyNumberFormat="1" applyFont="1"/>
    <xf numFmtId="0" fontId="134" fillId="0" borderId="4" xfId="0" applyFont="1" applyBorder="1" applyAlignment="1">
      <alignment horizontal="center" vertical="center" wrapText="1"/>
    </xf>
    <xf numFmtId="0" fontId="134" fillId="0" borderId="60" xfId="0" applyFont="1" applyBorder="1" applyAlignment="1">
      <alignment vertical="center" wrapText="1"/>
    </xf>
    <xf numFmtId="0" fontId="120" fillId="0" borderId="60" xfId="0" applyFont="1" applyBorder="1" applyAlignment="1">
      <alignment vertical="center" shrinkToFit="1"/>
    </xf>
    <xf numFmtId="3" fontId="32" fillId="0" borderId="60" xfId="0" applyNumberFormat="1" applyFont="1" applyBorder="1" applyAlignment="1">
      <alignment vertical="center" wrapText="1" shrinkToFit="1"/>
    </xf>
    <xf numFmtId="0" fontId="120" fillId="0" borderId="5" xfId="0" applyFont="1" applyBorder="1" applyAlignment="1">
      <alignment horizontal="center" vertical="center"/>
    </xf>
    <xf numFmtId="0" fontId="23" fillId="0" borderId="4" xfId="0" applyFont="1" applyBorder="1" applyAlignment="1">
      <alignment horizontal="center" vertical="center"/>
    </xf>
    <xf numFmtId="179" fontId="141" fillId="0" borderId="60" xfId="403" applyNumberFormat="1" applyFont="1" applyBorder="1" applyAlignment="1">
      <alignment vertical="center" shrinkToFit="1"/>
    </xf>
    <xf numFmtId="0" fontId="141" fillId="0" borderId="4" xfId="0" applyFont="1" applyBorder="1" applyAlignment="1">
      <alignment horizontal="center" vertical="center"/>
    </xf>
    <xf numFmtId="3" fontId="129" fillId="0" borderId="60" xfId="0" applyNumberFormat="1" applyFont="1" applyBorder="1" applyAlignment="1">
      <alignment vertical="center" wrapText="1"/>
    </xf>
    <xf numFmtId="0" fontId="129" fillId="0" borderId="5" xfId="0" applyFont="1" applyBorder="1" applyAlignment="1">
      <alignment horizontal="center" vertical="center" wrapText="1"/>
    </xf>
    <xf numFmtId="3" fontId="129" fillId="0" borderId="6" xfId="0" applyNumberFormat="1" applyFont="1" applyBorder="1" applyAlignment="1">
      <alignment vertical="center" wrapText="1"/>
    </xf>
    <xf numFmtId="0" fontId="122" fillId="0" borderId="185" xfId="0" applyFont="1" applyBorder="1"/>
    <xf numFmtId="3" fontId="129" fillId="0" borderId="15" xfId="411" applyNumberFormat="1" applyFont="1" applyBorder="1" applyAlignment="1">
      <alignment horizontal="left" vertical="center" wrapText="1" shrinkToFit="1"/>
    </xf>
    <xf numFmtId="0" fontId="129" fillId="0" borderId="60" xfId="411" applyFont="1" applyBorder="1" applyAlignment="1">
      <alignment vertical="center" wrapText="1"/>
    </xf>
    <xf numFmtId="0" fontId="121" fillId="0" borderId="60" xfId="411" applyFont="1" applyBorder="1" applyAlignment="1">
      <alignment vertical="center" wrapText="1"/>
    </xf>
    <xf numFmtId="0" fontId="135" fillId="0" borderId="60" xfId="411" applyFont="1" applyBorder="1" applyAlignment="1">
      <alignment horizontal="justify" vertical="justify" wrapText="1"/>
    </xf>
    <xf numFmtId="0" fontId="121" fillId="0" borderId="4" xfId="411" applyFont="1" applyBorder="1" applyAlignment="1">
      <alignment horizontal="center" vertical="center" shrinkToFit="1"/>
    </xf>
    <xf numFmtId="0" fontId="135" fillId="0" borderId="4" xfId="411" applyFont="1" applyBorder="1" applyAlignment="1">
      <alignment horizontal="center" vertical="center" wrapText="1"/>
    </xf>
    <xf numFmtId="0" fontId="212" fillId="0" borderId="4" xfId="411" applyFont="1" applyBorder="1" applyAlignment="1">
      <alignment horizontal="center" vertical="center" shrinkToFit="1"/>
    </xf>
    <xf numFmtId="0" fontId="212" fillId="0" borderId="60" xfId="411" applyFont="1" applyBorder="1" applyAlignment="1">
      <alignment vertical="center" wrapText="1"/>
    </xf>
    <xf numFmtId="166" fontId="212" fillId="0" borderId="60" xfId="411" applyNumberFormat="1" applyFont="1" applyBorder="1" applyAlignment="1">
      <alignment vertical="center" wrapText="1"/>
    </xf>
    <xf numFmtId="166" fontId="212" fillId="0" borderId="20" xfId="411" applyNumberFormat="1" applyFont="1" applyBorder="1" applyAlignment="1">
      <alignment vertical="center" wrapText="1"/>
    </xf>
    <xf numFmtId="166" fontId="122" fillId="0" borderId="6" xfId="411" applyNumberFormat="1" applyFont="1" applyBorder="1" applyAlignment="1">
      <alignment vertical="center"/>
    </xf>
    <xf numFmtId="0" fontId="130" fillId="0" borderId="0" xfId="0" applyFont="1" applyAlignment="1">
      <alignment horizontal="center"/>
    </xf>
    <xf numFmtId="38" fontId="120" fillId="0" borderId="0" xfId="348" applyNumberFormat="1" applyFont="1" applyFill="1" applyBorder="1"/>
    <xf numFmtId="179" fontId="120" fillId="0" borderId="0" xfId="403" applyNumberFormat="1" applyFont="1"/>
    <xf numFmtId="49" fontId="32" fillId="0" borderId="0" xfId="0" applyNumberFormat="1" applyFont="1"/>
    <xf numFmtId="38" fontId="32" fillId="0" borderId="0" xfId="348" applyNumberFormat="1" applyFont="1" applyFill="1" applyBorder="1"/>
    <xf numFmtId="179" fontId="32" fillId="0" borderId="0" xfId="403" applyNumberFormat="1" applyFont="1"/>
    <xf numFmtId="49" fontId="32" fillId="0" borderId="0" xfId="0" applyNumberFormat="1" applyFont="1" applyAlignment="1">
      <alignment vertical="center"/>
    </xf>
    <xf numFmtId="49" fontId="134" fillId="0" borderId="0" xfId="0" applyNumberFormat="1" applyFont="1"/>
    <xf numFmtId="38" fontId="134" fillId="0" borderId="0" xfId="348" applyNumberFormat="1" applyFont="1" applyFill="1" applyBorder="1"/>
    <xf numFmtId="179" fontId="151" fillId="0" borderId="0" xfId="403" applyNumberFormat="1" applyFont="1"/>
    <xf numFmtId="38" fontId="134" fillId="0" borderId="0" xfId="0" applyNumberFormat="1" applyFont="1"/>
    <xf numFmtId="9" fontId="134" fillId="0" borderId="0" xfId="3" applyFont="1" applyFill="1"/>
    <xf numFmtId="179" fontId="32" fillId="0" borderId="0" xfId="403" applyNumberFormat="1" applyFont="1" applyAlignment="1">
      <alignment vertical="center"/>
    </xf>
    <xf numFmtId="9" fontId="134" fillId="0" borderId="0" xfId="3" applyFont="1" applyFill="1" applyAlignment="1">
      <alignment vertical="center"/>
    </xf>
    <xf numFmtId="0" fontId="130" fillId="0" borderId="2" xfId="0" applyFont="1" applyBorder="1" applyAlignment="1">
      <alignment horizontal="center"/>
    </xf>
    <xf numFmtId="0" fontId="130" fillId="0" borderId="58" xfId="0" applyFont="1" applyBorder="1" applyAlignment="1">
      <alignment horizontal="center" shrinkToFit="1"/>
    </xf>
    <xf numFmtId="219" fontId="130" fillId="0" borderId="58" xfId="0" applyNumberFormat="1" applyFont="1" applyBorder="1"/>
    <xf numFmtId="38" fontId="130" fillId="0" borderId="19" xfId="0" applyNumberFormat="1" applyFont="1" applyBorder="1"/>
    <xf numFmtId="0" fontId="120" fillId="0" borderId="4" xfId="0" applyFont="1" applyBorder="1" applyAlignment="1">
      <alignment horizontal="center"/>
    </xf>
    <xf numFmtId="0" fontId="120" fillId="0" borderId="60" xfId="0" applyFont="1" applyBorder="1" applyAlignment="1">
      <alignment shrinkToFit="1"/>
    </xf>
    <xf numFmtId="219" fontId="120" fillId="0" borderId="60" xfId="0" applyNumberFormat="1" applyFont="1" applyBorder="1"/>
    <xf numFmtId="38" fontId="120" fillId="0" borderId="20" xfId="0" applyNumberFormat="1" applyFont="1" applyBorder="1"/>
    <xf numFmtId="0" fontId="32" fillId="0" borderId="4" xfId="0" applyFont="1" applyBorder="1" applyAlignment="1">
      <alignment horizontal="center"/>
    </xf>
    <xf numFmtId="0" fontId="32" fillId="0" borderId="60" xfId="0" applyFont="1" applyBorder="1" applyAlignment="1">
      <alignment shrinkToFit="1"/>
    </xf>
    <xf numFmtId="219" fontId="32" fillId="0" borderId="60" xfId="0" applyNumberFormat="1" applyFont="1" applyBorder="1"/>
    <xf numFmtId="38" fontId="32" fillId="0" borderId="20" xfId="0" applyNumberFormat="1" applyFont="1" applyBorder="1"/>
    <xf numFmtId="49" fontId="32" fillId="0" borderId="60" xfId="0" applyNumberFormat="1" applyFont="1" applyBorder="1" applyAlignment="1">
      <alignment vertical="center" wrapText="1"/>
    </xf>
    <xf numFmtId="219" fontId="32" fillId="0" borderId="60" xfId="0" applyNumberFormat="1" applyFont="1" applyBorder="1" applyAlignment="1">
      <alignment vertical="center"/>
    </xf>
    <xf numFmtId="38" fontId="32" fillId="0" borderId="20" xfId="0" applyNumberFormat="1" applyFont="1" applyBorder="1" applyAlignment="1">
      <alignment vertical="center"/>
    </xf>
    <xf numFmtId="219" fontId="141" fillId="0" borderId="60" xfId="0" applyNumberFormat="1" applyFont="1" applyBorder="1"/>
    <xf numFmtId="38" fontId="212" fillId="0" borderId="20" xfId="0" applyNumberFormat="1" applyFont="1" applyBorder="1" applyAlignment="1">
      <alignment shrinkToFit="1"/>
    </xf>
    <xf numFmtId="43" fontId="32" fillId="0" borderId="0" xfId="403" applyFont="1"/>
    <xf numFmtId="0" fontId="120" fillId="0" borderId="60" xfId="0" applyFont="1" applyBorder="1"/>
    <xf numFmtId="43" fontId="120" fillId="0" borderId="0" xfId="403" applyFont="1"/>
    <xf numFmtId="219" fontId="141" fillId="0" borderId="60" xfId="0" applyNumberFormat="1" applyFont="1" applyBorder="1" applyAlignment="1">
      <alignment vertical="center"/>
    </xf>
    <xf numFmtId="38" fontId="32" fillId="0" borderId="20" xfId="0" applyNumberFormat="1" applyFont="1" applyBorder="1" applyAlignment="1">
      <alignment vertical="center" wrapText="1" shrinkToFit="1"/>
    </xf>
    <xf numFmtId="219" fontId="120" fillId="0" borderId="0" xfId="0" applyNumberFormat="1" applyFont="1"/>
    <xf numFmtId="0" fontId="120" fillId="0" borderId="5" xfId="0" applyFont="1" applyBorder="1" applyAlignment="1">
      <alignment horizontal="center"/>
    </xf>
    <xf numFmtId="0" fontId="120" fillId="0" borderId="6" xfId="0" applyFont="1" applyBorder="1" applyAlignment="1">
      <alignment shrinkToFit="1"/>
    </xf>
    <xf numFmtId="219" fontId="120" fillId="0" borderId="6" xfId="0" applyNumberFormat="1" applyFont="1" applyBorder="1"/>
    <xf numFmtId="38" fontId="120" fillId="0" borderId="21" xfId="0" applyNumberFormat="1" applyFont="1" applyBorder="1"/>
    <xf numFmtId="166" fontId="122" fillId="0" borderId="140" xfId="0" applyNumberFormat="1" applyFont="1" applyBorder="1" applyAlignment="1">
      <alignment vertical="center" shrinkToFit="1"/>
    </xf>
    <xf numFmtId="166" fontId="131" fillId="0" borderId="13" xfId="0" applyNumberFormat="1" applyFont="1" applyBorder="1" applyAlignment="1">
      <alignment vertical="center" shrinkToFit="1"/>
    </xf>
    <xf numFmtId="9" fontId="120" fillId="0" borderId="133" xfId="0" applyNumberFormat="1" applyFont="1" applyBorder="1"/>
    <xf numFmtId="166" fontId="120" fillId="0" borderId="13" xfId="0" applyNumberFormat="1" applyFont="1" applyBorder="1" applyAlignment="1">
      <alignment vertical="center" shrinkToFit="1"/>
    </xf>
    <xf numFmtId="0" fontId="11" fillId="0" borderId="0" xfId="0" applyFont="1" applyAlignment="1">
      <alignment horizontal="center" vertical="center"/>
    </xf>
    <xf numFmtId="0" fontId="11" fillId="0" borderId="11" xfId="0" applyFont="1" applyBorder="1" applyAlignment="1">
      <alignment horizontal="center" vertical="center" shrinkToFit="1"/>
    </xf>
    <xf numFmtId="0" fontId="11" fillId="0" borderId="58" xfId="0" applyFont="1" applyBorder="1" applyAlignment="1">
      <alignment horizontal="center" vertical="center" wrapText="1"/>
    </xf>
    <xf numFmtId="0" fontId="4" fillId="0" borderId="58" xfId="0" applyFont="1" applyBorder="1" applyAlignment="1">
      <alignment vertical="center" wrapText="1"/>
    </xf>
    <xf numFmtId="166" fontId="4" fillId="0" borderId="58" xfId="0" applyNumberFormat="1" applyFont="1" applyBorder="1" applyAlignment="1">
      <alignment vertical="center" wrapText="1"/>
    </xf>
    <xf numFmtId="0" fontId="11" fillId="0" borderId="60" xfId="0" applyFont="1" applyBorder="1" applyAlignment="1">
      <alignment horizontal="center" vertical="center" wrapText="1"/>
    </xf>
    <xf numFmtId="0" fontId="4" fillId="0" borderId="60" xfId="0" applyFont="1" applyBorder="1" applyAlignment="1">
      <alignment vertical="center" wrapText="1"/>
    </xf>
    <xf numFmtId="166" fontId="4" fillId="0" borderId="60" xfId="0" applyNumberFormat="1" applyFont="1" applyBorder="1" applyAlignment="1">
      <alignment vertical="center" wrapText="1"/>
    </xf>
    <xf numFmtId="166" fontId="23" fillId="0" borderId="60" xfId="0" applyNumberFormat="1" applyFont="1" applyBorder="1" applyAlignment="1">
      <alignment vertical="center" wrapText="1" shrinkToFit="1"/>
    </xf>
    <xf numFmtId="166" fontId="4" fillId="0" borderId="60" xfId="0" applyNumberFormat="1" applyFont="1" applyBorder="1" applyAlignment="1">
      <alignment vertical="center" wrapText="1" shrinkToFit="1"/>
    </xf>
    <xf numFmtId="0" fontId="11" fillId="0" borderId="60" xfId="0" applyFont="1" applyBorder="1" applyAlignment="1">
      <alignment vertical="center" wrapText="1"/>
    </xf>
    <xf numFmtId="166" fontId="11" fillId="0" borderId="60" xfId="0" applyNumberFormat="1" applyFont="1" applyBorder="1" applyAlignment="1">
      <alignment vertical="center" wrapText="1" shrinkToFit="1"/>
    </xf>
    <xf numFmtId="3" fontId="11" fillId="0" borderId="60" xfId="0" applyNumberFormat="1" applyFont="1" applyBorder="1" applyAlignment="1">
      <alignment vertical="center" wrapText="1" shrinkToFi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1" xfId="0" applyFont="1" applyBorder="1" applyAlignment="1">
      <alignment wrapText="1"/>
    </xf>
    <xf numFmtId="0" fontId="11" fillId="0" borderId="0" xfId="0" applyFont="1" applyAlignment="1">
      <alignment wrapText="1"/>
    </xf>
    <xf numFmtId="0" fontId="11" fillId="0" borderId="11" xfId="0" applyFont="1" applyBorder="1" applyAlignment="1">
      <alignment vertical="center" wrapText="1"/>
    </xf>
    <xf numFmtId="3" fontId="32" fillId="0" borderId="0" xfId="0" applyNumberFormat="1" applyFont="1" applyAlignment="1">
      <alignment horizontal="center" vertical="center"/>
    </xf>
    <xf numFmtId="219" fontId="213" fillId="3" borderId="60" xfId="352" applyNumberFormat="1" applyFont="1" applyFill="1" applyBorder="1" applyAlignment="1">
      <alignment vertical="center" shrinkToFit="1"/>
    </xf>
    <xf numFmtId="0" fontId="32" fillId="0" borderId="0" xfId="352" applyFont="1" applyAlignment="1">
      <alignment vertical="center"/>
    </xf>
    <xf numFmtId="0" fontId="32" fillId="0" borderId="0" xfId="352" applyFont="1" applyAlignment="1">
      <alignment vertical="center" wrapText="1" shrinkToFit="1"/>
    </xf>
    <xf numFmtId="166" fontId="32" fillId="0" borderId="0" xfId="352" applyNumberFormat="1" applyFont="1" applyAlignment="1">
      <alignment vertical="center"/>
    </xf>
    <xf numFmtId="219" fontId="32" fillId="0" borderId="0" xfId="352" applyNumberFormat="1" applyFont="1" applyAlignment="1">
      <alignment vertical="center"/>
    </xf>
    <xf numFmtId="179" fontId="120" fillId="0" borderId="0" xfId="403" applyNumberFormat="1" applyFont="1" applyFill="1" applyAlignment="1">
      <alignment vertical="center"/>
    </xf>
    <xf numFmtId="179" fontId="32" fillId="0" borderId="0" xfId="352" applyNumberFormat="1" applyFont="1" applyAlignment="1">
      <alignment vertical="center"/>
    </xf>
    <xf numFmtId="0" fontId="122" fillId="0" borderId="26" xfId="352" applyFont="1" applyBorder="1" applyAlignment="1">
      <alignment horizontal="center" vertical="center"/>
    </xf>
    <xf numFmtId="219" fontId="122" fillId="0" borderId="60" xfId="352" applyNumberFormat="1" applyFont="1" applyBorder="1" applyAlignment="1">
      <alignment vertical="center" shrinkToFit="1"/>
    </xf>
    <xf numFmtId="219" fontId="122" fillId="0" borderId="60" xfId="403" applyNumberFormat="1" applyFont="1" applyFill="1" applyBorder="1" applyAlignment="1">
      <alignment vertical="center" shrinkToFit="1"/>
    </xf>
    <xf numFmtId="219" fontId="122" fillId="0" borderId="32" xfId="352" applyNumberFormat="1" applyFont="1" applyBorder="1" applyAlignment="1">
      <alignment vertical="center" shrinkToFit="1"/>
    </xf>
    <xf numFmtId="219" fontId="122" fillId="0" borderId="26" xfId="352" applyNumberFormat="1" applyFont="1" applyBorder="1" applyAlignment="1">
      <alignment vertical="center" shrinkToFit="1"/>
    </xf>
    <xf numFmtId="219" fontId="122" fillId="0" borderId="59" xfId="352" applyNumberFormat="1" applyFont="1" applyBorder="1" applyAlignment="1">
      <alignment vertical="center" shrinkToFit="1"/>
    </xf>
    <xf numFmtId="0" fontId="122" fillId="0" borderId="0" xfId="352" applyFont="1" applyAlignment="1">
      <alignment horizontal="center" vertical="center"/>
    </xf>
    <xf numFmtId="219" fontId="135" fillId="0" borderId="60" xfId="352" applyNumberFormat="1" applyFont="1" applyBorder="1" applyAlignment="1">
      <alignment vertical="center" shrinkToFit="1"/>
    </xf>
    <xf numFmtId="219" fontId="135" fillId="0" borderId="60" xfId="403" applyNumberFormat="1" applyFont="1" applyFill="1" applyBorder="1" applyAlignment="1">
      <alignment vertical="center" shrinkToFit="1"/>
    </xf>
    <xf numFmtId="219" fontId="135" fillId="0" borderId="32" xfId="352" applyNumberFormat="1" applyFont="1" applyBorder="1" applyAlignment="1">
      <alignment vertical="center" shrinkToFit="1"/>
    </xf>
    <xf numFmtId="0" fontId="120" fillId="0" borderId="60" xfId="0" applyFont="1" applyBorder="1" applyAlignment="1">
      <alignment horizontal="left" vertical="center" wrapText="1"/>
    </xf>
    <xf numFmtId="0" fontId="122" fillId="0" borderId="60" xfId="0" applyFont="1" applyBorder="1" applyAlignment="1">
      <alignment horizontal="justify" vertical="center" shrinkToFit="1"/>
    </xf>
    <xf numFmtId="0" fontId="121" fillId="0" borderId="0" xfId="0" applyFont="1" applyAlignment="1">
      <alignment horizontal="center" vertical="center" wrapText="1"/>
    </xf>
    <xf numFmtId="0" fontId="32" fillId="0" borderId="0" xfId="0" applyFont="1" applyAlignment="1">
      <alignment vertical="center" wrapText="1" shrinkToFit="1"/>
    </xf>
    <xf numFmtId="179" fontId="120" fillId="0" borderId="0" xfId="1" applyNumberFormat="1" applyFont="1" applyFill="1" applyAlignment="1">
      <alignment vertical="center" shrinkToFit="1"/>
    </xf>
    <xf numFmtId="179" fontId="152" fillId="0" borderId="0" xfId="1" applyNumberFormat="1" applyFont="1" applyFill="1" applyAlignment="1">
      <alignment vertical="center"/>
    </xf>
    <xf numFmtId="179" fontId="152" fillId="0" borderId="0" xfId="0" applyNumberFormat="1" applyFont="1"/>
    <xf numFmtId="179" fontId="120" fillId="0" borderId="0" xfId="1" applyNumberFormat="1" applyFont="1" applyFill="1"/>
    <xf numFmtId="179" fontId="32" fillId="0" borderId="0" xfId="1" applyNumberFormat="1" applyFont="1" applyFill="1"/>
    <xf numFmtId="3" fontId="120" fillId="0" borderId="60" xfId="0" applyNumberFormat="1" applyFont="1" applyBorder="1" applyAlignment="1">
      <alignment horizontal="left" vertical="center" wrapText="1"/>
    </xf>
    <xf numFmtId="0" fontId="134" fillId="0" borderId="0" xfId="0" applyFont="1" applyAlignment="1">
      <alignment horizontal="center" vertical="center" wrapText="1"/>
    </xf>
    <xf numFmtId="3" fontId="130" fillId="0" borderId="62" xfId="0" applyNumberFormat="1" applyFont="1" applyBorder="1" applyAlignment="1">
      <alignment horizontal="center" shrinkToFit="1"/>
    </xf>
    <xf numFmtId="3" fontId="130" fillId="0" borderId="26" xfId="0" applyNumberFormat="1" applyFont="1" applyBorder="1" applyAlignment="1">
      <alignment horizontal="center" shrinkToFit="1"/>
    </xf>
    <xf numFmtId="3" fontId="120" fillId="0" borderId="26" xfId="0" applyNumberFormat="1" applyFont="1" applyBorder="1" applyAlignment="1">
      <alignment horizontal="center" shrinkToFit="1"/>
    </xf>
    <xf numFmtId="49" fontId="130" fillId="0" borderId="4" xfId="0" applyNumberFormat="1" applyFont="1" applyBorder="1" applyAlignment="1">
      <alignment shrinkToFit="1"/>
    </xf>
    <xf numFmtId="3" fontId="130" fillId="0" borderId="186" xfId="0" applyNumberFormat="1" applyFont="1" applyBorder="1" applyAlignment="1">
      <alignment horizontal="center" vertical="center" shrinkToFit="1"/>
    </xf>
    <xf numFmtId="3" fontId="130" fillId="0" borderId="187" xfId="0" applyNumberFormat="1" applyFont="1" applyBorder="1" applyAlignment="1">
      <alignment horizontal="center" vertical="center" shrinkToFit="1"/>
    </xf>
    <xf numFmtId="0" fontId="32" fillId="0" borderId="188" xfId="0" applyFont="1" applyBorder="1"/>
    <xf numFmtId="0" fontId="135" fillId="0" borderId="0" xfId="0" applyFont="1" applyAlignment="1">
      <alignment horizontal="center" vertical="center" wrapText="1"/>
    </xf>
    <xf numFmtId="3" fontId="135" fillId="0" borderId="60" xfId="0" applyNumberFormat="1" applyFont="1" applyBorder="1" applyAlignment="1">
      <alignment shrinkToFit="1"/>
    </xf>
    <xf numFmtId="3" fontId="32" fillId="0" borderId="14" xfId="0" applyNumberFormat="1" applyFont="1" applyBorder="1" applyAlignment="1">
      <alignment shrinkToFit="1"/>
    </xf>
    <xf numFmtId="3" fontId="32" fillId="0" borderId="13" xfId="0" applyNumberFormat="1" applyFont="1" applyBorder="1" applyAlignment="1">
      <alignment shrinkToFit="1"/>
    </xf>
    <xf numFmtId="9" fontId="32" fillId="0" borderId="0" xfId="3" applyFont="1" applyBorder="1" applyAlignment="1">
      <alignment horizontal="right"/>
    </xf>
    <xf numFmtId="179" fontId="120" fillId="0" borderId="60" xfId="403" applyNumberFormat="1" applyFont="1" applyBorder="1" applyAlignment="1">
      <alignment vertical="center"/>
    </xf>
    <xf numFmtId="3" fontId="130" fillId="0" borderId="58" xfId="0" applyNumberFormat="1" applyFont="1" applyBorder="1"/>
    <xf numFmtId="3" fontId="130" fillId="0" borderId="60" xfId="0" applyNumberFormat="1" applyFont="1" applyBorder="1"/>
    <xf numFmtId="3" fontId="166" fillId="0" borderId="60" xfId="0" applyNumberFormat="1" applyFont="1" applyBorder="1" applyAlignment="1">
      <alignment shrinkToFit="1"/>
    </xf>
    <xf numFmtId="3" fontId="32" fillId="0" borderId="60" xfId="0" applyNumberFormat="1" applyFont="1" applyBorder="1"/>
    <xf numFmtId="3" fontId="144" fillId="0" borderId="60" xfId="0" applyNumberFormat="1" applyFont="1" applyBorder="1" applyAlignment="1">
      <alignment shrinkToFit="1"/>
    </xf>
    <xf numFmtId="3" fontId="158" fillId="0" borderId="60" xfId="0" applyNumberFormat="1" applyFont="1" applyBorder="1" applyAlignment="1">
      <alignment shrinkToFit="1"/>
    </xf>
    <xf numFmtId="3" fontId="32" fillId="0" borderId="13" xfId="0" applyNumberFormat="1" applyFont="1" applyBorder="1"/>
    <xf numFmtId="0" fontId="32" fillId="0" borderId="0" xfId="0" applyFont="1" applyAlignment="1">
      <alignment horizontal="right" wrapText="1"/>
    </xf>
    <xf numFmtId="3" fontId="120" fillId="0" borderId="58" xfId="0" applyNumberFormat="1" applyFont="1" applyBorder="1" applyAlignment="1">
      <alignment vertical="center"/>
    </xf>
    <xf numFmtId="3" fontId="130" fillId="0" borderId="72" xfId="0" applyNumberFormat="1" applyFont="1" applyBorder="1" applyAlignment="1">
      <alignment horizontal="center" vertical="center" shrinkToFit="1"/>
    </xf>
    <xf numFmtId="0" fontId="32" fillId="0" borderId="72" xfId="0" applyFont="1" applyBorder="1"/>
    <xf numFmtId="219" fontId="166" fillId="0" borderId="60" xfId="0" applyNumberFormat="1" applyFont="1" applyBorder="1" applyAlignment="1">
      <alignment vertical="center" wrapText="1" shrinkToFit="1"/>
    </xf>
    <xf numFmtId="3" fontId="144" fillId="0" borderId="60" xfId="0" applyNumberFormat="1" applyFont="1" applyBorder="1" applyAlignment="1">
      <alignment vertical="center"/>
    </xf>
    <xf numFmtId="3" fontId="120" fillId="0" borderId="60" xfId="0" applyNumberFormat="1" applyFont="1" applyBorder="1"/>
    <xf numFmtId="0" fontId="32" fillId="0" borderId="0" xfId="0" applyFont="1" applyAlignment="1">
      <alignment horizontal="left" wrapText="1"/>
    </xf>
    <xf numFmtId="0" fontId="152" fillId="0" borderId="0" xfId="0" applyFont="1" applyAlignment="1">
      <alignment horizontal="justify" vertical="justify"/>
    </xf>
    <xf numFmtId="0" fontId="144" fillId="0" borderId="0" xfId="0" applyFont="1" applyAlignment="1">
      <alignment horizontal="justify" vertical="justify"/>
    </xf>
    <xf numFmtId="0" fontId="32" fillId="0" borderId="0" xfId="0" applyFont="1" applyAlignment="1">
      <alignment horizontal="left" vertical="justify"/>
    </xf>
    <xf numFmtId="0" fontId="129" fillId="0" borderId="0" xfId="0" applyFont="1"/>
    <xf numFmtId="219" fontId="135" fillId="0" borderId="60" xfId="0" applyNumberFormat="1" applyFont="1" applyBorder="1" applyAlignment="1">
      <alignment vertical="center" wrapText="1" shrinkToFit="1"/>
    </xf>
    <xf numFmtId="0" fontId="144" fillId="0" borderId="0" xfId="0" applyFont="1" applyAlignment="1">
      <alignment horizontal="justify" vertical="justify" wrapText="1"/>
    </xf>
    <xf numFmtId="3" fontId="32" fillId="0" borderId="72" xfId="0" applyNumberFormat="1" applyFont="1" applyBorder="1" applyAlignment="1">
      <alignment vertical="center"/>
    </xf>
    <xf numFmtId="0" fontId="32" fillId="0" borderId="0" xfId="0" applyFont="1" applyAlignment="1">
      <alignment horizontal="left"/>
    </xf>
    <xf numFmtId="3" fontId="130" fillId="0" borderId="72" xfId="0" applyNumberFormat="1" applyFont="1" applyBorder="1" applyAlignment="1">
      <alignment horizontal="center" shrinkToFit="1"/>
    </xf>
    <xf numFmtId="0" fontId="32" fillId="0" borderId="60" xfId="0" applyFont="1" applyBorder="1"/>
    <xf numFmtId="0" fontId="32" fillId="0" borderId="13" xfId="0" applyFont="1" applyBorder="1"/>
    <xf numFmtId="0" fontId="121" fillId="0" borderId="0" xfId="0" applyFont="1" applyAlignment="1">
      <alignment horizontal="left" vertical="justify" wrapText="1" shrinkToFit="1"/>
    </xf>
    <xf numFmtId="219" fontId="144" fillId="0" borderId="26" xfId="348" applyNumberFormat="1" applyFont="1" applyFill="1" applyBorder="1" applyAlignment="1">
      <alignment horizontal="right" vertical="center" wrapText="1"/>
    </xf>
    <xf numFmtId="179" fontId="144" fillId="0" borderId="60" xfId="403" applyNumberFormat="1" applyFont="1" applyBorder="1" applyAlignment="1">
      <alignment vertical="center" shrinkToFit="1"/>
    </xf>
    <xf numFmtId="219" fontId="144" fillId="0" borderId="60" xfId="348" applyNumberFormat="1" applyFont="1" applyFill="1" applyBorder="1" applyAlignment="1">
      <alignment horizontal="right" vertical="center" wrapText="1"/>
    </xf>
    <xf numFmtId="219" fontId="144" fillId="0" borderId="29" xfId="348" applyNumberFormat="1" applyFont="1" applyFill="1" applyBorder="1" applyAlignment="1">
      <alignment horizontal="right" vertical="center" wrapText="1"/>
    </xf>
    <xf numFmtId="219" fontId="144" fillId="0" borderId="30" xfId="348" applyNumberFormat="1" applyFont="1" applyFill="1" applyBorder="1" applyAlignment="1">
      <alignment horizontal="right" vertical="center" wrapText="1"/>
    </xf>
    <xf numFmtId="179" fontId="120" fillId="0" borderId="60" xfId="403" applyNumberFormat="1" applyFont="1" applyFill="1" applyBorder="1" applyAlignment="1">
      <alignment vertical="center" shrinkToFit="1"/>
    </xf>
    <xf numFmtId="179" fontId="144" fillId="0" borderId="60" xfId="403" applyNumberFormat="1" applyFont="1" applyFill="1" applyBorder="1" applyAlignment="1">
      <alignment horizontal="right" vertical="center" shrinkToFit="1"/>
    </xf>
    <xf numFmtId="179" fontId="152" fillId="0" borderId="60" xfId="403" applyNumberFormat="1" applyFont="1" applyFill="1" applyBorder="1" applyAlignment="1">
      <alignment vertical="center" shrinkToFit="1"/>
    </xf>
    <xf numFmtId="179" fontId="144" fillId="0" borderId="30" xfId="403" applyNumberFormat="1" applyFont="1" applyFill="1" applyBorder="1" applyAlignment="1">
      <alignment horizontal="right" vertical="center" shrinkToFit="1"/>
    </xf>
    <xf numFmtId="179" fontId="141" fillId="0" borderId="60" xfId="403" applyNumberFormat="1" applyFont="1" applyFill="1" applyBorder="1" applyAlignment="1">
      <alignment vertical="center" shrinkToFit="1"/>
    </xf>
    <xf numFmtId="179" fontId="141" fillId="0" borderId="60" xfId="403" applyNumberFormat="1" applyFont="1" applyFill="1" applyBorder="1" applyAlignment="1">
      <alignment horizontal="center" vertical="center" shrinkToFit="1"/>
    </xf>
    <xf numFmtId="179" fontId="141" fillId="0" borderId="30" xfId="403" applyNumberFormat="1" applyFont="1" applyFill="1" applyBorder="1" applyAlignment="1">
      <alignment horizontal="center" vertical="center" shrinkToFit="1"/>
    </xf>
    <xf numFmtId="0" fontId="152" fillId="0" borderId="11" xfId="0" applyFont="1" applyBorder="1" applyAlignment="1">
      <alignment horizontal="center" vertical="center" shrinkToFit="1"/>
    </xf>
    <xf numFmtId="219" fontId="152" fillId="0" borderId="58" xfId="0" applyNumberFormat="1" applyFont="1" applyBorder="1" applyAlignment="1">
      <alignment horizontal="right" vertical="center" wrapText="1"/>
    </xf>
    <xf numFmtId="219" fontId="152" fillId="0" borderId="60" xfId="0" applyNumberFormat="1" applyFont="1" applyBorder="1" applyAlignment="1">
      <alignment horizontal="right" vertical="center" wrapText="1"/>
    </xf>
    <xf numFmtId="219" fontId="152" fillId="0" borderId="60" xfId="348" applyNumberFormat="1" applyFont="1" applyFill="1" applyBorder="1" applyAlignment="1">
      <alignment horizontal="right" vertical="center" wrapText="1"/>
    </xf>
    <xf numFmtId="0" fontId="141" fillId="0" borderId="0" xfId="0" applyFont="1" applyAlignment="1">
      <alignment vertical="center" wrapText="1"/>
    </xf>
    <xf numFmtId="219" fontId="141" fillId="0" borderId="26" xfId="403" applyNumberFormat="1" applyFont="1" applyFill="1" applyBorder="1" applyAlignment="1">
      <alignment horizontal="right" vertical="center" shrinkToFit="1"/>
    </xf>
    <xf numFmtId="219" fontId="141" fillId="0" borderId="60" xfId="348" applyNumberFormat="1" applyFont="1" applyFill="1" applyBorder="1" applyAlignment="1">
      <alignment horizontal="right" vertical="center" wrapText="1"/>
    </xf>
    <xf numFmtId="219" fontId="142" fillId="0" borderId="26" xfId="348" applyNumberFormat="1" applyFont="1" applyFill="1" applyBorder="1" applyAlignment="1">
      <alignment horizontal="right" vertical="center" wrapText="1"/>
    </xf>
    <xf numFmtId="219" fontId="142" fillId="0" borderId="60" xfId="348" applyNumberFormat="1" applyFont="1" applyFill="1" applyBorder="1" applyAlignment="1">
      <alignment horizontal="right" vertical="center" wrapText="1"/>
    </xf>
    <xf numFmtId="219" fontId="141" fillId="0" borderId="29" xfId="403" applyNumberFormat="1" applyFont="1" applyFill="1" applyBorder="1" applyAlignment="1">
      <alignment horizontal="right" vertical="center" shrinkToFit="1"/>
    </xf>
    <xf numFmtId="219" fontId="141" fillId="0" borderId="30" xfId="348" applyNumberFormat="1" applyFont="1" applyFill="1" applyBorder="1" applyAlignment="1">
      <alignment horizontal="right" vertical="center" wrapText="1"/>
    </xf>
    <xf numFmtId="219" fontId="120" fillId="34" borderId="58" xfId="0" applyNumberFormat="1" applyFont="1" applyFill="1" applyBorder="1" applyAlignment="1">
      <alignment horizontal="right" vertical="center" wrapText="1"/>
    </xf>
    <xf numFmtId="219" fontId="120" fillId="34" borderId="60" xfId="0" applyNumberFormat="1" applyFont="1" applyFill="1" applyBorder="1" applyAlignment="1">
      <alignment horizontal="right" vertical="center" wrapText="1"/>
    </xf>
    <xf numFmtId="219" fontId="32" fillId="34" borderId="60" xfId="348" applyNumberFormat="1" applyFont="1" applyFill="1" applyBorder="1" applyAlignment="1">
      <alignment horizontal="right" vertical="center" wrapText="1"/>
    </xf>
    <xf numFmtId="219" fontId="120" fillId="34" borderId="60" xfId="348" applyNumberFormat="1" applyFont="1" applyFill="1" applyBorder="1" applyAlignment="1">
      <alignment horizontal="right" vertical="center" wrapText="1"/>
    </xf>
    <xf numFmtId="219" fontId="32" fillId="34" borderId="30" xfId="348" applyNumberFormat="1" applyFont="1" applyFill="1" applyBorder="1" applyAlignment="1">
      <alignment horizontal="right" vertical="center" wrapText="1"/>
    </xf>
    <xf numFmtId="219" fontId="152" fillId="34" borderId="58" xfId="0" applyNumberFormat="1" applyFont="1" applyFill="1" applyBorder="1" applyAlignment="1">
      <alignment horizontal="right" vertical="center" wrapText="1"/>
    </xf>
    <xf numFmtId="219" fontId="152" fillId="34" borderId="60" xfId="0" applyNumberFormat="1" applyFont="1" applyFill="1" applyBorder="1" applyAlignment="1">
      <alignment horizontal="right" vertical="center" wrapText="1"/>
    </xf>
    <xf numFmtId="219" fontId="152" fillId="34" borderId="60" xfId="403" applyNumberFormat="1" applyFont="1" applyFill="1" applyBorder="1" applyAlignment="1">
      <alignment horizontal="right" vertical="center" shrinkToFit="1"/>
    </xf>
    <xf numFmtId="219" fontId="152" fillId="34" borderId="60" xfId="348" applyNumberFormat="1" applyFont="1" applyFill="1" applyBorder="1" applyAlignment="1">
      <alignment horizontal="right" vertical="center" wrapText="1"/>
    </xf>
    <xf numFmtId="219" fontId="152" fillId="34" borderId="30" xfId="348" applyNumberFormat="1" applyFont="1" applyFill="1" applyBorder="1" applyAlignment="1">
      <alignment horizontal="right" vertical="center" wrapText="1"/>
    </xf>
    <xf numFmtId="0" fontId="152" fillId="34" borderId="11" xfId="0" applyFont="1" applyFill="1" applyBorder="1" applyAlignment="1">
      <alignment horizontal="center" vertical="center" shrinkToFit="1"/>
    </xf>
    <xf numFmtId="0" fontId="121" fillId="0" borderId="11" xfId="0" applyFont="1" applyBorder="1" applyAlignment="1">
      <alignment horizontal="center" vertical="center" wrapText="1" shrinkToFit="1"/>
    </xf>
    <xf numFmtId="219" fontId="121" fillId="0" borderId="58" xfId="0" applyNumberFormat="1" applyFont="1" applyBorder="1" applyAlignment="1">
      <alignment horizontal="right" vertical="center" wrapText="1"/>
    </xf>
    <xf numFmtId="219" fontId="121" fillId="0" borderId="60" xfId="0" applyNumberFormat="1" applyFont="1" applyBorder="1" applyAlignment="1">
      <alignment horizontal="right" vertical="center" wrapText="1"/>
    </xf>
    <xf numFmtId="219" fontId="122" fillId="0" borderId="60" xfId="348" applyNumberFormat="1" applyFont="1" applyFill="1" applyBorder="1" applyAlignment="1">
      <alignment horizontal="right" vertical="center" wrapText="1"/>
    </xf>
    <xf numFmtId="219" fontId="121" fillId="0" borderId="60" xfId="348" applyNumberFormat="1" applyFont="1" applyFill="1" applyBorder="1" applyAlignment="1">
      <alignment horizontal="right" vertical="center" wrapText="1"/>
    </xf>
    <xf numFmtId="219" fontId="122" fillId="0" borderId="30" xfId="348" applyNumberFormat="1" applyFont="1" applyFill="1" applyBorder="1" applyAlignment="1">
      <alignment horizontal="right" vertical="center" wrapText="1"/>
    </xf>
    <xf numFmtId="2" fontId="129" fillId="0" borderId="4" xfId="0" applyNumberFormat="1" applyFont="1" applyBorder="1" applyAlignment="1">
      <alignment horizontal="center" vertical="center"/>
    </xf>
    <xf numFmtId="2" fontId="129" fillId="0" borderId="60" xfId="0" applyNumberFormat="1" applyFont="1" applyBorder="1" applyAlignment="1">
      <alignment horizontal="justify" vertical="justify" shrinkToFit="1"/>
    </xf>
    <xf numFmtId="2" fontId="122" fillId="0" borderId="60" xfId="0" applyNumberFormat="1" applyFont="1" applyBorder="1" applyAlignment="1">
      <alignment horizontal="justify" vertical="justify" shrinkToFit="1"/>
    </xf>
    <xf numFmtId="2" fontId="135" fillId="0" borderId="60" xfId="0" applyNumberFormat="1" applyFont="1" applyBorder="1" applyAlignment="1">
      <alignment horizontal="justify" vertical="justify" shrinkToFit="1"/>
    </xf>
    <xf numFmtId="2" fontId="121" fillId="0" borderId="60" xfId="0" applyNumberFormat="1" applyFont="1" applyBorder="1" applyAlignment="1">
      <alignment horizontal="justify" vertical="justify" shrinkToFit="1"/>
    </xf>
    <xf numFmtId="3" fontId="121" fillId="0" borderId="4" xfId="0" applyNumberFormat="1" applyFont="1" applyBorder="1" applyAlignment="1">
      <alignment horizontal="center" vertical="center"/>
    </xf>
    <xf numFmtId="3" fontId="126" fillId="0" borderId="4" xfId="0" applyNumberFormat="1" applyFont="1" applyBorder="1" applyAlignment="1">
      <alignment horizontal="center" vertical="center"/>
    </xf>
    <xf numFmtId="166" fontId="141" fillId="3" borderId="60" xfId="0" applyNumberFormat="1" applyFont="1" applyFill="1" applyBorder="1" applyAlignment="1">
      <alignment vertical="center" shrinkToFit="1"/>
    </xf>
    <xf numFmtId="166" fontId="32" fillId="3" borderId="60" xfId="0" applyNumberFormat="1" applyFont="1" applyFill="1" applyBorder="1" applyAlignment="1">
      <alignment vertical="center" shrinkToFit="1"/>
    </xf>
    <xf numFmtId="166" fontId="122" fillId="3" borderId="60" xfId="0" applyNumberFormat="1" applyFont="1" applyFill="1" applyBorder="1" applyAlignment="1">
      <alignment vertical="center" shrinkToFit="1"/>
    </xf>
    <xf numFmtId="166" fontId="120" fillId="0" borderId="0" xfId="0" applyNumberFormat="1" applyFont="1" applyAlignment="1">
      <alignment horizontal="center" vertical="center" wrapText="1"/>
    </xf>
    <xf numFmtId="3" fontId="121" fillId="3" borderId="0" xfId="403" applyNumberFormat="1" applyFont="1" applyFill="1" applyAlignment="1">
      <alignment vertical="center"/>
    </xf>
    <xf numFmtId="3" fontId="142" fillId="3" borderId="0" xfId="403" applyNumberFormat="1" applyFont="1" applyFill="1" applyAlignment="1">
      <alignment vertical="center"/>
    </xf>
    <xf numFmtId="219" fontId="122" fillId="3" borderId="60" xfId="352" applyNumberFormat="1" applyFont="1" applyFill="1" applyBorder="1" applyAlignment="1">
      <alignment vertical="center" shrinkToFit="1"/>
    </xf>
    <xf numFmtId="3" fontId="120" fillId="0" borderId="0" xfId="352" applyNumberFormat="1" applyFont="1" applyAlignment="1">
      <alignment vertical="center" shrinkToFit="1"/>
    </xf>
    <xf numFmtId="3" fontId="120" fillId="0" borderId="0" xfId="403" applyNumberFormat="1" applyFont="1" applyFill="1" applyAlignment="1">
      <alignment vertical="center" shrinkToFit="1"/>
    </xf>
    <xf numFmtId="3" fontId="120" fillId="0" borderId="0" xfId="403" applyNumberFormat="1" applyFont="1" applyFill="1" applyAlignment="1">
      <alignment vertical="center"/>
    </xf>
    <xf numFmtId="3" fontId="4" fillId="0" borderId="0" xfId="381" applyNumberFormat="1" applyFont="1" applyAlignment="1">
      <alignment horizontal="right"/>
    </xf>
    <xf numFmtId="166" fontId="32" fillId="0" borderId="13" xfId="0" applyNumberFormat="1" applyFont="1" applyBorder="1" applyAlignment="1">
      <alignment vertical="center" shrinkToFit="1"/>
    </xf>
    <xf numFmtId="166" fontId="129" fillId="0" borderId="14" xfId="0" applyNumberFormat="1" applyFont="1" applyBorder="1" applyAlignment="1">
      <alignment vertical="center" shrinkToFit="1"/>
    </xf>
    <xf numFmtId="166" fontId="129" fillId="0" borderId="11" xfId="0" applyNumberFormat="1" applyFont="1" applyBorder="1" applyAlignment="1">
      <alignment vertical="center" shrinkToFit="1"/>
    </xf>
    <xf numFmtId="166" fontId="130" fillId="0" borderId="11" xfId="0" applyNumberFormat="1" applyFont="1" applyBorder="1" applyAlignment="1">
      <alignment vertical="center" shrinkToFit="1"/>
    </xf>
    <xf numFmtId="3" fontId="130" fillId="0" borderId="11" xfId="0" applyNumberFormat="1" applyFont="1" applyBorder="1" applyAlignment="1">
      <alignment vertical="center" shrinkToFit="1"/>
    </xf>
    <xf numFmtId="219" fontId="120" fillId="0" borderId="60" xfId="0" applyNumberFormat="1" applyFont="1" applyBorder="1" applyAlignment="1">
      <alignment vertical="center" shrinkToFit="1"/>
    </xf>
    <xf numFmtId="228" fontId="18" fillId="0" borderId="60" xfId="381" applyNumberFormat="1" applyFont="1" applyBorder="1" applyAlignment="1">
      <alignment vertical="center" shrinkToFit="1"/>
    </xf>
    <xf numFmtId="9" fontId="120" fillId="0" borderId="0" xfId="3" applyFont="1" applyFill="1" applyAlignment="1">
      <alignment vertical="center"/>
    </xf>
    <xf numFmtId="219" fontId="120" fillId="0" borderId="0" xfId="352" applyNumberFormat="1" applyFont="1" applyAlignment="1">
      <alignment vertical="center"/>
    </xf>
    <xf numFmtId="179" fontId="120" fillId="0" borderId="0" xfId="352" applyNumberFormat="1" applyFont="1" applyAlignment="1">
      <alignment vertical="center"/>
    </xf>
    <xf numFmtId="3" fontId="120" fillId="0" borderId="0" xfId="3" applyNumberFormat="1" applyFont="1" applyFill="1" applyAlignment="1">
      <alignment vertical="center"/>
    </xf>
    <xf numFmtId="169" fontId="32" fillId="0" borderId="0" xfId="1" applyNumberFormat="1" applyFont="1" applyFill="1" applyAlignment="1">
      <alignment vertical="center"/>
    </xf>
    <xf numFmtId="179" fontId="32" fillId="3" borderId="0" xfId="352" applyNumberFormat="1" applyFont="1" applyFill="1" applyAlignment="1">
      <alignment vertical="center"/>
    </xf>
    <xf numFmtId="170" fontId="120" fillId="0" borderId="0" xfId="1" applyNumberFormat="1" applyFont="1" applyFill="1" applyAlignment="1">
      <alignment vertical="center"/>
    </xf>
    <xf numFmtId="170" fontId="120" fillId="0" borderId="0" xfId="1" applyNumberFormat="1" applyFont="1" applyFill="1" applyAlignment="1">
      <alignment horizontal="right" vertical="center"/>
    </xf>
    <xf numFmtId="179" fontId="120" fillId="3" borderId="0" xfId="352" applyNumberFormat="1" applyFont="1" applyFill="1" applyAlignment="1">
      <alignment vertical="center"/>
    </xf>
    <xf numFmtId="3" fontId="32" fillId="0" borderId="0" xfId="352" applyNumberFormat="1" applyFont="1" applyAlignment="1">
      <alignment vertical="center" shrinkToFit="1"/>
    </xf>
    <xf numFmtId="170" fontId="32" fillId="0" borderId="0" xfId="1" applyNumberFormat="1" applyFont="1" applyFill="1" applyAlignment="1">
      <alignment vertical="center"/>
    </xf>
    <xf numFmtId="3" fontId="32" fillId="0" borderId="0" xfId="352" applyNumberFormat="1" applyFont="1" applyAlignment="1">
      <alignment vertical="center"/>
    </xf>
    <xf numFmtId="168" fontId="32" fillId="0" borderId="0" xfId="403" applyNumberFormat="1" applyFont="1" applyFill="1" applyAlignment="1">
      <alignment vertical="center"/>
    </xf>
    <xf numFmtId="3" fontId="32" fillId="0" borderId="0" xfId="1" applyNumberFormat="1" applyFont="1" applyFill="1" applyAlignment="1">
      <alignment vertical="center" shrinkToFit="1"/>
    </xf>
    <xf numFmtId="166" fontId="130" fillId="0" borderId="0" xfId="352" applyNumberFormat="1" applyFont="1" applyAlignment="1">
      <alignment vertical="center"/>
    </xf>
    <xf numFmtId="9" fontId="130" fillId="0" borderId="0" xfId="3" applyFont="1" applyFill="1" applyAlignment="1">
      <alignment vertical="center"/>
    </xf>
    <xf numFmtId="219" fontId="130" fillId="0" borderId="0" xfId="352" applyNumberFormat="1" applyFont="1" applyAlignment="1">
      <alignment vertical="center"/>
    </xf>
    <xf numFmtId="10" fontId="32" fillId="0" borderId="0" xfId="3" applyNumberFormat="1" applyFont="1" applyFill="1" applyAlignment="1">
      <alignment vertical="center"/>
    </xf>
    <xf numFmtId="219" fontId="141" fillId="3" borderId="60" xfId="352" applyNumberFormat="1" applyFont="1" applyFill="1" applyBorder="1" applyAlignment="1">
      <alignment vertical="center" shrinkToFit="1"/>
    </xf>
    <xf numFmtId="169" fontId="134" fillId="0" borderId="0" xfId="1" applyNumberFormat="1" applyFont="1" applyFill="1" applyAlignment="1">
      <alignment vertical="center"/>
    </xf>
    <xf numFmtId="9" fontId="32" fillId="0" borderId="0" xfId="3" applyFont="1" applyFill="1" applyAlignment="1">
      <alignment horizontal="center" vertical="center"/>
    </xf>
    <xf numFmtId="166" fontId="11" fillId="0" borderId="13" xfId="0" applyNumberFormat="1" applyFont="1" applyBorder="1" applyAlignment="1">
      <alignment vertical="center" wrapText="1"/>
    </xf>
    <xf numFmtId="43" fontId="120" fillId="0" borderId="0" xfId="352" applyNumberFormat="1" applyFont="1" applyAlignment="1">
      <alignment vertical="center"/>
    </xf>
    <xf numFmtId="0" fontId="150" fillId="0" borderId="0" xfId="352" applyFont="1" applyAlignment="1">
      <alignment vertical="center"/>
    </xf>
    <xf numFmtId="219" fontId="134" fillId="0" borderId="0" xfId="352" applyNumberFormat="1" applyFont="1" applyAlignment="1">
      <alignment vertical="center"/>
    </xf>
    <xf numFmtId="219" fontId="150" fillId="0" borderId="0" xfId="352" applyNumberFormat="1" applyFont="1" applyAlignment="1">
      <alignment vertical="center"/>
    </xf>
    <xf numFmtId="169" fontId="134" fillId="0" borderId="0" xfId="352" applyNumberFormat="1" applyFont="1" applyAlignment="1">
      <alignment vertical="center"/>
    </xf>
    <xf numFmtId="169" fontId="134" fillId="0" borderId="0" xfId="1" applyNumberFormat="1" applyFont="1" applyFill="1" applyAlignment="1">
      <alignment horizontal="right" vertical="center"/>
    </xf>
    <xf numFmtId="179" fontId="142" fillId="3" borderId="0" xfId="352" applyNumberFormat="1" applyFont="1" applyFill="1" applyAlignment="1">
      <alignment vertical="center"/>
    </xf>
    <xf numFmtId="0" fontId="32" fillId="0" borderId="0" xfId="352" applyFont="1" applyAlignment="1">
      <alignment horizontal="center"/>
    </xf>
    <xf numFmtId="0" fontId="120" fillId="0" borderId="0" xfId="352" applyFont="1" applyAlignment="1">
      <alignment horizontal="center"/>
    </xf>
    <xf numFmtId="0" fontId="32" fillId="0" borderId="0" xfId="352" applyFont="1" applyAlignment="1">
      <alignment horizontal="center" vertical="center"/>
    </xf>
    <xf numFmtId="38" fontId="32" fillId="0" borderId="0" xfId="352" applyNumberFormat="1" applyFont="1" applyAlignment="1">
      <alignment vertical="center"/>
    </xf>
    <xf numFmtId="38" fontId="120" fillId="0" borderId="0" xfId="403" applyNumberFormat="1" applyFont="1" applyFill="1" applyAlignment="1">
      <alignment vertical="center"/>
    </xf>
    <xf numFmtId="3" fontId="32" fillId="3" borderId="0" xfId="3" applyNumberFormat="1" applyFont="1" applyFill="1" applyAlignment="1">
      <alignment vertical="center"/>
    </xf>
    <xf numFmtId="219" fontId="150" fillId="3" borderId="0" xfId="352" applyNumberFormat="1" applyFont="1" applyFill="1" applyAlignment="1">
      <alignment vertical="center"/>
    </xf>
    <xf numFmtId="3" fontId="120" fillId="3" borderId="0" xfId="3" applyNumberFormat="1" applyFont="1" applyFill="1" applyAlignment="1">
      <alignment vertical="center"/>
    </xf>
    <xf numFmtId="228" fontId="11" fillId="3" borderId="60" xfId="381" applyNumberFormat="1" applyFont="1" applyFill="1" applyBorder="1" applyAlignment="1">
      <alignment vertical="center" shrinkToFit="1"/>
    </xf>
    <xf numFmtId="179" fontId="141" fillId="3" borderId="0" xfId="352" applyNumberFormat="1" applyFont="1" applyFill="1" applyAlignment="1">
      <alignment vertical="center"/>
    </xf>
    <xf numFmtId="0" fontId="3" fillId="0" borderId="11" xfId="2"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1"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121" fillId="0" borderId="72" xfId="0" applyFont="1" applyBorder="1" applyAlignment="1">
      <alignment horizontal="center" vertical="center"/>
    </xf>
    <xf numFmtId="0" fontId="4" fillId="0" borderId="0" xfId="0" applyFont="1" applyAlignment="1">
      <alignment horizontal="center" vertical="center" wrapText="1"/>
    </xf>
    <xf numFmtId="0" fontId="127" fillId="0" borderId="130" xfId="2" applyFont="1" applyBorder="1" applyAlignment="1">
      <alignment horizontal="center" vertical="center" wrapText="1"/>
    </xf>
    <xf numFmtId="3" fontId="32" fillId="0" borderId="0" xfId="0" applyNumberFormat="1" applyFont="1" applyAlignment="1">
      <alignment horizontal="center" vertical="center" wrapText="1"/>
    </xf>
    <xf numFmtId="3" fontId="32" fillId="0" borderId="0" xfId="0" applyNumberFormat="1" applyFont="1" applyAlignment="1">
      <alignment horizontal="center"/>
    </xf>
    <xf numFmtId="3" fontId="120" fillId="0" borderId="0" xfId="0" applyNumberFormat="1" applyFont="1" applyAlignment="1">
      <alignment horizontal="center" wrapText="1"/>
    </xf>
    <xf numFmtId="9" fontId="120" fillId="0" borderId="0" xfId="352" applyNumberFormat="1" applyFont="1" applyAlignment="1">
      <alignment vertical="center"/>
    </xf>
    <xf numFmtId="169" fontId="120" fillId="0" borderId="0" xfId="1" applyNumberFormat="1" applyFont="1" applyAlignment="1">
      <alignment vertical="center"/>
    </xf>
    <xf numFmtId="0" fontId="3" fillId="0" borderId="22" xfId="2" applyFont="1" applyBorder="1" applyAlignment="1">
      <alignment horizontal="center" vertical="center" wrapText="1"/>
    </xf>
    <xf numFmtId="0" fontId="14" fillId="0" borderId="0" xfId="0" applyFont="1" applyAlignment="1">
      <alignment horizontal="center" vertical="center" shrinkToFit="1"/>
    </xf>
    <xf numFmtId="0" fontId="120" fillId="0" borderId="17" xfId="0" applyFont="1" applyBorder="1" applyAlignment="1">
      <alignment horizontal="center" vertical="center"/>
    </xf>
    <xf numFmtId="3" fontId="14" fillId="0" borderId="0" xfId="0" applyNumberFormat="1" applyFont="1" applyAlignment="1">
      <alignment horizontal="center" vertical="center" wrapText="1"/>
    </xf>
    <xf numFmtId="3" fontId="11" fillId="0" borderId="0" xfId="0" applyNumberFormat="1" applyFont="1"/>
    <xf numFmtId="3" fontId="11" fillId="0" borderId="0" xfId="0" applyNumberFormat="1" applyFont="1" applyAlignment="1">
      <alignment horizontal="center"/>
    </xf>
    <xf numFmtId="3" fontId="11" fillId="0" borderId="0" xfId="0" applyNumberFormat="1" applyFont="1" applyAlignment="1">
      <alignment horizontal="centerContinuous"/>
    </xf>
    <xf numFmtId="4" fontId="11" fillId="0" borderId="0" xfId="0" applyNumberFormat="1" applyFont="1" applyAlignment="1">
      <alignment shrinkToFit="1"/>
    </xf>
    <xf numFmtId="3" fontId="11" fillId="0" borderId="0" xfId="0" applyNumberFormat="1" applyFont="1" applyAlignment="1">
      <alignment horizontal="center" shrinkToFit="1"/>
    </xf>
    <xf numFmtId="3" fontId="11" fillId="0" borderId="0" xfId="0" applyNumberFormat="1" applyFont="1" applyAlignment="1">
      <alignment horizontal="centerContinuous" shrinkToFit="1"/>
    </xf>
    <xf numFmtId="177" fontId="14" fillId="0" borderId="0" xfId="348" applyFont="1" applyFill="1" applyAlignment="1">
      <alignment horizontal="center" shrinkToFit="1"/>
    </xf>
    <xf numFmtId="9" fontId="11" fillId="0" borderId="0" xfId="3" applyFont="1" applyAlignment="1">
      <alignment horizontal="center"/>
    </xf>
    <xf numFmtId="9" fontId="11" fillId="0" borderId="0" xfId="3" applyFont="1"/>
    <xf numFmtId="3" fontId="4" fillId="0" borderId="133" xfId="0" applyNumberFormat="1" applyFont="1" applyBorder="1" applyAlignment="1">
      <alignment horizontal="center"/>
    </xf>
    <xf numFmtId="3" fontId="4" fillId="0" borderId="0" xfId="0" applyNumberFormat="1" applyFont="1" applyAlignment="1">
      <alignment horizontal="right"/>
    </xf>
    <xf numFmtId="3" fontId="4" fillId="0" borderId="0" xfId="0" applyNumberFormat="1" applyFont="1" applyAlignment="1">
      <alignment horizontal="right" shrinkToFit="1"/>
    </xf>
    <xf numFmtId="179" fontId="4" fillId="0" borderId="0" xfId="348" applyNumberFormat="1" applyFont="1" applyFill="1" applyAlignment="1">
      <alignment horizontal="center" shrinkToFit="1"/>
    </xf>
    <xf numFmtId="229" fontId="4" fillId="0" borderId="0" xfId="0" applyNumberFormat="1" applyFont="1" applyAlignment="1">
      <alignment horizontal="right"/>
    </xf>
    <xf numFmtId="177" fontId="4" fillId="0" borderId="0" xfId="348" applyFont="1" applyFill="1"/>
    <xf numFmtId="3" fontId="17" fillId="0" borderId="0" xfId="0" applyNumberFormat="1" applyFont="1" applyAlignment="1">
      <alignment horizontal="center"/>
    </xf>
    <xf numFmtId="3" fontId="14" fillId="0" borderId="133" xfId="0" applyNumberFormat="1" applyFont="1" applyBorder="1" applyAlignment="1">
      <alignment horizontal="right"/>
    </xf>
    <xf numFmtId="3" fontId="14" fillId="0" borderId="0" xfId="0" applyNumberFormat="1" applyFont="1" applyAlignment="1">
      <alignment horizontal="right"/>
    </xf>
    <xf numFmtId="3" fontId="4" fillId="0" borderId="0" xfId="0" applyNumberFormat="1" applyFont="1" applyAlignment="1">
      <alignment horizontal="center"/>
    </xf>
    <xf numFmtId="9" fontId="4" fillId="0" borderId="0" xfId="3" applyFont="1"/>
    <xf numFmtId="3" fontId="11" fillId="0" borderId="9" xfId="0" applyNumberFormat="1" applyFont="1" applyBorder="1" applyAlignment="1">
      <alignment horizontal="center" vertical="center" wrapText="1"/>
    </xf>
    <xf numFmtId="3" fontId="11" fillId="0" borderId="0" xfId="0" applyNumberFormat="1" applyFont="1" applyAlignment="1">
      <alignment horizontal="center" wrapText="1"/>
    </xf>
    <xf numFmtId="3" fontId="18" fillId="0" borderId="11" xfId="0" applyNumberFormat="1" applyFont="1" applyBorder="1" applyAlignment="1">
      <alignment horizontal="center" vertical="center" wrapText="1"/>
    </xf>
    <xf numFmtId="3" fontId="4" fillId="0" borderId="72" xfId="0" applyNumberFormat="1" applyFont="1" applyBorder="1" applyAlignment="1">
      <alignment horizontal="center" vertical="center" shrinkToFit="1"/>
    </xf>
    <xf numFmtId="3" fontId="17" fillId="0" borderId="72" xfId="0" applyNumberFormat="1" applyFont="1" applyBorder="1" applyAlignment="1">
      <alignment horizontal="center" vertical="center" shrinkToFit="1"/>
    </xf>
    <xf numFmtId="3" fontId="17" fillId="0" borderId="58"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12" fillId="0" borderId="58" xfId="0" applyNumberFormat="1" applyFont="1" applyBorder="1" applyAlignment="1">
      <alignment horizontal="center" shrinkToFit="1"/>
    </xf>
    <xf numFmtId="3" fontId="12" fillId="0" borderId="58" xfId="0" applyNumberFormat="1" applyFont="1" applyBorder="1" applyAlignment="1">
      <alignment vertical="center" shrinkToFit="1"/>
    </xf>
    <xf numFmtId="166" fontId="12" fillId="0" borderId="58" xfId="0" applyNumberFormat="1" applyFont="1" applyBorder="1" applyAlignment="1">
      <alignment shrinkToFit="1"/>
    </xf>
    <xf numFmtId="166" fontId="12" fillId="0" borderId="58" xfId="0" applyNumberFormat="1" applyFont="1" applyBorder="1" applyAlignment="1">
      <alignment vertical="center" shrinkToFit="1"/>
    </xf>
    <xf numFmtId="166" fontId="12" fillId="0" borderId="58" xfId="348" applyNumberFormat="1" applyFont="1" applyFill="1" applyBorder="1" applyAlignment="1">
      <alignment horizontal="center" vertical="center" shrinkToFit="1"/>
    </xf>
    <xf numFmtId="38" fontId="12" fillId="0" borderId="58" xfId="0" applyNumberFormat="1" applyFont="1" applyBorder="1" applyAlignment="1">
      <alignment vertical="center" shrinkToFit="1"/>
    </xf>
    <xf numFmtId="166" fontId="21" fillId="0" borderId="58" xfId="0" applyNumberFormat="1" applyFont="1" applyBorder="1" applyAlignment="1">
      <alignment shrinkToFit="1"/>
    </xf>
    <xf numFmtId="166" fontId="21" fillId="0" borderId="58" xfId="0" applyNumberFormat="1" applyFont="1" applyBorder="1" applyAlignment="1">
      <alignment horizontal="center" shrinkToFit="1"/>
    </xf>
    <xf numFmtId="166" fontId="21" fillId="0" borderId="60" xfId="348" applyNumberFormat="1" applyFont="1" applyFill="1" applyBorder="1" applyAlignment="1">
      <alignment horizontal="center" vertical="center" shrinkToFit="1"/>
    </xf>
    <xf numFmtId="166" fontId="24" fillId="0" borderId="60" xfId="0" applyNumberFormat="1" applyFont="1" applyBorder="1" applyAlignment="1">
      <alignment vertical="center" shrinkToFit="1"/>
    </xf>
    <xf numFmtId="166" fontId="24" fillId="0" borderId="60" xfId="348" applyNumberFormat="1" applyFont="1" applyFill="1" applyBorder="1" applyAlignment="1">
      <alignment horizontal="center" vertical="center" shrinkToFit="1"/>
    </xf>
    <xf numFmtId="3" fontId="12" fillId="0" borderId="0" xfId="0" applyNumberFormat="1" applyFont="1"/>
    <xf numFmtId="3" fontId="12" fillId="0" borderId="60" xfId="0" applyNumberFormat="1" applyFont="1" applyBorder="1" applyAlignment="1">
      <alignment horizontal="center" shrinkToFit="1"/>
    </xf>
    <xf numFmtId="3" fontId="12" fillId="0" borderId="60" xfId="0" applyNumberFormat="1" applyFont="1" applyBorder="1" applyAlignment="1">
      <alignment vertical="center" shrinkToFit="1"/>
    </xf>
    <xf numFmtId="166" fontId="12" fillId="0" borderId="60" xfId="0" applyNumberFormat="1" applyFont="1" applyBorder="1" applyAlignment="1">
      <alignment vertical="center" shrinkToFit="1"/>
    </xf>
    <xf numFmtId="166" fontId="12" fillId="0" borderId="60" xfId="348" applyNumberFormat="1" applyFont="1" applyFill="1" applyBorder="1" applyAlignment="1">
      <alignment horizontal="center" vertical="center" shrinkToFit="1"/>
    </xf>
    <xf numFmtId="166" fontId="21" fillId="0" borderId="60" xfId="0" applyNumberFormat="1" applyFont="1" applyBorder="1" applyAlignment="1">
      <alignment horizontal="center" shrinkToFit="1"/>
    </xf>
    <xf numFmtId="3" fontId="11" fillId="0" borderId="60" xfId="0" applyNumberFormat="1" applyFont="1" applyBorder="1" applyAlignment="1">
      <alignment horizontal="center" shrinkToFit="1"/>
    </xf>
    <xf numFmtId="166" fontId="11" fillId="0" borderId="60" xfId="0" applyNumberFormat="1" applyFont="1" applyBorder="1" applyAlignment="1">
      <alignment vertical="center" shrinkToFit="1"/>
    </xf>
    <xf numFmtId="166" fontId="11" fillId="0" borderId="60" xfId="0" applyNumberFormat="1" applyFont="1" applyBorder="1" applyAlignment="1">
      <alignment shrinkToFit="1"/>
    </xf>
    <xf numFmtId="166" fontId="11" fillId="0" borderId="60" xfId="348" applyNumberFormat="1" applyFont="1" applyFill="1" applyBorder="1" applyAlignment="1">
      <alignment horizontal="center" vertical="center" shrinkToFit="1"/>
    </xf>
    <xf numFmtId="38" fontId="11" fillId="0" borderId="60" xfId="0" applyNumberFormat="1" applyFont="1" applyBorder="1" applyAlignment="1">
      <alignment vertical="center" shrinkToFit="1"/>
    </xf>
    <xf numFmtId="166" fontId="14" fillId="0" borderId="60" xfId="348" applyNumberFormat="1" applyFont="1" applyFill="1" applyBorder="1" applyAlignment="1">
      <alignment horizontal="center" vertical="center" shrinkToFit="1"/>
    </xf>
    <xf numFmtId="166" fontId="18" fillId="0" borderId="60" xfId="0" applyNumberFormat="1" applyFont="1" applyBorder="1" applyAlignment="1">
      <alignment vertical="center" shrinkToFit="1"/>
    </xf>
    <xf numFmtId="166" fontId="18" fillId="0" borderId="60" xfId="348" applyNumberFormat="1" applyFont="1" applyFill="1" applyBorder="1" applyAlignment="1">
      <alignment horizontal="center" vertical="center" shrinkToFit="1"/>
    </xf>
    <xf numFmtId="3" fontId="4" fillId="0" borderId="60" xfId="0" applyNumberFormat="1" applyFont="1" applyBorder="1" applyAlignment="1">
      <alignment horizontal="center" shrinkToFit="1"/>
    </xf>
    <xf numFmtId="166" fontId="4" fillId="0" borderId="60" xfId="0" applyNumberFormat="1" applyFont="1" applyBorder="1" applyAlignment="1">
      <alignment vertical="center" shrinkToFit="1"/>
    </xf>
    <xf numFmtId="166" fontId="4" fillId="0" borderId="60" xfId="0" applyNumberFormat="1" applyFont="1" applyBorder="1" applyAlignment="1">
      <alignment shrinkToFit="1"/>
    </xf>
    <xf numFmtId="166" fontId="193" fillId="0" borderId="60" xfId="0" applyNumberFormat="1" applyFont="1" applyBorder="1" applyAlignment="1">
      <alignment vertical="center" shrinkToFit="1"/>
    </xf>
    <xf numFmtId="166" fontId="4" fillId="0" borderId="60" xfId="348" applyNumberFormat="1" applyFont="1" applyFill="1" applyBorder="1" applyAlignment="1">
      <alignment horizontal="center" vertical="center" shrinkToFit="1"/>
    </xf>
    <xf numFmtId="38" fontId="4" fillId="0" borderId="60" xfId="0" applyNumberFormat="1" applyFont="1" applyBorder="1" applyAlignment="1">
      <alignment vertical="center" shrinkToFit="1"/>
    </xf>
    <xf numFmtId="166" fontId="17" fillId="0" borderId="60" xfId="348" applyNumberFormat="1" applyFont="1" applyFill="1" applyBorder="1" applyAlignment="1">
      <alignment horizontal="center" vertical="center" shrinkToFit="1"/>
    </xf>
    <xf numFmtId="166" fontId="17" fillId="0" borderId="60" xfId="0" applyNumberFormat="1" applyFont="1" applyBorder="1" applyAlignment="1">
      <alignment horizontal="center" shrinkToFit="1"/>
    </xf>
    <xf numFmtId="166" fontId="23" fillId="0" borderId="60" xfId="0" applyNumberFormat="1" applyFont="1" applyBorder="1" applyAlignment="1">
      <alignment vertical="center" shrinkToFit="1"/>
    </xf>
    <xf numFmtId="3" fontId="11" fillId="0" borderId="60" xfId="0" applyNumberFormat="1" applyFont="1" applyBorder="1" applyAlignment="1">
      <alignment shrinkToFit="1"/>
    </xf>
    <xf numFmtId="0" fontId="11" fillId="0" borderId="60" xfId="8" applyFont="1" applyBorder="1" applyAlignment="1">
      <alignment horizontal="left"/>
    </xf>
    <xf numFmtId="38" fontId="4" fillId="0" borderId="60" xfId="0" applyNumberFormat="1" applyFont="1" applyBorder="1" applyAlignment="1">
      <alignment shrinkToFit="1"/>
    </xf>
    <xf numFmtId="166" fontId="17" fillId="0" borderId="60" xfId="0" applyNumberFormat="1" applyFont="1" applyBorder="1" applyAlignment="1">
      <alignment shrinkToFit="1"/>
    </xf>
    <xf numFmtId="166" fontId="23" fillId="0" borderId="60" xfId="0" applyNumberFormat="1" applyFont="1" applyBorder="1" applyAlignment="1">
      <alignment shrinkToFit="1"/>
    </xf>
    <xf numFmtId="166" fontId="196" fillId="0" borderId="60" xfId="0" applyNumberFormat="1" applyFont="1" applyBorder="1" applyAlignment="1">
      <alignment vertical="center" shrinkToFit="1"/>
    </xf>
    <xf numFmtId="1" fontId="14" fillId="0" borderId="60" xfId="3" applyNumberFormat="1" applyFont="1" applyBorder="1" applyAlignment="1">
      <alignment horizontal="center"/>
    </xf>
    <xf numFmtId="166" fontId="14" fillId="0" borderId="60" xfId="0" applyNumberFormat="1" applyFont="1" applyBorder="1" applyAlignment="1">
      <alignment shrinkToFit="1"/>
    </xf>
    <xf numFmtId="1" fontId="18" fillId="0" borderId="60" xfId="3" applyNumberFormat="1" applyFont="1" applyBorder="1" applyAlignment="1">
      <alignment horizontal="center"/>
    </xf>
    <xf numFmtId="166" fontId="18" fillId="0" borderId="60" xfId="0" applyNumberFormat="1" applyFont="1" applyBorder="1" applyAlignment="1">
      <alignment shrinkToFit="1"/>
    </xf>
    <xf numFmtId="166" fontId="14" fillId="0" borderId="60" xfId="0" applyNumberFormat="1" applyFont="1" applyBorder="1" applyAlignment="1">
      <alignment horizontal="center" shrinkToFit="1"/>
    </xf>
    <xf numFmtId="219" fontId="11" fillId="0" borderId="60" xfId="0" applyNumberFormat="1" applyFont="1" applyBorder="1" applyAlignment="1">
      <alignment vertical="center" shrinkToFit="1"/>
    </xf>
    <xf numFmtId="220" fontId="11" fillId="0" borderId="60" xfId="0" applyNumberFormat="1" applyFont="1" applyBorder="1" applyAlignment="1">
      <alignment vertical="center" shrinkToFit="1"/>
    </xf>
    <xf numFmtId="3" fontId="14" fillId="0" borderId="60" xfId="3" applyNumberFormat="1" applyFont="1" applyBorder="1" applyAlignment="1">
      <alignment horizontal="center"/>
    </xf>
    <xf numFmtId="3" fontId="18" fillId="0" borderId="60" xfId="3" applyNumberFormat="1" applyFont="1" applyBorder="1" applyAlignment="1">
      <alignment horizontal="center"/>
    </xf>
    <xf numFmtId="3" fontId="14" fillId="0" borderId="60" xfId="348" applyNumberFormat="1" applyFont="1" applyBorder="1" applyAlignment="1">
      <alignment horizontal="center"/>
    </xf>
    <xf numFmtId="3" fontId="18" fillId="0" borderId="60" xfId="348" applyNumberFormat="1" applyFont="1" applyBorder="1" applyAlignment="1">
      <alignment horizontal="center"/>
    </xf>
    <xf numFmtId="3" fontId="19" fillId="0" borderId="60" xfId="0" applyNumberFormat="1" applyFont="1" applyBorder="1" applyAlignment="1">
      <alignment horizontal="center" shrinkToFit="1"/>
    </xf>
    <xf numFmtId="3" fontId="19" fillId="0" borderId="60" xfId="0" applyNumberFormat="1" applyFont="1" applyBorder="1" applyAlignment="1">
      <alignment vertical="center" shrinkToFit="1"/>
    </xf>
    <xf numFmtId="166" fontId="19" fillId="0" borderId="60" xfId="0" applyNumberFormat="1" applyFont="1" applyBorder="1" applyAlignment="1">
      <alignment vertical="center" shrinkToFit="1"/>
    </xf>
    <xf numFmtId="166" fontId="19" fillId="0" borderId="60" xfId="0" applyNumberFormat="1" applyFont="1" applyBorder="1" applyAlignment="1">
      <alignment shrinkToFit="1"/>
    </xf>
    <xf numFmtId="166" fontId="19" fillId="0" borderId="60" xfId="348" applyNumberFormat="1" applyFont="1" applyFill="1" applyBorder="1" applyAlignment="1">
      <alignment horizontal="center" vertical="center" shrinkToFit="1"/>
    </xf>
    <xf numFmtId="38" fontId="19" fillId="0" borderId="60" xfId="0" applyNumberFormat="1" applyFont="1" applyBorder="1" applyAlignment="1">
      <alignment vertical="center" shrinkToFit="1"/>
    </xf>
    <xf numFmtId="166" fontId="16" fillId="0" borderId="60" xfId="348" applyNumberFormat="1" applyFont="1" applyFill="1" applyBorder="1" applyAlignment="1">
      <alignment horizontal="center" vertical="center" shrinkToFit="1"/>
    </xf>
    <xf numFmtId="3" fontId="17" fillId="0" borderId="60" xfId="348" applyNumberFormat="1" applyFont="1" applyBorder="1" applyAlignment="1">
      <alignment horizontal="center"/>
    </xf>
    <xf numFmtId="3" fontId="23" fillId="0" borderId="60" xfId="348" applyNumberFormat="1" applyFont="1" applyBorder="1" applyAlignment="1">
      <alignment horizontal="center"/>
    </xf>
    <xf numFmtId="166" fontId="140" fillId="0" borderId="60" xfId="0" applyNumberFormat="1" applyFont="1" applyBorder="1" applyAlignment="1">
      <alignment vertical="center" shrinkToFit="1"/>
    </xf>
    <xf numFmtId="3" fontId="19" fillId="0" borderId="0" xfId="0" applyNumberFormat="1" applyFont="1"/>
    <xf numFmtId="3" fontId="21" fillId="0" borderId="60" xfId="0" applyNumberFormat="1" applyFont="1" applyBorder="1" applyAlignment="1">
      <alignment horizontal="center" shrinkToFit="1"/>
    </xf>
    <xf numFmtId="166" fontId="21" fillId="0" borderId="60" xfId="0" applyNumberFormat="1" applyFont="1" applyBorder="1" applyAlignment="1">
      <alignment shrinkToFit="1"/>
    </xf>
    <xf numFmtId="38" fontId="21" fillId="0" borderId="60" xfId="0" applyNumberFormat="1" applyFont="1" applyBorder="1" applyAlignment="1">
      <alignment vertical="center" shrinkToFit="1"/>
    </xf>
    <xf numFmtId="3" fontId="21" fillId="0" borderId="0" xfId="0" applyNumberFormat="1" applyFont="1"/>
    <xf numFmtId="3" fontId="17" fillId="0" borderId="60" xfId="0" applyNumberFormat="1" applyFont="1" applyBorder="1" applyAlignment="1">
      <alignment horizontal="center" shrinkToFit="1"/>
    </xf>
    <xf numFmtId="38" fontId="17" fillId="0" borderId="60" xfId="0" applyNumberFormat="1" applyFont="1" applyBorder="1" applyAlignment="1">
      <alignment vertical="center" shrinkToFit="1"/>
    </xf>
    <xf numFmtId="166" fontId="12" fillId="0" borderId="60" xfId="0" applyNumberFormat="1" applyFont="1" applyBorder="1" applyAlignment="1">
      <alignment shrinkToFit="1"/>
    </xf>
    <xf numFmtId="38" fontId="12" fillId="0" borderId="60" xfId="0" applyNumberFormat="1" applyFont="1" applyBorder="1" applyAlignment="1">
      <alignment vertical="center" shrinkToFit="1"/>
    </xf>
    <xf numFmtId="3" fontId="4" fillId="0" borderId="60" xfId="0" applyNumberFormat="1" applyFont="1" applyBorder="1" applyAlignment="1">
      <alignment vertical="center" wrapText="1" shrinkToFit="1"/>
    </xf>
    <xf numFmtId="220" fontId="4" fillId="0" borderId="60" xfId="0" applyNumberFormat="1" applyFont="1" applyBorder="1" applyAlignment="1">
      <alignment vertical="center" shrinkToFit="1"/>
    </xf>
    <xf numFmtId="3" fontId="14" fillId="0" borderId="60" xfId="0" applyNumberFormat="1" applyFont="1" applyBorder="1" applyAlignment="1">
      <alignment vertical="center" wrapText="1"/>
    </xf>
    <xf numFmtId="3" fontId="17" fillId="0" borderId="60" xfId="0" applyNumberFormat="1" applyFont="1" applyBorder="1" applyAlignment="1">
      <alignment vertical="center" wrapText="1"/>
    </xf>
    <xf numFmtId="3" fontId="18" fillId="0" borderId="60" xfId="0" applyNumberFormat="1" applyFont="1" applyBorder="1" applyAlignment="1">
      <alignment vertical="center" wrapText="1"/>
    </xf>
    <xf numFmtId="3" fontId="23" fillId="0" borderId="60" xfId="0" applyNumberFormat="1" applyFont="1" applyBorder="1" applyAlignment="1">
      <alignment vertical="center" wrapText="1"/>
    </xf>
    <xf numFmtId="3" fontId="11" fillId="0" borderId="0" xfId="0" applyNumberFormat="1" applyFont="1" applyAlignment="1">
      <alignment vertical="center" wrapText="1"/>
    </xf>
    <xf numFmtId="220" fontId="12" fillId="0" borderId="60" xfId="0" applyNumberFormat="1" applyFont="1" applyBorder="1" applyAlignment="1">
      <alignment vertical="center" shrinkToFit="1"/>
    </xf>
    <xf numFmtId="3" fontId="12" fillId="0" borderId="60" xfId="0" applyNumberFormat="1" applyFont="1" applyBorder="1" applyAlignment="1">
      <alignment shrinkToFit="1"/>
    </xf>
    <xf numFmtId="166" fontId="21" fillId="0" borderId="60" xfId="348" applyNumberFormat="1" applyFont="1" applyFill="1" applyBorder="1" applyAlignment="1">
      <alignment horizontal="center" vertical="center"/>
    </xf>
    <xf numFmtId="166" fontId="12" fillId="0" borderId="60" xfId="348" applyNumberFormat="1" applyFont="1" applyFill="1" applyBorder="1" applyAlignment="1">
      <alignment horizontal="center" vertical="center"/>
    </xf>
    <xf numFmtId="3" fontId="12" fillId="0" borderId="13" xfId="0" applyNumberFormat="1" applyFont="1" applyBorder="1" applyAlignment="1">
      <alignment horizontal="center" shrinkToFit="1"/>
    </xf>
    <xf numFmtId="3" fontId="12" fillId="0" borderId="13" xfId="0" applyNumberFormat="1" applyFont="1" applyBorder="1" applyAlignment="1">
      <alignment vertical="center" shrinkToFit="1"/>
    </xf>
    <xf numFmtId="166" fontId="12" fillId="0" borderId="13" xfId="0" applyNumberFormat="1" applyFont="1" applyBorder="1" applyAlignment="1">
      <alignment vertical="center" shrinkToFit="1"/>
    </xf>
    <xf numFmtId="166" fontId="12" fillId="0" borderId="13" xfId="348" applyNumberFormat="1" applyFont="1" applyFill="1" applyBorder="1" applyAlignment="1">
      <alignment horizontal="center" vertical="center" shrinkToFit="1"/>
    </xf>
    <xf numFmtId="38" fontId="12" fillId="0" borderId="13" xfId="0" applyNumberFormat="1" applyFont="1" applyBorder="1" applyAlignment="1">
      <alignment vertical="center" shrinkToFit="1"/>
    </xf>
    <xf numFmtId="166" fontId="21" fillId="0" borderId="13" xfId="0" applyNumberFormat="1" applyFont="1" applyBorder="1" applyAlignment="1">
      <alignment vertical="center" shrinkToFit="1"/>
    </xf>
    <xf numFmtId="166" fontId="21" fillId="0" borderId="13" xfId="348" applyNumberFormat="1" applyFont="1" applyFill="1" applyBorder="1" applyAlignment="1">
      <alignment horizontal="center" vertical="center" shrinkToFit="1"/>
    </xf>
    <xf numFmtId="166" fontId="14" fillId="0" borderId="13" xfId="348" applyNumberFormat="1" applyFont="1" applyFill="1" applyBorder="1" applyAlignment="1">
      <alignment horizontal="center" vertical="center" shrinkToFit="1"/>
    </xf>
    <xf numFmtId="166" fontId="24" fillId="0" borderId="13" xfId="0" applyNumberFormat="1" applyFont="1" applyBorder="1" applyAlignment="1">
      <alignment vertical="center" shrinkToFit="1"/>
    </xf>
    <xf numFmtId="166" fontId="24" fillId="0" borderId="13" xfId="348" applyNumberFormat="1" applyFont="1" applyFill="1" applyBorder="1" applyAlignment="1">
      <alignment horizontal="center" vertical="center" shrinkToFit="1"/>
    </xf>
    <xf numFmtId="3" fontId="12" fillId="0" borderId="0" xfId="0" applyNumberFormat="1" applyFont="1" applyAlignment="1">
      <alignment horizontal="center" shrinkToFit="1"/>
    </xf>
    <xf numFmtId="3" fontId="12" fillId="0" borderId="0" xfId="0" applyNumberFormat="1" applyFont="1" applyAlignment="1">
      <alignment vertical="center" shrinkToFit="1"/>
    </xf>
    <xf numFmtId="166" fontId="12" fillId="0" borderId="0" xfId="0" applyNumberFormat="1" applyFont="1" applyAlignment="1">
      <alignment vertical="center" shrinkToFit="1"/>
    </xf>
    <xf numFmtId="166" fontId="12" fillId="0" borderId="0" xfId="348" applyNumberFormat="1" applyFont="1" applyFill="1" applyBorder="1" applyAlignment="1">
      <alignment horizontal="center" vertical="center" shrinkToFit="1"/>
    </xf>
    <xf numFmtId="38" fontId="12" fillId="0" borderId="0" xfId="0" applyNumberFormat="1" applyFont="1" applyAlignment="1">
      <alignment vertical="center" shrinkToFit="1"/>
    </xf>
    <xf numFmtId="166" fontId="21" fillId="0" borderId="0" xfId="0" applyNumberFormat="1" applyFont="1" applyAlignment="1">
      <alignment vertical="center" shrinkToFit="1"/>
    </xf>
    <xf numFmtId="166" fontId="21" fillId="0" borderId="0" xfId="348" applyNumberFormat="1" applyFont="1" applyFill="1" applyBorder="1" applyAlignment="1">
      <alignment horizontal="center" vertical="center" shrinkToFit="1"/>
    </xf>
    <xf numFmtId="166" fontId="14" fillId="0" borderId="0" xfId="348" applyNumberFormat="1" applyFont="1" applyFill="1" applyBorder="1" applyAlignment="1">
      <alignment horizontal="center" vertical="center" shrinkToFit="1"/>
    </xf>
    <xf numFmtId="9" fontId="4" fillId="0" borderId="0" xfId="3" applyFont="1" applyAlignment="1">
      <alignment horizontal="center"/>
    </xf>
    <xf numFmtId="3" fontId="4" fillId="0" borderId="0" xfId="0" applyNumberFormat="1" applyFont="1" applyAlignment="1">
      <alignment shrinkToFit="1"/>
    </xf>
    <xf numFmtId="9" fontId="4" fillId="0" borderId="0" xfId="3" applyFont="1" applyFill="1"/>
    <xf numFmtId="10" fontId="17" fillId="0" borderId="0" xfId="3" applyNumberFormat="1" applyFont="1" applyFill="1"/>
    <xf numFmtId="177" fontId="17" fillId="0" borderId="0" xfId="348" applyFont="1" applyFill="1"/>
    <xf numFmtId="10" fontId="17" fillId="0" borderId="0" xfId="3" applyNumberFormat="1" applyFont="1" applyAlignment="1">
      <alignment shrinkToFit="1"/>
    </xf>
    <xf numFmtId="3" fontId="34" fillId="0" borderId="0" xfId="0" applyNumberFormat="1" applyFont="1"/>
    <xf numFmtId="177" fontId="17" fillId="0" borderId="0" xfId="348" applyFont="1"/>
    <xf numFmtId="10" fontId="4" fillId="0" borderId="0" xfId="3" applyNumberFormat="1" applyFont="1"/>
    <xf numFmtId="3" fontId="162" fillId="0" borderId="0" xfId="0" applyNumberFormat="1" applyFont="1" applyAlignment="1">
      <alignment horizontal="center"/>
    </xf>
    <xf numFmtId="3" fontId="163" fillId="0" borderId="0" xfId="0" applyNumberFormat="1" applyFont="1"/>
    <xf numFmtId="0" fontId="162" fillId="0" borderId="0" xfId="0" applyFont="1"/>
    <xf numFmtId="3" fontId="162" fillId="0" borderId="0" xfId="0" applyNumberFormat="1" applyFont="1"/>
    <xf numFmtId="3" fontId="163" fillId="0" borderId="0" xfId="0" applyNumberFormat="1" applyFont="1" applyAlignment="1">
      <alignment shrinkToFit="1"/>
    </xf>
    <xf numFmtId="179" fontId="163" fillId="0" borderId="0" xfId="348" applyNumberFormat="1" applyFont="1" applyFill="1" applyBorder="1" applyAlignment="1"/>
    <xf numFmtId="3" fontId="162" fillId="0" borderId="133" xfId="0" applyNumberFormat="1" applyFont="1" applyBorder="1"/>
    <xf numFmtId="9" fontId="162" fillId="0" borderId="133" xfId="3" applyFont="1" applyFill="1" applyBorder="1" applyAlignment="1">
      <alignment horizontal="right"/>
    </xf>
    <xf numFmtId="3" fontId="162" fillId="0" borderId="133" xfId="0" applyNumberFormat="1" applyFont="1" applyBorder="1" applyAlignment="1">
      <alignment horizontal="right"/>
    </xf>
    <xf numFmtId="3" fontId="162" fillId="0" borderId="0" xfId="0" applyNumberFormat="1" applyFont="1" applyAlignment="1">
      <alignment horizontal="right" shrinkToFit="1"/>
    </xf>
    <xf numFmtId="3" fontId="162" fillId="0" borderId="0" xfId="0" applyNumberFormat="1" applyFont="1" applyAlignment="1">
      <alignment horizontal="right"/>
    </xf>
    <xf numFmtId="3" fontId="11" fillId="0" borderId="0" xfId="0" applyNumberFormat="1" applyFont="1" applyAlignment="1">
      <alignment wrapText="1"/>
    </xf>
    <xf numFmtId="0" fontId="18" fillId="0" borderId="11" xfId="0" applyFont="1" applyBorder="1" applyAlignment="1">
      <alignment horizontal="center" vertical="center" wrapText="1"/>
    </xf>
    <xf numFmtId="179" fontId="11" fillId="0" borderId="11" xfId="348" applyNumberFormat="1" applyFont="1" applyFill="1" applyBorder="1" applyAlignment="1">
      <alignment horizontal="center" vertical="center" wrapText="1"/>
    </xf>
    <xf numFmtId="3" fontId="11" fillId="0" borderId="11" xfId="0" applyNumberFormat="1" applyFont="1" applyBorder="1" applyAlignment="1">
      <alignment horizontal="center" shrinkToFit="1"/>
    </xf>
    <xf numFmtId="3" fontId="18" fillId="0" borderId="11" xfId="0" applyNumberFormat="1" applyFont="1" applyBorder="1" applyAlignment="1">
      <alignment horizontal="center" shrinkToFit="1"/>
    </xf>
    <xf numFmtId="0" fontId="18" fillId="0" borderId="11" xfId="0" applyFont="1" applyBorder="1" applyAlignment="1">
      <alignment horizontal="center" shrinkToFit="1"/>
    </xf>
    <xf numFmtId="0" fontId="11" fillId="0" borderId="11" xfId="0" applyFont="1" applyBorder="1" applyAlignment="1">
      <alignment horizontal="center" shrinkToFit="1"/>
    </xf>
    <xf numFmtId="179" fontId="11" fillId="0" borderId="11" xfId="348" applyNumberFormat="1" applyFont="1" applyFill="1" applyBorder="1" applyAlignment="1">
      <alignment horizontal="center" shrinkToFit="1"/>
    </xf>
    <xf numFmtId="3" fontId="14" fillId="0" borderId="11" xfId="0" applyNumberFormat="1" applyFont="1" applyBorder="1" applyAlignment="1">
      <alignment horizontal="center" shrinkToFit="1"/>
    </xf>
    <xf numFmtId="0" fontId="14" fillId="0" borderId="11" xfId="0" applyFont="1" applyBorder="1" applyAlignment="1">
      <alignment horizontal="center" shrinkToFit="1"/>
    </xf>
    <xf numFmtId="3" fontId="12" fillId="0" borderId="58" xfId="0" applyNumberFormat="1" applyFont="1" applyBorder="1" applyAlignment="1">
      <alignment vertical="center"/>
    </xf>
    <xf numFmtId="3" fontId="24" fillId="0" borderId="58" xfId="0" applyNumberFormat="1" applyFont="1" applyBorder="1" applyAlignment="1">
      <alignment vertical="center" shrinkToFit="1"/>
    </xf>
    <xf numFmtId="168" fontId="12" fillId="0" borderId="58" xfId="348" applyNumberFormat="1" applyFont="1" applyFill="1" applyBorder="1" applyAlignment="1">
      <alignment vertical="center" shrinkToFit="1"/>
    </xf>
    <xf numFmtId="166" fontId="11" fillId="0" borderId="60" xfId="348" applyNumberFormat="1" applyFont="1" applyFill="1" applyBorder="1" applyAlignment="1">
      <alignment vertical="center" shrinkToFit="1"/>
    </xf>
    <xf numFmtId="3" fontId="18" fillId="0" borderId="58" xfId="0" applyNumberFormat="1" applyFont="1" applyBorder="1" applyAlignment="1">
      <alignment vertical="center" shrinkToFit="1"/>
    </xf>
    <xf numFmtId="3" fontId="12" fillId="0" borderId="60" xfId="0" applyNumberFormat="1" applyFont="1" applyBorder="1" applyAlignment="1">
      <alignment horizontal="center" vertical="center"/>
    </xf>
    <xf numFmtId="166" fontId="12" fillId="0" borderId="60" xfId="348" applyNumberFormat="1" applyFont="1" applyFill="1" applyBorder="1" applyAlignment="1">
      <alignment vertical="center" shrinkToFit="1"/>
    </xf>
    <xf numFmtId="166" fontId="21" fillId="0" borderId="60" xfId="348" applyNumberFormat="1" applyFont="1" applyFill="1" applyBorder="1" applyAlignment="1">
      <alignment vertical="center" shrinkToFit="1"/>
    </xf>
    <xf numFmtId="166" fontId="24" fillId="0" borderId="60" xfId="348" applyNumberFormat="1" applyFont="1" applyFill="1" applyBorder="1" applyAlignment="1">
      <alignment vertical="center" shrinkToFit="1"/>
    </xf>
    <xf numFmtId="3" fontId="11" fillId="0" borderId="60" xfId="0" applyNumberFormat="1" applyFont="1" applyBorder="1" applyAlignment="1">
      <alignment horizontal="center" vertical="center"/>
    </xf>
    <xf numFmtId="3" fontId="11" fillId="0" borderId="60" xfId="0" applyNumberFormat="1" applyFont="1" applyBorder="1" applyAlignment="1">
      <alignment horizontal="left" vertical="center" shrinkToFit="1"/>
    </xf>
    <xf numFmtId="168" fontId="11" fillId="0" borderId="60" xfId="348" applyNumberFormat="1" applyFont="1" applyFill="1" applyBorder="1" applyAlignment="1">
      <alignment vertical="center" shrinkToFit="1"/>
    </xf>
    <xf numFmtId="166" fontId="14" fillId="0" borderId="60" xfId="348" applyNumberFormat="1" applyFont="1" applyFill="1" applyBorder="1" applyAlignment="1">
      <alignment vertical="center" shrinkToFit="1"/>
    </xf>
    <xf numFmtId="166" fontId="18" fillId="0" borderId="60" xfId="348" applyNumberFormat="1" applyFont="1" applyFill="1" applyBorder="1" applyAlignment="1">
      <alignment vertical="center" shrinkToFit="1"/>
    </xf>
    <xf numFmtId="3" fontId="4" fillId="0" borderId="60" xfId="0" applyNumberFormat="1" applyFont="1" applyBorder="1" applyAlignment="1">
      <alignment horizontal="center" vertical="center"/>
    </xf>
    <xf numFmtId="166" fontId="4" fillId="0" borderId="60" xfId="348" applyNumberFormat="1" applyFont="1" applyFill="1" applyBorder="1" applyAlignment="1">
      <alignment vertical="center" shrinkToFit="1"/>
    </xf>
    <xf numFmtId="168" fontId="4" fillId="0" borderId="60" xfId="348" applyNumberFormat="1" applyFont="1" applyFill="1" applyBorder="1" applyAlignment="1">
      <alignment vertical="center" shrinkToFit="1"/>
    </xf>
    <xf numFmtId="166" fontId="17" fillId="0" borderId="60" xfId="348" applyNumberFormat="1" applyFont="1" applyFill="1" applyBorder="1" applyAlignment="1">
      <alignment vertical="center" shrinkToFit="1"/>
    </xf>
    <xf numFmtId="166" fontId="23" fillId="0" borderId="60" xfId="348" applyNumberFormat="1" applyFont="1" applyFill="1" applyBorder="1" applyAlignment="1">
      <alignment vertical="center" shrinkToFit="1"/>
    </xf>
    <xf numFmtId="166" fontId="23" fillId="3" borderId="60" xfId="0" applyNumberFormat="1" applyFont="1" applyFill="1" applyBorder="1" applyAlignment="1">
      <alignment vertical="center" shrinkToFit="1"/>
    </xf>
    <xf numFmtId="1" fontId="11" fillId="0" borderId="60" xfId="3" applyNumberFormat="1" applyFont="1" applyFill="1" applyBorder="1" applyAlignment="1">
      <alignment vertical="center" shrinkToFit="1"/>
    </xf>
    <xf numFmtId="230" fontId="11" fillId="0" borderId="60" xfId="348" applyNumberFormat="1" applyFont="1" applyFill="1" applyBorder="1" applyAlignment="1">
      <alignment vertical="center" shrinkToFit="1"/>
    </xf>
    <xf numFmtId="3" fontId="222" fillId="0" borderId="60" xfId="0" applyNumberFormat="1" applyFont="1" applyBorder="1" applyAlignment="1">
      <alignment vertical="center" shrinkToFit="1"/>
    </xf>
    <xf numFmtId="1" fontId="4" fillId="0" borderId="60" xfId="3" applyNumberFormat="1" applyFont="1" applyFill="1" applyBorder="1" applyAlignment="1">
      <alignment vertical="center" shrinkToFit="1"/>
    </xf>
    <xf numFmtId="177" fontId="11" fillId="0" borderId="60" xfId="348" applyFont="1" applyFill="1" applyBorder="1" applyAlignment="1">
      <alignment vertical="center" shrinkToFit="1"/>
    </xf>
    <xf numFmtId="3" fontId="4" fillId="0" borderId="6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3" fontId="4" fillId="0" borderId="140" xfId="0" applyNumberFormat="1" applyFont="1" applyBorder="1" applyAlignment="1">
      <alignment vertical="center" shrinkToFit="1"/>
    </xf>
    <xf numFmtId="3" fontId="23" fillId="0" borderId="140" xfId="0" applyNumberFormat="1" applyFont="1" applyBorder="1" applyAlignment="1">
      <alignment vertical="center" shrinkToFit="1"/>
    </xf>
    <xf numFmtId="166" fontId="4" fillId="0" borderId="140" xfId="0" applyNumberFormat="1" applyFont="1" applyBorder="1" applyAlignment="1">
      <alignment vertical="center" shrinkToFit="1"/>
    </xf>
    <xf numFmtId="166" fontId="4" fillId="0" borderId="140" xfId="348" applyNumberFormat="1" applyFont="1" applyFill="1" applyBorder="1" applyAlignment="1">
      <alignment vertical="center" shrinkToFit="1"/>
    </xf>
    <xf numFmtId="168" fontId="4" fillId="0" borderId="140" xfId="348" applyNumberFormat="1" applyFont="1" applyFill="1" applyBorder="1" applyAlignment="1">
      <alignment vertical="center" shrinkToFit="1"/>
    </xf>
    <xf numFmtId="3" fontId="12" fillId="0" borderId="140" xfId="0" applyNumberFormat="1" applyFont="1" applyBorder="1" applyAlignment="1">
      <alignment vertical="center" shrinkToFit="1"/>
    </xf>
    <xf numFmtId="1" fontId="11" fillId="0" borderId="140" xfId="3" applyNumberFormat="1" applyFont="1" applyFill="1" applyBorder="1" applyAlignment="1">
      <alignment vertical="center" shrinkToFit="1"/>
    </xf>
    <xf numFmtId="166" fontId="17" fillId="0" borderId="140" xfId="348" applyNumberFormat="1" applyFont="1" applyFill="1" applyBorder="1" applyAlignment="1">
      <alignment vertical="center" shrinkToFit="1"/>
    </xf>
    <xf numFmtId="166" fontId="23" fillId="0" borderId="140" xfId="0" applyNumberFormat="1" applyFont="1" applyBorder="1" applyAlignment="1">
      <alignment vertical="center" shrinkToFit="1"/>
    </xf>
    <xf numFmtId="166" fontId="23" fillId="0" borderId="140" xfId="348" applyNumberFormat="1" applyFont="1" applyFill="1" applyBorder="1" applyAlignment="1">
      <alignment vertical="center" shrinkToFit="1"/>
    </xf>
    <xf numFmtId="3" fontId="12" fillId="0" borderId="72" xfId="0" applyNumberFormat="1" applyFont="1" applyBorder="1" applyAlignment="1">
      <alignment horizontal="center" vertical="center" wrapText="1"/>
    </xf>
    <xf numFmtId="3" fontId="12" fillId="0" borderId="72" xfId="0" applyNumberFormat="1" applyFont="1" applyBorder="1" applyAlignment="1">
      <alignment vertical="center" wrapText="1"/>
    </xf>
    <xf numFmtId="3" fontId="24" fillId="0" borderId="72" xfId="0" applyNumberFormat="1" applyFont="1" applyBorder="1" applyAlignment="1">
      <alignment vertical="center" shrinkToFit="1"/>
    </xf>
    <xf numFmtId="166" fontId="12" fillId="0" borderId="72" xfId="0" applyNumberFormat="1" applyFont="1" applyBorder="1" applyAlignment="1">
      <alignment vertical="center" shrinkToFit="1"/>
    </xf>
    <xf numFmtId="179" fontId="12" fillId="0" borderId="72" xfId="348" applyNumberFormat="1" applyFont="1" applyFill="1" applyBorder="1" applyAlignment="1">
      <alignment vertical="center" shrinkToFit="1"/>
    </xf>
    <xf numFmtId="2" fontId="12" fillId="0" borderId="72" xfId="0" applyNumberFormat="1" applyFont="1" applyBorder="1" applyAlignment="1">
      <alignment vertical="center" shrinkToFit="1"/>
    </xf>
    <xf numFmtId="168" fontId="12" fillId="0" borderId="72" xfId="348" applyNumberFormat="1" applyFont="1" applyFill="1" applyBorder="1" applyAlignment="1">
      <alignment vertical="center" shrinkToFit="1"/>
    </xf>
    <xf numFmtId="3" fontId="12" fillId="0" borderId="72" xfId="0" applyNumberFormat="1" applyFont="1" applyBorder="1" applyAlignment="1">
      <alignment vertical="center" shrinkToFit="1"/>
    </xf>
    <xf numFmtId="1" fontId="12" fillId="0" borderId="72" xfId="3" applyNumberFormat="1" applyFont="1" applyFill="1" applyBorder="1" applyAlignment="1">
      <alignment vertical="center" shrinkToFit="1"/>
    </xf>
    <xf numFmtId="166" fontId="4" fillId="0" borderId="13" xfId="0" applyNumberFormat="1" applyFont="1" applyBorder="1" applyAlignment="1">
      <alignment vertical="center" shrinkToFit="1"/>
    </xf>
    <xf numFmtId="166" fontId="11" fillId="0" borderId="13" xfId="0" applyNumberFormat="1" applyFont="1" applyBorder="1" applyAlignment="1">
      <alignment vertical="center" shrinkToFit="1"/>
    </xf>
    <xf numFmtId="166" fontId="17" fillId="0" borderId="13" xfId="0" applyNumberFormat="1" applyFont="1" applyBorder="1" applyAlignment="1">
      <alignment vertical="center" shrinkToFit="1"/>
    </xf>
    <xf numFmtId="2" fontId="21" fillId="0" borderId="72" xfId="0" applyNumberFormat="1" applyFont="1" applyBorder="1" applyAlignment="1">
      <alignment vertical="center" shrinkToFit="1"/>
    </xf>
    <xf numFmtId="3" fontId="21" fillId="0" borderId="72" xfId="0" applyNumberFormat="1" applyFont="1" applyBorder="1" applyAlignment="1">
      <alignment vertical="center" shrinkToFit="1"/>
    </xf>
    <xf numFmtId="166" fontId="24" fillId="0" borderId="72" xfId="0" applyNumberFormat="1" applyFont="1" applyBorder="1" applyAlignment="1">
      <alignment vertical="center" shrinkToFit="1"/>
    </xf>
    <xf numFmtId="2" fontId="24" fillId="0" borderId="72" xfId="0" applyNumberFormat="1" applyFont="1" applyBorder="1" applyAlignment="1">
      <alignment vertical="center" shrinkToFit="1"/>
    </xf>
    <xf numFmtId="3" fontId="11" fillId="0" borderId="0" xfId="0" applyNumberFormat="1" applyFont="1" applyAlignment="1">
      <alignment horizontal="left"/>
    </xf>
    <xf numFmtId="179" fontId="11" fillId="0" borderId="0" xfId="348" applyNumberFormat="1" applyFont="1" applyFill="1" applyBorder="1" applyAlignment="1"/>
    <xf numFmtId="3" fontId="11" fillId="0" borderId="0" xfId="0" applyNumberFormat="1" applyFont="1" applyAlignment="1">
      <alignment shrinkToFit="1"/>
    </xf>
    <xf numFmtId="3" fontId="4" fillId="0" borderId="0" xfId="0" applyNumberFormat="1" applyFont="1" applyAlignment="1">
      <alignment horizontal="centerContinuous"/>
    </xf>
    <xf numFmtId="179" fontId="4" fillId="0" borderId="0" xfId="348" applyNumberFormat="1" applyFont="1" applyFill="1" applyBorder="1" applyAlignment="1"/>
    <xf numFmtId="10" fontId="4" fillId="0" borderId="0" xfId="3" applyNumberFormat="1" applyFont="1" applyFill="1" applyBorder="1" applyAlignment="1"/>
    <xf numFmtId="10" fontId="4" fillId="0" borderId="0" xfId="3" applyNumberFormat="1" applyFont="1" applyFill="1" applyBorder="1" applyAlignment="1">
      <alignment shrinkToFit="1"/>
    </xf>
    <xf numFmtId="9" fontId="30" fillId="0" borderId="0" xfId="3" applyFont="1" applyAlignment="1">
      <alignment shrinkToFit="1"/>
    </xf>
    <xf numFmtId="173" fontId="30" fillId="0" borderId="0" xfId="3" applyNumberFormat="1" applyFont="1" applyAlignment="1">
      <alignment shrinkToFit="1"/>
    </xf>
    <xf numFmtId="10" fontId="23" fillId="0" borderId="0" xfId="3" applyNumberFormat="1" applyFont="1" applyFill="1" applyBorder="1" applyAlignment="1"/>
    <xf numFmtId="173" fontId="4" fillId="0" borderId="0" xfId="3" applyNumberFormat="1" applyFont="1"/>
    <xf numFmtId="173" fontId="4" fillId="3" borderId="0" xfId="3" applyNumberFormat="1" applyFont="1" applyFill="1"/>
    <xf numFmtId="3" fontId="4" fillId="0" borderId="0" xfId="3" applyNumberFormat="1" applyFont="1" applyFill="1" applyBorder="1" applyAlignment="1">
      <alignment shrinkToFit="1"/>
    </xf>
    <xf numFmtId="3" fontId="11" fillId="0" borderId="0" xfId="3" applyNumberFormat="1" applyFont="1" applyFill="1" applyBorder="1" applyAlignment="1">
      <alignment shrinkToFit="1"/>
    </xf>
    <xf numFmtId="217" fontId="4" fillId="0" borderId="0" xfId="348" applyNumberFormat="1" applyFont="1"/>
    <xf numFmtId="217" fontId="4" fillId="0" borderId="0" xfId="348" applyNumberFormat="1" applyFont="1" applyFill="1" applyBorder="1" applyAlignment="1">
      <alignment shrinkToFit="1"/>
    </xf>
    <xf numFmtId="3" fontId="4" fillId="3" borderId="0" xfId="0" applyNumberFormat="1" applyFont="1" applyFill="1"/>
    <xf numFmtId="3" fontId="4" fillId="3" borderId="0" xfId="3" applyNumberFormat="1" applyFont="1" applyFill="1" applyBorder="1" applyAlignment="1">
      <alignment shrinkToFit="1"/>
    </xf>
    <xf numFmtId="231" fontId="4" fillId="0" borderId="0" xfId="3" applyNumberFormat="1" applyFont="1" applyFill="1" applyBorder="1" applyAlignment="1"/>
    <xf numFmtId="9" fontId="4" fillId="0" borderId="0" xfId="3" applyFont="1" applyFill="1" applyBorder="1" applyAlignment="1"/>
    <xf numFmtId="4" fontId="4" fillId="0" borderId="0" xfId="0" applyNumberFormat="1" applyFont="1" applyAlignment="1">
      <alignment shrinkToFit="1"/>
    </xf>
    <xf numFmtId="177" fontId="4" fillId="0" borderId="0" xfId="348" applyFont="1" applyFill="1" applyBorder="1" applyAlignment="1"/>
    <xf numFmtId="179" fontId="4" fillId="0" borderId="0" xfId="348" applyNumberFormat="1" applyFont="1" applyFill="1" applyBorder="1" applyAlignment="1">
      <alignment shrinkToFit="1"/>
    </xf>
    <xf numFmtId="179" fontId="11" fillId="0" borderId="0" xfId="348" applyNumberFormat="1" applyFont="1" applyFill="1" applyBorder="1" applyAlignment="1">
      <alignment shrinkToFit="1"/>
    </xf>
    <xf numFmtId="9" fontId="11" fillId="0" borderId="0" xfId="3" applyFont="1" applyFill="1"/>
    <xf numFmtId="4" fontId="4" fillId="0" borderId="0" xfId="0" applyNumberFormat="1" applyFont="1"/>
    <xf numFmtId="3" fontId="11" fillId="0" borderId="0" xfId="0" applyNumberFormat="1" applyFont="1" applyAlignment="1">
      <alignment horizontal="center" vertical="center" wrapText="1"/>
    </xf>
    <xf numFmtId="3" fontId="23" fillId="0" borderId="0" xfId="0" applyNumberFormat="1" applyFont="1" applyAlignment="1">
      <alignment horizontal="center"/>
    </xf>
    <xf numFmtId="3" fontId="11" fillId="0" borderId="0" xfId="0" applyNumberFormat="1" applyFont="1" applyAlignment="1">
      <alignment horizontal="right"/>
    </xf>
    <xf numFmtId="3" fontId="196" fillId="0" borderId="11" xfId="0" applyNumberFormat="1" applyFont="1" applyBorder="1" applyAlignment="1">
      <alignment horizontal="center" vertical="center" wrapText="1"/>
    </xf>
    <xf numFmtId="3" fontId="162" fillId="0" borderId="193" xfId="0" applyNumberFormat="1" applyFont="1" applyBorder="1" applyAlignment="1">
      <alignment horizontal="center" vertical="center" shrinkToFit="1"/>
    </xf>
    <xf numFmtId="3" fontId="162" fillId="0" borderId="1" xfId="0" applyNumberFormat="1" applyFont="1" applyBorder="1" applyAlignment="1">
      <alignment horizontal="center" vertical="center" shrinkToFit="1"/>
    </xf>
    <xf numFmtId="3" fontId="18" fillId="0" borderId="1" xfId="0" applyNumberFormat="1" applyFont="1" applyBorder="1" applyAlignment="1">
      <alignment horizontal="center" vertical="center" shrinkToFit="1"/>
    </xf>
    <xf numFmtId="3" fontId="196" fillId="0" borderId="1" xfId="0" applyNumberFormat="1" applyFont="1" applyBorder="1" applyAlignment="1">
      <alignment horizontal="center" vertical="center" shrinkToFit="1"/>
    </xf>
    <xf numFmtId="3" fontId="196" fillId="0" borderId="1" xfId="0" quotePrefix="1" applyNumberFormat="1" applyFont="1" applyBorder="1" applyAlignment="1">
      <alignment horizontal="center" vertical="center" shrinkToFit="1"/>
    </xf>
    <xf numFmtId="3" fontId="18" fillId="0" borderId="11" xfId="0" applyNumberFormat="1" applyFont="1" applyBorder="1" applyAlignment="1">
      <alignment horizontal="center" vertical="center" shrinkToFit="1"/>
    </xf>
    <xf numFmtId="3" fontId="196" fillId="0" borderId="0" xfId="0" applyNumberFormat="1" applyFont="1" applyAlignment="1">
      <alignment horizontal="center" vertical="center" shrinkToFit="1"/>
    </xf>
    <xf numFmtId="3" fontId="18" fillId="0" borderId="0" xfId="0" applyNumberFormat="1" applyFont="1" applyAlignment="1">
      <alignment horizontal="center" vertical="center" shrinkToFit="1"/>
    </xf>
    <xf numFmtId="3" fontId="18" fillId="0" borderId="194" xfId="0" applyNumberFormat="1" applyFont="1" applyBorder="1" applyAlignment="1">
      <alignment horizontal="center" vertical="center" shrinkToFit="1"/>
    </xf>
    <xf numFmtId="3" fontId="162" fillId="0" borderId="0" xfId="0" applyNumberFormat="1" applyFont="1" applyAlignment="1">
      <alignment horizontal="center" vertical="center" shrinkToFit="1"/>
    </xf>
    <xf numFmtId="3" fontId="162" fillId="0" borderId="0" xfId="0" applyNumberFormat="1" applyFont="1" applyAlignment="1">
      <alignment horizontal="center" vertical="center" wrapText="1"/>
    </xf>
    <xf numFmtId="166" fontId="12" fillId="0" borderId="62" xfId="0" applyNumberFormat="1" applyFont="1" applyBorder="1" applyAlignment="1">
      <alignment horizontal="center" vertical="center" wrapText="1" shrinkToFit="1"/>
    </xf>
    <xf numFmtId="166" fontId="12" fillId="0" borderId="58" xfId="0" applyNumberFormat="1" applyFont="1" applyBorder="1" applyAlignment="1">
      <alignment vertical="center" wrapText="1"/>
    </xf>
    <xf numFmtId="38" fontId="24" fillId="0" borderId="58" xfId="0" applyNumberFormat="1" applyFont="1" applyBorder="1" applyAlignment="1">
      <alignment vertical="center" shrinkToFit="1"/>
    </xf>
    <xf numFmtId="10" fontId="24" fillId="0" borderId="58" xfId="3" applyNumberFormat="1" applyFont="1" applyBorder="1" applyAlignment="1">
      <alignment vertical="center" shrinkToFit="1"/>
    </xf>
    <xf numFmtId="38" fontId="225" fillId="0" borderId="58" xfId="0" applyNumberFormat="1" applyFont="1" applyBorder="1" applyAlignment="1">
      <alignment horizontal="right" vertical="center" shrinkToFit="1"/>
    </xf>
    <xf numFmtId="38" fontId="225" fillId="0" borderId="58" xfId="0" applyNumberFormat="1" applyFont="1" applyBorder="1" applyAlignment="1">
      <alignment vertical="center" shrinkToFit="1"/>
    </xf>
    <xf numFmtId="9" fontId="12" fillId="0" borderId="58" xfId="3" applyFont="1" applyBorder="1" applyAlignment="1">
      <alignment vertical="center" shrinkToFit="1"/>
    </xf>
    <xf numFmtId="9" fontId="21" fillId="0" borderId="58" xfId="3" applyFont="1" applyBorder="1" applyAlignment="1">
      <alignment vertical="center" shrinkToFit="1"/>
    </xf>
    <xf numFmtId="9" fontId="24" fillId="0" borderId="58" xfId="3" applyFont="1" applyBorder="1" applyAlignment="1">
      <alignment vertical="center" shrinkToFit="1"/>
    </xf>
    <xf numFmtId="9" fontId="18" fillId="0" borderId="58" xfId="3" applyFont="1" applyBorder="1" applyAlignment="1">
      <alignment vertical="center" shrinkToFit="1"/>
    </xf>
    <xf numFmtId="173" fontId="24" fillId="0" borderId="58" xfId="3" applyNumberFormat="1" applyFont="1" applyBorder="1" applyAlignment="1">
      <alignment vertical="center" shrinkToFit="1"/>
    </xf>
    <xf numFmtId="10" fontId="18" fillId="0" borderId="58" xfId="3" applyNumberFormat="1" applyFont="1" applyBorder="1" applyAlignment="1">
      <alignment vertical="center" shrinkToFit="1"/>
    </xf>
    <xf numFmtId="38" fontId="24" fillId="0" borderId="58" xfId="0" applyNumberFormat="1" applyFont="1" applyBorder="1" applyAlignment="1">
      <alignment horizontal="right" vertical="center" shrinkToFit="1"/>
    </xf>
    <xf numFmtId="10" fontId="24" fillId="0" borderId="63" xfId="3" applyNumberFormat="1" applyFont="1" applyBorder="1" applyAlignment="1">
      <alignment vertical="center" shrinkToFit="1"/>
    </xf>
    <xf numFmtId="3" fontId="12" fillId="0" borderId="0" xfId="0" applyNumberFormat="1" applyFont="1" applyAlignment="1">
      <alignment vertical="center"/>
    </xf>
    <xf numFmtId="166" fontId="12" fillId="0" borderId="26" xfId="0" applyNumberFormat="1" applyFont="1" applyBorder="1" applyAlignment="1">
      <alignment horizontal="center" vertical="center" wrapText="1" shrinkToFit="1"/>
    </xf>
    <xf numFmtId="166" fontId="12" fillId="0" borderId="60" xfId="0" applyNumberFormat="1" applyFont="1" applyBorder="1" applyAlignment="1">
      <alignment vertical="center" wrapText="1"/>
    </xf>
    <xf numFmtId="38" fontId="24" fillId="0" borderId="60" xfId="0" applyNumberFormat="1" applyFont="1" applyBorder="1" applyAlignment="1">
      <alignment vertical="center" shrinkToFit="1"/>
    </xf>
    <xf numFmtId="10" fontId="24" fillId="0" borderId="60" xfId="3" applyNumberFormat="1" applyFont="1" applyBorder="1" applyAlignment="1">
      <alignment vertical="center" shrinkToFit="1"/>
    </xf>
    <xf numFmtId="38" fontId="225" fillId="0" borderId="60" xfId="0" applyNumberFormat="1" applyFont="1" applyBorder="1" applyAlignment="1">
      <alignment horizontal="right" vertical="center" shrinkToFit="1"/>
    </xf>
    <xf numFmtId="38" fontId="225" fillId="0" borderId="60" xfId="0" applyNumberFormat="1" applyFont="1" applyBorder="1" applyAlignment="1">
      <alignment vertical="center" shrinkToFit="1"/>
    </xf>
    <xf numFmtId="173" fontId="12" fillId="0" borderId="60" xfId="3" applyNumberFormat="1" applyFont="1" applyBorder="1" applyAlignment="1">
      <alignment vertical="center" shrinkToFit="1"/>
    </xf>
    <xf numFmtId="9" fontId="21" fillId="0" borderId="60" xfId="3" applyFont="1" applyBorder="1" applyAlignment="1">
      <alignment vertical="center" shrinkToFit="1"/>
    </xf>
    <xf numFmtId="9" fontId="24" fillId="0" borderId="60" xfId="3" applyFont="1" applyBorder="1" applyAlignment="1">
      <alignment vertical="center" shrinkToFit="1"/>
    </xf>
    <xf numFmtId="9" fontId="18" fillId="0" borderId="60" xfId="3" applyFont="1" applyBorder="1" applyAlignment="1">
      <alignment vertical="center" shrinkToFit="1"/>
    </xf>
    <xf numFmtId="173" fontId="24" fillId="0" borderId="60" xfId="3" applyNumberFormat="1" applyFont="1" applyBorder="1" applyAlignment="1">
      <alignment vertical="center" shrinkToFit="1"/>
    </xf>
    <xf numFmtId="10" fontId="18" fillId="0" borderId="60" xfId="3" applyNumberFormat="1" applyFont="1" applyBorder="1" applyAlignment="1">
      <alignment vertical="center" shrinkToFit="1"/>
    </xf>
    <xf numFmtId="38" fontId="24" fillId="0" borderId="60" xfId="0" applyNumberFormat="1" applyFont="1" applyBorder="1" applyAlignment="1">
      <alignment horizontal="right" vertical="center" shrinkToFit="1"/>
    </xf>
    <xf numFmtId="173" fontId="18" fillId="0" borderId="60" xfId="3" applyNumberFormat="1" applyFont="1" applyBorder="1" applyAlignment="1">
      <alignment vertical="center" shrinkToFit="1"/>
    </xf>
    <xf numFmtId="10" fontId="24" fillId="0" borderId="32" xfId="3" applyNumberFormat="1" applyFont="1" applyBorder="1" applyAlignment="1">
      <alignment vertical="center" shrinkToFit="1"/>
    </xf>
    <xf numFmtId="166" fontId="11" fillId="0" borderId="26" xfId="0" applyNumberFormat="1" applyFont="1" applyBorder="1" applyAlignment="1">
      <alignment horizontal="center" vertical="center" wrapText="1" shrinkToFit="1"/>
    </xf>
    <xf numFmtId="38" fontId="18" fillId="0" borderId="60" xfId="0" applyNumberFormat="1" applyFont="1" applyBorder="1" applyAlignment="1">
      <alignment vertical="center" shrinkToFit="1"/>
    </xf>
    <xf numFmtId="38" fontId="14" fillId="0" borderId="60" xfId="0" applyNumberFormat="1" applyFont="1" applyBorder="1" applyAlignment="1">
      <alignment vertical="center" shrinkToFit="1"/>
    </xf>
    <xf numFmtId="38" fontId="196" fillId="0" borderId="60" xfId="0" applyNumberFormat="1" applyFont="1" applyBorder="1" applyAlignment="1">
      <alignment horizontal="right" vertical="center" shrinkToFit="1"/>
    </xf>
    <xf numFmtId="38" fontId="196" fillId="0" borderId="60" xfId="0" applyNumberFormat="1" applyFont="1" applyBorder="1" applyAlignment="1">
      <alignment vertical="center" shrinkToFit="1"/>
    </xf>
    <xf numFmtId="173" fontId="11" fillId="0" borderId="60" xfId="3" applyNumberFormat="1" applyFont="1" applyBorder="1" applyAlignment="1">
      <alignment vertical="center" shrinkToFit="1"/>
    </xf>
    <xf numFmtId="9" fontId="14" fillId="0" borderId="60" xfId="3" applyFont="1" applyBorder="1" applyAlignment="1">
      <alignment vertical="center" shrinkToFit="1"/>
    </xf>
    <xf numFmtId="38" fontId="18" fillId="0" borderId="60" xfId="0" applyNumberFormat="1" applyFont="1" applyBorder="1" applyAlignment="1">
      <alignment horizontal="right" vertical="center" shrinkToFit="1"/>
    </xf>
    <xf numFmtId="10" fontId="18" fillId="0" borderId="32" xfId="3" applyNumberFormat="1" applyFont="1" applyBorder="1" applyAlignment="1">
      <alignment vertical="center" shrinkToFit="1"/>
    </xf>
    <xf numFmtId="38" fontId="11" fillId="0" borderId="0" xfId="0" applyNumberFormat="1" applyFont="1" applyAlignment="1">
      <alignment vertical="center" shrinkToFit="1"/>
    </xf>
    <xf numFmtId="38" fontId="14" fillId="0" borderId="60" xfId="0" applyNumberFormat="1" applyFont="1" applyBorder="1" applyAlignment="1">
      <alignment horizontal="right" vertical="center" shrinkToFit="1"/>
    </xf>
    <xf numFmtId="9" fontId="11" fillId="0" borderId="0" xfId="3" applyFont="1" applyAlignment="1">
      <alignment vertical="center"/>
    </xf>
    <xf numFmtId="3" fontId="14" fillId="0" borderId="60" xfId="3" applyNumberFormat="1" applyFont="1" applyBorder="1" applyAlignment="1">
      <alignment vertical="center" shrinkToFit="1"/>
    </xf>
    <xf numFmtId="173" fontId="18" fillId="3" borderId="60" xfId="3" applyNumberFormat="1" applyFont="1" applyFill="1" applyBorder="1" applyAlignment="1">
      <alignment vertical="center" shrinkToFit="1"/>
    </xf>
    <xf numFmtId="10" fontId="11" fillId="0" borderId="0" xfId="3" applyNumberFormat="1" applyFont="1" applyAlignment="1">
      <alignment vertical="center"/>
    </xf>
    <xf numFmtId="173" fontId="14" fillId="0" borderId="60" xfId="3" applyNumberFormat="1" applyFont="1" applyBorder="1" applyAlignment="1">
      <alignment vertical="center" shrinkToFit="1"/>
    </xf>
    <xf numFmtId="10" fontId="14" fillId="0" borderId="60" xfId="3" applyNumberFormat="1" applyFont="1" applyBorder="1" applyAlignment="1">
      <alignment vertical="center" shrinkToFit="1"/>
    </xf>
    <xf numFmtId="3" fontId="21" fillId="0" borderId="60" xfId="3" applyNumberFormat="1" applyFont="1" applyBorder="1" applyAlignment="1">
      <alignment vertical="center" shrinkToFit="1"/>
    </xf>
    <xf numFmtId="38" fontId="21" fillId="0" borderId="60" xfId="0" applyNumberFormat="1" applyFont="1" applyBorder="1" applyAlignment="1">
      <alignment horizontal="right" vertical="center" shrinkToFit="1"/>
    </xf>
    <xf numFmtId="166" fontId="21" fillId="0" borderId="60" xfId="0" applyNumberFormat="1" applyFont="1" applyBorder="1" applyAlignment="1">
      <alignment horizontal="center" vertical="center" shrinkToFit="1"/>
    </xf>
    <xf numFmtId="166" fontId="225" fillId="0" borderId="60" xfId="0" applyNumberFormat="1" applyFont="1" applyBorder="1" applyAlignment="1">
      <alignment horizontal="right" vertical="center" shrinkToFit="1"/>
    </xf>
    <xf numFmtId="166" fontId="225" fillId="0" borderId="60" xfId="0" applyNumberFormat="1" applyFont="1" applyBorder="1" applyAlignment="1">
      <alignment vertical="center" shrinkToFit="1"/>
    </xf>
    <xf numFmtId="166" fontId="24" fillId="0" borderId="32" xfId="0" applyNumberFormat="1" applyFont="1" applyBorder="1" applyAlignment="1">
      <alignment vertical="center" shrinkToFit="1"/>
    </xf>
    <xf numFmtId="166" fontId="21" fillId="0" borderId="59" xfId="0" applyNumberFormat="1" applyFont="1" applyBorder="1" applyAlignment="1">
      <alignment vertical="center" shrinkToFit="1"/>
    </xf>
    <xf numFmtId="166" fontId="225" fillId="0" borderId="60" xfId="348" applyNumberFormat="1" applyFont="1" applyFill="1" applyBorder="1" applyAlignment="1">
      <alignment horizontal="right" vertical="center" shrinkToFit="1"/>
    </xf>
    <xf numFmtId="166" fontId="17" fillId="0" borderId="60" xfId="348" applyNumberFormat="1" applyFont="1" applyFill="1" applyBorder="1" applyAlignment="1">
      <alignment horizontal="right" vertical="center" shrinkToFit="1"/>
    </xf>
    <xf numFmtId="166" fontId="17" fillId="0" borderId="60" xfId="0" applyNumberFormat="1" applyFont="1" applyBorder="1" applyAlignment="1">
      <alignment horizontal="right" vertical="center" shrinkToFit="1"/>
    </xf>
    <xf numFmtId="166" fontId="193" fillId="0" borderId="60" xfId="348" applyNumberFormat="1" applyFont="1" applyFill="1" applyBorder="1" applyAlignment="1">
      <alignment horizontal="right" vertical="center" shrinkToFit="1"/>
    </xf>
    <xf numFmtId="3" fontId="193" fillId="0" borderId="60" xfId="0" applyNumberFormat="1" applyFont="1" applyBorder="1" applyAlignment="1">
      <alignment vertical="center" wrapText="1"/>
    </xf>
    <xf numFmtId="3" fontId="196" fillId="0" borderId="60" xfId="0" applyNumberFormat="1" applyFont="1" applyBorder="1" applyAlignment="1">
      <alignment vertical="center" wrapText="1"/>
    </xf>
    <xf numFmtId="3" fontId="193" fillId="0" borderId="60" xfId="0" applyNumberFormat="1" applyFont="1" applyBorder="1" applyAlignment="1">
      <alignment vertical="center"/>
    </xf>
    <xf numFmtId="3" fontId="23" fillId="0" borderId="32" xfId="0" applyNumberFormat="1" applyFont="1" applyBorder="1" applyAlignment="1">
      <alignment vertical="center" wrapText="1"/>
    </xf>
    <xf numFmtId="3" fontId="14" fillId="0" borderId="59" xfId="0" applyNumberFormat="1" applyFont="1" applyBorder="1" applyAlignment="1">
      <alignment vertical="center" wrapText="1"/>
    </xf>
    <xf numFmtId="166" fontId="14" fillId="0" borderId="60" xfId="0" applyNumberFormat="1" applyFont="1" applyBorder="1" applyAlignment="1">
      <alignment horizontal="right" vertical="center" shrinkToFit="1"/>
    </xf>
    <xf numFmtId="166" fontId="225" fillId="0" borderId="60" xfId="348" applyNumberFormat="1" applyFont="1" applyFill="1" applyBorder="1" applyAlignment="1">
      <alignment horizontal="right" vertical="center"/>
    </xf>
    <xf numFmtId="3" fontId="21" fillId="0" borderId="60" xfId="0" applyNumberFormat="1" applyFont="1" applyBorder="1" applyAlignment="1">
      <alignment vertical="center"/>
    </xf>
    <xf numFmtId="3" fontId="196" fillId="0" borderId="60" xfId="0" applyNumberFormat="1" applyFont="1" applyBorder="1" applyAlignment="1">
      <alignment vertical="center"/>
    </xf>
    <xf numFmtId="3" fontId="24" fillId="0" borderId="60" xfId="0" applyNumberFormat="1" applyFont="1" applyBorder="1" applyAlignment="1">
      <alignment vertical="center"/>
    </xf>
    <xf numFmtId="3" fontId="24" fillId="0" borderId="32" xfId="0" applyNumberFormat="1" applyFont="1" applyBorder="1" applyAlignment="1">
      <alignment vertical="center"/>
    </xf>
    <xf numFmtId="3" fontId="21" fillId="0" borderId="59" xfId="0" applyNumberFormat="1" applyFont="1" applyBorder="1" applyAlignment="1">
      <alignment vertical="center"/>
    </xf>
    <xf numFmtId="166" fontId="21" fillId="0" borderId="60" xfId="348" applyNumberFormat="1" applyFont="1" applyFill="1" applyBorder="1" applyAlignment="1">
      <alignment horizontal="right" vertical="center" shrinkToFit="1"/>
    </xf>
    <xf numFmtId="166" fontId="21" fillId="0" borderId="60" xfId="0" applyNumberFormat="1" applyFont="1" applyBorder="1" applyAlignment="1">
      <alignment horizontal="right" vertical="center" shrinkToFit="1"/>
    </xf>
    <xf numFmtId="3" fontId="225" fillId="0" borderId="60" xfId="0" applyNumberFormat="1" applyFont="1" applyBorder="1" applyAlignment="1">
      <alignment vertical="center" wrapText="1"/>
    </xf>
    <xf numFmtId="3" fontId="12" fillId="0" borderId="30" xfId="0" applyNumberFormat="1" applyFont="1" applyBorder="1" applyAlignment="1">
      <alignment vertical="center" shrinkToFit="1"/>
    </xf>
    <xf numFmtId="166" fontId="12" fillId="0" borderId="30" xfId="0" applyNumberFormat="1" applyFont="1" applyBorder="1" applyAlignment="1">
      <alignment vertical="center" shrinkToFit="1"/>
    </xf>
    <xf numFmtId="166" fontId="12" fillId="0" borderId="30" xfId="348" applyNumberFormat="1" applyFont="1" applyFill="1" applyBorder="1" applyAlignment="1">
      <alignment horizontal="center" vertical="center" shrinkToFit="1"/>
    </xf>
    <xf numFmtId="38" fontId="12" fillId="0" borderId="30" xfId="0" applyNumberFormat="1" applyFont="1" applyBorder="1" applyAlignment="1">
      <alignment vertical="center" shrinkToFit="1"/>
    </xf>
    <xf numFmtId="166" fontId="21" fillId="0" borderId="30" xfId="0" applyNumberFormat="1" applyFont="1" applyBorder="1" applyAlignment="1">
      <alignment vertical="center" shrinkToFit="1"/>
    </xf>
    <xf numFmtId="166" fontId="21" fillId="0" borderId="30" xfId="348" applyNumberFormat="1" applyFont="1" applyFill="1" applyBorder="1" applyAlignment="1">
      <alignment horizontal="center" vertical="center" shrinkToFit="1"/>
    </xf>
    <xf numFmtId="166" fontId="14" fillId="0" borderId="30" xfId="348" applyNumberFormat="1" applyFont="1" applyFill="1" applyBorder="1" applyAlignment="1">
      <alignment horizontal="center" vertical="center" shrinkToFit="1"/>
    </xf>
    <xf numFmtId="166" fontId="196" fillId="0" borderId="30" xfId="348" applyNumberFormat="1" applyFont="1" applyFill="1" applyBorder="1" applyAlignment="1">
      <alignment horizontal="right" vertical="center" shrinkToFit="1"/>
    </xf>
    <xf numFmtId="166" fontId="24" fillId="0" borderId="30" xfId="348" applyNumberFormat="1" applyFont="1" applyFill="1" applyBorder="1" applyAlignment="1">
      <alignment horizontal="center" vertical="center" shrinkToFit="1"/>
    </xf>
    <xf numFmtId="166" fontId="24" fillId="0" borderId="30" xfId="0" applyNumberFormat="1" applyFont="1" applyBorder="1" applyAlignment="1">
      <alignment vertical="center" shrinkToFit="1"/>
    </xf>
    <xf numFmtId="166" fontId="24" fillId="0" borderId="31" xfId="0" applyNumberFormat="1" applyFont="1" applyBorder="1" applyAlignment="1">
      <alignment vertical="center" shrinkToFit="1"/>
    </xf>
    <xf numFmtId="166" fontId="21" fillId="0" borderId="174" xfId="0" applyNumberFormat="1" applyFont="1" applyBorder="1" applyAlignment="1">
      <alignment vertical="center" shrinkToFit="1"/>
    </xf>
    <xf numFmtId="166" fontId="21" fillId="0" borderId="140" xfId="0" applyNumberFormat="1" applyFont="1" applyBorder="1" applyAlignment="1">
      <alignment vertical="center" shrinkToFit="1"/>
    </xf>
    <xf numFmtId="166" fontId="21" fillId="0" borderId="140" xfId="348" applyNumberFormat="1" applyFont="1" applyFill="1" applyBorder="1" applyAlignment="1">
      <alignment horizontal="center" vertical="center" shrinkToFit="1"/>
    </xf>
    <xf numFmtId="166" fontId="12" fillId="0" borderId="0" xfId="0" applyNumberFormat="1" applyFont="1" applyAlignment="1">
      <alignment horizontal="center" vertical="center" wrapText="1" shrinkToFit="1"/>
    </xf>
    <xf numFmtId="166" fontId="24" fillId="0" borderId="0" xfId="0" applyNumberFormat="1" applyFont="1" applyAlignment="1">
      <alignment vertical="center" shrinkToFit="1"/>
    </xf>
    <xf numFmtId="38" fontId="24" fillId="0" borderId="0" xfId="0" applyNumberFormat="1" applyFont="1" applyAlignment="1">
      <alignment vertical="center" shrinkToFit="1"/>
    </xf>
    <xf numFmtId="10" fontId="24" fillId="0" borderId="0" xfId="3" applyNumberFormat="1" applyFont="1" applyBorder="1" applyAlignment="1">
      <alignment vertical="center" shrinkToFit="1"/>
    </xf>
    <xf numFmtId="3" fontId="21" fillId="0" borderId="0" xfId="3" applyNumberFormat="1" applyFont="1" applyBorder="1" applyAlignment="1">
      <alignment vertical="center" shrinkToFit="1"/>
    </xf>
    <xf numFmtId="38" fontId="21" fillId="0" borderId="0" xfId="0" applyNumberFormat="1" applyFont="1" applyAlignment="1">
      <alignment vertical="center" shrinkToFit="1"/>
    </xf>
    <xf numFmtId="38" fontId="18" fillId="0" borderId="0" xfId="0" applyNumberFormat="1" applyFont="1" applyAlignment="1">
      <alignment vertical="center" shrinkToFit="1"/>
    </xf>
    <xf numFmtId="38" fontId="18" fillId="0" borderId="0" xfId="0" applyNumberFormat="1" applyFont="1" applyAlignment="1">
      <alignment horizontal="right" vertical="center" shrinkToFit="1"/>
    </xf>
    <xf numFmtId="10" fontId="11" fillId="0" borderId="0" xfId="3" applyNumberFormat="1" applyFont="1" applyBorder="1" applyAlignment="1">
      <alignment vertical="center" shrinkToFit="1"/>
    </xf>
    <xf numFmtId="38" fontId="24" fillId="0" borderId="139" xfId="0" applyNumberFormat="1" applyFont="1" applyBorder="1" applyAlignment="1">
      <alignment vertical="center" shrinkToFit="1"/>
    </xf>
    <xf numFmtId="38" fontId="24" fillId="0" borderId="1" xfId="0" applyNumberFormat="1" applyFont="1" applyBorder="1" applyAlignment="1">
      <alignment vertical="center" shrinkToFit="1"/>
    </xf>
    <xf numFmtId="38" fontId="18" fillId="0" borderId="1" xfId="0" applyNumberFormat="1" applyFont="1" applyBorder="1" applyAlignment="1">
      <alignment horizontal="right" vertical="center" shrinkToFit="1"/>
    </xf>
    <xf numFmtId="10" fontId="11" fillId="0" borderId="1" xfId="3" applyNumberFormat="1" applyFont="1" applyBorder="1" applyAlignment="1">
      <alignment vertical="center" shrinkToFit="1"/>
    </xf>
    <xf numFmtId="10" fontId="24" fillId="0" borderId="1" xfId="3" applyNumberFormat="1" applyFont="1" applyBorder="1" applyAlignment="1">
      <alignment vertical="center" shrinkToFit="1"/>
    </xf>
    <xf numFmtId="10" fontId="24" fillId="0" borderId="135" xfId="3" applyNumberFormat="1" applyFont="1" applyBorder="1" applyAlignment="1">
      <alignment vertical="center" shrinkToFit="1"/>
    </xf>
    <xf numFmtId="166" fontId="12" fillId="0" borderId="1" xfId="0" applyNumberFormat="1" applyFont="1" applyBorder="1" applyAlignment="1">
      <alignment horizontal="center" vertical="center" wrapText="1" shrinkToFit="1"/>
    </xf>
    <xf numFmtId="166" fontId="12" fillId="0" borderId="1" xfId="0" applyNumberFormat="1" applyFont="1" applyBorder="1" applyAlignment="1">
      <alignment vertical="center" shrinkToFit="1"/>
    </xf>
    <xf numFmtId="166" fontId="24" fillId="0" borderId="1" xfId="0" applyNumberFormat="1" applyFont="1" applyBorder="1" applyAlignment="1">
      <alignment vertical="center" shrinkToFit="1"/>
    </xf>
    <xf numFmtId="38" fontId="12" fillId="0" borderId="1" xfId="0" applyNumberFormat="1" applyFont="1" applyBorder="1" applyAlignment="1">
      <alignment vertical="center" shrinkToFit="1"/>
    </xf>
    <xf numFmtId="38" fontId="18" fillId="0" borderId="1" xfId="0" applyNumberFormat="1" applyFont="1" applyBorder="1" applyAlignment="1">
      <alignment vertical="center" shrinkToFit="1"/>
    </xf>
    <xf numFmtId="9" fontId="24" fillId="0" borderId="1" xfId="3" applyFont="1" applyBorder="1" applyAlignment="1">
      <alignment vertical="center" shrinkToFit="1"/>
    </xf>
    <xf numFmtId="38" fontId="18" fillId="0" borderId="14" xfId="0" applyNumberFormat="1" applyFont="1" applyBorder="1" applyAlignment="1">
      <alignment vertical="center" shrinkToFit="1"/>
    </xf>
    <xf numFmtId="166" fontId="19" fillId="0" borderId="1" xfId="0" applyNumberFormat="1" applyFont="1" applyBorder="1" applyAlignment="1">
      <alignment vertical="center" shrinkToFit="1"/>
    </xf>
    <xf numFmtId="9" fontId="19" fillId="0" borderId="1" xfId="3" applyFont="1" applyBorder="1" applyAlignment="1">
      <alignment vertical="center" shrinkToFit="1"/>
    </xf>
    <xf numFmtId="10" fontId="12" fillId="0" borderId="1" xfId="3" applyNumberFormat="1" applyFont="1" applyBorder="1" applyAlignment="1">
      <alignment vertical="center" shrinkToFit="1"/>
    </xf>
    <xf numFmtId="9" fontId="140" fillId="0" borderId="1" xfId="3" applyFont="1" applyBorder="1" applyAlignment="1">
      <alignment vertical="center" shrinkToFit="1"/>
    </xf>
    <xf numFmtId="10" fontId="24" fillId="0" borderId="14" xfId="3" applyNumberFormat="1" applyFont="1" applyBorder="1" applyAlignment="1">
      <alignment vertical="center" shrinkToFit="1"/>
    </xf>
    <xf numFmtId="3" fontId="21" fillId="0" borderId="1" xfId="3" applyNumberFormat="1" applyFont="1" applyBorder="1" applyAlignment="1">
      <alignment vertical="center" shrinkToFit="1"/>
    </xf>
    <xf numFmtId="9" fontId="21" fillId="0" borderId="1" xfId="3" applyFont="1" applyBorder="1" applyAlignment="1">
      <alignment vertical="center" shrinkToFit="1"/>
    </xf>
    <xf numFmtId="38" fontId="21" fillId="0" borderId="1" xfId="0" applyNumberFormat="1" applyFont="1" applyBorder="1" applyAlignment="1">
      <alignment vertical="center" shrinkToFit="1"/>
    </xf>
    <xf numFmtId="9" fontId="12" fillId="0" borderId="1" xfId="3" applyFont="1" applyBorder="1" applyAlignment="1">
      <alignment vertical="center" shrinkToFit="1"/>
    </xf>
    <xf numFmtId="166" fontId="24" fillId="0" borderId="14" xfId="0" applyNumberFormat="1" applyFont="1" applyBorder="1" applyAlignment="1">
      <alignment horizontal="center" vertical="center" wrapText="1" shrinkToFit="1"/>
    </xf>
    <xf numFmtId="166" fontId="24" fillId="0" borderId="14" xfId="0" applyNumberFormat="1" applyFont="1" applyBorder="1" applyAlignment="1">
      <alignment vertical="center" shrinkToFit="1"/>
    </xf>
    <xf numFmtId="38" fontId="24" fillId="0" borderId="14" xfId="0" applyNumberFormat="1" applyFont="1" applyBorder="1" applyAlignment="1">
      <alignment vertical="center" shrinkToFit="1"/>
    </xf>
    <xf numFmtId="3" fontId="24" fillId="0" borderId="14" xfId="3" applyNumberFormat="1" applyFont="1" applyBorder="1" applyAlignment="1">
      <alignment vertical="center" shrinkToFit="1"/>
    </xf>
    <xf numFmtId="3" fontId="24" fillId="0" borderId="0" xfId="0" applyNumberFormat="1" applyFont="1"/>
    <xf numFmtId="3" fontId="24" fillId="0" borderId="60" xfId="0" applyNumberFormat="1" applyFont="1" applyBorder="1" applyAlignment="1">
      <alignment horizontal="center" vertical="center" wrapText="1"/>
    </xf>
    <xf numFmtId="3" fontId="24" fillId="0" borderId="60" xfId="3" applyNumberFormat="1" applyFont="1" applyBorder="1" applyAlignment="1">
      <alignment vertical="center" shrinkToFit="1"/>
    </xf>
    <xf numFmtId="3" fontId="226" fillId="0" borderId="60" xfId="0" applyNumberFormat="1" applyFont="1" applyBorder="1" applyAlignment="1">
      <alignment horizontal="center" vertical="center" wrapText="1"/>
    </xf>
    <xf numFmtId="3" fontId="226" fillId="0" borderId="60" xfId="0" applyNumberFormat="1" applyFont="1" applyBorder="1" applyAlignment="1">
      <alignment vertical="center"/>
    </xf>
    <xf numFmtId="38" fontId="226" fillId="0" borderId="60" xfId="0" applyNumberFormat="1" applyFont="1" applyBorder="1" applyAlignment="1">
      <alignment vertical="center" shrinkToFit="1"/>
    </xf>
    <xf numFmtId="232" fontId="227" fillId="0" borderId="60" xfId="12" applyNumberFormat="1" applyFont="1" applyBorder="1" applyAlignment="1">
      <alignment shrinkToFit="1"/>
    </xf>
    <xf numFmtId="10" fontId="226" fillId="0" borderId="60" xfId="3" applyNumberFormat="1" applyFont="1" applyBorder="1" applyAlignment="1">
      <alignment vertical="center" shrinkToFit="1"/>
    </xf>
    <xf numFmtId="3" fontId="227" fillId="0" borderId="60" xfId="12" applyNumberFormat="1" applyFont="1" applyBorder="1" applyAlignment="1">
      <alignment shrinkToFit="1"/>
    </xf>
    <xf numFmtId="179" fontId="227" fillId="0" borderId="60" xfId="264" applyNumberFormat="1" applyFont="1" applyFill="1" applyBorder="1" applyAlignment="1">
      <alignment horizontal="center" shrinkToFit="1"/>
    </xf>
    <xf numFmtId="232" fontId="227" fillId="0" borderId="0" xfId="12" applyNumberFormat="1" applyFont="1" applyAlignment="1">
      <alignment shrinkToFit="1"/>
    </xf>
    <xf numFmtId="3" fontId="226" fillId="0" borderId="0" xfId="0" applyNumberFormat="1" applyFont="1"/>
    <xf numFmtId="3" fontId="23" fillId="0" borderId="60" xfId="0" applyNumberFormat="1" applyFont="1" applyBorder="1" applyAlignment="1">
      <alignment horizontal="center" vertical="center" wrapText="1"/>
    </xf>
    <xf numFmtId="0" fontId="228" fillId="0" borderId="60" xfId="0" applyFont="1" applyBorder="1" applyAlignment="1">
      <alignment vertical="center"/>
    </xf>
    <xf numFmtId="3" fontId="228" fillId="0" borderId="60" xfId="0" applyNumberFormat="1" applyFont="1" applyBorder="1" applyAlignment="1">
      <alignment vertical="center" shrinkToFit="1"/>
    </xf>
    <xf numFmtId="232" fontId="228" fillId="0" borderId="60" xfId="351" applyNumberFormat="1" applyFont="1" applyBorder="1" applyAlignment="1">
      <alignment shrinkToFit="1"/>
    </xf>
    <xf numFmtId="10" fontId="23" fillId="0" borderId="60" xfId="3" applyNumberFormat="1" applyFont="1" applyBorder="1" applyAlignment="1">
      <alignment vertical="center" shrinkToFit="1"/>
    </xf>
    <xf numFmtId="232" fontId="228" fillId="0" borderId="60" xfId="264" applyNumberFormat="1" applyFont="1" applyBorder="1" applyAlignment="1">
      <alignment shrinkToFit="1"/>
    </xf>
    <xf numFmtId="3" fontId="23" fillId="0" borderId="60" xfId="3" applyNumberFormat="1" applyFont="1" applyBorder="1" applyAlignment="1">
      <alignment vertical="center" shrinkToFit="1"/>
    </xf>
    <xf numFmtId="179" fontId="228" fillId="0" borderId="60" xfId="264" applyNumberFormat="1" applyFont="1" applyFill="1" applyBorder="1" applyAlignment="1">
      <alignment horizontal="center" shrinkToFit="1"/>
    </xf>
    <xf numFmtId="232" fontId="228" fillId="0" borderId="0" xfId="264" applyNumberFormat="1" applyFont="1" applyBorder="1" applyAlignment="1">
      <alignment shrinkToFit="1"/>
    </xf>
    <xf numFmtId="3" fontId="140" fillId="0" borderId="60" xfId="0" applyNumberFormat="1" applyFont="1" applyBorder="1" applyAlignment="1">
      <alignment horizontal="center" vertical="center" wrapText="1"/>
    </xf>
    <xf numFmtId="0" fontId="229" fillId="0" borderId="60" xfId="0" applyFont="1" applyBorder="1" applyAlignment="1">
      <alignment vertical="center"/>
    </xf>
    <xf numFmtId="38" fontId="140" fillId="0" borderId="60" xfId="0" applyNumberFormat="1" applyFont="1" applyBorder="1" applyAlignment="1">
      <alignment vertical="center" shrinkToFit="1"/>
    </xf>
    <xf numFmtId="232" fontId="229" fillId="0" borderId="60" xfId="351" applyNumberFormat="1" applyFont="1" applyBorder="1" applyAlignment="1">
      <alignment shrinkToFit="1"/>
    </xf>
    <xf numFmtId="10" fontId="140" fillId="0" borderId="60" xfId="3" applyNumberFormat="1" applyFont="1" applyBorder="1" applyAlignment="1">
      <alignment vertical="center" shrinkToFit="1"/>
    </xf>
    <xf numFmtId="232" fontId="229" fillId="0" borderId="60" xfId="264" applyNumberFormat="1" applyFont="1" applyBorder="1" applyAlignment="1">
      <alignment shrinkToFit="1"/>
    </xf>
    <xf numFmtId="179" fontId="229" fillId="0" borderId="60" xfId="264" applyNumberFormat="1" applyFont="1" applyFill="1" applyBorder="1" applyAlignment="1">
      <alignment horizontal="center" shrinkToFit="1"/>
    </xf>
    <xf numFmtId="232" fontId="229" fillId="0" borderId="0" xfId="264" applyNumberFormat="1" applyFont="1" applyBorder="1" applyAlignment="1">
      <alignment shrinkToFit="1"/>
    </xf>
    <xf numFmtId="3" fontId="140" fillId="0" borderId="0" xfId="0" applyNumberFormat="1" applyFont="1"/>
    <xf numFmtId="232" fontId="229" fillId="0" borderId="0" xfId="351" applyNumberFormat="1" applyFont="1" applyAlignment="1">
      <alignment shrinkToFit="1"/>
    </xf>
    <xf numFmtId="232" fontId="228" fillId="0" borderId="0" xfId="351" applyNumberFormat="1" applyFont="1" applyAlignment="1">
      <alignment shrinkToFit="1"/>
    </xf>
    <xf numFmtId="3" fontId="23" fillId="0" borderId="60" xfId="0" applyNumberFormat="1" applyFont="1" applyBorder="1" applyAlignment="1">
      <alignment horizontal="center"/>
    </xf>
    <xf numFmtId="218" fontId="23" fillId="0" borderId="60" xfId="403" applyNumberFormat="1" applyFont="1" applyBorder="1"/>
    <xf numFmtId="232" fontId="228" fillId="0" borderId="60" xfId="351" applyNumberFormat="1" applyFont="1" applyBorder="1" applyAlignment="1">
      <alignment vertical="center" shrinkToFit="1"/>
    </xf>
    <xf numFmtId="232" fontId="228" fillId="0" borderId="60" xfId="264" applyNumberFormat="1" applyFont="1" applyBorder="1" applyAlignment="1">
      <alignment vertical="center" shrinkToFit="1"/>
    </xf>
    <xf numFmtId="179" fontId="228" fillId="0" borderId="60" xfId="264" applyNumberFormat="1" applyFont="1" applyFill="1" applyBorder="1" applyAlignment="1">
      <alignment horizontal="center" vertical="center" shrinkToFit="1"/>
    </xf>
    <xf numFmtId="179" fontId="229" fillId="0" borderId="60" xfId="264" applyNumberFormat="1" applyFont="1" applyFill="1" applyBorder="1" applyAlignment="1">
      <alignment horizontal="center" vertical="center" shrinkToFit="1"/>
    </xf>
    <xf numFmtId="232" fontId="228" fillId="0" borderId="0" xfId="264" applyNumberFormat="1" applyFont="1" applyBorder="1" applyAlignment="1">
      <alignment vertical="center" shrinkToFit="1"/>
    </xf>
    <xf numFmtId="173" fontId="23" fillId="0" borderId="0" xfId="3" applyNumberFormat="1" applyFont="1"/>
    <xf numFmtId="9" fontId="23" fillId="0" borderId="0" xfId="3" applyFont="1"/>
    <xf numFmtId="3" fontId="24" fillId="0" borderId="60" xfId="0" applyNumberFormat="1" applyFont="1" applyBorder="1" applyAlignment="1">
      <alignment vertical="center" wrapText="1"/>
    </xf>
    <xf numFmtId="38" fontId="23" fillId="0" borderId="60" xfId="0" applyNumberFormat="1" applyFont="1" applyBorder="1" applyAlignment="1">
      <alignment vertical="center" shrinkToFit="1"/>
    </xf>
    <xf numFmtId="10" fontId="23" fillId="0" borderId="60" xfId="3" applyNumberFormat="1" applyFont="1" applyFill="1" applyBorder="1" applyAlignment="1">
      <alignment vertical="center" shrinkToFit="1"/>
    </xf>
    <xf numFmtId="173" fontId="23" fillId="0" borderId="60" xfId="3" applyNumberFormat="1" applyFont="1" applyBorder="1" applyAlignment="1">
      <alignment vertical="center" shrinkToFit="1"/>
    </xf>
    <xf numFmtId="10" fontId="23" fillId="0" borderId="0" xfId="3" applyNumberFormat="1" applyFont="1" applyBorder="1" applyAlignment="1">
      <alignment vertical="center" shrinkToFit="1"/>
    </xf>
    <xf numFmtId="10" fontId="24" fillId="0" borderId="60" xfId="3" applyNumberFormat="1" applyFont="1" applyFill="1" applyBorder="1" applyAlignment="1">
      <alignment vertical="center" shrinkToFit="1"/>
    </xf>
    <xf numFmtId="10" fontId="230" fillId="0" borderId="60" xfId="3" applyNumberFormat="1" applyFont="1" applyBorder="1" applyAlignment="1">
      <alignment vertical="center" shrinkToFit="1"/>
    </xf>
    <xf numFmtId="179" fontId="24" fillId="0" borderId="60" xfId="403" applyNumberFormat="1" applyFont="1" applyBorder="1" applyAlignment="1">
      <alignment vertical="center" shrinkToFit="1"/>
    </xf>
    <xf numFmtId="179" fontId="24" fillId="0" borderId="60" xfId="403" applyNumberFormat="1" applyFont="1" applyFill="1" applyBorder="1" applyAlignment="1">
      <alignment vertical="center" shrinkToFit="1"/>
    </xf>
    <xf numFmtId="3" fontId="140" fillId="0" borderId="60" xfId="0" applyNumberFormat="1" applyFont="1" applyBorder="1" applyAlignment="1">
      <alignment vertical="center"/>
    </xf>
    <xf numFmtId="9" fontId="230" fillId="0" borderId="60" xfId="3" applyFont="1" applyBorder="1" applyAlignment="1">
      <alignment vertical="center" shrinkToFit="1"/>
    </xf>
    <xf numFmtId="3" fontId="230" fillId="0" borderId="60" xfId="3" applyNumberFormat="1" applyFont="1" applyBorder="1" applyAlignment="1">
      <alignment vertical="center" shrinkToFit="1"/>
    </xf>
    <xf numFmtId="10" fontId="230" fillId="0" borderId="0" xfId="3" applyNumberFormat="1" applyFont="1" applyBorder="1" applyAlignment="1">
      <alignment vertical="center" shrinkToFit="1"/>
    </xf>
    <xf numFmtId="3" fontId="230" fillId="0" borderId="0" xfId="0" applyNumberFormat="1" applyFont="1"/>
    <xf numFmtId="3" fontId="217" fillId="0" borderId="60" xfId="0" applyNumberFormat="1" applyFont="1" applyBorder="1" applyAlignment="1">
      <alignment horizontal="center" vertical="center" wrapText="1"/>
    </xf>
    <xf numFmtId="3" fontId="217" fillId="0" borderId="60" xfId="0" applyNumberFormat="1" applyFont="1" applyBorder="1" applyAlignment="1">
      <alignment vertical="center"/>
    </xf>
    <xf numFmtId="10" fontId="231" fillId="0" borderId="60" xfId="3" applyNumberFormat="1" applyFont="1" applyBorder="1" applyAlignment="1">
      <alignment vertical="center" shrinkToFit="1"/>
    </xf>
    <xf numFmtId="10" fontId="193" fillId="0" borderId="60" xfId="3" applyNumberFormat="1" applyFont="1" applyBorder="1" applyAlignment="1">
      <alignment vertical="center" shrinkToFit="1"/>
    </xf>
    <xf numFmtId="3" fontId="231" fillId="0" borderId="60" xfId="3" applyNumberFormat="1" applyFont="1" applyBorder="1" applyAlignment="1">
      <alignment vertical="center" shrinkToFit="1"/>
    </xf>
    <xf numFmtId="10" fontId="231" fillId="0" borderId="0" xfId="3" applyNumberFormat="1" applyFont="1" applyBorder="1" applyAlignment="1">
      <alignment vertical="center" shrinkToFit="1"/>
    </xf>
    <xf numFmtId="3" fontId="231" fillId="0" borderId="0" xfId="0" applyNumberFormat="1" applyFont="1"/>
    <xf numFmtId="10" fontId="230" fillId="0" borderId="60" xfId="3" applyNumberFormat="1" applyFont="1" applyFill="1" applyBorder="1" applyAlignment="1">
      <alignment vertical="center" shrinkToFit="1"/>
    </xf>
    <xf numFmtId="9" fontId="230" fillId="0" borderId="60" xfId="3" applyFont="1" applyFill="1" applyBorder="1" applyAlignment="1">
      <alignment vertical="center" shrinkToFit="1"/>
    </xf>
    <xf numFmtId="9" fontId="230" fillId="0" borderId="0" xfId="3" applyFont="1" applyBorder="1" applyAlignment="1">
      <alignment vertical="center" shrinkToFit="1"/>
    </xf>
    <xf numFmtId="3" fontId="232" fillId="0" borderId="60" xfId="0" applyNumberFormat="1" applyFont="1" applyBorder="1" applyAlignment="1">
      <alignment horizontal="center" vertical="center" wrapText="1"/>
    </xf>
    <xf numFmtId="3" fontId="232" fillId="0" borderId="60" xfId="0" applyNumberFormat="1" applyFont="1" applyBorder="1" applyAlignment="1">
      <alignment vertical="center"/>
    </xf>
    <xf numFmtId="38" fontId="232" fillId="0" borderId="60" xfId="0" applyNumberFormat="1" applyFont="1" applyBorder="1" applyAlignment="1">
      <alignment vertical="center" shrinkToFit="1"/>
    </xf>
    <xf numFmtId="10" fontId="232" fillId="0" borderId="60" xfId="3" applyNumberFormat="1" applyFont="1" applyFill="1" applyBorder="1" applyAlignment="1">
      <alignment vertical="center" shrinkToFit="1"/>
    </xf>
    <xf numFmtId="10" fontId="232" fillId="0" borderId="60" xfId="3" applyNumberFormat="1" applyFont="1" applyBorder="1" applyAlignment="1">
      <alignment vertical="center" shrinkToFit="1"/>
    </xf>
    <xf numFmtId="3" fontId="232" fillId="0" borderId="60" xfId="0" applyNumberFormat="1" applyFont="1" applyBorder="1" applyAlignment="1">
      <alignment vertical="center" shrinkToFit="1"/>
    </xf>
    <xf numFmtId="38" fontId="232" fillId="0" borderId="0" xfId="0" applyNumberFormat="1" applyFont="1" applyAlignment="1">
      <alignment vertical="center" shrinkToFit="1"/>
    </xf>
    <xf numFmtId="3" fontId="232" fillId="0" borderId="0" xfId="0" applyNumberFormat="1" applyFont="1"/>
    <xf numFmtId="10" fontId="140" fillId="0" borderId="60" xfId="3" applyNumberFormat="1" applyFont="1" applyFill="1" applyBorder="1" applyAlignment="1">
      <alignment vertical="center" shrinkToFit="1"/>
    </xf>
    <xf numFmtId="3" fontId="140" fillId="0" borderId="60" xfId="3" applyNumberFormat="1" applyFont="1" applyBorder="1" applyAlignment="1">
      <alignment vertical="center" shrinkToFit="1"/>
    </xf>
    <xf numFmtId="38" fontId="140" fillId="0" borderId="0" xfId="0" applyNumberFormat="1" applyFont="1" applyAlignment="1">
      <alignment vertical="center" shrinkToFit="1"/>
    </xf>
    <xf numFmtId="9" fontId="24" fillId="0" borderId="60" xfId="3" applyFont="1" applyFill="1" applyBorder="1" applyAlignment="1">
      <alignment vertical="center" shrinkToFit="1"/>
    </xf>
    <xf numFmtId="9" fontId="24" fillId="0" borderId="0" xfId="3" applyFont="1" applyBorder="1" applyAlignment="1">
      <alignment vertical="center" shrinkToFit="1"/>
    </xf>
    <xf numFmtId="9" fontId="23" fillId="0" borderId="60" xfId="3" applyFont="1" applyBorder="1" applyAlignment="1">
      <alignment vertical="center" shrinkToFit="1"/>
    </xf>
    <xf numFmtId="3" fontId="18" fillId="0" borderId="60" xfId="0" applyNumberFormat="1" applyFont="1" applyBorder="1" applyAlignment="1">
      <alignment horizontal="center" vertical="center" wrapText="1"/>
    </xf>
    <xf numFmtId="10" fontId="18" fillId="0" borderId="60" xfId="3" applyNumberFormat="1" applyFont="1" applyFill="1" applyBorder="1" applyAlignment="1">
      <alignment vertical="center" shrinkToFit="1"/>
    </xf>
    <xf numFmtId="3" fontId="18" fillId="0" borderId="60" xfId="3" applyNumberFormat="1" applyFont="1" applyBorder="1" applyAlignment="1">
      <alignment vertical="center" shrinkToFit="1"/>
    </xf>
    <xf numFmtId="10" fontId="18" fillId="0" borderId="0" xfId="3" applyNumberFormat="1" applyFont="1" applyBorder="1" applyAlignment="1">
      <alignment vertical="center" shrinkToFit="1"/>
    </xf>
    <xf numFmtId="3" fontId="18" fillId="0" borderId="0" xfId="0" applyNumberFormat="1" applyFont="1"/>
    <xf numFmtId="3" fontId="18" fillId="0" borderId="0" xfId="0" applyNumberFormat="1" applyFont="1" applyAlignment="1">
      <alignment vertical="center" shrinkToFit="1"/>
    </xf>
    <xf numFmtId="9" fontId="140" fillId="0" borderId="60" xfId="3" applyFont="1" applyBorder="1" applyAlignment="1">
      <alignment vertical="center" shrinkToFit="1"/>
    </xf>
    <xf numFmtId="10" fontId="140" fillId="0" borderId="0" xfId="3" applyNumberFormat="1" applyFont="1" applyBorder="1" applyAlignment="1">
      <alignment vertical="center" shrinkToFit="1"/>
    </xf>
    <xf numFmtId="166" fontId="18" fillId="0" borderId="60" xfId="0" applyNumberFormat="1" applyFont="1" applyBorder="1" applyAlignment="1">
      <alignment horizontal="center" vertical="center" wrapText="1" shrinkToFit="1"/>
    </xf>
    <xf numFmtId="3" fontId="139" fillId="0" borderId="60" xfId="0" applyNumberFormat="1" applyFont="1" applyBorder="1" applyAlignment="1">
      <alignment horizontal="center" vertical="center" wrapText="1"/>
    </xf>
    <xf numFmtId="3" fontId="139" fillId="0" borderId="60" xfId="0" applyNumberFormat="1" applyFont="1" applyBorder="1" applyAlignment="1">
      <alignment vertical="center"/>
    </xf>
    <xf numFmtId="9" fontId="139" fillId="0" borderId="60" xfId="3" applyFont="1" applyBorder="1" applyAlignment="1">
      <alignment vertical="center" shrinkToFit="1"/>
    </xf>
    <xf numFmtId="9" fontId="139" fillId="0" borderId="60" xfId="3" applyFont="1" applyFill="1" applyBorder="1" applyAlignment="1">
      <alignment vertical="center" shrinkToFit="1"/>
    </xf>
    <xf numFmtId="10" fontId="139" fillId="0" borderId="60" xfId="3" applyNumberFormat="1" applyFont="1" applyFill="1" applyBorder="1" applyAlignment="1">
      <alignment vertical="center" shrinkToFit="1"/>
    </xf>
    <xf numFmtId="10" fontId="139" fillId="0" borderId="60" xfId="3" applyNumberFormat="1" applyFont="1" applyBorder="1" applyAlignment="1">
      <alignment vertical="center" shrinkToFit="1"/>
    </xf>
    <xf numFmtId="9" fontId="139" fillId="0" borderId="0" xfId="3" applyFont="1" applyBorder="1" applyAlignment="1">
      <alignment vertical="center" shrinkToFit="1"/>
    </xf>
    <xf numFmtId="166" fontId="139" fillId="0" borderId="60" xfId="0" applyNumberFormat="1" applyFont="1" applyBorder="1" applyAlignment="1">
      <alignment horizontal="center" vertical="center" wrapText="1" shrinkToFit="1"/>
    </xf>
    <xf numFmtId="166" fontId="139" fillId="0" borderId="60" xfId="0" applyNumberFormat="1" applyFont="1" applyBorder="1" applyAlignment="1">
      <alignment vertical="center" shrinkToFit="1"/>
    </xf>
    <xf numFmtId="3" fontId="139" fillId="0" borderId="60" xfId="0" applyNumberFormat="1" applyFont="1" applyBorder="1" applyAlignment="1">
      <alignment vertical="center" shrinkToFit="1"/>
    </xf>
    <xf numFmtId="3" fontId="139" fillId="0" borderId="60" xfId="3" applyNumberFormat="1" applyFont="1" applyBorder="1" applyAlignment="1">
      <alignment vertical="center" shrinkToFit="1"/>
    </xf>
    <xf numFmtId="3" fontId="139" fillId="0" borderId="0" xfId="0" applyNumberFormat="1" applyFont="1" applyAlignment="1">
      <alignment vertical="center" shrinkToFit="1"/>
    </xf>
    <xf numFmtId="3" fontId="139" fillId="0" borderId="0" xfId="0" applyNumberFormat="1" applyFont="1"/>
    <xf numFmtId="9" fontId="18" fillId="0" borderId="0" xfId="3" applyFont="1" applyBorder="1" applyAlignment="1">
      <alignment vertical="center" shrinkToFit="1"/>
    </xf>
    <xf numFmtId="3" fontId="11" fillId="0" borderId="60" xfId="0" applyNumberFormat="1" applyFont="1" applyBorder="1" applyAlignment="1">
      <alignment horizontal="center" vertical="center" wrapText="1"/>
    </xf>
    <xf numFmtId="3" fontId="11" fillId="0" borderId="60" xfId="0" applyNumberFormat="1" applyFont="1" applyBorder="1" applyAlignment="1">
      <alignment vertical="center"/>
    </xf>
    <xf numFmtId="10" fontId="11" fillId="0" borderId="60" xfId="3" applyNumberFormat="1" applyFont="1" applyBorder="1" applyAlignment="1">
      <alignment vertical="center" shrinkToFit="1"/>
    </xf>
    <xf numFmtId="9" fontId="11" fillId="0" borderId="60" xfId="3" applyFont="1" applyBorder="1" applyAlignment="1">
      <alignment vertical="center" shrinkToFit="1"/>
    </xf>
    <xf numFmtId="3" fontId="11" fillId="0" borderId="0" xfId="0" applyNumberFormat="1" applyFont="1" applyAlignment="1">
      <alignment vertical="center" shrinkToFi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xf>
    <xf numFmtId="3" fontId="140" fillId="0" borderId="60" xfId="0" applyNumberFormat="1" applyFont="1" applyBorder="1" applyAlignment="1">
      <alignment vertical="center" shrinkToFit="1"/>
    </xf>
    <xf numFmtId="3" fontId="19" fillId="0" borderId="0" xfId="0" applyNumberFormat="1" applyFont="1" applyAlignment="1">
      <alignment vertical="center" shrinkToFit="1"/>
    </xf>
    <xf numFmtId="10" fontId="11" fillId="0" borderId="60" xfId="3" applyNumberFormat="1" applyFont="1" applyFill="1" applyBorder="1" applyAlignment="1">
      <alignment vertical="center" shrinkToFit="1"/>
    </xf>
    <xf numFmtId="9" fontId="11" fillId="0" borderId="60" xfId="3" applyFont="1" applyFill="1" applyBorder="1" applyAlignment="1">
      <alignment vertical="center" shrinkToFit="1"/>
    </xf>
    <xf numFmtId="10" fontId="4" fillId="0" borderId="60" xfId="3" applyNumberFormat="1" applyFont="1" applyBorder="1" applyAlignment="1">
      <alignment vertical="center" shrinkToFit="1"/>
    </xf>
    <xf numFmtId="3" fontId="17" fillId="0" borderId="60" xfId="3" applyNumberFormat="1" applyFont="1" applyBorder="1" applyAlignment="1">
      <alignment vertical="center" shrinkToFit="1"/>
    </xf>
    <xf numFmtId="10" fontId="17" fillId="0" borderId="60" xfId="3" applyNumberFormat="1" applyFont="1" applyBorder="1" applyAlignment="1">
      <alignment vertical="center" shrinkToFit="1"/>
    </xf>
    <xf numFmtId="10" fontId="4" fillId="0" borderId="0" xfId="3" applyNumberFormat="1" applyFont="1" applyBorder="1" applyAlignment="1">
      <alignment vertical="center" shrinkToFit="1"/>
    </xf>
    <xf numFmtId="3" fontId="20" fillId="0" borderId="0" xfId="0" applyNumberFormat="1" applyFont="1"/>
    <xf numFmtId="10" fontId="19" fillId="0" borderId="60" xfId="3" applyNumberFormat="1" applyFont="1" applyFill="1" applyBorder="1" applyAlignment="1">
      <alignment vertical="center" shrinkToFit="1"/>
    </xf>
    <xf numFmtId="3" fontId="16" fillId="0" borderId="60" xfId="3" applyNumberFormat="1" applyFont="1" applyFill="1" applyBorder="1" applyAlignment="1">
      <alignment vertical="center" shrinkToFit="1"/>
    </xf>
    <xf numFmtId="3" fontId="14" fillId="0" borderId="60" xfId="3" applyNumberFormat="1" applyFont="1" applyFill="1" applyBorder="1" applyAlignment="1">
      <alignment vertical="center" shrinkToFit="1"/>
    </xf>
    <xf numFmtId="3" fontId="11" fillId="0" borderId="13" xfId="0" applyNumberFormat="1" applyFont="1" applyBorder="1" applyAlignment="1">
      <alignment vertical="center" wrapText="1"/>
    </xf>
    <xf numFmtId="3" fontId="18" fillId="0" borderId="13" xfId="0" applyNumberFormat="1" applyFont="1" applyBorder="1" applyAlignment="1">
      <alignment vertical="center" shrinkToFit="1"/>
    </xf>
    <xf numFmtId="10" fontId="18" fillId="0" borderId="13" xfId="3" applyNumberFormat="1" applyFont="1" applyFill="1" applyBorder="1" applyAlignment="1">
      <alignment vertical="center" shrinkToFit="1"/>
    </xf>
    <xf numFmtId="3" fontId="11" fillId="0" borderId="13" xfId="0" applyNumberFormat="1" applyFont="1" applyBorder="1" applyAlignment="1">
      <alignment vertical="center" shrinkToFit="1"/>
    </xf>
    <xf numFmtId="10" fontId="11" fillId="0" borderId="13" xfId="3" applyNumberFormat="1" applyFont="1" applyFill="1" applyBorder="1" applyAlignment="1">
      <alignment vertical="center" shrinkToFit="1"/>
    </xf>
    <xf numFmtId="3" fontId="14" fillId="0" borderId="13" xfId="3" applyNumberFormat="1" applyFont="1" applyFill="1" applyBorder="1" applyAlignment="1">
      <alignment vertical="center" shrinkToFit="1"/>
    </xf>
    <xf numFmtId="3" fontId="14" fillId="0" borderId="13" xfId="0" applyNumberFormat="1" applyFont="1" applyBorder="1" applyAlignment="1">
      <alignment vertical="center" shrinkToFit="1"/>
    </xf>
    <xf numFmtId="3" fontId="11" fillId="0" borderId="14" xfId="0" applyNumberFormat="1" applyFont="1" applyBorder="1" applyAlignment="1">
      <alignment horizontal="center" vertical="center" wrapText="1"/>
    </xf>
    <xf numFmtId="3" fontId="11" fillId="0" borderId="14" xfId="0" applyNumberFormat="1" applyFont="1" applyBorder="1" applyAlignment="1">
      <alignment vertical="center"/>
    </xf>
    <xf numFmtId="3" fontId="18" fillId="0" borderId="14" xfId="0" applyNumberFormat="1" applyFont="1" applyBorder="1" applyAlignment="1">
      <alignment vertical="center" shrinkToFit="1"/>
    </xf>
    <xf numFmtId="10" fontId="18" fillId="0" borderId="14" xfId="3" applyNumberFormat="1" applyFont="1" applyFill="1" applyBorder="1" applyAlignment="1">
      <alignment vertical="center" shrinkToFit="1"/>
    </xf>
    <xf numFmtId="10" fontId="18" fillId="0" borderId="14" xfId="3" applyNumberFormat="1" applyFont="1" applyBorder="1" applyAlignment="1">
      <alignment vertical="center" shrinkToFit="1"/>
    </xf>
    <xf numFmtId="3" fontId="11" fillId="0" borderId="14" xfId="0" applyNumberFormat="1" applyFont="1" applyBorder="1" applyAlignment="1">
      <alignment vertical="center" shrinkToFit="1"/>
    </xf>
    <xf numFmtId="10" fontId="11" fillId="0" borderId="14" xfId="3" applyNumberFormat="1" applyFont="1" applyBorder="1" applyAlignment="1">
      <alignment vertical="center" shrinkToFit="1"/>
    </xf>
    <xf numFmtId="3" fontId="14" fillId="0" borderId="14" xfId="3" applyNumberFormat="1" applyFont="1" applyBorder="1" applyAlignment="1">
      <alignment vertical="center" shrinkToFit="1"/>
    </xf>
    <xf numFmtId="3" fontId="14" fillId="0" borderId="14" xfId="0" applyNumberFormat="1" applyFont="1" applyBorder="1" applyAlignment="1">
      <alignment vertical="center" shrinkToFit="1"/>
    </xf>
    <xf numFmtId="3" fontId="4" fillId="0" borderId="0" xfId="0" applyNumberFormat="1" applyFont="1" applyAlignment="1">
      <alignment vertical="center" shrinkToFit="1"/>
    </xf>
    <xf numFmtId="3" fontId="4" fillId="0" borderId="13" xfId="0" applyNumberFormat="1" applyFont="1" applyBorder="1" applyAlignment="1">
      <alignment horizontal="center" vertical="center" wrapText="1"/>
    </xf>
    <xf numFmtId="166" fontId="4" fillId="0" borderId="13" xfId="0" applyNumberFormat="1" applyFont="1" applyBorder="1" applyAlignment="1">
      <alignment vertical="center" wrapText="1" shrinkToFit="1"/>
    </xf>
    <xf numFmtId="9" fontId="23" fillId="0" borderId="13" xfId="3" applyFont="1" applyBorder="1" applyAlignment="1">
      <alignment vertical="center" shrinkToFit="1"/>
    </xf>
    <xf numFmtId="10" fontId="23" fillId="0" borderId="13" xfId="3" applyNumberFormat="1" applyFont="1" applyBorder="1" applyAlignment="1">
      <alignment vertical="center" shrinkToFit="1"/>
    </xf>
    <xf numFmtId="10" fontId="23" fillId="0" borderId="13" xfId="3" applyNumberFormat="1" applyFont="1" applyFill="1" applyBorder="1" applyAlignment="1">
      <alignment vertical="center" shrinkToFit="1"/>
    </xf>
    <xf numFmtId="10" fontId="4" fillId="0" borderId="13" xfId="3" applyNumberFormat="1" applyFont="1" applyBorder="1" applyAlignment="1">
      <alignment vertical="center" shrinkToFit="1"/>
    </xf>
    <xf numFmtId="3" fontId="17" fillId="0" borderId="13" xfId="3" applyNumberFormat="1" applyFont="1" applyBorder="1" applyAlignment="1">
      <alignment vertical="center" shrinkToFit="1"/>
    </xf>
    <xf numFmtId="10" fontId="17" fillId="0" borderId="13" xfId="3" applyNumberFormat="1" applyFont="1" applyBorder="1" applyAlignment="1">
      <alignment vertical="center" shrinkToFit="1"/>
    </xf>
    <xf numFmtId="166" fontId="4" fillId="0" borderId="0" xfId="0" applyNumberFormat="1" applyFont="1" applyAlignment="1">
      <alignment vertical="center" wrapText="1" shrinkToFit="1"/>
    </xf>
    <xf numFmtId="9" fontId="23" fillId="0" borderId="0" xfId="3" applyFont="1" applyBorder="1" applyAlignment="1">
      <alignment vertical="center" shrinkToFit="1"/>
    </xf>
    <xf numFmtId="10" fontId="23" fillId="0" borderId="0" xfId="3" applyNumberFormat="1" applyFont="1" applyFill="1" applyBorder="1" applyAlignment="1">
      <alignment vertical="center" shrinkToFit="1"/>
    </xf>
    <xf numFmtId="3" fontId="4" fillId="0" borderId="0" xfId="3" applyNumberFormat="1" applyFont="1" applyBorder="1" applyAlignment="1">
      <alignment vertical="center" shrinkToFit="1"/>
    </xf>
    <xf numFmtId="3" fontId="17" fillId="0" borderId="0" xfId="3" applyNumberFormat="1" applyFont="1" applyBorder="1" applyAlignment="1">
      <alignment vertical="center" shrinkToFit="1"/>
    </xf>
    <xf numFmtId="10" fontId="17" fillId="0" borderId="0" xfId="3" applyNumberFormat="1" applyFont="1" applyBorder="1" applyAlignment="1">
      <alignment vertical="center" shrinkToFit="1"/>
    </xf>
    <xf numFmtId="4" fontId="17" fillId="0" borderId="0" xfId="3" applyNumberFormat="1" applyFont="1" applyBorder="1" applyAlignment="1">
      <alignment vertical="center" shrinkToFit="1"/>
    </xf>
    <xf numFmtId="10" fontId="23" fillId="0" borderId="0" xfId="3" applyNumberFormat="1" applyFont="1"/>
    <xf numFmtId="217" fontId="23" fillId="0" borderId="0" xfId="403" applyNumberFormat="1" applyFont="1" applyAlignment="1">
      <alignment shrinkToFit="1"/>
    </xf>
    <xf numFmtId="9" fontId="23" fillId="0" borderId="0" xfId="3" applyFont="1" applyAlignment="1">
      <alignment shrinkToFit="1"/>
    </xf>
    <xf numFmtId="43" fontId="23" fillId="0" borderId="0" xfId="403" applyFont="1"/>
    <xf numFmtId="3" fontId="4" fillId="0" borderId="0" xfId="3" applyNumberFormat="1" applyFont="1" applyAlignment="1">
      <alignment shrinkToFit="1"/>
    </xf>
    <xf numFmtId="9" fontId="21" fillId="0" borderId="0" xfId="3" applyFont="1" applyBorder="1" applyAlignment="1">
      <alignment vertical="center" shrinkToFit="1"/>
    </xf>
    <xf numFmtId="3" fontId="17" fillId="0" borderId="0" xfId="3" applyNumberFormat="1" applyFont="1"/>
    <xf numFmtId="3" fontId="18" fillId="0" borderId="167" xfId="0" applyNumberFormat="1" applyFont="1" applyBorder="1" applyAlignment="1">
      <alignment horizontal="center" vertical="center" wrapText="1"/>
    </xf>
    <xf numFmtId="3" fontId="4" fillId="0" borderId="0" xfId="0" applyNumberFormat="1" applyFont="1" applyAlignment="1">
      <alignment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1" fillId="0" borderId="197" xfId="0" applyNumberFormat="1" applyFont="1" applyBorder="1" applyAlignment="1">
      <alignment horizontal="center" shrinkToFit="1"/>
    </xf>
    <xf numFmtId="3" fontId="11" fillId="0" borderId="7" xfId="0" applyNumberFormat="1" applyFont="1" applyBorder="1" applyAlignment="1">
      <alignment horizontal="center" shrinkToFit="1"/>
    </xf>
    <xf numFmtId="3" fontId="11" fillId="0" borderId="7" xfId="0" applyNumberFormat="1" applyFont="1" applyBorder="1" applyAlignment="1">
      <alignment horizontal="center"/>
    </xf>
    <xf numFmtId="3" fontId="14" fillId="0" borderId="7" xfId="0" applyNumberFormat="1" applyFont="1" applyBorder="1" applyAlignment="1">
      <alignment horizontal="center"/>
    </xf>
    <xf numFmtId="3" fontId="18" fillId="0" borderId="7" xfId="0" applyNumberFormat="1" applyFont="1" applyBorder="1" applyAlignment="1">
      <alignment horizontal="center"/>
    </xf>
    <xf numFmtId="3" fontId="17" fillId="0" borderId="7" xfId="0" applyNumberFormat="1" applyFont="1" applyBorder="1"/>
    <xf numFmtId="3" fontId="23" fillId="0" borderId="7" xfId="0" applyNumberFormat="1" applyFont="1" applyBorder="1"/>
    <xf numFmtId="3" fontId="23" fillId="0" borderId="170" xfId="0" applyNumberFormat="1" applyFont="1" applyBorder="1"/>
    <xf numFmtId="3" fontId="11" fillId="0" borderId="62" xfId="0" applyNumberFormat="1" applyFont="1" applyBorder="1" applyAlignment="1">
      <alignment horizontal="center" vertical="center" shrinkToFit="1"/>
    </xf>
    <xf numFmtId="3" fontId="11" fillId="0" borderId="58" xfId="0" applyNumberFormat="1" applyFont="1" applyBorder="1" applyAlignment="1">
      <alignment horizontal="center" vertical="center" shrinkToFit="1"/>
    </xf>
    <xf numFmtId="3" fontId="11" fillId="0" borderId="58" xfId="0" applyNumberFormat="1" applyFont="1" applyBorder="1" applyAlignment="1">
      <alignment vertical="center" shrinkToFit="1"/>
    </xf>
    <xf numFmtId="3" fontId="11" fillId="0" borderId="58" xfId="0" applyNumberFormat="1" applyFont="1" applyBorder="1" applyAlignment="1">
      <alignment vertical="center"/>
    </xf>
    <xf numFmtId="9" fontId="11" fillId="0" borderId="58" xfId="3" applyFont="1" applyBorder="1" applyAlignment="1">
      <alignment vertical="center" shrinkToFit="1"/>
    </xf>
    <xf numFmtId="3" fontId="18" fillId="0" borderId="63" xfId="0" applyNumberFormat="1" applyFont="1" applyBorder="1" applyAlignment="1">
      <alignment vertical="center" shrinkToFit="1"/>
    </xf>
    <xf numFmtId="3" fontId="4" fillId="0" borderId="68" xfId="0" applyNumberFormat="1" applyFont="1" applyBorder="1" applyAlignment="1">
      <alignment vertical="center"/>
    </xf>
    <xf numFmtId="9" fontId="11" fillId="0" borderId="58" xfId="3" applyFont="1" applyBorder="1" applyAlignment="1">
      <alignment vertical="center"/>
    </xf>
    <xf numFmtId="3" fontId="4" fillId="0" borderId="58" xfId="0" applyNumberFormat="1" applyFont="1" applyBorder="1" applyAlignment="1">
      <alignment vertical="center"/>
    </xf>
    <xf numFmtId="10" fontId="11" fillId="0" borderId="58" xfId="3" applyNumberFormat="1" applyFont="1" applyBorder="1" applyAlignment="1">
      <alignment vertical="center" shrinkToFit="1"/>
    </xf>
    <xf numFmtId="3" fontId="4" fillId="0" borderId="0" xfId="0" applyNumberFormat="1" applyFont="1" applyAlignment="1">
      <alignment vertical="center"/>
    </xf>
    <xf numFmtId="9" fontId="4" fillId="0" borderId="0" xfId="3" applyFont="1" applyAlignment="1">
      <alignment vertical="center"/>
    </xf>
    <xf numFmtId="9" fontId="19" fillId="0" borderId="26" xfId="3" applyFont="1" applyBorder="1" applyAlignment="1">
      <alignment horizontal="center" vertical="center" wrapText="1"/>
    </xf>
    <xf numFmtId="9" fontId="19" fillId="0" borderId="60" xfId="3" applyFont="1" applyBorder="1" applyAlignment="1">
      <alignment vertical="center" wrapText="1" shrinkToFit="1"/>
    </xf>
    <xf numFmtId="9" fontId="19" fillId="0" borderId="60" xfId="3" applyFont="1" applyBorder="1" applyAlignment="1">
      <alignment vertical="center" shrinkToFit="1"/>
    </xf>
    <xf numFmtId="10" fontId="19" fillId="0" borderId="60" xfId="3" applyNumberFormat="1" applyFont="1" applyBorder="1" applyAlignment="1">
      <alignment vertical="center" shrinkToFit="1"/>
    </xf>
    <xf numFmtId="10" fontId="16" fillId="0" borderId="60" xfId="3" applyNumberFormat="1" applyFont="1" applyBorder="1" applyAlignment="1">
      <alignment vertical="center" shrinkToFit="1"/>
    </xf>
    <xf numFmtId="10" fontId="16" fillId="0" borderId="60" xfId="3" applyNumberFormat="1" applyFont="1" applyFill="1" applyBorder="1" applyAlignment="1">
      <alignment vertical="center" shrinkToFit="1"/>
    </xf>
    <xf numFmtId="3" fontId="140" fillId="0" borderId="32" xfId="0" applyNumberFormat="1" applyFont="1" applyBorder="1" applyAlignment="1">
      <alignment vertical="center" shrinkToFit="1"/>
    </xf>
    <xf numFmtId="10" fontId="19" fillId="0" borderId="59" xfId="3" applyNumberFormat="1" applyFont="1" applyBorder="1" applyAlignment="1">
      <alignment vertical="center" shrinkToFit="1"/>
    </xf>
    <xf numFmtId="3" fontId="19" fillId="0" borderId="0" xfId="0" applyNumberFormat="1" applyFont="1" applyAlignment="1">
      <alignment vertical="center"/>
    </xf>
    <xf numFmtId="9" fontId="19" fillId="0" borderId="0" xfId="3" applyFont="1" applyAlignment="1">
      <alignment vertical="center"/>
    </xf>
    <xf numFmtId="3" fontId="12" fillId="0" borderId="26" xfId="0" applyNumberFormat="1" applyFont="1" applyBorder="1" applyAlignment="1">
      <alignment horizontal="center" vertical="center" wrapText="1"/>
    </xf>
    <xf numFmtId="10" fontId="12" fillId="0" borderId="60" xfId="3" applyNumberFormat="1" applyFont="1" applyBorder="1" applyAlignment="1">
      <alignment vertical="center" shrinkToFit="1"/>
    </xf>
    <xf numFmtId="3" fontId="24" fillId="0" borderId="32" xfId="0" applyNumberFormat="1" applyFont="1" applyBorder="1" applyAlignment="1">
      <alignment vertical="center" shrinkToFit="1"/>
    </xf>
    <xf numFmtId="3" fontId="222" fillId="0" borderId="59" xfId="0" applyNumberFormat="1" applyFont="1" applyBorder="1" applyAlignment="1">
      <alignment vertical="center"/>
    </xf>
    <xf numFmtId="9" fontId="11" fillId="0" borderId="60" xfId="3" applyFont="1" applyBorder="1" applyAlignment="1">
      <alignment vertical="center"/>
    </xf>
    <xf numFmtId="3" fontId="222" fillId="0" borderId="0" xfId="0" applyNumberFormat="1" applyFont="1" applyAlignment="1">
      <alignment vertical="center"/>
    </xf>
    <xf numFmtId="9" fontId="222" fillId="0" borderId="0" xfId="3" applyFont="1" applyAlignment="1">
      <alignment vertical="center"/>
    </xf>
    <xf numFmtId="3" fontId="11" fillId="0" borderId="26" xfId="0" applyNumberFormat="1" applyFont="1" applyBorder="1" applyAlignment="1">
      <alignment horizontal="center" vertical="center" wrapText="1"/>
    </xf>
    <xf numFmtId="3" fontId="18" fillId="0" borderId="32" xfId="0" applyNumberFormat="1" applyFont="1" applyBorder="1" applyAlignment="1">
      <alignment vertical="center" shrinkToFit="1"/>
    </xf>
    <xf numFmtId="3" fontId="4" fillId="0" borderId="59" xfId="0" applyNumberFormat="1" applyFont="1" applyBorder="1" applyAlignment="1">
      <alignment vertical="center"/>
    </xf>
    <xf numFmtId="3" fontId="4" fillId="0" borderId="26" xfId="0" applyNumberFormat="1" applyFont="1" applyBorder="1" applyAlignment="1">
      <alignment horizontal="center" vertical="center" wrapText="1"/>
    </xf>
    <xf numFmtId="9" fontId="4" fillId="0" borderId="60" xfId="3" applyFont="1" applyBorder="1" applyAlignment="1">
      <alignment vertical="center" shrinkToFit="1"/>
    </xf>
    <xf numFmtId="3" fontId="23" fillId="0" borderId="32" xfId="0" applyNumberFormat="1" applyFont="1" applyBorder="1" applyAlignment="1">
      <alignment vertical="center" shrinkToFit="1"/>
    </xf>
    <xf numFmtId="9" fontId="4" fillId="0" borderId="60" xfId="3" applyFont="1" applyBorder="1" applyAlignment="1">
      <alignment vertical="center"/>
    </xf>
    <xf numFmtId="3" fontId="11" fillId="0" borderId="59" xfId="0" applyNumberFormat="1" applyFont="1" applyBorder="1" applyAlignment="1">
      <alignment vertical="center"/>
    </xf>
    <xf numFmtId="173" fontId="11" fillId="0" borderId="0" xfId="3" applyNumberFormat="1" applyFont="1" applyAlignment="1">
      <alignment vertical="center"/>
    </xf>
    <xf numFmtId="9" fontId="12" fillId="0" borderId="0" xfId="3" applyFont="1" applyAlignment="1">
      <alignment vertical="center"/>
    </xf>
    <xf numFmtId="3" fontId="11" fillId="0" borderId="66" xfId="0" applyNumberFormat="1" applyFont="1" applyBorder="1" applyAlignment="1">
      <alignment vertical="center"/>
    </xf>
    <xf numFmtId="9" fontId="11" fillId="0" borderId="13" xfId="3" applyFont="1" applyBorder="1" applyAlignment="1">
      <alignment vertical="center"/>
    </xf>
    <xf numFmtId="10" fontId="222" fillId="0" borderId="60" xfId="3" applyNumberFormat="1" applyFont="1" applyBorder="1" applyAlignment="1">
      <alignment vertical="center" shrinkToFit="1"/>
    </xf>
    <xf numFmtId="3" fontId="12" fillId="0" borderId="29" xfId="0" applyNumberFormat="1" applyFont="1" applyBorder="1" applyAlignment="1">
      <alignment horizontal="center" vertical="center" wrapText="1"/>
    </xf>
    <xf numFmtId="10" fontId="12" fillId="0" borderId="30" xfId="3" applyNumberFormat="1" applyFont="1" applyBorder="1" applyAlignment="1">
      <alignment vertical="center" shrinkToFit="1"/>
    </xf>
    <xf numFmtId="3" fontId="21" fillId="0" borderId="30" xfId="0" applyNumberFormat="1" applyFont="1" applyBorder="1" applyAlignment="1">
      <alignment vertical="center" shrinkToFit="1"/>
    </xf>
    <xf numFmtId="3" fontId="24" fillId="0" borderId="30" xfId="0" applyNumberFormat="1" applyFont="1" applyBorder="1" applyAlignment="1">
      <alignment vertical="center" shrinkToFit="1"/>
    </xf>
    <xf numFmtId="10" fontId="24" fillId="0" borderId="30" xfId="3" applyNumberFormat="1" applyFont="1" applyBorder="1" applyAlignment="1">
      <alignment vertical="center" shrinkToFit="1"/>
    </xf>
    <xf numFmtId="3" fontId="21" fillId="0" borderId="30" xfId="3" applyNumberFormat="1" applyFont="1" applyBorder="1" applyAlignment="1">
      <alignment vertical="center" shrinkToFit="1"/>
    </xf>
    <xf numFmtId="9" fontId="24" fillId="0" borderId="30" xfId="3" applyFont="1" applyBorder="1" applyAlignment="1">
      <alignment vertical="center" shrinkToFit="1"/>
    </xf>
    <xf numFmtId="9" fontId="12" fillId="0" borderId="30" xfId="3" applyFont="1" applyBorder="1" applyAlignment="1">
      <alignment vertical="center" shrinkToFit="1"/>
    </xf>
    <xf numFmtId="10" fontId="222" fillId="0" borderId="30" xfId="3" applyNumberFormat="1" applyFont="1" applyBorder="1" applyAlignment="1">
      <alignment vertical="center" shrinkToFit="1"/>
    </xf>
    <xf numFmtId="3" fontId="24" fillId="0" borderId="31" xfId="0" applyNumberFormat="1" applyFont="1" applyBorder="1" applyAlignment="1">
      <alignment vertical="center" shrinkToFit="1"/>
    </xf>
    <xf numFmtId="3" fontId="12" fillId="0" borderId="59" xfId="0" applyNumberFormat="1" applyFont="1" applyBorder="1" applyAlignment="1">
      <alignment vertical="center"/>
    </xf>
    <xf numFmtId="9" fontId="12" fillId="0" borderId="60" xfId="3" applyFont="1" applyBorder="1" applyAlignment="1">
      <alignment vertical="center"/>
    </xf>
    <xf numFmtId="3" fontId="11" fillId="0" borderId="28" xfId="0" applyNumberFormat="1" applyFont="1" applyBorder="1" applyAlignment="1">
      <alignment horizontal="center" vertical="center" wrapText="1"/>
    </xf>
    <xf numFmtId="10" fontId="12" fillId="0" borderId="14" xfId="3" applyNumberFormat="1" applyFont="1" applyBorder="1" applyAlignment="1">
      <alignment vertical="center" shrinkToFit="1"/>
    </xf>
    <xf numFmtId="9" fontId="18" fillId="0" borderId="14" xfId="3" applyFont="1" applyBorder="1" applyAlignment="1">
      <alignment vertical="center" shrinkToFit="1"/>
    </xf>
    <xf numFmtId="9" fontId="11" fillId="0" borderId="14" xfId="3" applyFont="1" applyBorder="1" applyAlignment="1">
      <alignment vertical="center" shrinkToFit="1"/>
    </xf>
    <xf numFmtId="10" fontId="4" fillId="0" borderId="14" xfId="3" applyNumberFormat="1" applyFont="1" applyBorder="1" applyAlignment="1">
      <alignment vertical="center" shrinkToFit="1"/>
    </xf>
    <xf numFmtId="3" fontId="11" fillId="0" borderId="33" xfId="0" applyNumberFormat="1" applyFont="1" applyBorder="1" applyAlignment="1">
      <alignment vertical="center" shrinkToFit="1"/>
    </xf>
    <xf numFmtId="3" fontId="11" fillId="0" borderId="32" xfId="0" applyNumberFormat="1" applyFont="1" applyBorder="1" applyAlignment="1">
      <alignment vertical="center" shrinkToFit="1"/>
    </xf>
    <xf numFmtId="3" fontId="12" fillId="0" borderId="32" xfId="0" applyNumberFormat="1" applyFont="1" applyBorder="1" applyAlignment="1">
      <alignment vertical="center" shrinkToFit="1"/>
    </xf>
    <xf numFmtId="3" fontId="11" fillId="0" borderId="60" xfId="3" applyNumberFormat="1" applyFont="1" applyBorder="1" applyAlignment="1">
      <alignment vertical="center" shrinkToFit="1"/>
    </xf>
    <xf numFmtId="9" fontId="20" fillId="0" borderId="26" xfId="3" applyFont="1" applyBorder="1" applyAlignment="1">
      <alignment horizontal="center" vertical="center" wrapText="1"/>
    </xf>
    <xf numFmtId="9" fontId="20" fillId="0" borderId="60" xfId="3" applyFont="1" applyBorder="1" applyAlignment="1">
      <alignment vertical="center" wrapText="1" shrinkToFit="1"/>
    </xf>
    <xf numFmtId="10" fontId="20" fillId="0" borderId="60" xfId="3" applyNumberFormat="1" applyFont="1" applyBorder="1" applyAlignment="1">
      <alignment vertical="center" shrinkToFit="1"/>
    </xf>
    <xf numFmtId="10" fontId="15" fillId="0" borderId="60" xfId="3" applyNumberFormat="1" applyFont="1" applyBorder="1" applyAlignment="1">
      <alignment vertical="center" shrinkToFit="1"/>
    </xf>
    <xf numFmtId="3" fontId="15" fillId="0" borderId="60" xfId="3" applyNumberFormat="1" applyFont="1" applyBorder="1" applyAlignment="1">
      <alignment vertical="center" shrinkToFit="1"/>
    </xf>
    <xf numFmtId="3" fontId="20" fillId="0" borderId="60" xfId="3" applyNumberFormat="1" applyFont="1" applyFill="1" applyBorder="1" applyAlignment="1">
      <alignment vertical="center" shrinkToFit="1"/>
    </xf>
    <xf numFmtId="10" fontId="11" fillId="0" borderId="59" xfId="3" applyNumberFormat="1" applyFont="1" applyBorder="1" applyAlignment="1">
      <alignment vertical="center"/>
    </xf>
    <xf numFmtId="3" fontId="11" fillId="0" borderId="60" xfId="3" applyNumberFormat="1" applyFont="1" applyFill="1" applyBorder="1" applyAlignment="1">
      <alignment vertical="center" shrinkToFit="1"/>
    </xf>
    <xf numFmtId="3" fontId="20" fillId="0" borderId="60" xfId="0" applyNumberFormat="1" applyFont="1" applyBorder="1" applyAlignment="1">
      <alignment vertical="center" shrinkToFit="1"/>
    </xf>
    <xf numFmtId="3" fontId="20" fillId="0" borderId="32" xfId="0" applyNumberFormat="1" applyFont="1" applyBorder="1" applyAlignment="1">
      <alignment vertical="center" shrinkToFit="1"/>
    </xf>
    <xf numFmtId="3" fontId="20" fillId="0" borderId="59" xfId="0" applyNumberFormat="1" applyFont="1" applyBorder="1" applyAlignment="1">
      <alignment vertical="center"/>
    </xf>
    <xf numFmtId="3" fontId="20" fillId="0" borderId="0" xfId="0" applyNumberFormat="1" applyFont="1" applyAlignment="1">
      <alignment vertical="center"/>
    </xf>
    <xf numFmtId="3" fontId="20" fillId="0" borderId="26" xfId="0" applyNumberFormat="1" applyFont="1" applyBorder="1" applyAlignment="1">
      <alignment horizontal="center" vertical="center" wrapText="1"/>
    </xf>
    <xf numFmtId="3" fontId="20" fillId="0" borderId="60" xfId="0" applyNumberFormat="1" applyFont="1" applyBorder="1" applyAlignment="1">
      <alignment vertical="center" wrapText="1"/>
    </xf>
    <xf numFmtId="3" fontId="11" fillId="0" borderId="26" xfId="0" applyNumberFormat="1" applyFont="1" applyBorder="1" applyAlignment="1">
      <alignment horizontal="center" vertical="center" wrapText="1" shrinkToFit="1"/>
    </xf>
    <xf numFmtId="9" fontId="20" fillId="0" borderId="60" xfId="3" applyFont="1" applyBorder="1" applyAlignment="1">
      <alignment vertical="center" shrinkToFit="1"/>
    </xf>
    <xf numFmtId="9" fontId="15" fillId="0" borderId="60" xfId="3" applyFont="1" applyBorder="1" applyAlignment="1">
      <alignment vertical="center" shrinkToFit="1"/>
    </xf>
    <xf numFmtId="3" fontId="12" fillId="0" borderId="60" xfId="0" applyNumberFormat="1" applyFont="1" applyBorder="1" applyAlignment="1">
      <alignment vertical="center" wrapText="1"/>
    </xf>
    <xf numFmtId="9" fontId="20" fillId="0" borderId="32" xfId="3" applyFont="1" applyBorder="1" applyAlignment="1">
      <alignment vertical="center" shrinkToFit="1"/>
    </xf>
    <xf numFmtId="9" fontId="20" fillId="0" borderId="59" xfId="3" applyFont="1" applyBorder="1" applyAlignment="1">
      <alignment vertical="center"/>
    </xf>
    <xf numFmtId="9" fontId="20" fillId="0" borderId="0" xfId="3" applyFont="1" applyBorder="1" applyAlignment="1">
      <alignment vertical="center"/>
    </xf>
    <xf numFmtId="3" fontId="20" fillId="0" borderId="60" xfId="0" applyNumberFormat="1" applyFont="1" applyBorder="1" applyAlignment="1">
      <alignment vertical="center" wrapText="1" shrinkToFit="1"/>
    </xf>
    <xf numFmtId="3" fontId="233" fillId="0" borderId="26" xfId="0" applyNumberFormat="1" applyFont="1" applyBorder="1" applyAlignment="1">
      <alignment horizontal="center" vertical="center" wrapText="1"/>
    </xf>
    <xf numFmtId="3" fontId="233" fillId="0" borderId="60" xfId="0" applyNumberFormat="1" applyFont="1" applyBorder="1" applyAlignment="1">
      <alignment vertical="center"/>
    </xf>
    <xf numFmtId="232" fontId="234" fillId="0" borderId="60" xfId="12" applyNumberFormat="1" applyFont="1" applyBorder="1" applyAlignment="1">
      <alignment vertical="center" shrinkToFit="1"/>
    </xf>
    <xf numFmtId="10" fontId="233" fillId="0" borderId="60" xfId="3" applyNumberFormat="1" applyFont="1" applyBorder="1" applyAlignment="1">
      <alignment vertical="center" shrinkToFit="1"/>
    </xf>
    <xf numFmtId="179" fontId="235" fillId="0" borderId="60" xfId="264" applyNumberFormat="1" applyFont="1" applyBorder="1" applyAlignment="1">
      <alignment vertical="center" shrinkToFit="1"/>
    </xf>
    <xf numFmtId="179" fontId="227" fillId="0" borderId="60" xfId="264" applyNumberFormat="1" applyFont="1" applyBorder="1" applyAlignment="1">
      <alignment vertical="center" shrinkToFit="1"/>
    </xf>
    <xf numFmtId="3" fontId="236" fillId="0" borderId="60" xfId="3" applyNumberFormat="1" applyFont="1" applyBorder="1" applyAlignment="1">
      <alignment vertical="center" shrinkToFit="1"/>
    </xf>
    <xf numFmtId="179" fontId="235" fillId="0" borderId="60" xfId="264" applyNumberFormat="1" applyFont="1" applyFill="1" applyBorder="1" applyAlignment="1">
      <alignment horizontal="center" vertical="center" shrinkToFit="1"/>
    </xf>
    <xf numFmtId="3" fontId="234" fillId="0" borderId="60" xfId="264" applyNumberFormat="1" applyFont="1" applyFill="1" applyBorder="1" applyAlignment="1">
      <alignment horizontal="center" vertical="center" shrinkToFit="1"/>
    </xf>
    <xf numFmtId="179" fontId="234" fillId="0" borderId="60" xfId="264" applyNumberFormat="1" applyFont="1" applyFill="1" applyBorder="1" applyAlignment="1">
      <alignment horizontal="center" vertical="center" shrinkToFit="1"/>
    </xf>
    <xf numFmtId="3" fontId="233" fillId="0" borderId="60" xfId="0" applyNumberFormat="1" applyFont="1" applyBorder="1" applyAlignment="1">
      <alignment vertical="center" shrinkToFit="1"/>
    </xf>
    <xf numFmtId="3" fontId="233" fillId="0" borderId="32" xfId="0" applyNumberFormat="1" applyFont="1" applyBorder="1" applyAlignment="1">
      <alignment vertical="center" shrinkToFit="1"/>
    </xf>
    <xf numFmtId="3" fontId="233" fillId="0" borderId="59" xfId="0" applyNumberFormat="1" applyFont="1" applyBorder="1" applyAlignment="1">
      <alignment vertical="center"/>
    </xf>
    <xf numFmtId="3" fontId="233" fillId="0" borderId="0" xfId="0" applyNumberFormat="1" applyFont="1" applyAlignment="1">
      <alignment vertical="center"/>
    </xf>
    <xf numFmtId="0" fontId="216" fillId="0" borderId="60" xfId="0" applyFont="1" applyBorder="1" applyAlignment="1">
      <alignment vertical="center"/>
    </xf>
    <xf numFmtId="232" fontId="216" fillId="0" borderId="60" xfId="351" applyNumberFormat="1" applyFont="1" applyBorder="1" applyAlignment="1">
      <alignment vertical="center" shrinkToFit="1"/>
    </xf>
    <xf numFmtId="232" fontId="216" fillId="0" borderId="60" xfId="264" applyNumberFormat="1" applyFont="1" applyBorder="1" applyAlignment="1">
      <alignment vertical="center" shrinkToFit="1"/>
    </xf>
    <xf numFmtId="232" fontId="237" fillId="0" borderId="60" xfId="264" applyNumberFormat="1" applyFont="1" applyBorder="1" applyAlignment="1">
      <alignment vertical="center" shrinkToFit="1"/>
    </xf>
    <xf numFmtId="232" fontId="238" fillId="0" borderId="60" xfId="264" applyNumberFormat="1" applyFont="1" applyBorder="1" applyAlignment="1">
      <alignment vertical="center" shrinkToFit="1"/>
    </xf>
    <xf numFmtId="179" fontId="237" fillId="0" borderId="60" xfId="264" applyNumberFormat="1" applyFont="1" applyFill="1" applyBorder="1" applyAlignment="1">
      <alignment horizontal="center" vertical="center" shrinkToFit="1"/>
    </xf>
    <xf numFmtId="3" fontId="216" fillId="0" borderId="60" xfId="264" applyNumberFormat="1" applyFont="1" applyFill="1" applyBorder="1" applyAlignment="1">
      <alignment horizontal="center" vertical="center" shrinkToFit="1"/>
    </xf>
    <xf numFmtId="179" fontId="216" fillId="0" borderId="60" xfId="264" applyNumberFormat="1" applyFont="1" applyFill="1" applyBorder="1" applyAlignment="1">
      <alignment horizontal="center" vertical="center" shrinkToFit="1"/>
    </xf>
    <xf numFmtId="179" fontId="216" fillId="0" borderId="60" xfId="306" applyNumberFormat="1" applyFont="1" applyFill="1" applyBorder="1" applyAlignment="1">
      <alignment vertical="center" shrinkToFit="1"/>
    </xf>
    <xf numFmtId="0" fontId="187" fillId="0" borderId="60" xfId="0" applyFont="1" applyBorder="1" applyAlignment="1">
      <alignment vertical="center"/>
    </xf>
    <xf numFmtId="232" fontId="187" fillId="0" borderId="60" xfId="351" applyNumberFormat="1" applyFont="1" applyBorder="1" applyAlignment="1">
      <alignment vertical="center" shrinkToFit="1"/>
    </xf>
    <xf numFmtId="232" fontId="187" fillId="0" borderId="60" xfId="264" applyNumberFormat="1" applyFont="1" applyBorder="1" applyAlignment="1">
      <alignment vertical="center" shrinkToFit="1"/>
    </xf>
    <xf numFmtId="232" fontId="186" fillId="0" borderId="60" xfId="264" applyNumberFormat="1" applyFont="1" applyBorder="1" applyAlignment="1">
      <alignment vertical="center" shrinkToFit="1"/>
    </xf>
    <xf numFmtId="232" fontId="206" fillId="0" borderId="60" xfId="264" applyNumberFormat="1" applyFont="1" applyBorder="1" applyAlignment="1">
      <alignment vertical="center" shrinkToFit="1"/>
    </xf>
    <xf numFmtId="179" fontId="186" fillId="0" borderId="60" xfId="264" applyNumberFormat="1" applyFont="1" applyFill="1" applyBorder="1" applyAlignment="1">
      <alignment horizontal="center" vertical="center" shrinkToFit="1"/>
    </xf>
    <xf numFmtId="3" fontId="187" fillId="0" borderId="60" xfId="264" applyNumberFormat="1" applyFont="1" applyFill="1" applyBorder="1" applyAlignment="1">
      <alignment horizontal="center" vertical="center" shrinkToFit="1"/>
    </xf>
    <xf numFmtId="179" fontId="187" fillId="0" borderId="60" xfId="264" applyNumberFormat="1" applyFont="1" applyFill="1" applyBorder="1" applyAlignment="1">
      <alignment horizontal="center" vertical="center" shrinkToFit="1"/>
    </xf>
    <xf numFmtId="232" fontId="186" fillId="0" borderId="60" xfId="351" applyNumberFormat="1" applyFont="1" applyBorder="1" applyAlignment="1">
      <alignment vertical="center" shrinkToFit="1"/>
    </xf>
    <xf numFmtId="3" fontId="11" fillId="0" borderId="26" xfId="0" applyNumberFormat="1" applyFont="1" applyBorder="1" applyAlignment="1">
      <alignment horizontal="center" vertical="center"/>
    </xf>
    <xf numFmtId="10" fontId="21" fillId="0" borderId="60" xfId="3" applyNumberFormat="1" applyFont="1" applyBorder="1" applyAlignment="1">
      <alignment vertical="center" shrinkToFit="1"/>
    </xf>
    <xf numFmtId="3" fontId="12" fillId="0" borderId="60" xfId="3" applyNumberFormat="1" applyFont="1" applyFill="1" applyBorder="1" applyAlignment="1">
      <alignment vertical="center" shrinkToFit="1"/>
    </xf>
    <xf numFmtId="3" fontId="12" fillId="0" borderId="30" xfId="0" applyNumberFormat="1" applyFont="1" applyBorder="1" applyAlignment="1">
      <alignment vertical="center" wrapText="1" shrinkToFit="1"/>
    </xf>
    <xf numFmtId="9" fontId="18" fillId="0" borderId="30" xfId="3" applyFont="1" applyBorder="1" applyAlignment="1">
      <alignment vertical="center" shrinkToFit="1"/>
    </xf>
    <xf numFmtId="9" fontId="11" fillId="0" borderId="30" xfId="3" applyFont="1" applyBorder="1" applyAlignment="1">
      <alignment vertical="center" shrinkToFit="1"/>
    </xf>
    <xf numFmtId="3" fontId="12" fillId="0" borderId="31" xfId="0" applyNumberFormat="1" applyFont="1" applyBorder="1" applyAlignment="1">
      <alignment vertical="center" shrinkToFit="1"/>
    </xf>
    <xf numFmtId="3" fontId="12" fillId="0" borderId="139" xfId="0" applyNumberFormat="1" applyFont="1" applyBorder="1" applyAlignment="1">
      <alignment horizontal="center" vertical="center" wrapText="1"/>
    </xf>
    <xf numFmtId="3" fontId="12" fillId="0" borderId="1" xfId="0" applyNumberFormat="1" applyFont="1" applyBorder="1" applyAlignment="1">
      <alignment vertical="center" wrapText="1" shrinkToFit="1"/>
    </xf>
    <xf numFmtId="3" fontId="12" fillId="0" borderId="1" xfId="0" applyNumberFormat="1" applyFont="1" applyBorder="1" applyAlignment="1">
      <alignment vertical="center" shrinkToFit="1"/>
    </xf>
    <xf numFmtId="3" fontId="21" fillId="0" borderId="1" xfId="0" applyNumberFormat="1" applyFont="1" applyBorder="1" applyAlignment="1">
      <alignment vertical="center" shrinkToFit="1"/>
    </xf>
    <xf numFmtId="3" fontId="24" fillId="0" borderId="1" xfId="0" applyNumberFormat="1" applyFont="1" applyBorder="1" applyAlignment="1">
      <alignment vertical="center" shrinkToFit="1"/>
    </xf>
    <xf numFmtId="9" fontId="18" fillId="0" borderId="1" xfId="3" applyFont="1" applyBorder="1" applyAlignment="1">
      <alignment vertical="center" shrinkToFit="1"/>
    </xf>
    <xf numFmtId="9" fontId="11" fillId="0" borderId="1" xfId="3" applyFont="1" applyBorder="1" applyAlignment="1">
      <alignment vertical="center" shrinkToFit="1"/>
    </xf>
    <xf numFmtId="10" fontId="222" fillId="0" borderId="1" xfId="3" applyNumberFormat="1" applyFont="1" applyBorder="1" applyAlignment="1">
      <alignment vertical="center" shrinkToFit="1"/>
    </xf>
    <xf numFmtId="3" fontId="12" fillId="0" borderId="135" xfId="0" applyNumberFormat="1" applyFont="1" applyBorder="1" applyAlignment="1">
      <alignment vertical="center" shrinkToFit="1"/>
    </xf>
    <xf numFmtId="9" fontId="11" fillId="0" borderId="0" xfId="3" applyFont="1" applyBorder="1" applyAlignment="1">
      <alignment vertical="center"/>
    </xf>
    <xf numFmtId="3" fontId="19" fillId="0" borderId="14" xfId="0" applyNumberFormat="1" applyFont="1" applyBorder="1" applyAlignment="1">
      <alignment horizontal="center" vertical="center" wrapText="1"/>
    </xf>
    <xf numFmtId="3" fontId="19" fillId="0" borderId="14" xfId="0" applyNumberFormat="1" applyFont="1" applyBorder="1" applyAlignment="1">
      <alignment vertical="center" wrapText="1" shrinkToFit="1"/>
    </xf>
    <xf numFmtId="10" fontId="19" fillId="0" borderId="14" xfId="3" applyNumberFormat="1" applyFont="1" applyBorder="1" applyAlignment="1">
      <alignment vertical="center" shrinkToFit="1"/>
    </xf>
    <xf numFmtId="10" fontId="16" fillId="0" borderId="14" xfId="3" applyNumberFormat="1" applyFont="1" applyBorder="1" applyAlignment="1">
      <alignment vertical="center" shrinkToFit="1"/>
    </xf>
    <xf numFmtId="10" fontId="140" fillId="0" borderId="14" xfId="3" applyNumberFormat="1" applyFont="1" applyBorder="1" applyAlignment="1">
      <alignment vertical="center" shrinkToFit="1"/>
    </xf>
    <xf numFmtId="3" fontId="19" fillId="0" borderId="14" xfId="3" applyNumberFormat="1" applyFont="1" applyBorder="1" applyAlignment="1">
      <alignment vertical="center" shrinkToFit="1"/>
    </xf>
    <xf numFmtId="3" fontId="19" fillId="0" borderId="14" xfId="3" applyNumberFormat="1" applyFont="1" applyFill="1" applyBorder="1" applyAlignment="1">
      <alignment vertical="center" shrinkToFit="1"/>
    </xf>
    <xf numFmtId="9" fontId="196" fillId="0" borderId="14" xfId="3" applyFont="1" applyBorder="1" applyAlignment="1">
      <alignment vertical="center" shrinkToFit="1"/>
    </xf>
    <xf numFmtId="3" fontId="4" fillId="0" borderId="14" xfId="0" applyNumberFormat="1" applyFont="1" applyBorder="1" applyAlignment="1">
      <alignment shrinkToFit="1"/>
    </xf>
    <xf numFmtId="3" fontId="19" fillId="0" borderId="60" xfId="0" applyNumberFormat="1" applyFont="1" applyBorder="1" applyAlignment="1">
      <alignment vertical="center" wrapText="1" shrinkToFit="1"/>
    </xf>
    <xf numFmtId="3" fontId="19" fillId="0" borderId="60" xfId="3" applyNumberFormat="1" applyFont="1" applyBorder="1" applyAlignment="1">
      <alignment vertical="center" shrinkToFit="1"/>
    </xf>
    <xf numFmtId="3" fontId="19" fillId="0" borderId="60" xfId="3" applyNumberFormat="1" applyFont="1" applyFill="1" applyBorder="1" applyAlignment="1">
      <alignment vertical="center" shrinkToFit="1"/>
    </xf>
    <xf numFmtId="9" fontId="196" fillId="0" borderId="60" xfId="3" applyFont="1" applyBorder="1" applyAlignment="1">
      <alignment vertical="center" shrinkToFit="1"/>
    </xf>
    <xf numFmtId="3" fontId="4" fillId="0" borderId="60" xfId="3" applyNumberFormat="1" applyFont="1" applyBorder="1" applyAlignment="1">
      <alignment vertical="center" shrinkToFit="1"/>
    </xf>
    <xf numFmtId="3" fontId="11" fillId="0" borderId="13" xfId="0" applyNumberFormat="1" applyFont="1" applyBorder="1" applyAlignment="1">
      <alignment vertical="center" wrapText="1" shrinkToFit="1"/>
    </xf>
    <xf numFmtId="10" fontId="11" fillId="0" borderId="13" xfId="3" applyNumberFormat="1" applyFont="1" applyBorder="1" applyAlignment="1">
      <alignment vertical="center" shrinkToFit="1"/>
    </xf>
    <xf numFmtId="10" fontId="14" fillId="0" borderId="13" xfId="3" applyNumberFormat="1" applyFont="1" applyBorder="1" applyAlignment="1">
      <alignment vertical="center" shrinkToFit="1"/>
    </xf>
    <xf numFmtId="10" fontId="18" fillId="0" borderId="13" xfId="3" applyNumberFormat="1" applyFont="1" applyBorder="1" applyAlignment="1">
      <alignment vertical="center" shrinkToFit="1"/>
    </xf>
    <xf numFmtId="3" fontId="11" fillId="0" borderId="13" xfId="3" applyNumberFormat="1" applyFont="1" applyBorder="1" applyAlignment="1">
      <alignment vertical="center" shrinkToFit="1"/>
    </xf>
    <xf numFmtId="3" fontId="11" fillId="0" borderId="13" xfId="3" applyNumberFormat="1" applyFont="1" applyFill="1" applyBorder="1" applyAlignment="1">
      <alignment vertical="center" shrinkToFit="1"/>
    </xf>
    <xf numFmtId="9" fontId="196" fillId="0" borderId="140" xfId="3" applyFont="1" applyBorder="1" applyAlignment="1">
      <alignment vertical="center" shrinkToFit="1"/>
    </xf>
    <xf numFmtId="3" fontId="11" fillId="0" borderId="0" xfId="0" applyNumberFormat="1" applyFont="1" applyAlignment="1">
      <alignment vertical="center" wrapText="1" shrinkToFit="1"/>
    </xf>
    <xf numFmtId="10" fontId="14" fillId="0" borderId="0" xfId="3" applyNumberFormat="1" applyFont="1" applyBorder="1" applyAlignment="1">
      <alignment vertical="center" shrinkToFit="1"/>
    </xf>
    <xf numFmtId="3" fontId="11" fillId="0" borderId="0" xfId="3" applyNumberFormat="1" applyFont="1" applyBorder="1" applyAlignment="1">
      <alignment vertical="center" shrinkToFit="1"/>
    </xf>
    <xf numFmtId="3" fontId="11" fillId="0" borderId="0" xfId="3" applyNumberFormat="1" applyFont="1" applyFill="1" applyBorder="1" applyAlignment="1">
      <alignment vertical="center" shrinkToFit="1"/>
    </xf>
    <xf numFmtId="9" fontId="196" fillId="0" borderId="0" xfId="3" applyFont="1" applyBorder="1" applyAlignment="1">
      <alignment vertical="center" shrinkToFit="1"/>
    </xf>
    <xf numFmtId="9" fontId="23" fillId="0" borderId="0" xfId="3" applyFont="1" applyBorder="1" applyAlignment="1"/>
    <xf numFmtId="9" fontId="4" fillId="0" borderId="0" xfId="3" applyFont="1" applyBorder="1" applyAlignment="1"/>
    <xf numFmtId="3" fontId="4" fillId="0" borderId="0" xfId="3" applyNumberFormat="1" applyFont="1" applyFill="1" applyBorder="1" applyAlignment="1"/>
    <xf numFmtId="179" fontId="33" fillId="0" borderId="60" xfId="0" applyNumberFormat="1" applyFont="1" applyBorder="1" applyAlignment="1">
      <alignment vertical="center" wrapText="1"/>
    </xf>
    <xf numFmtId="179" fontId="33" fillId="0" borderId="0" xfId="0" applyNumberFormat="1" applyFont="1" applyAlignment="1">
      <alignment vertical="center" wrapText="1"/>
    </xf>
    <xf numFmtId="9" fontId="17" fillId="0" borderId="0" xfId="3" applyFont="1" applyBorder="1" applyAlignment="1"/>
    <xf numFmtId="219" fontId="4" fillId="0" borderId="0" xfId="0" applyNumberFormat="1" applyFont="1" applyAlignment="1">
      <alignment shrinkToFit="1"/>
    </xf>
    <xf numFmtId="0" fontId="11" fillId="0" borderId="27" xfId="0" applyFont="1" applyBorder="1" applyAlignment="1">
      <alignment horizontal="center" vertical="center" wrapText="1"/>
    </xf>
    <xf numFmtId="0" fontId="19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96" fillId="0" borderId="23"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3" xfId="0" applyFont="1" applyBorder="1" applyAlignment="1">
      <alignment horizontal="center" vertical="center" wrapText="1"/>
    </xf>
    <xf numFmtId="0" fontId="12" fillId="0" borderId="28" xfId="0" applyFont="1" applyBorder="1" applyAlignment="1">
      <alignment horizontal="center" vertical="center"/>
    </xf>
    <xf numFmtId="0" fontId="12" fillId="0" borderId="14" xfId="0" applyFont="1" applyBorder="1" applyAlignment="1">
      <alignment vertical="center"/>
    </xf>
    <xf numFmtId="38" fontId="12" fillId="0" borderId="14" xfId="0" applyNumberFormat="1" applyFont="1" applyBorder="1" applyAlignment="1">
      <alignment vertical="center" shrinkToFit="1"/>
    </xf>
    <xf numFmtId="179" fontId="225" fillId="0" borderId="14" xfId="403" applyNumberFormat="1" applyFont="1" applyBorder="1" applyAlignment="1">
      <alignment vertical="center" shrinkToFit="1"/>
    </xf>
    <xf numFmtId="179" fontId="24" fillId="0" borderId="14" xfId="403" applyNumberFormat="1" applyFont="1" applyBorder="1" applyAlignment="1">
      <alignment vertical="center" shrinkToFit="1"/>
    </xf>
    <xf numFmtId="179" fontId="12" fillId="0" borderId="14" xfId="403" applyNumberFormat="1" applyFont="1" applyBorder="1" applyAlignment="1">
      <alignment vertical="center" shrinkToFit="1"/>
    </xf>
    <xf numFmtId="179" fontId="225" fillId="0" borderId="33" xfId="403" applyNumberFormat="1" applyFont="1" applyBorder="1" applyAlignment="1">
      <alignment vertical="center" shrinkToFit="1"/>
    </xf>
    <xf numFmtId="3" fontId="24" fillId="0" borderId="65" xfId="0" applyNumberFormat="1" applyFont="1" applyBorder="1" applyAlignment="1">
      <alignment vertical="center" shrinkToFit="1"/>
    </xf>
    <xf numFmtId="3" fontId="24" fillId="0" borderId="14" xfId="0" applyNumberFormat="1" applyFont="1" applyBorder="1" applyAlignment="1">
      <alignment vertical="center" shrinkToFit="1"/>
    </xf>
    <xf numFmtId="3" fontId="24" fillId="0" borderId="33" xfId="0" applyNumberFormat="1" applyFont="1" applyBorder="1" applyAlignment="1">
      <alignment vertical="center" shrinkToFit="1"/>
    </xf>
    <xf numFmtId="0" fontId="4" fillId="0" borderId="0" xfId="0" applyFont="1" applyAlignment="1">
      <alignment vertical="center"/>
    </xf>
    <xf numFmtId="0" fontId="11" fillId="0" borderId="26" xfId="0" applyFont="1" applyBorder="1" applyAlignment="1">
      <alignment horizontal="center" vertical="center"/>
    </xf>
    <xf numFmtId="179" fontId="196" fillId="0" borderId="60" xfId="403" applyNumberFormat="1" applyFont="1" applyBorder="1" applyAlignment="1">
      <alignment vertical="center" shrinkToFit="1"/>
    </xf>
    <xf numFmtId="179" fontId="18" fillId="0" borderId="14" xfId="403" applyNumberFormat="1" applyFont="1" applyBorder="1" applyAlignment="1">
      <alignment vertical="center" shrinkToFit="1"/>
    </xf>
    <xf numFmtId="179" fontId="11" fillId="0" borderId="14" xfId="403" applyNumberFormat="1" applyFont="1" applyBorder="1" applyAlignment="1">
      <alignment vertical="center" shrinkToFit="1"/>
    </xf>
    <xf numFmtId="179" fontId="196" fillId="0" borderId="32" xfId="403" applyNumberFormat="1" applyFont="1" applyBorder="1" applyAlignment="1">
      <alignment vertical="center" shrinkToFit="1"/>
    </xf>
    <xf numFmtId="3" fontId="18" fillId="0" borderId="59" xfId="0" applyNumberFormat="1" applyFont="1" applyBorder="1" applyAlignment="1">
      <alignment vertical="center" shrinkToFit="1"/>
    </xf>
    <xf numFmtId="0" fontId="11" fillId="0" borderId="0" xfId="0" applyFont="1" applyAlignment="1">
      <alignment vertical="center"/>
    </xf>
    <xf numFmtId="0" fontId="12" fillId="0" borderId="26" xfId="0" applyFont="1" applyBorder="1" applyAlignment="1">
      <alignment horizontal="center" vertical="center"/>
    </xf>
    <xf numFmtId="179" fontId="225" fillId="0" borderId="60" xfId="403" applyNumberFormat="1" applyFont="1" applyBorder="1" applyAlignment="1">
      <alignment vertical="center" shrinkToFit="1"/>
    </xf>
    <xf numFmtId="179" fontId="225" fillId="0" borderId="32" xfId="403" applyNumberFormat="1" applyFont="1" applyBorder="1" applyAlignment="1">
      <alignment vertical="center" shrinkToFit="1"/>
    </xf>
    <xf numFmtId="38" fontId="24" fillId="0" borderId="59" xfId="0" applyNumberFormat="1" applyFont="1" applyBorder="1" applyAlignment="1">
      <alignment vertical="center" shrinkToFit="1"/>
    </xf>
    <xf numFmtId="0" fontId="222" fillId="0" borderId="0" xfId="0" applyFont="1" applyAlignment="1">
      <alignment vertical="center"/>
    </xf>
    <xf numFmtId="0" fontId="4" fillId="0" borderId="26" xfId="0" applyFont="1" applyBorder="1" applyAlignment="1">
      <alignment horizontal="center" vertical="center"/>
    </xf>
    <xf numFmtId="179" fontId="193" fillId="0" borderId="60" xfId="403" applyNumberFormat="1" applyFont="1" applyBorder="1" applyAlignment="1">
      <alignment vertical="center" shrinkToFit="1"/>
    </xf>
    <xf numFmtId="179" fontId="23" fillId="0" borderId="14" xfId="403" applyNumberFormat="1" applyFont="1" applyBorder="1" applyAlignment="1">
      <alignment vertical="center" shrinkToFit="1"/>
    </xf>
    <xf numFmtId="179" fontId="4" fillId="0" borderId="14" xfId="403" applyNumberFormat="1" applyFont="1" applyBorder="1" applyAlignment="1">
      <alignment vertical="center" shrinkToFit="1"/>
    </xf>
    <xf numFmtId="179" fontId="193" fillId="0" borderId="32" xfId="403" applyNumberFormat="1" applyFont="1" applyBorder="1" applyAlignment="1">
      <alignment vertical="center" shrinkToFit="1"/>
    </xf>
    <xf numFmtId="3" fontId="23" fillId="0" borderId="59" xfId="0" applyNumberFormat="1" applyFont="1" applyBorder="1" applyAlignment="1">
      <alignment vertical="center" shrinkToFit="1"/>
    </xf>
    <xf numFmtId="0" fontId="19" fillId="0" borderId="26" xfId="0" applyFont="1" applyBorder="1" applyAlignment="1">
      <alignment horizontal="center" vertical="center"/>
    </xf>
    <xf numFmtId="38" fontId="16" fillId="0" borderId="60" xfId="0" applyNumberFormat="1" applyFont="1" applyBorder="1" applyAlignment="1">
      <alignment vertical="center" shrinkToFit="1"/>
    </xf>
    <xf numFmtId="179" fontId="217" fillId="0" borderId="60" xfId="403" applyNumberFormat="1" applyFont="1" applyBorder="1" applyAlignment="1">
      <alignment vertical="center" shrinkToFit="1"/>
    </xf>
    <xf numFmtId="179" fontId="217" fillId="0" borderId="32" xfId="403" applyNumberFormat="1" applyFont="1" applyBorder="1" applyAlignment="1">
      <alignment vertical="center" shrinkToFit="1"/>
    </xf>
    <xf numFmtId="3" fontId="140" fillId="0" borderId="59" xfId="0" applyNumberFormat="1" applyFont="1" applyBorder="1" applyAlignment="1">
      <alignment vertical="center" shrinkToFit="1"/>
    </xf>
    <xf numFmtId="0" fontId="19" fillId="0" borderId="0" xfId="0" applyFont="1" applyAlignment="1">
      <alignment vertical="center"/>
    </xf>
    <xf numFmtId="0" fontId="19" fillId="0" borderId="26" xfId="0" applyFont="1" applyBorder="1" applyAlignment="1">
      <alignment horizontal="center" vertical="center" wrapText="1"/>
    </xf>
    <xf numFmtId="0" fontId="19" fillId="0" borderId="60" xfId="0" applyFont="1" applyBorder="1" applyAlignment="1">
      <alignment vertical="center" wrapText="1" shrinkToFit="1"/>
    </xf>
    <xf numFmtId="217" fontId="16" fillId="0" borderId="60" xfId="348" applyNumberFormat="1" applyFont="1" applyBorder="1" applyAlignment="1">
      <alignment vertical="center" shrinkToFit="1"/>
    </xf>
    <xf numFmtId="179" fontId="4" fillId="0" borderId="60" xfId="403" applyNumberFormat="1" applyFont="1" applyBorder="1" applyAlignment="1">
      <alignment vertical="center" shrinkToFit="1"/>
    </xf>
    <xf numFmtId="3" fontId="140" fillId="0" borderId="60" xfId="348" applyNumberFormat="1" applyFont="1" applyBorder="1" applyAlignment="1">
      <alignment vertical="center" shrinkToFit="1"/>
    </xf>
    <xf numFmtId="3" fontId="32" fillId="0" borderId="26" xfId="0" applyNumberFormat="1" applyFont="1" applyBorder="1" applyAlignment="1">
      <alignment horizontal="center" vertical="center" shrinkToFit="1"/>
    </xf>
    <xf numFmtId="217" fontId="11" fillId="0" borderId="60" xfId="348" applyNumberFormat="1" applyFont="1" applyBorder="1" applyAlignment="1">
      <alignment vertical="center" shrinkToFit="1"/>
    </xf>
    <xf numFmtId="3" fontId="24" fillId="0" borderId="59" xfId="348" applyNumberFormat="1" applyFont="1" applyBorder="1" applyAlignment="1">
      <alignment vertical="center" shrinkToFit="1"/>
    </xf>
    <xf numFmtId="3" fontId="24" fillId="0" borderId="60" xfId="348" applyNumberFormat="1" applyFont="1" applyBorder="1" applyAlignment="1">
      <alignment vertical="center" shrinkToFit="1"/>
    </xf>
    <xf numFmtId="3" fontId="18" fillId="0" borderId="59" xfId="348" applyNumberFormat="1" applyFont="1" applyBorder="1" applyAlignment="1">
      <alignment vertical="center" shrinkToFit="1"/>
    </xf>
    <xf numFmtId="3" fontId="18" fillId="0" borderId="60" xfId="348" applyNumberFormat="1" applyFont="1" applyBorder="1" applyAlignment="1">
      <alignment vertical="center" shrinkToFit="1"/>
    </xf>
    <xf numFmtId="179" fontId="193" fillId="0" borderId="140" xfId="403" applyNumberFormat="1" applyFont="1" applyBorder="1" applyAlignment="1">
      <alignment vertical="center" shrinkToFit="1"/>
    </xf>
    <xf numFmtId="179" fontId="23" fillId="0" borderId="1" xfId="403" applyNumberFormat="1" applyFont="1" applyBorder="1" applyAlignment="1">
      <alignment vertical="center" shrinkToFit="1"/>
    </xf>
    <xf numFmtId="179" fontId="193" fillId="0" borderId="173" xfId="403" applyNumberFormat="1" applyFont="1" applyBorder="1" applyAlignment="1">
      <alignment vertical="center" shrinkToFit="1"/>
    </xf>
    <xf numFmtId="3" fontId="23" fillId="0" borderId="174" xfId="0" applyNumberFormat="1" applyFont="1" applyBorder="1" applyAlignment="1">
      <alignment vertical="center" shrinkToFit="1"/>
    </xf>
    <xf numFmtId="3" fontId="23" fillId="0" borderId="173" xfId="0" applyNumberFormat="1" applyFont="1" applyBorder="1" applyAlignment="1">
      <alignment vertical="center" shrinkToFit="1"/>
    </xf>
    <xf numFmtId="3" fontId="4" fillId="0" borderId="172" xfId="0" applyNumberFormat="1" applyFont="1" applyBorder="1" applyAlignment="1">
      <alignment horizontal="center" vertical="center" wrapText="1"/>
    </xf>
    <xf numFmtId="0" fontId="12" fillId="0" borderId="29" xfId="0" applyFont="1" applyBorder="1" applyAlignment="1">
      <alignment horizontal="center" vertical="center"/>
    </xf>
    <xf numFmtId="3" fontId="12" fillId="0" borderId="30" xfId="0" applyNumberFormat="1" applyFont="1" applyBorder="1" applyAlignment="1">
      <alignment vertical="center" wrapText="1"/>
    </xf>
    <xf numFmtId="179" fontId="225" fillId="0" borderId="30" xfId="403" applyNumberFormat="1" applyFont="1" applyBorder="1" applyAlignment="1">
      <alignment vertical="center" shrinkToFit="1"/>
    </xf>
    <xf numFmtId="179" fontId="24" fillId="0" borderId="187" xfId="403" applyNumberFormat="1" applyFont="1" applyBorder="1" applyAlignment="1">
      <alignment vertical="center" shrinkToFit="1"/>
    </xf>
    <xf numFmtId="179" fontId="11" fillId="0" borderId="30" xfId="403" applyNumberFormat="1" applyFont="1" applyBorder="1" applyAlignment="1">
      <alignment vertical="center" shrinkToFit="1"/>
    </xf>
    <xf numFmtId="179" fontId="225" fillId="0" borderId="31" xfId="403" applyNumberFormat="1" applyFont="1" applyBorder="1" applyAlignment="1">
      <alignment vertical="center" shrinkToFit="1"/>
    </xf>
    <xf numFmtId="3" fontId="24" fillId="0" borderId="69" xfId="0" applyNumberFormat="1" applyFont="1" applyBorder="1" applyAlignment="1">
      <alignment vertical="center" shrinkToFit="1"/>
    </xf>
    <xf numFmtId="0" fontId="12" fillId="0" borderId="0" xfId="0" applyFont="1" applyAlignment="1">
      <alignment vertical="center"/>
    </xf>
    <xf numFmtId="0" fontId="18" fillId="0" borderId="72" xfId="0" applyFont="1" applyBorder="1" applyAlignment="1">
      <alignment horizontal="center"/>
    </xf>
    <xf numFmtId="3" fontId="24" fillId="0" borderId="72" xfId="0" applyNumberFormat="1" applyFont="1" applyBorder="1" applyAlignment="1">
      <alignment vertical="center" wrapText="1"/>
    </xf>
    <xf numFmtId="38" fontId="18" fillId="0" borderId="72" xfId="0" applyNumberFormat="1" applyFont="1" applyBorder="1" applyAlignment="1">
      <alignment shrinkToFit="1"/>
    </xf>
    <xf numFmtId="0" fontId="18" fillId="0" borderId="13" xfId="0" applyFont="1" applyBorder="1" applyAlignment="1">
      <alignment horizontal="center"/>
    </xf>
    <xf numFmtId="3" fontId="24" fillId="0" borderId="13" xfId="0" applyNumberFormat="1" applyFont="1" applyBorder="1" applyAlignment="1">
      <alignment vertical="center" wrapText="1"/>
    </xf>
    <xf numFmtId="38" fontId="18" fillId="0" borderId="13" xfId="0" applyNumberFormat="1" applyFont="1" applyBorder="1" applyAlignment="1">
      <alignment shrinkToFit="1"/>
    </xf>
    <xf numFmtId="0" fontId="23" fillId="0" borderId="13" xfId="0" applyFont="1" applyBorder="1" applyAlignment="1">
      <alignment horizontal="center"/>
    </xf>
    <xf numFmtId="3" fontId="23" fillId="0" borderId="13" xfId="0" applyNumberFormat="1" applyFont="1" applyBorder="1" applyAlignment="1">
      <alignment vertical="center" wrapText="1"/>
    </xf>
    <xf numFmtId="38" fontId="23" fillId="0" borderId="13" xfId="0" applyNumberFormat="1" applyFont="1" applyBorder="1" applyAlignment="1">
      <alignment shrinkToFit="1"/>
    </xf>
    <xf numFmtId="10" fontId="4" fillId="0" borderId="0" xfId="0" applyNumberFormat="1" applyFont="1"/>
    <xf numFmtId="38" fontId="4" fillId="0" borderId="0" xfId="0" applyNumberFormat="1" applyFont="1" applyAlignment="1">
      <alignment shrinkToFit="1"/>
    </xf>
    <xf numFmtId="3" fontId="11" fillId="0" borderId="11" xfId="0" applyNumberFormat="1" applyFont="1" applyBorder="1" applyAlignment="1">
      <alignment horizontal="center"/>
    </xf>
    <xf numFmtId="3" fontId="4" fillId="0" borderId="11" xfId="0" applyNumberFormat="1" applyFont="1" applyBorder="1"/>
    <xf numFmtId="3" fontId="12" fillId="0" borderId="58" xfId="0" applyNumberFormat="1" applyFont="1" applyBorder="1" applyAlignment="1">
      <alignment horizontal="center"/>
    </xf>
    <xf numFmtId="3" fontId="12" fillId="0" borderId="58" xfId="0" applyNumberFormat="1" applyFont="1" applyBorder="1" applyAlignment="1">
      <alignment shrinkToFit="1"/>
    </xf>
    <xf numFmtId="10" fontId="12" fillId="0" borderId="58" xfId="3" applyNumberFormat="1" applyFont="1" applyBorder="1" applyAlignment="1">
      <alignment shrinkToFit="1"/>
    </xf>
    <xf numFmtId="3" fontId="24" fillId="0" borderId="58" xfId="0" applyNumberFormat="1" applyFont="1" applyBorder="1" applyAlignment="1">
      <alignment shrinkToFit="1"/>
    </xf>
    <xf numFmtId="3" fontId="222" fillId="0" borderId="0" xfId="0" applyNumberFormat="1" applyFont="1"/>
    <xf numFmtId="3" fontId="12" fillId="0" borderId="60" xfId="0" applyNumberFormat="1" applyFont="1" applyBorder="1" applyAlignment="1">
      <alignment vertical="center"/>
    </xf>
    <xf numFmtId="3" fontId="4" fillId="0" borderId="13" xfId="0" applyNumberFormat="1" applyFont="1" applyBorder="1" applyAlignment="1">
      <alignment horizontal="center" vertical="center"/>
    </xf>
    <xf numFmtId="3" fontId="4" fillId="0" borderId="13" xfId="0" applyNumberFormat="1" applyFont="1" applyBorder="1" applyAlignment="1">
      <alignment vertical="center" wrapText="1" shrinkToFit="1"/>
    </xf>
    <xf numFmtId="3" fontId="4" fillId="0" borderId="13" xfId="0" applyNumberFormat="1" applyFont="1" applyBorder="1" applyAlignment="1">
      <alignment vertical="center"/>
    </xf>
    <xf numFmtId="3" fontId="23" fillId="0" borderId="13" xfId="0" applyNumberFormat="1" applyFont="1" applyBorder="1" applyAlignment="1">
      <alignment vertical="center"/>
    </xf>
    <xf numFmtId="4" fontId="4" fillId="0" borderId="13" xfId="0" applyNumberFormat="1" applyFont="1" applyBorder="1" applyAlignment="1">
      <alignment vertical="center"/>
    </xf>
    <xf numFmtId="3" fontId="4" fillId="0" borderId="13" xfId="0" applyNumberFormat="1" applyFont="1" applyBorder="1" applyAlignment="1">
      <alignment vertical="center" shrinkToFit="1"/>
    </xf>
    <xf numFmtId="0" fontId="32" fillId="0" borderId="11" xfId="0" applyFont="1" applyBorder="1"/>
    <xf numFmtId="0" fontId="216" fillId="0" borderId="11" xfId="0" applyFont="1" applyBorder="1" applyAlignment="1">
      <alignment horizontal="center" vertical="center" wrapText="1"/>
    </xf>
    <xf numFmtId="3" fontId="120" fillId="0" borderId="11" xfId="403" applyNumberFormat="1" applyFont="1" applyBorder="1" applyAlignment="1">
      <alignment horizontal="center"/>
    </xf>
    <xf numFmtId="0" fontId="120" fillId="0" borderId="11" xfId="0" applyFont="1" applyBorder="1"/>
    <xf numFmtId="3" fontId="120" fillId="0" borderId="11" xfId="0" applyNumberFormat="1" applyFont="1" applyBorder="1" applyAlignment="1">
      <alignment shrinkToFit="1"/>
    </xf>
    <xf numFmtId="3" fontId="120" fillId="0" borderId="11" xfId="0" applyNumberFormat="1" applyFont="1" applyBorder="1"/>
    <xf numFmtId="0" fontId="120" fillId="0" borderId="58" xfId="0" applyFont="1" applyBorder="1" applyAlignment="1">
      <alignment horizontal="center"/>
    </xf>
    <xf numFmtId="3" fontId="120" fillId="0" borderId="58" xfId="403" applyNumberFormat="1" applyFont="1" applyBorder="1" applyAlignment="1">
      <alignment shrinkToFit="1"/>
    </xf>
    <xf numFmtId="179" fontId="120" fillId="0" borderId="58" xfId="403" applyNumberFormat="1" applyFont="1" applyBorder="1" applyAlignment="1">
      <alignment shrinkToFit="1"/>
    </xf>
    <xf numFmtId="3" fontId="120" fillId="0" borderId="60" xfId="403" applyNumberFormat="1" applyFont="1" applyBorder="1" applyAlignment="1">
      <alignment vertical="center" shrinkToFit="1"/>
    </xf>
    <xf numFmtId="179" fontId="120" fillId="0" borderId="60" xfId="403" applyNumberFormat="1" applyFont="1" applyBorder="1" applyAlignment="1">
      <alignment vertical="center" shrinkToFit="1"/>
    </xf>
    <xf numFmtId="3" fontId="120" fillId="0" borderId="0" xfId="403" applyNumberFormat="1" applyFont="1" applyAlignment="1">
      <alignment vertical="center"/>
    </xf>
    <xf numFmtId="179" fontId="120" fillId="0" borderId="0" xfId="0" applyNumberFormat="1" applyFont="1" applyAlignment="1">
      <alignment vertical="center"/>
    </xf>
    <xf numFmtId="0" fontId="120" fillId="0" borderId="60" xfId="0" applyFont="1" applyBorder="1" applyAlignment="1">
      <alignment horizontal="center" shrinkToFit="1"/>
    </xf>
    <xf numFmtId="3" fontId="120" fillId="0" borderId="60" xfId="403" applyNumberFormat="1" applyFont="1" applyBorder="1" applyAlignment="1">
      <alignment horizontal="right" shrinkToFit="1"/>
    </xf>
    <xf numFmtId="179" fontId="120" fillId="0" borderId="60" xfId="403" applyNumberFormat="1" applyFont="1" applyBorder="1" applyAlignment="1">
      <alignment horizontal="right" shrinkToFit="1"/>
    </xf>
    <xf numFmtId="179" fontId="120" fillId="0" borderId="0" xfId="403" applyNumberFormat="1" applyFont="1" applyAlignment="1">
      <alignment horizontal="right" shrinkToFit="1"/>
    </xf>
    <xf numFmtId="3" fontId="120" fillId="0" borderId="0" xfId="0" applyNumberFormat="1" applyFont="1" applyAlignment="1">
      <alignment shrinkToFit="1"/>
    </xf>
    <xf numFmtId="0" fontId="32" fillId="0" borderId="60" xfId="0" applyFont="1" applyBorder="1" applyAlignment="1">
      <alignment horizontal="center"/>
    </xf>
    <xf numFmtId="3" fontId="32" fillId="0" borderId="60" xfId="403" applyNumberFormat="1" applyFont="1" applyBorder="1" applyAlignment="1">
      <alignment shrinkToFit="1"/>
    </xf>
    <xf numFmtId="3" fontId="32" fillId="0" borderId="60" xfId="403" applyNumberFormat="1" applyFont="1" applyBorder="1" applyAlignment="1">
      <alignment horizontal="right" shrinkToFit="1"/>
    </xf>
    <xf numFmtId="179" fontId="32" fillId="0" borderId="60" xfId="403" applyNumberFormat="1" applyFont="1" applyBorder="1"/>
    <xf numFmtId="3" fontId="142" fillId="0" borderId="60" xfId="403" applyNumberFormat="1" applyFont="1" applyBorder="1" applyAlignment="1">
      <alignment horizontal="right" shrinkToFit="1"/>
    </xf>
    <xf numFmtId="179" fontId="142" fillId="0" borderId="60" xfId="403" applyNumberFormat="1" applyFont="1" applyBorder="1" applyAlignment="1">
      <alignment horizontal="right" shrinkToFit="1"/>
    </xf>
    <xf numFmtId="0" fontId="120" fillId="0" borderId="60" xfId="0" applyFont="1" applyBorder="1" applyAlignment="1">
      <alignment horizontal="center"/>
    </xf>
    <xf numFmtId="3" fontId="120" fillId="0" borderId="60" xfId="403" applyNumberFormat="1" applyFont="1" applyBorder="1" applyAlignment="1">
      <alignment shrinkToFit="1"/>
    </xf>
    <xf numFmtId="3" fontId="141" fillId="0" borderId="60" xfId="403" applyNumberFormat="1" applyFont="1" applyBorder="1" applyAlignment="1">
      <alignment shrinkToFit="1"/>
    </xf>
    <xf numFmtId="3" fontId="32" fillId="3" borderId="60" xfId="0" applyNumberFormat="1" applyFont="1" applyFill="1" applyBorder="1" applyAlignment="1">
      <alignment shrinkToFit="1"/>
    </xf>
    <xf numFmtId="179" fontId="141" fillId="0" borderId="60" xfId="403" applyNumberFormat="1" applyFont="1" applyBorder="1"/>
    <xf numFmtId="179" fontId="120" fillId="0" borderId="60" xfId="403" applyNumberFormat="1" applyFont="1" applyBorder="1" applyAlignment="1">
      <alignment shrinkToFit="1"/>
    </xf>
    <xf numFmtId="3" fontId="120" fillId="0" borderId="60" xfId="0" applyNumberFormat="1" applyFont="1" applyBorder="1" applyAlignment="1">
      <alignment shrinkToFit="1"/>
    </xf>
    <xf numFmtId="179" fontId="120" fillId="0" borderId="60" xfId="403" applyNumberFormat="1" applyFont="1" applyBorder="1"/>
    <xf numFmtId="3" fontId="142" fillId="3" borderId="60" xfId="403" applyNumberFormat="1" applyFont="1" applyFill="1" applyBorder="1" applyAlignment="1">
      <alignment vertical="center" shrinkToFit="1"/>
    </xf>
    <xf numFmtId="3" fontId="32" fillId="0" borderId="60" xfId="403" applyNumberFormat="1" applyFont="1" applyBorder="1" applyAlignment="1">
      <alignment vertical="center" shrinkToFit="1"/>
    </xf>
    <xf numFmtId="179" fontId="32" fillId="0" borderId="60" xfId="403" applyNumberFormat="1" applyFont="1" applyBorder="1" applyAlignment="1">
      <alignment vertical="center" shrinkToFit="1"/>
    </xf>
    <xf numFmtId="3" fontId="141" fillId="0" borderId="60" xfId="0" applyNumberFormat="1" applyFont="1" applyBorder="1" applyAlignment="1">
      <alignment shrinkToFit="1"/>
    </xf>
    <xf numFmtId="3" fontId="142" fillId="0" borderId="60" xfId="403" applyNumberFormat="1" applyFont="1" applyBorder="1" applyAlignment="1">
      <alignment shrinkToFit="1"/>
    </xf>
    <xf numFmtId="179" fontId="32" fillId="0" borderId="60" xfId="403" applyNumberFormat="1" applyFont="1" applyBorder="1" applyAlignment="1">
      <alignment shrinkToFit="1"/>
    </xf>
    <xf numFmtId="0" fontId="120" fillId="0" borderId="140" xfId="0" applyFont="1" applyBorder="1" applyAlignment="1">
      <alignment horizontal="center"/>
    </xf>
    <xf numFmtId="0" fontId="32" fillId="0" borderId="140" xfId="0" applyFont="1" applyBorder="1" applyAlignment="1">
      <alignment shrinkToFit="1"/>
    </xf>
    <xf numFmtId="3" fontId="32" fillId="0" borderId="140" xfId="0" applyNumberFormat="1" applyFont="1" applyBorder="1" applyAlignment="1">
      <alignment shrinkToFit="1"/>
    </xf>
    <xf numFmtId="3" fontId="32" fillId="0" borderId="140" xfId="403" applyNumberFormat="1" applyFont="1" applyBorder="1" applyAlignment="1">
      <alignment shrinkToFit="1"/>
    </xf>
    <xf numFmtId="0" fontId="32" fillId="0" borderId="140" xfId="0" applyFont="1" applyBorder="1"/>
    <xf numFmtId="0" fontId="32" fillId="0" borderId="13" xfId="0" applyFont="1" applyBorder="1" applyAlignment="1">
      <alignment horizontal="center"/>
    </xf>
    <xf numFmtId="0" fontId="32" fillId="0" borderId="13" xfId="0" applyFont="1" applyBorder="1" applyAlignment="1">
      <alignment shrinkToFit="1"/>
    </xf>
    <xf numFmtId="3" fontId="32" fillId="0" borderId="13" xfId="403" applyNumberFormat="1" applyFont="1" applyBorder="1" applyAlignment="1">
      <alignment shrinkToFit="1"/>
    </xf>
    <xf numFmtId="179" fontId="32" fillId="0" borderId="13" xfId="403" applyNumberFormat="1" applyFont="1" applyBorder="1"/>
    <xf numFmtId="179" fontId="32" fillId="0" borderId="0" xfId="403" applyNumberFormat="1" applyFont="1" applyAlignment="1">
      <alignment shrinkToFit="1"/>
    </xf>
    <xf numFmtId="3" fontId="141" fillId="0" borderId="0" xfId="0" applyNumberFormat="1" applyFont="1" applyAlignment="1">
      <alignment shrinkToFit="1"/>
    </xf>
    <xf numFmtId="0" fontId="141" fillId="0" borderId="0" xfId="0" applyFont="1" applyAlignment="1">
      <alignment shrinkToFit="1"/>
    </xf>
    <xf numFmtId="0" fontId="4" fillId="0" borderId="0" xfId="413" applyFont="1"/>
    <xf numFmtId="0" fontId="11" fillId="0" borderId="0" xfId="413" applyFont="1"/>
    <xf numFmtId="220" fontId="34" fillId="0" borderId="0" xfId="413" applyNumberFormat="1" applyFont="1"/>
    <xf numFmtId="220" fontId="239" fillId="0" borderId="0" xfId="413" applyNumberFormat="1" applyFont="1"/>
    <xf numFmtId="0" fontId="177" fillId="0" borderId="0" xfId="413" applyFont="1"/>
    <xf numFmtId="0" fontId="11" fillId="0" borderId="0" xfId="413" applyFont="1" applyAlignment="1">
      <alignment horizontal="center" vertical="center"/>
    </xf>
    <xf numFmtId="220" fontId="34" fillId="0" borderId="199" xfId="413" applyNumberFormat="1" applyFont="1" applyBorder="1" applyAlignment="1">
      <alignment horizontal="center" vertical="center"/>
    </xf>
    <xf numFmtId="220" fontId="34" fillId="0" borderId="200" xfId="413" applyNumberFormat="1" applyFont="1" applyBorder="1" applyAlignment="1">
      <alignment horizontal="center" vertical="center" wrapText="1"/>
    </xf>
    <xf numFmtId="220" fontId="34" fillId="0" borderId="200" xfId="413" quotePrefix="1" applyNumberFormat="1" applyFont="1" applyBorder="1" applyAlignment="1">
      <alignment horizontal="center" vertical="center" wrapText="1"/>
    </xf>
    <xf numFmtId="220" fontId="34" fillId="0" borderId="201" xfId="413" quotePrefix="1" applyNumberFormat="1" applyFont="1" applyBorder="1" applyAlignment="1">
      <alignment horizontal="center" vertical="center" wrapText="1"/>
    </xf>
    <xf numFmtId="0" fontId="41" fillId="0" borderId="0" xfId="413" applyFont="1"/>
    <xf numFmtId="220" fontId="241" fillId="0" borderId="202" xfId="351" applyNumberFormat="1" applyFont="1" applyBorder="1" applyAlignment="1">
      <alignment horizontal="center"/>
    </xf>
    <xf numFmtId="220" fontId="241" fillId="0" borderId="198" xfId="351" applyNumberFormat="1" applyFont="1" applyBorder="1" applyAlignment="1">
      <alignment horizontal="center" vertical="center" wrapText="1"/>
    </xf>
    <xf numFmtId="177" fontId="241" fillId="0" borderId="198" xfId="348" applyFont="1" applyFill="1" applyBorder="1" applyAlignment="1">
      <alignment horizontal="center" vertical="center" shrinkToFit="1"/>
    </xf>
    <xf numFmtId="220" fontId="241" fillId="0" borderId="198" xfId="413" applyNumberFormat="1" applyFont="1" applyBorder="1" applyAlignment="1">
      <alignment vertical="center" shrinkToFit="1"/>
    </xf>
    <xf numFmtId="177" fontId="241" fillId="0" borderId="203" xfId="348" applyFont="1" applyFill="1" applyBorder="1" applyAlignment="1">
      <alignment vertical="center" shrinkToFit="1"/>
    </xf>
    <xf numFmtId="220" fontId="241" fillId="0" borderId="28" xfId="351" applyNumberFormat="1" applyFont="1" applyBorder="1" applyAlignment="1">
      <alignment horizontal="center"/>
    </xf>
    <xf numFmtId="220" fontId="241" fillId="0" borderId="14" xfId="351" applyNumberFormat="1" applyFont="1" applyBorder="1" applyAlignment="1">
      <alignment horizontal="center" vertical="center" wrapText="1"/>
    </xf>
    <xf numFmtId="177" fontId="241" fillId="0" borderId="14" xfId="348" applyFont="1" applyFill="1" applyBorder="1" applyAlignment="1">
      <alignment horizontal="center" vertical="center" shrinkToFit="1"/>
    </xf>
    <xf numFmtId="220" fontId="241" fillId="0" borderId="14" xfId="413" applyNumberFormat="1" applyFont="1" applyBorder="1" applyAlignment="1">
      <alignment vertical="center" shrinkToFit="1"/>
    </xf>
    <xf numFmtId="220" fontId="241" fillId="3" borderId="14" xfId="351" applyNumberFormat="1" applyFont="1" applyFill="1" applyBorder="1" applyAlignment="1">
      <alignment horizontal="center" vertical="center" wrapText="1"/>
    </xf>
    <xf numFmtId="220" fontId="241" fillId="3" borderId="14" xfId="413" applyNumberFormat="1" applyFont="1" applyFill="1" applyBorder="1" applyAlignment="1">
      <alignment vertical="center" shrinkToFit="1"/>
    </xf>
    <xf numFmtId="177" fontId="241" fillId="0" borderId="33" xfId="348" applyFont="1" applyFill="1" applyBorder="1" applyAlignment="1">
      <alignment vertical="center" shrinkToFit="1"/>
    </xf>
    <xf numFmtId="220" fontId="241" fillId="0" borderId="26" xfId="351" applyNumberFormat="1" applyFont="1" applyBorder="1" applyAlignment="1">
      <alignment horizontal="center"/>
    </xf>
    <xf numFmtId="220" fontId="241" fillId="0" borderId="60" xfId="351" applyNumberFormat="1" applyFont="1" applyBorder="1" applyAlignment="1">
      <alignment vertical="center" wrapText="1"/>
    </xf>
    <xf numFmtId="220" fontId="241" fillId="0" borderId="60" xfId="413" applyNumberFormat="1" applyFont="1" applyBorder="1" applyAlignment="1">
      <alignment horizontal="center" vertical="center" shrinkToFit="1"/>
    </xf>
    <xf numFmtId="220" fontId="241" fillId="0" borderId="60" xfId="413" applyNumberFormat="1" applyFont="1" applyBorder="1" applyAlignment="1">
      <alignment vertical="center" shrinkToFit="1"/>
    </xf>
    <xf numFmtId="177" fontId="241" fillId="0" borderId="32" xfId="348" applyFont="1" applyFill="1" applyBorder="1" applyAlignment="1">
      <alignment vertical="center" shrinkToFit="1"/>
    </xf>
    <xf numFmtId="220" fontId="241" fillId="0" borderId="26" xfId="351" applyNumberFormat="1" applyFont="1" applyBorder="1" applyAlignment="1">
      <alignment horizontal="center" vertical="center" wrapText="1"/>
    </xf>
    <xf numFmtId="220" fontId="241" fillId="0" borderId="60" xfId="351" applyNumberFormat="1" applyFont="1" applyBorder="1" applyAlignment="1">
      <alignment horizontal="left" vertical="center" wrapText="1"/>
    </xf>
    <xf numFmtId="220" fontId="34" fillId="0" borderId="60" xfId="413" applyNumberFormat="1" applyFont="1" applyBorder="1" applyAlignment="1">
      <alignment horizontal="center" vertical="center" shrinkToFit="1"/>
    </xf>
    <xf numFmtId="0" fontId="12" fillId="0" borderId="0" xfId="413" applyFont="1"/>
    <xf numFmtId="220" fontId="216" fillId="0" borderId="60" xfId="413" applyNumberFormat="1" applyFont="1" applyBorder="1" applyAlignment="1">
      <alignment horizontal="center" vertical="center" shrinkToFit="1"/>
    </xf>
    <xf numFmtId="220" fontId="216" fillId="0" borderId="26" xfId="351" applyNumberFormat="1" applyFont="1" applyBorder="1" applyAlignment="1">
      <alignment horizontal="center" vertical="center" wrapText="1"/>
    </xf>
    <xf numFmtId="220" fontId="216" fillId="0" borderId="60" xfId="351" applyNumberFormat="1" applyFont="1" applyBorder="1" applyAlignment="1">
      <alignment horizontal="left" vertical="center" wrapText="1"/>
    </xf>
    <xf numFmtId="220" fontId="216" fillId="0" borderId="60" xfId="413" applyNumberFormat="1" applyFont="1" applyBorder="1" applyAlignment="1">
      <alignment vertical="center" shrinkToFit="1"/>
    </xf>
    <xf numFmtId="177" fontId="216" fillId="0" borderId="32" xfId="348" applyFont="1" applyFill="1" applyBorder="1" applyAlignment="1">
      <alignment vertical="center" shrinkToFit="1"/>
    </xf>
    <xf numFmtId="220" fontId="34" fillId="0" borderId="26" xfId="351" applyNumberFormat="1" applyFont="1" applyBorder="1" applyAlignment="1">
      <alignment horizontal="center" vertical="center" wrapText="1"/>
    </xf>
    <xf numFmtId="220" fontId="34" fillId="0" borderId="60" xfId="351" applyNumberFormat="1" applyFont="1" applyBorder="1" applyAlignment="1">
      <alignment horizontal="left" vertical="center" wrapText="1"/>
    </xf>
    <xf numFmtId="220" fontId="34" fillId="0" borderId="60" xfId="413" applyNumberFormat="1" applyFont="1" applyBorder="1" applyAlignment="1">
      <alignment vertical="center" shrinkToFit="1"/>
    </xf>
    <xf numFmtId="220" fontId="34" fillId="0" borderId="60" xfId="414" applyNumberFormat="1" applyFont="1" applyBorder="1" applyAlignment="1">
      <alignment vertical="center" shrinkToFit="1"/>
    </xf>
    <xf numFmtId="177" fontId="34" fillId="0" borderId="32" xfId="348" applyFont="1" applyFill="1" applyBorder="1" applyAlignment="1">
      <alignment vertical="center" shrinkToFit="1"/>
    </xf>
    <xf numFmtId="233" fontId="34" fillId="0" borderId="60" xfId="413" applyNumberFormat="1" applyFont="1" applyBorder="1" applyAlignment="1">
      <alignment vertical="center" shrinkToFit="1"/>
    </xf>
    <xf numFmtId="2" fontId="34" fillId="0" borderId="60" xfId="413" applyNumberFormat="1" applyFont="1" applyBorder="1" applyAlignment="1">
      <alignment vertical="center" shrinkToFit="1"/>
    </xf>
    <xf numFmtId="173" fontId="216" fillId="0" borderId="60" xfId="3" applyNumberFormat="1" applyFont="1" applyFill="1" applyBorder="1" applyAlignment="1">
      <alignment vertical="center" shrinkToFit="1"/>
    </xf>
    <xf numFmtId="0" fontId="4" fillId="0" borderId="0" xfId="413" applyFont="1" applyAlignment="1">
      <alignment vertical="center"/>
    </xf>
    <xf numFmtId="0" fontId="11" fillId="0" borderId="0" xfId="413" applyFont="1" applyAlignment="1">
      <alignment vertical="center"/>
    </xf>
    <xf numFmtId="0" fontId="222" fillId="0" borderId="0" xfId="413" applyFont="1"/>
    <xf numFmtId="220" fontId="242" fillId="0" borderId="60" xfId="413" applyNumberFormat="1" applyFont="1" applyBorder="1" applyAlignment="1">
      <alignment vertical="center" shrinkToFit="1"/>
    </xf>
    <xf numFmtId="177" fontId="242" fillId="0" borderId="32" xfId="348" applyFont="1" applyFill="1" applyBorder="1" applyAlignment="1">
      <alignment vertical="center" shrinkToFit="1"/>
    </xf>
    <xf numFmtId="220" fontId="216" fillId="0" borderId="60" xfId="414" applyNumberFormat="1" applyFont="1" applyBorder="1" applyAlignment="1">
      <alignment vertical="center" shrinkToFit="1"/>
    </xf>
    <xf numFmtId="224" fontId="34" fillId="0" borderId="60" xfId="348" applyNumberFormat="1" applyFont="1" applyFill="1" applyBorder="1" applyAlignment="1">
      <alignment vertical="center" shrinkToFit="1"/>
    </xf>
    <xf numFmtId="220" fontId="241" fillId="0" borderId="60" xfId="351" applyNumberFormat="1" applyFont="1" applyBorder="1" applyAlignment="1">
      <alignment horizontal="left" vertical="center"/>
    </xf>
    <xf numFmtId="0" fontId="4" fillId="0" borderId="60" xfId="348" applyNumberFormat="1" applyFont="1" applyFill="1" applyBorder="1" applyAlignment="1">
      <alignment vertical="justify" wrapText="1"/>
    </xf>
    <xf numFmtId="179" fontId="216" fillId="0" borderId="60" xfId="348" applyNumberFormat="1" applyFont="1" applyFill="1" applyBorder="1" applyAlignment="1">
      <alignment vertical="center" shrinkToFit="1"/>
    </xf>
    <xf numFmtId="220" fontId="34" fillId="2" borderId="60" xfId="413" applyNumberFormat="1" applyFont="1" applyFill="1" applyBorder="1" applyAlignment="1">
      <alignment vertical="center" shrinkToFit="1"/>
    </xf>
    <xf numFmtId="177" fontId="34" fillId="0" borderId="60" xfId="348" applyFont="1" applyFill="1" applyBorder="1" applyAlignment="1">
      <alignment vertical="center" shrinkToFit="1"/>
    </xf>
    <xf numFmtId="3" fontId="34" fillId="0" borderId="60" xfId="3" applyNumberFormat="1" applyFont="1" applyFill="1" applyBorder="1" applyAlignment="1">
      <alignment vertical="center" shrinkToFit="1"/>
    </xf>
    <xf numFmtId="3" fontId="216" fillId="0" borderId="60" xfId="3" applyNumberFormat="1" applyFont="1" applyFill="1" applyBorder="1" applyAlignment="1">
      <alignment vertical="center" shrinkToFit="1"/>
    </xf>
    <xf numFmtId="177" fontId="216" fillId="0" borderId="60" xfId="348" applyFont="1" applyFill="1" applyBorder="1" applyAlignment="1">
      <alignment vertical="center" shrinkToFit="1"/>
    </xf>
    <xf numFmtId="0" fontId="34" fillId="0" borderId="60" xfId="351" applyFont="1" applyBorder="1" applyAlignment="1">
      <alignment horizontal="left" vertical="center" wrapText="1"/>
    </xf>
    <xf numFmtId="220" fontId="11" fillId="0" borderId="0" xfId="413" applyNumberFormat="1" applyFont="1"/>
    <xf numFmtId="220" fontId="12" fillId="0" borderId="0" xfId="413" applyNumberFormat="1" applyFont="1"/>
    <xf numFmtId="177" fontId="241" fillId="0" borderId="60" xfId="348" applyFont="1" applyFill="1" applyBorder="1" applyAlignment="1">
      <alignment vertical="center" shrinkToFit="1"/>
    </xf>
    <xf numFmtId="233" fontId="34" fillId="0" borderId="60" xfId="414" applyNumberFormat="1" applyFont="1" applyBorder="1" applyAlignment="1">
      <alignment vertical="center" shrinkToFit="1"/>
    </xf>
    <xf numFmtId="220" fontId="34" fillId="0" borderId="60" xfId="413" applyNumberFormat="1" applyFont="1" applyBorder="1" applyAlignment="1">
      <alignment horizontal="right" vertical="center" shrinkToFit="1"/>
    </xf>
    <xf numFmtId="234" fontId="34" fillId="0" borderId="60" xfId="413" applyNumberFormat="1" applyFont="1" applyBorder="1" applyAlignment="1">
      <alignment vertical="center" shrinkToFit="1"/>
    </xf>
    <xf numFmtId="235" fontId="34" fillId="0" borderId="60" xfId="414" applyNumberFormat="1" applyFont="1" applyBorder="1" applyAlignment="1">
      <alignment vertical="center" shrinkToFit="1"/>
    </xf>
    <xf numFmtId="9" fontId="34" fillId="0" borderId="60" xfId="3" applyFont="1" applyFill="1" applyBorder="1" applyAlignment="1">
      <alignment vertical="center" shrinkToFit="1"/>
    </xf>
    <xf numFmtId="220" fontId="239" fillId="0" borderId="26" xfId="351" applyNumberFormat="1" applyFont="1" applyBorder="1" applyAlignment="1">
      <alignment horizontal="center" vertical="center" wrapText="1"/>
    </xf>
    <xf numFmtId="220" fontId="239" fillId="0" borderId="60" xfId="351" applyNumberFormat="1" applyFont="1" applyBorder="1" applyAlignment="1">
      <alignment horizontal="left" vertical="center" wrapText="1"/>
    </xf>
    <xf numFmtId="220" fontId="239" fillId="0" borderId="60" xfId="413" applyNumberFormat="1" applyFont="1" applyBorder="1" applyAlignment="1">
      <alignment horizontal="center" vertical="center" shrinkToFit="1"/>
    </xf>
    <xf numFmtId="220" fontId="239" fillId="0" borderId="60" xfId="413" applyNumberFormat="1" applyFont="1" applyBorder="1" applyAlignment="1">
      <alignment vertical="center" shrinkToFit="1"/>
    </xf>
    <xf numFmtId="235" fontId="239" fillId="0" borderId="60" xfId="414" applyNumberFormat="1" applyFont="1" applyBorder="1" applyAlignment="1">
      <alignment vertical="center" shrinkToFit="1"/>
    </xf>
    <xf numFmtId="177" fontId="239" fillId="0" borderId="32" xfId="348" applyFont="1" applyFill="1" applyBorder="1" applyAlignment="1">
      <alignment vertical="center" shrinkToFit="1"/>
    </xf>
    <xf numFmtId="0" fontId="19" fillId="0" borderId="0" xfId="413" applyFont="1"/>
    <xf numFmtId="220" fontId="239" fillId="0" borderId="60" xfId="414" applyNumberFormat="1" applyFont="1" applyBorder="1" applyAlignment="1">
      <alignment vertical="center" shrinkToFit="1"/>
    </xf>
    <xf numFmtId="173" fontId="242" fillId="0" borderId="60" xfId="3" applyNumberFormat="1" applyFont="1" applyFill="1" applyBorder="1" applyAlignment="1">
      <alignment vertical="center" shrinkToFit="1"/>
    </xf>
    <xf numFmtId="220" fontId="216" fillId="3" borderId="26" xfId="351" applyNumberFormat="1" applyFont="1" applyFill="1" applyBorder="1" applyAlignment="1">
      <alignment horizontal="center" vertical="center" wrapText="1"/>
    </xf>
    <xf numFmtId="220" fontId="216" fillId="3" borderId="60" xfId="351" applyNumberFormat="1" applyFont="1" applyFill="1" applyBorder="1" applyAlignment="1">
      <alignment horizontal="left" vertical="center" wrapText="1"/>
    </xf>
    <xf numFmtId="220" fontId="34" fillId="3" borderId="60" xfId="413" applyNumberFormat="1" applyFont="1" applyFill="1" applyBorder="1" applyAlignment="1">
      <alignment horizontal="center" vertical="center" shrinkToFit="1"/>
    </xf>
    <xf numFmtId="220" fontId="34" fillId="3" borderId="60" xfId="413" applyNumberFormat="1" applyFont="1" applyFill="1" applyBorder="1" applyAlignment="1">
      <alignment vertical="center" shrinkToFit="1"/>
    </xf>
    <xf numFmtId="177" fontId="34" fillId="3" borderId="60" xfId="348" quotePrefix="1" applyFont="1" applyFill="1" applyBorder="1" applyAlignment="1">
      <alignment horizontal="right" vertical="center" shrinkToFit="1"/>
    </xf>
    <xf numFmtId="220" fontId="216" fillId="3" borderId="60" xfId="414" applyNumberFormat="1" applyFont="1" applyFill="1" applyBorder="1" applyAlignment="1">
      <alignment vertical="center" shrinkToFit="1"/>
    </xf>
    <xf numFmtId="177" fontId="34" fillId="3" borderId="32" xfId="348" applyFont="1" applyFill="1" applyBorder="1" applyAlignment="1">
      <alignment vertical="center" shrinkToFit="1"/>
    </xf>
    <xf numFmtId="220" fontId="4" fillId="0" borderId="29" xfId="413" applyNumberFormat="1" applyFont="1" applyBorder="1"/>
    <xf numFmtId="220" fontId="4" fillId="0" borderId="30" xfId="413" applyNumberFormat="1" applyFont="1" applyBorder="1" applyAlignment="1">
      <alignment vertical="center" wrapText="1"/>
    </xf>
    <xf numFmtId="220" fontId="4" fillId="0" borderId="30" xfId="413" applyNumberFormat="1" applyFont="1" applyBorder="1" applyAlignment="1">
      <alignment vertical="center" shrinkToFit="1"/>
    </xf>
    <xf numFmtId="177" fontId="4" fillId="0" borderId="31" xfId="348" applyFont="1" applyFill="1" applyBorder="1" applyAlignment="1">
      <alignment vertical="center" shrinkToFit="1"/>
    </xf>
    <xf numFmtId="220" fontId="4" fillId="0" borderId="0" xfId="413" applyNumberFormat="1" applyFont="1"/>
    <xf numFmtId="220" fontId="4" fillId="0" borderId="0" xfId="413" applyNumberFormat="1" applyFont="1" applyAlignment="1">
      <alignment vertical="center"/>
    </xf>
    <xf numFmtId="220" fontId="11" fillId="0" borderId="202" xfId="351" applyNumberFormat="1" applyFont="1" applyBorder="1" applyAlignment="1">
      <alignment horizontal="center"/>
    </xf>
    <xf numFmtId="220" fontId="11" fillId="0" borderId="198" xfId="351" applyNumberFormat="1" applyFont="1" applyBorder="1" applyAlignment="1">
      <alignment horizontal="left" vertical="center"/>
    </xf>
    <xf numFmtId="220" fontId="11" fillId="0" borderId="198" xfId="413" applyNumberFormat="1" applyFont="1" applyBorder="1" applyAlignment="1">
      <alignment vertical="center"/>
    </xf>
    <xf numFmtId="220" fontId="11" fillId="0" borderId="198" xfId="413" applyNumberFormat="1" applyFont="1" applyBorder="1" applyAlignment="1">
      <alignment vertical="center" shrinkToFit="1"/>
    </xf>
    <xf numFmtId="220" fontId="11" fillId="0" borderId="203" xfId="413" applyNumberFormat="1" applyFont="1" applyBorder="1" applyAlignment="1">
      <alignment vertical="center" shrinkToFit="1"/>
    </xf>
    <xf numFmtId="220" fontId="11" fillId="0" borderId="0" xfId="413" applyNumberFormat="1" applyFont="1" applyAlignment="1">
      <alignment vertical="center"/>
    </xf>
    <xf numFmtId="220" fontId="4" fillId="0" borderId="26" xfId="351" applyNumberFormat="1" applyFont="1" applyBorder="1" applyAlignment="1">
      <alignment horizontal="center"/>
    </xf>
    <xf numFmtId="220" fontId="4" fillId="0" borderId="60" xfId="413" applyNumberFormat="1" applyFont="1" applyBorder="1" applyAlignment="1">
      <alignment vertical="center"/>
    </xf>
    <xf numFmtId="9" fontId="4" fillId="0" borderId="60" xfId="3" applyFont="1" applyFill="1" applyBorder="1" applyAlignment="1">
      <alignment vertical="center" shrinkToFit="1"/>
    </xf>
    <xf numFmtId="220" fontId="4" fillId="0" borderId="32" xfId="413" applyNumberFormat="1" applyFont="1" applyBorder="1" applyAlignment="1">
      <alignment vertical="center" shrinkToFit="1"/>
    </xf>
    <xf numFmtId="220" fontId="4" fillId="0" borderId="60" xfId="413" applyNumberFormat="1" applyFont="1" applyBorder="1" applyAlignment="1">
      <alignment vertical="center" shrinkToFit="1"/>
    </xf>
    <xf numFmtId="233" fontId="4" fillId="0" borderId="60" xfId="413" applyNumberFormat="1" applyFont="1" applyBorder="1" applyAlignment="1">
      <alignment vertical="center" shrinkToFit="1"/>
    </xf>
    <xf numFmtId="220" fontId="4" fillId="0" borderId="140" xfId="413" applyNumberFormat="1" applyFont="1" applyBorder="1" applyAlignment="1">
      <alignment vertical="center"/>
    </xf>
    <xf numFmtId="220" fontId="4" fillId="0" borderId="140" xfId="413" applyNumberFormat="1" applyFont="1" applyBorder="1" applyAlignment="1">
      <alignment vertical="center" shrinkToFit="1"/>
    </xf>
    <xf numFmtId="220" fontId="4" fillId="0" borderId="173" xfId="413" applyNumberFormat="1" applyFont="1" applyBorder="1" applyAlignment="1">
      <alignment vertical="center" shrinkToFit="1"/>
    </xf>
    <xf numFmtId="220" fontId="4" fillId="0" borderId="29" xfId="351" applyNumberFormat="1" applyFont="1" applyBorder="1" applyAlignment="1">
      <alignment horizontal="center"/>
    </xf>
    <xf numFmtId="220" fontId="4" fillId="0" borderId="30" xfId="351" applyNumberFormat="1" applyFont="1" applyBorder="1" applyAlignment="1">
      <alignment horizontal="left" vertical="center"/>
    </xf>
    <xf numFmtId="220" fontId="4" fillId="0" borderId="30" xfId="413" applyNumberFormat="1" applyFont="1" applyBorder="1" applyAlignment="1">
      <alignment vertical="center"/>
    </xf>
    <xf numFmtId="220" fontId="4" fillId="0" borderId="31" xfId="413" applyNumberFormat="1" applyFont="1" applyBorder="1" applyAlignment="1">
      <alignment vertical="center" shrinkToFit="1"/>
    </xf>
    <xf numFmtId="179" fontId="4" fillId="0" borderId="0" xfId="348" applyNumberFormat="1" applyFont="1" applyFill="1"/>
    <xf numFmtId="179" fontId="4" fillId="0" borderId="0" xfId="413" applyNumberFormat="1" applyFont="1"/>
    <xf numFmtId="168" fontId="120" fillId="0" borderId="0" xfId="348" applyNumberFormat="1" applyFont="1"/>
    <xf numFmtId="3" fontId="120" fillId="0" borderId="0" xfId="0" applyNumberFormat="1" applyFont="1" applyAlignment="1">
      <alignment horizontal="center" vertical="center" wrapText="1"/>
    </xf>
    <xf numFmtId="168" fontId="32" fillId="0" borderId="0" xfId="348" applyNumberFormat="1" applyFont="1"/>
    <xf numFmtId="168" fontId="120" fillId="0" borderId="0" xfId="348" applyNumberFormat="1" applyFont="1" applyBorder="1" applyAlignment="1">
      <alignment horizontal="center" wrapText="1"/>
    </xf>
    <xf numFmtId="3" fontId="121" fillId="0" borderId="72"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0" fillId="0" borderId="196" xfId="0" applyNumberFormat="1" applyFont="1" applyBorder="1" applyAlignment="1">
      <alignment horizontal="center" vertical="center" shrinkToFit="1"/>
    </xf>
    <xf numFmtId="3" fontId="120" fillId="0" borderId="72" xfId="0" applyNumberFormat="1" applyFont="1" applyBorder="1" applyAlignment="1">
      <alignment horizontal="center" vertical="center" shrinkToFit="1"/>
    </xf>
    <xf numFmtId="3" fontId="121" fillId="0" borderId="72" xfId="0" applyNumberFormat="1" applyFont="1" applyBorder="1" applyAlignment="1">
      <alignment horizontal="center" vertical="center" shrinkToFit="1"/>
    </xf>
    <xf numFmtId="3" fontId="142" fillId="0" borderId="72" xfId="0" applyNumberFormat="1" applyFont="1" applyBorder="1" applyAlignment="1">
      <alignment horizontal="center" vertical="center" shrinkToFit="1"/>
    </xf>
    <xf numFmtId="177" fontId="121" fillId="0" borderId="11" xfId="348" applyFont="1" applyBorder="1" applyAlignment="1">
      <alignment horizontal="center" vertical="center" shrinkToFit="1"/>
    </xf>
    <xf numFmtId="168" fontId="120" fillId="0" borderId="0" xfId="348" applyNumberFormat="1" applyFont="1" applyBorder="1" applyAlignment="1">
      <alignment horizontal="center" vertical="center" wrapText="1"/>
    </xf>
    <xf numFmtId="220" fontId="129" fillId="0" borderId="58" xfId="0" applyNumberFormat="1" applyFont="1" applyBorder="1" applyAlignment="1">
      <alignment shrinkToFit="1"/>
    </xf>
    <xf numFmtId="220" fontId="213" fillId="0" borderId="58" xfId="0" applyNumberFormat="1" applyFont="1" applyBorder="1" applyAlignment="1">
      <alignment shrinkToFit="1"/>
    </xf>
    <xf numFmtId="177" fontId="213" fillId="0" borderId="58" xfId="348" applyFont="1" applyBorder="1" applyAlignment="1">
      <alignment shrinkToFit="1"/>
    </xf>
    <xf numFmtId="179" fontId="129" fillId="0" borderId="58" xfId="348" applyNumberFormat="1" applyFont="1" applyBorder="1" applyAlignment="1">
      <alignment shrinkToFit="1"/>
    </xf>
    <xf numFmtId="179" fontId="129" fillId="0" borderId="14" xfId="348" applyNumberFormat="1" applyFont="1" applyBorder="1" applyAlignment="1">
      <alignment shrinkToFit="1"/>
    </xf>
    <xf numFmtId="179" fontId="129" fillId="0" borderId="33" xfId="348" applyNumberFormat="1" applyFont="1" applyBorder="1" applyAlignment="1">
      <alignment shrinkToFit="1"/>
    </xf>
    <xf numFmtId="171" fontId="130" fillId="0" borderId="0" xfId="0" applyNumberFormat="1" applyFont="1"/>
    <xf numFmtId="9" fontId="130" fillId="0" borderId="0" xfId="3" applyFont="1" applyBorder="1"/>
    <xf numFmtId="177" fontId="130" fillId="0" borderId="0" xfId="348" applyFont="1" applyBorder="1"/>
    <xf numFmtId="168" fontId="130" fillId="0" borderId="0" xfId="348" applyNumberFormat="1" applyFont="1" applyBorder="1"/>
    <xf numFmtId="3" fontId="213" fillId="0" borderId="60" xfId="0" applyNumberFormat="1" applyFont="1" applyBorder="1" applyAlignment="1">
      <alignment shrinkToFit="1"/>
    </xf>
    <xf numFmtId="177" fontId="213" fillId="0" borderId="60" xfId="348" applyFont="1" applyBorder="1" applyAlignment="1">
      <alignment shrinkToFit="1"/>
    </xf>
    <xf numFmtId="179" fontId="129" fillId="0" borderId="60" xfId="348" applyNumberFormat="1" applyFont="1" applyBorder="1" applyAlignment="1">
      <alignment shrinkToFit="1"/>
    </xf>
    <xf numFmtId="179" fontId="129" fillId="0" borderId="32" xfId="348" applyNumberFormat="1" applyFont="1" applyBorder="1" applyAlignment="1">
      <alignment shrinkToFit="1"/>
    </xf>
    <xf numFmtId="220" fontId="120" fillId="0" borderId="60" xfId="0" applyNumberFormat="1" applyFont="1" applyBorder="1" applyAlignment="1">
      <alignment shrinkToFit="1"/>
    </xf>
    <xf numFmtId="220" fontId="121" fillId="0" borderId="60" xfId="0" applyNumberFormat="1" applyFont="1" applyBorder="1" applyAlignment="1">
      <alignment shrinkToFit="1"/>
    </xf>
    <xf numFmtId="220" fontId="142" fillId="0" borderId="60" xfId="0" applyNumberFormat="1" applyFont="1" applyBorder="1" applyAlignment="1">
      <alignment shrinkToFit="1"/>
    </xf>
    <xf numFmtId="177" fontId="142" fillId="0" borderId="60" xfId="348" applyFont="1" applyBorder="1" applyAlignment="1">
      <alignment shrinkToFit="1"/>
    </xf>
    <xf numFmtId="179" fontId="121" fillId="0" borderId="60" xfId="348" applyNumberFormat="1" applyFont="1" applyBorder="1" applyAlignment="1">
      <alignment shrinkToFit="1"/>
    </xf>
    <xf numFmtId="179" fontId="121" fillId="0" borderId="32" xfId="348" applyNumberFormat="1" applyFont="1" applyBorder="1" applyAlignment="1">
      <alignment shrinkToFit="1"/>
    </xf>
    <xf numFmtId="220" fontId="121" fillId="3" borderId="60" xfId="0" applyNumberFormat="1" applyFont="1" applyFill="1" applyBorder="1" applyAlignment="1">
      <alignment shrinkToFit="1"/>
    </xf>
    <xf numFmtId="3" fontId="142" fillId="0" borderId="60" xfId="0" applyNumberFormat="1" applyFont="1" applyBorder="1" applyAlignment="1">
      <alignment shrinkToFit="1"/>
    </xf>
    <xf numFmtId="179" fontId="121" fillId="0" borderId="60" xfId="0" applyNumberFormat="1" applyFont="1" applyBorder="1" applyAlignment="1">
      <alignment shrinkToFit="1"/>
    </xf>
    <xf numFmtId="179" fontId="121" fillId="0" borderId="32" xfId="0" applyNumberFormat="1" applyFont="1" applyBorder="1" applyAlignment="1">
      <alignment shrinkToFit="1"/>
    </xf>
    <xf numFmtId="3" fontId="130" fillId="0" borderId="29" xfId="0" applyNumberFormat="1" applyFont="1" applyBorder="1" applyAlignment="1">
      <alignment horizontal="center" shrinkToFit="1"/>
    </xf>
    <xf numFmtId="3" fontId="130" fillId="0" borderId="30" xfId="0" applyNumberFormat="1" applyFont="1" applyBorder="1" applyAlignment="1">
      <alignment shrinkToFit="1"/>
    </xf>
    <xf numFmtId="220" fontId="130" fillId="0" borderId="30" xfId="0" applyNumberFormat="1" applyFont="1" applyBorder="1" applyAlignment="1">
      <alignment shrinkToFit="1"/>
    </xf>
    <xf numFmtId="220" fontId="129" fillId="0" borderId="30" xfId="0" applyNumberFormat="1" applyFont="1" applyBorder="1" applyAlignment="1">
      <alignment shrinkToFit="1"/>
    </xf>
    <xf numFmtId="220" fontId="121" fillId="0" borderId="30" xfId="0" applyNumberFormat="1" applyFont="1" applyBorder="1" applyAlignment="1">
      <alignment shrinkToFit="1"/>
    </xf>
    <xf numFmtId="220" fontId="213" fillId="0" borderId="30" xfId="0" applyNumberFormat="1" applyFont="1" applyBorder="1" applyAlignment="1">
      <alignment shrinkToFit="1"/>
    </xf>
    <xf numFmtId="177" fontId="213" fillId="0" borderId="30" xfId="348" applyFont="1" applyBorder="1" applyAlignment="1">
      <alignment shrinkToFit="1"/>
    </xf>
    <xf numFmtId="179" fontId="129" fillId="0" borderId="30" xfId="348" applyNumberFormat="1" applyFont="1" applyBorder="1" applyAlignment="1">
      <alignment shrinkToFit="1"/>
    </xf>
    <xf numFmtId="179" fontId="129" fillId="0" borderId="31" xfId="348" applyNumberFormat="1" applyFont="1" applyBorder="1" applyAlignment="1">
      <alignment shrinkToFit="1"/>
    </xf>
    <xf numFmtId="3" fontId="130" fillId="0" borderId="0" xfId="0" applyNumberFormat="1" applyFont="1" applyAlignment="1">
      <alignment horizontal="center" shrinkToFit="1"/>
    </xf>
    <xf numFmtId="3" fontId="130" fillId="0" borderId="0" xfId="0" applyNumberFormat="1" applyFont="1" applyAlignment="1">
      <alignment shrinkToFit="1"/>
    </xf>
    <xf numFmtId="220" fontId="130" fillId="0" borderId="0" xfId="0" applyNumberFormat="1" applyFont="1" applyAlignment="1">
      <alignment shrinkToFit="1"/>
    </xf>
    <xf numFmtId="220" fontId="129" fillId="0" borderId="0" xfId="0" applyNumberFormat="1" applyFont="1" applyAlignment="1">
      <alignment shrinkToFit="1"/>
    </xf>
    <xf numFmtId="220" fontId="213" fillId="0" borderId="0" xfId="0" applyNumberFormat="1" applyFont="1" applyAlignment="1">
      <alignment shrinkToFit="1"/>
    </xf>
    <xf numFmtId="177" fontId="213" fillId="0" borderId="0" xfId="348" applyFont="1" applyBorder="1" applyAlignment="1">
      <alignment shrinkToFit="1"/>
    </xf>
    <xf numFmtId="179" fontId="129" fillId="0" borderId="0" xfId="348" applyNumberFormat="1" applyFont="1" applyBorder="1" applyAlignment="1">
      <alignment shrinkToFit="1"/>
    </xf>
    <xf numFmtId="220" fontId="121" fillId="0" borderId="0" xfId="0" applyNumberFormat="1" applyFont="1" applyAlignment="1">
      <alignment shrinkToFit="1"/>
    </xf>
    <xf numFmtId="3" fontId="120" fillId="0" borderId="58" xfId="0" applyNumberFormat="1" applyFont="1" applyBorder="1" applyAlignment="1">
      <alignment horizontal="center" vertical="center"/>
    </xf>
    <xf numFmtId="3" fontId="120" fillId="0" borderId="58" xfId="0" applyNumberFormat="1" applyFont="1" applyBorder="1" applyAlignment="1">
      <alignment vertical="center" wrapText="1" shrinkToFit="1"/>
    </xf>
    <xf numFmtId="3" fontId="120" fillId="0" borderId="58" xfId="0" applyNumberFormat="1" applyFont="1" applyBorder="1" applyAlignment="1">
      <alignment vertical="center" shrinkToFit="1"/>
    </xf>
    <xf numFmtId="168" fontId="120" fillId="0" borderId="0" xfId="348" applyNumberFormat="1" applyFont="1" applyAlignment="1">
      <alignment vertical="center"/>
    </xf>
    <xf numFmtId="3" fontId="128" fillId="0" borderId="60" xfId="0" applyNumberFormat="1" applyFont="1" applyBorder="1" applyAlignment="1">
      <alignment horizontal="center"/>
    </xf>
    <xf numFmtId="3" fontId="134" fillId="0" borderId="60" xfId="0" applyNumberFormat="1" applyFont="1" applyBorder="1"/>
    <xf numFmtId="168" fontId="134" fillId="0" borderId="0" xfId="348" applyNumberFormat="1" applyFont="1"/>
    <xf numFmtId="3" fontId="120" fillId="0" borderId="60" xfId="0" applyNumberFormat="1" applyFont="1" applyBorder="1" applyAlignment="1">
      <alignment horizontal="center"/>
    </xf>
    <xf numFmtId="9" fontId="120" fillId="0" borderId="60" xfId="3" applyFont="1" applyBorder="1" applyAlignment="1">
      <alignment shrinkToFit="1"/>
    </xf>
    <xf numFmtId="3" fontId="120" fillId="0" borderId="60" xfId="3" applyNumberFormat="1" applyFont="1" applyBorder="1" applyAlignment="1">
      <alignment shrinkToFit="1"/>
    </xf>
    <xf numFmtId="168" fontId="120" fillId="0" borderId="0" xfId="348" applyNumberFormat="1" applyFont="1" applyAlignment="1">
      <alignment shrinkToFit="1"/>
    </xf>
    <xf numFmtId="3" fontId="120" fillId="0" borderId="13" xfId="0" applyNumberFormat="1" applyFont="1" applyBorder="1" applyAlignment="1">
      <alignment horizontal="center"/>
    </xf>
    <xf numFmtId="3" fontId="120" fillId="0" borderId="13" xfId="0" applyNumberFormat="1" applyFont="1" applyBorder="1"/>
    <xf numFmtId="3" fontId="120" fillId="0" borderId="13" xfId="0" applyNumberFormat="1" applyFont="1" applyBorder="1" applyAlignment="1">
      <alignment shrinkToFit="1"/>
    </xf>
    <xf numFmtId="9" fontId="32" fillId="0" borderId="13" xfId="3" applyFont="1" applyBorder="1" applyAlignment="1">
      <alignment shrinkToFit="1"/>
    </xf>
    <xf numFmtId="3" fontId="120" fillId="0" borderId="13" xfId="3" applyNumberFormat="1" applyFont="1" applyBorder="1" applyAlignment="1">
      <alignment shrinkToFit="1"/>
    </xf>
    <xf numFmtId="9" fontId="32" fillId="0" borderId="0" xfId="3" applyFont="1" applyBorder="1" applyAlignment="1">
      <alignment shrinkToFit="1"/>
    </xf>
    <xf numFmtId="3" fontId="120" fillId="0" borderId="0" xfId="3" applyNumberFormat="1" applyFont="1" applyBorder="1" applyAlignment="1">
      <alignment shrinkToFit="1"/>
    </xf>
    <xf numFmtId="3" fontId="212" fillId="0" borderId="0" xfId="0" applyNumberFormat="1" applyFont="1" applyAlignment="1">
      <alignment shrinkToFit="1"/>
    </xf>
    <xf numFmtId="3" fontId="142" fillId="0" borderId="11" xfId="0" applyNumberFormat="1" applyFont="1" applyBorder="1" applyAlignment="1">
      <alignment horizontal="center" vertical="center" shrinkToFit="1"/>
    </xf>
    <xf numFmtId="3" fontId="129" fillId="0" borderId="58" xfId="348" applyNumberFormat="1" applyFont="1" applyBorder="1" applyAlignment="1">
      <alignment shrinkToFit="1"/>
    </xf>
    <xf numFmtId="234" fontId="129" fillId="0" borderId="58" xfId="0" applyNumberFormat="1" applyFont="1" applyBorder="1" applyAlignment="1">
      <alignment shrinkToFit="1"/>
    </xf>
    <xf numFmtId="168" fontId="129" fillId="0" borderId="58" xfId="348" applyNumberFormat="1" applyFont="1" applyBorder="1" applyAlignment="1">
      <alignment shrinkToFit="1"/>
    </xf>
    <xf numFmtId="171" fontId="130" fillId="0" borderId="58" xfId="0" applyNumberFormat="1" applyFont="1" applyBorder="1"/>
    <xf numFmtId="177" fontId="141" fillId="0" borderId="60" xfId="348" applyFont="1" applyBorder="1" applyAlignment="1">
      <alignment shrinkToFit="1"/>
    </xf>
    <xf numFmtId="179" fontId="122" fillId="0" borderId="60" xfId="348" applyNumberFormat="1" applyFont="1" applyBorder="1" applyAlignment="1">
      <alignment shrinkToFit="1"/>
    </xf>
    <xf numFmtId="3" fontId="122" fillId="0" borderId="60" xfId="348" applyNumberFormat="1" applyFont="1" applyBorder="1" applyAlignment="1">
      <alignment shrinkToFit="1"/>
    </xf>
    <xf numFmtId="234" fontId="122" fillId="0" borderId="60" xfId="0" applyNumberFormat="1" applyFont="1" applyBorder="1" applyAlignment="1">
      <alignment shrinkToFit="1"/>
    </xf>
    <xf numFmtId="220" fontId="122" fillId="0" borderId="60" xfId="0" applyNumberFormat="1" applyFont="1" applyBorder="1" applyAlignment="1">
      <alignment shrinkToFit="1"/>
    </xf>
    <xf numFmtId="168" fontId="122" fillId="0" borderId="60" xfId="348" applyNumberFormat="1" applyFont="1" applyBorder="1" applyAlignment="1">
      <alignment shrinkToFit="1"/>
    </xf>
    <xf numFmtId="171" fontId="32" fillId="0" borderId="60" xfId="0" applyNumberFormat="1" applyFont="1" applyBorder="1"/>
    <xf numFmtId="9" fontId="32" fillId="0" borderId="0" xfId="3" applyFont="1" applyBorder="1"/>
    <xf numFmtId="177" fontId="32" fillId="0" borderId="0" xfId="348" applyFont="1" applyBorder="1"/>
    <xf numFmtId="168" fontId="32" fillId="0" borderId="0" xfId="348" applyNumberFormat="1" applyFont="1" applyBorder="1"/>
    <xf numFmtId="3" fontId="134" fillId="0" borderId="60" xfId="0" applyNumberFormat="1" applyFont="1" applyBorder="1" applyAlignment="1">
      <alignment horizontal="center" shrinkToFit="1"/>
    </xf>
    <xf numFmtId="3" fontId="150" fillId="0" borderId="60" xfId="0" applyNumberFormat="1" applyFont="1" applyBorder="1" applyAlignment="1">
      <alignment shrinkToFit="1"/>
    </xf>
    <xf numFmtId="177" fontId="150" fillId="0" borderId="60" xfId="348" applyFont="1" applyBorder="1" applyAlignment="1">
      <alignment shrinkToFit="1"/>
    </xf>
    <xf numFmtId="179" fontId="135" fillId="0" borderId="60" xfId="348" applyNumberFormat="1" applyFont="1" applyBorder="1" applyAlignment="1">
      <alignment shrinkToFit="1"/>
    </xf>
    <xf numFmtId="171" fontId="134" fillId="0" borderId="60" xfId="0" applyNumberFormat="1" applyFont="1" applyBorder="1"/>
    <xf numFmtId="9" fontId="134" fillId="0" borderId="0" xfId="3" applyFont="1" applyBorder="1"/>
    <xf numFmtId="177" fontId="134" fillId="0" borderId="0" xfId="348" applyFont="1" applyBorder="1"/>
    <xf numFmtId="168" fontId="134" fillId="0" borderId="0" xfId="348" applyNumberFormat="1" applyFont="1" applyBorder="1"/>
    <xf numFmtId="220" fontId="32" fillId="0" borderId="60" xfId="0" applyNumberFormat="1" applyFont="1" applyBorder="1" applyAlignment="1">
      <alignment shrinkToFit="1"/>
    </xf>
    <xf numFmtId="220" fontId="141" fillId="0" borderId="60" xfId="0" applyNumberFormat="1" applyFont="1" applyBorder="1" applyAlignment="1">
      <alignment shrinkToFit="1"/>
    </xf>
    <xf numFmtId="220" fontId="122" fillId="3" borderId="60" xfId="0" applyNumberFormat="1" applyFont="1" applyFill="1" applyBorder="1" applyAlignment="1">
      <alignment shrinkToFit="1"/>
    </xf>
    <xf numFmtId="179" fontId="122" fillId="0" borderId="60" xfId="0" applyNumberFormat="1" applyFont="1" applyBorder="1" applyAlignment="1">
      <alignment shrinkToFit="1"/>
    </xf>
    <xf numFmtId="3" fontId="130" fillId="0" borderId="60" xfId="0" applyNumberFormat="1" applyFont="1" applyBorder="1" applyAlignment="1">
      <alignment horizontal="center" vertical="center" shrinkToFit="1"/>
    </xf>
    <xf numFmtId="3" fontId="130" fillId="0" borderId="60" xfId="0" applyNumberFormat="1" applyFont="1" applyBorder="1" applyAlignment="1">
      <alignment horizontal="justify" vertical="center" wrapText="1" shrinkToFit="1"/>
    </xf>
    <xf numFmtId="220" fontId="129" fillId="0" borderId="60" xfId="0" applyNumberFormat="1" applyFont="1" applyBorder="1" applyAlignment="1">
      <alignment vertical="center" shrinkToFit="1"/>
    </xf>
    <xf numFmtId="3" fontId="121" fillId="0" borderId="60" xfId="348" applyNumberFormat="1" applyFont="1" applyBorder="1" applyAlignment="1">
      <alignment shrinkToFit="1"/>
    </xf>
    <xf numFmtId="234" fontId="129" fillId="0" borderId="60" xfId="0" applyNumberFormat="1" applyFont="1" applyBorder="1" applyAlignment="1">
      <alignment shrinkToFit="1"/>
    </xf>
    <xf numFmtId="220" fontId="129" fillId="0" borderId="60" xfId="0" applyNumberFormat="1" applyFont="1" applyBorder="1" applyAlignment="1">
      <alignment shrinkToFit="1"/>
    </xf>
    <xf numFmtId="168" fontId="129" fillId="0" borderId="60" xfId="348" applyNumberFormat="1" applyFont="1" applyBorder="1" applyAlignment="1">
      <alignment shrinkToFit="1"/>
    </xf>
    <xf numFmtId="3" fontId="129" fillId="0" borderId="60" xfId="348" applyNumberFormat="1" applyFont="1" applyBorder="1" applyAlignment="1">
      <alignment shrinkToFit="1"/>
    </xf>
    <xf numFmtId="171" fontId="130" fillId="0" borderId="60" xfId="0" applyNumberFormat="1" applyFont="1" applyBorder="1" applyAlignment="1">
      <alignment vertical="center"/>
    </xf>
    <xf numFmtId="3" fontId="130" fillId="0" borderId="0" xfId="0" applyNumberFormat="1" applyFont="1" applyAlignment="1">
      <alignment vertical="center"/>
    </xf>
    <xf numFmtId="3" fontId="155" fillId="0" borderId="0" xfId="0" applyNumberFormat="1" applyFont="1" applyAlignment="1">
      <alignment vertical="center"/>
    </xf>
    <xf numFmtId="9" fontId="130" fillId="0" borderId="0" xfId="3" applyFont="1" applyBorder="1" applyAlignment="1">
      <alignment vertical="center"/>
    </xf>
    <xf numFmtId="177" fontId="130" fillId="0" borderId="0" xfId="348" applyFont="1" applyBorder="1" applyAlignment="1">
      <alignment vertical="center"/>
    </xf>
    <xf numFmtId="168" fontId="130" fillId="0" borderId="0" xfId="348" applyNumberFormat="1" applyFont="1" applyBorder="1" applyAlignment="1">
      <alignment vertical="center"/>
    </xf>
    <xf numFmtId="3" fontId="32" fillId="0" borderId="60" xfId="0" applyNumberFormat="1" applyFont="1" applyBorder="1" applyAlignment="1">
      <alignment horizontal="center" vertical="center" shrinkToFit="1"/>
    </xf>
    <xf numFmtId="3" fontId="32" fillId="0" borderId="60" xfId="0" applyNumberFormat="1" applyFont="1" applyBorder="1" applyAlignment="1">
      <alignment horizontal="justify" vertical="center" wrapText="1" shrinkToFit="1"/>
    </xf>
    <xf numFmtId="168" fontId="131" fillId="0" borderId="60" xfId="348" applyNumberFormat="1" applyFont="1" applyBorder="1" applyAlignment="1">
      <alignment shrinkToFit="1"/>
    </xf>
    <xf numFmtId="3" fontId="131" fillId="0" borderId="60" xfId="348" applyNumberFormat="1" applyFont="1" applyBorder="1" applyAlignment="1">
      <alignment shrinkToFit="1"/>
    </xf>
    <xf numFmtId="3" fontId="32" fillId="0" borderId="60" xfId="0" applyNumberFormat="1" applyFont="1" applyBorder="1" applyAlignment="1">
      <alignment horizontal="left" vertical="center" shrinkToFit="1"/>
    </xf>
    <xf numFmtId="3" fontId="122" fillId="0" borderId="60" xfId="348" applyNumberFormat="1" applyFont="1" applyBorder="1" applyAlignment="1">
      <alignment vertical="center" shrinkToFit="1"/>
    </xf>
    <xf numFmtId="168" fontId="32" fillId="0" borderId="0" xfId="348" applyNumberFormat="1" applyFont="1" applyAlignment="1">
      <alignment vertical="center"/>
    </xf>
    <xf numFmtId="168" fontId="130" fillId="0" borderId="0" xfId="348" applyNumberFormat="1" applyFont="1"/>
    <xf numFmtId="0" fontId="130" fillId="0" borderId="60" xfId="0" applyFont="1" applyBorder="1" applyAlignment="1">
      <alignment horizontal="center" vertical="center"/>
    </xf>
    <xf numFmtId="0" fontId="120" fillId="6" borderId="60" xfId="0" applyFont="1" applyFill="1" applyBorder="1" applyAlignment="1">
      <alignment horizontal="center" vertical="center" shrinkToFit="1"/>
    </xf>
    <xf numFmtId="0" fontId="120" fillId="6" borderId="60" xfId="0" applyFont="1" applyFill="1" applyBorder="1" applyAlignment="1">
      <alignment vertical="center" shrinkToFit="1"/>
    </xf>
    <xf numFmtId="3" fontId="120" fillId="6" borderId="60" xfId="0" applyNumberFormat="1" applyFont="1" applyFill="1" applyBorder="1" applyAlignment="1">
      <alignment shrinkToFit="1"/>
    </xf>
    <xf numFmtId="3" fontId="120" fillId="6" borderId="0" xfId="0" applyNumberFormat="1" applyFont="1" applyFill="1" applyAlignment="1">
      <alignment shrinkToFit="1"/>
    </xf>
    <xf numFmtId="168" fontId="120" fillId="6" borderId="0" xfId="348" applyNumberFormat="1" applyFont="1" applyFill="1" applyAlignment="1">
      <alignment shrinkToFit="1"/>
    </xf>
    <xf numFmtId="3" fontId="120" fillId="0" borderId="60" xfId="0" applyNumberFormat="1" applyFont="1" applyBorder="1" applyAlignment="1">
      <alignment vertical="center" wrapText="1" shrinkToFit="1"/>
    </xf>
    <xf numFmtId="234" fontId="121" fillId="0" borderId="60" xfId="0" applyNumberFormat="1" applyFont="1" applyBorder="1" applyAlignment="1">
      <alignment shrinkToFit="1"/>
    </xf>
    <xf numFmtId="168" fontId="121" fillId="0" borderId="60" xfId="348" applyNumberFormat="1" applyFont="1" applyBorder="1" applyAlignment="1">
      <alignment shrinkToFit="1"/>
    </xf>
    <xf numFmtId="3" fontId="120" fillId="0" borderId="60" xfId="0" applyNumberFormat="1" applyFont="1" applyBorder="1" applyAlignment="1">
      <alignment vertical="center" wrapText="1"/>
    </xf>
    <xf numFmtId="0" fontId="120" fillId="0" borderId="13" xfId="0" applyFont="1" applyBorder="1" applyAlignment="1">
      <alignment horizontal="center" vertical="center"/>
    </xf>
    <xf numFmtId="0" fontId="120" fillId="0" borderId="13" xfId="0" applyFont="1" applyBorder="1" applyAlignment="1">
      <alignment horizontal="center" vertical="center" shrinkToFit="1"/>
    </xf>
    <xf numFmtId="3" fontId="130" fillId="0" borderId="13" xfId="0" applyNumberFormat="1" applyFont="1" applyBorder="1"/>
    <xf numFmtId="3" fontId="121" fillId="0" borderId="13" xfId="348" applyNumberFormat="1" applyFont="1" applyBorder="1" applyAlignment="1">
      <alignment shrinkToFit="1"/>
    </xf>
    <xf numFmtId="3" fontId="32" fillId="0" borderId="133" xfId="0" applyNumberFormat="1" applyFont="1" applyBorder="1" applyAlignment="1">
      <alignment horizontal="center"/>
    </xf>
    <xf numFmtId="3" fontId="32" fillId="0" borderId="0" xfId="0" applyNumberFormat="1" applyFont="1" applyAlignment="1">
      <alignment horizontal="right"/>
    </xf>
    <xf numFmtId="3" fontId="32" fillId="0" borderId="0" xfId="0" applyNumberFormat="1" applyFont="1" applyAlignment="1">
      <alignment horizontal="right" shrinkToFit="1"/>
    </xf>
    <xf numFmtId="179" fontId="32" fillId="0" borderId="0" xfId="348" applyNumberFormat="1" applyFont="1" applyFill="1" applyAlignment="1">
      <alignment horizontal="center" shrinkToFit="1"/>
    </xf>
    <xf numFmtId="229" fontId="32" fillId="0" borderId="0" xfId="0" applyNumberFormat="1" applyFont="1" applyAlignment="1">
      <alignment horizontal="right"/>
    </xf>
    <xf numFmtId="177" fontId="32" fillId="0" borderId="0" xfId="348" applyFont="1" applyFill="1"/>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32" fillId="0" borderId="72" xfId="0" applyNumberFormat="1" applyFont="1" applyBorder="1" applyAlignment="1">
      <alignment horizontal="center" vertical="center" shrinkToFit="1"/>
    </xf>
    <xf numFmtId="3" fontId="130" fillId="0" borderId="58" xfId="0" applyNumberFormat="1" applyFont="1" applyBorder="1" applyAlignment="1">
      <alignment vertical="center" shrinkToFit="1"/>
    </xf>
    <xf numFmtId="3" fontId="130" fillId="0" borderId="58" xfId="0" applyNumberFormat="1" applyFont="1" applyBorder="1" applyAlignment="1">
      <alignment horizontal="right" shrinkToFit="1"/>
    </xf>
    <xf numFmtId="3" fontId="130" fillId="0" borderId="58" xfId="0" applyNumberFormat="1" applyFont="1" applyBorder="1" applyAlignment="1">
      <alignment horizontal="right" vertical="center" shrinkToFit="1"/>
    </xf>
    <xf numFmtId="3" fontId="130" fillId="0" borderId="58" xfId="348" applyNumberFormat="1" applyFont="1" applyFill="1" applyBorder="1" applyAlignment="1">
      <alignment horizontal="right" vertical="center" shrinkToFit="1"/>
    </xf>
    <xf numFmtId="3" fontId="130" fillId="0" borderId="6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shrinkToFit="1"/>
    </xf>
    <xf numFmtId="3" fontId="130" fillId="0" borderId="60" xfId="0" applyNumberFormat="1" applyFont="1" applyBorder="1" applyAlignment="1">
      <alignment horizontal="right" shrinkToFit="1"/>
    </xf>
    <xf numFmtId="9" fontId="138" fillId="0" borderId="0" xfId="3" applyFont="1"/>
    <xf numFmtId="10" fontId="138" fillId="0" borderId="0" xfId="3" applyNumberFormat="1" applyFont="1"/>
    <xf numFmtId="3" fontId="138" fillId="0" borderId="60" xfId="0" applyNumberFormat="1" applyFont="1" applyBorder="1" applyAlignment="1">
      <alignment horizontal="center" shrinkToFit="1"/>
    </xf>
    <xf numFmtId="3" fontId="138" fillId="0" borderId="60" xfId="0" applyNumberFormat="1" applyFont="1" applyBorder="1" applyAlignment="1">
      <alignment vertical="center" wrapText="1" shrinkToFit="1"/>
    </xf>
    <xf numFmtId="3" fontId="138" fillId="0" borderId="60" xfId="0" applyNumberFormat="1" applyFont="1" applyBorder="1" applyAlignment="1">
      <alignment horizontal="right" vertical="center" shrinkToFit="1"/>
    </xf>
    <xf numFmtId="3" fontId="138" fillId="0" borderId="60" xfId="348" applyNumberFormat="1" applyFont="1" applyFill="1" applyBorder="1" applyAlignment="1">
      <alignment horizontal="right" vertical="center" shrinkToFit="1"/>
    </xf>
    <xf numFmtId="3" fontId="138" fillId="0" borderId="0" xfId="0" applyNumberFormat="1" applyFont="1"/>
    <xf numFmtId="3" fontId="120" fillId="0" borderId="60" xfId="0" applyNumberFormat="1" applyFont="1" applyBorder="1" applyAlignment="1">
      <alignment horizontal="right" vertical="center" shrinkToFit="1"/>
    </xf>
    <xf numFmtId="3" fontId="120" fillId="0" borderId="60" xfId="0" applyNumberFormat="1" applyFont="1" applyBorder="1" applyAlignment="1">
      <alignment horizontal="right" shrinkToFit="1"/>
    </xf>
    <xf numFmtId="3" fontId="120" fillId="0" borderId="60" xfId="348" applyNumberFormat="1" applyFont="1" applyFill="1" applyBorder="1" applyAlignment="1">
      <alignment horizontal="right" vertical="center" shrinkToFit="1"/>
    </xf>
    <xf numFmtId="3" fontId="141" fillId="0" borderId="60" xfId="0" applyNumberFormat="1" applyFont="1" applyBorder="1" applyAlignment="1">
      <alignment horizontal="right" vertical="center" shrinkToFit="1"/>
    </xf>
    <xf numFmtId="3" fontId="32" fillId="0" borderId="60" xfId="0" applyNumberFormat="1" applyFont="1" applyBorder="1" applyAlignment="1">
      <alignment horizontal="right" shrinkToFit="1"/>
    </xf>
    <xf numFmtId="3" fontId="32" fillId="0" borderId="60" xfId="348" applyNumberFormat="1" applyFont="1" applyFill="1" applyBorder="1" applyAlignment="1">
      <alignment horizontal="right" vertical="center" shrinkToFit="1"/>
    </xf>
    <xf numFmtId="3" fontId="32" fillId="0" borderId="60" xfId="0" applyNumberFormat="1" applyFont="1" applyBorder="1" applyAlignment="1">
      <alignment horizontal="right" vertical="center" shrinkToFit="1"/>
    </xf>
    <xf numFmtId="3" fontId="142" fillId="0" borderId="60" xfId="0" applyNumberFormat="1" applyFont="1" applyBorder="1" applyAlignment="1">
      <alignment horizontal="right" vertical="center" shrinkToFit="1"/>
    </xf>
    <xf numFmtId="3" fontId="120" fillId="0" borderId="60" xfId="0" applyNumberFormat="1" applyFont="1" applyBorder="1" applyAlignment="1">
      <alignment horizontal="center" vertical="center" shrinkToFit="1"/>
    </xf>
    <xf numFmtId="3" fontId="134" fillId="0" borderId="60" xfId="0" applyNumberFormat="1" applyFont="1" applyBorder="1" applyAlignment="1">
      <alignment horizontal="right" vertical="center" shrinkToFit="1"/>
    </xf>
    <xf numFmtId="3" fontId="134" fillId="0" borderId="60" xfId="0" applyNumberFormat="1" applyFont="1" applyBorder="1" applyAlignment="1">
      <alignment horizontal="right" shrinkToFit="1"/>
    </xf>
    <xf numFmtId="3" fontId="134" fillId="0" borderId="60" xfId="348" applyNumberFormat="1" applyFont="1" applyFill="1" applyBorder="1" applyAlignment="1">
      <alignment horizontal="right" vertical="center" shrinkToFit="1"/>
    </xf>
    <xf numFmtId="3" fontId="32" fillId="0" borderId="140" xfId="0" applyNumberFormat="1" applyFont="1" applyBorder="1" applyAlignment="1">
      <alignment horizontal="right" vertical="center" shrinkToFit="1"/>
    </xf>
    <xf numFmtId="3" fontId="130" fillId="0" borderId="60" xfId="0" applyNumberFormat="1" applyFont="1" applyBorder="1" applyAlignment="1">
      <alignment vertical="center" wrapText="1" shrinkToFit="1"/>
    </xf>
    <xf numFmtId="3" fontId="130" fillId="0" borderId="14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xf>
    <xf numFmtId="3" fontId="130" fillId="0" borderId="13" xfId="0" applyNumberFormat="1" applyFont="1" applyBorder="1" applyAlignment="1">
      <alignment vertical="center" shrinkToFit="1"/>
    </xf>
    <xf numFmtId="3" fontId="130" fillId="0" borderId="13" xfId="0" applyNumberFormat="1" applyFont="1" applyBorder="1" applyAlignment="1">
      <alignment horizontal="right" vertical="center" shrinkToFit="1"/>
    </xf>
    <xf numFmtId="3" fontId="130" fillId="0" borderId="13" xfId="348" applyNumberFormat="1" applyFont="1" applyFill="1" applyBorder="1" applyAlignment="1">
      <alignment horizontal="right" vertical="center" shrinkToFit="1"/>
    </xf>
    <xf numFmtId="173" fontId="32" fillId="0" borderId="0" xfId="3" applyNumberFormat="1" applyFont="1" applyFill="1"/>
    <xf numFmtId="179" fontId="32" fillId="0" borderId="0" xfId="348" applyNumberFormat="1" applyFont="1" applyFill="1" applyBorder="1" applyAlignment="1"/>
    <xf numFmtId="9" fontId="120" fillId="0" borderId="0" xfId="3" applyFont="1" applyFill="1" applyBorder="1" applyAlignment="1">
      <alignment horizontal="right"/>
    </xf>
    <xf numFmtId="3" fontId="120" fillId="0" borderId="0" xfId="0" applyNumberFormat="1" applyFont="1" applyAlignment="1">
      <alignment horizontal="right"/>
    </xf>
    <xf numFmtId="3" fontId="120" fillId="0" borderId="0" xfId="0" applyNumberFormat="1" applyFont="1" applyAlignment="1">
      <alignment wrapText="1"/>
    </xf>
    <xf numFmtId="179" fontId="120" fillId="0" borderId="11" xfId="348" applyNumberFormat="1" applyFont="1" applyFill="1" applyBorder="1" applyAlignment="1">
      <alignment horizontal="center" vertical="center" wrapText="1"/>
    </xf>
    <xf numFmtId="0" fontId="120" fillId="0" borderId="25" xfId="0" applyFont="1" applyBorder="1" applyAlignment="1">
      <alignment horizontal="center" vertical="center" wrapText="1"/>
    </xf>
    <xf numFmtId="3" fontId="120" fillId="0" borderId="24" xfId="0" applyNumberFormat="1" applyFont="1" applyBorder="1" applyAlignment="1">
      <alignment horizontal="center" shrinkToFit="1"/>
    </xf>
    <xf numFmtId="3" fontId="120" fillId="0" borderId="11" xfId="0" applyNumberFormat="1" applyFont="1" applyBorder="1" applyAlignment="1">
      <alignment horizontal="center" shrinkToFit="1"/>
    </xf>
    <xf numFmtId="0" fontId="120" fillId="0" borderId="11" xfId="0" applyFont="1" applyBorder="1" applyAlignment="1">
      <alignment horizontal="center" shrinkToFit="1"/>
    </xf>
    <xf numFmtId="179" fontId="120" fillId="0" borderId="11" xfId="348" applyNumberFormat="1" applyFont="1" applyFill="1" applyBorder="1" applyAlignment="1">
      <alignment horizontal="center" shrinkToFit="1"/>
    </xf>
    <xf numFmtId="0" fontId="120" fillId="0" borderId="25" xfId="0" applyFont="1" applyBorder="1" applyAlignment="1">
      <alignment horizontal="center" shrinkToFit="1"/>
    </xf>
    <xf numFmtId="3" fontId="130" fillId="0" borderId="62" xfId="0" applyNumberFormat="1" applyFont="1" applyBorder="1" applyAlignment="1">
      <alignment vertical="center"/>
    </xf>
    <xf numFmtId="3" fontId="130" fillId="0" borderId="58" xfId="0" applyNumberFormat="1" applyFont="1" applyBorder="1" applyAlignment="1">
      <alignment horizontal="center" vertical="center" shrinkToFit="1"/>
    </xf>
    <xf numFmtId="168" fontId="130" fillId="0" borderId="58" xfId="348" applyNumberFormat="1" applyFont="1" applyFill="1" applyBorder="1" applyAlignment="1">
      <alignment vertical="center" shrinkToFit="1"/>
    </xf>
    <xf numFmtId="3" fontId="130" fillId="0" borderId="63" xfId="0" applyNumberFormat="1" applyFont="1" applyBorder="1" applyAlignment="1">
      <alignment vertical="center" shrinkToFit="1"/>
    </xf>
    <xf numFmtId="3" fontId="130" fillId="0" borderId="26" xfId="0" applyNumberFormat="1" applyFont="1" applyBorder="1" applyAlignment="1">
      <alignment horizontal="center" vertical="center"/>
    </xf>
    <xf numFmtId="166" fontId="130" fillId="0" borderId="60" xfId="348" applyNumberFormat="1" applyFont="1" applyFill="1" applyBorder="1" applyAlignment="1">
      <alignment vertical="center" shrinkToFit="1"/>
    </xf>
    <xf numFmtId="168" fontId="130" fillId="0" borderId="60" xfId="348" applyNumberFormat="1" applyFont="1" applyFill="1" applyBorder="1" applyAlignment="1">
      <alignment vertical="center" shrinkToFit="1"/>
    </xf>
    <xf numFmtId="166" fontId="130" fillId="0" borderId="32" xfId="0" applyNumberFormat="1" applyFont="1" applyBorder="1" applyAlignment="1">
      <alignment vertical="center" shrinkToFit="1"/>
    </xf>
    <xf numFmtId="3" fontId="120" fillId="0" borderId="26" xfId="0" applyNumberFormat="1" applyFont="1" applyBorder="1" applyAlignment="1">
      <alignment horizontal="center" vertical="center"/>
    </xf>
    <xf numFmtId="3" fontId="120" fillId="0" borderId="60" xfId="0" applyNumberFormat="1" applyFont="1" applyBorder="1" applyAlignment="1">
      <alignment horizontal="left" vertical="center" shrinkToFit="1"/>
    </xf>
    <xf numFmtId="166" fontId="120" fillId="0" borderId="60" xfId="348" applyNumberFormat="1" applyFont="1" applyFill="1" applyBorder="1" applyAlignment="1">
      <alignment vertical="center" shrinkToFit="1"/>
    </xf>
    <xf numFmtId="168" fontId="120" fillId="0" borderId="60" xfId="348" applyNumberFormat="1" applyFont="1" applyFill="1" applyBorder="1" applyAlignment="1">
      <alignment vertical="center" shrinkToFit="1"/>
    </xf>
    <xf numFmtId="3" fontId="32" fillId="0" borderId="26" xfId="0" applyNumberFormat="1" applyFont="1" applyBorder="1" applyAlignment="1">
      <alignment horizontal="center" vertical="center"/>
    </xf>
    <xf numFmtId="166" fontId="32" fillId="0" borderId="60" xfId="348" applyNumberFormat="1" applyFont="1" applyFill="1" applyBorder="1" applyAlignment="1">
      <alignment vertical="center" shrinkToFit="1"/>
    </xf>
    <xf numFmtId="168" fontId="32" fillId="0" borderId="60" xfId="348" applyNumberFormat="1" applyFont="1" applyFill="1" applyBorder="1" applyAlignment="1">
      <alignment vertical="center" shrinkToFit="1"/>
    </xf>
    <xf numFmtId="166" fontId="32" fillId="0" borderId="32" xfId="0" applyNumberFormat="1" applyFont="1" applyBorder="1" applyAlignment="1">
      <alignment vertical="center" shrinkToFit="1"/>
    </xf>
    <xf numFmtId="166" fontId="120" fillId="0" borderId="32" xfId="0" applyNumberFormat="1" applyFont="1" applyBorder="1" applyAlignment="1">
      <alignment vertical="center" shrinkToFit="1"/>
    </xf>
    <xf numFmtId="166" fontId="144" fillId="0" borderId="60" xfId="0" applyNumberFormat="1" applyFont="1" applyBorder="1" applyAlignment="1">
      <alignment vertical="center" shrinkToFit="1"/>
    </xf>
    <xf numFmtId="3" fontId="121" fillId="0" borderId="26" xfId="0" applyNumberFormat="1" applyFont="1" applyBorder="1" applyAlignment="1">
      <alignment horizontal="center"/>
    </xf>
    <xf numFmtId="177" fontId="120" fillId="0" borderId="60" xfId="348" applyFont="1" applyFill="1" applyBorder="1" applyAlignment="1">
      <alignment vertical="center" shrinkToFit="1"/>
    </xf>
    <xf numFmtId="3" fontId="32" fillId="0" borderId="26" xfId="0" applyNumberFormat="1" applyFont="1" applyBorder="1" applyAlignment="1">
      <alignment horizontal="center" vertical="center" wrapText="1"/>
    </xf>
    <xf numFmtId="3" fontId="32" fillId="0" borderId="172" xfId="0" applyNumberFormat="1" applyFont="1" applyBorder="1" applyAlignment="1">
      <alignment horizontal="center" vertical="center" wrapText="1"/>
    </xf>
    <xf numFmtId="3" fontId="32" fillId="0" borderId="140" xfId="0" applyNumberFormat="1" applyFont="1" applyBorder="1" applyAlignment="1">
      <alignment vertical="center" shrinkToFit="1"/>
    </xf>
    <xf numFmtId="166" fontId="32" fillId="0" borderId="140" xfId="0" applyNumberFormat="1" applyFont="1" applyBorder="1" applyAlignment="1">
      <alignment vertical="center" shrinkToFit="1"/>
    </xf>
    <xf numFmtId="166" fontId="32" fillId="0" borderId="140" xfId="348" applyNumberFormat="1" applyFont="1" applyFill="1" applyBorder="1" applyAlignment="1">
      <alignment vertical="center" shrinkToFit="1"/>
    </xf>
    <xf numFmtId="168" fontId="32" fillId="0" borderId="140" xfId="348" applyNumberFormat="1" applyFont="1" applyFill="1" applyBorder="1" applyAlignment="1">
      <alignment vertical="center" shrinkToFit="1"/>
    </xf>
    <xf numFmtId="3" fontId="130" fillId="0" borderId="29" xfId="0" applyNumberFormat="1" applyFont="1" applyBorder="1" applyAlignment="1">
      <alignment horizontal="center" vertical="center" wrapText="1"/>
    </xf>
    <xf numFmtId="3" fontId="130" fillId="0" borderId="30" xfId="0" applyNumberFormat="1" applyFont="1" applyBorder="1" applyAlignment="1">
      <alignment vertical="center" wrapText="1"/>
    </xf>
    <xf numFmtId="3" fontId="130" fillId="0" borderId="30" xfId="0" applyNumberFormat="1" applyFont="1" applyBorder="1" applyAlignment="1">
      <alignment vertical="center" shrinkToFit="1"/>
    </xf>
    <xf numFmtId="166" fontId="130" fillId="0" borderId="30" xfId="0" applyNumberFormat="1" applyFont="1" applyBorder="1" applyAlignment="1">
      <alignment vertical="center" shrinkToFit="1"/>
    </xf>
    <xf numFmtId="179" fontId="130" fillId="0" borderId="30" xfId="348" applyNumberFormat="1" applyFont="1" applyFill="1" applyBorder="1" applyAlignment="1">
      <alignment vertical="center" shrinkToFit="1"/>
    </xf>
    <xf numFmtId="2" fontId="130" fillId="0" borderId="30" xfId="0" applyNumberFormat="1" applyFont="1" applyBorder="1" applyAlignment="1">
      <alignment vertical="center" shrinkToFit="1"/>
    </xf>
    <xf numFmtId="168" fontId="130" fillId="0" borderId="30" xfId="348" applyNumberFormat="1" applyFont="1" applyFill="1" applyBorder="1" applyAlignment="1">
      <alignment vertical="center" shrinkToFit="1"/>
    </xf>
    <xf numFmtId="166" fontId="120" fillId="0" borderId="30" xfId="0" applyNumberFormat="1" applyFont="1" applyBorder="1" applyAlignment="1">
      <alignment vertical="center" shrinkToFit="1"/>
    </xf>
    <xf numFmtId="2" fontId="120" fillId="0" borderId="30" xfId="0" applyNumberFormat="1" applyFont="1" applyBorder="1" applyAlignment="1">
      <alignment vertical="center" shrinkToFit="1"/>
    </xf>
    <xf numFmtId="3" fontId="120" fillId="0" borderId="30" xfId="0" applyNumberFormat="1" applyFont="1" applyBorder="1" applyAlignment="1">
      <alignment vertical="center" shrinkToFit="1"/>
    </xf>
    <xf numFmtId="166" fontId="120" fillId="0" borderId="31" xfId="0" applyNumberFormat="1" applyFont="1" applyBorder="1" applyAlignment="1">
      <alignment vertical="center" shrinkToFit="1"/>
    </xf>
    <xf numFmtId="3" fontId="120" fillId="0" borderId="0" xfId="0" applyNumberFormat="1" applyFont="1" applyAlignment="1">
      <alignment horizontal="left"/>
    </xf>
    <xf numFmtId="179" fontId="120" fillId="0" borderId="0" xfId="348" applyNumberFormat="1" applyFont="1" applyFill="1" applyBorder="1" applyAlignment="1"/>
    <xf numFmtId="3" fontId="120" fillId="0" borderId="137" xfId="0" applyNumberFormat="1" applyFont="1" applyBorder="1"/>
    <xf numFmtId="10" fontId="32" fillId="0" borderId="0" xfId="3" applyNumberFormat="1" applyFont="1" applyFill="1" applyBorder="1" applyAlignment="1"/>
    <xf numFmtId="10" fontId="32" fillId="0" borderId="0" xfId="3" applyNumberFormat="1" applyFont="1" applyFill="1" applyBorder="1" applyAlignment="1">
      <alignment shrinkToFit="1"/>
    </xf>
    <xf numFmtId="231" fontId="32" fillId="0" borderId="0" xfId="3" applyNumberFormat="1" applyFont="1" applyFill="1" applyBorder="1" applyAlignment="1"/>
    <xf numFmtId="9" fontId="32" fillId="0" borderId="0" xfId="3" applyFont="1" applyFill="1" applyBorder="1" applyAlignment="1"/>
    <xf numFmtId="177" fontId="32" fillId="0" borderId="0" xfId="348" applyFont="1" applyFill="1" applyBorder="1" applyAlignment="1"/>
    <xf numFmtId="179" fontId="32" fillId="0" borderId="0" xfId="348" applyNumberFormat="1" applyFont="1" applyFill="1" applyBorder="1" applyAlignment="1">
      <alignment shrinkToFit="1"/>
    </xf>
    <xf numFmtId="179" fontId="120" fillId="0" borderId="0" xfId="348" applyNumberFormat="1" applyFont="1" applyFill="1" applyBorder="1" applyAlignment="1">
      <alignment shrinkToFit="1"/>
    </xf>
    <xf numFmtId="9" fontId="120" fillId="0" borderId="0" xfId="3" applyFont="1" applyFill="1"/>
    <xf numFmtId="0" fontId="122" fillId="0" borderId="0" xfId="0" applyFont="1" applyAlignment="1">
      <alignment horizontal="right" vertical="center"/>
    </xf>
    <xf numFmtId="0" fontId="121" fillId="0" borderId="0" xfId="0" applyFont="1" applyAlignment="1">
      <alignment horizontal="right"/>
    </xf>
    <xf numFmtId="0" fontId="3" fillId="0" borderId="130" xfId="2" applyFont="1" applyBorder="1" applyAlignment="1">
      <alignment horizontal="center" vertical="center" wrapText="1"/>
    </xf>
    <xf numFmtId="0" fontId="129" fillId="0" borderId="58" xfId="0" applyFont="1" applyBorder="1"/>
    <xf numFmtId="3" fontId="129" fillId="0" borderId="58" xfId="403" applyNumberFormat="1" applyFont="1" applyBorder="1" applyAlignment="1">
      <alignment horizontal="right" vertical="center" shrinkToFit="1"/>
    </xf>
    <xf numFmtId="3" fontId="129" fillId="0" borderId="19" xfId="0" applyNumberFormat="1" applyFont="1" applyBorder="1" applyAlignment="1">
      <alignment horizontal="right" shrinkToFit="1"/>
    </xf>
    <xf numFmtId="0" fontId="121" fillId="0" borderId="4" xfId="0" applyFont="1" applyBorder="1" applyAlignment="1">
      <alignment horizontal="center"/>
    </xf>
    <xf numFmtId="3" fontId="121" fillId="0" borderId="60" xfId="403" applyNumberFormat="1" applyFont="1" applyBorder="1" applyAlignment="1">
      <alignment horizontal="right" vertical="center" shrinkToFit="1"/>
    </xf>
    <xf numFmtId="3" fontId="121" fillId="0" borderId="20" xfId="0" applyNumberFormat="1" applyFont="1" applyBorder="1" applyAlignment="1">
      <alignment horizontal="right" shrinkToFit="1"/>
    </xf>
    <xf numFmtId="0" fontId="129" fillId="0" borderId="4" xfId="0" applyFont="1" applyBorder="1" applyAlignment="1">
      <alignment horizontal="center"/>
    </xf>
    <xf numFmtId="0" fontId="129" fillId="0" borderId="60" xfId="0" applyFont="1" applyBorder="1" applyAlignment="1">
      <alignment shrinkToFit="1"/>
    </xf>
    <xf numFmtId="3" fontId="129" fillId="0" borderId="60" xfId="403" applyNumberFormat="1" applyFont="1" applyBorder="1" applyAlignment="1">
      <alignment horizontal="right" vertical="center" shrinkToFit="1"/>
    </xf>
    <xf numFmtId="3" fontId="129" fillId="0" borderId="20" xfId="403" applyNumberFormat="1" applyFont="1" applyBorder="1" applyAlignment="1">
      <alignment horizontal="right" vertical="center" shrinkToFit="1"/>
    </xf>
    <xf numFmtId="38" fontId="131" fillId="0" borderId="0" xfId="0" applyNumberFormat="1" applyFont="1"/>
    <xf numFmtId="3" fontId="121" fillId="0" borderId="20" xfId="403" applyNumberFormat="1" applyFont="1" applyBorder="1" applyAlignment="1">
      <alignment horizontal="right" vertical="center" shrinkToFit="1"/>
    </xf>
    <xf numFmtId="219" fontId="122" fillId="0" borderId="0" xfId="0" applyNumberFormat="1" applyFont="1" applyAlignment="1">
      <alignment vertical="center"/>
    </xf>
    <xf numFmtId="3" fontId="122" fillId="0" borderId="60" xfId="403" applyNumberFormat="1" applyFont="1" applyBorder="1" applyAlignment="1">
      <alignment horizontal="right" vertical="center" shrinkToFit="1"/>
    </xf>
    <xf numFmtId="3" fontId="122" fillId="0" borderId="20" xfId="0" applyNumberFormat="1" applyFont="1" applyBorder="1" applyAlignment="1">
      <alignment horizontal="right" vertical="center" shrinkToFit="1"/>
    </xf>
    <xf numFmtId="3" fontId="135" fillId="0" borderId="60" xfId="403" applyNumberFormat="1" applyFont="1" applyBorder="1" applyAlignment="1">
      <alignment horizontal="right" vertical="center" shrinkToFit="1"/>
    </xf>
    <xf numFmtId="3" fontId="135" fillId="0" borderId="20" xfId="0" applyNumberFormat="1" applyFont="1" applyBorder="1" applyAlignment="1">
      <alignment horizontal="right" vertical="center" shrinkToFit="1"/>
    </xf>
    <xf numFmtId="0" fontId="135" fillId="0" borderId="0" xfId="0" applyFont="1" applyAlignment="1">
      <alignment vertical="center"/>
    </xf>
    <xf numFmtId="3" fontId="129" fillId="0" borderId="20" xfId="0" applyNumberFormat="1" applyFont="1" applyBorder="1" applyAlignment="1">
      <alignment horizontal="right" vertical="center" shrinkToFit="1"/>
    </xf>
    <xf numFmtId="0" fontId="129" fillId="0" borderId="60" xfId="0" applyFont="1" applyBorder="1"/>
    <xf numFmtId="0" fontId="122" fillId="0" borderId="4" xfId="0" applyFont="1" applyBorder="1" applyAlignment="1">
      <alignment horizontal="center"/>
    </xf>
    <xf numFmtId="3" fontId="122" fillId="0" borderId="20" xfId="0" applyNumberFormat="1" applyFont="1" applyBorder="1" applyAlignment="1">
      <alignment horizontal="right" shrinkToFit="1"/>
    </xf>
    <xf numFmtId="3" fontId="122" fillId="0" borderId="60" xfId="0" applyNumberFormat="1" applyFont="1" applyBorder="1" applyAlignment="1">
      <alignment wrapText="1" shrinkToFit="1"/>
    </xf>
    <xf numFmtId="3" fontId="122" fillId="0" borderId="140" xfId="403" applyNumberFormat="1" applyFont="1" applyBorder="1" applyAlignment="1">
      <alignment horizontal="right" vertical="center" shrinkToFit="1"/>
    </xf>
    <xf numFmtId="3" fontId="129" fillId="0" borderId="6" xfId="403" applyNumberFormat="1" applyFont="1" applyBorder="1" applyAlignment="1">
      <alignment horizontal="right" vertical="center" shrinkToFit="1"/>
    </xf>
    <xf numFmtId="3" fontId="129" fillId="0" borderId="6" xfId="0" applyNumberFormat="1" applyFont="1" applyBorder="1" applyAlignment="1">
      <alignment horizontal="right" shrinkToFit="1"/>
    </xf>
    <xf numFmtId="3" fontId="121" fillId="0" borderId="6" xfId="403" applyNumberFormat="1" applyFont="1" applyBorder="1" applyAlignment="1">
      <alignment horizontal="right" vertical="center" shrinkToFit="1"/>
    </xf>
    <xf numFmtId="3" fontId="121" fillId="0" borderId="21" xfId="0" applyNumberFormat="1" applyFont="1" applyBorder="1" applyAlignment="1">
      <alignment horizontal="right" vertical="center" shrinkToFit="1"/>
    </xf>
    <xf numFmtId="0" fontId="131" fillId="0" borderId="0" xfId="0" applyFont="1" applyAlignment="1">
      <alignment vertical="center"/>
    </xf>
    <xf numFmtId="0" fontId="121" fillId="0" borderId="72" xfId="0" applyFont="1" applyBorder="1" applyAlignment="1">
      <alignment horizontal="center"/>
    </xf>
    <xf numFmtId="3" fontId="129" fillId="0" borderId="72" xfId="0" applyNumberFormat="1" applyFont="1" applyBorder="1" applyAlignment="1">
      <alignment vertical="center" wrapText="1"/>
    </xf>
    <xf numFmtId="219" fontId="121" fillId="0" borderId="72" xfId="0" applyNumberFormat="1" applyFont="1" applyBorder="1" applyAlignment="1">
      <alignment vertical="center" shrinkToFit="1"/>
    </xf>
    <xf numFmtId="38" fontId="121" fillId="0" borderId="72" xfId="0" applyNumberFormat="1" applyFont="1" applyBorder="1" applyAlignment="1">
      <alignment shrinkToFit="1"/>
    </xf>
    <xf numFmtId="3" fontId="122" fillId="0" borderId="14" xfId="0" applyNumberFormat="1" applyFont="1" applyBorder="1" applyAlignment="1">
      <alignment vertical="center" shrinkToFit="1"/>
    </xf>
    <xf numFmtId="3" fontId="129" fillId="0" borderId="13" xfId="0" applyNumberFormat="1" applyFont="1" applyBorder="1" applyAlignment="1">
      <alignment vertical="center" wrapText="1"/>
    </xf>
    <xf numFmtId="219" fontId="121" fillId="0" borderId="13" xfId="0" applyNumberFormat="1" applyFont="1" applyBorder="1" applyAlignment="1">
      <alignment vertical="center" shrinkToFit="1"/>
    </xf>
    <xf numFmtId="38" fontId="121" fillId="0" borderId="13" xfId="0" applyNumberFormat="1" applyFont="1" applyBorder="1" applyAlignment="1">
      <alignment shrinkToFit="1"/>
    </xf>
    <xf numFmtId="3" fontId="122" fillId="0" borderId="13" xfId="0" applyNumberFormat="1" applyFont="1" applyBorder="1" applyAlignment="1">
      <alignment vertical="center" wrapText="1"/>
    </xf>
    <xf numFmtId="38" fontId="122" fillId="0" borderId="13" xfId="0" applyNumberFormat="1" applyFont="1" applyBorder="1" applyAlignment="1">
      <alignment shrinkToFit="1"/>
    </xf>
    <xf numFmtId="0" fontId="11" fillId="0" borderId="0" xfId="0" applyFont="1" applyAlignment="1">
      <alignment vertical="center" wrapText="1"/>
    </xf>
    <xf numFmtId="0" fontId="30" fillId="0" borderId="0" xfId="0" applyFont="1"/>
    <xf numFmtId="166" fontId="11" fillId="0" borderId="0" xfId="0" applyNumberFormat="1" applyFont="1" applyAlignment="1">
      <alignment horizontal="right"/>
    </xf>
    <xf numFmtId="0" fontId="33" fillId="0" borderId="0" xfId="0" applyFont="1" applyAlignment="1">
      <alignment horizontal="center"/>
    </xf>
    <xf numFmtId="0" fontId="11" fillId="0" borderId="72" xfId="0" applyFont="1" applyBorder="1" applyAlignment="1">
      <alignment horizontal="center"/>
    </xf>
    <xf numFmtId="0" fontId="11" fillId="0" borderId="169" xfId="0" applyFont="1" applyBorder="1" applyAlignment="1">
      <alignment horizontal="center"/>
    </xf>
    <xf numFmtId="0" fontId="11" fillId="0" borderId="192" xfId="0" applyFont="1" applyBorder="1" applyAlignment="1">
      <alignment horizontal="center" vertical="center"/>
    </xf>
    <xf numFmtId="0" fontId="120" fillId="0" borderId="62" xfId="0" applyFont="1" applyBorder="1" applyAlignment="1">
      <alignment horizontal="center" vertical="center"/>
    </xf>
    <xf numFmtId="0" fontId="120" fillId="0" borderId="58" xfId="0" applyFont="1" applyBorder="1" applyAlignment="1">
      <alignment vertical="center" shrinkToFit="1"/>
    </xf>
    <xf numFmtId="166" fontId="11" fillId="0" borderId="58" xfId="0" applyNumberFormat="1" applyFont="1" applyBorder="1" applyAlignment="1">
      <alignment vertical="center" shrinkToFit="1"/>
    </xf>
    <xf numFmtId="166" fontId="11" fillId="3" borderId="58" xfId="0" applyNumberFormat="1" applyFont="1" applyFill="1" applyBorder="1" applyAlignment="1">
      <alignment vertical="center" shrinkToFit="1"/>
    </xf>
    <xf numFmtId="166" fontId="11" fillId="0" borderId="63" xfId="0" applyNumberFormat="1" applyFont="1" applyBorder="1" applyAlignment="1">
      <alignment vertical="center" shrinkToFit="1"/>
    </xf>
    <xf numFmtId="166" fontId="11" fillId="0" borderId="68" xfId="0" applyNumberFormat="1" applyFont="1" applyBorder="1" applyAlignment="1">
      <alignment vertical="center" shrinkToFit="1"/>
    </xf>
    <xf numFmtId="166" fontId="11" fillId="0" borderId="58" xfId="0" applyNumberFormat="1" applyFont="1" applyBorder="1" applyAlignment="1">
      <alignment vertical="center"/>
    </xf>
    <xf numFmtId="0" fontId="120" fillId="0" borderId="26" xfId="0" applyFont="1" applyBorder="1" applyAlignment="1">
      <alignment horizontal="center" vertical="center"/>
    </xf>
    <xf numFmtId="166" fontId="11" fillId="0" borderId="32" xfId="0" applyNumberFormat="1" applyFont="1" applyBorder="1" applyAlignment="1">
      <alignment vertical="center" shrinkToFit="1"/>
    </xf>
    <xf numFmtId="166" fontId="11" fillId="3" borderId="59" xfId="0" applyNumberFormat="1" applyFont="1" applyFill="1" applyBorder="1" applyAlignment="1">
      <alignment vertical="center" shrinkToFit="1"/>
    </xf>
    <xf numFmtId="166" fontId="11" fillId="0" borderId="60" xfId="0" applyNumberFormat="1" applyFont="1" applyBorder="1" applyAlignment="1">
      <alignment vertical="center"/>
    </xf>
    <xf numFmtId="166" fontId="11" fillId="0" borderId="59" xfId="0" applyNumberFormat="1" applyFont="1" applyBorder="1" applyAlignment="1">
      <alignment vertical="center" shrinkToFit="1"/>
    </xf>
    <xf numFmtId="0" fontId="32" fillId="0" borderId="26" xfId="0" applyFont="1" applyBorder="1" applyAlignment="1">
      <alignment horizontal="center" vertical="center"/>
    </xf>
    <xf numFmtId="166" fontId="4" fillId="0" borderId="32" xfId="0" applyNumberFormat="1" applyFont="1" applyBorder="1" applyAlignment="1">
      <alignment vertical="center" shrinkToFit="1"/>
    </xf>
    <xf numFmtId="166" fontId="4" fillId="0" borderId="59" xfId="0" applyNumberFormat="1" applyFont="1" applyBorder="1" applyAlignment="1">
      <alignment vertical="center" shrinkToFit="1"/>
    </xf>
    <xf numFmtId="0" fontId="142" fillId="0" borderId="60" xfId="0" applyFont="1" applyBorder="1" applyAlignment="1">
      <alignment vertical="center" shrinkToFit="1"/>
    </xf>
    <xf numFmtId="166" fontId="11" fillId="3" borderId="60" xfId="0" applyNumberFormat="1" applyFont="1" applyFill="1" applyBorder="1" applyAlignment="1">
      <alignment vertical="center" shrinkToFit="1"/>
    </xf>
    <xf numFmtId="0" fontId="33" fillId="0" borderId="0" xfId="0" applyFont="1" applyAlignment="1">
      <alignment horizontal="center" vertical="center"/>
    </xf>
    <xf numFmtId="9" fontId="11" fillId="0" borderId="60" xfId="3" applyFont="1" applyFill="1" applyBorder="1" applyAlignment="1">
      <alignment vertical="center"/>
    </xf>
    <xf numFmtId="0" fontId="120" fillId="34" borderId="26" xfId="0" applyFont="1" applyFill="1" applyBorder="1" applyAlignment="1">
      <alignment horizontal="center" vertical="center"/>
    </xf>
    <xf numFmtId="0" fontId="120" fillId="34" borderId="60" xfId="0" applyFont="1" applyFill="1" applyBorder="1" applyAlignment="1">
      <alignment vertical="center" shrinkToFit="1"/>
    </xf>
    <xf numFmtId="0" fontId="120" fillId="0" borderId="26" xfId="0" applyFont="1" applyBorder="1" applyAlignment="1">
      <alignment horizontal="center" vertical="center" shrinkToFit="1"/>
    </xf>
    <xf numFmtId="0" fontId="120" fillId="0" borderId="60" xfId="0" applyFont="1" applyBorder="1" applyAlignment="1">
      <alignment vertical="center" wrapText="1" shrinkToFit="1"/>
    </xf>
    <xf numFmtId="0" fontId="30" fillId="0" borderId="0" xfId="0" applyFont="1" applyAlignment="1">
      <alignment horizontal="center" vertical="center"/>
    </xf>
    <xf numFmtId="0" fontId="33" fillId="0" borderId="0" xfId="0" applyFont="1" applyAlignment="1">
      <alignment vertical="center"/>
    </xf>
    <xf numFmtId="0" fontId="120" fillId="0" borderId="29" xfId="0" applyFont="1" applyBorder="1" applyAlignment="1">
      <alignment horizontal="center" vertical="center"/>
    </xf>
    <xf numFmtId="0" fontId="120" fillId="0" borderId="30" xfId="0" applyFont="1" applyBorder="1" applyAlignment="1">
      <alignment vertical="center" shrinkToFit="1"/>
    </xf>
    <xf numFmtId="166" fontId="11" fillId="0" borderId="30" xfId="0" applyNumberFormat="1" applyFont="1" applyBorder="1" applyAlignment="1">
      <alignment vertical="center" shrinkToFit="1"/>
    </xf>
    <xf numFmtId="166" fontId="11" fillId="0" borderId="31" xfId="0" applyNumberFormat="1" applyFont="1" applyBorder="1" applyAlignment="1">
      <alignment vertical="center" shrinkToFit="1"/>
    </xf>
    <xf numFmtId="166" fontId="11" fillId="0" borderId="66" xfId="0" applyNumberFormat="1" applyFont="1" applyBorder="1" applyAlignment="1">
      <alignment vertical="center" shrinkToFit="1"/>
    </xf>
    <xf numFmtId="0" fontId="30" fillId="0" borderId="0" xfId="0" applyFont="1" applyAlignment="1">
      <alignment vertical="center"/>
    </xf>
    <xf numFmtId="0" fontId="30" fillId="0" borderId="0" xfId="0" applyFont="1" applyAlignment="1">
      <alignment horizontal="center"/>
    </xf>
    <xf numFmtId="179" fontId="30" fillId="0" borderId="0" xfId="348" applyNumberFormat="1" applyFont="1" applyFill="1" applyAlignment="1">
      <alignment shrinkToFit="1"/>
    </xf>
    <xf numFmtId="3" fontId="30" fillId="0" borderId="0" xfId="0" applyNumberFormat="1" applyFont="1" applyAlignment="1">
      <alignment shrinkToFit="1"/>
    </xf>
    <xf numFmtId="166" fontId="30" fillId="0" borderId="0" xfId="0" applyNumberFormat="1" applyFont="1"/>
    <xf numFmtId="9" fontId="30" fillId="0" borderId="0" xfId="3" applyFont="1" applyFill="1"/>
    <xf numFmtId="0" fontId="34" fillId="0" borderId="0" xfId="0" applyFont="1"/>
    <xf numFmtId="166" fontId="120" fillId="0" borderId="0" xfId="0" applyNumberFormat="1" applyFont="1" applyAlignment="1">
      <alignment horizontal="right"/>
    </xf>
    <xf numFmtId="0" fontId="121" fillId="0" borderId="204" xfId="0" applyFont="1" applyBorder="1" applyAlignment="1">
      <alignment horizontal="center"/>
    </xf>
    <xf numFmtId="0" fontId="120" fillId="0" borderId="192" xfId="0" applyFont="1" applyBorder="1" applyAlignment="1">
      <alignment horizontal="center" vertical="center"/>
    </xf>
    <xf numFmtId="0" fontId="120" fillId="0" borderId="72" xfId="0" applyFont="1" applyBorder="1" applyAlignment="1">
      <alignment horizontal="center"/>
    </xf>
    <xf numFmtId="0" fontId="120" fillId="0" borderId="72" xfId="0" applyFont="1" applyBorder="1" applyAlignment="1">
      <alignment horizontal="center" vertical="center"/>
    </xf>
    <xf numFmtId="0" fontId="120" fillId="0" borderId="2" xfId="0" applyFont="1" applyBorder="1" applyAlignment="1">
      <alignment horizontal="center" vertical="center"/>
    </xf>
    <xf numFmtId="0" fontId="120" fillId="0" borderId="14" xfId="0" applyFont="1" applyBorder="1" applyAlignment="1">
      <alignment vertical="center" shrinkToFit="1"/>
    </xf>
    <xf numFmtId="166" fontId="121" fillId="0" borderId="14" xfId="0" applyNumberFormat="1" applyFont="1" applyBorder="1" applyAlignment="1">
      <alignment vertical="center" shrinkToFit="1"/>
    </xf>
    <xf numFmtId="166" fontId="121" fillId="0" borderId="58" xfId="0" applyNumberFormat="1" applyFont="1" applyBorder="1" applyAlignment="1">
      <alignment vertical="center" shrinkToFit="1"/>
    </xf>
    <xf numFmtId="166" fontId="121" fillId="0" borderId="19" xfId="0" applyNumberFormat="1" applyFont="1" applyBorder="1" applyAlignment="1">
      <alignment vertical="center" shrinkToFit="1"/>
    </xf>
    <xf numFmtId="166" fontId="120" fillId="0" borderId="68" xfId="0" applyNumberFormat="1" applyFont="1" applyBorder="1" applyAlignment="1">
      <alignment vertical="center" shrinkToFit="1"/>
    </xf>
    <xf numFmtId="166" fontId="120" fillId="0" borderId="58" xfId="0" applyNumberFormat="1" applyFont="1" applyBorder="1" applyAlignment="1">
      <alignment vertical="center" shrinkToFit="1"/>
    </xf>
    <xf numFmtId="166" fontId="120" fillId="0" borderId="58" xfId="0" applyNumberFormat="1" applyFont="1" applyBorder="1" applyAlignment="1">
      <alignment vertical="center"/>
    </xf>
    <xf numFmtId="166" fontId="121" fillId="0" borderId="20" xfId="0" applyNumberFormat="1" applyFont="1" applyBorder="1" applyAlignment="1">
      <alignment vertical="center" shrinkToFit="1"/>
    </xf>
    <xf numFmtId="166" fontId="120" fillId="0" borderId="59" xfId="0" applyNumberFormat="1" applyFont="1" applyBorder="1" applyAlignment="1">
      <alignment vertical="center" shrinkToFit="1"/>
    </xf>
    <xf numFmtId="166" fontId="120" fillId="0" borderId="60" xfId="0" applyNumberFormat="1" applyFont="1" applyBorder="1" applyAlignment="1">
      <alignment vertical="center"/>
    </xf>
    <xf numFmtId="166" fontId="32" fillId="0" borderId="59" xfId="0" applyNumberFormat="1" applyFont="1" applyBorder="1" applyAlignment="1">
      <alignment vertical="center" shrinkToFit="1"/>
    </xf>
    <xf numFmtId="3" fontId="32" fillId="0" borderId="4" xfId="0" applyNumberFormat="1" applyFont="1" applyBorder="1" applyAlignment="1">
      <alignment horizontal="center" vertical="center" shrinkToFit="1"/>
    </xf>
    <xf numFmtId="166" fontId="32" fillId="0" borderId="20" xfId="0" applyNumberFormat="1" applyFont="1" applyBorder="1" applyAlignment="1">
      <alignment vertical="center" shrinkToFit="1"/>
    </xf>
    <xf numFmtId="166" fontId="120" fillId="0" borderId="20" xfId="0" applyNumberFormat="1" applyFont="1" applyBorder="1" applyAlignment="1">
      <alignment vertical="center" shrinkToFit="1"/>
    </xf>
    <xf numFmtId="9" fontId="120" fillId="0" borderId="60" xfId="3" applyFont="1" applyBorder="1" applyAlignment="1">
      <alignment vertical="center"/>
    </xf>
    <xf numFmtId="0" fontId="120" fillId="34" borderId="4" xfId="0" applyFont="1" applyFill="1" applyBorder="1" applyAlignment="1">
      <alignment horizontal="center" vertical="center"/>
    </xf>
    <xf numFmtId="166" fontId="121" fillId="34" borderId="60" xfId="0" applyNumberFormat="1" applyFont="1" applyFill="1" applyBorder="1" applyAlignment="1">
      <alignment vertical="center" shrinkToFit="1"/>
    </xf>
    <xf numFmtId="166" fontId="120" fillId="34" borderId="60" xfId="0" applyNumberFormat="1" applyFont="1" applyFill="1" applyBorder="1" applyAlignment="1">
      <alignment vertical="center" shrinkToFit="1"/>
    </xf>
    <xf numFmtId="166" fontId="120" fillId="34" borderId="20" xfId="0" applyNumberFormat="1" applyFont="1" applyFill="1" applyBorder="1" applyAlignment="1">
      <alignment vertical="center" shrinkToFit="1"/>
    </xf>
    <xf numFmtId="166" fontId="120" fillId="34" borderId="59" xfId="0" applyNumberFormat="1" applyFont="1" applyFill="1" applyBorder="1" applyAlignment="1">
      <alignment vertical="center" shrinkToFit="1"/>
    </xf>
    <xf numFmtId="10" fontId="120" fillId="0" borderId="60" xfId="3" applyNumberFormat="1" applyFont="1" applyBorder="1" applyAlignment="1">
      <alignment vertical="center" shrinkToFit="1"/>
    </xf>
    <xf numFmtId="3" fontId="120" fillId="0" borderId="60" xfId="0" applyNumberFormat="1" applyFont="1" applyBorder="1" applyAlignment="1">
      <alignment wrapText="1" shrinkToFit="1"/>
    </xf>
    <xf numFmtId="0" fontId="120" fillId="0" borderId="4" xfId="0" applyFont="1" applyBorder="1" applyAlignment="1">
      <alignment horizontal="center" vertical="center" shrinkToFit="1"/>
    </xf>
    <xf numFmtId="166" fontId="120" fillId="3" borderId="60" xfId="0" applyNumberFormat="1" applyFont="1" applyFill="1" applyBorder="1" applyAlignment="1">
      <alignment vertical="center" shrinkToFit="1"/>
    </xf>
    <xf numFmtId="0" fontId="120" fillId="0" borderId="6" xfId="0" applyFont="1" applyBorder="1" applyAlignment="1">
      <alignment horizontal="center" vertical="center" shrinkToFit="1"/>
    </xf>
    <xf numFmtId="166" fontId="121" fillId="0" borderId="6" xfId="0" applyNumberFormat="1" applyFont="1" applyBorder="1" applyAlignment="1">
      <alignment vertical="center" shrinkToFit="1"/>
    </xf>
    <xf numFmtId="166" fontId="120" fillId="0" borderId="6" xfId="0" applyNumberFormat="1" applyFont="1" applyBorder="1" applyAlignment="1">
      <alignment vertical="center" shrinkToFit="1"/>
    </xf>
    <xf numFmtId="166" fontId="120" fillId="0" borderId="21" xfId="0" applyNumberFormat="1" applyFont="1" applyBorder="1" applyAlignment="1">
      <alignment vertical="center" shrinkToFit="1"/>
    </xf>
    <xf numFmtId="166" fontId="120" fillId="0" borderId="66" xfId="0" applyNumberFormat="1" applyFont="1" applyBorder="1" applyAlignment="1">
      <alignment vertical="center" shrinkToFit="1"/>
    </xf>
    <xf numFmtId="219" fontId="32" fillId="0" borderId="0" xfId="0" applyNumberFormat="1" applyFont="1" applyAlignment="1">
      <alignment shrinkToFit="1"/>
    </xf>
    <xf numFmtId="3" fontId="32" fillId="0" borderId="0" xfId="403" applyNumberFormat="1" applyFont="1" applyAlignment="1">
      <alignment shrinkToFit="1"/>
    </xf>
    <xf numFmtId="3" fontId="32" fillId="0" borderId="0" xfId="3" applyNumberFormat="1" applyFont="1" applyAlignment="1">
      <alignment shrinkToFit="1"/>
    </xf>
    <xf numFmtId="179" fontId="32" fillId="0" borderId="0" xfId="403" applyNumberFormat="1" applyFont="1" applyAlignment="1">
      <alignment vertical="center" wrapText="1"/>
    </xf>
    <xf numFmtId="43" fontId="32" fillId="0" borderId="0" xfId="403" applyFont="1" applyAlignment="1">
      <alignment vertical="center" wrapText="1"/>
    </xf>
    <xf numFmtId="3" fontId="32" fillId="0" borderId="0" xfId="403" applyNumberFormat="1" applyFont="1" applyAlignment="1">
      <alignment vertical="center" wrapText="1"/>
    </xf>
    <xf numFmtId="3" fontId="32" fillId="0" borderId="0" xfId="403" applyNumberFormat="1" applyFont="1" applyAlignment="1">
      <alignment vertical="center" shrinkToFit="1"/>
    </xf>
    <xf numFmtId="0" fontId="32" fillId="0" borderId="0" xfId="0" applyFont="1" applyAlignment="1">
      <alignment vertical="center" wrapText="1"/>
    </xf>
    <xf numFmtId="166" fontId="32" fillId="0" borderId="0" xfId="0" applyNumberFormat="1" applyFont="1" applyAlignment="1">
      <alignment vertical="center"/>
    </xf>
    <xf numFmtId="3" fontId="141" fillId="0" borderId="0" xfId="403" applyNumberFormat="1" applyFont="1" applyAlignment="1">
      <alignment vertical="center" shrinkToFit="1"/>
    </xf>
    <xf numFmtId="10" fontId="32" fillId="0" borderId="0" xfId="0" applyNumberFormat="1" applyFont="1"/>
    <xf numFmtId="236" fontId="32" fillId="0" borderId="0" xfId="0" applyNumberFormat="1" applyFont="1"/>
    <xf numFmtId="3" fontId="32" fillId="0" borderId="4" xfId="0" applyNumberFormat="1" applyFont="1" applyBorder="1" applyAlignment="1">
      <alignment horizontal="center" vertical="center"/>
    </xf>
    <xf numFmtId="3" fontId="32" fillId="0" borderId="0" xfId="0" applyNumberFormat="1" applyFont="1" applyAlignment="1">
      <alignment vertical="center" wrapText="1"/>
    </xf>
    <xf numFmtId="0" fontId="11" fillId="0" borderId="0" xfId="0" applyFont="1" applyAlignment="1">
      <alignment horizontal="center" wrapText="1"/>
    </xf>
    <xf numFmtId="0" fontId="4" fillId="0" borderId="58" xfId="0" applyFont="1" applyBorder="1" applyAlignment="1">
      <alignment horizontal="center" vertical="center"/>
    </xf>
    <xf numFmtId="0" fontId="4" fillId="0" borderId="58" xfId="0" applyFont="1" applyBorder="1" applyAlignment="1">
      <alignment vertical="center" shrinkToFit="1"/>
    </xf>
    <xf numFmtId="9" fontId="4" fillId="0" borderId="58" xfId="0" applyNumberFormat="1" applyFont="1" applyBorder="1" applyAlignment="1">
      <alignment horizontal="right" vertical="center"/>
    </xf>
    <xf numFmtId="0" fontId="0" fillId="0" borderId="0" xfId="0" applyAlignment="1">
      <alignment vertical="center"/>
    </xf>
    <xf numFmtId="9" fontId="4" fillId="0" borderId="60" xfId="0" applyNumberFormat="1" applyFont="1" applyBorder="1" applyAlignment="1">
      <alignment horizontal="right" vertical="center"/>
    </xf>
    <xf numFmtId="0" fontId="4" fillId="0" borderId="13" xfId="0" applyFont="1" applyBorder="1" applyAlignment="1">
      <alignment horizontal="center" vertical="center"/>
    </xf>
    <xf numFmtId="0" fontId="4" fillId="0" borderId="13" xfId="0" applyFont="1" applyBorder="1" applyAlignment="1">
      <alignment vertical="center" shrinkToFit="1"/>
    </xf>
    <xf numFmtId="9" fontId="4" fillId="0" borderId="13" xfId="0" applyNumberFormat="1" applyFont="1" applyBorder="1" applyAlignment="1">
      <alignment horizontal="right" vertical="center"/>
    </xf>
    <xf numFmtId="0" fontId="216" fillId="0" borderId="0" xfId="0" applyFont="1"/>
    <xf numFmtId="0" fontId="11" fillId="0" borderId="58" xfId="0" applyFont="1" applyBorder="1" applyAlignment="1">
      <alignment horizontal="center"/>
    </xf>
    <xf numFmtId="0" fontId="11" fillId="0" borderId="58" xfId="0" applyFont="1" applyBorder="1" applyAlignment="1">
      <alignment shrinkToFit="1"/>
    </xf>
    <xf numFmtId="9" fontId="11" fillId="0" borderId="58" xfId="0" applyNumberFormat="1" applyFont="1" applyBorder="1" applyAlignment="1">
      <alignment horizontal="center"/>
    </xf>
    <xf numFmtId="0" fontId="4" fillId="0" borderId="60" xfId="0" applyFont="1" applyBorder="1" applyAlignment="1">
      <alignment horizontal="center"/>
    </xf>
    <xf numFmtId="0" fontId="4" fillId="0" borderId="60" xfId="0" applyFont="1" applyBorder="1" applyAlignment="1">
      <alignment shrinkToFit="1"/>
    </xf>
    <xf numFmtId="9" fontId="4" fillId="0" borderId="60" xfId="0" applyNumberFormat="1" applyFont="1" applyBorder="1" applyAlignment="1">
      <alignment horizontal="center"/>
    </xf>
    <xf numFmtId="0" fontId="11" fillId="0" borderId="60" xfId="0" applyFont="1" applyBorder="1" applyAlignment="1">
      <alignment horizontal="center"/>
    </xf>
    <xf numFmtId="0" fontId="11" fillId="0" borderId="60" xfId="0" applyFont="1" applyBorder="1" applyAlignment="1">
      <alignment shrinkToFit="1"/>
    </xf>
    <xf numFmtId="9" fontId="11" fillId="0" borderId="60" xfId="0" applyNumberFormat="1" applyFont="1" applyBorder="1" applyAlignment="1">
      <alignment horizontal="center"/>
    </xf>
    <xf numFmtId="0" fontId="4" fillId="35" borderId="60" xfId="0" applyFont="1" applyFill="1" applyBorder="1" applyAlignment="1">
      <alignment horizontal="center"/>
    </xf>
    <xf numFmtId="0" fontId="4" fillId="34" borderId="60" xfId="0" applyFont="1" applyFill="1" applyBorder="1" applyAlignment="1">
      <alignment shrinkToFit="1"/>
    </xf>
    <xf numFmtId="9" fontId="4" fillId="34" borderId="60" xfId="0" applyNumberFormat="1" applyFont="1" applyFill="1" applyBorder="1" applyAlignment="1">
      <alignment horizontal="center"/>
    </xf>
    <xf numFmtId="0" fontId="4" fillId="35" borderId="60" xfId="0" applyFont="1" applyFill="1" applyBorder="1" applyAlignment="1">
      <alignment horizontal="center" vertical="center"/>
    </xf>
    <xf numFmtId="0" fontId="4" fillId="34" borderId="60" xfId="0" applyFont="1" applyFill="1" applyBorder="1" applyAlignment="1">
      <alignment vertical="center" shrinkToFit="1"/>
    </xf>
    <xf numFmtId="9" fontId="4" fillId="34" borderId="60" xfId="0" applyNumberFormat="1" applyFont="1" applyFill="1" applyBorder="1" applyAlignment="1">
      <alignment horizontal="center" vertical="center" wrapText="1"/>
    </xf>
    <xf numFmtId="0" fontId="4" fillId="0" borderId="60" xfId="0" applyFont="1" applyBorder="1"/>
    <xf numFmtId="0" fontId="11" fillId="0" borderId="60" xfId="0" applyFont="1" applyBorder="1"/>
    <xf numFmtId="0" fontId="4" fillId="34" borderId="60" xfId="0" applyFont="1" applyFill="1" applyBorder="1" applyAlignment="1">
      <alignment horizontal="center"/>
    </xf>
    <xf numFmtId="0" fontId="4" fillId="34" borderId="60" xfId="0" applyFont="1" applyFill="1" applyBorder="1"/>
    <xf numFmtId="0" fontId="4" fillId="34" borderId="60" xfId="0" applyFont="1" applyFill="1" applyBorder="1" applyAlignment="1">
      <alignment horizontal="center" vertical="center" wrapText="1"/>
    </xf>
    <xf numFmtId="0" fontId="4" fillId="34" borderId="60" xfId="0" applyFont="1" applyFill="1" applyBorder="1" applyAlignment="1">
      <alignment vertical="center" wrapText="1"/>
    </xf>
    <xf numFmtId="0" fontId="4" fillId="0" borderId="13" xfId="0" applyFont="1" applyBorder="1" applyAlignment="1">
      <alignment horizontal="center"/>
    </xf>
    <xf numFmtId="0" fontId="4" fillId="0" borderId="13" xfId="0" applyFont="1" applyBorder="1"/>
    <xf numFmtId="9" fontId="4" fillId="0" borderId="13" xfId="0" applyNumberFormat="1" applyFont="1" applyBorder="1" applyAlignment="1">
      <alignment horizontal="center"/>
    </xf>
    <xf numFmtId="0" fontId="19" fillId="0" borderId="0" xfId="0" applyFont="1" applyAlignment="1">
      <alignment horizontal="center"/>
    </xf>
    <xf numFmtId="0" fontId="128" fillId="0" borderId="0" xfId="0" applyFont="1"/>
    <xf numFmtId="0" fontId="113" fillId="0" borderId="0" xfId="0" applyFont="1" applyAlignment="1">
      <alignment vertical="center" wrapText="1"/>
    </xf>
    <xf numFmtId="0" fontId="2" fillId="0" borderId="0" xfId="2"/>
    <xf numFmtId="0" fontId="245" fillId="0" borderId="0" xfId="2" applyFont="1"/>
    <xf numFmtId="219" fontId="121" fillId="0" borderId="60" xfId="0" applyNumberFormat="1" applyFont="1" applyBorder="1" applyAlignment="1">
      <alignment vertical="center" shrinkToFit="1"/>
    </xf>
    <xf numFmtId="3" fontId="142" fillId="0" borderId="60" xfId="0" applyNumberFormat="1" applyFont="1" applyBorder="1" applyAlignment="1">
      <alignment vertical="center"/>
    </xf>
    <xf numFmtId="3" fontId="120" fillId="0" borderId="0" xfId="0" applyNumberFormat="1" applyFont="1" applyAlignment="1">
      <alignment horizontal="right" vertical="center"/>
    </xf>
    <xf numFmtId="38" fontId="120" fillId="0" borderId="0" xfId="0" applyNumberFormat="1" applyFont="1" applyAlignment="1">
      <alignment vertical="center"/>
    </xf>
    <xf numFmtId="0" fontId="127" fillId="0" borderId="0" xfId="2" applyFont="1"/>
    <xf numFmtId="0" fontId="4" fillId="0" borderId="60" xfId="0" applyFont="1" applyBorder="1" applyAlignment="1">
      <alignment horizontal="center" vertical="center" wrapText="1"/>
    </xf>
    <xf numFmtId="179" fontId="32" fillId="0" borderId="60" xfId="403" applyNumberFormat="1" applyFont="1" applyBorder="1" applyAlignment="1">
      <alignment vertical="center"/>
    </xf>
    <xf numFmtId="0" fontId="2" fillId="3" borderId="0" xfId="2" applyFill="1"/>
    <xf numFmtId="0" fontId="127" fillId="3" borderId="0" xfId="2" applyFont="1" applyFill="1"/>
    <xf numFmtId="0" fontId="122" fillId="0" borderId="11" xfId="0" applyFont="1" applyBorder="1"/>
    <xf numFmtId="0" fontId="113" fillId="0" borderId="0" xfId="0" applyFont="1" applyAlignment="1">
      <alignment horizontal="center" vertical="center" shrinkToFit="1"/>
    </xf>
    <xf numFmtId="0" fontId="113" fillId="0" borderId="0" xfId="0" applyFont="1" applyAlignment="1">
      <alignment vertical="center" shrinkToFit="1"/>
    </xf>
    <xf numFmtId="0" fontId="2" fillId="0" borderId="0" xfId="2" applyAlignment="1">
      <alignment shrinkToFit="1"/>
    </xf>
    <xf numFmtId="0" fontId="245" fillId="0" borderId="0" xfId="2" applyFont="1" applyAlignment="1">
      <alignment horizontal="center" shrinkToFit="1"/>
    </xf>
    <xf numFmtId="0" fontId="2" fillId="0" borderId="0" xfId="2" applyAlignment="1">
      <alignment horizontal="center" shrinkToFit="1"/>
    </xf>
    <xf numFmtId="0" fontId="245" fillId="0" borderId="0" xfId="2" applyFont="1" applyAlignment="1">
      <alignment shrinkToFit="1"/>
    </xf>
    <xf numFmtId="0" fontId="112" fillId="0" borderId="0" xfId="0" applyFont="1" applyAlignment="1">
      <alignment horizontal="center" shrinkToFit="1"/>
    </xf>
    <xf numFmtId="3" fontId="120" fillId="0" borderId="11" xfId="0" applyNumberFormat="1" applyFont="1" applyBorder="1" applyAlignment="1">
      <alignment horizontal="centerContinuous" wrapText="1"/>
    </xf>
    <xf numFmtId="3" fontId="120" fillId="0" borderId="18" xfId="0" applyNumberFormat="1" applyFont="1" applyBorder="1" applyAlignment="1">
      <alignment horizontal="centerContinuous" wrapText="1"/>
    </xf>
    <xf numFmtId="3" fontId="120" fillId="0" borderId="18" xfId="0" applyNumberFormat="1" applyFont="1" applyBorder="1" applyAlignment="1">
      <alignment horizontal="center" vertical="center" wrapText="1"/>
    </xf>
    <xf numFmtId="3" fontId="3" fillId="0" borderId="131" xfId="2" applyNumberFormat="1" applyFont="1" applyBorder="1" applyAlignment="1">
      <alignment horizontal="center" vertical="center" shrinkToFit="1"/>
    </xf>
    <xf numFmtId="3" fontId="32" fillId="0" borderId="11" xfId="0" applyNumberFormat="1" applyFont="1" applyBorder="1" applyAlignment="1">
      <alignment horizontal="center" vertical="center" shrinkToFit="1"/>
    </xf>
    <xf numFmtId="0" fontId="0" fillId="0" borderId="11" xfId="0" applyBorder="1"/>
    <xf numFmtId="3" fontId="32" fillId="0" borderId="18" xfId="0" applyNumberFormat="1" applyFont="1" applyBorder="1" applyAlignment="1">
      <alignment horizontal="center" vertical="center" shrinkToFit="1"/>
    </xf>
    <xf numFmtId="3" fontId="130" fillId="0" borderId="2" xfId="0" applyNumberFormat="1" applyFont="1" applyBorder="1" applyAlignment="1">
      <alignment horizontal="center" vertical="center" shrinkToFit="1"/>
    </xf>
    <xf numFmtId="3" fontId="130" fillId="0" borderId="58" xfId="0" applyNumberFormat="1" applyFont="1" applyBorder="1" applyAlignment="1">
      <alignment horizontal="justify" vertical="center" wrapText="1" shrinkToFit="1"/>
    </xf>
    <xf numFmtId="230" fontId="130" fillId="0" borderId="58" xfId="0" applyNumberFormat="1" applyFont="1" applyBorder="1" applyAlignment="1">
      <alignment shrinkToFit="1"/>
    </xf>
    <xf numFmtId="166" fontId="130" fillId="0" borderId="19" xfId="0" applyNumberFormat="1" applyFont="1" applyBorder="1" applyAlignment="1">
      <alignment shrinkToFit="1"/>
    </xf>
    <xf numFmtId="3" fontId="130" fillId="0" borderId="4" xfId="0" applyNumberFormat="1" applyFont="1" applyBorder="1" applyAlignment="1">
      <alignment horizontal="center" vertical="center" shrinkToFit="1"/>
    </xf>
    <xf numFmtId="230" fontId="130" fillId="0" borderId="60" xfId="0" applyNumberFormat="1" applyFont="1" applyBorder="1" applyAlignment="1">
      <alignment shrinkToFit="1"/>
    </xf>
    <xf numFmtId="166" fontId="130" fillId="0" borderId="20" xfId="0" applyNumberFormat="1" applyFont="1" applyBorder="1" applyAlignment="1">
      <alignment shrinkToFit="1"/>
    </xf>
    <xf numFmtId="3" fontId="138" fillId="0" borderId="4" xfId="0" applyNumberFormat="1" applyFont="1" applyBorder="1" applyAlignment="1">
      <alignment horizontal="center" vertical="center" wrapText="1" shrinkToFit="1"/>
    </xf>
    <xf numFmtId="3" fontId="138" fillId="0" borderId="60" xfId="0" applyNumberFormat="1" applyFont="1" applyBorder="1" applyAlignment="1">
      <alignment horizontal="justify" vertical="center" wrapText="1" shrinkToFit="1"/>
    </xf>
    <xf numFmtId="230" fontId="130" fillId="0" borderId="60" xfId="0" applyNumberFormat="1" applyFont="1" applyBorder="1" applyAlignment="1">
      <alignment vertical="center" shrinkToFit="1"/>
    </xf>
    <xf numFmtId="166" fontId="130" fillId="0" borderId="20" xfId="0" applyNumberFormat="1" applyFont="1" applyBorder="1" applyAlignment="1">
      <alignment vertical="center" shrinkToFit="1"/>
    </xf>
    <xf numFmtId="3" fontId="120" fillId="0" borderId="4" xfId="0" applyNumberFormat="1" applyFont="1" applyBorder="1" applyAlignment="1">
      <alignment horizontal="center" vertical="center" shrinkToFit="1"/>
    </xf>
    <xf numFmtId="3" fontId="120" fillId="0" borderId="60" xfId="0" applyNumberFormat="1" applyFont="1" applyBorder="1" applyAlignment="1">
      <alignment horizontal="justify" vertical="center" wrapText="1" shrinkToFit="1"/>
    </xf>
    <xf numFmtId="179" fontId="11" fillId="0" borderId="60" xfId="403" applyNumberFormat="1" applyFont="1" applyBorder="1"/>
    <xf numFmtId="166" fontId="120" fillId="0" borderId="60" xfId="0" applyNumberFormat="1" applyFont="1" applyBorder="1" applyAlignment="1">
      <alignment shrinkToFit="1"/>
    </xf>
    <xf numFmtId="166" fontId="120" fillId="0" borderId="20" xfId="0" applyNumberFormat="1" applyFont="1" applyBorder="1" applyAlignment="1">
      <alignment shrinkToFit="1"/>
    </xf>
    <xf numFmtId="179" fontId="0" fillId="0" borderId="60" xfId="403" applyNumberFormat="1" applyFont="1" applyBorder="1"/>
    <xf numFmtId="166" fontId="32" fillId="0" borderId="20" xfId="0" applyNumberFormat="1" applyFont="1" applyBorder="1" applyAlignment="1">
      <alignment shrinkToFit="1"/>
    </xf>
    <xf numFmtId="179" fontId="120" fillId="0" borderId="4" xfId="403" applyNumberFormat="1" applyFont="1" applyBorder="1" applyAlignment="1">
      <alignment horizontal="center" vertical="center" shrinkToFit="1"/>
    </xf>
    <xf numFmtId="179" fontId="120" fillId="0" borderId="60" xfId="403" applyNumberFormat="1" applyFont="1" applyBorder="1" applyAlignment="1">
      <alignment horizontal="justify" vertical="center" wrapText="1" shrinkToFit="1"/>
    </xf>
    <xf numFmtId="179" fontId="120" fillId="0" borderId="20" xfId="403" applyNumberFormat="1" applyFont="1" applyBorder="1" applyAlignment="1">
      <alignment shrinkToFit="1"/>
    </xf>
    <xf numFmtId="179" fontId="0" fillId="0" borderId="0" xfId="403" applyNumberFormat="1" applyFont="1"/>
    <xf numFmtId="179" fontId="121" fillId="0" borderId="60" xfId="403" applyNumberFormat="1" applyFont="1" applyBorder="1" applyAlignment="1">
      <alignment vertical="center" shrinkToFit="1"/>
    </xf>
    <xf numFmtId="179" fontId="121" fillId="0" borderId="4" xfId="403" applyNumberFormat="1" applyFont="1" applyFill="1" applyBorder="1" applyAlignment="1">
      <alignment horizontal="center" vertical="center" shrinkToFit="1"/>
    </xf>
    <xf numFmtId="179" fontId="121" fillId="0" borderId="60" xfId="403" applyNumberFormat="1" applyFont="1" applyFill="1" applyBorder="1" applyAlignment="1">
      <alignment horizontal="justify" vertical="center" wrapText="1" shrinkToFit="1"/>
    </xf>
    <xf numFmtId="179" fontId="120" fillId="3" borderId="60" xfId="403" applyNumberFormat="1" applyFont="1" applyFill="1" applyBorder="1" applyAlignment="1">
      <alignment shrinkToFit="1"/>
    </xf>
    <xf numFmtId="3" fontId="121" fillId="0" borderId="4" xfId="0" applyNumberFormat="1" applyFont="1" applyBorder="1" applyAlignment="1">
      <alignment horizontal="center" vertical="center" shrinkToFit="1"/>
    </xf>
    <xf numFmtId="3" fontId="121" fillId="0" borderId="60" xfId="0" applyNumberFormat="1" applyFont="1" applyBorder="1" applyAlignment="1">
      <alignment horizontal="justify" vertical="center" wrapText="1" shrinkToFit="1"/>
    </xf>
    <xf numFmtId="166" fontId="120" fillId="3" borderId="60" xfId="0" applyNumberFormat="1" applyFont="1" applyFill="1" applyBorder="1" applyAlignment="1">
      <alignment shrinkToFit="1"/>
    </xf>
    <xf numFmtId="179" fontId="135" fillId="0" borderId="4" xfId="403" applyNumberFormat="1" applyFont="1" applyBorder="1" applyAlignment="1">
      <alignment horizontal="center" vertical="center" shrinkToFit="1"/>
    </xf>
    <xf numFmtId="179" fontId="135" fillId="0" borderId="60" xfId="403" applyNumberFormat="1" applyFont="1" applyBorder="1" applyAlignment="1">
      <alignment horizontal="justify" vertical="center" wrapText="1" shrinkToFit="1"/>
    </xf>
    <xf numFmtId="179" fontId="4" fillId="0" borderId="60" xfId="403" applyNumberFormat="1" applyFont="1" applyBorder="1"/>
    <xf numFmtId="179" fontId="134" fillId="0" borderId="60" xfId="403" applyNumberFormat="1" applyFont="1" applyBorder="1" applyAlignment="1">
      <alignment shrinkToFit="1"/>
    </xf>
    <xf numFmtId="179" fontId="134" fillId="0" borderId="20" xfId="403" applyNumberFormat="1" applyFont="1" applyBorder="1" applyAlignment="1">
      <alignment shrinkToFit="1"/>
    </xf>
    <xf numFmtId="179" fontId="120" fillId="0" borderId="60" xfId="403" applyNumberFormat="1" applyFont="1" applyFill="1" applyBorder="1" applyAlignment="1">
      <alignment shrinkToFit="1"/>
    </xf>
    <xf numFmtId="179" fontId="120" fillId="0" borderId="20" xfId="403" applyNumberFormat="1" applyFont="1" applyFill="1" applyBorder="1" applyAlignment="1">
      <alignment shrinkToFit="1"/>
    </xf>
    <xf numFmtId="179" fontId="130" fillId="0" borderId="4" xfId="403" applyNumberFormat="1" applyFont="1" applyBorder="1" applyAlignment="1">
      <alignment horizontal="center" vertical="center" shrinkToFit="1"/>
    </xf>
    <xf numFmtId="179" fontId="130" fillId="0" borderId="60" xfId="403" applyNumberFormat="1" applyFont="1" applyBorder="1" applyAlignment="1">
      <alignment horizontal="justify" vertical="center" wrapText="1" shrinkToFit="1"/>
    </xf>
    <xf numFmtId="179" fontId="130" fillId="0" borderId="60" xfId="403" applyNumberFormat="1" applyFont="1" applyFill="1" applyBorder="1" applyAlignment="1">
      <alignment shrinkToFit="1"/>
    </xf>
    <xf numFmtId="179" fontId="130" fillId="0" borderId="60" xfId="403" applyNumberFormat="1" applyFont="1" applyBorder="1" applyAlignment="1">
      <alignment shrinkToFit="1"/>
    </xf>
    <xf numFmtId="179" fontId="130" fillId="0" borderId="20" xfId="403" applyNumberFormat="1" applyFont="1" applyFill="1" applyBorder="1" applyAlignment="1">
      <alignment shrinkToFit="1"/>
    </xf>
    <xf numFmtId="179" fontId="130" fillId="0" borderId="60" xfId="403" applyNumberFormat="1" applyFont="1" applyFill="1" applyBorder="1" applyAlignment="1">
      <alignment vertical="center" shrinkToFit="1"/>
    </xf>
    <xf numFmtId="179" fontId="130" fillId="0" borderId="20" xfId="403" applyNumberFormat="1" applyFont="1" applyFill="1" applyBorder="1" applyAlignment="1">
      <alignment vertical="center" shrinkToFit="1"/>
    </xf>
    <xf numFmtId="179" fontId="32" fillId="0" borderId="4" xfId="403" applyNumberFormat="1" applyFont="1" applyBorder="1" applyAlignment="1">
      <alignment horizontal="center" vertical="center" shrinkToFit="1"/>
    </xf>
    <xf numFmtId="179" fontId="32" fillId="0" borderId="60" xfId="403" applyNumberFormat="1" applyFont="1" applyBorder="1" applyAlignment="1">
      <alignment horizontal="justify" vertical="center" wrapText="1" shrinkToFit="1"/>
    </xf>
    <xf numFmtId="179" fontId="32" fillId="0" borderId="60" xfId="403" applyNumberFormat="1" applyFont="1" applyFill="1" applyBorder="1" applyAlignment="1">
      <alignment shrinkToFit="1"/>
    </xf>
    <xf numFmtId="179" fontId="32" fillId="0" borderId="20" xfId="403" applyNumberFormat="1" applyFont="1" applyFill="1" applyBorder="1" applyAlignment="1">
      <alignment shrinkToFit="1"/>
    </xf>
    <xf numFmtId="179" fontId="120" fillId="0" borderId="20" xfId="403" applyNumberFormat="1" applyFont="1" applyFill="1" applyBorder="1" applyAlignment="1">
      <alignment vertical="center" shrinkToFit="1"/>
    </xf>
    <xf numFmtId="179" fontId="0" fillId="0" borderId="60" xfId="403" applyNumberFormat="1" applyFont="1" applyBorder="1" applyAlignment="1">
      <alignment vertical="center"/>
    </xf>
    <xf numFmtId="179" fontId="32" fillId="0" borderId="60" xfId="403" applyNumberFormat="1" applyFont="1" applyFill="1" applyBorder="1" applyAlignment="1">
      <alignment vertical="center" shrinkToFit="1"/>
    </xf>
    <xf numFmtId="179" fontId="32" fillId="0" borderId="20" xfId="403" applyNumberFormat="1" applyFont="1" applyFill="1" applyBorder="1" applyAlignment="1">
      <alignment vertical="center" shrinkToFit="1"/>
    </xf>
    <xf numFmtId="179" fontId="0" fillId="0" borderId="0" xfId="403" applyNumberFormat="1" applyFont="1" applyAlignment="1">
      <alignment vertical="center"/>
    </xf>
    <xf numFmtId="179" fontId="130" fillId="0" borderId="60" xfId="403" applyNumberFormat="1" applyFont="1" applyBorder="1" applyAlignment="1">
      <alignment vertical="center" shrinkToFit="1"/>
    </xf>
    <xf numFmtId="179" fontId="11" fillId="0" borderId="0" xfId="403" applyNumberFormat="1" applyFont="1" applyAlignment="1">
      <alignment vertical="center"/>
    </xf>
    <xf numFmtId="179" fontId="130" fillId="0" borderId="20" xfId="403" applyNumberFormat="1" applyFont="1" applyBorder="1" applyAlignment="1">
      <alignment vertical="center" shrinkToFit="1"/>
    </xf>
    <xf numFmtId="3" fontId="130" fillId="0" borderId="5" xfId="0" applyNumberFormat="1" applyFont="1" applyBorder="1" applyAlignment="1">
      <alignment horizontal="center" vertical="center" shrinkToFit="1"/>
    </xf>
    <xf numFmtId="3" fontId="130" fillId="0" borderId="6" xfId="0" applyNumberFormat="1" applyFont="1" applyBorder="1" applyAlignment="1">
      <alignment horizontal="justify" vertical="center" wrapText="1" shrinkToFit="1"/>
    </xf>
    <xf numFmtId="179" fontId="11" fillId="0" borderId="6" xfId="0" applyNumberFormat="1" applyFont="1" applyBorder="1"/>
    <xf numFmtId="179" fontId="11" fillId="0" borderId="6" xfId="0" applyNumberFormat="1" applyFont="1" applyBorder="1" applyAlignment="1">
      <alignment shrinkToFit="1"/>
    </xf>
    <xf numFmtId="0" fontId="11" fillId="0" borderId="6" xfId="0" applyFont="1" applyBorder="1" applyAlignment="1">
      <alignment shrinkToFit="1"/>
    </xf>
    <xf numFmtId="179" fontId="11" fillId="0" borderId="21" xfId="0" applyNumberFormat="1" applyFont="1" applyBorder="1" applyAlignment="1">
      <alignment shrinkToFit="1"/>
    </xf>
    <xf numFmtId="0" fontId="218" fillId="0" borderId="131" xfId="2" applyFont="1" applyBorder="1" applyAlignment="1">
      <alignment horizontal="center"/>
    </xf>
    <xf numFmtId="0" fontId="120" fillId="0" borderId="18" xfId="0" applyFont="1" applyBorder="1" applyAlignment="1">
      <alignment horizontal="center" shrinkToFit="1"/>
    </xf>
    <xf numFmtId="3" fontId="130" fillId="0" borderId="2" xfId="0" applyNumberFormat="1" applyFont="1" applyBorder="1" applyAlignment="1">
      <alignment vertical="center" wrapText="1" shrinkToFit="1"/>
    </xf>
    <xf numFmtId="3" fontId="130" fillId="0" borderId="58" xfId="0" applyNumberFormat="1" applyFont="1" applyBorder="1" applyAlignment="1">
      <alignment horizontal="justify" vertical="justify" wrapText="1" shrinkToFit="1"/>
    </xf>
    <xf numFmtId="166" fontId="130" fillId="0" borderId="58" xfId="403" applyNumberFormat="1" applyFont="1" applyFill="1" applyBorder="1" applyAlignment="1">
      <alignment shrinkToFit="1"/>
    </xf>
    <xf numFmtId="230" fontId="130" fillId="0" borderId="58" xfId="403" applyNumberFormat="1" applyFont="1" applyFill="1" applyBorder="1" applyAlignment="1">
      <alignment shrinkToFit="1"/>
    </xf>
    <xf numFmtId="3" fontId="130" fillId="0" borderId="4" xfId="0" applyNumberFormat="1" applyFont="1" applyBorder="1" applyAlignment="1">
      <alignment horizontal="center" vertical="center" wrapText="1" shrinkToFit="1"/>
    </xf>
    <xf numFmtId="3" fontId="130" fillId="0" borderId="60" xfId="0" applyNumberFormat="1" applyFont="1" applyBorder="1" applyAlignment="1">
      <alignment horizontal="justify" vertical="justify" wrapText="1" shrinkToFit="1"/>
    </xf>
    <xf numFmtId="230" fontId="130" fillId="0" borderId="60" xfId="403" applyNumberFormat="1" applyFont="1" applyFill="1" applyBorder="1" applyAlignment="1">
      <alignment shrinkToFit="1"/>
    </xf>
    <xf numFmtId="166" fontId="130" fillId="0" borderId="60" xfId="403" applyNumberFormat="1" applyFont="1" applyFill="1" applyBorder="1" applyAlignment="1">
      <alignment shrinkToFit="1"/>
    </xf>
    <xf numFmtId="3" fontId="120" fillId="0" borderId="4" xfId="0" applyNumberFormat="1" applyFont="1" applyBorder="1" applyAlignment="1">
      <alignment horizontal="center" vertical="center" wrapText="1" shrinkToFit="1"/>
    </xf>
    <xf numFmtId="166" fontId="120" fillId="0" borderId="60" xfId="403" applyNumberFormat="1" applyFont="1" applyFill="1" applyBorder="1" applyAlignment="1">
      <alignment vertical="center" shrinkToFit="1"/>
    </xf>
    <xf numFmtId="230" fontId="120" fillId="0" borderId="60" xfId="403" applyNumberFormat="1" applyFont="1" applyFill="1" applyBorder="1" applyAlignment="1">
      <alignment vertical="center" shrinkToFit="1"/>
    </xf>
    <xf numFmtId="3" fontId="32" fillId="0" borderId="4" xfId="0" applyNumberFormat="1" applyFont="1" applyBorder="1" applyAlignment="1">
      <alignment horizontal="center" vertical="center" wrapText="1" shrinkToFit="1"/>
    </xf>
    <xf numFmtId="166" fontId="32" fillId="0" borderId="60" xfId="403" applyNumberFormat="1" applyFont="1" applyFill="1" applyBorder="1" applyAlignment="1">
      <alignment vertical="center" shrinkToFit="1"/>
    </xf>
    <xf numFmtId="3" fontId="129" fillId="0" borderId="4" xfId="0" applyNumberFormat="1" applyFont="1" applyBorder="1" applyAlignment="1">
      <alignment horizontal="center" vertical="center" wrapText="1" shrinkToFit="1"/>
    </xf>
    <xf numFmtId="3" fontId="129" fillId="0" borderId="60" xfId="0" applyNumberFormat="1" applyFont="1" applyBorder="1" applyAlignment="1">
      <alignment horizontal="justify" vertical="center" wrapText="1" shrinkToFit="1"/>
    </xf>
    <xf numFmtId="3" fontId="130" fillId="0" borderId="60" xfId="403" applyNumberFormat="1" applyFont="1" applyBorder="1" applyAlignment="1">
      <alignment vertical="center"/>
    </xf>
    <xf numFmtId="166" fontId="130" fillId="0" borderId="60" xfId="403" applyNumberFormat="1" applyFont="1" applyFill="1" applyBorder="1" applyAlignment="1">
      <alignment vertical="center" shrinkToFit="1"/>
    </xf>
    <xf numFmtId="166" fontId="130" fillId="3" borderId="60" xfId="403" applyNumberFormat="1" applyFont="1" applyFill="1" applyBorder="1" applyAlignment="1">
      <alignment vertical="center" shrinkToFit="1"/>
    </xf>
    <xf numFmtId="3" fontId="121" fillId="0" borderId="4" xfId="0" applyNumberFormat="1" applyFont="1" applyBorder="1" applyAlignment="1">
      <alignment horizontal="center" vertical="center" wrapText="1" shrinkToFit="1"/>
    </xf>
    <xf numFmtId="179" fontId="122" fillId="0" borderId="4" xfId="403" applyNumberFormat="1" applyFont="1" applyBorder="1" applyAlignment="1">
      <alignment horizontal="center" vertical="center" wrapText="1" shrinkToFit="1"/>
    </xf>
    <xf numFmtId="179" fontId="122" fillId="0" borderId="60" xfId="403" applyNumberFormat="1" applyFont="1" applyBorder="1" applyAlignment="1">
      <alignment horizontal="justify" vertical="center" wrapText="1" shrinkToFit="1"/>
    </xf>
    <xf numFmtId="179" fontId="32" fillId="0" borderId="20" xfId="403" applyNumberFormat="1" applyFont="1" applyBorder="1" applyAlignment="1">
      <alignment vertical="center"/>
    </xf>
    <xf numFmtId="3" fontId="129" fillId="0" borderId="5" xfId="0" applyNumberFormat="1" applyFont="1" applyBorder="1" applyAlignment="1">
      <alignment horizontal="center" vertical="center" wrapText="1" shrinkToFit="1"/>
    </xf>
    <xf numFmtId="3" fontId="129" fillId="0" borderId="6" xfId="0" applyNumberFormat="1" applyFont="1" applyBorder="1" applyAlignment="1">
      <alignment horizontal="justify" vertical="center" wrapText="1" shrinkToFit="1"/>
    </xf>
    <xf numFmtId="179" fontId="120" fillId="0" borderId="6" xfId="403" applyNumberFormat="1" applyFont="1" applyBorder="1" applyAlignment="1">
      <alignment vertical="center"/>
    </xf>
    <xf numFmtId="0" fontId="120" fillId="0" borderId="21" xfId="0" applyFont="1" applyBorder="1" applyAlignment="1">
      <alignment vertical="center"/>
    </xf>
    <xf numFmtId="0" fontId="120" fillId="0" borderId="64" xfId="0" applyFont="1" applyBorder="1" applyAlignment="1">
      <alignment horizontal="center" vertical="center"/>
    </xf>
    <xf numFmtId="0" fontId="130" fillId="0" borderId="11" xfId="0" applyFont="1" applyBorder="1"/>
    <xf numFmtId="166" fontId="130" fillId="0" borderId="11" xfId="0" applyNumberFormat="1" applyFont="1" applyBorder="1"/>
    <xf numFmtId="166" fontId="130" fillId="0" borderId="18" xfId="0" applyNumberFormat="1" applyFont="1" applyBorder="1"/>
    <xf numFmtId="0" fontId="155" fillId="0" borderId="4" xfId="0" applyFont="1" applyBorder="1" applyAlignment="1">
      <alignment horizontal="center"/>
    </xf>
    <xf numFmtId="0" fontId="155" fillId="0" borderId="60" xfId="0" applyFont="1" applyBorder="1" applyAlignment="1">
      <alignment shrinkToFit="1"/>
    </xf>
    <xf numFmtId="166" fontId="155" fillId="0" borderId="60" xfId="0" applyNumberFormat="1" applyFont="1" applyBorder="1" applyAlignment="1">
      <alignment shrinkToFit="1"/>
    </xf>
    <xf numFmtId="166" fontId="155" fillId="0" borderId="20" xfId="0" applyNumberFormat="1" applyFont="1" applyBorder="1" applyAlignment="1">
      <alignment shrinkToFit="1"/>
    </xf>
    <xf numFmtId="0" fontId="134" fillId="0" borderId="60" xfId="0" applyFont="1" applyBorder="1" applyAlignment="1">
      <alignment shrinkToFit="1"/>
    </xf>
    <xf numFmtId="0" fontId="134" fillId="0" borderId="4" xfId="0" applyFont="1" applyBorder="1" applyAlignment="1">
      <alignment horizontal="center"/>
    </xf>
    <xf numFmtId="166" fontId="134" fillId="0" borderId="20" xfId="0" applyNumberFormat="1" applyFont="1" applyBorder="1" applyAlignment="1">
      <alignment shrinkToFit="1"/>
    </xf>
    <xf numFmtId="166" fontId="155" fillId="3" borderId="20" xfId="0" applyNumberFormat="1" applyFont="1" applyFill="1" applyBorder="1" applyAlignment="1">
      <alignment shrinkToFit="1"/>
    </xf>
    <xf numFmtId="0" fontId="130" fillId="0" borderId="4" xfId="0" applyFont="1" applyBorder="1" applyAlignment="1">
      <alignment horizontal="center"/>
    </xf>
    <xf numFmtId="0" fontId="130" fillId="0" borderId="60" xfId="0" applyFont="1" applyBorder="1" applyAlignment="1">
      <alignment shrinkToFit="1"/>
    </xf>
    <xf numFmtId="0" fontId="138" fillId="0" borderId="0" xfId="0" applyFont="1"/>
    <xf numFmtId="166" fontId="128" fillId="0" borderId="60" xfId="0" applyNumberFormat="1" applyFont="1" applyBorder="1" applyAlignment="1">
      <alignment shrinkToFit="1"/>
    </xf>
    <xf numFmtId="166" fontId="128" fillId="0" borderId="20" xfId="0" applyNumberFormat="1" applyFont="1" applyBorder="1" applyAlignment="1">
      <alignment shrinkToFit="1"/>
    </xf>
    <xf numFmtId="166" fontId="130" fillId="0" borderId="1" xfId="0" applyNumberFormat="1" applyFont="1" applyBorder="1" applyAlignment="1">
      <alignment shrinkToFit="1"/>
    </xf>
    <xf numFmtId="166" fontId="130" fillId="0" borderId="209" xfId="0" applyNumberFormat="1" applyFont="1" applyBorder="1" applyAlignment="1">
      <alignment shrinkToFit="1"/>
    </xf>
    <xf numFmtId="0" fontId="130" fillId="0" borderId="182" xfId="0" applyFont="1" applyBorder="1" applyAlignment="1">
      <alignment horizontal="center"/>
    </xf>
    <xf numFmtId="0" fontId="130" fillId="0" borderId="183" xfId="0" applyFont="1" applyBorder="1" applyAlignment="1">
      <alignment horizontal="center"/>
    </xf>
    <xf numFmtId="166" fontId="130" fillId="0" borderId="183" xfId="0" applyNumberFormat="1" applyFont="1" applyBorder="1"/>
    <xf numFmtId="166" fontId="130" fillId="0" borderId="184" xfId="0" applyNumberFormat="1" applyFont="1" applyBorder="1"/>
    <xf numFmtId="166" fontId="138" fillId="0" borderId="60" xfId="0" applyNumberFormat="1" applyFont="1" applyBorder="1" applyAlignment="1">
      <alignment shrinkToFit="1"/>
    </xf>
    <xf numFmtId="166" fontId="138" fillId="0" borderId="20" xfId="0" applyNumberFormat="1" applyFont="1" applyBorder="1" applyAlignment="1">
      <alignment shrinkToFit="1"/>
    </xf>
    <xf numFmtId="166" fontId="156" fillId="0" borderId="60" xfId="0" applyNumberFormat="1" applyFont="1" applyBorder="1" applyAlignment="1">
      <alignment shrinkToFit="1"/>
    </xf>
    <xf numFmtId="166" fontId="156" fillId="0" borderId="20" xfId="0" applyNumberFormat="1" applyFont="1" applyBorder="1" applyAlignment="1">
      <alignment shrinkToFit="1"/>
    </xf>
    <xf numFmtId="0" fontId="113" fillId="0" borderId="0" xfId="0" applyFont="1" applyAlignment="1">
      <alignment wrapText="1"/>
    </xf>
    <xf numFmtId="0" fontId="138" fillId="0" borderId="0" xfId="0" applyFont="1" applyAlignment="1">
      <alignment horizontal="right"/>
    </xf>
    <xf numFmtId="0" fontId="120" fillId="0" borderId="24" xfId="0" applyFont="1" applyBorder="1" applyAlignment="1">
      <alignment horizontal="center"/>
    </xf>
    <xf numFmtId="0" fontId="120" fillId="0" borderId="25" xfId="0" applyFont="1" applyBorder="1" applyAlignment="1">
      <alignment horizontal="center"/>
    </xf>
    <xf numFmtId="0" fontId="120" fillId="0" borderId="62" xfId="0" applyFont="1" applyBorder="1" applyAlignment="1">
      <alignment horizontal="center"/>
    </xf>
    <xf numFmtId="168" fontId="120" fillId="0" borderId="58" xfId="403" applyNumberFormat="1" applyFont="1" applyBorder="1"/>
    <xf numFmtId="179" fontId="120" fillId="0" borderId="58" xfId="403" applyNumberFormat="1" applyFont="1" applyBorder="1"/>
    <xf numFmtId="0" fontId="120" fillId="0" borderId="63" xfId="0" applyFont="1" applyBorder="1"/>
    <xf numFmtId="0" fontId="32" fillId="0" borderId="26" xfId="0" applyFont="1" applyBorder="1" applyAlignment="1">
      <alignment horizontal="center" vertical="center" wrapText="1"/>
    </xf>
    <xf numFmtId="0" fontId="32" fillId="0" borderId="60" xfId="0" applyFont="1" applyBorder="1" applyAlignment="1">
      <alignment vertical="center" wrapText="1"/>
    </xf>
    <xf numFmtId="179" fontId="247" fillId="0" borderId="60" xfId="403" applyNumberFormat="1" applyFont="1" applyBorder="1" applyAlignment="1">
      <alignment vertical="center" wrapText="1"/>
    </xf>
    <xf numFmtId="179" fontId="32" fillId="0" borderId="60" xfId="403" applyNumberFormat="1" applyFont="1" applyBorder="1" applyAlignment="1">
      <alignment vertical="center" wrapText="1"/>
    </xf>
    <xf numFmtId="179" fontId="32" fillId="0" borderId="32" xfId="403" applyNumberFormat="1" applyFont="1" applyBorder="1" applyAlignment="1">
      <alignment vertical="center" wrapText="1"/>
    </xf>
    <xf numFmtId="0" fontId="247" fillId="0" borderId="60" xfId="0" applyFont="1" applyBorder="1" applyAlignment="1">
      <alignment vertical="center" wrapText="1"/>
    </xf>
    <xf numFmtId="179" fontId="141" fillId="0" borderId="60" xfId="403" applyNumberFormat="1" applyFont="1" applyBorder="1" applyAlignment="1">
      <alignment vertical="center" wrapText="1"/>
    </xf>
    <xf numFmtId="0" fontId="32" fillId="0" borderId="29" xfId="0" applyFont="1" applyBorder="1" applyAlignment="1">
      <alignment horizontal="center" vertical="center" wrapText="1"/>
    </xf>
    <xf numFmtId="0" fontId="32" fillId="0" borderId="30" xfId="0" applyFont="1" applyBorder="1" applyAlignment="1">
      <alignment vertical="center" wrapText="1"/>
    </xf>
    <xf numFmtId="0" fontId="247" fillId="0" borderId="30" xfId="0" applyFont="1" applyBorder="1" applyAlignment="1">
      <alignment vertical="center" wrapText="1"/>
    </xf>
    <xf numFmtId="179" fontId="247" fillId="0" borderId="30" xfId="403" applyNumberFormat="1" applyFont="1" applyBorder="1" applyAlignment="1">
      <alignment vertical="center" wrapText="1"/>
    </xf>
    <xf numFmtId="179" fontId="32" fillId="0" borderId="31" xfId="403" applyNumberFormat="1" applyFont="1" applyBorder="1" applyAlignment="1">
      <alignment vertical="center" wrapText="1"/>
    </xf>
    <xf numFmtId="43" fontId="122" fillId="0" borderId="0" xfId="403" applyFont="1"/>
    <xf numFmtId="0" fontId="121" fillId="0" borderId="24" xfId="0" applyFont="1" applyBorder="1" applyAlignment="1">
      <alignment horizontal="center" vertical="center"/>
    </xf>
    <xf numFmtId="179" fontId="121" fillId="0" borderId="11" xfId="0" applyNumberFormat="1" applyFont="1" applyBorder="1" applyAlignment="1">
      <alignment horizontal="center" vertical="center"/>
    </xf>
    <xf numFmtId="0" fontId="121" fillId="0" borderId="25" xfId="0" applyFont="1" applyBorder="1" applyAlignment="1">
      <alignment horizontal="center" vertical="center" wrapText="1"/>
    </xf>
    <xf numFmtId="43" fontId="122" fillId="0" borderId="0" xfId="403" applyFont="1" applyAlignment="1">
      <alignment vertical="center"/>
    </xf>
    <xf numFmtId="0" fontId="121" fillId="0" borderId="62" xfId="0" applyFont="1" applyBorder="1" applyAlignment="1">
      <alignment horizontal="center" vertical="center"/>
    </xf>
    <xf numFmtId="0" fontId="121" fillId="0" borderId="58" xfId="0" applyFont="1" applyBorder="1" applyAlignment="1">
      <alignment vertical="center"/>
    </xf>
    <xf numFmtId="0" fontId="121" fillId="0" borderId="63" xfId="0" applyFont="1" applyBorder="1" applyAlignment="1">
      <alignment vertical="center"/>
    </xf>
    <xf numFmtId="0" fontId="121" fillId="0" borderId="0" xfId="0" applyFont="1" applyAlignment="1">
      <alignment vertical="center"/>
    </xf>
    <xf numFmtId="0" fontId="122" fillId="0" borderId="26" xfId="0" applyFont="1" applyBorder="1" applyAlignment="1">
      <alignment horizontal="center" vertical="center"/>
    </xf>
    <xf numFmtId="0" fontId="122" fillId="0" borderId="60" xfId="0" applyFont="1" applyBorder="1" applyAlignment="1">
      <alignment vertical="center" wrapText="1"/>
    </xf>
    <xf numFmtId="179" fontId="122" fillId="0" borderId="60" xfId="403" applyNumberFormat="1" applyFont="1" applyBorder="1" applyAlignment="1">
      <alignment horizontal="center" vertical="center"/>
    </xf>
    <xf numFmtId="179" fontId="122" fillId="0" borderId="60" xfId="403" applyNumberFormat="1" applyFont="1" applyBorder="1" applyAlignment="1">
      <alignment horizontal="right" vertical="center"/>
    </xf>
    <xf numFmtId="0" fontId="122" fillId="0" borderId="32" xfId="0" applyFont="1" applyBorder="1" applyAlignment="1">
      <alignment horizontal="center" vertical="center"/>
    </xf>
    <xf numFmtId="179" fontId="122" fillId="0" borderId="0" xfId="0" applyNumberFormat="1" applyFont="1" applyAlignment="1">
      <alignment vertical="center"/>
    </xf>
    <xf numFmtId="0" fontId="121" fillId="0" borderId="26" xfId="0" applyFont="1" applyBorder="1" applyAlignment="1">
      <alignment horizontal="center" vertical="center"/>
    </xf>
    <xf numFmtId="179" fontId="121" fillId="0" borderId="60" xfId="403" applyNumberFormat="1" applyFont="1" applyBorder="1" applyAlignment="1">
      <alignment horizontal="center" vertical="center"/>
    </xf>
    <xf numFmtId="0" fontId="121" fillId="0" borderId="32" xfId="0" applyFont="1" applyBorder="1" applyAlignment="1">
      <alignment horizontal="center" vertical="center"/>
    </xf>
    <xf numFmtId="179" fontId="121" fillId="0" borderId="0" xfId="0" applyNumberFormat="1" applyFont="1" applyAlignment="1">
      <alignment vertical="center"/>
    </xf>
    <xf numFmtId="0" fontId="122" fillId="0" borderId="29" xfId="0" applyFont="1" applyBorder="1" applyAlignment="1">
      <alignment vertical="center"/>
    </xf>
    <xf numFmtId="0" fontId="122" fillId="0" borderId="30" xfId="0" applyFont="1" applyBorder="1" applyAlignment="1">
      <alignment vertical="center" wrapText="1"/>
    </xf>
    <xf numFmtId="179" fontId="122" fillId="0" borderId="30" xfId="403" applyNumberFormat="1" applyFont="1" applyBorder="1" applyAlignment="1">
      <alignment horizontal="center" vertical="center"/>
    </xf>
    <xf numFmtId="179" fontId="122" fillId="0" borderId="30" xfId="403" applyNumberFormat="1" applyFont="1" applyBorder="1" applyAlignment="1">
      <alignment horizontal="right" vertical="center"/>
    </xf>
    <xf numFmtId="0" fontId="122" fillId="0" borderId="31" xfId="0" applyFont="1" applyBorder="1" applyAlignment="1">
      <alignment horizontal="center" vertical="center"/>
    </xf>
    <xf numFmtId="179" fontId="11" fillId="0" borderId="0" xfId="348" applyNumberFormat="1" applyFont="1"/>
    <xf numFmtId="179" fontId="12" fillId="0" borderId="0" xfId="348" applyNumberFormat="1" applyFont="1"/>
    <xf numFmtId="179" fontId="0" fillId="0" borderId="0" xfId="348" applyNumberFormat="1" applyFont="1"/>
    <xf numFmtId="179" fontId="0" fillId="0" borderId="0" xfId="348" applyNumberFormat="1" applyFont="1" applyAlignment="1">
      <alignment horizontal="right"/>
    </xf>
    <xf numFmtId="179" fontId="3" fillId="0" borderId="0" xfId="2" applyNumberFormat="1" applyFont="1" applyAlignment="1">
      <alignment horizontal="center" vertical="center"/>
    </xf>
    <xf numFmtId="179" fontId="11" fillId="0" borderId="11" xfId="348" applyNumberFormat="1" applyFont="1" applyBorder="1" applyAlignment="1">
      <alignment horizontal="center" vertical="center" wrapText="1"/>
    </xf>
    <xf numFmtId="179" fontId="0" fillId="0" borderId="11" xfId="348" applyNumberFormat="1" applyFont="1" applyBorder="1" applyAlignment="1">
      <alignment shrinkToFit="1"/>
    </xf>
    <xf numFmtId="38" fontId="0" fillId="0" borderId="11" xfId="348" applyNumberFormat="1" applyFont="1" applyBorder="1"/>
    <xf numFmtId="38" fontId="0" fillId="0" borderId="11" xfId="348" applyNumberFormat="1" applyFont="1" applyBorder="1" applyAlignment="1">
      <alignment horizontal="center"/>
    </xf>
    <xf numFmtId="179" fontId="4" fillId="0" borderId="11" xfId="348" applyNumberFormat="1" applyFont="1" applyBorder="1" applyAlignment="1">
      <alignment shrinkToFit="1"/>
    </xf>
    <xf numFmtId="9" fontId="0" fillId="0" borderId="11" xfId="3" applyFont="1" applyBorder="1" applyAlignment="1">
      <alignment horizontal="center"/>
    </xf>
    <xf numFmtId="179" fontId="11" fillId="0" borderId="0" xfId="348" applyNumberFormat="1" applyFont="1" applyBorder="1" applyAlignment="1">
      <alignment shrinkToFit="1"/>
    </xf>
    <xf numFmtId="9" fontId="0" fillId="0" borderId="0" xfId="348" applyNumberFormat="1" applyFont="1" applyBorder="1"/>
    <xf numFmtId="0" fontId="248" fillId="0" borderId="0" xfId="0" applyFont="1"/>
    <xf numFmtId="179" fontId="4" fillId="0" borderId="0" xfId="348" applyNumberFormat="1" applyFont="1" applyAlignment="1">
      <alignment horizontal="right"/>
    </xf>
    <xf numFmtId="179" fontId="0" fillId="0" borderId="11" xfId="348" applyNumberFormat="1" applyFont="1" applyBorder="1"/>
    <xf numFmtId="179" fontId="11" fillId="0" borderId="11" xfId="348" applyNumberFormat="1" applyFont="1" applyBorder="1"/>
    <xf numFmtId="0" fontId="4" fillId="0" borderId="11" xfId="348" applyNumberFormat="1" applyFont="1" applyBorder="1" applyAlignment="1">
      <alignment vertical="justify" wrapText="1"/>
    </xf>
    <xf numFmtId="179" fontId="0" fillId="0" borderId="11" xfId="348" applyNumberFormat="1" applyFont="1" applyBorder="1" applyAlignment="1">
      <alignment vertical="center"/>
    </xf>
    <xf numFmtId="38" fontId="0" fillId="0" borderId="11" xfId="348" applyNumberFormat="1" applyFont="1" applyBorder="1" applyAlignment="1">
      <alignment horizontal="center" vertical="center"/>
    </xf>
    <xf numFmtId="179" fontId="4" fillId="0" borderId="11" xfId="348" applyNumberFormat="1" applyFont="1" applyBorder="1"/>
    <xf numFmtId="179" fontId="0" fillId="0" borderId="0" xfId="348" applyNumberFormat="1" applyFont="1" applyBorder="1"/>
    <xf numFmtId="179" fontId="0" fillId="0" borderId="0" xfId="348" applyNumberFormat="1" applyFont="1" applyBorder="1" applyAlignment="1">
      <alignment horizontal="center"/>
    </xf>
    <xf numFmtId="0" fontId="0" fillId="0" borderId="0" xfId="0" applyAlignment="1">
      <alignment vertical="justify" wrapText="1"/>
    </xf>
    <xf numFmtId="9" fontId="0" fillId="0" borderId="11" xfId="348" applyNumberFormat="1" applyFont="1" applyBorder="1"/>
    <xf numFmtId="179" fontId="0" fillId="0" borderId="11" xfId="348" applyNumberFormat="1" applyFont="1" applyBorder="1" applyAlignment="1">
      <alignment horizontal="center"/>
    </xf>
    <xf numFmtId="0" fontId="0" fillId="0" borderId="0" xfId="348" applyNumberFormat="1" applyFont="1" applyAlignment="1">
      <alignment vertical="justify" wrapText="1"/>
    </xf>
    <xf numFmtId="2" fontId="11" fillId="0" borderId="0" xfId="348" applyNumberFormat="1" applyFont="1" applyAlignment="1">
      <alignment vertical="justify" wrapText="1"/>
    </xf>
    <xf numFmtId="2" fontId="4" fillId="0" borderId="0" xfId="348" applyNumberFormat="1" applyFont="1" applyAlignment="1">
      <alignment vertical="justify" wrapText="1"/>
    </xf>
    <xf numFmtId="179" fontId="11" fillId="0" borderId="0" xfId="348" applyNumberFormat="1" applyFont="1" applyBorder="1"/>
    <xf numFmtId="179" fontId="4" fillId="0" borderId="11" xfId="348" applyNumberFormat="1" applyFont="1" applyBorder="1" applyAlignment="1">
      <alignment horizontal="center" vertical="center" wrapText="1"/>
    </xf>
    <xf numFmtId="179" fontId="4" fillId="0" borderId="0" xfId="348" applyNumberFormat="1" applyFont="1"/>
    <xf numFmtId="179" fontId="0" fillId="0" borderId="0" xfId="348" applyNumberFormat="1" applyFont="1" applyBorder="1" applyAlignment="1">
      <alignment shrinkToFit="1"/>
    </xf>
    <xf numFmtId="179" fontId="4" fillId="0" borderId="0" xfId="348" applyNumberFormat="1" applyFont="1" applyBorder="1" applyAlignment="1">
      <alignment shrinkToFit="1"/>
    </xf>
    <xf numFmtId="179" fontId="11" fillId="0" borderId="0" xfId="348" applyNumberFormat="1" applyFont="1" applyAlignment="1">
      <alignment vertical="justify" wrapText="1"/>
    </xf>
    <xf numFmtId="179" fontId="0" fillId="0" borderId="0" xfId="348" applyNumberFormat="1" applyFont="1" applyAlignment="1">
      <alignment vertical="justify" wrapText="1"/>
    </xf>
    <xf numFmtId="179" fontId="11" fillId="0" borderId="0" xfId="348" applyNumberFormat="1" applyFont="1" applyBorder="1" applyAlignment="1">
      <alignment horizontal="center" vertical="center" wrapText="1"/>
    </xf>
    <xf numFmtId="38" fontId="11" fillId="0" borderId="58" xfId="0" applyNumberFormat="1" applyFont="1" applyBorder="1" applyAlignment="1">
      <alignment vertical="center"/>
    </xf>
    <xf numFmtId="0" fontId="12" fillId="0" borderId="60" xfId="0" applyFont="1" applyBorder="1" applyAlignment="1">
      <alignment horizontal="center" vertical="center" wrapText="1"/>
    </xf>
    <xf numFmtId="0" fontId="12" fillId="0" borderId="60" xfId="0" applyFont="1" applyBorder="1" applyAlignment="1">
      <alignment vertical="center" wrapText="1"/>
    </xf>
    <xf numFmtId="38" fontId="12" fillId="0" borderId="60" xfId="0" applyNumberFormat="1" applyFont="1" applyBorder="1" applyAlignment="1">
      <alignment vertical="center"/>
    </xf>
    <xf numFmtId="0" fontId="12" fillId="0" borderId="0" xfId="0" applyFont="1"/>
    <xf numFmtId="38" fontId="11" fillId="0" borderId="60" xfId="0" applyNumberFormat="1" applyFont="1" applyBorder="1" applyAlignment="1">
      <alignment vertical="center"/>
    </xf>
    <xf numFmtId="0" fontId="19" fillId="0" borderId="60" xfId="0" applyFont="1" applyBorder="1" applyAlignment="1">
      <alignment vertical="center" wrapText="1"/>
    </xf>
    <xf numFmtId="38" fontId="19" fillId="0" borderId="60" xfId="0" applyNumberFormat="1" applyFont="1" applyBorder="1" applyAlignment="1">
      <alignment vertical="center"/>
    </xf>
    <xf numFmtId="0" fontId="19" fillId="0" borderId="0" xfId="0" applyFont="1"/>
    <xf numFmtId="0" fontId="19" fillId="0" borderId="60" xfId="0" applyFont="1" applyBorder="1"/>
    <xf numFmtId="0" fontId="0" fillId="0" borderId="60" xfId="0" applyBorder="1" applyAlignment="1">
      <alignment horizontal="center" vertical="center" wrapText="1"/>
    </xf>
    <xf numFmtId="38" fontId="0" fillId="0" borderId="60" xfId="0" applyNumberFormat="1" applyBorder="1" applyAlignment="1">
      <alignment vertical="center"/>
    </xf>
    <xf numFmtId="0" fontId="249" fillId="0" borderId="60" xfId="411" applyFont="1" applyBorder="1" applyAlignment="1">
      <alignment vertical="center" wrapText="1"/>
    </xf>
    <xf numFmtId="38" fontId="4" fillId="0" borderId="60" xfId="0" applyNumberFormat="1" applyFont="1" applyBorder="1" applyAlignment="1">
      <alignment vertical="center"/>
    </xf>
    <xf numFmtId="0" fontId="19" fillId="0" borderId="13" xfId="0" applyFont="1" applyBorder="1" applyAlignment="1">
      <alignment horizontal="center" vertical="center" wrapText="1"/>
    </xf>
    <xf numFmtId="0" fontId="19" fillId="0" borderId="13" xfId="0" applyFont="1" applyBorder="1" applyAlignment="1">
      <alignment vertical="center" wrapText="1"/>
    </xf>
    <xf numFmtId="38" fontId="19" fillId="0" borderId="13" xfId="0" applyNumberFormat="1" applyFont="1" applyBorder="1" applyAlignment="1">
      <alignment vertical="center"/>
    </xf>
    <xf numFmtId="0" fontId="4" fillId="0" borderId="0" xfId="411" applyFont="1" applyAlignment="1">
      <alignment vertical="center" wrapText="1"/>
    </xf>
    <xf numFmtId="38" fontId="0" fillId="0" borderId="0" xfId="0" applyNumberFormat="1" applyAlignment="1">
      <alignment vertical="center"/>
    </xf>
    <xf numFmtId="38" fontId="0" fillId="0" borderId="0" xfId="0" applyNumberFormat="1"/>
    <xf numFmtId="0" fontId="4" fillId="0" borderId="0" xfId="347" applyFont="1" applyAlignment="1">
      <alignment horizontal="center" wrapText="1"/>
    </xf>
    <xf numFmtId="0" fontId="4" fillId="0" borderId="0" xfId="347" applyFont="1" applyAlignment="1">
      <alignment horizontal="left" wrapText="1"/>
    </xf>
    <xf numFmtId="0" fontId="4" fillId="0" borderId="0" xfId="347" applyFont="1" applyAlignment="1">
      <alignment horizontal="right" wrapText="1"/>
    </xf>
    <xf numFmtId="0" fontId="11" fillId="0" borderId="0" xfId="347" applyFont="1" applyAlignment="1">
      <alignment horizontal="right" wrapText="1"/>
    </xf>
    <xf numFmtId="0" fontId="4" fillId="0" borderId="0" xfId="347" applyFont="1" applyAlignment="1">
      <alignment wrapText="1"/>
    </xf>
    <xf numFmtId="0" fontId="4" fillId="3" borderId="0" xfId="347" applyFont="1" applyFill="1" applyAlignment="1">
      <alignment wrapText="1"/>
    </xf>
    <xf numFmtId="0" fontId="11" fillId="0" borderId="0" xfId="347" applyFont="1" applyAlignment="1">
      <alignment wrapText="1"/>
    </xf>
    <xf numFmtId="0" fontId="11" fillId="0" borderId="0" xfId="347" applyFont="1" applyAlignment="1">
      <alignment horizontal="left" wrapText="1"/>
    </xf>
    <xf numFmtId="0" fontId="19" fillId="0" borderId="133" xfId="347" applyFont="1" applyBorder="1" applyAlignment="1">
      <alignment horizontal="right" wrapText="1"/>
    </xf>
    <xf numFmtId="0" fontId="3" fillId="0" borderId="11" xfId="2" applyFont="1" applyBorder="1" applyAlignment="1">
      <alignment horizontal="center" vertical="top" wrapText="1"/>
    </xf>
    <xf numFmtId="0" fontId="11" fillId="0" borderId="11" xfId="347" applyFont="1" applyBorder="1" applyAlignment="1">
      <alignment horizontal="center" vertical="top" wrapText="1"/>
    </xf>
    <xf numFmtId="0" fontId="11" fillId="0" borderId="11" xfId="347" applyFont="1" applyBorder="1" applyAlignment="1">
      <alignment horizontal="center" vertical="center"/>
    </xf>
    <xf numFmtId="0" fontId="4" fillId="0" borderId="11" xfId="347" applyFont="1" applyBorder="1" applyAlignment="1">
      <alignment horizontal="center" wrapText="1"/>
    </xf>
    <xf numFmtId="0" fontId="4" fillId="0" borderId="8" xfId="347" applyFont="1" applyBorder="1" applyAlignment="1">
      <alignment horizontal="center" wrapText="1"/>
    </xf>
    <xf numFmtId="0" fontId="11" fillId="0" borderId="58" xfId="347" applyFont="1" applyBorder="1" applyAlignment="1">
      <alignment horizontal="center" wrapText="1"/>
    </xf>
    <xf numFmtId="0" fontId="11" fillId="0" borderId="58" xfId="347" applyFont="1" applyBorder="1" applyAlignment="1">
      <alignment horizontal="left" wrapText="1"/>
    </xf>
    <xf numFmtId="3" fontId="12" fillId="0" borderId="58" xfId="347" applyNumberFormat="1" applyFont="1" applyBorder="1" applyAlignment="1">
      <alignment wrapText="1"/>
    </xf>
    <xf numFmtId="0" fontId="4" fillId="0" borderId="58" xfId="347" applyFont="1" applyBorder="1" applyAlignment="1">
      <alignment horizontal="center" wrapText="1"/>
    </xf>
    <xf numFmtId="3" fontId="11" fillId="0" borderId="0" xfId="347" applyNumberFormat="1" applyFont="1" applyAlignment="1">
      <alignment wrapText="1"/>
    </xf>
    <xf numFmtId="10" fontId="11" fillId="0" borderId="0" xfId="3" applyNumberFormat="1" applyFont="1" applyFill="1" applyAlignment="1">
      <alignment wrapText="1"/>
    </xf>
    <xf numFmtId="0" fontId="4" fillId="0" borderId="14" xfId="347" applyFont="1" applyBorder="1" applyAlignment="1">
      <alignment horizontal="center" wrapText="1"/>
    </xf>
    <xf numFmtId="0" fontId="4" fillId="0" borderId="60" xfId="347" applyFont="1" applyBorder="1" applyAlignment="1">
      <alignment vertical="top" wrapText="1"/>
    </xf>
    <xf numFmtId="3" fontId="4" fillId="0" borderId="14" xfId="347" applyNumberFormat="1" applyFont="1" applyBorder="1" applyAlignment="1">
      <alignment wrapText="1"/>
    </xf>
    <xf numFmtId="0" fontId="4" fillId="0" borderId="60" xfId="347" quotePrefix="1" applyFont="1" applyBorder="1" applyAlignment="1">
      <alignment vertical="top" wrapText="1"/>
    </xf>
    <xf numFmtId="0" fontId="12" fillId="0" borderId="60" xfId="347" applyFont="1" applyBorder="1" applyAlignment="1">
      <alignment horizontal="center" vertical="top" wrapText="1"/>
    </xf>
    <xf numFmtId="0" fontId="12" fillId="0" borderId="60" xfId="347" applyFont="1" applyBorder="1" applyAlignment="1">
      <alignment vertical="top" wrapText="1"/>
    </xf>
    <xf numFmtId="3" fontId="12" fillId="0" borderId="60" xfId="347" applyNumberFormat="1" applyFont="1" applyBorder="1" applyAlignment="1">
      <alignment vertical="top" wrapText="1"/>
    </xf>
    <xf numFmtId="3" fontId="4" fillId="0" borderId="60" xfId="347" applyNumberFormat="1" applyFont="1" applyBorder="1" applyAlignment="1">
      <alignment vertical="top" wrapText="1"/>
    </xf>
    <xf numFmtId="0" fontId="11" fillId="0" borderId="11" xfId="347" applyFont="1" applyBorder="1" applyAlignment="1">
      <alignment wrapText="1"/>
    </xf>
    <xf numFmtId="0" fontId="11" fillId="0" borderId="11" xfId="347" applyFont="1" applyBorder="1"/>
    <xf numFmtId="3" fontId="12" fillId="0" borderId="60" xfId="347" applyNumberFormat="1" applyFont="1" applyBorder="1" applyAlignment="1">
      <alignment horizontal="left" vertical="top" wrapText="1"/>
    </xf>
    <xf numFmtId="164" fontId="11" fillId="0" borderId="14" xfId="415" applyFont="1" applyFill="1" applyBorder="1" applyAlignment="1">
      <alignment wrapText="1"/>
    </xf>
    <xf numFmtId="175" fontId="11" fillId="0" borderId="14" xfId="347" applyNumberFormat="1" applyFont="1" applyBorder="1" applyAlignment="1">
      <alignment wrapText="1"/>
    </xf>
    <xf numFmtId="0" fontId="11" fillId="0" borderId="14" xfId="347" applyFont="1" applyBorder="1" applyAlignment="1">
      <alignment wrapText="1"/>
    </xf>
    <xf numFmtId="164" fontId="4" fillId="0" borderId="60" xfId="415" applyFont="1" applyFill="1" applyBorder="1" applyAlignment="1">
      <alignment wrapText="1"/>
    </xf>
    <xf numFmtId="175" fontId="4" fillId="0" borderId="60" xfId="347" applyNumberFormat="1" applyFont="1" applyBorder="1" applyAlignment="1">
      <alignment wrapText="1"/>
    </xf>
    <xf numFmtId="0" fontId="4" fillId="0" borderId="60" xfId="347" applyFont="1" applyBorder="1" applyAlignment="1">
      <alignment wrapText="1"/>
    </xf>
    <xf numFmtId="0" fontId="4" fillId="0" borderId="60" xfId="347" applyFont="1" applyBorder="1" applyAlignment="1">
      <alignment horizontal="center" vertical="top" wrapText="1"/>
    </xf>
    <xf numFmtId="0" fontId="4" fillId="0" borderId="60" xfId="347" applyFont="1" applyBorder="1"/>
    <xf numFmtId="164" fontId="4" fillId="0" borderId="60" xfId="415" applyFont="1" applyFill="1" applyBorder="1" applyAlignment="1"/>
    <xf numFmtId="175" fontId="4" fillId="0" borderId="60" xfId="347" applyNumberFormat="1" applyFont="1" applyBorder="1"/>
    <xf numFmtId="0" fontId="222" fillId="0" borderId="60" xfId="347" applyFont="1" applyBorder="1" applyAlignment="1">
      <alignment horizontal="center" vertical="top" wrapText="1"/>
    </xf>
    <xf numFmtId="3" fontId="222" fillId="0" borderId="60" xfId="347" applyNumberFormat="1" applyFont="1" applyBorder="1" applyAlignment="1">
      <alignment vertical="top" wrapText="1"/>
    </xf>
    <xf numFmtId="0" fontId="11" fillId="0" borderId="13" xfId="347" applyFont="1" applyBorder="1"/>
    <xf numFmtId="175" fontId="11" fillId="0" borderId="13" xfId="347" applyNumberFormat="1" applyFont="1" applyBorder="1"/>
    <xf numFmtId="164" fontId="11" fillId="0" borderId="13" xfId="415" applyFont="1" applyFill="1" applyBorder="1" applyAlignment="1"/>
    <xf numFmtId="0" fontId="4" fillId="0" borderId="60" xfId="347" applyFont="1" applyBorder="1" applyAlignment="1">
      <alignment horizontal="center" vertical="center" wrapText="1"/>
    </xf>
    <xf numFmtId="3" fontId="4" fillId="0" borderId="60" xfId="347" applyNumberFormat="1" applyFont="1" applyBorder="1" applyAlignment="1">
      <alignment vertical="center" wrapText="1"/>
    </xf>
    <xf numFmtId="0" fontId="4" fillId="0" borderId="0" xfId="347" applyFont="1" applyAlignment="1">
      <alignment horizontal="center" vertical="center" wrapText="1"/>
    </xf>
    <xf numFmtId="0" fontId="4" fillId="0" borderId="13" xfId="347" applyFont="1" applyBorder="1" applyAlignment="1">
      <alignment horizontal="center" vertical="center" wrapText="1"/>
    </xf>
    <xf numFmtId="0" fontId="4" fillId="0" borderId="13" xfId="347" applyFont="1" applyBorder="1" applyAlignment="1">
      <alignment horizontal="left" vertical="center" wrapText="1"/>
    </xf>
    <xf numFmtId="0" fontId="4" fillId="0" borderId="13" xfId="347" applyFont="1" applyBorder="1" applyAlignment="1">
      <alignment horizontal="right" vertical="center" wrapText="1"/>
    </xf>
    <xf numFmtId="0" fontId="4" fillId="0" borderId="0" xfId="347" applyFont="1" applyAlignment="1">
      <alignment horizontal="left" vertical="center" wrapText="1"/>
    </xf>
    <xf numFmtId="0" fontId="4" fillId="0" borderId="0" xfId="347" applyFont="1" applyAlignment="1">
      <alignment horizontal="right" vertical="center" wrapText="1"/>
    </xf>
    <xf numFmtId="3" fontId="4" fillId="0" borderId="0" xfId="347" applyNumberFormat="1" applyFont="1" applyAlignment="1">
      <alignment horizontal="center" wrapText="1"/>
    </xf>
    <xf numFmtId="0" fontId="250" fillId="0" borderId="0" xfId="0" applyFont="1" applyAlignment="1">
      <alignment vertical="center"/>
    </xf>
    <xf numFmtId="0" fontId="251" fillId="0" borderId="0" xfId="0" applyFont="1"/>
    <xf numFmtId="0" fontId="250" fillId="0" borderId="103" xfId="0" applyFont="1" applyBorder="1" applyAlignment="1">
      <alignment horizontal="center" vertical="center"/>
    </xf>
    <xf numFmtId="0" fontId="250" fillId="0" borderId="0" xfId="0" applyFont="1" applyAlignment="1">
      <alignment horizontal="center" vertical="center"/>
    </xf>
    <xf numFmtId="0" fontId="250" fillId="0" borderId="103" xfId="0" applyFont="1" applyBorder="1" applyAlignment="1">
      <alignment horizontal="right" vertical="center"/>
    </xf>
    <xf numFmtId="0" fontId="123" fillId="29" borderId="97" xfId="0" applyFont="1" applyFill="1" applyBorder="1" applyAlignment="1">
      <alignment horizontal="center" vertical="center" shrinkToFit="1"/>
    </xf>
    <xf numFmtId="0" fontId="123" fillId="29" borderId="210" xfId="0" applyFont="1" applyFill="1" applyBorder="1" applyAlignment="1">
      <alignment horizontal="center" vertical="center" shrinkToFit="1"/>
    </xf>
    <xf numFmtId="0" fontId="123" fillId="29" borderId="213" xfId="0" applyFont="1" applyFill="1" applyBorder="1" applyAlignment="1">
      <alignment horizontal="center" vertical="center" shrinkToFit="1"/>
    </xf>
    <xf numFmtId="0" fontId="252" fillId="0" borderId="0" xfId="0" applyFont="1"/>
    <xf numFmtId="0" fontId="33" fillId="0" borderId="100" xfId="0" applyFont="1" applyBorder="1" applyAlignment="1">
      <alignment horizontal="center" vertical="center" wrapText="1"/>
    </xf>
    <xf numFmtId="0" fontId="33" fillId="0" borderId="100" xfId="0" applyFont="1" applyBorder="1" applyAlignment="1">
      <alignment vertical="center" wrapText="1"/>
    </xf>
    <xf numFmtId="38" fontId="33" fillId="0" borderId="100" xfId="0" applyNumberFormat="1" applyFont="1" applyBorder="1" applyAlignment="1">
      <alignment horizontal="center" vertical="center" shrinkToFit="1"/>
    </xf>
    <xf numFmtId="38" fontId="33" fillId="0" borderId="100" xfId="348" applyNumberFormat="1" applyFont="1" applyFill="1" applyBorder="1" applyAlignment="1">
      <alignment vertical="center" shrinkToFit="1"/>
    </xf>
    <xf numFmtId="0" fontId="30" fillId="0" borderId="100" xfId="0" applyFont="1" applyBorder="1" applyAlignment="1">
      <alignment vertical="center" wrapText="1"/>
    </xf>
    <xf numFmtId="38" fontId="30" fillId="0" borderId="100" xfId="0" applyNumberFormat="1" applyFont="1" applyBorder="1" applyAlignment="1">
      <alignment horizontal="center" vertical="center" shrinkToFit="1"/>
    </xf>
    <xf numFmtId="38" fontId="30" fillId="0" borderId="100" xfId="348" applyNumberFormat="1" applyFont="1" applyFill="1" applyBorder="1" applyAlignment="1">
      <alignment vertical="center" shrinkToFit="1"/>
    </xf>
    <xf numFmtId="0" fontId="253" fillId="0" borderId="0" xfId="0" applyFont="1"/>
    <xf numFmtId="0" fontId="254" fillId="0" borderId="0" xfId="0" applyFont="1"/>
    <xf numFmtId="0" fontId="255" fillId="0" borderId="100" xfId="0" applyFont="1" applyBorder="1" applyAlignment="1">
      <alignment horizontal="center" vertical="center" wrapText="1"/>
    </xf>
    <xf numFmtId="0" fontId="173" fillId="0" borderId="100" xfId="0" applyFont="1" applyBorder="1" applyAlignment="1">
      <alignment vertical="center" wrapText="1"/>
    </xf>
    <xf numFmtId="38" fontId="173" fillId="0" borderId="100" xfId="0" applyNumberFormat="1" applyFont="1" applyBorder="1" applyAlignment="1">
      <alignment horizontal="center" vertical="center" shrinkToFit="1"/>
    </xf>
    <xf numFmtId="38" fontId="173" fillId="0" borderId="100" xfId="348" applyNumberFormat="1" applyFont="1" applyFill="1" applyBorder="1" applyAlignment="1">
      <alignment vertical="center" shrinkToFit="1"/>
    </xf>
    <xf numFmtId="0" fontId="256" fillId="0" borderId="0" xfId="0" applyFont="1"/>
    <xf numFmtId="0" fontId="257" fillId="0" borderId="0" xfId="0" applyFont="1"/>
    <xf numFmtId="0" fontId="33" fillId="0" borderId="210" xfId="0" applyFont="1" applyBorder="1" applyAlignment="1">
      <alignment horizontal="center" vertical="center" wrapText="1"/>
    </xf>
    <xf numFmtId="0" fontId="30" fillId="0" borderId="210" xfId="0" applyFont="1" applyBorder="1" applyAlignment="1">
      <alignment vertical="center" wrapText="1"/>
    </xf>
    <xf numFmtId="38" fontId="30" fillId="0" borderId="210" xfId="0" applyNumberFormat="1" applyFont="1" applyBorder="1" applyAlignment="1">
      <alignment horizontal="center" vertical="center" shrinkToFit="1"/>
    </xf>
    <xf numFmtId="38" fontId="30" fillId="0" borderId="210" xfId="348" applyNumberFormat="1" applyFont="1" applyFill="1" applyBorder="1" applyAlignment="1">
      <alignment vertical="center" shrinkToFit="1"/>
    </xf>
    <xf numFmtId="0" fontId="33" fillId="0" borderId="11" xfId="0" applyFont="1" applyBorder="1" applyAlignment="1">
      <alignment horizontal="center" vertical="center" wrapText="1"/>
    </xf>
    <xf numFmtId="0" fontId="30" fillId="0" borderId="11" xfId="0" applyFont="1" applyBorder="1" applyAlignment="1">
      <alignment vertical="center" wrapText="1"/>
    </xf>
    <xf numFmtId="38" fontId="30" fillId="0" borderId="11" xfId="0" applyNumberFormat="1" applyFont="1" applyBorder="1" applyAlignment="1">
      <alignment horizontal="center" vertical="center" shrinkToFit="1"/>
    </xf>
    <xf numFmtId="38" fontId="30" fillId="0" borderId="11" xfId="348" applyNumberFormat="1" applyFont="1" applyFill="1" applyBorder="1" applyAlignment="1">
      <alignment vertical="center" shrinkToFit="1"/>
    </xf>
    <xf numFmtId="170" fontId="120" fillId="0" borderId="0" xfId="1" applyNumberFormat="1" applyFont="1" applyAlignment="1">
      <alignment shrinkToFit="1"/>
    </xf>
    <xf numFmtId="170" fontId="142" fillId="0" borderId="0" xfId="1" applyNumberFormat="1" applyFont="1" applyAlignment="1">
      <alignment shrinkToFit="1"/>
    </xf>
    <xf numFmtId="179" fontId="142" fillId="3" borderId="0" xfId="1" applyNumberFormat="1" applyFont="1" applyFill="1" applyAlignment="1">
      <alignment shrinkToFit="1"/>
    </xf>
    <xf numFmtId="219" fontId="130" fillId="0" borderId="20" xfId="411" applyNumberFormat="1" applyFont="1" applyBorder="1" applyAlignment="1">
      <alignment vertical="center"/>
    </xf>
    <xf numFmtId="219" fontId="130" fillId="0" borderId="60" xfId="411" applyNumberFormat="1" applyFont="1" applyBorder="1" applyAlignment="1">
      <alignment vertical="center"/>
    </xf>
    <xf numFmtId="0" fontId="122" fillId="0" borderId="2" xfId="0" applyFont="1" applyBorder="1"/>
    <xf numFmtId="166" fontId="129" fillId="0" borderId="19" xfId="411" applyNumberFormat="1" applyFont="1" applyBorder="1" applyAlignment="1">
      <alignment vertical="center"/>
    </xf>
    <xf numFmtId="0" fontId="32" fillId="0" borderId="6" xfId="0" applyFont="1" applyBorder="1"/>
    <xf numFmtId="3" fontId="119" fillId="0" borderId="60" xfId="1" applyNumberFormat="1" applyFont="1" applyFill="1" applyBorder="1"/>
    <xf numFmtId="166" fontId="141" fillId="0" borderId="60" xfId="0" applyNumberFormat="1" applyFont="1" applyBorder="1" applyAlignment="1">
      <alignment horizontal="right" shrinkToFit="1"/>
    </xf>
    <xf numFmtId="166" fontId="213" fillId="0" borderId="60" xfId="411" applyNumberFormat="1" applyFont="1" applyBorder="1" applyAlignment="1">
      <alignment vertical="center"/>
    </xf>
    <xf numFmtId="166" fontId="213" fillId="0" borderId="20" xfId="411" applyNumberFormat="1" applyFont="1" applyBorder="1" applyAlignment="1">
      <alignment vertical="center"/>
    </xf>
    <xf numFmtId="166" fontId="141" fillId="0" borderId="60" xfId="411" applyNumberFormat="1" applyFont="1" applyBorder="1" applyAlignment="1">
      <alignment vertical="center"/>
    </xf>
    <xf numFmtId="166" fontId="214" fillId="0" borderId="20" xfId="411" applyNumberFormat="1" applyFont="1" applyBorder="1" applyAlignment="1">
      <alignment vertical="center"/>
    </xf>
    <xf numFmtId="166" fontId="150" fillId="0" borderId="60" xfId="411" applyNumberFormat="1" applyFont="1" applyBorder="1" applyAlignment="1">
      <alignment vertical="center"/>
    </xf>
    <xf numFmtId="166" fontId="214" fillId="0" borderId="60" xfId="411" applyNumberFormat="1" applyFont="1" applyBorder="1" applyAlignment="1">
      <alignment vertical="center"/>
    </xf>
    <xf numFmtId="166" fontId="141" fillId="0" borderId="20" xfId="411" applyNumberFormat="1" applyFont="1" applyBorder="1" applyAlignment="1">
      <alignment vertical="center"/>
    </xf>
    <xf numFmtId="3" fontId="122" fillId="0" borderId="60" xfId="1" applyNumberFormat="1" applyFont="1" applyFill="1" applyBorder="1" applyAlignment="1">
      <alignment horizontal="right" vertical="center"/>
    </xf>
    <xf numFmtId="169" fontId="120" fillId="0" borderId="0" xfId="1" applyNumberFormat="1" applyFont="1" applyAlignment="1">
      <alignment shrinkToFit="1"/>
    </xf>
    <xf numFmtId="9" fontId="120" fillId="0" borderId="0" xfId="0" applyNumberFormat="1" applyFont="1" applyAlignment="1">
      <alignment shrinkToFit="1"/>
    </xf>
    <xf numFmtId="169" fontId="17" fillId="0" borderId="0" xfId="1" applyNumberFormat="1" applyFont="1" applyAlignment="1">
      <alignment shrinkToFit="1"/>
    </xf>
    <xf numFmtId="173" fontId="120" fillId="0" borderId="0" xfId="3" applyNumberFormat="1" applyFont="1" applyAlignment="1">
      <alignment shrinkToFit="1"/>
    </xf>
    <xf numFmtId="3" fontId="116" fillId="0" borderId="60" xfId="0" applyNumberFormat="1" applyFont="1" applyBorder="1" applyAlignment="1">
      <alignment horizontal="justify" vertical="justify" wrapText="1" shrinkToFit="1"/>
    </xf>
    <xf numFmtId="3" fontId="205" fillId="0" borderId="60" xfId="0" applyNumberFormat="1" applyFont="1" applyBorder="1" applyAlignment="1">
      <alignment horizontal="justify" vertical="justify" wrapText="1" shrinkToFit="1"/>
    </xf>
    <xf numFmtId="0" fontId="121" fillId="0" borderId="60" xfId="0" applyFont="1" applyBorder="1" applyAlignment="1">
      <alignment vertical="center" wrapText="1"/>
    </xf>
    <xf numFmtId="3" fontId="129" fillId="0" borderId="60" xfId="0" applyNumberFormat="1" applyFont="1" applyBorder="1" applyAlignment="1">
      <alignment horizontal="justify" vertical="justify" wrapText="1" shrinkToFit="1"/>
    </xf>
    <xf numFmtId="0" fontId="260" fillId="0" borderId="60" xfId="0" applyFont="1" applyBorder="1" applyAlignment="1">
      <alignment horizontal="left" vertical="center" wrapText="1"/>
    </xf>
    <xf numFmtId="3" fontId="122" fillId="0" borderId="20" xfId="0" applyNumberFormat="1" applyFont="1" applyBorder="1" applyAlignment="1">
      <alignment horizontal="right" vertical="center"/>
    </xf>
    <xf numFmtId="169" fontId="32" fillId="0" borderId="0" xfId="1" applyNumberFormat="1" applyFont="1" applyAlignment="1">
      <alignment horizontal="center" vertical="center"/>
    </xf>
    <xf numFmtId="169" fontId="32" fillId="0" borderId="0" xfId="0" applyNumberFormat="1" applyFont="1" applyAlignment="1">
      <alignment horizontal="center" vertical="center"/>
    </xf>
    <xf numFmtId="3" fontId="120" fillId="0" borderId="0" xfId="0" applyNumberFormat="1" applyFont="1" applyAlignment="1">
      <alignment horizontal="center" vertical="center"/>
    </xf>
    <xf numFmtId="3" fontId="112" fillId="0" borderId="60" xfId="0" applyNumberFormat="1" applyFont="1" applyBorder="1" applyAlignment="1">
      <alignment horizontal="right" vertical="center" shrinkToFit="1"/>
    </xf>
    <xf numFmtId="171" fontId="112" fillId="0" borderId="60" xfId="0" applyNumberFormat="1" applyFont="1" applyBorder="1" applyAlignment="1">
      <alignment horizontal="right" vertical="center" shrinkToFit="1"/>
    </xf>
    <xf numFmtId="219" fontId="120" fillId="0" borderId="0" xfId="0" applyNumberFormat="1" applyFont="1" applyAlignment="1">
      <alignment horizontal="center" vertical="center" wrapText="1"/>
    </xf>
    <xf numFmtId="10" fontId="32" fillId="0" borderId="0" xfId="3" applyNumberFormat="1" applyFont="1" applyAlignment="1">
      <alignment vertical="center"/>
    </xf>
    <xf numFmtId="169" fontId="32" fillId="0" borderId="0" xfId="1" applyNumberFormat="1" applyFont="1" applyFill="1" applyAlignment="1">
      <alignment horizontal="right"/>
    </xf>
    <xf numFmtId="166" fontId="120" fillId="0" borderId="0" xfId="0" applyNumberFormat="1" applyFont="1" applyAlignment="1">
      <alignment shrinkToFit="1"/>
    </xf>
    <xf numFmtId="228" fontId="15" fillId="0" borderId="60" xfId="381" applyNumberFormat="1" applyFont="1" applyBorder="1" applyAlignment="1">
      <alignment vertical="center" shrinkToFit="1"/>
    </xf>
    <xf numFmtId="166" fontId="122" fillId="0" borderId="60" xfId="0" applyNumberFormat="1" applyFont="1" applyBorder="1" applyAlignment="1">
      <alignment shrinkToFit="1"/>
    </xf>
    <xf numFmtId="166" fontId="213" fillId="0" borderId="60" xfId="0" applyNumberFormat="1" applyFont="1" applyBorder="1" applyAlignment="1">
      <alignment shrinkToFit="1"/>
    </xf>
    <xf numFmtId="166" fontId="141" fillId="0" borderId="60" xfId="0" applyNumberFormat="1" applyFont="1" applyBorder="1" applyAlignment="1">
      <alignment shrinkToFit="1"/>
    </xf>
    <xf numFmtId="166" fontId="213" fillId="0" borderId="13" xfId="0" applyNumberFormat="1" applyFont="1" applyBorder="1" applyAlignment="1">
      <alignment shrinkToFit="1"/>
    </xf>
    <xf numFmtId="219" fontId="213" fillId="0" borderId="58" xfId="0" applyNumberFormat="1" applyFont="1" applyBorder="1" applyAlignment="1">
      <alignment shrinkToFit="1"/>
    </xf>
    <xf numFmtId="171" fontId="112" fillId="0" borderId="0" xfId="3" applyNumberFormat="1" applyFont="1" applyFill="1"/>
    <xf numFmtId="170" fontId="112" fillId="0" borderId="0" xfId="1" applyNumberFormat="1" applyFont="1"/>
    <xf numFmtId="170" fontId="112" fillId="0" borderId="0" xfId="1" applyNumberFormat="1" applyFont="1" applyAlignment="1">
      <alignment shrinkToFit="1"/>
    </xf>
    <xf numFmtId="3" fontId="122" fillId="3" borderId="60" xfId="0" applyNumberFormat="1" applyFont="1" applyFill="1" applyBorder="1" applyAlignment="1">
      <alignment vertical="center" shrinkToFit="1"/>
    </xf>
    <xf numFmtId="170" fontId="122" fillId="0" borderId="0" xfId="1" applyNumberFormat="1" applyFont="1" applyAlignment="1">
      <alignment horizontal="right" shrinkToFit="1"/>
    </xf>
    <xf numFmtId="219" fontId="122" fillId="3" borderId="59" xfId="352" applyNumberFormat="1" applyFont="1" applyFill="1" applyBorder="1" applyAlignment="1">
      <alignment vertical="center" shrinkToFit="1"/>
    </xf>
    <xf numFmtId="219" fontId="121" fillId="3" borderId="26" xfId="352" applyNumberFormat="1" applyFont="1" applyFill="1" applyBorder="1" applyAlignment="1">
      <alignment vertical="center" shrinkToFit="1"/>
    </xf>
    <xf numFmtId="3" fontId="121" fillId="3" borderId="60" xfId="0" applyNumberFormat="1" applyFont="1" applyFill="1" applyBorder="1" applyAlignment="1">
      <alignment vertical="center" shrinkToFit="1"/>
    </xf>
    <xf numFmtId="3" fontId="194" fillId="0" borderId="60" xfId="0" applyNumberFormat="1" applyFont="1" applyBorder="1" applyAlignment="1">
      <alignment vertical="center" shrinkToFit="1"/>
    </xf>
    <xf numFmtId="3" fontId="144" fillId="0" borderId="60" xfId="0" applyNumberFormat="1" applyFont="1" applyBorder="1" applyAlignment="1">
      <alignment vertical="center" shrinkToFit="1"/>
    </xf>
    <xf numFmtId="3" fontId="193" fillId="0" borderId="0" xfId="0" applyNumberFormat="1" applyFont="1"/>
    <xf numFmtId="219" fontId="121" fillId="3" borderId="60" xfId="352" applyNumberFormat="1" applyFont="1" applyFill="1" applyBorder="1" applyAlignment="1">
      <alignment vertical="center" shrinkToFit="1"/>
    </xf>
    <xf numFmtId="219" fontId="142" fillId="3" borderId="60" xfId="352" applyNumberFormat="1" applyFont="1" applyFill="1" applyBorder="1" applyAlignment="1">
      <alignment vertical="center" shrinkToFit="1"/>
    </xf>
    <xf numFmtId="170" fontId="120" fillId="0" borderId="0" xfId="1" applyNumberFormat="1" applyFont="1" applyFill="1"/>
    <xf numFmtId="219" fontId="142" fillId="0" borderId="0" xfId="352" applyNumberFormat="1" applyFont="1"/>
    <xf numFmtId="169" fontId="120" fillId="0" borderId="0" xfId="1" applyNumberFormat="1" applyFont="1" applyFill="1" applyAlignment="1">
      <alignment horizontal="right"/>
    </xf>
    <xf numFmtId="169" fontId="32" fillId="0" borderId="0" xfId="1" applyNumberFormat="1" applyFont="1" applyFill="1"/>
    <xf numFmtId="170" fontId="120" fillId="0" borderId="0" xfId="352" applyNumberFormat="1" applyFont="1"/>
    <xf numFmtId="179" fontId="212" fillId="0" borderId="58" xfId="0" applyNumberFormat="1" applyFont="1" applyBorder="1" applyAlignment="1">
      <alignment horizontal="center" vertical="center"/>
    </xf>
    <xf numFmtId="179" fontId="212" fillId="0" borderId="60" xfId="0" applyNumberFormat="1" applyFont="1" applyBorder="1" applyAlignment="1">
      <alignment horizontal="center" vertical="center"/>
    </xf>
    <xf numFmtId="179" fontId="212" fillId="0" borderId="13" xfId="0" applyNumberFormat="1" applyFont="1" applyBorder="1" applyAlignment="1">
      <alignment horizontal="center" vertical="center"/>
    </xf>
    <xf numFmtId="3" fontId="149" fillId="34" borderId="11" xfId="403" applyNumberFormat="1" applyFont="1" applyFill="1" applyBorder="1" applyAlignment="1">
      <alignment horizontal="center" vertical="center" shrinkToFit="1"/>
    </xf>
    <xf numFmtId="3" fontId="120" fillId="0" borderId="0" xfId="0" applyNumberFormat="1" applyFont="1" applyAlignment="1">
      <alignment horizontal="right" vertical="center" shrinkToFit="1"/>
    </xf>
    <xf numFmtId="3" fontId="32" fillId="0" borderId="0" xfId="0" applyNumberFormat="1" applyFont="1" applyAlignment="1">
      <alignment horizontal="right" vertical="center" shrinkToFit="1"/>
    </xf>
    <xf numFmtId="3" fontId="32" fillId="0" borderId="0" xfId="1" applyNumberFormat="1" applyFont="1" applyAlignment="1">
      <alignment horizontal="right" vertical="center" shrinkToFit="1"/>
    </xf>
    <xf numFmtId="3" fontId="32" fillId="0" borderId="0" xfId="0" applyNumberFormat="1" applyFont="1" applyAlignment="1">
      <alignment horizontal="right" vertical="center"/>
    </xf>
    <xf numFmtId="166" fontId="129" fillId="0" borderId="60" xfId="0" applyNumberFormat="1" applyFont="1" applyBorder="1" applyAlignment="1">
      <alignment shrinkToFit="1"/>
    </xf>
    <xf numFmtId="166" fontId="135" fillId="0" borderId="60" xfId="0" applyNumberFormat="1" applyFont="1" applyBorder="1" applyAlignment="1">
      <alignment shrinkToFit="1"/>
    </xf>
    <xf numFmtId="166" fontId="129" fillId="0" borderId="13" xfId="0" applyNumberFormat="1" applyFont="1" applyBorder="1" applyAlignment="1">
      <alignment shrinkToFit="1"/>
    </xf>
    <xf numFmtId="219" fontId="129" fillId="0" borderId="58" xfId="0" applyNumberFormat="1" applyFont="1" applyBorder="1" applyAlignment="1">
      <alignment shrinkToFit="1"/>
    </xf>
    <xf numFmtId="166" fontId="121" fillId="0" borderId="60" xfId="0" applyNumberFormat="1" applyFont="1" applyBorder="1" applyAlignment="1">
      <alignment shrinkToFit="1"/>
    </xf>
    <xf numFmtId="166" fontId="129" fillId="0" borderId="60" xfId="0" applyNumberFormat="1" applyFont="1" applyBorder="1" applyAlignment="1">
      <alignment horizontal="right" shrinkToFit="1"/>
    </xf>
    <xf numFmtId="219" fontId="126" fillId="0" borderId="60" xfId="352" applyNumberFormat="1" applyFont="1" applyBorder="1" applyAlignment="1">
      <alignment vertical="center" shrinkToFit="1"/>
    </xf>
    <xf numFmtId="219" fontId="126" fillId="0" borderId="60" xfId="403" applyNumberFormat="1" applyFont="1" applyFill="1" applyBorder="1" applyAlignment="1">
      <alignment vertical="center" shrinkToFit="1"/>
    </xf>
    <xf numFmtId="219" fontId="126" fillId="0" borderId="32" xfId="352" applyNumberFormat="1" applyFont="1" applyBorder="1" applyAlignment="1">
      <alignment vertical="center" shrinkToFit="1"/>
    </xf>
    <xf numFmtId="4" fontId="121" fillId="0" borderId="60" xfId="0" applyNumberFormat="1" applyFont="1" applyBorder="1" applyAlignment="1">
      <alignment horizontal="justify" vertical="center" shrinkToFit="1"/>
    </xf>
    <xf numFmtId="49" fontId="121" fillId="0" borderId="60" xfId="352" applyNumberFormat="1" applyFont="1" applyBorder="1" applyAlignment="1">
      <alignment horizontal="justify" vertical="center" wrapText="1" shrinkToFit="1"/>
    </xf>
    <xf numFmtId="220" fontId="121" fillId="0" borderId="60" xfId="351" applyNumberFormat="1" applyFont="1" applyBorder="1" applyAlignment="1">
      <alignment horizontal="justify" vertical="center" wrapText="1"/>
    </xf>
    <xf numFmtId="0" fontId="141" fillId="0" borderId="26" xfId="352" applyFont="1" applyBorder="1" applyAlignment="1">
      <alignment horizontal="center" vertical="center"/>
    </xf>
    <xf numFmtId="4" fontId="141" fillId="0" borderId="60" xfId="352" applyNumberFormat="1" applyFont="1" applyBorder="1" applyAlignment="1">
      <alignment horizontal="justify" vertical="center" shrinkToFit="1"/>
    </xf>
    <xf numFmtId="219" fontId="141" fillId="0" borderId="60" xfId="403" applyNumberFormat="1" applyFont="1" applyFill="1" applyBorder="1" applyAlignment="1">
      <alignment vertical="center" shrinkToFit="1"/>
    </xf>
    <xf numFmtId="219" fontId="141" fillId="0" borderId="32" xfId="352" applyNumberFormat="1" applyFont="1" applyBorder="1" applyAlignment="1">
      <alignment vertical="center" shrinkToFit="1"/>
    </xf>
    <xf numFmtId="219" fontId="141" fillId="0" borderId="26" xfId="352" applyNumberFormat="1" applyFont="1" applyBorder="1" applyAlignment="1">
      <alignment vertical="center" shrinkToFit="1"/>
    </xf>
    <xf numFmtId="219" fontId="141" fillId="0" borderId="59" xfId="352" applyNumberFormat="1" applyFont="1" applyBorder="1" applyAlignment="1">
      <alignment vertical="center" shrinkToFit="1"/>
    </xf>
    <xf numFmtId="219" fontId="142" fillId="0" borderId="60" xfId="403" applyNumberFormat="1" applyFont="1" applyFill="1" applyBorder="1" applyAlignment="1">
      <alignment vertical="center" shrinkToFit="1"/>
    </xf>
    <xf numFmtId="0" fontId="141" fillId="0" borderId="0" xfId="352" applyFont="1" applyAlignment="1">
      <alignment horizontal="center" vertical="center"/>
    </xf>
    <xf numFmtId="219" fontId="150" fillId="0" borderId="60" xfId="403" applyNumberFormat="1" applyFont="1" applyFill="1" applyBorder="1" applyAlignment="1">
      <alignment vertical="center" shrinkToFit="1"/>
    </xf>
    <xf numFmtId="219" fontId="150" fillId="0" borderId="32" xfId="352" applyNumberFormat="1" applyFont="1" applyBorder="1" applyAlignment="1">
      <alignment vertical="center" shrinkToFit="1"/>
    </xf>
    <xf numFmtId="179" fontId="120" fillId="0" borderId="0" xfId="352" applyNumberFormat="1" applyFont="1" applyAlignment="1">
      <alignment horizontal="right" vertical="center"/>
    </xf>
    <xf numFmtId="3" fontId="120" fillId="0" borderId="17" xfId="0" applyNumberFormat="1" applyFont="1" applyBorder="1" applyAlignment="1">
      <alignment horizontal="center" vertical="center" shrinkToFit="1"/>
    </xf>
    <xf numFmtId="166" fontId="122" fillId="0" borderId="60" xfId="0" applyNumberFormat="1" applyFont="1" applyBorder="1" applyAlignment="1">
      <alignment horizontal="right" vertical="center" shrinkToFit="1"/>
    </xf>
    <xf numFmtId="220" fontId="120" fillId="0" borderId="11" xfId="351" applyNumberFormat="1" applyFont="1" applyBorder="1" applyAlignment="1">
      <alignment horizontal="center" vertical="center" wrapText="1"/>
    </xf>
    <xf numFmtId="49" fontId="120" fillId="0" borderId="11" xfId="352" applyNumberFormat="1" applyFont="1" applyBorder="1" applyAlignment="1">
      <alignment horizontal="center" vertical="center" wrapText="1" shrinkToFit="1"/>
    </xf>
    <xf numFmtId="3" fontId="121" fillId="0" borderId="131" xfId="0" applyNumberFormat="1" applyFont="1" applyBorder="1" applyAlignment="1">
      <alignment horizontal="center" vertical="center" shrinkToFit="1"/>
    </xf>
    <xf numFmtId="0" fontId="32" fillId="0" borderId="2" xfId="0" applyFont="1" applyBorder="1" applyAlignment="1">
      <alignment horizontal="center" vertical="center"/>
    </xf>
    <xf numFmtId="3" fontId="122" fillId="0" borderId="58" xfId="0" applyNumberFormat="1" applyFont="1" applyBorder="1" applyAlignment="1">
      <alignment horizontal="right" vertical="center" shrinkToFit="1"/>
    </xf>
    <xf numFmtId="0" fontId="122" fillId="0" borderId="58" xfId="0" applyFont="1" applyBorder="1" applyAlignment="1">
      <alignment vertical="center"/>
    </xf>
    <xf numFmtId="3" fontId="122" fillId="0" borderId="13" xfId="0" applyNumberFormat="1" applyFont="1" applyBorder="1" applyAlignment="1">
      <alignment horizontal="right" vertical="center" shrinkToFit="1"/>
    </xf>
    <xf numFmtId="0" fontId="122" fillId="0" borderId="13" xfId="0" applyFont="1" applyBorder="1" applyAlignment="1">
      <alignment vertical="center"/>
    </xf>
    <xf numFmtId="0" fontId="120" fillId="0" borderId="18" xfId="0" applyFont="1" applyBorder="1" applyAlignment="1">
      <alignment horizontal="center"/>
    </xf>
    <xf numFmtId="0" fontId="121" fillId="0" borderId="64" xfId="0" applyFont="1" applyBorder="1" applyAlignment="1">
      <alignment horizontal="center" vertical="center"/>
    </xf>
    <xf numFmtId="3" fontId="121" fillId="0" borderId="17" xfId="0" applyNumberFormat="1" applyFont="1" applyBorder="1" applyAlignment="1">
      <alignment horizontal="center" vertical="center" shrinkToFit="1"/>
    </xf>
    <xf numFmtId="179" fontId="32" fillId="0" borderId="0" xfId="1" applyNumberFormat="1" applyFont="1" applyAlignment="1">
      <alignment shrinkToFit="1"/>
    </xf>
    <xf numFmtId="179" fontId="32" fillId="0" borderId="0" xfId="1" applyNumberFormat="1" applyFont="1" applyFill="1" applyAlignment="1">
      <alignment vertical="center" shrinkToFit="1"/>
    </xf>
    <xf numFmtId="179" fontId="32" fillId="0" borderId="0" xfId="1" applyNumberFormat="1" applyFont="1" applyFill="1" applyAlignment="1">
      <alignment shrinkToFit="1"/>
    </xf>
    <xf numFmtId="3" fontId="129" fillId="0" borderId="216" xfId="0" applyNumberFormat="1" applyFont="1" applyBorder="1" applyAlignment="1">
      <alignment vertical="center" wrapText="1" shrinkToFit="1"/>
    </xf>
    <xf numFmtId="3" fontId="129" fillId="0" borderId="217" xfId="0" applyNumberFormat="1" applyFont="1" applyBorder="1" applyAlignment="1">
      <alignment vertical="center" wrapText="1" shrinkToFit="1"/>
    </xf>
    <xf numFmtId="0" fontId="113" fillId="27" borderId="149" xfId="0" applyFont="1" applyFill="1" applyBorder="1" applyAlignment="1">
      <alignment horizontal="center" vertical="center"/>
    </xf>
    <xf numFmtId="3" fontId="133" fillId="27" borderId="150" xfId="0" applyNumberFormat="1" applyFont="1" applyFill="1" applyBorder="1" applyAlignment="1">
      <alignment vertical="center" shrinkToFit="1"/>
    </xf>
    <xf numFmtId="3" fontId="133" fillId="27" borderId="59" xfId="0" applyNumberFormat="1" applyFont="1" applyFill="1" applyBorder="1" applyAlignment="1">
      <alignment vertical="center" shrinkToFit="1"/>
    </xf>
    <xf numFmtId="3" fontId="113" fillId="27" borderId="59" xfId="0" applyNumberFormat="1" applyFont="1" applyFill="1" applyBorder="1" applyAlignment="1">
      <alignment vertical="center" shrinkToFit="1"/>
    </xf>
    <xf numFmtId="3" fontId="112" fillId="27" borderId="59" xfId="0" applyNumberFormat="1" applyFont="1" applyFill="1" applyBorder="1" applyAlignment="1">
      <alignment vertical="center" shrinkToFit="1"/>
    </xf>
    <xf numFmtId="0" fontId="129" fillId="27" borderId="2" xfId="0" applyFont="1" applyFill="1" applyBorder="1" applyAlignment="1">
      <alignment horizontal="center" vertical="center"/>
    </xf>
    <xf numFmtId="0" fontId="130" fillId="27" borderId="58" xfId="0" applyFont="1" applyFill="1" applyBorder="1" applyAlignment="1">
      <alignment vertical="center" shrinkToFit="1"/>
    </xf>
    <xf numFmtId="3" fontId="133" fillId="27" borderId="19" xfId="0" applyNumberFormat="1" applyFont="1" applyFill="1" applyBorder="1" applyAlignment="1">
      <alignment vertical="center" shrinkToFit="1"/>
    </xf>
    <xf numFmtId="0" fontId="128" fillId="27" borderId="4" xfId="0" applyFont="1" applyFill="1" applyBorder="1" applyAlignment="1">
      <alignment horizontal="center" vertical="center"/>
    </xf>
    <xf numFmtId="0" fontId="128" fillId="27" borderId="60" xfId="0" applyFont="1" applyFill="1" applyBorder="1" applyAlignment="1">
      <alignment vertical="center" shrinkToFit="1"/>
    </xf>
    <xf numFmtId="0" fontId="120" fillId="27" borderId="4" xfId="0" applyFont="1" applyFill="1" applyBorder="1" applyAlignment="1">
      <alignment horizontal="center" vertical="center"/>
    </xf>
    <xf numFmtId="0" fontId="120" fillId="27" borderId="60" xfId="0" applyFont="1" applyFill="1" applyBorder="1" applyAlignment="1">
      <alignment vertical="center" shrinkToFit="1"/>
    </xf>
    <xf numFmtId="3" fontId="113" fillId="27" borderId="20" xfId="0" applyNumberFormat="1" applyFont="1" applyFill="1" applyBorder="1" applyAlignment="1">
      <alignment vertical="center" shrinkToFit="1"/>
    </xf>
    <xf numFmtId="0" fontId="134" fillId="27" borderId="4" xfId="0" applyFont="1" applyFill="1" applyBorder="1" applyAlignment="1">
      <alignment horizontal="center" vertical="center"/>
    </xf>
    <xf numFmtId="0" fontId="134" fillId="27" borderId="60" xfId="0" applyFont="1" applyFill="1" applyBorder="1" applyAlignment="1">
      <alignment vertical="center" shrinkToFit="1"/>
    </xf>
    <xf numFmtId="0" fontId="134" fillId="27" borderId="60" xfId="0" applyFont="1" applyFill="1" applyBorder="1" applyAlignment="1">
      <alignment horizontal="left" vertical="center" shrinkToFit="1"/>
    </xf>
    <xf numFmtId="3" fontId="120" fillId="27" borderId="60" xfId="0" applyNumberFormat="1" applyFont="1" applyFill="1" applyBorder="1" applyAlignment="1">
      <alignment vertical="center" shrinkToFit="1"/>
    </xf>
    <xf numFmtId="3" fontId="32" fillId="27" borderId="4" xfId="0" applyNumberFormat="1" applyFont="1" applyFill="1" applyBorder="1" applyAlignment="1">
      <alignment horizontal="center" vertical="center" shrinkToFit="1"/>
    </xf>
    <xf numFmtId="3" fontId="32" fillId="27" borderId="60" xfId="0" applyNumberFormat="1" applyFont="1" applyFill="1" applyBorder="1" applyAlignment="1">
      <alignment horizontal="justify" vertical="center" wrapText="1" shrinkToFit="1"/>
    </xf>
    <xf numFmtId="3" fontId="32" fillId="27" borderId="60" xfId="0" applyNumberFormat="1" applyFont="1" applyFill="1" applyBorder="1" applyAlignment="1">
      <alignment vertical="center" shrinkToFit="1"/>
    </xf>
    <xf numFmtId="0" fontId="130" fillId="27" borderId="4" xfId="0" applyFont="1" applyFill="1" applyBorder="1" applyAlignment="1">
      <alignment horizontal="center" vertical="center"/>
    </xf>
    <xf numFmtId="0" fontId="130" fillId="27" borderId="60" xfId="0" applyFont="1" applyFill="1" applyBorder="1" applyAlignment="1">
      <alignment vertical="center" shrinkToFit="1"/>
    </xf>
    <xf numFmtId="0" fontId="32" fillId="27" borderId="4" xfId="0" applyFont="1" applyFill="1" applyBorder="1" applyAlignment="1">
      <alignment horizontal="center" vertical="center"/>
    </xf>
    <xf numFmtId="0" fontId="32" fillId="27" borderId="60" xfId="0" applyFont="1" applyFill="1" applyBorder="1" applyAlignment="1">
      <alignment vertical="center" shrinkToFit="1"/>
    </xf>
    <xf numFmtId="0" fontId="116" fillId="0" borderId="4" xfId="0" applyFont="1" applyBorder="1" applyAlignment="1">
      <alignment horizontal="center" vertical="center"/>
    </xf>
    <xf numFmtId="3" fontId="113" fillId="27" borderId="60" xfId="0" applyNumberFormat="1" applyFont="1" applyFill="1" applyBorder="1" applyAlignment="1">
      <alignment vertical="center"/>
    </xf>
    <xf numFmtId="0" fontId="112" fillId="27" borderId="60" xfId="0" applyFont="1" applyFill="1" applyBorder="1" applyAlignment="1">
      <alignment vertical="center"/>
    </xf>
    <xf numFmtId="3" fontId="112" fillId="27" borderId="60" xfId="0" applyNumberFormat="1" applyFont="1" applyFill="1" applyBorder="1" applyAlignment="1">
      <alignment vertical="center"/>
    </xf>
    <xf numFmtId="0" fontId="32" fillId="27" borderId="60" xfId="0" applyFont="1" applyFill="1" applyBorder="1" applyAlignment="1">
      <alignment horizontal="left" vertical="center" shrinkToFit="1"/>
    </xf>
    <xf numFmtId="0" fontId="120" fillId="27" borderId="4" xfId="0" applyFont="1" applyFill="1" applyBorder="1" applyAlignment="1">
      <alignment horizontal="center"/>
    </xf>
    <xf numFmtId="3" fontId="120" fillId="27" borderId="60" xfId="0" applyNumberFormat="1" applyFont="1" applyFill="1" applyBorder="1" applyAlignment="1">
      <alignment wrapText="1" shrinkToFit="1"/>
    </xf>
    <xf numFmtId="0" fontId="113" fillId="27" borderId="60" xfId="0" applyFont="1" applyFill="1" applyBorder="1"/>
    <xf numFmtId="3" fontId="113" fillId="27" borderId="60" xfId="0" applyNumberFormat="1" applyFont="1" applyFill="1" applyBorder="1"/>
    <xf numFmtId="3" fontId="121" fillId="27" borderId="60" xfId="0" applyNumberFormat="1" applyFont="1" applyFill="1" applyBorder="1" applyAlignment="1">
      <alignment shrinkToFit="1"/>
    </xf>
    <xf numFmtId="0" fontId="120" fillId="27" borderId="60" xfId="0" applyFont="1" applyFill="1" applyBorder="1" applyAlignment="1">
      <alignment shrinkToFit="1"/>
    </xf>
    <xf numFmtId="0" fontId="120" fillId="27" borderId="4" xfId="0" applyFont="1" applyFill="1" applyBorder="1" applyAlignment="1">
      <alignment horizontal="center" shrinkToFit="1"/>
    </xf>
    <xf numFmtId="3" fontId="122" fillId="27" borderId="60" xfId="0" applyNumberFormat="1" applyFont="1" applyFill="1" applyBorder="1" applyAlignment="1">
      <alignment vertical="center" shrinkToFit="1"/>
    </xf>
    <xf numFmtId="3" fontId="120" fillId="27" borderId="60" xfId="0" applyNumberFormat="1" applyFont="1" applyFill="1" applyBorder="1" applyAlignment="1">
      <alignment vertical="center" wrapText="1"/>
    </xf>
    <xf numFmtId="0" fontId="130" fillId="27" borderId="60" xfId="0" applyFont="1" applyFill="1" applyBorder="1" applyAlignment="1">
      <alignment horizontal="center" vertical="center" shrinkToFit="1"/>
    </xf>
    <xf numFmtId="0" fontId="130" fillId="27" borderId="60" xfId="0" applyFont="1" applyFill="1" applyBorder="1" applyAlignment="1">
      <alignment horizontal="left" vertical="center" shrinkToFit="1"/>
    </xf>
    <xf numFmtId="3" fontId="129" fillId="0" borderId="147" xfId="0" applyNumberFormat="1" applyFont="1" applyBorder="1" applyAlignment="1">
      <alignment vertical="center" shrinkToFit="1"/>
    </xf>
    <xf numFmtId="0" fontId="129" fillId="0" borderId="60" xfId="0" applyFont="1" applyBorder="1" applyAlignment="1">
      <alignment horizontal="center" vertical="center" shrinkToFit="1"/>
    </xf>
    <xf numFmtId="3" fontId="113" fillId="0" borderId="6" xfId="0" applyNumberFormat="1" applyFont="1" applyBorder="1" applyAlignment="1">
      <alignment vertical="center" shrinkToFit="1"/>
    </xf>
    <xf numFmtId="3" fontId="112" fillId="0" borderId="6" xfId="0" applyNumberFormat="1" applyFont="1" applyBorder="1" applyAlignment="1">
      <alignment vertical="center" shrinkToFit="1"/>
    </xf>
    <xf numFmtId="3" fontId="122" fillId="0" borderId="6" xfId="0" applyNumberFormat="1" applyFont="1" applyBorder="1" applyAlignment="1">
      <alignment vertical="center" shrinkToFit="1"/>
    </xf>
    <xf numFmtId="3" fontId="142" fillId="0" borderId="6" xfId="0" applyNumberFormat="1" applyFont="1" applyBorder="1" applyAlignment="1">
      <alignment vertical="center"/>
    </xf>
    <xf numFmtId="3" fontId="121" fillId="0" borderId="6" xfId="0" applyNumberFormat="1" applyFont="1" applyBorder="1" applyAlignment="1">
      <alignment vertical="center"/>
    </xf>
    <xf numFmtId="3" fontId="122" fillId="0" borderId="21" xfId="0" applyNumberFormat="1" applyFont="1" applyBorder="1" applyAlignment="1">
      <alignment vertical="center"/>
    </xf>
    <xf numFmtId="0" fontId="129" fillId="0" borderId="175" xfId="0" applyFont="1" applyBorder="1" applyAlignment="1">
      <alignment horizontal="center"/>
    </xf>
    <xf numFmtId="0" fontId="129" fillId="0" borderId="14" xfId="0" applyFont="1" applyBorder="1" applyAlignment="1">
      <alignment vertical="center" shrinkToFit="1"/>
    </xf>
    <xf numFmtId="3" fontId="133" fillId="0" borderId="14" xfId="0" applyNumberFormat="1" applyFont="1" applyBorder="1" applyAlignment="1">
      <alignment vertical="center" shrinkToFit="1"/>
    </xf>
    <xf numFmtId="3" fontId="133" fillId="0" borderId="176" xfId="0" applyNumberFormat="1" applyFont="1" applyBorder="1" applyAlignment="1">
      <alignment vertical="center" shrinkToFit="1"/>
    </xf>
    <xf numFmtId="166" fontId="17" fillId="0" borderId="58" xfId="0" applyNumberFormat="1" applyFont="1" applyBorder="1" applyAlignment="1">
      <alignment vertical="center" wrapText="1" shrinkToFit="1"/>
    </xf>
    <xf numFmtId="166" fontId="17" fillId="0" borderId="60" xfId="0" applyNumberFormat="1" applyFont="1" applyBorder="1" applyAlignment="1">
      <alignment vertical="center" wrapText="1" shrinkToFit="1"/>
    </xf>
    <xf numFmtId="166" fontId="17" fillId="0" borderId="14" xfId="0" applyNumberFormat="1" applyFont="1" applyBorder="1" applyAlignment="1">
      <alignment vertical="center" wrapText="1" shrinkToFit="1"/>
    </xf>
    <xf numFmtId="3" fontId="17" fillId="0" borderId="58" xfId="0" applyNumberFormat="1" applyFont="1" applyBorder="1" applyAlignment="1">
      <alignment vertical="center" wrapText="1" shrinkToFit="1"/>
    </xf>
    <xf numFmtId="3" fontId="17" fillId="0" borderId="60" xfId="0" applyNumberFormat="1" applyFont="1" applyBorder="1" applyAlignment="1">
      <alignment vertical="center" wrapText="1" shrinkToFit="1"/>
    </xf>
    <xf numFmtId="0" fontId="17" fillId="0" borderId="60" xfId="0" applyFont="1" applyBorder="1" applyAlignment="1">
      <alignment vertical="center" wrapText="1"/>
    </xf>
    <xf numFmtId="0" fontId="17" fillId="0" borderId="13" xfId="0" applyFont="1" applyBorder="1" applyAlignment="1">
      <alignment vertical="center" wrapText="1"/>
    </xf>
    <xf numFmtId="3" fontId="17" fillId="0" borderId="13" xfId="0" applyNumberFormat="1" applyFont="1" applyBorder="1" applyAlignment="1">
      <alignment vertical="center" wrapText="1"/>
    </xf>
    <xf numFmtId="179" fontId="17" fillId="0" borderId="11" xfId="403" applyNumberFormat="1" applyFont="1" applyBorder="1" applyAlignment="1">
      <alignment vertical="center" wrapText="1"/>
    </xf>
    <xf numFmtId="0" fontId="17" fillId="0" borderId="11" xfId="0" applyFont="1" applyBorder="1" applyAlignment="1">
      <alignment vertical="center" wrapText="1"/>
    </xf>
    <xf numFmtId="217" fontId="17" fillId="0" borderId="0" xfId="403" applyNumberFormat="1" applyFont="1"/>
    <xf numFmtId="217" fontId="17" fillId="0" borderId="0" xfId="0" applyNumberFormat="1" applyFont="1"/>
    <xf numFmtId="3" fontId="142" fillId="0" borderId="20" xfId="0" applyNumberFormat="1" applyFont="1" applyBorder="1" applyAlignment="1">
      <alignment vertical="center"/>
    </xf>
    <xf numFmtId="3" fontId="141" fillId="0" borderId="20" xfId="0" applyNumberFormat="1" applyFont="1" applyBorder="1" applyAlignment="1">
      <alignment vertical="center"/>
    </xf>
    <xf numFmtId="0" fontId="213" fillId="0" borderId="0" xfId="0" applyFont="1"/>
    <xf numFmtId="3" fontId="205" fillId="0" borderId="60" xfId="0" applyNumberFormat="1" applyFont="1" applyBorder="1" applyAlignment="1">
      <alignment horizontal="justify" vertical="center" wrapText="1" shrinkToFit="1"/>
    </xf>
    <xf numFmtId="3" fontId="122" fillId="0" borderId="60" xfId="0" applyNumberFormat="1" applyFont="1" applyBorder="1" applyAlignment="1">
      <alignment horizontal="justify" vertical="justify" wrapText="1" shrinkToFit="1"/>
    </xf>
    <xf numFmtId="3" fontId="135" fillId="0" borderId="60" xfId="0" applyNumberFormat="1" applyFont="1" applyBorder="1" applyAlignment="1">
      <alignment horizontal="justify" vertical="center" wrapText="1" shrinkToFit="1"/>
    </xf>
    <xf numFmtId="3" fontId="150" fillId="0" borderId="60" xfId="0" applyNumberFormat="1" applyFont="1" applyBorder="1" applyAlignment="1">
      <alignment horizontal="justify" vertical="center" wrapText="1" shrinkToFit="1"/>
    </xf>
    <xf numFmtId="3" fontId="135" fillId="0" borderId="60" xfId="0" applyNumberFormat="1" applyFont="1" applyBorder="1" applyAlignment="1">
      <alignment horizontal="justify" vertical="center"/>
    </xf>
    <xf numFmtId="3" fontId="122" fillId="0" borderId="60" xfId="0" applyNumberFormat="1" applyFont="1" applyBorder="1" applyAlignment="1">
      <alignment horizontal="justify" vertical="center"/>
    </xf>
    <xf numFmtId="3" fontId="125" fillId="0" borderId="60" xfId="1" applyNumberFormat="1" applyFont="1" applyFill="1" applyBorder="1" applyAlignment="1">
      <alignment shrinkToFit="1"/>
    </xf>
    <xf numFmtId="172" fontId="125" fillId="0" borderId="60" xfId="0" applyNumberFormat="1" applyFont="1" applyBorder="1" applyAlignment="1">
      <alignment vertical="center" shrinkToFit="1"/>
    </xf>
    <xf numFmtId="171" fontId="125" fillId="0" borderId="60" xfId="0" applyNumberFormat="1" applyFont="1" applyBorder="1" applyAlignment="1">
      <alignment vertical="center" shrinkToFit="1"/>
    </xf>
    <xf numFmtId="173" fontId="125" fillId="0" borderId="60" xfId="3" applyNumberFormat="1" applyFont="1" applyFill="1" applyBorder="1" applyAlignment="1">
      <alignment vertical="center" shrinkToFit="1"/>
    </xf>
    <xf numFmtId="3" fontId="125" fillId="0" borderId="60" xfId="0" applyNumberFormat="1" applyFont="1" applyBorder="1" applyAlignment="1">
      <alignment horizontal="right" vertical="center" shrinkToFit="1"/>
    </xf>
    <xf numFmtId="171" fontId="125" fillId="0" borderId="60" xfId="0" applyNumberFormat="1" applyFont="1" applyBorder="1" applyAlignment="1">
      <alignment horizontal="right" vertical="center" shrinkToFit="1"/>
    </xf>
    <xf numFmtId="173" fontId="125" fillId="0" borderId="60" xfId="3" applyNumberFormat="1" applyFont="1" applyFill="1" applyBorder="1" applyAlignment="1">
      <alignment horizontal="right" vertical="center" shrinkToFit="1"/>
    </xf>
    <xf numFmtId="171" fontId="125" fillId="0" borderId="60" xfId="0" applyNumberFormat="1" applyFont="1" applyBorder="1" applyAlignment="1">
      <alignment shrinkToFit="1"/>
    </xf>
    <xf numFmtId="173" fontId="125" fillId="0" borderId="60" xfId="3" applyNumberFormat="1" applyFont="1" applyFill="1" applyBorder="1" applyAlignment="1">
      <alignment shrinkToFit="1"/>
    </xf>
    <xf numFmtId="173" fontId="125" fillId="0" borderId="60" xfId="1" applyNumberFormat="1" applyFont="1" applyFill="1" applyBorder="1" applyAlignment="1">
      <alignment shrinkToFit="1"/>
    </xf>
    <xf numFmtId="173" fontId="125" fillId="0" borderId="60" xfId="0" applyNumberFormat="1" applyFont="1" applyBorder="1" applyAlignment="1">
      <alignment shrinkToFit="1"/>
    </xf>
    <xf numFmtId="171" fontId="125" fillId="0" borderId="60" xfId="1" applyNumberFormat="1" applyFont="1" applyFill="1" applyBorder="1" applyAlignment="1">
      <alignment horizontal="right" shrinkToFit="1"/>
    </xf>
    <xf numFmtId="10" fontId="125" fillId="0" borderId="60" xfId="0" applyNumberFormat="1" applyFont="1" applyBorder="1" applyAlignment="1">
      <alignment shrinkToFit="1"/>
    </xf>
    <xf numFmtId="0" fontId="125" fillId="0" borderId="0" xfId="0" applyFont="1"/>
    <xf numFmtId="3" fontId="125" fillId="0" borderId="60" xfId="0" applyNumberFormat="1" applyFont="1" applyBorder="1" applyAlignment="1">
      <alignment horizontal="right" shrinkToFit="1"/>
    </xf>
    <xf numFmtId="0" fontId="205" fillId="0" borderId="60" xfId="0" applyFont="1" applyBorder="1" applyAlignment="1">
      <alignment vertical="center" wrapText="1"/>
    </xf>
    <xf numFmtId="219" fontId="130" fillId="0" borderId="0" xfId="0" applyNumberFormat="1" applyFont="1" applyAlignment="1">
      <alignment horizontal="right"/>
    </xf>
    <xf numFmtId="0" fontId="121" fillId="0" borderId="4" xfId="0" applyFont="1" applyBorder="1" applyAlignment="1">
      <alignment horizontal="center" vertical="center" wrapText="1"/>
    </xf>
    <xf numFmtId="3" fontId="112" fillId="0" borderId="4" xfId="0" applyNumberFormat="1" applyFont="1" applyBorder="1" applyAlignment="1">
      <alignment horizontal="center" vertical="center" wrapText="1" shrinkToFit="1"/>
    </xf>
    <xf numFmtId="3" fontId="112" fillId="0" borderId="4" xfId="0" applyNumberFormat="1" applyFont="1" applyBorder="1" applyAlignment="1">
      <alignment horizontal="center" vertical="center" shrinkToFit="1"/>
    </xf>
    <xf numFmtId="0" fontId="130" fillId="0" borderId="5" xfId="0" applyFont="1" applyBorder="1" applyAlignment="1">
      <alignment horizontal="center" vertical="center" wrapText="1"/>
    </xf>
    <xf numFmtId="3" fontId="130" fillId="0" borderId="6" xfId="0" applyNumberFormat="1" applyFont="1" applyBorder="1" applyAlignment="1">
      <alignment vertical="center" wrapText="1"/>
    </xf>
    <xf numFmtId="3" fontId="130" fillId="0" borderId="6" xfId="0" applyNumberFormat="1" applyFont="1" applyBorder="1" applyAlignment="1">
      <alignment vertical="center" shrinkToFit="1"/>
    </xf>
    <xf numFmtId="3" fontId="130" fillId="0" borderId="21" xfId="0" applyNumberFormat="1" applyFont="1" applyBorder="1" applyAlignment="1">
      <alignment vertical="center" shrinkToFit="1"/>
    </xf>
    <xf numFmtId="3" fontId="129" fillId="0" borderId="0" xfId="0" applyNumberFormat="1" applyFont="1" applyAlignment="1">
      <alignment horizontal="center" vertical="center" shrinkToFit="1"/>
    </xf>
    <xf numFmtId="3" fontId="129" fillId="0" borderId="0" xfId="0" applyNumberFormat="1" applyFont="1" applyAlignment="1">
      <alignment horizontal="right" vertical="center" shrinkToFit="1"/>
    </xf>
    <xf numFmtId="3" fontId="129" fillId="0" borderId="0" xfId="0" applyNumberFormat="1" applyFont="1" applyAlignment="1">
      <alignment vertical="center" shrinkToFit="1"/>
    </xf>
    <xf numFmtId="3" fontId="122" fillId="0" borderId="60" xfId="0" applyNumberFormat="1" applyFont="1" applyBorder="1" applyAlignment="1">
      <alignment horizontal="justify" vertical="center" shrinkToFit="1"/>
    </xf>
    <xf numFmtId="3" fontId="215" fillId="0" borderId="0" xfId="0" applyNumberFormat="1" applyFont="1" applyAlignment="1">
      <alignment vertical="center"/>
    </xf>
    <xf numFmtId="3" fontId="131" fillId="0" borderId="0" xfId="0" applyNumberFormat="1" applyFont="1" applyAlignment="1">
      <alignment vertical="center"/>
    </xf>
    <xf numFmtId="3" fontId="129" fillId="0" borderId="4" xfId="0" applyNumberFormat="1" applyFont="1" applyBorder="1" applyAlignment="1">
      <alignment horizontal="center" vertical="center" shrinkToFit="1"/>
    </xf>
    <xf numFmtId="3" fontId="129" fillId="0" borderId="60" xfId="0" applyNumberFormat="1" applyFont="1" applyBorder="1" applyAlignment="1">
      <alignment horizontal="justify" vertical="center" shrinkToFit="1"/>
    </xf>
    <xf numFmtId="219" fontId="121" fillId="0" borderId="0" xfId="0" applyNumberFormat="1" applyFont="1" applyAlignment="1">
      <alignment vertical="center" shrinkToFit="1"/>
    </xf>
    <xf numFmtId="219" fontId="121" fillId="0" borderId="0" xfId="0" applyNumberFormat="1" applyFont="1" applyAlignment="1">
      <alignment horizontal="right" vertical="center" shrinkToFit="1"/>
    </xf>
    <xf numFmtId="3" fontId="166" fillId="0" borderId="60" xfId="0" applyNumberFormat="1" applyFont="1" applyBorder="1" applyAlignment="1">
      <alignment vertical="center" shrinkToFit="1"/>
    </xf>
    <xf numFmtId="0" fontId="120" fillId="0" borderId="131" xfId="0" applyFont="1" applyBorder="1" applyAlignment="1">
      <alignment horizontal="center" vertical="center" shrinkToFit="1"/>
    </xf>
    <xf numFmtId="38" fontId="122" fillId="0" borderId="14" xfId="0" applyNumberFormat="1" applyFont="1" applyBorder="1" applyAlignment="1">
      <alignment horizontal="right" vertical="center" shrinkToFit="1"/>
    </xf>
    <xf numFmtId="219" fontId="122" fillId="0" borderId="176" xfId="0" applyNumberFormat="1" applyFont="1" applyBorder="1" applyAlignment="1">
      <alignment horizontal="right" vertical="center" shrinkToFit="1"/>
    </xf>
    <xf numFmtId="38" fontId="122" fillId="0" borderId="60" xfId="0" applyNumberFormat="1" applyFont="1" applyBorder="1" applyAlignment="1">
      <alignment horizontal="right" vertical="center" shrinkToFit="1"/>
    </xf>
    <xf numFmtId="219" fontId="122" fillId="0" borderId="60" xfId="0" applyNumberFormat="1" applyFont="1" applyBorder="1" applyAlignment="1">
      <alignment horizontal="right" vertical="center" shrinkToFit="1"/>
    </xf>
    <xf numFmtId="219" fontId="122" fillId="0" borderId="20" xfId="0" applyNumberFormat="1" applyFont="1" applyBorder="1" applyAlignment="1">
      <alignment horizontal="right" vertical="center" shrinkToFit="1"/>
    </xf>
    <xf numFmtId="219" fontId="122" fillId="0" borderId="60" xfId="0" applyNumberFormat="1" applyFont="1" applyBorder="1" applyAlignment="1">
      <alignment horizontal="right" vertical="center"/>
    </xf>
    <xf numFmtId="0" fontId="122" fillId="0" borderId="178" xfId="0" applyFont="1" applyBorder="1" applyAlignment="1">
      <alignment horizontal="center" vertical="center"/>
    </xf>
    <xf numFmtId="0" fontId="122" fillId="0" borderId="140" xfId="0" applyFont="1" applyBorder="1" applyAlignment="1">
      <alignment vertical="center" shrinkToFit="1"/>
    </xf>
    <xf numFmtId="38"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xf>
    <xf numFmtId="219" fontId="122" fillId="0" borderId="179" xfId="0" applyNumberFormat="1" applyFont="1" applyBorder="1" applyAlignment="1">
      <alignment horizontal="right" vertical="center" shrinkToFit="1"/>
    </xf>
    <xf numFmtId="219" fontId="121" fillId="0" borderId="183" xfId="0" applyNumberFormat="1" applyFont="1" applyBorder="1" applyAlignment="1">
      <alignment horizontal="right" vertical="center" shrinkToFit="1"/>
    </xf>
    <xf numFmtId="10" fontId="122" fillId="0" borderId="0" xfId="3" applyNumberFormat="1" applyFont="1" applyFill="1"/>
    <xf numFmtId="219" fontId="121" fillId="0" borderId="14" xfId="0" applyNumberFormat="1" applyFont="1" applyBorder="1" applyAlignment="1">
      <alignment horizontal="right" vertical="center" shrinkToFit="1"/>
    </xf>
    <xf numFmtId="219" fontId="121" fillId="0" borderId="60" xfId="0" applyNumberFormat="1" applyFont="1" applyBorder="1" applyAlignment="1">
      <alignment horizontal="right" vertical="center" shrinkToFit="1"/>
    </xf>
    <xf numFmtId="219" fontId="121" fillId="0" borderId="140" xfId="0" applyNumberFormat="1" applyFont="1" applyBorder="1" applyAlignment="1">
      <alignment horizontal="right" vertical="center" shrinkToFit="1"/>
    </xf>
    <xf numFmtId="219" fontId="121" fillId="0" borderId="14" xfId="0" applyNumberFormat="1" applyFont="1" applyBorder="1" applyAlignment="1">
      <alignment vertical="center" shrinkToFit="1"/>
    </xf>
    <xf numFmtId="219" fontId="121" fillId="0" borderId="140" xfId="0" applyNumberFormat="1" applyFont="1" applyBorder="1" applyAlignment="1">
      <alignment vertical="center" shrinkToFit="1"/>
    </xf>
    <xf numFmtId="0" fontId="122" fillId="0" borderId="2" xfId="0" applyFont="1" applyBorder="1" applyAlignment="1">
      <alignment horizontal="center" vertical="center"/>
    </xf>
    <xf numFmtId="0" fontId="122" fillId="0" borderId="58" xfId="0" applyFont="1" applyBorder="1" applyAlignment="1">
      <alignment vertical="center" shrinkToFit="1"/>
    </xf>
    <xf numFmtId="219" fontId="122" fillId="0" borderId="58" xfId="0" applyNumberFormat="1" applyFont="1" applyBorder="1" applyAlignment="1">
      <alignment vertical="center" shrinkToFit="1"/>
    </xf>
    <xf numFmtId="219" fontId="121" fillId="0" borderId="58" xfId="0" applyNumberFormat="1" applyFont="1" applyBorder="1" applyAlignment="1">
      <alignment vertical="center" shrinkToFit="1"/>
    </xf>
    <xf numFmtId="219" fontId="122" fillId="0" borderId="58" xfId="0" applyNumberFormat="1" applyFont="1" applyBorder="1" applyAlignment="1">
      <alignment horizontal="right" vertical="center" shrinkToFit="1"/>
    </xf>
    <xf numFmtId="3" fontId="122" fillId="0" borderId="58" xfId="403" applyNumberFormat="1" applyFont="1" applyFill="1" applyBorder="1" applyAlignment="1">
      <alignment vertical="center"/>
    </xf>
    <xf numFmtId="3" fontId="122" fillId="0" borderId="60" xfId="403" applyNumberFormat="1" applyFont="1" applyFill="1" applyBorder="1" applyAlignment="1">
      <alignment vertical="center"/>
    </xf>
    <xf numFmtId="219" fontId="122" fillId="0" borderId="13" xfId="0" applyNumberFormat="1" applyFont="1" applyBorder="1" applyAlignment="1">
      <alignment horizontal="right" vertical="center" shrinkToFit="1"/>
    </xf>
    <xf numFmtId="3" fontId="122" fillId="0" borderId="13" xfId="403" applyNumberFormat="1" applyFont="1" applyFill="1" applyBorder="1" applyAlignment="1">
      <alignment vertical="center"/>
    </xf>
    <xf numFmtId="0" fontId="121" fillId="0" borderId="218" xfId="0" applyFont="1" applyBorder="1" applyAlignment="1">
      <alignment vertical="center"/>
    </xf>
    <xf numFmtId="0" fontId="121" fillId="0" borderId="219" xfId="0" applyFont="1" applyBorder="1" applyAlignment="1">
      <alignment vertical="center"/>
    </xf>
    <xf numFmtId="219" fontId="121" fillId="0" borderId="219" xfId="0" applyNumberFormat="1" applyFont="1" applyBorder="1" applyAlignment="1">
      <alignment vertical="center" shrinkToFit="1"/>
    </xf>
    <xf numFmtId="219" fontId="121" fillId="0" borderId="219" xfId="0" applyNumberFormat="1" applyFont="1" applyBorder="1" applyAlignment="1">
      <alignment horizontal="right" vertical="center" shrinkToFit="1"/>
    </xf>
    <xf numFmtId="0" fontId="154" fillId="0" borderId="11" xfId="0" applyFont="1" applyBorder="1" applyAlignment="1">
      <alignment horizontal="center" vertical="center" wrapText="1"/>
    </xf>
    <xf numFmtId="0" fontId="120" fillId="0" borderId="17" xfId="0" applyFont="1" applyBorder="1"/>
    <xf numFmtId="0" fontId="122" fillId="0" borderId="60" xfId="0" applyFont="1" applyBorder="1" applyAlignment="1">
      <alignment horizontal="left" vertical="center" wrapText="1"/>
    </xf>
    <xf numFmtId="4" fontId="122" fillId="0" borderId="60" xfId="352" applyNumberFormat="1" applyFont="1" applyBorder="1" applyAlignment="1">
      <alignment horizontal="left" vertical="center" wrapText="1" shrinkToFit="1"/>
    </xf>
    <xf numFmtId="4" fontId="122" fillId="0" borderId="60" xfId="0" applyNumberFormat="1" applyFont="1" applyBorder="1" applyAlignment="1">
      <alignment horizontal="justify" vertical="center" shrinkToFit="1"/>
    </xf>
    <xf numFmtId="3" fontId="121" fillId="0" borderId="130" xfId="2" applyNumberFormat="1" applyFont="1" applyBorder="1" applyAlignment="1">
      <alignment horizontal="center" vertical="center" wrapText="1"/>
    </xf>
    <xf numFmtId="0" fontId="32" fillId="0" borderId="2" xfId="0" applyFont="1" applyBorder="1" applyAlignment="1">
      <alignment vertical="center"/>
    </xf>
    <xf numFmtId="179" fontId="120" fillId="0" borderId="19" xfId="403" applyNumberFormat="1" applyFont="1" applyBorder="1" applyAlignment="1">
      <alignment vertical="center"/>
    </xf>
    <xf numFmtId="179" fontId="120" fillId="0" borderId="20" xfId="403" applyNumberFormat="1" applyFont="1" applyBorder="1" applyAlignment="1">
      <alignment vertical="center"/>
    </xf>
    <xf numFmtId="179" fontId="122" fillId="0" borderId="20" xfId="403" applyNumberFormat="1" applyFont="1" applyBorder="1" applyAlignment="1">
      <alignment vertical="center"/>
    </xf>
    <xf numFmtId="0" fontId="32" fillId="0" borderId="5" xfId="0" applyFont="1" applyBorder="1" applyAlignment="1">
      <alignment horizontal="center" vertical="center"/>
    </xf>
    <xf numFmtId="0" fontId="32" fillId="0" borderId="6" xfId="0" applyFont="1" applyBorder="1" applyAlignment="1">
      <alignment horizontal="justify" vertical="center" wrapText="1"/>
    </xf>
    <xf numFmtId="179" fontId="122" fillId="0" borderId="21" xfId="403" applyNumberFormat="1" applyFont="1" applyBorder="1" applyAlignment="1">
      <alignment vertical="center"/>
    </xf>
    <xf numFmtId="220" fontId="32" fillId="0" borderId="60" xfId="351" applyNumberFormat="1" applyFont="1" applyBorder="1" applyAlignment="1">
      <alignment horizontal="left" vertical="center" wrapText="1"/>
    </xf>
    <xf numFmtId="3" fontId="130" fillId="0" borderId="2" xfId="0" applyNumberFormat="1" applyFont="1" applyBorder="1" applyAlignment="1">
      <alignment horizontal="center" shrinkToFit="1"/>
    </xf>
    <xf numFmtId="3" fontId="130" fillId="0" borderId="19" xfId="0" applyNumberFormat="1" applyFont="1" applyBorder="1"/>
    <xf numFmtId="3" fontId="156" fillId="0" borderId="4" xfId="0" applyNumberFormat="1" applyFont="1" applyBorder="1" applyAlignment="1">
      <alignment horizontal="center" shrinkToFit="1"/>
    </xf>
    <xf numFmtId="3" fontId="156" fillId="0" borderId="20" xfId="0" applyNumberFormat="1" applyFont="1" applyBorder="1"/>
    <xf numFmtId="3" fontId="130" fillId="0" borderId="4" xfId="0" applyNumberFormat="1" applyFont="1" applyBorder="1" applyAlignment="1">
      <alignment horizontal="center" shrinkToFit="1"/>
    </xf>
    <xf numFmtId="3" fontId="130" fillId="0" borderId="20" xfId="0" applyNumberFormat="1" applyFont="1" applyBorder="1"/>
    <xf numFmtId="3" fontId="32" fillId="0" borderId="4" xfId="0" applyNumberFormat="1" applyFont="1" applyBorder="1" applyAlignment="1">
      <alignment horizontal="center" shrinkToFit="1"/>
    </xf>
    <xf numFmtId="3" fontId="141" fillId="0" borderId="20" xfId="0" applyNumberFormat="1" applyFont="1" applyBorder="1"/>
    <xf numFmtId="3" fontId="120" fillId="0" borderId="4" xfId="0" applyNumberFormat="1" applyFont="1" applyBorder="1" applyAlignment="1">
      <alignment horizontal="center" shrinkToFit="1"/>
    </xf>
    <xf numFmtId="3" fontId="32" fillId="0" borderId="20" xfId="0" applyNumberFormat="1" applyFont="1" applyBorder="1"/>
    <xf numFmtId="3" fontId="144" fillId="0" borderId="4" xfId="0" applyNumberFormat="1" applyFont="1" applyBorder="1" applyAlignment="1">
      <alignment horizontal="center" shrinkToFit="1"/>
    </xf>
    <xf numFmtId="0" fontId="32" fillId="0" borderId="4" xfId="0" applyFont="1" applyBorder="1" applyAlignment="1">
      <alignment horizontal="center" shrinkToFit="1"/>
    </xf>
    <xf numFmtId="0" fontId="144" fillId="0" borderId="4" xfId="0" applyFont="1" applyBorder="1" applyAlignment="1">
      <alignment horizontal="center" shrinkToFit="1"/>
    </xf>
    <xf numFmtId="49" fontId="130" fillId="0" borderId="60" xfId="0" applyNumberFormat="1" applyFont="1" applyBorder="1" applyAlignment="1">
      <alignment shrinkToFit="1"/>
    </xf>
    <xf numFmtId="0" fontId="32" fillId="0" borderId="20" xfId="0" applyFont="1" applyBorder="1"/>
    <xf numFmtId="9" fontId="32" fillId="0" borderId="20" xfId="0" applyNumberFormat="1" applyFont="1" applyBorder="1"/>
    <xf numFmtId="3" fontId="130" fillId="0" borderId="218" xfId="0" applyNumberFormat="1" applyFont="1" applyBorder="1" applyAlignment="1">
      <alignment horizontal="center" vertical="center" shrinkToFit="1"/>
    </xf>
    <xf numFmtId="3" fontId="130" fillId="0" borderId="219" xfId="0" applyNumberFormat="1" applyFont="1" applyBorder="1" applyAlignment="1">
      <alignment horizontal="center" vertical="center" shrinkToFit="1"/>
    </xf>
    <xf numFmtId="0" fontId="32" fillId="0" borderId="220" xfId="0" applyFont="1" applyBorder="1"/>
    <xf numFmtId="220" fontId="129" fillId="0" borderId="6" xfId="351" applyNumberFormat="1" applyFont="1" applyBorder="1" applyAlignment="1">
      <alignment horizontal="justify" vertical="center" wrapText="1"/>
    </xf>
    <xf numFmtId="3" fontId="130" fillId="0" borderId="21" xfId="0" applyNumberFormat="1" applyFont="1" applyBorder="1" applyAlignment="1">
      <alignment vertical="center"/>
    </xf>
    <xf numFmtId="43" fontId="32" fillId="0" borderId="0" xfId="0" applyNumberFormat="1" applyFont="1"/>
    <xf numFmtId="3" fontId="155" fillId="0" borderId="20" xfId="0" applyNumberFormat="1" applyFont="1" applyBorder="1" applyAlignment="1">
      <alignment vertical="center"/>
    </xf>
    <xf numFmtId="179" fontId="142" fillId="0" borderId="19" xfId="403" applyNumberFormat="1" applyFont="1" applyBorder="1" applyAlignment="1">
      <alignment vertical="center"/>
    </xf>
    <xf numFmtId="179" fontId="141" fillId="0" borderId="20" xfId="403" applyNumberFormat="1" applyFont="1" applyBorder="1" applyAlignment="1">
      <alignment vertical="center"/>
    </xf>
    <xf numFmtId="179" fontId="141" fillId="0" borderId="21" xfId="403" applyNumberFormat="1" applyFont="1" applyBorder="1" applyAlignment="1">
      <alignment vertical="center"/>
    </xf>
    <xf numFmtId="3" fontId="130" fillId="0" borderId="2" xfId="0" applyNumberFormat="1" applyFont="1" applyBorder="1" applyAlignment="1">
      <alignment horizontal="center"/>
    </xf>
    <xf numFmtId="3" fontId="158" fillId="0" borderId="4" xfId="0" applyNumberFormat="1" applyFont="1" applyBorder="1" applyAlignment="1">
      <alignment horizontal="center"/>
    </xf>
    <xf numFmtId="219" fontId="166" fillId="0" borderId="4" xfId="0" applyNumberFormat="1" applyFont="1" applyBorder="1" applyAlignment="1">
      <alignment horizontal="center"/>
    </xf>
    <xf numFmtId="3" fontId="144" fillId="0" borderId="4" xfId="0" applyNumberFormat="1" applyFont="1" applyBorder="1" applyAlignment="1">
      <alignment horizontal="center"/>
    </xf>
    <xf numFmtId="3" fontId="166" fillId="0" borderId="4" xfId="0" applyNumberFormat="1" applyFont="1" applyBorder="1" applyAlignment="1">
      <alignment horizontal="center"/>
    </xf>
    <xf numFmtId="3" fontId="120" fillId="0" borderId="20" xfId="0" applyNumberFormat="1" applyFont="1" applyBorder="1"/>
    <xf numFmtId="3" fontId="32" fillId="0" borderId="4" xfId="0" applyNumberFormat="1" applyFont="1" applyBorder="1" applyAlignment="1">
      <alignment horizontal="centerContinuous"/>
    </xf>
    <xf numFmtId="3" fontId="160" fillId="0" borderId="4" xfId="0" applyNumberFormat="1" applyFont="1" applyBorder="1" applyAlignment="1">
      <alignment horizontal="centerContinuous"/>
    </xf>
    <xf numFmtId="3" fontId="160" fillId="0" borderId="5" xfId="0" applyNumberFormat="1" applyFont="1" applyBorder="1" applyAlignment="1">
      <alignment horizontal="centerContinuous"/>
    </xf>
    <xf numFmtId="3" fontId="32" fillId="0" borderId="6" xfId="0" applyNumberFormat="1" applyFont="1" applyBorder="1" applyAlignment="1">
      <alignment shrinkToFit="1"/>
    </xf>
    <xf numFmtId="3" fontId="32" fillId="0" borderId="21" xfId="0" applyNumberFormat="1" applyFont="1" applyBorder="1"/>
    <xf numFmtId="3" fontId="130" fillId="0" borderId="21" xfId="0" applyNumberFormat="1" applyFont="1" applyBorder="1"/>
    <xf numFmtId="3" fontId="129" fillId="0" borderId="2" xfId="0" applyNumberFormat="1" applyFont="1" applyBorder="1" applyAlignment="1">
      <alignment horizontal="center"/>
    </xf>
    <xf numFmtId="3" fontId="129" fillId="0" borderId="19" xfId="0" applyNumberFormat="1" applyFont="1" applyBorder="1"/>
    <xf numFmtId="3" fontId="129" fillId="0" borderId="4" xfId="0" applyNumberFormat="1" applyFont="1" applyBorder="1" applyAlignment="1">
      <alignment horizontal="center"/>
    </xf>
    <xf numFmtId="3" fontId="129" fillId="0" borderId="20" xfId="0" applyNumberFormat="1" applyFont="1" applyBorder="1"/>
    <xf numFmtId="219" fontId="135" fillId="0" borderId="4" xfId="0" applyNumberFormat="1" applyFont="1" applyBorder="1" applyAlignment="1">
      <alignment horizontal="center"/>
    </xf>
    <xf numFmtId="0" fontId="122" fillId="0" borderId="20" xfId="0" applyFont="1" applyBorder="1"/>
    <xf numFmtId="3" fontId="122" fillId="0" borderId="4" xfId="0" applyNumberFormat="1" applyFont="1" applyBorder="1" applyAlignment="1">
      <alignment horizontal="center"/>
    </xf>
    <xf numFmtId="3" fontId="135" fillId="0" borderId="4" xfId="0" applyNumberFormat="1" applyFont="1" applyBorder="1" applyAlignment="1">
      <alignment horizontal="center"/>
    </xf>
    <xf numFmtId="3" fontId="130" fillId="0" borderId="14" xfId="0" applyNumberFormat="1" applyFont="1" applyBorder="1" applyAlignment="1">
      <alignment horizontal="center" shrinkToFit="1"/>
    </xf>
    <xf numFmtId="3" fontId="130" fillId="0" borderId="60" xfId="0" applyNumberFormat="1" applyFont="1" applyBorder="1" applyAlignment="1">
      <alignment horizontal="left" shrinkToFit="1"/>
    </xf>
    <xf numFmtId="3" fontId="130" fillId="0" borderId="175" xfId="0" applyNumberFormat="1" applyFont="1" applyBorder="1" applyAlignment="1">
      <alignment horizontal="center"/>
    </xf>
    <xf numFmtId="3" fontId="130" fillId="0" borderId="176" xfId="0" applyNumberFormat="1" applyFont="1" applyBorder="1"/>
    <xf numFmtId="3" fontId="130" fillId="0" borderId="4" xfId="0" applyNumberFormat="1" applyFont="1" applyBorder="1" applyAlignment="1">
      <alignment horizontal="centerContinuous"/>
    </xf>
    <xf numFmtId="0" fontId="141" fillId="0" borderId="0" xfId="0" applyFont="1" applyAlignment="1">
      <alignment horizontal="left" wrapText="1"/>
    </xf>
    <xf numFmtId="0" fontId="141" fillId="0" borderId="0" xfId="0" applyFont="1" applyAlignment="1">
      <alignment horizontal="right" wrapText="1"/>
    </xf>
    <xf numFmtId="3" fontId="122" fillId="0" borderId="20" xfId="0" applyNumberFormat="1" applyFont="1" applyBorder="1"/>
    <xf numFmtId="3" fontId="120" fillId="0" borderId="21" xfId="0" applyNumberFormat="1" applyFont="1" applyBorder="1" applyAlignment="1">
      <alignment vertical="center"/>
    </xf>
    <xf numFmtId="3" fontId="134" fillId="0" borderId="20" xfId="0" applyNumberFormat="1" applyFont="1" applyBorder="1"/>
    <xf numFmtId="219" fontId="120" fillId="0" borderId="0" xfId="352" applyNumberFormat="1" applyFont="1"/>
    <xf numFmtId="3" fontId="120" fillId="0" borderId="19" xfId="0" applyNumberFormat="1" applyFont="1" applyBorder="1"/>
    <xf numFmtId="0" fontId="32" fillId="0" borderId="60" xfId="0" applyFont="1" applyBorder="1" applyAlignment="1">
      <alignment horizontal="justify" vertical="center" wrapText="1"/>
    </xf>
    <xf numFmtId="3" fontId="120" fillId="0" borderId="21" xfId="403" applyNumberFormat="1" applyFont="1" applyBorder="1" applyAlignment="1">
      <alignment vertical="center"/>
    </xf>
    <xf numFmtId="3" fontId="120" fillId="0" borderId="20" xfId="403" applyNumberFormat="1" applyFont="1" applyBorder="1"/>
    <xf numFmtId="9" fontId="32" fillId="0" borderId="20" xfId="3" applyFont="1" applyBorder="1"/>
    <xf numFmtId="3" fontId="130" fillId="0" borderId="19" xfId="403" applyNumberFormat="1" applyFont="1" applyBorder="1"/>
    <xf numFmtId="3" fontId="130" fillId="0" borderId="20" xfId="403" applyNumberFormat="1" applyFont="1" applyBorder="1"/>
    <xf numFmtId="3" fontId="32" fillId="0" borderId="20" xfId="403" applyNumberFormat="1" applyFont="1" applyBorder="1"/>
    <xf numFmtId="3" fontId="32" fillId="0" borderId="21" xfId="403" applyNumberFormat="1" applyFont="1" applyBorder="1"/>
    <xf numFmtId="3" fontId="120" fillId="0" borderId="21" xfId="403" applyNumberFormat="1" applyFont="1" applyBorder="1"/>
    <xf numFmtId="179" fontId="32" fillId="0" borderId="21" xfId="403" applyNumberFormat="1" applyFont="1" applyBorder="1" applyAlignment="1">
      <alignment vertical="center"/>
    </xf>
    <xf numFmtId="0" fontId="121" fillId="0" borderId="60" xfId="411" applyFont="1" applyBorder="1" applyAlignment="1">
      <alignment vertical="center" wrapText="1" shrinkToFit="1"/>
    </xf>
    <xf numFmtId="166" fontId="126" fillId="0" borderId="20" xfId="411" applyNumberFormat="1" applyFont="1" applyBorder="1" applyAlignment="1">
      <alignment vertical="center" wrapText="1"/>
    </xf>
    <xf numFmtId="0" fontId="209" fillId="0" borderId="4" xfId="411" applyFont="1" applyBorder="1" applyAlignment="1">
      <alignment horizontal="center" vertical="center" wrapText="1"/>
    </xf>
    <xf numFmtId="0" fontId="126" fillId="0" borderId="60" xfId="411" applyFont="1" applyBorder="1" applyAlignment="1">
      <alignment vertical="center" wrapText="1" shrinkToFit="1"/>
    </xf>
    <xf numFmtId="166" fontId="126" fillId="0" borderId="60" xfId="411" applyNumberFormat="1" applyFont="1" applyBorder="1" applyAlignment="1">
      <alignment vertical="center" wrapText="1"/>
    </xf>
    <xf numFmtId="169" fontId="120" fillId="0" borderId="0" xfId="1" applyNumberFormat="1" applyFont="1" applyAlignment="1"/>
    <xf numFmtId="166" fontId="122" fillId="0" borderId="60" xfId="0" applyNumberFormat="1" applyFont="1" applyBorder="1" applyAlignment="1">
      <alignment horizontal="right" shrinkToFit="1"/>
    </xf>
    <xf numFmtId="179" fontId="122" fillId="0" borderId="60" xfId="349" applyNumberFormat="1" applyFont="1" applyBorder="1" applyAlignment="1">
      <alignment horizontal="right" shrinkToFit="1"/>
    </xf>
    <xf numFmtId="1" fontId="122" fillId="0" borderId="60" xfId="3" applyNumberFormat="1" applyFont="1" applyBorder="1" applyAlignment="1">
      <alignment horizontal="right" shrinkToFit="1"/>
    </xf>
    <xf numFmtId="172" fontId="122" fillId="0" borderId="60" xfId="3" applyNumberFormat="1" applyFont="1" applyBorder="1" applyAlignment="1">
      <alignment horizontal="right" shrinkToFit="1"/>
    </xf>
    <xf numFmtId="179" fontId="129" fillId="0" borderId="60" xfId="349" applyNumberFormat="1" applyFont="1" applyBorder="1" applyAlignment="1">
      <alignment horizontal="right" shrinkToFit="1"/>
    </xf>
    <xf numFmtId="3" fontId="131" fillId="0" borderId="0" xfId="0" applyNumberFormat="1" applyFont="1"/>
    <xf numFmtId="166" fontId="121" fillId="0" borderId="60" xfId="0" applyNumberFormat="1" applyFont="1" applyBorder="1" applyAlignment="1">
      <alignment horizontal="right" shrinkToFit="1"/>
    </xf>
    <xf numFmtId="3" fontId="129" fillId="0" borderId="0" xfId="0" applyNumberFormat="1" applyFont="1"/>
    <xf numFmtId="169" fontId="112" fillId="0" borderId="0" xfId="1" applyNumberFormat="1" applyFont="1" applyAlignment="1">
      <alignment shrinkToFit="1"/>
    </xf>
    <xf numFmtId="3" fontId="135" fillId="0" borderId="4" xfId="0" applyNumberFormat="1" applyFont="1" applyBorder="1" applyAlignment="1">
      <alignment horizontal="center" vertical="center" shrinkToFit="1"/>
    </xf>
    <xf numFmtId="0" fontId="134" fillId="0" borderId="0" xfId="0" applyFont="1" applyAlignment="1">
      <alignment horizontal="right" vertical="center"/>
    </xf>
    <xf numFmtId="0" fontId="135" fillId="0" borderId="0" xfId="0" quotePrefix="1" applyFont="1" applyAlignment="1">
      <alignment vertical="center" wrapText="1" shrinkToFit="1"/>
    </xf>
    <xf numFmtId="3" fontId="150" fillId="0" borderId="0" xfId="0" quotePrefix="1" applyNumberFormat="1" applyFont="1" applyAlignment="1">
      <alignment horizontal="justify" vertical="justify" wrapText="1" shrinkToFit="1"/>
    </xf>
    <xf numFmtId="0" fontId="142" fillId="0" borderId="20" xfId="0" applyFont="1" applyBorder="1" applyAlignment="1">
      <alignment vertical="center"/>
    </xf>
    <xf numFmtId="0" fontId="142" fillId="0" borderId="0" xfId="0" applyFont="1" applyAlignment="1">
      <alignment vertical="center"/>
    </xf>
    <xf numFmtId="169" fontId="32" fillId="0" borderId="0" xfId="1" applyNumberFormat="1" applyFont="1"/>
    <xf numFmtId="3" fontId="120" fillId="0" borderId="0" xfId="1" applyNumberFormat="1" applyFont="1" applyAlignment="1">
      <alignment vertical="center" shrinkToFit="1"/>
    </xf>
    <xf numFmtId="10" fontId="112" fillId="0" borderId="0" xfId="3" applyNumberFormat="1" applyFont="1" applyAlignment="1">
      <alignment shrinkToFit="1"/>
    </xf>
    <xf numFmtId="0" fontId="151" fillId="0" borderId="0" xfId="0" applyFont="1" applyAlignment="1">
      <alignment vertical="center"/>
    </xf>
    <xf numFmtId="179" fontId="126" fillId="0" borderId="60" xfId="1" applyNumberFormat="1" applyFont="1" applyFill="1" applyBorder="1" applyAlignment="1">
      <alignment vertical="center"/>
    </xf>
    <xf numFmtId="179" fontId="121" fillId="0" borderId="60" xfId="1" applyNumberFormat="1" applyFont="1" applyFill="1" applyBorder="1" applyAlignment="1">
      <alignment vertical="center"/>
    </xf>
    <xf numFmtId="0" fontId="135" fillId="0" borderId="60" xfId="0" applyFont="1" applyBorder="1" applyAlignment="1">
      <alignment horizontal="left" vertical="center" wrapText="1"/>
    </xf>
    <xf numFmtId="0" fontId="126" fillId="0" borderId="60" xfId="0" applyFont="1" applyBorder="1" applyAlignment="1">
      <alignment horizontal="justify" vertical="justify" shrinkToFit="1"/>
    </xf>
    <xf numFmtId="3" fontId="122" fillId="0" borderId="60" xfId="0" applyNumberFormat="1" applyFont="1" applyBorder="1" applyAlignment="1">
      <alignment horizontal="right" vertical="center"/>
    </xf>
    <xf numFmtId="3" fontId="126" fillId="0" borderId="60" xfId="1" applyNumberFormat="1" applyFont="1" applyFill="1" applyBorder="1" applyAlignment="1">
      <alignment vertical="center"/>
    </xf>
    <xf numFmtId="3" fontId="135" fillId="0" borderId="60" xfId="0" applyNumberFormat="1" applyFont="1" applyBorder="1" applyAlignment="1">
      <alignment vertical="center"/>
    </xf>
    <xf numFmtId="3" fontId="135" fillId="0" borderId="60" xfId="1" applyNumberFormat="1" applyFont="1" applyFill="1" applyBorder="1" applyAlignment="1">
      <alignment vertical="center"/>
    </xf>
    <xf numFmtId="3" fontId="126" fillId="0" borderId="60" xfId="0" applyNumberFormat="1" applyFont="1" applyBorder="1" applyAlignment="1">
      <alignment horizontal="right" vertical="center"/>
    </xf>
    <xf numFmtId="3" fontId="126" fillId="0" borderId="60" xfId="0" applyNumberFormat="1" applyFont="1" applyBorder="1" applyAlignment="1">
      <alignment vertical="center"/>
    </xf>
    <xf numFmtId="0" fontId="126" fillId="0" borderId="60" xfId="0" applyFont="1" applyBorder="1" applyAlignment="1">
      <alignment vertical="center"/>
    </xf>
    <xf numFmtId="0" fontId="126" fillId="0" borderId="0" xfId="0" applyFont="1" applyAlignment="1">
      <alignment vertical="center"/>
    </xf>
    <xf numFmtId="3" fontId="121" fillId="0" borderId="60" xfId="0" applyNumberFormat="1" applyFont="1" applyBorder="1" applyAlignment="1">
      <alignment horizontal="right" vertical="center"/>
    </xf>
    <xf numFmtId="179" fontId="120" fillId="32" borderId="0" xfId="1" applyNumberFormat="1" applyFont="1" applyFill="1" applyBorder="1" applyAlignment="1">
      <alignment vertical="center" shrinkToFit="1"/>
    </xf>
    <xf numFmtId="179" fontId="120" fillId="32" borderId="0" xfId="1" applyNumberFormat="1" applyFont="1" applyFill="1" applyBorder="1" applyAlignment="1">
      <alignment shrinkToFit="1"/>
    </xf>
    <xf numFmtId="179" fontId="120" fillId="32" borderId="0" xfId="0" applyNumberFormat="1" applyFont="1" applyFill="1" applyAlignment="1">
      <alignment shrinkToFit="1"/>
    </xf>
    <xf numFmtId="179" fontId="127" fillId="32" borderId="0" xfId="2" applyNumberFormat="1" applyFont="1" applyFill="1" applyBorder="1" applyAlignment="1">
      <alignment vertical="center" shrinkToFit="1"/>
    </xf>
    <xf numFmtId="179" fontId="120" fillId="32" borderId="0" xfId="0" applyNumberFormat="1" applyFont="1" applyFill="1" applyAlignment="1">
      <alignment vertical="center" shrinkToFit="1"/>
    </xf>
    <xf numFmtId="3" fontId="122" fillId="0" borderId="0" xfId="1" applyNumberFormat="1" applyFont="1" applyAlignment="1">
      <alignment horizontal="right" wrapText="1" shrinkToFit="1"/>
    </xf>
    <xf numFmtId="3" fontId="122" fillId="0" borderId="0" xfId="0" applyNumberFormat="1" applyFont="1" applyAlignment="1">
      <alignment horizontal="right" wrapText="1"/>
    </xf>
    <xf numFmtId="3" fontId="142" fillId="3" borderId="0" xfId="3" applyNumberFormat="1" applyFont="1" applyFill="1" applyAlignment="1">
      <alignment vertical="center"/>
    </xf>
    <xf numFmtId="170" fontId="32" fillId="0" borderId="0" xfId="0" applyNumberFormat="1" applyFont="1"/>
    <xf numFmtId="3" fontId="113" fillId="0" borderId="0" xfId="0" applyNumberFormat="1" applyFont="1" applyAlignment="1">
      <alignment vertical="center"/>
    </xf>
    <xf numFmtId="0" fontId="120" fillId="0" borderId="0" xfId="0" applyFont="1" applyAlignment="1">
      <alignment horizontal="left" vertical="center" shrinkToFit="1"/>
    </xf>
    <xf numFmtId="3" fontId="112" fillId="0" borderId="0" xfId="3" applyNumberFormat="1" applyFont="1" applyFill="1" applyAlignment="1">
      <alignment shrinkToFit="1"/>
    </xf>
    <xf numFmtId="3" fontId="133" fillId="0" borderId="0" xfId="0" applyNumberFormat="1" applyFont="1" applyAlignment="1">
      <alignment vertical="center"/>
    </xf>
    <xf numFmtId="3" fontId="184" fillId="0" borderId="0" xfId="381" applyNumberFormat="1" applyFont="1" applyAlignment="1">
      <alignment vertical="center" wrapText="1"/>
    </xf>
    <xf numFmtId="3" fontId="184" fillId="0" borderId="0" xfId="1" applyNumberFormat="1" applyFont="1" applyAlignment="1">
      <alignment vertical="center" wrapText="1"/>
    </xf>
    <xf numFmtId="169" fontId="184" fillId="0" borderId="0" xfId="1" applyNumberFormat="1" applyFont="1" applyAlignment="1">
      <alignment vertical="center" wrapText="1"/>
    </xf>
    <xf numFmtId="169" fontId="184" fillId="0" borderId="0" xfId="1" applyNumberFormat="1" applyFont="1" applyAlignment="1">
      <alignment horizontal="right" vertical="center" wrapText="1"/>
    </xf>
    <xf numFmtId="9" fontId="112" fillId="0" borderId="0" xfId="3" applyFont="1" applyAlignment="1">
      <alignment shrinkToFit="1"/>
    </xf>
    <xf numFmtId="0" fontId="134" fillId="0" borderId="0" xfId="0" applyFont="1" applyAlignment="1">
      <alignment horizontal="left" vertical="center"/>
    </xf>
    <xf numFmtId="4" fontId="142" fillId="0" borderId="60" xfId="0" applyNumberFormat="1" applyFont="1" applyBorder="1" applyAlignment="1">
      <alignment horizontal="justify" vertical="center" wrapText="1" shrinkToFit="1"/>
    </xf>
    <xf numFmtId="4" fontId="142" fillId="0" borderId="60" xfId="352" applyNumberFormat="1" applyFont="1" applyBorder="1" applyAlignment="1">
      <alignment horizontal="left" vertical="center" wrapText="1" shrinkToFit="1"/>
    </xf>
    <xf numFmtId="0" fontId="142" fillId="0" borderId="26" xfId="352" applyFont="1" applyBorder="1" applyAlignment="1">
      <alignment horizontal="center" vertical="center"/>
    </xf>
    <xf numFmtId="219" fontId="151" fillId="0" borderId="60" xfId="352" applyNumberFormat="1" applyFont="1" applyBorder="1" applyAlignment="1">
      <alignment vertical="center" shrinkToFit="1"/>
    </xf>
    <xf numFmtId="4" fontId="142" fillId="0" borderId="60" xfId="0" applyNumberFormat="1" applyFont="1" applyBorder="1" applyAlignment="1">
      <alignment horizontal="center" vertical="center" wrapText="1" shrinkToFit="1"/>
    </xf>
    <xf numFmtId="4" fontId="141" fillId="0" borderId="60" xfId="0" applyNumberFormat="1" applyFont="1" applyBorder="1" applyAlignment="1">
      <alignment horizontal="left" vertical="center" wrapText="1" shrinkToFit="1"/>
    </xf>
    <xf numFmtId="0" fontId="32" fillId="0" borderId="60" xfId="0" applyFont="1" applyBorder="1" applyAlignment="1">
      <alignment horizontal="left" vertical="center" wrapText="1"/>
    </xf>
    <xf numFmtId="173" fontId="112" fillId="0" borderId="0" xfId="3" applyNumberFormat="1" applyFont="1" applyAlignment="1">
      <alignment shrinkToFit="1"/>
    </xf>
    <xf numFmtId="3" fontId="113" fillId="0" borderId="0" xfId="0" applyNumberFormat="1" applyFont="1" applyAlignment="1">
      <alignment vertical="center" shrinkToFit="1"/>
    </xf>
    <xf numFmtId="3" fontId="112" fillId="0" borderId="0" xfId="0" applyNumberFormat="1" applyFont="1" applyAlignment="1">
      <alignment vertical="center" shrinkToFit="1"/>
    </xf>
    <xf numFmtId="3" fontId="121" fillId="0" borderId="0" xfId="0" applyNumberFormat="1" applyFont="1" applyAlignment="1">
      <alignment vertical="center" shrinkToFit="1"/>
    </xf>
    <xf numFmtId="3" fontId="122" fillId="0" borderId="0" xfId="0" applyNumberFormat="1" applyFont="1" applyAlignment="1">
      <alignment vertical="center" shrinkToFit="1"/>
    </xf>
    <xf numFmtId="3" fontId="142" fillId="0" borderId="0" xfId="0" applyNumberFormat="1" applyFont="1" applyAlignment="1">
      <alignment vertical="center"/>
    </xf>
    <xf numFmtId="3" fontId="121" fillId="0" borderId="0" xfId="0" applyNumberFormat="1" applyFont="1" applyAlignment="1">
      <alignment vertical="center"/>
    </xf>
    <xf numFmtId="0" fontId="121" fillId="0" borderId="4" xfId="411" applyFont="1" applyBorder="1" applyAlignment="1">
      <alignment horizontal="center" vertical="center" wrapText="1"/>
    </xf>
    <xf numFmtId="0" fontId="122" fillId="0" borderId="4" xfId="411" applyFont="1" applyBorder="1" applyAlignment="1">
      <alignment horizontal="left" vertical="center" wrapText="1"/>
    </xf>
    <xf numFmtId="0" fontId="122" fillId="0" borderId="6" xfId="411" applyFont="1" applyBorder="1" applyAlignment="1">
      <alignment horizontal="left" vertical="center" wrapText="1"/>
    </xf>
    <xf numFmtId="0" fontId="141" fillId="0" borderId="60" xfId="0" applyFont="1" applyBorder="1" applyAlignment="1">
      <alignment vertical="center"/>
    </xf>
    <xf numFmtId="3" fontId="166" fillId="0" borderId="60" xfId="0" applyNumberFormat="1" applyFont="1" applyBorder="1" applyAlignment="1">
      <alignment vertical="center"/>
    </xf>
    <xf numFmtId="171" fontId="14" fillId="0" borderId="60" xfId="3" applyNumberFormat="1" applyFont="1" applyFill="1" applyBorder="1" applyAlignment="1">
      <alignment vertical="center" shrinkToFit="1"/>
    </xf>
    <xf numFmtId="3" fontId="14" fillId="0" borderId="60" xfId="1" applyNumberFormat="1" applyFont="1" applyFill="1" applyBorder="1" applyAlignment="1">
      <alignment vertical="center" shrinkToFit="1"/>
    </xf>
    <xf numFmtId="166" fontId="122" fillId="37" borderId="60" xfId="0" applyNumberFormat="1" applyFont="1" applyFill="1" applyBorder="1" applyAlignment="1">
      <alignment vertical="center" shrinkToFit="1"/>
    </xf>
    <xf numFmtId="0" fontId="121" fillId="0" borderId="18" xfId="0" applyFont="1" applyBorder="1" applyAlignment="1">
      <alignment horizontal="center" vertical="center" wrapText="1"/>
    </xf>
    <xf numFmtId="0" fontId="142" fillId="0" borderId="11" xfId="0" applyFont="1" applyBorder="1" applyAlignment="1">
      <alignment horizontal="center" vertical="center" wrapText="1"/>
    </xf>
    <xf numFmtId="0" fontId="113" fillId="0" borderId="140" xfId="0" applyFont="1" applyBorder="1" applyAlignment="1">
      <alignment vertical="center" shrinkToFit="1"/>
    </xf>
    <xf numFmtId="3" fontId="113" fillId="0" borderId="140" xfId="0" applyNumberFormat="1" applyFont="1" applyBorder="1" applyAlignment="1">
      <alignment shrinkToFit="1"/>
    </xf>
    <xf numFmtId="3" fontId="113" fillId="0" borderId="140" xfId="0" applyNumberFormat="1" applyFont="1" applyBorder="1" applyAlignment="1">
      <alignment vertical="center" shrinkToFit="1"/>
    </xf>
    <xf numFmtId="0" fontId="113" fillId="0" borderId="140" xfId="0" applyFont="1" applyBorder="1" applyAlignment="1">
      <alignment shrinkToFit="1"/>
    </xf>
    <xf numFmtId="0" fontId="113" fillId="0" borderId="140" xfId="0" applyFont="1" applyBorder="1"/>
    <xf numFmtId="173" fontId="211" fillId="0" borderId="140" xfId="3" applyNumberFormat="1" applyFont="1" applyFill="1" applyBorder="1" applyAlignment="1">
      <alignment vertical="center" shrinkToFit="1"/>
    </xf>
    <xf numFmtId="3" fontId="113" fillId="0" borderId="140" xfId="0" applyNumberFormat="1" applyFont="1" applyBorder="1"/>
    <xf numFmtId="172" fontId="113" fillId="0" borderId="140" xfId="0" applyNumberFormat="1" applyFont="1" applyBorder="1" applyAlignment="1">
      <alignment shrinkToFit="1"/>
    </xf>
    <xf numFmtId="3" fontId="121" fillId="0" borderId="174" xfId="0" applyNumberFormat="1" applyFont="1" applyBorder="1" applyAlignment="1">
      <alignment vertical="center"/>
    </xf>
    <xf numFmtId="3" fontId="121" fillId="0" borderId="140" xfId="0" applyNumberFormat="1" applyFont="1" applyBorder="1" applyAlignment="1">
      <alignment vertical="center"/>
    </xf>
    <xf numFmtId="0" fontId="121" fillId="0" borderId="140" xfId="0" applyFont="1" applyBorder="1" applyAlignment="1">
      <alignment vertical="center"/>
    </xf>
    <xf numFmtId="0" fontId="121" fillId="0" borderId="179" xfId="0" applyFont="1" applyBorder="1" applyAlignment="1">
      <alignment vertical="center"/>
    </xf>
    <xf numFmtId="3" fontId="129" fillId="27" borderId="60" xfId="0" applyNumberFormat="1" applyFont="1" applyFill="1" applyBorder="1" applyAlignment="1">
      <alignment vertical="center" shrinkToFit="1"/>
    </xf>
    <xf numFmtId="0" fontId="142" fillId="0" borderId="60" xfId="352" applyFont="1" applyBorder="1" applyAlignment="1">
      <alignment horizontal="justify" vertical="center" shrinkToFit="1"/>
    </xf>
    <xf numFmtId="3" fontId="122" fillId="0" borderId="19" xfId="0" applyNumberFormat="1" applyFont="1" applyBorder="1" applyAlignment="1">
      <alignment horizontal="right" vertical="center" shrinkToFit="1"/>
    </xf>
    <xf numFmtId="0" fontId="121" fillId="0" borderId="6" xfId="0" applyFont="1" applyBorder="1" applyAlignment="1">
      <alignment vertical="center"/>
    </xf>
    <xf numFmtId="3" fontId="122" fillId="0" borderId="19" xfId="0" applyNumberFormat="1" applyFont="1" applyBorder="1" applyAlignment="1">
      <alignment vertical="center"/>
    </xf>
    <xf numFmtId="3" fontId="122" fillId="0" borderId="177" xfId="0" applyNumberFormat="1" applyFont="1" applyBorder="1" applyAlignment="1">
      <alignment vertical="center"/>
    </xf>
    <xf numFmtId="0" fontId="122" fillId="0" borderId="21" xfId="0" applyFont="1" applyBorder="1" applyAlignment="1">
      <alignment horizontal="left" vertical="center" wrapText="1"/>
    </xf>
    <xf numFmtId="4" fontId="122" fillId="0" borderId="6" xfId="0" applyNumberFormat="1" applyFont="1" applyBorder="1" applyAlignment="1">
      <alignment horizontal="justify" vertical="center" shrinkToFit="1"/>
    </xf>
    <xf numFmtId="4" fontId="32" fillId="0" borderId="6" xfId="0" applyNumberFormat="1" applyFont="1" applyBorder="1" applyAlignment="1">
      <alignment horizontal="justify" vertical="center" wrapText="1"/>
    </xf>
    <xf numFmtId="3" fontId="213" fillId="3" borderId="60" xfId="0" applyNumberFormat="1" applyFont="1" applyFill="1" applyBorder="1" applyAlignment="1">
      <alignment vertical="center" shrinkToFit="1"/>
    </xf>
    <xf numFmtId="169" fontId="122" fillId="0" borderId="0" xfId="1" applyNumberFormat="1" applyFont="1" applyAlignment="1">
      <alignment vertical="center"/>
    </xf>
    <xf numFmtId="169" fontId="121" fillId="0" borderId="6" xfId="1" applyNumberFormat="1" applyFont="1" applyBorder="1" applyAlignment="1">
      <alignment vertical="center"/>
    </xf>
    <xf numFmtId="169" fontId="122" fillId="0" borderId="0" xfId="0" applyNumberFormat="1" applyFont="1"/>
    <xf numFmtId="169" fontId="122" fillId="0" borderId="0" xfId="1" applyNumberFormat="1" applyFont="1"/>
    <xf numFmtId="220" fontId="142" fillId="0" borderId="60" xfId="351" applyNumberFormat="1" applyFont="1" applyBorder="1" applyAlignment="1">
      <alignment horizontal="justify" vertical="center" wrapText="1"/>
    </xf>
    <xf numFmtId="1" fontId="32" fillId="0" borderId="0" xfId="0" applyNumberFormat="1" applyFont="1"/>
    <xf numFmtId="170" fontId="32" fillId="0" borderId="0" xfId="1" applyNumberFormat="1" applyFont="1" applyAlignment="1">
      <alignment shrinkToFit="1"/>
    </xf>
    <xf numFmtId="219" fontId="32" fillId="0" borderId="0" xfId="352" applyNumberFormat="1" applyFont="1" applyAlignment="1">
      <alignment shrinkToFit="1"/>
    </xf>
    <xf numFmtId="3" fontId="128" fillId="0" borderId="0" xfId="0" applyNumberFormat="1" applyFont="1" applyAlignment="1">
      <alignment vertical="center"/>
    </xf>
    <xf numFmtId="169" fontId="128" fillId="0" borderId="0" xfId="1" applyNumberFormat="1" applyFont="1" applyAlignment="1">
      <alignment vertical="center"/>
    </xf>
    <xf numFmtId="169" fontId="32" fillId="0" borderId="0" xfId="1" applyNumberFormat="1" applyFont="1" applyAlignment="1">
      <alignment vertical="center"/>
    </xf>
    <xf numFmtId="169" fontId="32" fillId="0" borderId="0" xfId="0" applyNumberFormat="1" applyFont="1" applyAlignment="1">
      <alignment vertical="center"/>
    </xf>
    <xf numFmtId="169" fontId="120" fillId="0" borderId="0" xfId="0" applyNumberFormat="1" applyFont="1" applyAlignment="1">
      <alignment vertical="center"/>
    </xf>
    <xf numFmtId="0" fontId="32" fillId="0" borderId="4" xfId="0" applyFont="1" applyBorder="1"/>
    <xf numFmtId="0" fontId="32" fillId="0" borderId="60" xfId="0" quotePrefix="1" applyFont="1" applyBorder="1"/>
    <xf numFmtId="0" fontId="32" fillId="0" borderId="5" xfId="0" applyFont="1" applyBorder="1"/>
    <xf numFmtId="0" fontId="32" fillId="0" borderId="6" xfId="0" quotePrefix="1" applyFont="1" applyBorder="1"/>
    <xf numFmtId="3" fontId="142" fillId="0" borderId="0" xfId="0" applyNumberFormat="1" applyFont="1" applyAlignment="1">
      <alignment shrinkToFit="1"/>
    </xf>
    <xf numFmtId="228" fontId="4" fillId="3" borderId="60" xfId="381" applyNumberFormat="1" applyFont="1" applyFill="1" applyBorder="1" applyAlignment="1">
      <alignment vertical="center" shrinkToFit="1"/>
    </xf>
    <xf numFmtId="173" fontId="32" fillId="0" borderId="0" xfId="3" applyNumberFormat="1" applyFont="1" applyAlignment="1">
      <alignment vertical="center"/>
    </xf>
    <xf numFmtId="219" fontId="142" fillId="3" borderId="0" xfId="352" applyNumberFormat="1" applyFont="1" applyFill="1" applyAlignment="1">
      <alignment vertical="center"/>
    </xf>
    <xf numFmtId="170" fontId="122" fillId="0" borderId="0" xfId="1" applyNumberFormat="1" applyFont="1" applyAlignment="1">
      <alignment horizontal="right"/>
    </xf>
    <xf numFmtId="179" fontId="142" fillId="3" borderId="0" xfId="403" applyNumberFormat="1" applyFont="1" applyFill="1" applyAlignment="1">
      <alignment vertical="center"/>
    </xf>
    <xf numFmtId="0" fontId="112" fillId="3" borderId="60" xfId="0" applyFont="1" applyFill="1" applyBorder="1" applyAlignment="1">
      <alignment vertical="center" wrapText="1"/>
    </xf>
    <xf numFmtId="3" fontId="112" fillId="3" borderId="60" xfId="0" applyNumberFormat="1" applyFont="1" applyFill="1" applyBorder="1" applyAlignment="1">
      <alignment shrinkToFit="1"/>
    </xf>
    <xf numFmtId="3" fontId="112" fillId="3" borderId="60" xfId="0" applyNumberFormat="1" applyFont="1" applyFill="1" applyBorder="1" applyAlignment="1">
      <alignment vertical="center" shrinkToFit="1"/>
    </xf>
    <xf numFmtId="172" fontId="112" fillId="3" borderId="60" xfId="0" applyNumberFormat="1" applyFont="1" applyFill="1" applyBorder="1" applyAlignment="1">
      <alignment vertical="center" shrinkToFit="1"/>
    </xf>
    <xf numFmtId="3" fontId="116" fillId="3" borderId="60" xfId="0" applyNumberFormat="1" applyFont="1" applyFill="1" applyBorder="1" applyAlignment="1">
      <alignment shrinkToFit="1"/>
    </xf>
    <xf numFmtId="171" fontId="112" fillId="3" borderId="60" xfId="0" applyNumberFormat="1" applyFont="1" applyFill="1" applyBorder="1" applyAlignment="1">
      <alignment vertical="center" shrinkToFit="1"/>
    </xf>
    <xf numFmtId="173" fontId="112" fillId="3" borderId="60" xfId="3" applyNumberFormat="1" applyFont="1" applyFill="1" applyBorder="1" applyAlignment="1">
      <alignment vertical="center" shrinkToFit="1"/>
    </xf>
    <xf numFmtId="3" fontId="112" fillId="3" borderId="60" xfId="0" applyNumberFormat="1" applyFont="1" applyFill="1" applyBorder="1"/>
    <xf numFmtId="173" fontId="112" fillId="3" borderId="60" xfId="3" applyNumberFormat="1" applyFont="1" applyFill="1" applyBorder="1" applyAlignment="1">
      <alignment horizontal="right" vertical="center" shrinkToFit="1"/>
    </xf>
    <xf numFmtId="3" fontId="112" fillId="3" borderId="60" xfId="0" applyNumberFormat="1" applyFont="1" applyFill="1" applyBorder="1" applyAlignment="1">
      <alignment horizontal="right" shrinkToFit="1"/>
    </xf>
    <xf numFmtId="171" fontId="112" fillId="3" borderId="60" xfId="0" applyNumberFormat="1" applyFont="1" applyFill="1" applyBorder="1" applyAlignment="1">
      <alignment shrinkToFit="1"/>
    </xf>
    <xf numFmtId="173" fontId="112" fillId="3" borderId="60" xfId="3" applyNumberFormat="1" applyFont="1" applyFill="1" applyBorder="1" applyAlignment="1">
      <alignment shrinkToFit="1"/>
    </xf>
    <xf numFmtId="173" fontId="112" fillId="3" borderId="60" xfId="1" applyNumberFormat="1" applyFont="1" applyFill="1" applyBorder="1" applyAlignment="1">
      <alignment shrinkToFit="1"/>
    </xf>
    <xf numFmtId="3" fontId="112" fillId="3" borderId="60" xfId="1" applyNumberFormat="1" applyFont="1" applyFill="1" applyBorder="1" applyAlignment="1">
      <alignment shrinkToFit="1"/>
    </xf>
    <xf numFmtId="3" fontId="125" fillId="0" borderId="60" xfId="0" applyNumberFormat="1" applyFont="1" applyBorder="1" applyAlignment="1">
      <alignment horizontal="justify" vertical="center" wrapText="1" shrinkToFit="1"/>
    </xf>
    <xf numFmtId="0" fontId="125" fillId="0" borderId="60" xfId="0" applyFont="1" applyBorder="1" applyAlignment="1">
      <alignment vertical="center" wrapText="1"/>
    </xf>
    <xf numFmtId="3" fontId="113" fillId="0" borderId="60" xfId="1" applyNumberFormat="1" applyFont="1" applyBorder="1" applyAlignment="1">
      <alignment horizontal="right" shrinkToFit="1"/>
    </xf>
    <xf numFmtId="3" fontId="113" fillId="0" borderId="140" xfId="1" applyNumberFormat="1" applyFont="1" applyBorder="1" applyAlignment="1">
      <alignment horizontal="right" shrinkToFit="1"/>
    </xf>
    <xf numFmtId="169" fontId="184" fillId="0" borderId="0" xfId="381" applyNumberFormat="1" applyFont="1" applyAlignment="1">
      <alignment vertical="center" wrapText="1"/>
    </xf>
    <xf numFmtId="170" fontId="184" fillId="0" borderId="0" xfId="381" applyNumberFormat="1" applyFont="1" applyAlignment="1">
      <alignment horizontal="right" vertical="center" wrapText="1"/>
    </xf>
    <xf numFmtId="170" fontId="184" fillId="0" borderId="0" xfId="381" applyNumberFormat="1" applyFont="1" applyAlignment="1">
      <alignment vertical="center" wrapText="1"/>
    </xf>
    <xf numFmtId="170" fontId="122" fillId="0" borderId="0" xfId="0" applyNumberFormat="1" applyFont="1"/>
    <xf numFmtId="10" fontId="113" fillId="3" borderId="0" xfId="0" applyNumberFormat="1" applyFont="1" applyFill="1" applyAlignment="1">
      <alignment shrinkToFit="1"/>
    </xf>
    <xf numFmtId="3" fontId="112" fillId="0" borderId="0" xfId="3" applyNumberFormat="1" applyFont="1" applyAlignment="1">
      <alignment shrinkToFit="1"/>
    </xf>
    <xf numFmtId="0" fontId="121" fillId="0" borderId="178" xfId="0" applyFont="1" applyBorder="1" applyAlignment="1">
      <alignment horizontal="center" vertical="center"/>
    </xf>
    <xf numFmtId="3" fontId="121" fillId="0" borderId="140" xfId="0" applyNumberFormat="1" applyFont="1" applyBorder="1" applyAlignment="1">
      <alignment vertical="center" wrapText="1"/>
    </xf>
    <xf numFmtId="0" fontId="135" fillId="0" borderId="60" xfId="0" quotePrefix="1" applyFont="1" applyBorder="1" applyAlignment="1">
      <alignment vertical="center" wrapText="1" shrinkToFit="1"/>
    </xf>
    <xf numFmtId="219" fontId="122" fillId="0" borderId="19" xfId="0" applyNumberFormat="1" applyFont="1" applyBorder="1" applyAlignment="1">
      <alignment vertical="center" shrinkToFit="1"/>
    </xf>
    <xf numFmtId="219" fontId="122" fillId="0" borderId="20" xfId="0" applyNumberFormat="1" applyFont="1" applyBorder="1" applyAlignment="1">
      <alignment vertical="center" shrinkToFit="1"/>
    </xf>
    <xf numFmtId="219" fontId="122" fillId="0" borderId="177" xfId="0" applyNumberFormat="1" applyFont="1" applyBorder="1" applyAlignment="1">
      <alignment vertical="center" shrinkToFit="1"/>
    </xf>
    <xf numFmtId="179" fontId="130" fillId="0" borderId="0" xfId="0" applyNumberFormat="1" applyFont="1"/>
    <xf numFmtId="3" fontId="32" fillId="0" borderId="0" xfId="0" applyNumberFormat="1" applyFont="1" applyAlignment="1">
      <alignment vertical="center" shrinkToFit="1"/>
    </xf>
    <xf numFmtId="169" fontId="125" fillId="0" borderId="60" xfId="1" applyNumberFormat="1" applyFont="1" applyFill="1" applyBorder="1" applyAlignment="1">
      <alignment shrinkToFit="1"/>
    </xf>
    <xf numFmtId="0" fontId="125" fillId="0" borderId="60" xfId="0" applyFont="1" applyBorder="1"/>
    <xf numFmtId="3" fontId="125" fillId="0" borderId="60" xfId="0" applyNumberFormat="1" applyFont="1" applyBorder="1"/>
    <xf numFmtId="173" fontId="125" fillId="0" borderId="60" xfId="0" applyNumberFormat="1" applyFont="1" applyBorder="1"/>
    <xf numFmtId="172" fontId="125" fillId="0" borderId="60" xfId="0" applyNumberFormat="1" applyFont="1" applyBorder="1" applyAlignment="1">
      <alignment shrinkToFit="1"/>
    </xf>
    <xf numFmtId="0" fontId="121" fillId="0" borderId="130" xfId="2" applyFont="1" applyBorder="1" applyAlignment="1">
      <alignment horizontal="center" vertical="center" wrapText="1"/>
    </xf>
    <xf numFmtId="3" fontId="121" fillId="0" borderId="179" xfId="0" applyNumberFormat="1" applyFont="1" applyBorder="1" applyAlignment="1">
      <alignment vertical="center"/>
    </xf>
    <xf numFmtId="3" fontId="122" fillId="0" borderId="0" xfId="412" applyNumberFormat="1" applyFont="1" applyAlignment="1">
      <alignment horizontal="center"/>
    </xf>
    <xf numFmtId="3" fontId="121" fillId="0" borderId="0" xfId="412" applyNumberFormat="1" applyFont="1" applyAlignment="1">
      <alignment horizontal="centerContinuous"/>
    </xf>
    <xf numFmtId="3" fontId="129" fillId="0" borderId="2" xfId="412" applyNumberFormat="1" applyFont="1" applyBorder="1" applyAlignment="1">
      <alignment horizontal="center" vertical="center"/>
    </xf>
    <xf numFmtId="3" fontId="129" fillId="0" borderId="58" xfId="412" applyNumberFormat="1" applyFont="1" applyBorder="1" applyAlignment="1">
      <alignment vertical="center" wrapText="1"/>
    </xf>
    <xf numFmtId="219" fontId="129" fillId="0" borderId="19" xfId="412" applyNumberFormat="1" applyFont="1" applyBorder="1" applyAlignment="1">
      <alignment vertical="center"/>
    </xf>
    <xf numFmtId="3" fontId="129" fillId="0" borderId="4" xfId="412" applyNumberFormat="1" applyFont="1" applyBorder="1" applyAlignment="1">
      <alignment horizontal="center" vertical="center"/>
    </xf>
    <xf numFmtId="3" fontId="129" fillId="0" borderId="60" xfId="412" applyNumberFormat="1" applyFont="1" applyBorder="1" applyAlignment="1">
      <alignment vertical="center" shrinkToFit="1"/>
    </xf>
    <xf numFmtId="219" fontId="129" fillId="0" borderId="20" xfId="412" applyNumberFormat="1" applyFont="1" applyBorder="1" applyAlignment="1">
      <alignment vertical="center"/>
    </xf>
    <xf numFmtId="3" fontId="122" fillId="0" borderId="4" xfId="412" applyNumberFormat="1" applyFont="1" applyBorder="1" applyAlignment="1">
      <alignment horizontal="center" vertical="center"/>
    </xf>
    <xf numFmtId="3" fontId="122" fillId="0" borderId="60" xfId="412" applyNumberFormat="1" applyFont="1" applyBorder="1" applyAlignment="1">
      <alignment vertical="center" shrinkToFit="1"/>
    </xf>
    <xf numFmtId="219" fontId="122" fillId="0" borderId="20" xfId="412" applyNumberFormat="1" applyFont="1" applyBorder="1" applyAlignment="1">
      <alignment vertical="center"/>
    </xf>
    <xf numFmtId="219" fontId="122" fillId="0" borderId="20" xfId="412" applyNumberFormat="1" applyFont="1" applyBorder="1" applyAlignment="1">
      <alignment vertical="center" shrinkToFit="1"/>
    </xf>
    <xf numFmtId="219" fontId="129" fillId="0" borderId="20" xfId="412" applyNumberFormat="1" applyFont="1" applyBorder="1" applyAlignment="1">
      <alignment vertical="center" shrinkToFit="1"/>
    </xf>
    <xf numFmtId="3" fontId="129" fillId="0" borderId="60" xfId="412" applyNumberFormat="1" applyFont="1" applyBorder="1" applyAlignment="1">
      <alignment horizontal="center" vertical="center" shrinkToFit="1"/>
    </xf>
    <xf numFmtId="3" fontId="121" fillId="0" borderId="4" xfId="412" applyNumberFormat="1" applyFont="1" applyBorder="1" applyAlignment="1">
      <alignment horizontal="center" vertical="center"/>
    </xf>
    <xf numFmtId="3" fontId="121" fillId="0" borderId="60" xfId="412" applyNumberFormat="1" applyFont="1" applyBorder="1" applyAlignment="1">
      <alignment vertical="center" shrinkToFit="1"/>
    </xf>
    <xf numFmtId="219" fontId="121" fillId="0" borderId="20" xfId="412" applyNumberFormat="1" applyFont="1" applyBorder="1" applyAlignment="1">
      <alignment vertical="center" shrinkToFit="1"/>
    </xf>
    <xf numFmtId="219" fontId="121" fillId="0" borderId="20" xfId="412" applyNumberFormat="1" applyFont="1" applyBorder="1" applyAlignment="1">
      <alignment vertical="center"/>
    </xf>
    <xf numFmtId="219" fontId="121" fillId="0" borderId="179" xfId="412" applyNumberFormat="1" applyFont="1" applyBorder="1" applyAlignment="1">
      <alignment vertical="center"/>
    </xf>
    <xf numFmtId="3" fontId="121" fillId="0" borderId="5" xfId="412" applyNumberFormat="1" applyFont="1" applyBorder="1" applyAlignment="1">
      <alignment horizontal="center" vertical="center"/>
    </xf>
    <xf numFmtId="219" fontId="121" fillId="0" borderId="21" xfId="412" applyNumberFormat="1" applyFont="1" applyBorder="1" applyAlignment="1">
      <alignment vertical="center"/>
    </xf>
    <xf numFmtId="3" fontId="121" fillId="0" borderId="60" xfId="0" applyNumberFormat="1" applyFont="1" applyBorder="1" applyAlignment="1">
      <alignment horizontal="justify" vertical="justify" wrapText="1" shrinkToFit="1"/>
    </xf>
    <xf numFmtId="0" fontId="121" fillId="0" borderId="178" xfId="0" applyFont="1" applyBorder="1" applyAlignment="1">
      <alignment horizontal="center" vertical="center" wrapText="1"/>
    </xf>
    <xf numFmtId="3" fontId="121" fillId="0" borderId="140" xfId="0" applyNumberFormat="1" applyFont="1" applyBorder="1" applyAlignment="1">
      <alignment vertical="center" shrinkToFit="1"/>
    </xf>
    <xf numFmtId="3" fontId="121" fillId="0" borderId="179" xfId="0" applyNumberFormat="1" applyFont="1" applyBorder="1" applyAlignment="1">
      <alignment vertical="center" shrinkToFit="1"/>
    </xf>
    <xf numFmtId="3" fontId="122" fillId="0" borderId="0" xfId="0" applyNumberFormat="1" applyFont="1" applyAlignment="1">
      <alignment horizontal="justify" vertical="justify" wrapText="1" shrinkToFit="1"/>
    </xf>
    <xf numFmtId="0" fontId="121" fillId="0" borderId="0" xfId="0" applyFont="1" applyAlignment="1">
      <alignment horizontal="left" vertical="center"/>
    </xf>
    <xf numFmtId="3" fontId="135" fillId="0" borderId="0" xfId="0" quotePrefix="1" applyNumberFormat="1" applyFont="1" applyAlignment="1">
      <alignment horizontal="justify" vertical="justify" wrapText="1" shrinkToFit="1"/>
    </xf>
    <xf numFmtId="3" fontId="135" fillId="0" borderId="0" xfId="0" applyNumberFormat="1" applyFont="1" applyAlignment="1">
      <alignment vertical="center"/>
    </xf>
    <xf numFmtId="0" fontId="135" fillId="0" borderId="0" xfId="0" applyFont="1" applyAlignment="1">
      <alignment horizontal="left" vertical="center"/>
    </xf>
    <xf numFmtId="0" fontId="122" fillId="0" borderId="0" xfId="0" applyFont="1" applyAlignment="1">
      <alignment horizontal="left"/>
    </xf>
    <xf numFmtId="3" fontId="135" fillId="0" borderId="0" xfId="0" applyNumberFormat="1" applyFont="1"/>
    <xf numFmtId="3" fontId="129" fillId="0" borderId="19" xfId="0" applyNumberFormat="1" applyFont="1" applyBorder="1" applyAlignment="1">
      <alignment horizontal="right" vertical="center"/>
    </xf>
    <xf numFmtId="3" fontId="121" fillId="0" borderId="20" xfId="0" applyNumberFormat="1" applyFont="1" applyBorder="1" applyAlignment="1">
      <alignment horizontal="right" vertical="center"/>
    </xf>
    <xf numFmtId="3" fontId="121" fillId="0" borderId="20" xfId="1" applyNumberFormat="1" applyFont="1" applyFill="1" applyBorder="1" applyAlignment="1">
      <alignment horizontal="right" shrinkToFit="1"/>
    </xf>
    <xf numFmtId="3" fontId="122" fillId="0" borderId="20" xfId="1" applyNumberFormat="1" applyFont="1" applyFill="1" applyBorder="1"/>
    <xf numFmtId="3" fontId="122" fillId="0" borderId="21" xfId="1" applyNumberFormat="1" applyFont="1" applyFill="1" applyBorder="1"/>
    <xf numFmtId="166" fontId="14" fillId="0" borderId="0" xfId="0" applyNumberFormat="1" applyFont="1"/>
    <xf numFmtId="171" fontId="14" fillId="0" borderId="60" xfId="0" applyNumberFormat="1" applyFont="1" applyBorder="1" applyAlignment="1">
      <alignment vertical="center" shrinkToFit="1"/>
    </xf>
    <xf numFmtId="172" fontId="14" fillId="0" borderId="60" xfId="0" applyNumberFormat="1" applyFont="1" applyBorder="1" applyAlignment="1">
      <alignment vertical="center" shrinkToFit="1"/>
    </xf>
    <xf numFmtId="0" fontId="17" fillId="0" borderId="60" xfId="0" applyFont="1" applyBorder="1" applyAlignment="1">
      <alignment vertical="center" shrinkToFit="1"/>
    </xf>
    <xf numFmtId="3" fontId="14" fillId="0" borderId="0" xfId="0" applyNumberFormat="1" applyFont="1" applyAlignment="1">
      <alignment vertical="center"/>
    </xf>
    <xf numFmtId="3" fontId="17" fillId="0" borderId="0" xfId="0" applyNumberFormat="1" applyFont="1" applyAlignment="1">
      <alignment vertical="center"/>
    </xf>
    <xf numFmtId="10" fontId="17" fillId="0" borderId="0" xfId="0" applyNumberFormat="1" applyFont="1" applyAlignment="1">
      <alignment vertical="center"/>
    </xf>
    <xf numFmtId="3" fontId="261" fillId="0" borderId="60" xfId="0" applyNumberFormat="1" applyFont="1" applyBorder="1" applyAlignment="1">
      <alignment shrinkToFit="1"/>
    </xf>
    <xf numFmtId="3" fontId="261" fillId="0" borderId="60" xfId="0" applyNumberFormat="1" applyFont="1" applyBorder="1"/>
    <xf numFmtId="0" fontId="261" fillId="0" borderId="0" xfId="0" applyFont="1"/>
    <xf numFmtId="170" fontId="14" fillId="0" borderId="0" xfId="0" applyNumberFormat="1" applyFont="1" applyAlignment="1">
      <alignment shrinkToFit="1"/>
    </xf>
    <xf numFmtId="173" fontId="17" fillId="0" borderId="0" xfId="3" applyNumberFormat="1" applyFont="1" applyFill="1" applyAlignment="1">
      <alignment horizontal="right"/>
    </xf>
    <xf numFmtId="169" fontId="17" fillId="0" borderId="0" xfId="1" applyNumberFormat="1" applyFont="1" applyFill="1" applyAlignment="1">
      <alignment shrinkToFit="1"/>
    </xf>
    <xf numFmtId="170" fontId="32" fillId="0" borderId="0" xfId="1" applyNumberFormat="1" applyFont="1"/>
    <xf numFmtId="170" fontId="14" fillId="3" borderId="60" xfId="1" applyNumberFormat="1" applyFont="1" applyFill="1" applyBorder="1" applyAlignment="1">
      <alignment shrinkToFit="1"/>
    </xf>
    <xf numFmtId="3" fontId="194" fillId="0" borderId="20" xfId="0" applyNumberFormat="1" applyFont="1" applyBorder="1" applyAlignment="1">
      <alignment vertical="center" shrinkToFit="1"/>
    </xf>
    <xf numFmtId="3" fontId="112" fillId="0" borderId="60" xfId="1" applyNumberFormat="1" applyFont="1" applyFill="1" applyBorder="1" applyAlignment="1">
      <alignment vertical="center" shrinkToFit="1"/>
    </xf>
    <xf numFmtId="173" fontId="112" fillId="0" borderId="60" xfId="1" applyNumberFormat="1" applyFont="1" applyFill="1" applyBorder="1" applyAlignment="1">
      <alignment vertical="center" shrinkToFit="1"/>
    </xf>
    <xf numFmtId="173" fontId="112" fillId="0" borderId="60" xfId="0" applyNumberFormat="1" applyFont="1" applyBorder="1" applyAlignment="1">
      <alignment vertical="center" shrinkToFit="1"/>
    </xf>
    <xf numFmtId="171" fontId="112" fillId="0" borderId="60" xfId="1" applyNumberFormat="1" applyFont="1" applyFill="1" applyBorder="1" applyAlignment="1">
      <alignment horizontal="right" vertical="center" shrinkToFit="1"/>
    </xf>
    <xf numFmtId="3" fontId="119" fillId="0" borderId="60" xfId="0" applyNumberFormat="1" applyFont="1" applyBorder="1" applyAlignment="1">
      <alignment shrinkToFit="1"/>
    </xf>
    <xf numFmtId="3" fontId="119" fillId="3" borderId="60" xfId="0" applyNumberFormat="1" applyFont="1" applyFill="1" applyBorder="1" applyAlignment="1">
      <alignment shrinkToFit="1"/>
    </xf>
    <xf numFmtId="3" fontId="119" fillId="3" borderId="60" xfId="1" applyNumberFormat="1" applyFont="1" applyFill="1" applyBorder="1" applyAlignment="1">
      <alignment shrinkToFit="1"/>
    </xf>
    <xf numFmtId="0" fontId="121" fillId="27" borderId="60" xfId="0" applyFont="1" applyFill="1" applyBorder="1"/>
    <xf numFmtId="3" fontId="121" fillId="27" borderId="60" xfId="0" applyNumberFormat="1" applyFont="1" applyFill="1" applyBorder="1"/>
    <xf numFmtId="3" fontId="125" fillId="27" borderId="60" xfId="0" applyNumberFormat="1" applyFont="1" applyFill="1" applyBorder="1" applyAlignment="1">
      <alignment vertical="center" shrinkToFit="1"/>
    </xf>
    <xf numFmtId="3" fontId="135" fillId="0" borderId="93" xfId="0" applyNumberFormat="1" applyFont="1" applyBorder="1" applyAlignment="1">
      <alignment vertical="center"/>
    </xf>
    <xf numFmtId="3" fontId="116" fillId="27" borderId="60" xfId="0" applyNumberFormat="1" applyFont="1" applyFill="1" applyBorder="1" applyAlignment="1">
      <alignment vertical="center" shrinkToFit="1"/>
    </xf>
    <xf numFmtId="3" fontId="116" fillId="0" borderId="60" xfId="0" applyNumberFormat="1" applyFont="1" applyBorder="1" applyAlignment="1">
      <alignment vertical="center" shrinkToFit="1"/>
    </xf>
    <xf numFmtId="3" fontId="116" fillId="0" borderId="20" xfId="0" applyNumberFormat="1" applyFont="1" applyBorder="1" applyAlignment="1">
      <alignment vertical="center" shrinkToFit="1"/>
    </xf>
    <xf numFmtId="3" fontId="125" fillId="3" borderId="60" xfId="0" applyNumberFormat="1" applyFont="1" applyFill="1" applyBorder="1" applyAlignment="1">
      <alignment vertical="center" shrinkToFit="1"/>
    </xf>
    <xf numFmtId="173" fontId="125" fillId="0" borderId="60" xfId="1" applyNumberFormat="1" applyFont="1" applyFill="1" applyBorder="1" applyAlignment="1">
      <alignment vertical="center" shrinkToFit="1"/>
    </xf>
    <xf numFmtId="173" fontId="125" fillId="0" borderId="60" xfId="0" applyNumberFormat="1" applyFont="1" applyBorder="1" applyAlignment="1">
      <alignment vertical="center" shrinkToFit="1"/>
    </xf>
    <xf numFmtId="171" fontId="125" fillId="0" borderId="60" xfId="1" applyNumberFormat="1" applyFont="1" applyFill="1" applyBorder="1" applyAlignment="1">
      <alignment horizontal="right" vertical="center" shrinkToFit="1"/>
    </xf>
    <xf numFmtId="10" fontId="125" fillId="0" borderId="60" xfId="0" applyNumberFormat="1" applyFont="1" applyBorder="1" applyAlignment="1">
      <alignment vertical="center" shrinkToFit="1"/>
    </xf>
    <xf numFmtId="0" fontId="125" fillId="0" borderId="0" xfId="0" applyFont="1" applyAlignment="1">
      <alignment vertical="center"/>
    </xf>
    <xf numFmtId="3" fontId="119" fillId="0" borderId="60" xfId="0" applyNumberFormat="1" applyFont="1" applyBorder="1"/>
    <xf numFmtId="3" fontId="122" fillId="0" borderId="0" xfId="0" applyNumberFormat="1" applyFont="1" applyAlignment="1">
      <alignment horizontal="center" wrapText="1"/>
    </xf>
    <xf numFmtId="4" fontId="122" fillId="0" borderId="0" xfId="0" applyNumberFormat="1" applyFont="1"/>
    <xf numFmtId="3" fontId="121" fillId="0" borderId="25" xfId="0" applyNumberFormat="1" applyFont="1" applyBorder="1" applyAlignment="1">
      <alignment horizontal="center" vertical="center" shrinkToFit="1"/>
    </xf>
    <xf numFmtId="3" fontId="121" fillId="0" borderId="10" xfId="0" applyNumberFormat="1" applyFont="1" applyBorder="1" applyAlignment="1">
      <alignment horizontal="center" vertical="center" shrinkToFit="1"/>
    </xf>
    <xf numFmtId="3" fontId="129" fillId="0" borderId="2" xfId="0" applyNumberFormat="1" applyFont="1" applyBorder="1" applyAlignment="1">
      <alignment horizontal="center" vertical="center" shrinkToFit="1"/>
    </xf>
    <xf numFmtId="3" fontId="129" fillId="0" borderId="58" xfId="0" applyNumberFormat="1" applyFont="1" applyBorder="1" applyAlignment="1">
      <alignment horizontal="justify" vertical="center" shrinkToFit="1"/>
    </xf>
    <xf numFmtId="3" fontId="129" fillId="0" borderId="58" xfId="0" applyNumberFormat="1" applyFont="1" applyBorder="1" applyAlignment="1">
      <alignment horizontal="right" vertical="center" shrinkToFit="1"/>
    </xf>
    <xf numFmtId="3" fontId="129" fillId="0" borderId="63" xfId="0" applyNumberFormat="1" applyFont="1" applyBorder="1" applyAlignment="1">
      <alignment horizontal="right" vertical="center" shrinkToFit="1"/>
    </xf>
    <xf numFmtId="3" fontId="129" fillId="0" borderId="68" xfId="0" applyNumberFormat="1" applyFont="1" applyBorder="1" applyAlignment="1">
      <alignment horizontal="right" vertical="center" shrinkToFit="1"/>
    </xf>
    <xf numFmtId="3" fontId="215" fillId="0" borderId="175" xfId="0" applyNumberFormat="1" applyFont="1" applyBorder="1" applyAlignment="1">
      <alignment horizontal="center" vertical="center" shrinkToFit="1"/>
    </xf>
    <xf numFmtId="3" fontId="215" fillId="0" borderId="14" xfId="0" applyNumberFormat="1" applyFont="1" applyBorder="1" applyAlignment="1">
      <alignment horizontal="justify" vertical="center" shrinkToFit="1"/>
    </xf>
    <xf numFmtId="3" fontId="215" fillId="0" borderId="14" xfId="0" applyNumberFormat="1" applyFont="1" applyBorder="1" applyAlignment="1">
      <alignment horizontal="right" vertical="center" shrinkToFit="1"/>
    </xf>
    <xf numFmtId="3" fontId="215" fillId="0" borderId="33" xfId="0" applyNumberFormat="1" applyFont="1" applyBorder="1" applyAlignment="1">
      <alignment horizontal="right" vertical="center" shrinkToFit="1"/>
    </xf>
    <xf numFmtId="3" fontId="215" fillId="0" borderId="65" xfId="0" applyNumberFormat="1" applyFont="1" applyBorder="1" applyAlignment="1">
      <alignment horizontal="right" vertical="center" shrinkToFit="1"/>
    </xf>
    <xf numFmtId="3" fontId="215" fillId="0" borderId="14" xfId="0" applyNumberFormat="1" applyFont="1" applyBorder="1" applyAlignment="1">
      <alignment vertical="center" shrinkToFit="1"/>
    </xf>
    <xf numFmtId="3" fontId="215" fillId="0" borderId="176" xfId="0" applyNumberFormat="1" applyFont="1" applyBorder="1" applyAlignment="1">
      <alignment vertical="center" shrinkToFit="1"/>
    </xf>
    <xf numFmtId="3" fontId="129" fillId="0" borderId="60" xfId="0" applyNumberFormat="1" applyFont="1" applyBorder="1" applyAlignment="1">
      <alignment horizontal="right" vertical="center" shrinkToFit="1"/>
    </xf>
    <xf numFmtId="3" fontId="129" fillId="0" borderId="32" xfId="0" applyNumberFormat="1" applyFont="1" applyBorder="1" applyAlignment="1">
      <alignment horizontal="right" vertical="center" shrinkToFit="1"/>
    </xf>
    <xf numFmtId="3" fontId="129" fillId="0" borderId="59" xfId="0" applyNumberFormat="1" applyFont="1" applyBorder="1" applyAlignment="1">
      <alignment horizontal="right" vertical="center" shrinkToFit="1"/>
    </xf>
    <xf numFmtId="3" fontId="122" fillId="0" borderId="32" xfId="0" applyNumberFormat="1" applyFont="1" applyBorder="1" applyAlignment="1">
      <alignment horizontal="right" vertical="center" shrinkToFit="1"/>
    </xf>
    <xf numFmtId="3" fontId="122" fillId="0" borderId="59" xfId="0" applyNumberFormat="1" applyFont="1" applyBorder="1" applyAlignment="1">
      <alignment horizontal="right" vertical="center" shrinkToFit="1"/>
    </xf>
    <xf numFmtId="0" fontId="122" fillId="0" borderId="4" xfId="0" applyFont="1" applyBorder="1" applyAlignment="1">
      <alignment horizontal="center" vertical="center" shrinkToFit="1"/>
    </xf>
    <xf numFmtId="3" fontId="121" fillId="0" borderId="60" xfId="0" applyNumberFormat="1" applyFont="1" applyBorder="1" applyAlignment="1">
      <alignment horizontal="right" vertical="center" shrinkToFit="1"/>
    </xf>
    <xf numFmtId="3" fontId="129" fillId="0" borderId="178" xfId="0" applyNumberFormat="1" applyFont="1" applyBorder="1" applyAlignment="1">
      <alignment horizontal="center" vertical="center" wrapText="1" shrinkToFit="1"/>
    </xf>
    <xf numFmtId="220" fontId="129" fillId="0" borderId="140" xfId="351" applyNumberFormat="1" applyFont="1" applyBorder="1" applyAlignment="1">
      <alignment horizontal="justify" vertical="center" wrapText="1"/>
    </xf>
    <xf numFmtId="3" fontId="129" fillId="0" borderId="140" xfId="0" applyNumberFormat="1" applyFont="1" applyBorder="1" applyAlignment="1">
      <alignment horizontal="right" vertical="center" shrinkToFit="1"/>
    </xf>
    <xf numFmtId="3" fontId="129" fillId="0" borderId="173" xfId="0" applyNumberFormat="1" applyFont="1" applyBorder="1" applyAlignment="1">
      <alignment horizontal="right" vertical="center" shrinkToFit="1"/>
    </xf>
    <xf numFmtId="3" fontId="129" fillId="0" borderId="174" xfId="0" applyNumberFormat="1" applyFont="1" applyBorder="1" applyAlignment="1">
      <alignment horizontal="right" vertical="center" shrinkToFit="1"/>
    </xf>
    <xf numFmtId="3" fontId="129" fillId="0" borderId="140" xfId="0" applyNumberFormat="1" applyFont="1" applyBorder="1" applyAlignment="1">
      <alignment vertical="center" shrinkToFit="1"/>
    </xf>
    <xf numFmtId="3" fontId="129" fillId="0" borderId="179" xfId="0" applyNumberFormat="1" applyFont="1" applyBorder="1" applyAlignment="1">
      <alignment vertical="center" shrinkToFit="1"/>
    </xf>
    <xf numFmtId="3" fontId="129" fillId="0" borderId="5" xfId="0" applyNumberFormat="1" applyFont="1" applyBorder="1" applyAlignment="1">
      <alignment horizontal="center" vertical="center" shrinkToFit="1"/>
    </xf>
    <xf numFmtId="3" fontId="129" fillId="0" borderId="6" xfId="0" applyNumberFormat="1" applyFont="1" applyBorder="1" applyAlignment="1">
      <alignment horizontal="center" vertical="center" shrinkToFit="1"/>
    </xf>
    <xf numFmtId="3" fontId="129" fillId="0" borderId="181" xfId="0" applyNumberFormat="1" applyFont="1" applyBorder="1" applyAlignment="1">
      <alignment horizontal="right" vertical="center" shrinkToFit="1"/>
    </xf>
    <xf numFmtId="3" fontId="129" fillId="0" borderId="147" xfId="0" applyNumberFormat="1" applyFont="1" applyBorder="1" applyAlignment="1">
      <alignment horizontal="right" vertical="center" shrinkToFit="1"/>
    </xf>
    <xf numFmtId="3" fontId="129" fillId="0" borderId="21" xfId="0" applyNumberFormat="1" applyFont="1" applyBorder="1" applyAlignment="1">
      <alignment horizontal="right" vertical="center" shrinkToFit="1"/>
    </xf>
    <xf numFmtId="3" fontId="129" fillId="0" borderId="175" xfId="0" applyNumberFormat="1" applyFont="1" applyBorder="1" applyAlignment="1">
      <alignment horizontal="center" vertical="center"/>
    </xf>
    <xf numFmtId="3" fontId="129" fillId="0" borderId="14" xfId="0" applyNumberFormat="1" applyFont="1" applyBorder="1" applyAlignment="1">
      <alignment horizontal="center" vertical="center" shrinkToFit="1"/>
    </xf>
    <xf numFmtId="166" fontId="129" fillId="0" borderId="176" xfId="0" applyNumberFormat="1" applyFont="1" applyBorder="1" applyAlignment="1">
      <alignment vertical="center" shrinkToFit="1"/>
    </xf>
    <xf numFmtId="3" fontId="129" fillId="0" borderId="4" xfId="0" applyNumberFormat="1" applyFont="1" applyBorder="1" applyAlignment="1">
      <alignment horizontal="center" vertical="center"/>
    </xf>
    <xf numFmtId="166" fontId="129" fillId="0" borderId="20" xfId="0" applyNumberFormat="1" applyFont="1" applyBorder="1" applyAlignment="1">
      <alignment vertical="center" shrinkToFit="1"/>
    </xf>
    <xf numFmtId="166" fontId="135" fillId="0" borderId="60" xfId="0" applyNumberFormat="1" applyFont="1" applyBorder="1" applyAlignment="1">
      <alignment vertical="center" shrinkToFit="1"/>
    </xf>
    <xf numFmtId="166" fontId="135" fillId="0" borderId="20" xfId="0" applyNumberFormat="1" applyFont="1" applyBorder="1" applyAlignment="1">
      <alignment vertical="center" shrinkToFit="1"/>
    </xf>
    <xf numFmtId="3" fontId="129" fillId="0" borderId="4" xfId="0" applyNumberFormat="1" applyFont="1" applyBorder="1" applyAlignment="1">
      <alignment horizontal="center" vertical="center" wrapText="1"/>
    </xf>
    <xf numFmtId="3" fontId="122" fillId="0" borderId="0" xfId="0" applyNumberFormat="1" applyFont="1" applyAlignment="1">
      <alignment horizontal="center" vertical="center"/>
    </xf>
    <xf numFmtId="3" fontId="121" fillId="0" borderId="130" xfId="2" applyNumberFormat="1" applyFont="1" applyFill="1" applyBorder="1" applyAlignment="1">
      <alignment horizontal="center" vertical="center" wrapText="1"/>
    </xf>
    <xf numFmtId="3" fontId="121" fillId="0" borderId="17" xfId="0" applyNumberFormat="1" applyFont="1" applyBorder="1" applyAlignment="1">
      <alignment horizontal="center" vertical="center" wrapText="1"/>
    </xf>
    <xf numFmtId="3" fontId="121" fillId="0" borderId="64" xfId="0" applyNumberFormat="1" applyFont="1" applyBorder="1" applyAlignment="1">
      <alignment horizontal="center" vertical="center" wrapText="1"/>
    </xf>
    <xf numFmtId="219" fontId="135" fillId="0" borderId="4" xfId="0" applyNumberFormat="1" applyFont="1" applyBorder="1" applyAlignment="1">
      <alignment horizontal="center" vertical="center"/>
    </xf>
    <xf numFmtId="166" fontId="129" fillId="0" borderId="60" xfId="0" applyNumberFormat="1" applyFont="1" applyBorder="1" applyAlignment="1">
      <alignment vertical="center" wrapText="1" shrinkToFit="1"/>
    </xf>
    <xf numFmtId="166" fontId="129" fillId="0" borderId="20" xfId="0" applyNumberFormat="1" applyFont="1" applyBorder="1" applyAlignment="1">
      <alignment vertical="center" wrapText="1" shrinkToFit="1"/>
    </xf>
    <xf numFmtId="3" fontId="122" fillId="0" borderId="175" xfId="0" applyNumberFormat="1" applyFont="1" applyBorder="1" applyAlignment="1">
      <alignment horizontal="center" vertical="center" wrapText="1"/>
    </xf>
    <xf numFmtId="3" fontId="122" fillId="0" borderId="14" xfId="0" applyNumberFormat="1" applyFont="1" applyBorder="1" applyAlignment="1">
      <alignment wrapText="1" shrinkToFit="1"/>
    </xf>
    <xf numFmtId="219" fontId="122" fillId="0" borderId="14" xfId="0" applyNumberFormat="1" applyFont="1" applyBorder="1" applyAlignment="1">
      <alignment wrapText="1" shrinkToFit="1"/>
    </xf>
    <xf numFmtId="219" fontId="122" fillId="0" borderId="176" xfId="0" applyNumberFormat="1" applyFont="1" applyBorder="1" applyAlignment="1">
      <alignment wrapText="1" shrinkToFit="1"/>
    </xf>
    <xf numFmtId="3" fontId="122" fillId="0" borderId="0" xfId="0" applyNumberFormat="1" applyFont="1" applyAlignment="1">
      <alignment wrapText="1"/>
    </xf>
    <xf numFmtId="3" fontId="122" fillId="0" borderId="4" xfId="0" applyNumberFormat="1" applyFont="1" applyBorder="1" applyAlignment="1">
      <alignment horizontal="center" vertical="center" wrapText="1"/>
    </xf>
    <xf numFmtId="219" fontId="122" fillId="0" borderId="60" xfId="0" applyNumberFormat="1" applyFont="1" applyBorder="1" applyAlignment="1">
      <alignment wrapText="1" shrinkToFit="1"/>
    </xf>
    <xf numFmtId="219" fontId="122" fillId="0" borderId="20" xfId="0" applyNumberFormat="1" applyFont="1" applyBorder="1" applyAlignment="1">
      <alignment wrapText="1" shrinkToFit="1"/>
    </xf>
    <xf numFmtId="219" fontId="122" fillId="0" borderId="60" xfId="0" applyNumberFormat="1" applyFont="1" applyBorder="1" applyAlignment="1">
      <alignment vertical="center" wrapText="1" shrinkToFit="1"/>
    </xf>
    <xf numFmtId="219" fontId="122" fillId="0" borderId="20" xfId="0" applyNumberFormat="1" applyFont="1" applyBorder="1" applyAlignment="1">
      <alignment vertical="center" wrapText="1" shrinkToFit="1"/>
    </xf>
    <xf numFmtId="3" fontId="122" fillId="0" borderId="5" xfId="0" applyNumberFormat="1" applyFont="1" applyBorder="1" applyAlignment="1">
      <alignment horizontal="center" vertical="center" wrapText="1"/>
    </xf>
    <xf numFmtId="219" fontId="122" fillId="0" borderId="6" xfId="0" applyNumberFormat="1" applyFont="1" applyBorder="1" applyAlignment="1">
      <alignment vertical="center" wrapText="1" shrinkToFit="1"/>
    </xf>
    <xf numFmtId="219" fontId="122" fillId="0" borderId="21" xfId="0" applyNumberFormat="1" applyFont="1" applyBorder="1" applyAlignment="1">
      <alignment vertical="center" wrapText="1" shrinkToFit="1"/>
    </xf>
    <xf numFmtId="3" fontId="120" fillId="0" borderId="219" xfId="0" applyNumberFormat="1" applyFont="1" applyBorder="1" applyAlignment="1">
      <alignment horizontal="right" vertical="center" shrinkToFit="1"/>
    </xf>
    <xf numFmtId="3" fontId="142" fillId="0" borderId="219" xfId="0" applyNumberFormat="1" applyFont="1" applyBorder="1" applyAlignment="1">
      <alignment horizontal="right" vertical="center" shrinkToFit="1"/>
    </xf>
    <xf numFmtId="3" fontId="120" fillId="0" borderId="220" xfId="0" applyNumberFormat="1" applyFont="1" applyBorder="1" applyAlignment="1">
      <alignment horizontal="right" vertical="center" shrinkToFit="1"/>
    </xf>
    <xf numFmtId="0" fontId="121" fillId="0" borderId="140" xfId="0" applyFont="1" applyBorder="1" applyAlignment="1">
      <alignment vertical="center" wrapText="1" shrinkToFit="1"/>
    </xf>
    <xf numFmtId="3" fontId="120" fillId="0" borderId="183" xfId="0" applyNumberFormat="1" applyFont="1" applyBorder="1" applyAlignment="1">
      <alignment horizontal="right" vertical="center" shrinkToFit="1"/>
    </xf>
    <xf numFmtId="3" fontId="142" fillId="0" borderId="183" xfId="0" applyNumberFormat="1" applyFont="1" applyBorder="1" applyAlignment="1">
      <alignment horizontal="right" vertical="center" shrinkToFit="1"/>
    </xf>
    <xf numFmtId="3" fontId="121" fillId="0" borderId="220" xfId="0" applyNumberFormat="1" applyFont="1" applyBorder="1" applyAlignment="1">
      <alignment horizontal="right" vertical="center" shrinkToFit="1"/>
    </xf>
    <xf numFmtId="3" fontId="122" fillId="0" borderId="177" xfId="0" applyNumberFormat="1" applyFont="1" applyBorder="1" applyAlignment="1">
      <alignment horizontal="right" vertical="center" shrinkToFit="1"/>
    </xf>
    <xf numFmtId="179" fontId="128" fillId="0" borderId="0" xfId="1" applyNumberFormat="1" applyFont="1" applyAlignment="1">
      <alignment vertical="center" shrinkToFit="1"/>
    </xf>
    <xf numFmtId="0" fontId="128" fillId="0" borderId="0" xfId="0" applyFont="1" applyAlignment="1">
      <alignment shrinkToFit="1"/>
    </xf>
    <xf numFmtId="0" fontId="128" fillId="0" borderId="0" xfId="0" applyFont="1" applyAlignment="1">
      <alignment vertical="center" shrinkToFit="1"/>
    </xf>
    <xf numFmtId="179" fontId="128" fillId="0" borderId="0" xfId="0" applyNumberFormat="1" applyFont="1" applyAlignment="1">
      <alignment shrinkToFit="1"/>
    </xf>
    <xf numFmtId="179" fontId="128" fillId="0" borderId="0" xfId="1" applyNumberFormat="1" applyFont="1" applyAlignment="1">
      <alignment shrinkToFit="1"/>
    </xf>
    <xf numFmtId="179" fontId="128" fillId="0" borderId="0" xfId="0" applyNumberFormat="1" applyFont="1" applyAlignment="1">
      <alignment vertical="center" shrinkToFit="1"/>
    </xf>
    <xf numFmtId="179" fontId="128" fillId="0" borderId="0" xfId="1" applyNumberFormat="1" applyFont="1" applyFill="1" applyAlignment="1">
      <alignment shrinkToFit="1"/>
    </xf>
    <xf numFmtId="179" fontId="134" fillId="0" borderId="0" xfId="1" applyNumberFormat="1" applyFont="1" applyAlignment="1">
      <alignment shrinkToFit="1"/>
    </xf>
    <xf numFmtId="0" fontId="134" fillId="0" borderId="0" xfId="0" applyFont="1" applyAlignment="1">
      <alignment shrinkToFit="1"/>
    </xf>
    <xf numFmtId="179" fontId="134" fillId="0" borderId="0" xfId="0" applyNumberFormat="1" applyFont="1" applyAlignment="1">
      <alignment shrinkToFit="1"/>
    </xf>
    <xf numFmtId="171" fontId="21" fillId="0" borderId="60" xfId="0" applyNumberFormat="1" applyFont="1" applyBorder="1" applyAlignment="1">
      <alignment shrinkToFit="1"/>
    </xf>
    <xf numFmtId="171" fontId="21" fillId="0" borderId="60" xfId="3" applyNumberFormat="1" applyFont="1" applyFill="1" applyBorder="1" applyAlignment="1">
      <alignment shrinkToFit="1"/>
    </xf>
    <xf numFmtId="172" fontId="21" fillId="0" borderId="60" xfId="3" applyNumberFormat="1" applyFont="1" applyFill="1" applyBorder="1" applyAlignment="1">
      <alignment shrinkToFit="1"/>
    </xf>
    <xf numFmtId="172" fontId="21" fillId="0" borderId="60" xfId="0" applyNumberFormat="1" applyFont="1" applyBorder="1"/>
    <xf numFmtId="3" fontId="261" fillId="0" borderId="0" xfId="0" applyNumberFormat="1" applyFont="1"/>
    <xf numFmtId="10" fontId="261" fillId="0" borderId="0" xfId="0" applyNumberFormat="1" applyFont="1"/>
    <xf numFmtId="10" fontId="14" fillId="0" borderId="0" xfId="0" applyNumberFormat="1" applyFont="1"/>
    <xf numFmtId="3" fontId="139" fillId="0" borderId="60" xfId="0" applyNumberFormat="1" applyFont="1" applyBorder="1" applyAlignment="1">
      <alignment shrinkToFit="1"/>
    </xf>
    <xf numFmtId="3" fontId="122" fillId="2" borderId="60" xfId="11" applyNumberFormat="1" applyFont="1" applyFill="1" applyBorder="1" applyAlignment="1">
      <alignment horizontal="right"/>
    </xf>
    <xf numFmtId="3" fontId="17" fillId="3" borderId="60" xfId="1" applyNumberFormat="1" applyFont="1" applyFill="1" applyBorder="1"/>
    <xf numFmtId="172" fontId="17" fillId="0" borderId="0" xfId="0" applyNumberFormat="1" applyFont="1"/>
    <xf numFmtId="9" fontId="17" fillId="0" borderId="0" xfId="0" applyNumberFormat="1" applyFont="1"/>
    <xf numFmtId="173" fontId="17" fillId="0" borderId="0" xfId="0" applyNumberFormat="1" applyFont="1"/>
    <xf numFmtId="169" fontId="184" fillId="0" borderId="0" xfId="1" applyNumberFormat="1" applyFont="1" applyAlignment="1">
      <alignment wrapText="1"/>
    </xf>
    <xf numFmtId="3" fontId="17" fillId="0" borderId="0" xfId="1" applyNumberFormat="1" applyFont="1" applyFill="1"/>
    <xf numFmtId="3" fontId="14" fillId="0" borderId="0" xfId="1" applyNumberFormat="1" applyFont="1" applyFill="1"/>
    <xf numFmtId="3" fontId="116" fillId="0" borderId="0" xfId="0" applyNumberFormat="1" applyFont="1" applyAlignment="1">
      <alignment shrinkToFit="1"/>
    </xf>
    <xf numFmtId="1" fontId="121" fillId="0" borderId="219" xfId="0" applyNumberFormat="1" applyFont="1" applyBorder="1" applyAlignment="1">
      <alignment vertical="center"/>
    </xf>
    <xf numFmtId="229" fontId="122" fillId="0" borderId="0" xfId="0" applyNumberFormat="1" applyFont="1"/>
    <xf numFmtId="1" fontId="122" fillId="0" borderId="0" xfId="0" applyNumberFormat="1" applyFont="1"/>
    <xf numFmtId="49" fontId="142" fillId="0" borderId="60" xfId="352" applyNumberFormat="1" applyFont="1" applyBorder="1" applyAlignment="1">
      <alignment horizontal="justify" vertical="center" wrapText="1" shrinkToFit="1"/>
    </xf>
    <xf numFmtId="3" fontId="4" fillId="0" borderId="0" xfId="1" applyNumberFormat="1" applyFont="1"/>
    <xf numFmtId="3" fontId="11" fillId="0" borderId="0" xfId="1" applyNumberFormat="1" applyFont="1"/>
    <xf numFmtId="3" fontId="122" fillId="0" borderId="6" xfId="0" applyNumberFormat="1" applyFont="1" applyBorder="1" applyAlignment="1">
      <alignment vertical="center" wrapText="1" shrinkToFit="1"/>
    </xf>
    <xf numFmtId="219" fontId="121" fillId="0" borderId="220" xfId="0" applyNumberFormat="1" applyFont="1" applyBorder="1" applyAlignment="1">
      <alignment vertical="center" shrinkToFit="1"/>
    </xf>
    <xf numFmtId="3" fontId="130" fillId="0" borderId="0" xfId="352" applyNumberFormat="1" applyFont="1" applyAlignment="1">
      <alignment vertical="center" shrinkToFit="1"/>
    </xf>
    <xf numFmtId="3" fontId="11" fillId="0" borderId="14" xfId="1" applyNumberFormat="1" applyFont="1" applyFill="1" applyBorder="1" applyAlignment="1">
      <alignment horizontal="right" vertical="center" wrapText="1"/>
    </xf>
    <xf numFmtId="3" fontId="11" fillId="0" borderId="60" xfId="1" applyNumberFormat="1" applyFont="1" applyFill="1" applyBorder="1" applyAlignment="1">
      <alignment vertical="center" wrapText="1"/>
    </xf>
    <xf numFmtId="3" fontId="184" fillId="0" borderId="60" xfId="1" applyNumberFormat="1" applyFont="1" applyFill="1" applyBorder="1" applyAlignment="1">
      <alignment vertical="center" wrapText="1"/>
    </xf>
    <xf numFmtId="166" fontId="120" fillId="0" borderId="0" xfId="352" applyNumberFormat="1" applyFont="1" applyAlignment="1">
      <alignment vertical="center"/>
    </xf>
    <xf numFmtId="219" fontId="32" fillId="3" borderId="60" xfId="352" applyNumberFormat="1" applyFont="1" applyFill="1" applyBorder="1" applyAlignment="1">
      <alignment vertical="center" shrinkToFit="1"/>
    </xf>
    <xf numFmtId="3" fontId="129" fillId="3" borderId="60" xfId="0" applyNumberFormat="1" applyFont="1" applyFill="1" applyBorder="1" applyAlignment="1">
      <alignment vertical="center" shrinkToFit="1"/>
    </xf>
    <xf numFmtId="9" fontId="120" fillId="0" borderId="0" xfId="3" applyFont="1"/>
    <xf numFmtId="169" fontId="120" fillId="0" borderId="0" xfId="1" applyNumberFormat="1" applyFont="1"/>
    <xf numFmtId="169" fontId="120" fillId="0" borderId="0" xfId="0" applyNumberFormat="1" applyFont="1"/>
    <xf numFmtId="169" fontId="142" fillId="0" borderId="0" xfId="1" applyNumberFormat="1" applyFont="1"/>
    <xf numFmtId="228" fontId="23" fillId="0" borderId="60" xfId="381" applyNumberFormat="1" applyFont="1" applyBorder="1" applyAlignment="1">
      <alignment vertical="center" shrinkToFit="1"/>
    </xf>
    <xf numFmtId="0" fontId="134" fillId="0" borderId="4" xfId="0" applyFont="1" applyBorder="1"/>
    <xf numFmtId="0" fontId="134" fillId="0" borderId="60" xfId="0" applyFont="1" applyBorder="1"/>
    <xf numFmtId="0" fontId="134" fillId="0" borderId="60" xfId="0" quotePrefix="1" applyFont="1" applyBorder="1"/>
    <xf numFmtId="3" fontId="134" fillId="0" borderId="20" xfId="1" applyNumberFormat="1" applyFont="1" applyBorder="1"/>
    <xf numFmtId="0" fontId="134" fillId="0" borderId="5" xfId="0" applyFont="1" applyBorder="1"/>
    <xf numFmtId="0" fontId="134" fillId="0" borderId="6" xfId="0" quotePrefix="1" applyFont="1" applyBorder="1"/>
    <xf numFmtId="3" fontId="134" fillId="0" borderId="21" xfId="1" applyNumberFormat="1" applyFont="1" applyBorder="1"/>
    <xf numFmtId="3" fontId="122" fillId="0" borderId="127" xfId="0" applyNumberFormat="1" applyFont="1" applyBorder="1" applyAlignment="1">
      <alignment vertical="center" shrinkToFit="1"/>
    </xf>
    <xf numFmtId="3" fontId="113" fillId="0" borderId="127" xfId="0" applyNumberFormat="1" applyFont="1" applyBorder="1" applyAlignment="1">
      <alignment vertical="center" shrinkToFit="1"/>
    </xf>
    <xf numFmtId="3" fontId="121" fillId="0" borderId="127" xfId="0" applyNumberFormat="1" applyFont="1" applyBorder="1" applyAlignment="1">
      <alignment vertical="center" shrinkToFit="1"/>
    </xf>
    <xf numFmtId="3" fontId="135" fillId="0" borderId="127" xfId="0" applyNumberFormat="1" applyFont="1" applyBorder="1" applyAlignment="1">
      <alignment vertical="center" shrinkToFit="1"/>
    </xf>
    <xf numFmtId="3" fontId="133" fillId="0" borderId="127" xfId="0" applyNumberFormat="1" applyFont="1" applyBorder="1" applyAlignment="1">
      <alignment vertical="center" shrinkToFit="1"/>
    </xf>
    <xf numFmtId="3" fontId="113" fillId="0" borderId="132" xfId="0" applyNumberFormat="1" applyFont="1" applyBorder="1" applyAlignment="1">
      <alignment vertical="center" shrinkToFit="1"/>
    </xf>
    <xf numFmtId="3" fontId="121" fillId="0" borderId="132" xfId="0" applyNumberFormat="1" applyFont="1" applyBorder="1" applyAlignment="1">
      <alignment vertical="center" shrinkToFit="1"/>
    </xf>
    <xf numFmtId="3" fontId="135" fillId="0" borderId="132" xfId="0" applyNumberFormat="1" applyFont="1" applyBorder="1" applyAlignment="1">
      <alignment vertical="center" shrinkToFit="1"/>
    </xf>
    <xf numFmtId="3" fontId="133" fillId="0" borderId="132" xfId="0" applyNumberFormat="1" applyFont="1" applyBorder="1" applyAlignment="1">
      <alignment vertical="center" shrinkToFit="1"/>
    </xf>
    <xf numFmtId="3" fontId="133" fillId="0" borderId="65" xfId="0" applyNumberFormat="1" applyFont="1" applyBorder="1" applyAlignment="1">
      <alignment vertical="center" shrinkToFit="1"/>
    </xf>
    <xf numFmtId="3" fontId="121" fillId="0" borderId="224" xfId="0" applyNumberFormat="1" applyFont="1" applyBorder="1" applyAlignment="1">
      <alignment vertical="center" shrinkToFit="1"/>
    </xf>
    <xf numFmtId="3" fontId="113" fillId="0" borderId="225" xfId="0" applyNumberFormat="1" applyFont="1" applyBorder="1" applyAlignment="1">
      <alignment vertical="center" shrinkToFit="1"/>
    </xf>
    <xf numFmtId="3" fontId="113" fillId="0" borderId="226" xfId="0" applyNumberFormat="1" applyFont="1" applyBorder="1" applyAlignment="1">
      <alignment vertical="center" shrinkToFit="1"/>
    </xf>
    <xf numFmtId="0" fontId="113" fillId="27" borderId="8" xfId="0" applyFont="1" applyFill="1" applyBorder="1" applyAlignment="1">
      <alignment horizontal="center"/>
    </xf>
    <xf numFmtId="3" fontId="133" fillId="27" borderId="15" xfId="0" applyNumberFormat="1" applyFont="1" applyFill="1" applyBorder="1" applyAlignment="1">
      <alignment vertical="center" shrinkToFit="1"/>
    </xf>
    <xf numFmtId="3" fontId="122" fillId="0" borderId="16" xfId="0" applyNumberFormat="1" applyFont="1" applyBorder="1" applyAlignment="1">
      <alignment shrinkToFit="1"/>
    </xf>
    <xf numFmtId="3" fontId="113" fillId="27" borderId="16" xfId="0" applyNumberFormat="1" applyFont="1" applyFill="1" applyBorder="1" applyAlignment="1">
      <alignment vertical="center" shrinkToFit="1"/>
    </xf>
    <xf numFmtId="3" fontId="135" fillId="0" borderId="16" xfId="0" applyNumberFormat="1" applyFont="1" applyBorder="1" applyAlignment="1">
      <alignment shrinkToFit="1"/>
    </xf>
    <xf numFmtId="3" fontId="125" fillId="27" borderId="16" xfId="1" applyNumberFormat="1" applyFont="1" applyFill="1" applyBorder="1" applyAlignment="1">
      <alignment vertical="center" shrinkToFit="1"/>
    </xf>
    <xf numFmtId="3" fontId="119" fillId="0" borderId="16" xfId="0" applyNumberFormat="1" applyFont="1" applyBorder="1" applyAlignment="1">
      <alignment vertical="center" shrinkToFit="1"/>
    </xf>
    <xf numFmtId="3" fontId="121" fillId="0" borderId="16" xfId="0" applyNumberFormat="1" applyFont="1" applyBorder="1" applyAlignment="1">
      <alignment shrinkToFit="1"/>
    </xf>
    <xf numFmtId="3" fontId="113" fillId="0" borderId="16" xfId="0" applyNumberFormat="1" applyFont="1" applyBorder="1" applyAlignment="1">
      <alignment vertical="center" shrinkToFit="1"/>
    </xf>
    <xf numFmtId="3" fontId="112" fillId="0" borderId="16" xfId="0" applyNumberFormat="1" applyFont="1" applyBorder="1" applyAlignment="1">
      <alignment vertical="center" shrinkToFit="1"/>
    </xf>
    <xf numFmtId="3" fontId="141" fillId="0" borderId="16" xfId="0" applyNumberFormat="1" applyFont="1" applyBorder="1" applyAlignment="1">
      <alignment shrinkToFit="1"/>
    </xf>
    <xf numFmtId="3" fontId="133" fillId="0" borderId="16" xfId="0" applyNumberFormat="1" applyFont="1" applyBorder="1" applyAlignment="1">
      <alignment vertical="center" wrapText="1" shrinkToFit="1"/>
    </xf>
    <xf numFmtId="3" fontId="113" fillId="0" borderId="16" xfId="0" applyNumberFormat="1" applyFont="1" applyBorder="1" applyAlignment="1">
      <alignment vertical="center" wrapText="1" shrinkToFit="1"/>
    </xf>
    <xf numFmtId="3" fontId="122" fillId="0" borderId="16" xfId="0" applyNumberFormat="1" applyFont="1" applyBorder="1" applyAlignment="1">
      <alignment vertical="center"/>
    </xf>
    <xf numFmtId="3" fontId="135" fillId="0" borderId="16" xfId="0" applyNumberFormat="1" applyFont="1" applyBorder="1" applyAlignment="1">
      <alignment vertical="center"/>
    </xf>
    <xf numFmtId="3" fontId="142" fillId="0" borderId="16" xfId="0" applyNumberFormat="1" applyFont="1" applyBorder="1" applyAlignment="1">
      <alignment vertical="center"/>
    </xf>
    <xf numFmtId="0" fontId="141" fillId="0" borderId="16" xfId="0" applyFont="1" applyBorder="1" applyAlignment="1">
      <alignment vertical="center"/>
    </xf>
    <xf numFmtId="3" fontId="141" fillId="0" borderId="16" xfId="0" applyNumberFormat="1" applyFont="1" applyBorder="1" applyAlignment="1">
      <alignment vertical="center"/>
    </xf>
    <xf numFmtId="3" fontId="116" fillId="27" borderId="16" xfId="0" applyNumberFormat="1" applyFont="1" applyFill="1" applyBorder="1" applyAlignment="1">
      <alignment vertical="center" shrinkToFit="1"/>
    </xf>
    <xf numFmtId="0" fontId="122" fillId="0" borderId="16" xfId="0" applyFont="1" applyBorder="1" applyAlignment="1">
      <alignment vertical="center"/>
    </xf>
    <xf numFmtId="3" fontId="121" fillId="0" borderId="16" xfId="0" applyNumberFormat="1" applyFont="1" applyBorder="1" applyAlignment="1">
      <alignment vertical="center"/>
    </xf>
    <xf numFmtId="0" fontId="121" fillId="27" borderId="16" xfId="0" applyFont="1" applyFill="1" applyBorder="1"/>
    <xf numFmtId="3" fontId="121" fillId="27" borderId="16" xfId="0" applyNumberFormat="1" applyFont="1" applyFill="1" applyBorder="1"/>
    <xf numFmtId="3" fontId="129" fillId="0" borderId="16" xfId="0" applyNumberFormat="1" applyFont="1" applyBorder="1" applyAlignment="1">
      <alignment vertical="center" wrapText="1" shrinkToFit="1"/>
    </xf>
    <xf numFmtId="3" fontId="14" fillId="0" borderId="60" xfId="1" applyNumberFormat="1" applyFont="1" applyFill="1" applyBorder="1"/>
    <xf numFmtId="170" fontId="14" fillId="0" borderId="60" xfId="1" applyNumberFormat="1" applyFont="1" applyFill="1" applyBorder="1"/>
    <xf numFmtId="3" fontId="21" fillId="0" borderId="60" xfId="1" applyNumberFormat="1" applyFont="1" applyFill="1" applyBorder="1"/>
    <xf numFmtId="0" fontId="21" fillId="0" borderId="60" xfId="0" applyFont="1" applyBorder="1"/>
    <xf numFmtId="170" fontId="21" fillId="0" borderId="60" xfId="1" applyNumberFormat="1" applyFont="1" applyFill="1" applyBorder="1"/>
    <xf numFmtId="3" fontId="15" fillId="0" borderId="60" xfId="1" applyNumberFormat="1" applyFont="1" applyFill="1" applyBorder="1" applyAlignment="1">
      <alignment shrinkToFit="1"/>
    </xf>
    <xf numFmtId="170" fontId="16" fillId="0" borderId="60" xfId="1" applyNumberFormat="1" applyFont="1" applyFill="1" applyBorder="1"/>
    <xf numFmtId="3" fontId="121" fillId="0" borderId="58" xfId="0" applyNumberFormat="1" applyFont="1" applyBorder="1" applyAlignment="1">
      <alignment shrinkToFit="1"/>
    </xf>
    <xf numFmtId="3" fontId="121" fillId="0" borderId="58" xfId="1" applyNumberFormat="1" applyFont="1" applyBorder="1"/>
    <xf numFmtId="3" fontId="121" fillId="0" borderId="58" xfId="1" applyNumberFormat="1" applyFont="1" applyBorder="1" applyAlignment="1">
      <alignment shrinkToFit="1"/>
    </xf>
    <xf numFmtId="3" fontId="121" fillId="0" borderId="19" xfId="1" applyNumberFormat="1" applyFont="1" applyBorder="1" applyAlignment="1">
      <alignment shrinkToFit="1"/>
    </xf>
    <xf numFmtId="3" fontId="122" fillId="0" borderId="60" xfId="1" applyNumberFormat="1" applyFont="1" applyBorder="1"/>
    <xf numFmtId="3" fontId="122" fillId="0" borderId="60" xfId="1" applyNumberFormat="1" applyFont="1" applyBorder="1" applyAlignment="1">
      <alignment shrinkToFit="1"/>
    </xf>
    <xf numFmtId="3" fontId="122" fillId="0" borderId="20" xfId="1" applyNumberFormat="1" applyFont="1" applyBorder="1" applyAlignment="1">
      <alignment shrinkToFit="1"/>
    </xf>
    <xf numFmtId="3" fontId="121" fillId="0" borderId="60" xfId="0" applyNumberFormat="1" applyFont="1" applyBorder="1"/>
    <xf numFmtId="3" fontId="121" fillId="0" borderId="20" xfId="0" applyNumberFormat="1" applyFont="1" applyBorder="1"/>
    <xf numFmtId="3" fontId="122" fillId="0" borderId="20" xfId="1" applyNumberFormat="1" applyFont="1" applyBorder="1" applyAlignment="1">
      <alignment horizontal="right" shrinkToFit="1"/>
    </xf>
    <xf numFmtId="3" fontId="121" fillId="0" borderId="60" xfId="1" applyNumberFormat="1" applyFont="1" applyBorder="1"/>
    <xf numFmtId="3" fontId="121" fillId="0" borderId="6" xfId="1" applyNumberFormat="1" applyFont="1" applyBorder="1"/>
    <xf numFmtId="3" fontId="121" fillId="0" borderId="6" xfId="0" applyNumberFormat="1" applyFont="1" applyBorder="1"/>
    <xf numFmtId="3" fontId="121" fillId="0" borderId="21" xfId="0" applyNumberFormat="1" applyFont="1" applyBorder="1"/>
    <xf numFmtId="173" fontId="121" fillId="0" borderId="0" xfId="3" applyNumberFormat="1" applyFont="1"/>
    <xf numFmtId="173" fontId="121" fillId="0" borderId="0" xfId="0" applyNumberFormat="1" applyFont="1"/>
    <xf numFmtId="9" fontId="121" fillId="0" borderId="0" xfId="3" applyFont="1"/>
    <xf numFmtId="173" fontId="14" fillId="0" borderId="0" xfId="3" applyNumberFormat="1" applyFont="1"/>
    <xf numFmtId="172" fontId="121" fillId="0" borderId="0" xfId="0" applyNumberFormat="1" applyFont="1"/>
    <xf numFmtId="0" fontId="17" fillId="0" borderId="10" xfId="0" applyFont="1" applyBorder="1"/>
    <xf numFmtId="3" fontId="21" fillId="0" borderId="68" xfId="0" applyNumberFormat="1" applyFont="1" applyBorder="1" applyAlignment="1">
      <alignment vertical="center" shrinkToFit="1"/>
    </xf>
    <xf numFmtId="3" fontId="21" fillId="0" borderId="59" xfId="0" applyNumberFormat="1" applyFont="1" applyBorder="1" applyAlignment="1">
      <alignment vertical="center" shrinkToFit="1"/>
    </xf>
    <xf numFmtId="3" fontId="22" fillId="0" borderId="59" xfId="0" applyNumberFormat="1" applyFont="1" applyBorder="1" applyAlignment="1">
      <alignment vertical="center" shrinkToFit="1"/>
    </xf>
    <xf numFmtId="3" fontId="14" fillId="0" borderId="59" xfId="0" applyNumberFormat="1" applyFont="1" applyBorder="1" applyAlignment="1">
      <alignment vertical="center" shrinkToFit="1"/>
    </xf>
    <xf numFmtId="3" fontId="17" fillId="0" borderId="59" xfId="0" applyNumberFormat="1" applyFont="1" applyBorder="1" applyAlignment="1">
      <alignment shrinkToFit="1"/>
    </xf>
    <xf numFmtId="3" fontId="14" fillId="0" borderId="59" xfId="0" applyNumberFormat="1" applyFont="1" applyBorder="1" applyAlignment="1">
      <alignment shrinkToFit="1"/>
    </xf>
    <xf numFmtId="3" fontId="21" fillId="0" borderId="59" xfId="0" applyNumberFormat="1" applyFont="1" applyBorder="1" applyAlignment="1">
      <alignment shrinkToFit="1"/>
    </xf>
    <xf numFmtId="3" fontId="16" fillId="0" borderId="59" xfId="0" applyNumberFormat="1" applyFont="1" applyBorder="1" applyAlignment="1">
      <alignment shrinkToFit="1"/>
    </xf>
    <xf numFmtId="3" fontId="17" fillId="0" borderId="59" xfId="0" applyNumberFormat="1" applyFont="1" applyBorder="1" applyAlignment="1">
      <alignment vertical="center" shrinkToFit="1"/>
    </xf>
    <xf numFmtId="3" fontId="21" fillId="0" borderId="66" xfId="0" applyNumberFormat="1" applyFont="1" applyBorder="1" applyAlignment="1">
      <alignment vertical="center" shrinkToFit="1"/>
    </xf>
    <xf numFmtId="3" fontId="14" fillId="0" borderId="18" xfId="0" applyNumberFormat="1" applyFont="1" applyBorder="1" applyAlignment="1">
      <alignment horizontal="center" vertical="center"/>
    </xf>
    <xf numFmtId="3" fontId="14" fillId="0" borderId="131" xfId="2" applyNumberFormat="1" applyFont="1" applyFill="1" applyBorder="1" applyAlignment="1">
      <alignment horizontal="center" vertical="center" shrinkToFit="1"/>
    </xf>
    <xf numFmtId="0" fontId="17" fillId="0" borderId="18" xfId="0" applyFont="1" applyBorder="1"/>
    <xf numFmtId="3" fontId="21" fillId="0" borderId="2" xfId="0" applyNumberFormat="1" applyFont="1" applyBorder="1" applyAlignment="1">
      <alignment horizontal="center" vertical="center" shrinkToFit="1"/>
    </xf>
    <xf numFmtId="3" fontId="21" fillId="0" borderId="19" xfId="0" applyNumberFormat="1" applyFont="1" applyBorder="1" applyAlignment="1">
      <alignment vertical="center" shrinkToFit="1"/>
    </xf>
    <xf numFmtId="3" fontId="21" fillId="0" borderId="4" xfId="0" applyNumberFormat="1" applyFont="1" applyBorder="1" applyAlignment="1">
      <alignment horizontal="center" vertical="center" shrinkToFit="1"/>
    </xf>
    <xf numFmtId="3" fontId="21" fillId="0" borderId="20" xfId="0" applyNumberFormat="1" applyFont="1" applyBorder="1" applyAlignment="1">
      <alignment vertical="center" shrinkToFit="1"/>
    </xf>
    <xf numFmtId="3" fontId="22" fillId="0" borderId="4" xfId="0" applyNumberFormat="1" applyFont="1" applyBorder="1" applyAlignment="1">
      <alignment horizontal="center" vertical="center" wrapText="1" shrinkToFit="1"/>
    </xf>
    <xf numFmtId="3" fontId="22" fillId="0" borderId="20" xfId="0" applyNumberFormat="1" applyFont="1" applyBorder="1" applyAlignment="1">
      <alignment vertical="center" wrapText="1" shrinkToFit="1"/>
    </xf>
    <xf numFmtId="3" fontId="14" fillId="0" borderId="4" xfId="0" applyNumberFormat="1" applyFont="1" applyBorder="1" applyAlignment="1">
      <alignment horizontal="center" vertical="center" shrinkToFit="1"/>
    </xf>
    <xf numFmtId="170" fontId="14" fillId="0" borderId="20" xfId="1" applyNumberFormat="1" applyFont="1" applyFill="1" applyBorder="1" applyAlignment="1">
      <alignment vertical="center" shrinkToFit="1"/>
    </xf>
    <xf numFmtId="170" fontId="17" fillId="0" borderId="20" xfId="1" applyNumberFormat="1" applyFont="1" applyFill="1" applyBorder="1" applyAlignment="1">
      <alignment shrinkToFit="1"/>
    </xf>
    <xf numFmtId="170" fontId="14" fillId="0" borderId="20" xfId="1" applyNumberFormat="1" applyFont="1" applyFill="1" applyBorder="1" applyAlignment="1">
      <alignment shrinkToFit="1"/>
    </xf>
    <xf numFmtId="170" fontId="169" fillId="0" borderId="20" xfId="1" applyNumberFormat="1" applyFont="1" applyFill="1" applyBorder="1" applyAlignment="1" applyProtection="1">
      <alignment horizontal="right" shrinkToFit="1"/>
    </xf>
    <xf numFmtId="170" fontId="14" fillId="0" borderId="20" xfId="1" applyNumberFormat="1" applyFont="1" applyFill="1" applyBorder="1" applyAlignment="1">
      <alignment horizontal="right" shrinkToFit="1"/>
    </xf>
    <xf numFmtId="0" fontId="17" fillId="0" borderId="20" xfId="0" applyFont="1" applyBorder="1" applyAlignment="1">
      <alignment shrinkToFit="1"/>
    </xf>
    <xf numFmtId="3" fontId="17" fillId="0" borderId="20" xfId="1" applyNumberFormat="1" applyFont="1" applyFill="1" applyBorder="1" applyAlignment="1">
      <alignment vertical="center" shrinkToFit="1"/>
    </xf>
    <xf numFmtId="3" fontId="16" fillId="0" borderId="4" xfId="0" applyNumberFormat="1" applyFont="1" applyBorder="1" applyAlignment="1">
      <alignment horizontal="center" vertical="center" shrinkToFit="1"/>
    </xf>
    <xf numFmtId="3" fontId="17" fillId="0" borderId="20" xfId="0" applyNumberFormat="1" applyFont="1" applyBorder="1" applyAlignment="1">
      <alignment shrinkToFit="1"/>
    </xf>
    <xf numFmtId="3" fontId="14" fillId="0" borderId="20" xfId="0" applyNumberFormat="1" applyFont="1" applyBorder="1" applyAlignment="1">
      <alignment shrinkToFit="1"/>
    </xf>
    <xf numFmtId="3" fontId="21" fillId="0" borderId="20" xfId="0" applyNumberFormat="1" applyFont="1" applyBorder="1" applyAlignment="1">
      <alignment shrinkToFit="1"/>
    </xf>
    <xf numFmtId="3" fontId="28" fillId="0" borderId="4" xfId="0" applyNumberFormat="1" applyFont="1" applyBorder="1" applyAlignment="1">
      <alignment horizontal="center" vertical="center" shrinkToFit="1"/>
    </xf>
    <xf numFmtId="3" fontId="16" fillId="0" borderId="20" xfId="0" applyNumberFormat="1" applyFont="1" applyBorder="1" applyAlignment="1">
      <alignment shrinkToFit="1"/>
    </xf>
    <xf numFmtId="3" fontId="17" fillId="0" borderId="20" xfId="0" applyNumberFormat="1" applyFont="1" applyBorder="1" applyAlignment="1">
      <alignment vertical="center" shrinkToFit="1"/>
    </xf>
    <xf numFmtId="3" fontId="21" fillId="0" borderId="5" xfId="0" applyNumberFormat="1" applyFont="1" applyBorder="1" applyAlignment="1">
      <alignment horizontal="center" vertical="center" shrinkToFit="1"/>
    </xf>
    <xf numFmtId="3" fontId="21" fillId="0" borderId="6" xfId="0" applyNumberFormat="1" applyFont="1" applyBorder="1" applyAlignment="1">
      <alignment horizontal="justify" vertical="center" wrapText="1" shrinkToFit="1"/>
    </xf>
    <xf numFmtId="167" fontId="21" fillId="0" borderId="6" xfId="0" applyNumberFormat="1" applyFont="1" applyBorder="1" applyAlignment="1">
      <alignment vertical="center" shrinkToFit="1"/>
    </xf>
    <xf numFmtId="0" fontId="14" fillId="0" borderId="6" xfId="0" applyFont="1" applyBorder="1"/>
    <xf numFmtId="3" fontId="14" fillId="0" borderId="6" xfId="0" applyNumberFormat="1" applyFont="1" applyBorder="1" applyAlignment="1">
      <alignment shrinkToFit="1"/>
    </xf>
    <xf numFmtId="3" fontId="21" fillId="0" borderId="21" xfId="0" applyNumberFormat="1" applyFont="1" applyBorder="1" applyAlignment="1">
      <alignment vertical="center" shrinkToFit="1"/>
    </xf>
    <xf numFmtId="3" fontId="113" fillId="0" borderId="68" xfId="0" applyNumberFormat="1" applyFont="1" applyBorder="1" applyAlignment="1">
      <alignment vertical="center" shrinkToFit="1"/>
    </xf>
    <xf numFmtId="3" fontId="113" fillId="0" borderId="59" xfId="0" applyNumberFormat="1" applyFont="1" applyBorder="1" applyAlignment="1">
      <alignment shrinkToFit="1"/>
    </xf>
    <xf numFmtId="3" fontId="113" fillId="0" borderId="59" xfId="1" applyNumberFormat="1" applyFont="1" applyFill="1" applyBorder="1" applyAlignment="1">
      <alignment horizontal="right" shrinkToFit="1"/>
    </xf>
    <xf numFmtId="3" fontId="112" fillId="0" borderId="59" xfId="0" applyNumberFormat="1" applyFont="1" applyBorder="1" applyAlignment="1">
      <alignment shrinkToFit="1"/>
    </xf>
    <xf numFmtId="3" fontId="125" fillId="0" borderId="59" xfId="0" applyNumberFormat="1" applyFont="1" applyBorder="1" applyAlignment="1">
      <alignment vertical="center" shrinkToFit="1"/>
    </xf>
    <xf numFmtId="3" fontId="112" fillId="0" borderId="59" xfId="0" applyNumberFormat="1" applyFont="1" applyBorder="1" applyAlignment="1">
      <alignment horizontal="right" vertical="center" shrinkToFit="1"/>
    </xf>
    <xf numFmtId="3" fontId="125" fillId="0" borderId="59" xfId="0" applyNumberFormat="1" applyFont="1" applyBorder="1" applyAlignment="1">
      <alignment horizontal="right" vertical="center" shrinkToFit="1"/>
    </xf>
    <xf numFmtId="3" fontId="125" fillId="0" borderId="59" xfId="0" applyNumberFormat="1" applyFont="1" applyBorder="1" applyAlignment="1">
      <alignment shrinkToFit="1"/>
    </xf>
    <xf numFmtId="3" fontId="112" fillId="3" borderId="59" xfId="0" applyNumberFormat="1" applyFont="1" applyFill="1" applyBorder="1" applyAlignment="1">
      <alignment shrinkToFit="1"/>
    </xf>
    <xf numFmtId="3" fontId="113" fillId="0" borderId="59" xfId="1" applyNumberFormat="1" applyFont="1" applyFill="1" applyBorder="1" applyAlignment="1">
      <alignment shrinkToFit="1"/>
    </xf>
    <xf numFmtId="3" fontId="112" fillId="0" borderId="59" xfId="1" applyNumberFormat="1" applyFont="1" applyFill="1" applyBorder="1" applyAlignment="1">
      <alignment shrinkToFit="1"/>
    </xf>
    <xf numFmtId="3" fontId="125" fillId="0" borderId="59" xfId="1" applyNumberFormat="1" applyFont="1" applyFill="1" applyBorder="1" applyAlignment="1">
      <alignment shrinkToFit="1"/>
    </xf>
    <xf numFmtId="0" fontId="113" fillId="0" borderId="59" xfId="0" applyFont="1" applyBorder="1"/>
    <xf numFmtId="0" fontId="113" fillId="0" borderId="174" xfId="0" applyFont="1" applyBorder="1"/>
    <xf numFmtId="0" fontId="113" fillId="0" borderId="66" xfId="0" applyFont="1" applyBorder="1"/>
    <xf numFmtId="0" fontId="113" fillId="0" borderId="18" xfId="0" applyFont="1" applyBorder="1" applyAlignment="1">
      <alignment horizontal="center" vertical="center" wrapText="1"/>
    </xf>
    <xf numFmtId="0" fontId="113" fillId="0" borderId="2" xfId="0" applyFont="1" applyBorder="1" applyAlignment="1">
      <alignment horizontal="center" vertical="center"/>
    </xf>
    <xf numFmtId="3" fontId="113" fillId="0" borderId="19" xfId="0" applyNumberFormat="1" applyFont="1" applyBorder="1" applyAlignment="1">
      <alignment horizontal="right" vertical="center" shrinkToFit="1"/>
    </xf>
    <xf numFmtId="0" fontId="113" fillId="0" borderId="4" xfId="0" applyFont="1" applyBorder="1" applyAlignment="1">
      <alignment horizontal="center"/>
    </xf>
    <xf numFmtId="3" fontId="113" fillId="0" borderId="20" xfId="1" applyNumberFormat="1" applyFont="1" applyFill="1" applyBorder="1" applyAlignment="1">
      <alignment horizontal="right" shrinkToFit="1"/>
    </xf>
    <xf numFmtId="0" fontId="112" fillId="0" borderId="4" xfId="0" applyFont="1" applyBorder="1" applyAlignment="1">
      <alignment horizontal="center"/>
    </xf>
    <xf numFmtId="3" fontId="112" fillId="0" borderId="20" xfId="0" applyNumberFormat="1" applyFont="1" applyBorder="1" applyAlignment="1">
      <alignment horizontal="right" shrinkToFit="1"/>
    </xf>
    <xf numFmtId="0" fontId="112" fillId="0" borderId="4" xfId="0" applyFont="1" applyBorder="1" applyAlignment="1">
      <alignment horizontal="center" vertical="center"/>
    </xf>
    <xf numFmtId="3" fontId="112" fillId="0" borderId="20" xfId="0" applyNumberFormat="1" applyFont="1" applyBorder="1" applyAlignment="1">
      <alignment horizontal="right" vertical="center" shrinkToFit="1"/>
    </xf>
    <xf numFmtId="0" fontId="125" fillId="0" borderId="4" xfId="0" applyFont="1" applyBorder="1" applyAlignment="1">
      <alignment horizontal="center" vertical="center"/>
    </xf>
    <xf numFmtId="3" fontId="125" fillId="0" borderId="20" xfId="0" applyNumberFormat="1" applyFont="1" applyBorder="1" applyAlignment="1">
      <alignment horizontal="right" vertical="center" shrinkToFit="1"/>
    </xf>
    <xf numFmtId="0" fontId="205" fillId="0" borderId="4" xfId="0" applyFont="1" applyBorder="1" applyAlignment="1">
      <alignment horizontal="center" vertical="center"/>
    </xf>
    <xf numFmtId="3" fontId="125" fillId="0" borderId="20" xfId="0" applyNumberFormat="1" applyFont="1" applyBorder="1" applyAlignment="1">
      <alignment horizontal="right" shrinkToFit="1"/>
    </xf>
    <xf numFmtId="0" fontId="112" fillId="0" borderId="4" xfId="0" applyFont="1" applyBorder="1" applyAlignment="1">
      <alignment horizontal="center" vertical="center" wrapText="1"/>
    </xf>
    <xf numFmtId="0" fontId="112" fillId="3" borderId="4" xfId="0" applyFont="1" applyFill="1" applyBorder="1" applyAlignment="1">
      <alignment horizontal="center" vertical="center" wrapText="1"/>
    </xf>
    <xf numFmtId="3" fontId="112" fillId="3" borderId="20" xfId="0" applyNumberFormat="1" applyFont="1" applyFill="1" applyBorder="1" applyAlignment="1">
      <alignment horizontal="right" shrinkToFit="1"/>
    </xf>
    <xf numFmtId="0" fontId="113" fillId="0" borderId="4" xfId="0" applyFont="1" applyBorder="1" applyAlignment="1">
      <alignment horizontal="center" vertical="center" wrapText="1"/>
    </xf>
    <xf numFmtId="0" fontId="113" fillId="0" borderId="20" xfId="0" applyFont="1" applyBorder="1"/>
    <xf numFmtId="3" fontId="113" fillId="0" borderId="20" xfId="0" applyNumberFormat="1" applyFont="1" applyBorder="1"/>
    <xf numFmtId="3" fontId="113" fillId="0" borderId="4" xfId="0" applyNumberFormat="1" applyFont="1" applyBorder="1" applyAlignment="1">
      <alignment horizontal="center" vertical="center" wrapText="1" shrinkToFit="1"/>
    </xf>
    <xf numFmtId="3" fontId="113" fillId="0" borderId="20" xfId="1" applyNumberFormat="1" applyFont="1" applyFill="1" applyBorder="1" applyAlignment="1">
      <alignment shrinkToFit="1"/>
    </xf>
    <xf numFmtId="3" fontId="112" fillId="0" borderId="20" xfId="1" applyNumberFormat="1" applyFont="1" applyFill="1" applyBorder="1" applyAlignment="1">
      <alignment shrinkToFit="1"/>
    </xf>
    <xf numFmtId="3" fontId="125" fillId="0" borderId="4" xfId="0" applyNumberFormat="1" applyFont="1" applyBorder="1" applyAlignment="1">
      <alignment horizontal="center" vertical="center" shrinkToFit="1"/>
    </xf>
    <xf numFmtId="0" fontId="125" fillId="0" borderId="20" xfId="0" applyFont="1" applyBorder="1"/>
    <xf numFmtId="3" fontId="125" fillId="0" borderId="20" xfId="0" applyNumberFormat="1" applyFont="1" applyBorder="1"/>
    <xf numFmtId="0" fontId="113" fillId="0" borderId="178" xfId="0" applyFont="1" applyBorder="1" applyAlignment="1">
      <alignment horizontal="center" vertical="center" wrapText="1"/>
    </xf>
    <xf numFmtId="3" fontId="113" fillId="0" borderId="179" xfId="0" applyNumberFormat="1" applyFont="1" applyBorder="1"/>
    <xf numFmtId="0" fontId="113" fillId="0" borderId="5" xfId="0" applyFont="1" applyBorder="1" applyAlignment="1">
      <alignment horizontal="center" vertical="center" wrapText="1"/>
    </xf>
    <xf numFmtId="0" fontId="113" fillId="0" borderId="6" xfId="0" applyFont="1" applyBorder="1" applyAlignment="1">
      <alignment vertical="center" shrinkToFit="1"/>
    </xf>
    <xf numFmtId="3" fontId="113" fillId="0" borderId="6" xfId="0" applyNumberFormat="1" applyFont="1" applyBorder="1" applyAlignment="1">
      <alignment shrinkToFit="1"/>
    </xf>
    <xf numFmtId="0" fontId="113" fillId="0" borderId="6" xfId="0" applyFont="1" applyBorder="1" applyAlignment="1">
      <alignment shrinkToFit="1"/>
    </xf>
    <xf numFmtId="0" fontId="113" fillId="0" borderId="6" xfId="0" applyFont="1" applyBorder="1"/>
    <xf numFmtId="173" fontId="211" fillId="0" borderId="6" xfId="3" applyNumberFormat="1" applyFont="1" applyFill="1" applyBorder="1" applyAlignment="1">
      <alignment vertical="center" shrinkToFit="1"/>
    </xf>
    <xf numFmtId="173" fontId="113" fillId="0" borderId="6" xfId="0" applyNumberFormat="1" applyFont="1" applyBorder="1"/>
    <xf numFmtId="0" fontId="113" fillId="0" borderId="21" xfId="0" applyFont="1" applyBorder="1"/>
    <xf numFmtId="3" fontId="113" fillId="0" borderId="20" xfId="0" applyNumberFormat="1" applyFont="1" applyBorder="1" applyAlignment="1">
      <alignment horizontal="right" shrinkToFit="1"/>
    </xf>
    <xf numFmtId="3" fontId="194" fillId="0" borderId="59" xfId="0" applyNumberFormat="1" applyFont="1" applyBorder="1" applyAlignment="1">
      <alignment vertical="center" shrinkToFit="1"/>
    </xf>
    <xf numFmtId="3" fontId="142" fillId="0" borderId="59" xfId="0" applyNumberFormat="1" applyFont="1" applyBorder="1" applyAlignment="1">
      <alignment vertical="center" shrinkToFit="1"/>
    </xf>
    <xf numFmtId="3" fontId="141" fillId="0" borderId="59" xfId="0" applyNumberFormat="1" applyFont="1" applyBorder="1" applyAlignment="1">
      <alignment vertical="center" shrinkToFit="1"/>
    </xf>
    <xf numFmtId="3" fontId="116" fillId="0" borderId="59" xfId="0" applyNumberFormat="1" applyFont="1" applyBorder="1" applyAlignment="1">
      <alignment vertical="center" shrinkToFit="1"/>
    </xf>
    <xf numFmtId="3" fontId="129" fillId="0" borderId="59" xfId="0" applyNumberFormat="1" applyFont="1" applyBorder="1" applyAlignment="1">
      <alignment vertical="center" shrinkToFit="1"/>
    </xf>
    <xf numFmtId="3" fontId="121" fillId="0" borderId="147" xfId="0" applyNumberFormat="1" applyFont="1" applyBorder="1" applyAlignment="1">
      <alignment vertical="center"/>
    </xf>
    <xf numFmtId="3" fontId="142" fillId="0" borderId="20" xfId="0" applyNumberFormat="1" applyFont="1" applyBorder="1" applyAlignment="1">
      <alignment vertical="center" shrinkToFit="1"/>
    </xf>
    <xf numFmtId="3" fontId="121" fillId="3" borderId="20" xfId="0" applyNumberFormat="1" applyFont="1" applyFill="1" applyBorder="1" applyAlignment="1">
      <alignment vertical="center" shrinkToFit="1"/>
    </xf>
    <xf numFmtId="3" fontId="122" fillId="3" borderId="20" xfId="0" applyNumberFormat="1" applyFont="1" applyFill="1" applyBorder="1" applyAlignment="1">
      <alignment vertical="center" shrinkToFit="1"/>
    </xf>
    <xf numFmtId="3" fontId="144" fillId="0" borderId="20" xfId="0" applyNumberFormat="1" applyFont="1" applyBorder="1" applyAlignment="1">
      <alignment vertical="center"/>
    </xf>
    <xf numFmtId="3" fontId="166" fillId="0" borderId="20" xfId="0" applyNumberFormat="1" applyFont="1" applyBorder="1" applyAlignment="1">
      <alignment vertical="center"/>
    </xf>
    <xf numFmtId="3" fontId="213" fillId="3" borderId="20" xfId="0" applyNumberFormat="1" applyFont="1" applyFill="1" applyBorder="1" applyAlignment="1">
      <alignment vertical="center" shrinkToFit="1"/>
    </xf>
    <xf numFmtId="3" fontId="142" fillId="0" borderId="21" xfId="0" applyNumberFormat="1" applyFont="1" applyBorder="1" applyAlignment="1">
      <alignment vertical="center"/>
    </xf>
    <xf numFmtId="0" fontId="11" fillId="27" borderId="11" xfId="0" applyFont="1" applyFill="1" applyBorder="1" applyAlignment="1">
      <alignment horizontal="center" vertical="center"/>
    </xf>
    <xf numFmtId="0" fontId="11" fillId="27" borderId="11" xfId="0" applyFont="1" applyFill="1" applyBorder="1" applyAlignment="1">
      <alignment horizontal="center"/>
    </xf>
    <xf numFmtId="0" fontId="14" fillId="27" borderId="11" xfId="0" applyFont="1" applyFill="1" applyBorder="1" applyAlignment="1">
      <alignment horizontal="center" vertical="center"/>
    </xf>
    <xf numFmtId="0" fontId="14" fillId="27" borderId="11" xfId="0" applyFont="1" applyFill="1" applyBorder="1" applyAlignment="1">
      <alignment horizontal="center"/>
    </xf>
    <xf numFmtId="0" fontId="14" fillId="27" borderId="18" xfId="0" applyFont="1" applyFill="1" applyBorder="1" applyAlignment="1">
      <alignment horizontal="center"/>
    </xf>
    <xf numFmtId="0" fontId="14" fillId="27" borderId="149" xfId="0" applyFont="1" applyFill="1" applyBorder="1" applyAlignment="1">
      <alignment horizontal="center" vertical="center"/>
    </xf>
    <xf numFmtId="0" fontId="14" fillId="27" borderId="91" xfId="0" applyFont="1" applyFill="1" applyBorder="1" applyAlignment="1">
      <alignment horizontal="center"/>
    </xf>
    <xf numFmtId="0" fontId="14" fillId="27" borderId="91" xfId="0" applyFont="1" applyFill="1" applyBorder="1" applyAlignment="1">
      <alignment horizontal="center" vertical="center"/>
    </xf>
    <xf numFmtId="3" fontId="14" fillId="27" borderId="91" xfId="0" applyNumberFormat="1" applyFont="1" applyFill="1" applyBorder="1" applyAlignment="1">
      <alignment horizontal="center" vertical="center"/>
    </xf>
    <xf numFmtId="3" fontId="14" fillId="27" borderId="91" xfId="0" applyNumberFormat="1" applyFont="1" applyFill="1" applyBorder="1" applyAlignment="1">
      <alignment horizontal="center"/>
    </xf>
    <xf numFmtId="3" fontId="14" fillId="27" borderId="92" xfId="0" applyNumberFormat="1" applyFont="1" applyFill="1" applyBorder="1" applyAlignment="1">
      <alignment horizontal="center"/>
    </xf>
    <xf numFmtId="0" fontId="21" fillId="27" borderId="2" xfId="0" applyFont="1" applyFill="1" applyBorder="1" applyAlignment="1">
      <alignment horizontal="center" vertical="center"/>
    </xf>
    <xf numFmtId="0" fontId="12" fillId="27" borderId="58" xfId="0" applyFont="1" applyFill="1" applyBorder="1" applyAlignment="1">
      <alignment vertical="center" shrinkToFit="1"/>
    </xf>
    <xf numFmtId="3" fontId="21" fillId="27" borderId="19" xfId="0" applyNumberFormat="1" applyFont="1" applyFill="1" applyBorder="1" applyAlignment="1">
      <alignment vertical="center" shrinkToFit="1"/>
    </xf>
    <xf numFmtId="3" fontId="21" fillId="27" borderId="150" xfId="0" applyNumberFormat="1" applyFont="1" applyFill="1" applyBorder="1" applyAlignment="1">
      <alignment vertical="center" shrinkToFit="1"/>
    </xf>
    <xf numFmtId="3" fontId="21" fillId="27" borderId="85" xfId="0" applyNumberFormat="1" applyFont="1" applyFill="1" applyBorder="1" applyAlignment="1">
      <alignment vertical="center" shrinkToFit="1"/>
    </xf>
    <xf numFmtId="3" fontId="21" fillId="27" borderId="86" xfId="0" applyNumberFormat="1" applyFont="1" applyFill="1" applyBorder="1" applyAlignment="1">
      <alignment vertical="center" shrinkToFit="1"/>
    </xf>
    <xf numFmtId="0" fontId="21" fillId="0" borderId="0" xfId="0" applyFont="1" applyAlignment="1">
      <alignment vertical="center"/>
    </xf>
    <xf numFmtId="3" fontId="21" fillId="0" borderId="0" xfId="0" applyNumberFormat="1" applyFont="1" applyAlignment="1">
      <alignment vertical="center"/>
    </xf>
    <xf numFmtId="0" fontId="20" fillId="27" borderId="4" xfId="0" applyFont="1" applyFill="1" applyBorder="1" applyAlignment="1">
      <alignment horizontal="center" vertical="center"/>
    </xf>
    <xf numFmtId="0" fontId="20" fillId="27" borderId="60" xfId="0" applyFont="1" applyFill="1" applyBorder="1" applyAlignment="1">
      <alignment vertical="center" shrinkToFit="1"/>
    </xf>
    <xf numFmtId="3" fontId="17" fillId="0" borderId="151" xfId="0" applyNumberFormat="1" applyFont="1" applyBorder="1" applyAlignment="1">
      <alignment vertical="center" shrinkToFit="1"/>
    </xf>
    <xf numFmtId="3" fontId="17" fillId="0" borderId="78" xfId="0" applyNumberFormat="1" applyFont="1" applyBorder="1" applyAlignment="1">
      <alignment shrinkToFit="1"/>
    </xf>
    <xf numFmtId="3" fontId="17" fillId="0" borderId="78" xfId="0" applyNumberFormat="1" applyFont="1" applyBorder="1" applyAlignment="1">
      <alignment vertical="center" shrinkToFit="1"/>
    </xf>
    <xf numFmtId="3" fontId="17" fillId="0" borderId="79" xfId="0" applyNumberFormat="1" applyFont="1" applyBorder="1" applyAlignment="1">
      <alignment shrinkToFit="1"/>
    </xf>
    <xf numFmtId="0" fontId="11" fillId="27" borderId="4" xfId="0" applyFont="1" applyFill="1" applyBorder="1" applyAlignment="1">
      <alignment horizontal="center" vertical="center"/>
    </xf>
    <xf numFmtId="0" fontId="11" fillId="27" borderId="60" xfId="0" applyFont="1" applyFill="1" applyBorder="1" applyAlignment="1">
      <alignment vertical="center" shrinkToFit="1"/>
    </xf>
    <xf numFmtId="3" fontId="14" fillId="27" borderId="20" xfId="0" applyNumberFormat="1" applyFont="1" applyFill="1" applyBorder="1" applyAlignment="1">
      <alignment vertical="center" shrinkToFit="1"/>
    </xf>
    <xf numFmtId="3" fontId="14" fillId="0" borderId="151" xfId="0" applyNumberFormat="1" applyFont="1" applyBorder="1" applyAlignment="1">
      <alignment vertical="center" shrinkToFit="1"/>
    </xf>
    <xf numFmtId="3" fontId="14" fillId="27" borderId="78" xfId="0" applyNumberFormat="1" applyFont="1" applyFill="1" applyBorder="1" applyAlignment="1">
      <alignment vertical="center" shrinkToFit="1"/>
    </xf>
    <xf numFmtId="3" fontId="14" fillId="0" borderId="78" xfId="0" applyNumberFormat="1" applyFont="1" applyBorder="1" applyAlignment="1">
      <alignment vertical="center" shrinkToFit="1"/>
    </xf>
    <xf numFmtId="3" fontId="14" fillId="27" borderId="79" xfId="0" applyNumberFormat="1" applyFont="1" applyFill="1" applyBorder="1" applyAlignment="1">
      <alignment vertical="center" shrinkToFit="1"/>
    </xf>
    <xf numFmtId="0" fontId="19" fillId="27" borderId="4" xfId="0" applyFont="1" applyFill="1" applyBorder="1" applyAlignment="1">
      <alignment horizontal="center" vertical="center"/>
    </xf>
    <xf numFmtId="0" fontId="19" fillId="27" borderId="60" xfId="0" applyFont="1" applyFill="1" applyBorder="1" applyAlignment="1">
      <alignment vertical="center" shrinkToFit="1"/>
    </xf>
    <xf numFmtId="3" fontId="16" fillId="0" borderId="151" xfId="0" applyNumberFormat="1" applyFont="1" applyBorder="1" applyAlignment="1">
      <alignment vertical="center" shrinkToFit="1"/>
    </xf>
    <xf numFmtId="3" fontId="16" fillId="0" borderId="78" xfId="0" applyNumberFormat="1" applyFont="1" applyBorder="1" applyAlignment="1">
      <alignment shrinkToFit="1"/>
    </xf>
    <xf numFmtId="3" fontId="16" fillId="0" borderId="78" xfId="0" applyNumberFormat="1" applyFont="1" applyBorder="1" applyAlignment="1">
      <alignment vertical="center" shrinkToFit="1"/>
    </xf>
    <xf numFmtId="0" fontId="19" fillId="27" borderId="60" xfId="0" applyFont="1" applyFill="1" applyBorder="1" applyAlignment="1">
      <alignment horizontal="left" vertical="center" shrinkToFit="1"/>
    </xf>
    <xf numFmtId="3" fontId="16" fillId="27" borderId="20" xfId="1" applyNumberFormat="1" applyFont="1" applyFill="1" applyBorder="1" applyAlignment="1">
      <alignment vertical="center" shrinkToFit="1"/>
    </xf>
    <xf numFmtId="3" fontId="16" fillId="0" borderId="151" xfId="0" applyNumberFormat="1" applyFont="1" applyBorder="1" applyAlignment="1">
      <alignment shrinkToFit="1"/>
    </xf>
    <xf numFmtId="3" fontId="16" fillId="27" borderId="78" xfId="1" applyNumberFormat="1" applyFont="1" applyFill="1" applyBorder="1" applyAlignment="1">
      <alignment vertical="center" shrinkToFit="1"/>
    </xf>
    <xf numFmtId="3" fontId="16" fillId="27" borderId="79" xfId="1" applyNumberFormat="1" applyFont="1" applyFill="1" applyBorder="1" applyAlignment="1">
      <alignment vertical="center" shrinkToFit="1"/>
    </xf>
    <xf numFmtId="3" fontId="18" fillId="28" borderId="60" xfId="0" applyNumberFormat="1" applyFont="1" applyFill="1" applyBorder="1" applyAlignment="1">
      <alignment vertical="center" shrinkToFit="1"/>
    </xf>
    <xf numFmtId="3" fontId="18" fillId="0" borderId="20" xfId="0" applyNumberFormat="1" applyFont="1" applyBorder="1" applyAlignment="1">
      <alignment vertical="center" shrinkToFit="1"/>
    </xf>
    <xf numFmtId="3" fontId="18" fillId="0" borderId="78" xfId="0" applyNumberFormat="1" applyFont="1" applyBorder="1" applyAlignment="1">
      <alignment vertical="center" shrinkToFit="1"/>
    </xf>
    <xf numFmtId="3" fontId="18" fillId="0" borderId="79" xfId="0" applyNumberFormat="1" applyFont="1" applyBorder="1" applyAlignment="1">
      <alignment vertical="center" shrinkToFit="1"/>
    </xf>
    <xf numFmtId="3" fontId="18" fillId="3" borderId="60" xfId="0" applyNumberFormat="1" applyFont="1" applyFill="1" applyBorder="1" applyAlignment="1">
      <alignment vertical="center" shrinkToFit="1"/>
    </xf>
    <xf numFmtId="3" fontId="14" fillId="0" borderId="78" xfId="0" applyNumberFormat="1" applyFont="1" applyBorder="1" applyAlignment="1">
      <alignment shrinkToFit="1"/>
    </xf>
    <xf numFmtId="3" fontId="18" fillId="0" borderId="78" xfId="0" applyNumberFormat="1" applyFont="1" applyBorder="1" applyAlignment="1">
      <alignment shrinkToFit="1"/>
    </xf>
    <xf numFmtId="3" fontId="14" fillId="0" borderId="79" xfId="0" applyNumberFormat="1" applyFont="1" applyBorder="1" applyAlignment="1">
      <alignment shrinkToFit="1"/>
    </xf>
    <xf numFmtId="3" fontId="11" fillId="27" borderId="60" xfId="0" applyNumberFormat="1" applyFont="1" applyFill="1" applyBorder="1" applyAlignment="1">
      <alignment vertical="center" shrinkToFit="1"/>
    </xf>
    <xf numFmtId="3" fontId="14" fillId="0" borderId="20" xfId="0" applyNumberFormat="1" applyFont="1" applyBorder="1" applyAlignment="1">
      <alignment vertical="center" shrinkToFit="1"/>
    </xf>
    <xf numFmtId="3" fontId="14" fillId="0" borderId="79" xfId="0" applyNumberFormat="1" applyFont="1" applyBorder="1" applyAlignment="1">
      <alignment vertical="center" shrinkToFit="1"/>
    </xf>
    <xf numFmtId="3" fontId="4" fillId="27" borderId="4" xfId="0" applyNumberFormat="1" applyFont="1" applyFill="1" applyBorder="1" applyAlignment="1">
      <alignment horizontal="center" vertical="center" shrinkToFit="1"/>
    </xf>
    <xf numFmtId="3" fontId="4" fillId="27" borderId="60" xfId="0" applyNumberFormat="1" applyFont="1" applyFill="1" applyBorder="1" applyAlignment="1">
      <alignment horizontal="justify" vertical="center" wrapText="1" shrinkToFit="1"/>
    </xf>
    <xf numFmtId="3" fontId="17" fillId="0" borderId="79" xfId="0" applyNumberFormat="1" applyFont="1" applyBorder="1" applyAlignment="1">
      <alignment vertical="center" shrinkToFit="1"/>
    </xf>
    <xf numFmtId="3" fontId="17" fillId="0" borderId="151" xfId="0" applyNumberFormat="1" applyFont="1" applyBorder="1" applyAlignment="1">
      <alignment shrinkToFit="1"/>
    </xf>
    <xf numFmtId="3" fontId="23" fillId="3" borderId="60" xfId="0" applyNumberFormat="1" applyFont="1" applyFill="1" applyBorder="1" applyAlignment="1">
      <alignment vertical="center" shrinkToFit="1"/>
    </xf>
    <xf numFmtId="3" fontId="23" fillId="0" borderId="20" xfId="0" applyNumberFormat="1" applyFont="1" applyBorder="1" applyAlignment="1">
      <alignment shrinkToFit="1"/>
    </xf>
    <xf numFmtId="3" fontId="23" fillId="0" borderId="78" xfId="0" applyNumberFormat="1" applyFont="1" applyBorder="1" applyAlignment="1">
      <alignment shrinkToFit="1"/>
    </xf>
    <xf numFmtId="3" fontId="4" fillId="27" borderId="60" xfId="0" applyNumberFormat="1" applyFont="1" applyFill="1" applyBorder="1" applyAlignment="1">
      <alignment vertical="center" shrinkToFit="1"/>
    </xf>
    <xf numFmtId="3" fontId="14" fillId="0" borderId="151" xfId="0" applyNumberFormat="1" applyFont="1" applyBorder="1" applyAlignment="1">
      <alignment shrinkToFit="1"/>
    </xf>
    <xf numFmtId="0" fontId="12" fillId="27" borderId="4" xfId="0" applyFont="1" applyFill="1" applyBorder="1" applyAlignment="1">
      <alignment horizontal="center" vertical="center"/>
    </xf>
    <xf numFmtId="0" fontId="12" fillId="27" borderId="60" xfId="0" applyFont="1" applyFill="1" applyBorder="1" applyAlignment="1">
      <alignment vertical="center" shrinkToFit="1"/>
    </xf>
    <xf numFmtId="3" fontId="21" fillId="0" borderId="60" xfId="0" applyNumberFormat="1" applyFont="1" applyBorder="1" applyAlignment="1">
      <alignment vertical="center" wrapText="1" shrinkToFit="1"/>
    </xf>
    <xf numFmtId="3" fontId="21" fillId="0" borderId="20" xfId="0" applyNumberFormat="1" applyFont="1" applyBorder="1" applyAlignment="1">
      <alignment vertical="center" wrapText="1" shrinkToFit="1"/>
    </xf>
    <xf numFmtId="3" fontId="21" fillId="27" borderId="59" xfId="0" applyNumberFormat="1" applyFont="1" applyFill="1" applyBorder="1" applyAlignment="1">
      <alignment vertical="center" shrinkToFit="1"/>
    </xf>
    <xf numFmtId="3" fontId="21" fillId="27" borderId="93" xfId="0" applyNumberFormat="1" applyFont="1" applyFill="1" applyBorder="1" applyAlignment="1">
      <alignment vertical="center" shrinkToFit="1"/>
    </xf>
    <xf numFmtId="3" fontId="14" fillId="0" borderId="60" xfId="0" applyNumberFormat="1" applyFont="1" applyBorder="1" applyAlignment="1">
      <alignment vertical="center" wrapText="1" shrinkToFit="1"/>
    </xf>
    <xf numFmtId="3" fontId="14" fillId="0" borderId="20" xfId="0" applyNumberFormat="1" applyFont="1" applyBorder="1" applyAlignment="1">
      <alignment vertical="center" wrapText="1" shrinkToFit="1"/>
    </xf>
    <xf numFmtId="3" fontId="14" fillId="27" borderId="59" xfId="0" applyNumberFormat="1" applyFont="1" applyFill="1" applyBorder="1" applyAlignment="1">
      <alignment vertical="center" shrinkToFit="1"/>
    </xf>
    <xf numFmtId="3" fontId="14" fillId="27" borderId="93" xfId="0" applyNumberFormat="1" applyFont="1" applyFill="1" applyBorder="1" applyAlignment="1">
      <alignment vertical="center" shrinkToFit="1"/>
    </xf>
    <xf numFmtId="0" fontId="4" fillId="27" borderId="4" xfId="0" applyFont="1" applyFill="1" applyBorder="1" applyAlignment="1">
      <alignment horizontal="center" vertical="center"/>
    </xf>
    <xf numFmtId="0" fontId="4" fillId="27" borderId="60" xfId="0" applyFont="1" applyFill="1" applyBorder="1" applyAlignment="1">
      <alignment vertical="center" shrinkToFit="1"/>
    </xf>
    <xf numFmtId="3" fontId="17" fillId="0" borderId="20" xfId="0" applyNumberFormat="1" applyFont="1" applyBorder="1" applyAlignment="1">
      <alignment vertical="center"/>
    </xf>
    <xf numFmtId="3" fontId="17" fillId="0" borderId="93" xfId="0" applyNumberFormat="1" applyFont="1" applyBorder="1" applyAlignment="1">
      <alignment vertical="center"/>
    </xf>
    <xf numFmtId="3" fontId="140" fillId="0" borderId="60" xfId="0" applyNumberFormat="1" applyFont="1" applyBorder="1" applyAlignment="1">
      <alignment horizontal="justify" vertical="justify" wrapText="1" shrinkToFit="1"/>
    </xf>
    <xf numFmtId="3" fontId="16" fillId="27" borderId="60" xfId="0" applyNumberFormat="1" applyFont="1" applyFill="1" applyBorder="1" applyAlignment="1">
      <alignment vertical="center" shrinkToFit="1"/>
    </xf>
    <xf numFmtId="3" fontId="16" fillId="0" borderId="60" xfId="0" applyNumberFormat="1" applyFont="1" applyBorder="1" applyAlignment="1">
      <alignment vertical="center"/>
    </xf>
    <xf numFmtId="3" fontId="16" fillId="0" borderId="20" xfId="0" applyNumberFormat="1" applyFont="1" applyBorder="1" applyAlignment="1">
      <alignment vertical="center"/>
    </xf>
    <xf numFmtId="3" fontId="16" fillId="0" borderId="59" xfId="0" applyNumberFormat="1" applyFont="1" applyBorder="1" applyAlignment="1">
      <alignment vertical="center" shrinkToFit="1"/>
    </xf>
    <xf numFmtId="3" fontId="16" fillId="0" borderId="93" xfId="0" applyNumberFormat="1" applyFont="1" applyBorder="1" applyAlignment="1">
      <alignment vertical="center"/>
    </xf>
    <xf numFmtId="3" fontId="16" fillId="0" borderId="0" xfId="0" applyNumberFormat="1" applyFont="1"/>
    <xf numFmtId="0" fontId="17" fillId="0" borderId="4" xfId="0" applyFont="1" applyBorder="1" applyAlignment="1">
      <alignment horizontal="center" vertical="center"/>
    </xf>
    <xf numFmtId="3" fontId="23" fillId="0" borderId="60" xfId="0" applyNumberFormat="1" applyFont="1" applyBorder="1" applyAlignment="1">
      <alignment horizontal="justify" vertical="justify" wrapText="1" shrinkToFit="1"/>
    </xf>
    <xf numFmtId="3" fontId="14" fillId="27" borderId="60" xfId="0" applyNumberFormat="1" applyFont="1" applyFill="1" applyBorder="1" applyAlignment="1">
      <alignment vertical="center"/>
    </xf>
    <xf numFmtId="3" fontId="18" fillId="0" borderId="20" xfId="0" applyNumberFormat="1" applyFont="1" applyBorder="1" applyAlignment="1">
      <alignment vertical="center"/>
    </xf>
    <xf numFmtId="3" fontId="14" fillId="0" borderId="93" xfId="0" applyNumberFormat="1" applyFont="1" applyBorder="1" applyAlignment="1">
      <alignment vertical="center"/>
    </xf>
    <xf numFmtId="0" fontId="17" fillId="27" borderId="60" xfId="0" applyFont="1" applyFill="1" applyBorder="1" applyAlignment="1">
      <alignment vertical="center"/>
    </xf>
    <xf numFmtId="0" fontId="23" fillId="0" borderId="20" xfId="0" applyFont="1" applyBorder="1" applyAlignment="1">
      <alignment vertical="center"/>
    </xf>
    <xf numFmtId="3" fontId="17" fillId="27" borderId="60" xfId="0" applyNumberFormat="1" applyFont="1" applyFill="1" applyBorder="1" applyAlignment="1">
      <alignment vertical="center"/>
    </xf>
    <xf numFmtId="3" fontId="23" fillId="0" borderId="20" xfId="0" applyNumberFormat="1" applyFont="1" applyBorder="1" applyAlignment="1">
      <alignment vertical="center"/>
    </xf>
    <xf numFmtId="0" fontId="4" fillId="27" borderId="60" xfId="0" applyFont="1" applyFill="1" applyBorder="1" applyAlignment="1">
      <alignment horizontal="left" vertical="center" shrinkToFit="1"/>
    </xf>
    <xf numFmtId="3" fontId="23" fillId="27" borderId="60" xfId="0" applyNumberFormat="1" applyFont="1" applyFill="1" applyBorder="1" applyAlignment="1">
      <alignment vertical="center" shrinkToFit="1"/>
    </xf>
    <xf numFmtId="3" fontId="23" fillId="27" borderId="20" xfId="0" applyNumberFormat="1" applyFont="1" applyFill="1" applyBorder="1" applyAlignment="1">
      <alignment vertical="center" shrinkToFit="1"/>
    </xf>
    <xf numFmtId="3" fontId="17" fillId="27" borderId="59" xfId="0" applyNumberFormat="1" applyFont="1" applyFill="1" applyBorder="1" applyAlignment="1">
      <alignment vertical="center" shrinkToFit="1"/>
    </xf>
    <xf numFmtId="3" fontId="17" fillId="27" borderId="93" xfId="0" applyNumberFormat="1" applyFont="1" applyFill="1" applyBorder="1" applyAlignment="1">
      <alignment vertical="center" shrinkToFit="1"/>
    </xf>
    <xf numFmtId="0" fontId="11" fillId="27" borderId="4" xfId="0" applyFont="1" applyFill="1" applyBorder="1" applyAlignment="1">
      <alignment horizontal="center"/>
    </xf>
    <xf numFmtId="3" fontId="11" fillId="27" borderId="60" xfId="0" applyNumberFormat="1" applyFont="1" applyFill="1" applyBorder="1" applyAlignment="1">
      <alignment wrapText="1" shrinkToFit="1"/>
    </xf>
    <xf numFmtId="0" fontId="14" fillId="27" borderId="60" xfId="0" applyFont="1" applyFill="1" applyBorder="1"/>
    <xf numFmtId="0" fontId="17" fillId="0" borderId="20" xfId="0" applyFont="1" applyBorder="1" applyAlignment="1">
      <alignment vertical="center"/>
    </xf>
    <xf numFmtId="3" fontId="14" fillId="27" borderId="60" xfId="0" applyNumberFormat="1" applyFont="1" applyFill="1" applyBorder="1"/>
    <xf numFmtId="0" fontId="14" fillId="0" borderId="60" xfId="0" applyFont="1" applyBorder="1" applyAlignment="1">
      <alignment vertical="center"/>
    </xf>
    <xf numFmtId="3" fontId="14" fillId="27" borderId="60" xfId="0" applyNumberFormat="1" applyFont="1" applyFill="1" applyBorder="1" applyAlignment="1">
      <alignment shrinkToFit="1"/>
    </xf>
    <xf numFmtId="0" fontId="11" fillId="27" borderId="60" xfId="0" applyFont="1" applyFill="1" applyBorder="1" applyAlignment="1">
      <alignment shrinkToFit="1"/>
    </xf>
    <xf numFmtId="3" fontId="14" fillId="0" borderId="59" xfId="0" applyNumberFormat="1" applyFont="1" applyBorder="1" applyAlignment="1">
      <alignment vertical="center"/>
    </xf>
    <xf numFmtId="0" fontId="11" fillId="27" borderId="4" xfId="0" applyFont="1" applyFill="1" applyBorder="1" applyAlignment="1">
      <alignment horizontal="center" shrinkToFit="1"/>
    </xf>
    <xf numFmtId="3" fontId="17" fillId="27" borderId="60" xfId="0" applyNumberFormat="1" applyFont="1" applyFill="1" applyBorder="1" applyAlignment="1">
      <alignment shrinkToFit="1"/>
    </xf>
    <xf numFmtId="3" fontId="17" fillId="0" borderId="59" xfId="0" applyNumberFormat="1" applyFont="1" applyBorder="1" applyAlignment="1">
      <alignment vertical="center"/>
    </xf>
    <xf numFmtId="3" fontId="11" fillId="27" borderId="60" xfId="0" applyNumberFormat="1" applyFont="1" applyFill="1" applyBorder="1" applyAlignment="1">
      <alignment vertical="center" wrapText="1"/>
    </xf>
    <xf numFmtId="3" fontId="14" fillId="0" borderId="20" xfId="0" applyNumberFormat="1" applyFont="1" applyBorder="1" applyAlignment="1">
      <alignment vertical="center"/>
    </xf>
    <xf numFmtId="0" fontId="14" fillId="27" borderId="20" xfId="0" applyFont="1" applyFill="1" applyBorder="1"/>
    <xf numFmtId="0" fontId="17" fillId="27" borderId="152" xfId="0" applyFont="1" applyFill="1" applyBorder="1"/>
    <xf numFmtId="0" fontId="17" fillId="27" borderId="76" xfId="0" applyFont="1" applyFill="1" applyBorder="1"/>
    <xf numFmtId="3" fontId="17" fillId="27" borderId="76" xfId="0" applyNumberFormat="1" applyFont="1" applyFill="1" applyBorder="1"/>
    <xf numFmtId="3" fontId="17" fillId="27" borderId="77" xfId="0" applyNumberFormat="1" applyFont="1" applyFill="1" applyBorder="1"/>
    <xf numFmtId="0" fontId="14" fillId="0" borderId="4" xfId="0" applyFont="1" applyBorder="1" applyAlignment="1">
      <alignment horizontal="center" vertical="center"/>
    </xf>
    <xf numFmtId="3" fontId="14" fillId="27" borderId="20" xfId="0" applyNumberFormat="1" applyFont="1" applyFill="1" applyBorder="1"/>
    <xf numFmtId="0" fontId="17" fillId="27" borderId="222" xfId="0" applyFont="1" applyFill="1" applyBorder="1"/>
    <xf numFmtId="3" fontId="17" fillId="27" borderId="222" xfId="0" applyNumberFormat="1" applyFont="1" applyFill="1" applyBorder="1"/>
    <xf numFmtId="3" fontId="17" fillId="27" borderId="223" xfId="0" applyNumberFormat="1" applyFont="1" applyFill="1" applyBorder="1"/>
    <xf numFmtId="0" fontId="12" fillId="27" borderId="60" xfId="0" applyFont="1" applyFill="1" applyBorder="1" applyAlignment="1">
      <alignment horizontal="center" vertical="center" shrinkToFit="1"/>
    </xf>
    <xf numFmtId="3" fontId="21" fillId="3" borderId="60" xfId="0" applyNumberFormat="1" applyFont="1" applyFill="1" applyBorder="1" applyAlignment="1">
      <alignment vertical="center" shrinkToFit="1"/>
    </xf>
    <xf numFmtId="3" fontId="21" fillId="0" borderId="151" xfId="0" applyNumberFormat="1" applyFont="1" applyBorder="1" applyAlignment="1">
      <alignment vertical="center" wrapText="1" shrinkToFit="1"/>
    </xf>
    <xf numFmtId="3" fontId="21" fillId="0" borderId="78" xfId="0" applyNumberFormat="1" applyFont="1" applyBorder="1" applyAlignment="1">
      <alignment vertical="center" wrapText="1" shrinkToFit="1"/>
    </xf>
    <xf numFmtId="3" fontId="21" fillId="0" borderId="79" xfId="0" applyNumberFormat="1" applyFont="1" applyBorder="1" applyAlignment="1">
      <alignment vertical="center" wrapText="1" shrinkToFit="1"/>
    </xf>
    <xf numFmtId="0" fontId="12" fillId="27" borderId="60" xfId="0" applyFont="1" applyFill="1" applyBorder="1" applyAlignment="1">
      <alignment horizontal="left" vertical="center" shrinkToFit="1"/>
    </xf>
    <xf numFmtId="3" fontId="21" fillId="0" borderId="216" xfId="0" applyNumberFormat="1" applyFont="1" applyBorder="1" applyAlignment="1">
      <alignment vertical="center" wrapText="1" shrinkToFit="1"/>
    </xf>
    <xf numFmtId="3" fontId="21" fillId="0" borderId="217" xfId="0" applyNumberFormat="1" applyFont="1" applyBorder="1" applyAlignment="1">
      <alignment vertical="center" wrapText="1" shrinkToFit="1"/>
    </xf>
    <xf numFmtId="0" fontId="17" fillId="27" borderId="5" xfId="0" applyFont="1" applyFill="1" applyBorder="1"/>
    <xf numFmtId="0" fontId="17" fillId="27" borderId="6" xfId="0" applyFont="1" applyFill="1" applyBorder="1"/>
    <xf numFmtId="3" fontId="17" fillId="27" borderId="6" xfId="0" applyNumberFormat="1" applyFont="1" applyFill="1" applyBorder="1" applyAlignment="1">
      <alignment vertical="center"/>
    </xf>
    <xf numFmtId="3" fontId="17" fillId="0" borderId="6" xfId="0" applyNumberFormat="1" applyFont="1" applyBorder="1" applyAlignment="1">
      <alignment shrinkToFit="1"/>
    </xf>
    <xf numFmtId="0" fontId="17" fillId="27" borderId="21" xfId="0" applyFont="1" applyFill="1" applyBorder="1"/>
    <xf numFmtId="0" fontId="17" fillId="27" borderId="153" xfId="0" applyFont="1" applyFill="1" applyBorder="1"/>
    <xf numFmtId="0" fontId="17" fillId="27" borderId="81" xfId="0" applyFont="1" applyFill="1" applyBorder="1"/>
    <xf numFmtId="0" fontId="17" fillId="27" borderId="82" xfId="0" applyFont="1" applyFill="1" applyBorder="1"/>
    <xf numFmtId="3" fontId="14" fillId="0" borderId="11" xfId="0" applyNumberFormat="1" applyFont="1" applyBorder="1"/>
    <xf numFmtId="3" fontId="12" fillId="0" borderId="58" xfId="0" applyNumberFormat="1" applyFont="1" applyBorder="1" applyAlignment="1" applyProtection="1">
      <alignment vertical="center" shrinkToFit="1"/>
      <protection locked="0"/>
    </xf>
    <xf numFmtId="3" fontId="4" fillId="0" borderId="60" xfId="0" applyNumberFormat="1" applyFont="1" applyBorder="1" applyAlignment="1" applyProtection="1">
      <alignment vertical="center" shrinkToFit="1"/>
      <protection locked="0"/>
    </xf>
    <xf numFmtId="3" fontId="12" fillId="0" borderId="60" xfId="0" applyNumberFormat="1" applyFont="1" applyBorder="1" applyAlignment="1" applyProtection="1">
      <alignment vertical="center" shrinkToFit="1"/>
      <protection locked="0"/>
    </xf>
    <xf numFmtId="0" fontId="14" fillId="0" borderId="13" xfId="0" applyFont="1" applyBorder="1" applyAlignment="1">
      <alignment horizontal="center"/>
    </xf>
    <xf numFmtId="3" fontId="12" fillId="0" borderId="13" xfId="0" applyNumberFormat="1" applyFont="1" applyBorder="1" applyAlignment="1" applyProtection="1">
      <alignment vertical="center" wrapText="1" shrinkToFit="1"/>
      <protection locked="0"/>
    </xf>
    <xf numFmtId="0" fontId="14" fillId="27" borderId="10" xfId="0" applyFont="1" applyFill="1" applyBorder="1" applyAlignment="1">
      <alignment horizontal="center" vertical="center"/>
    </xf>
    <xf numFmtId="3" fontId="21" fillId="27" borderId="68" xfId="0" applyNumberFormat="1" applyFont="1" applyFill="1" applyBorder="1" applyAlignment="1">
      <alignment vertical="center" shrinkToFit="1"/>
    </xf>
    <xf numFmtId="3" fontId="21" fillId="0" borderId="59" xfId="0" applyNumberFormat="1" applyFont="1" applyBorder="1" applyAlignment="1">
      <alignment vertical="center" wrapText="1" shrinkToFit="1"/>
    </xf>
    <xf numFmtId="3" fontId="14" fillId="0" borderId="59" xfId="0" applyNumberFormat="1" applyFont="1" applyBorder="1" applyAlignment="1">
      <alignment vertical="center" wrapText="1" shrinkToFit="1"/>
    </xf>
    <xf numFmtId="3" fontId="23" fillId="27" borderId="59" xfId="0" applyNumberFormat="1" applyFont="1" applyFill="1" applyBorder="1" applyAlignment="1">
      <alignment vertical="center" shrinkToFit="1"/>
    </xf>
    <xf numFmtId="3" fontId="23" fillId="0" borderId="59" xfId="0" applyNumberFormat="1" applyFont="1" applyBorder="1" applyAlignment="1">
      <alignment vertical="center"/>
    </xf>
    <xf numFmtId="3" fontId="14" fillId="27" borderId="59" xfId="0" applyNumberFormat="1" applyFont="1" applyFill="1" applyBorder="1"/>
    <xf numFmtId="0" fontId="17" fillId="27" borderId="59" xfId="0" applyFont="1" applyFill="1" applyBorder="1"/>
    <xf numFmtId="0" fontId="17" fillId="27" borderId="147" xfId="0" applyFont="1" applyFill="1" applyBorder="1"/>
    <xf numFmtId="3" fontId="16" fillId="0" borderId="20" xfId="0" applyNumberFormat="1" applyFont="1" applyBorder="1" applyAlignment="1">
      <alignment vertical="center" shrinkToFit="1"/>
    </xf>
    <xf numFmtId="3" fontId="16" fillId="0" borderId="20" xfId="1" applyNumberFormat="1" applyFont="1" applyFill="1" applyBorder="1" applyAlignment="1">
      <alignment vertical="center" shrinkToFit="1"/>
    </xf>
    <xf numFmtId="3" fontId="23" fillId="0" borderId="20" xfId="0" applyNumberFormat="1" applyFont="1" applyBorder="1" applyAlignment="1">
      <alignment vertical="center" shrinkToFit="1"/>
    </xf>
    <xf numFmtId="3" fontId="21" fillId="3" borderId="20" xfId="0" applyNumberFormat="1" applyFont="1" applyFill="1" applyBorder="1" applyAlignment="1">
      <alignment vertical="center" shrinkToFit="1"/>
    </xf>
    <xf numFmtId="3" fontId="17" fillId="0" borderId="21" xfId="0" applyNumberFormat="1" applyFont="1" applyBorder="1" applyAlignment="1">
      <alignment shrinkToFit="1"/>
    </xf>
    <xf numFmtId="0" fontId="213" fillId="0" borderId="4" xfId="411" applyFont="1" applyBorder="1" applyAlignment="1">
      <alignment horizontal="center" vertical="center" shrinkToFit="1"/>
    </xf>
    <xf numFmtId="0" fontId="141" fillId="0" borderId="60" xfId="411" applyFont="1" applyBorder="1" applyAlignment="1">
      <alignment vertical="center" wrapText="1" shrinkToFit="1"/>
    </xf>
    <xf numFmtId="166" fontId="141" fillId="0" borderId="60" xfId="411" applyNumberFormat="1" applyFont="1" applyBorder="1" applyAlignment="1">
      <alignment vertical="center" wrapText="1"/>
    </xf>
    <xf numFmtId="166" fontId="141" fillId="0" borderId="20" xfId="411" applyNumberFormat="1" applyFont="1" applyBorder="1" applyAlignment="1">
      <alignment vertical="center" wrapText="1"/>
    </xf>
    <xf numFmtId="0" fontId="141" fillId="0" borderId="4" xfId="411" applyFont="1" applyBorder="1" applyAlignment="1">
      <alignment horizontal="center" vertical="center" shrinkToFit="1"/>
    </xf>
    <xf numFmtId="166" fontId="150" fillId="0" borderId="20" xfId="411" applyNumberFormat="1" applyFont="1" applyBorder="1" applyAlignment="1">
      <alignment vertical="center" wrapText="1"/>
    </xf>
    <xf numFmtId="0" fontId="150" fillId="0" borderId="0" xfId="0" applyFont="1"/>
    <xf numFmtId="0" fontId="214" fillId="0" borderId="4" xfId="411" applyFont="1" applyBorder="1" applyAlignment="1">
      <alignment horizontal="center" vertical="center" shrinkToFit="1"/>
    </xf>
    <xf numFmtId="0" fontId="150" fillId="0" borderId="60" xfId="411" applyFont="1" applyBorder="1" applyAlignment="1">
      <alignment vertical="center" wrapText="1" shrinkToFit="1"/>
    </xf>
    <xf numFmtId="166" fontId="150" fillId="0" borderId="60" xfId="411" applyNumberFormat="1" applyFont="1" applyBorder="1" applyAlignment="1">
      <alignment vertical="center" wrapText="1"/>
    </xf>
    <xf numFmtId="219" fontId="129" fillId="0" borderId="60" xfId="0" applyNumberFormat="1" applyFont="1" applyBorder="1" applyAlignment="1">
      <alignment vertical="center" wrapText="1" shrinkToFit="1"/>
    </xf>
    <xf numFmtId="219" fontId="129" fillId="0" borderId="20" xfId="0" applyNumberFormat="1" applyFont="1" applyBorder="1" applyAlignment="1">
      <alignment vertical="center" wrapText="1" shrinkToFit="1"/>
    </xf>
    <xf numFmtId="167" fontId="130" fillId="0" borderId="58" xfId="0" applyNumberFormat="1" applyFont="1" applyBorder="1" applyAlignment="1">
      <alignment vertical="center" shrinkToFit="1"/>
    </xf>
    <xf numFmtId="167" fontId="130" fillId="0" borderId="14" xfId="0" applyNumberFormat="1" applyFont="1" applyBorder="1" applyAlignment="1">
      <alignment vertical="center" shrinkToFit="1"/>
    </xf>
    <xf numFmtId="3" fontId="121" fillId="0" borderId="0" xfId="3" applyNumberFormat="1" applyFont="1"/>
    <xf numFmtId="3" fontId="22" fillId="0" borderId="20" xfId="0" applyNumberFormat="1" applyFont="1" applyBorder="1" applyAlignment="1">
      <alignment vertical="center" shrinkToFit="1"/>
    </xf>
    <xf numFmtId="3" fontId="14" fillId="0" borderId="6" xfId="0" applyNumberFormat="1" applyFont="1" applyBorder="1"/>
    <xf numFmtId="3" fontId="21" fillId="0" borderId="175" xfId="0" applyNumberFormat="1" applyFont="1" applyBorder="1" applyAlignment="1">
      <alignment horizontal="center" vertical="center" shrinkToFit="1"/>
    </xf>
    <xf numFmtId="3" fontId="21" fillId="0" borderId="14" xfId="0" applyNumberFormat="1" applyFont="1" applyBorder="1" applyAlignment="1">
      <alignment horizontal="justify" vertical="center" wrapText="1" shrinkToFit="1"/>
    </xf>
    <xf numFmtId="3" fontId="21" fillId="0" borderId="14" xfId="0" applyNumberFormat="1" applyFont="1" applyBorder="1" applyAlignment="1">
      <alignment vertical="center" shrinkToFit="1"/>
    </xf>
    <xf numFmtId="167" fontId="21" fillId="0" borderId="14" xfId="0" applyNumberFormat="1" applyFont="1" applyBorder="1" applyAlignment="1">
      <alignment vertical="center" shrinkToFit="1"/>
    </xf>
    <xf numFmtId="166" fontId="21" fillId="0" borderId="14" xfId="0" applyNumberFormat="1" applyFont="1" applyBorder="1" applyAlignment="1">
      <alignment vertical="center" shrinkToFit="1"/>
    </xf>
    <xf numFmtId="172" fontId="14" fillId="0" borderId="14" xfId="0" applyNumberFormat="1" applyFont="1" applyBorder="1"/>
    <xf numFmtId="171" fontId="14" fillId="0" borderId="14" xfId="3" applyNumberFormat="1" applyFont="1" applyFill="1" applyBorder="1"/>
    <xf numFmtId="170" fontId="21" fillId="0" borderId="14" xfId="1" applyNumberFormat="1" applyFont="1" applyFill="1" applyBorder="1" applyAlignment="1">
      <alignment vertical="center" shrinkToFit="1"/>
    </xf>
    <xf numFmtId="172" fontId="14" fillId="0" borderId="14" xfId="0" applyNumberFormat="1" applyFont="1" applyBorder="1" applyAlignment="1">
      <alignment shrinkToFit="1"/>
    </xf>
    <xf numFmtId="3" fontId="14" fillId="0" borderId="14" xfId="0" applyNumberFormat="1" applyFont="1" applyBorder="1" applyAlignment="1">
      <alignment shrinkToFit="1"/>
    </xf>
    <xf numFmtId="3" fontId="21" fillId="0" borderId="176" xfId="0" applyNumberFormat="1" applyFont="1" applyBorder="1" applyAlignment="1">
      <alignment vertical="center" shrinkToFit="1"/>
    </xf>
    <xf numFmtId="3" fontId="113" fillId="0" borderId="59" xfId="0" applyNumberFormat="1" applyFont="1" applyBorder="1"/>
    <xf numFmtId="3" fontId="113" fillId="0" borderId="174" xfId="0" applyNumberFormat="1" applyFont="1" applyBorder="1"/>
    <xf numFmtId="3" fontId="113" fillId="0" borderId="66" xfId="0" applyNumberFormat="1" applyFont="1" applyBorder="1"/>
    <xf numFmtId="3" fontId="113" fillId="0" borderId="19" xfId="0" applyNumberFormat="1" applyFont="1" applyBorder="1" applyAlignment="1">
      <alignment vertical="center" shrinkToFit="1"/>
    </xf>
    <xf numFmtId="3" fontId="112" fillId="0" borderId="20" xfId="1" applyNumberFormat="1" applyFont="1" applyFill="1" applyBorder="1" applyAlignment="1">
      <alignment vertical="center" shrinkToFit="1"/>
    </xf>
    <xf numFmtId="3" fontId="125" fillId="0" borderId="20" xfId="0" applyNumberFormat="1" applyFont="1" applyBorder="1" applyAlignment="1">
      <alignment shrinkToFit="1"/>
    </xf>
    <xf numFmtId="3" fontId="112" fillId="0" borderId="20" xfId="0" applyNumberFormat="1" applyFont="1" applyBorder="1" applyAlignment="1">
      <alignment shrinkToFit="1"/>
    </xf>
    <xf numFmtId="3" fontId="125" fillId="0" borderId="20" xfId="1" applyNumberFormat="1" applyFont="1" applyFill="1" applyBorder="1" applyAlignment="1">
      <alignment shrinkToFit="1"/>
    </xf>
    <xf numFmtId="172" fontId="113" fillId="0" borderId="6" xfId="0" applyNumberFormat="1" applyFont="1" applyBorder="1" applyAlignment="1">
      <alignment shrinkToFit="1"/>
    </xf>
    <xf numFmtId="3" fontId="113" fillId="0" borderId="21" xfId="0" applyNumberFormat="1" applyFont="1" applyBorder="1" applyAlignment="1">
      <alignment shrinkToFit="1"/>
    </xf>
    <xf numFmtId="3" fontId="129" fillId="0" borderId="20" xfId="0" applyNumberFormat="1" applyFont="1" applyBorder="1" applyAlignment="1">
      <alignment shrinkToFit="1"/>
    </xf>
    <xf numFmtId="3" fontId="121" fillId="0" borderId="20" xfId="0" applyNumberFormat="1" applyFont="1" applyBorder="1" applyAlignment="1">
      <alignment shrinkToFit="1"/>
    </xf>
    <xf numFmtId="3" fontId="125" fillId="0" borderId="0" xfId="0" applyNumberFormat="1" applyFont="1" applyAlignment="1">
      <alignment vertical="center"/>
    </xf>
    <xf numFmtId="0" fontId="121" fillId="27" borderId="152" xfId="0" applyFont="1" applyFill="1" applyBorder="1"/>
    <xf numFmtId="0" fontId="121" fillId="27" borderId="76" xfId="0" applyFont="1" applyFill="1" applyBorder="1"/>
    <xf numFmtId="3" fontId="121" fillId="27" borderId="76" xfId="0" applyNumberFormat="1" applyFont="1" applyFill="1" applyBorder="1"/>
    <xf numFmtId="3" fontId="121" fillId="27" borderId="77" xfId="0" applyNumberFormat="1" applyFont="1" applyFill="1" applyBorder="1"/>
    <xf numFmtId="0" fontId="121" fillId="27" borderId="222" xfId="0" applyFont="1" applyFill="1" applyBorder="1"/>
    <xf numFmtId="3" fontId="121" fillId="27" borderId="222" xfId="0" applyNumberFormat="1" applyFont="1" applyFill="1" applyBorder="1"/>
    <xf numFmtId="3" fontId="121" fillId="27" borderId="223" xfId="0" applyNumberFormat="1" applyFont="1" applyFill="1" applyBorder="1"/>
    <xf numFmtId="0" fontId="121" fillId="27" borderId="5" xfId="0" applyFont="1" applyFill="1" applyBorder="1"/>
    <xf numFmtId="0" fontId="113" fillId="27" borderId="6" xfId="0" applyFont="1" applyFill="1" applyBorder="1"/>
    <xf numFmtId="3" fontId="113" fillId="27" borderId="6" xfId="0" applyNumberFormat="1" applyFont="1" applyFill="1" applyBorder="1" applyAlignment="1">
      <alignment vertical="center"/>
    </xf>
    <xf numFmtId="0" fontId="113" fillId="27" borderId="224" xfId="0" applyFont="1" applyFill="1" applyBorder="1"/>
    <xf numFmtId="3" fontId="121" fillId="0" borderId="6" xfId="0" applyNumberFormat="1" applyFont="1" applyBorder="1" applyAlignment="1">
      <alignment shrinkToFit="1"/>
    </xf>
    <xf numFmtId="3" fontId="121" fillId="0" borderId="21" xfId="0" applyNumberFormat="1" applyFont="1" applyBorder="1" applyAlignment="1">
      <alignment shrinkToFit="1"/>
    </xf>
    <xf numFmtId="0" fontId="113" fillId="27" borderId="153" xfId="0" applyFont="1" applyFill="1" applyBorder="1"/>
    <xf numFmtId="0" fontId="113" fillId="27" borderId="81" xfId="0" applyFont="1" applyFill="1" applyBorder="1"/>
    <xf numFmtId="0" fontId="113" fillId="27" borderId="82" xfId="0" applyFont="1" applyFill="1" applyBorder="1"/>
    <xf numFmtId="3" fontId="129" fillId="0" borderId="176" xfId="0" applyNumberFormat="1" applyFont="1" applyBorder="1" applyAlignment="1">
      <alignment horizontal="right" vertical="center"/>
    </xf>
    <xf numFmtId="3" fontId="112" fillId="0" borderId="4" xfId="0" applyNumberFormat="1" applyFont="1" applyBorder="1" applyAlignment="1">
      <alignment horizontal="center" wrapText="1" shrinkToFit="1"/>
    </xf>
    <xf numFmtId="3" fontId="112" fillId="0" borderId="60" xfId="0" applyNumberFormat="1" applyFont="1" applyBorder="1" applyAlignment="1">
      <alignment horizontal="justify" wrapText="1" shrinkToFit="1"/>
    </xf>
    <xf numFmtId="3" fontId="112" fillId="0" borderId="4" xfId="0" applyNumberFormat="1" applyFont="1" applyBorder="1" applyAlignment="1">
      <alignment horizontal="center" shrinkToFit="1"/>
    </xf>
    <xf numFmtId="0" fontId="129" fillId="0" borderId="175" xfId="0" applyFont="1" applyBorder="1" applyAlignment="1">
      <alignment horizontal="center" vertical="center"/>
    </xf>
    <xf numFmtId="0" fontId="129" fillId="0" borderId="14" xfId="0" applyFont="1" applyBorder="1" applyAlignment="1">
      <alignment vertical="center"/>
    </xf>
    <xf numFmtId="169" fontId="135" fillId="0" borderId="0" xfId="1" applyNumberFormat="1" applyFont="1" applyFill="1"/>
    <xf numFmtId="179" fontId="122" fillId="0" borderId="0" xfId="0" applyNumberFormat="1" applyFont="1"/>
    <xf numFmtId="0" fontId="215" fillId="0" borderId="0" xfId="0" applyFont="1"/>
    <xf numFmtId="3" fontId="215" fillId="0" borderId="0" xfId="0" applyNumberFormat="1" applyFont="1"/>
    <xf numFmtId="179" fontId="129" fillId="0" borderId="0" xfId="403" applyNumberFormat="1" applyFont="1" applyFill="1" applyAlignment="1">
      <alignment vertical="center"/>
    </xf>
    <xf numFmtId="3" fontId="129" fillId="0" borderId="0" xfId="0" applyNumberFormat="1" applyFont="1" applyAlignment="1">
      <alignment vertical="center" wrapText="1"/>
    </xf>
    <xf numFmtId="179" fontId="129" fillId="0" borderId="0" xfId="403" applyNumberFormat="1" applyFont="1" applyFill="1" applyAlignment="1">
      <alignment vertical="center" wrapText="1"/>
    </xf>
    <xf numFmtId="0" fontId="129" fillId="0" borderId="0" xfId="0" applyFont="1" applyAlignment="1">
      <alignment vertical="center" wrapText="1"/>
    </xf>
    <xf numFmtId="0" fontId="122" fillId="0" borderId="0" xfId="0" applyFont="1" applyAlignment="1">
      <alignment vertical="center" wrapText="1"/>
    </xf>
    <xf numFmtId="179" fontId="264" fillId="0" borderId="0" xfId="403" applyNumberFormat="1" applyFont="1" applyFill="1" applyAlignment="1">
      <alignment vertical="center" wrapText="1"/>
    </xf>
    <xf numFmtId="179" fontId="121" fillId="0" borderId="0" xfId="403" applyNumberFormat="1" applyFont="1" applyFill="1" applyAlignment="1">
      <alignment vertical="center" wrapText="1"/>
    </xf>
    <xf numFmtId="3" fontId="135" fillId="0" borderId="0" xfId="0" applyNumberFormat="1" applyFont="1" applyAlignment="1">
      <alignment vertical="center" wrapText="1"/>
    </xf>
    <xf numFmtId="179" fontId="135" fillId="0" borderId="0" xfId="403" applyNumberFormat="1" applyFont="1" applyFill="1" applyAlignment="1">
      <alignment vertical="center" wrapText="1"/>
    </xf>
    <xf numFmtId="0" fontId="135" fillId="0" borderId="0" xfId="0" applyFont="1" applyAlignment="1">
      <alignment vertical="center" wrapText="1"/>
    </xf>
    <xf numFmtId="179" fontId="121" fillId="0" borderId="0" xfId="0" applyNumberFormat="1" applyFont="1" applyAlignment="1">
      <alignment vertical="center" wrapText="1"/>
    </xf>
    <xf numFmtId="179" fontId="135" fillId="0" borderId="0" xfId="0" applyNumberFormat="1" applyFont="1" applyAlignment="1">
      <alignment vertical="center" wrapText="1"/>
    </xf>
    <xf numFmtId="3" fontId="125" fillId="0" borderId="60" xfId="0" applyNumberFormat="1" applyFont="1" applyBorder="1" applyAlignment="1">
      <alignment horizontal="justify" vertical="justify" wrapText="1" shrinkToFit="1"/>
    </xf>
    <xf numFmtId="38" fontId="129" fillId="0" borderId="0" xfId="0" applyNumberFormat="1" applyFont="1" applyAlignment="1">
      <alignment vertical="center" wrapText="1"/>
    </xf>
    <xf numFmtId="169" fontId="135" fillId="0" borderId="0" xfId="1" applyNumberFormat="1" applyFont="1" applyFill="1" applyAlignment="1">
      <alignment vertical="center" wrapText="1"/>
    </xf>
    <xf numFmtId="169" fontId="122" fillId="0" borderId="0" xfId="0" applyNumberFormat="1" applyFont="1" applyAlignment="1">
      <alignment vertical="center" wrapText="1"/>
    </xf>
    <xf numFmtId="3" fontId="121" fillId="0" borderId="20" xfId="0" applyNumberFormat="1" applyFont="1" applyBorder="1" applyAlignment="1">
      <alignment horizontal="right" wrapText="1"/>
    </xf>
    <xf numFmtId="3" fontId="129" fillId="0" borderId="0" xfId="0" applyNumberFormat="1" applyFont="1" applyAlignment="1">
      <alignment wrapText="1"/>
    </xf>
    <xf numFmtId="0" fontId="129" fillId="0" borderId="0" xfId="0" applyFont="1" applyAlignment="1">
      <alignment wrapText="1"/>
    </xf>
    <xf numFmtId="3" fontId="122" fillId="0" borderId="20" xfId="0" applyNumberFormat="1" applyFont="1" applyBorder="1" applyAlignment="1">
      <alignment horizontal="right" wrapText="1"/>
    </xf>
    <xf numFmtId="0" fontId="122" fillId="0" borderId="4" xfId="0" applyFont="1" applyBorder="1"/>
    <xf numFmtId="0" fontId="122" fillId="0" borderId="60" xfId="0" quotePrefix="1" applyFont="1" applyBorder="1"/>
    <xf numFmtId="0" fontId="122" fillId="0" borderId="5" xfId="0" applyFont="1" applyBorder="1"/>
    <xf numFmtId="0" fontId="122" fillId="0" borderId="6" xfId="0" quotePrefix="1" applyFont="1" applyBorder="1"/>
    <xf numFmtId="220" fontId="142" fillId="0" borderId="11" xfId="351" applyNumberFormat="1" applyFont="1" applyBorder="1" applyAlignment="1">
      <alignment horizontal="center" vertical="center" wrapText="1"/>
    </xf>
    <xf numFmtId="3" fontId="142" fillId="0" borderId="60" xfId="0" applyNumberFormat="1" applyFont="1" applyBorder="1" applyAlignment="1">
      <alignment horizontal="justify" vertical="justify" wrapText="1"/>
    </xf>
    <xf numFmtId="0" fontId="129" fillId="0" borderId="60" xfId="0" applyFont="1" applyBorder="1" applyAlignment="1">
      <alignment horizontal="justify" vertical="justify" wrapText="1"/>
    </xf>
    <xf numFmtId="0" fontId="135" fillId="0" borderId="60" xfId="0" applyFont="1" applyBorder="1" applyAlignment="1">
      <alignment horizontal="justify" vertical="justify" wrapText="1"/>
    </xf>
    <xf numFmtId="0" fontId="121" fillId="0" borderId="60" xfId="0" applyFont="1" applyBorder="1" applyAlignment="1">
      <alignment horizontal="justify" vertical="center" wrapText="1"/>
    </xf>
    <xf numFmtId="0" fontId="142" fillId="0" borderId="60" xfId="0" applyFont="1" applyBorder="1" applyAlignment="1">
      <alignment horizontal="justify" vertical="justify" wrapText="1"/>
    </xf>
    <xf numFmtId="0" fontId="150" fillId="0" borderId="60" xfId="0" applyFont="1" applyBorder="1" applyAlignment="1">
      <alignment horizontal="justify" vertical="justify" wrapText="1"/>
    </xf>
    <xf numFmtId="0" fontId="121" fillId="0" borderId="60" xfId="0" applyFont="1" applyBorder="1" applyAlignment="1">
      <alignment horizontal="justify" vertical="justify" wrapText="1"/>
    </xf>
    <xf numFmtId="0" fontId="121" fillId="0" borderId="60" xfId="0" applyFont="1" applyBorder="1" applyAlignment="1">
      <alignment horizontal="left" vertical="center" wrapText="1"/>
    </xf>
    <xf numFmtId="0" fontId="135" fillId="0" borderId="60" xfId="0" applyFont="1" applyBorder="1" applyAlignment="1">
      <alignment horizontal="justify" vertical="center" wrapText="1"/>
    </xf>
    <xf numFmtId="0" fontId="262" fillId="0" borderId="60" xfId="2" applyFont="1" applyFill="1" applyBorder="1" applyAlignment="1">
      <alignment horizontal="justify" vertical="center" wrapText="1"/>
    </xf>
    <xf numFmtId="0" fontId="126" fillId="0" borderId="60" xfId="0" applyFont="1" applyBorder="1" applyAlignment="1">
      <alignment horizontal="justify" vertical="justify" wrapText="1"/>
    </xf>
    <xf numFmtId="3" fontId="121" fillId="0" borderId="60" xfId="0" applyNumberFormat="1" applyFont="1" applyBorder="1" applyAlignment="1">
      <alignment horizontal="justify" vertical="center" wrapText="1"/>
    </xf>
    <xf numFmtId="3" fontId="121" fillId="0" borderId="60" xfId="0" applyNumberFormat="1" applyFont="1" applyBorder="1" applyAlignment="1">
      <alignment horizontal="justify" vertical="justify" wrapText="1"/>
    </xf>
    <xf numFmtId="0" fontId="121" fillId="0" borderId="140" xfId="0" applyFont="1" applyBorder="1" applyAlignment="1">
      <alignment vertical="center" wrapText="1"/>
    </xf>
    <xf numFmtId="0" fontId="142" fillId="0" borderId="60" xfId="0" applyFont="1" applyBorder="1" applyAlignment="1">
      <alignment horizontal="justify" vertical="center" wrapText="1"/>
    </xf>
    <xf numFmtId="0" fontId="121" fillId="0" borderId="6" xfId="0" applyFont="1" applyBorder="1" applyAlignment="1">
      <alignment horizontal="justify" vertical="center" wrapText="1"/>
    </xf>
    <xf numFmtId="3" fontId="126" fillId="0" borderId="20" xfId="0" applyNumberFormat="1" applyFont="1" applyBorder="1" applyAlignment="1">
      <alignment vertical="center"/>
    </xf>
    <xf numFmtId="219" fontId="120" fillId="0" borderId="60" xfId="0" applyNumberFormat="1" applyFont="1" applyBorder="1" applyAlignment="1">
      <alignment vertical="center"/>
    </xf>
    <xf numFmtId="3" fontId="129" fillId="0" borderId="4" xfId="0" applyNumberFormat="1" applyFont="1" applyBorder="1" applyAlignment="1">
      <alignment horizontal="centerContinuous"/>
    </xf>
    <xf numFmtId="3" fontId="32" fillId="0" borderId="219" xfId="0" applyNumberFormat="1" applyFont="1" applyBorder="1" applyAlignment="1">
      <alignment shrinkToFit="1"/>
    </xf>
    <xf numFmtId="170" fontId="32" fillId="0" borderId="20" xfId="1" applyNumberFormat="1" applyFont="1" applyBorder="1"/>
    <xf numFmtId="170" fontId="32" fillId="0" borderId="21" xfId="1" applyNumberFormat="1" applyFont="1" applyBorder="1"/>
    <xf numFmtId="169" fontId="32" fillId="0" borderId="0" xfId="0" applyNumberFormat="1" applyFont="1"/>
    <xf numFmtId="3" fontId="150" fillId="0" borderId="60" xfId="0" applyNumberFormat="1" applyFont="1" applyBorder="1" applyAlignment="1">
      <alignment horizontal="justify" vertical="justify" wrapText="1"/>
    </xf>
    <xf numFmtId="4" fontId="129" fillId="0" borderId="20" xfId="0" applyNumberFormat="1" applyFont="1" applyBorder="1" applyAlignment="1">
      <alignment vertical="center" shrinkToFit="1"/>
    </xf>
    <xf numFmtId="3" fontId="112" fillId="0" borderId="0" xfId="0" applyNumberFormat="1" applyFont="1" applyAlignment="1">
      <alignment vertical="center"/>
    </xf>
    <xf numFmtId="10" fontId="112" fillId="0" borderId="0" xfId="3" applyNumberFormat="1" applyFont="1"/>
    <xf numFmtId="4" fontId="129" fillId="0" borderId="60" xfId="0" applyNumberFormat="1" applyFont="1" applyBorder="1" applyAlignment="1">
      <alignment vertical="center" shrinkToFit="1"/>
    </xf>
    <xf numFmtId="3" fontId="121" fillId="0" borderId="5" xfId="0" applyNumberFormat="1" applyFont="1" applyBorder="1" applyAlignment="1">
      <alignment vertical="center"/>
    </xf>
    <xf numFmtId="0" fontId="122" fillId="0" borderId="6" xfId="0" applyFont="1" applyBorder="1" applyAlignment="1">
      <alignment vertical="center"/>
    </xf>
    <xf numFmtId="4" fontId="129" fillId="0" borderId="4" xfId="0" applyNumberFormat="1" applyFont="1" applyBorder="1" applyAlignment="1">
      <alignment vertical="center" shrinkToFit="1"/>
    </xf>
    <xf numFmtId="229" fontId="129" fillId="0" borderId="60" xfId="0" applyNumberFormat="1" applyFont="1" applyBorder="1" applyAlignment="1">
      <alignment vertical="center" shrinkToFit="1"/>
    </xf>
    <xf numFmtId="3" fontId="121" fillId="0" borderId="11" xfId="0" applyNumberFormat="1" applyFont="1" applyBorder="1" applyAlignment="1">
      <alignment horizontal="center" vertical="center"/>
    </xf>
    <xf numFmtId="3" fontId="121" fillId="0" borderId="11" xfId="0" applyNumberFormat="1" applyFont="1" applyBorder="1" applyAlignment="1">
      <alignment horizontal="center"/>
    </xf>
    <xf numFmtId="3" fontId="121" fillId="0" borderId="18" xfId="0" applyNumberFormat="1" applyFont="1" applyBorder="1" applyAlignment="1">
      <alignment horizontal="center"/>
    </xf>
    <xf numFmtId="1" fontId="121" fillId="0" borderId="60" xfId="0" applyNumberFormat="1" applyFont="1" applyBorder="1" applyAlignment="1">
      <alignment vertical="center"/>
    </xf>
    <xf numFmtId="3" fontId="122" fillId="0" borderId="0" xfId="3" applyNumberFormat="1" applyFont="1" applyAlignment="1">
      <alignment shrinkToFit="1"/>
    </xf>
    <xf numFmtId="3" fontId="122" fillId="0" borderId="0" xfId="3" applyNumberFormat="1" applyFont="1"/>
    <xf numFmtId="3" fontId="120" fillId="0" borderId="17" xfId="0" applyNumberFormat="1" applyFont="1" applyBorder="1" applyAlignment="1">
      <alignment horizontal="center" vertical="center" wrapText="1"/>
    </xf>
    <xf numFmtId="3" fontId="120" fillId="0" borderId="64" xfId="0" applyNumberFormat="1" applyFont="1" applyBorder="1" applyAlignment="1">
      <alignment horizontal="center" vertical="center" wrapText="1"/>
    </xf>
    <xf numFmtId="169" fontId="134" fillId="0" borderId="0" xfId="1" applyNumberFormat="1" applyFont="1"/>
    <xf numFmtId="170" fontId="17" fillId="3" borderId="60" xfId="1" applyNumberFormat="1" applyFont="1" applyFill="1" applyBorder="1" applyAlignment="1">
      <alignment shrinkToFit="1"/>
    </xf>
    <xf numFmtId="166" fontId="17" fillId="3" borderId="0" xfId="0" applyNumberFormat="1" applyFont="1" applyFill="1"/>
    <xf numFmtId="3" fontId="3" fillId="0" borderId="130" xfId="2" applyNumberFormat="1" applyFont="1" applyBorder="1" applyAlignment="1">
      <alignment horizontal="center" vertical="center" wrapText="1"/>
    </xf>
    <xf numFmtId="3" fontId="130" fillId="0" borderId="4" xfId="0" applyNumberFormat="1" applyFont="1" applyBorder="1" applyAlignment="1">
      <alignment horizontal="center"/>
    </xf>
    <xf numFmtId="219" fontId="134" fillId="0" borderId="4" xfId="0" applyNumberFormat="1" applyFont="1" applyBorder="1" applyAlignment="1">
      <alignment horizontal="center"/>
    </xf>
    <xf numFmtId="166" fontId="150" fillId="0" borderId="20" xfId="0" applyNumberFormat="1" applyFont="1" applyBorder="1" applyAlignment="1">
      <alignment shrinkToFit="1"/>
    </xf>
    <xf numFmtId="3" fontId="32" fillId="0" borderId="4" xfId="0" applyNumberFormat="1" applyFont="1" applyBorder="1" applyAlignment="1">
      <alignment horizontal="center"/>
    </xf>
    <xf numFmtId="166" fontId="129" fillId="0" borderId="20" xfId="0" applyNumberFormat="1" applyFont="1" applyBorder="1" applyAlignment="1">
      <alignment shrinkToFit="1"/>
    </xf>
    <xf numFmtId="3" fontId="134" fillId="0" borderId="4" xfId="0" applyNumberFormat="1" applyFont="1" applyBorder="1" applyAlignment="1">
      <alignment horizontal="center"/>
    </xf>
    <xf numFmtId="166" fontId="135" fillId="0" borderId="20" xfId="0" applyNumberFormat="1" applyFont="1" applyBorder="1" applyAlignment="1">
      <alignment shrinkToFit="1"/>
    </xf>
    <xf numFmtId="166" fontId="122" fillId="0" borderId="20" xfId="0" applyNumberFormat="1" applyFont="1" applyBorder="1" applyAlignment="1">
      <alignment shrinkToFit="1"/>
    </xf>
    <xf numFmtId="3" fontId="130" fillId="0" borderId="134" xfId="0" applyNumberFormat="1" applyFont="1" applyBorder="1" applyAlignment="1">
      <alignment horizontal="center"/>
    </xf>
    <xf numFmtId="166" fontId="129" fillId="0" borderId="177" xfId="0" applyNumberFormat="1" applyFont="1" applyBorder="1" applyAlignment="1">
      <alignment shrinkToFit="1"/>
    </xf>
    <xf numFmtId="3" fontId="130" fillId="0" borderId="2" xfId="0" applyNumberFormat="1" applyFont="1" applyBorder="1" applyAlignment="1">
      <alignment horizontal="centerContinuous"/>
    </xf>
    <xf numFmtId="219" fontId="129" fillId="0" borderId="19" xfId="0" applyNumberFormat="1" applyFont="1" applyBorder="1" applyAlignment="1">
      <alignment shrinkToFit="1"/>
    </xf>
    <xf numFmtId="3" fontId="160" fillId="0" borderId="4" xfId="0" applyNumberFormat="1" applyFont="1" applyBorder="1" applyAlignment="1">
      <alignment horizontal="center" vertical="center"/>
    </xf>
    <xf numFmtId="3" fontId="122" fillId="0" borderId="5" xfId="0" applyNumberFormat="1" applyFont="1" applyBorder="1" applyAlignment="1">
      <alignment horizontal="center" vertical="center"/>
    </xf>
    <xf numFmtId="219" fontId="122" fillId="0" borderId="6" xfId="0" applyNumberFormat="1" applyFont="1" applyBorder="1" applyAlignment="1">
      <alignment vertical="center" shrinkToFit="1"/>
    </xf>
    <xf numFmtId="219" fontId="122" fillId="0" borderId="21" xfId="0" applyNumberFormat="1" applyFont="1" applyBorder="1" applyAlignment="1">
      <alignment vertical="center" shrinkToFit="1"/>
    </xf>
    <xf numFmtId="3" fontId="120" fillId="0" borderId="18" xfId="0" applyNumberFormat="1" applyFont="1" applyBorder="1" applyAlignment="1">
      <alignment horizontal="center" vertical="center" shrinkToFit="1"/>
    </xf>
    <xf numFmtId="166" fontId="130" fillId="0" borderId="19" xfId="0" applyNumberFormat="1" applyFont="1" applyBorder="1" applyAlignment="1">
      <alignment horizontal="right" shrinkToFit="1"/>
    </xf>
    <xf numFmtId="166" fontId="156" fillId="0" borderId="20" xfId="0" applyNumberFormat="1" applyFont="1" applyBorder="1" applyAlignment="1">
      <alignment horizontal="right" shrinkToFit="1"/>
    </xf>
    <xf numFmtId="166" fontId="130" fillId="0" borderId="20" xfId="0" applyNumberFormat="1" applyFont="1" applyBorder="1" applyAlignment="1">
      <alignment horizontal="right" shrinkToFit="1"/>
    </xf>
    <xf numFmtId="166" fontId="32" fillId="0" borderId="20" xfId="0" applyNumberFormat="1" applyFont="1" applyBorder="1" applyAlignment="1">
      <alignment horizontal="right" shrinkToFit="1"/>
    </xf>
    <xf numFmtId="166" fontId="157" fillId="0" borderId="20" xfId="0" applyNumberFormat="1" applyFont="1" applyBorder="1" applyAlignment="1">
      <alignment horizontal="right" shrinkToFit="1"/>
    </xf>
    <xf numFmtId="0" fontId="122" fillId="0" borderId="4" xfId="0" applyFont="1" applyBorder="1" applyAlignment="1">
      <alignment horizontal="center" shrinkToFit="1"/>
    </xf>
    <xf numFmtId="166" fontId="122" fillId="0" borderId="20" xfId="0" applyNumberFormat="1" applyFont="1" applyBorder="1" applyAlignment="1">
      <alignment horizontal="right" shrinkToFit="1"/>
    </xf>
    <xf numFmtId="3" fontId="129" fillId="0" borderId="4" xfId="0" applyNumberFormat="1" applyFont="1" applyBorder="1" applyAlignment="1">
      <alignment horizontal="center" shrinkToFit="1"/>
    </xf>
    <xf numFmtId="166" fontId="129" fillId="0" borderId="20" xfId="0" applyNumberFormat="1" applyFont="1" applyBorder="1" applyAlignment="1">
      <alignment horizontal="right" shrinkToFit="1"/>
    </xf>
    <xf numFmtId="166" fontId="122" fillId="0" borderId="20" xfId="0" applyNumberFormat="1" applyFont="1" applyBorder="1" applyAlignment="1">
      <alignment horizontal="right" vertical="center" shrinkToFit="1"/>
    </xf>
    <xf numFmtId="3" fontId="129" fillId="0" borderId="5" xfId="0" applyNumberFormat="1" applyFont="1" applyBorder="1" applyAlignment="1">
      <alignment horizontal="center" shrinkToFit="1"/>
    </xf>
    <xf numFmtId="3" fontId="129" fillId="0" borderId="6" xfId="0" applyNumberFormat="1" applyFont="1" applyBorder="1" applyAlignment="1">
      <alignment horizontal="center" shrinkToFit="1"/>
    </xf>
    <xf numFmtId="166" fontId="129" fillId="0" borderId="6" xfId="0" applyNumberFormat="1" applyFont="1" applyBorder="1" applyAlignment="1">
      <alignment horizontal="right" shrinkToFit="1"/>
    </xf>
    <xf numFmtId="166" fontId="129" fillId="0" borderId="21" xfId="0" applyNumberFormat="1" applyFont="1" applyBorder="1" applyAlignment="1">
      <alignment horizontal="right" shrinkToFit="1"/>
    </xf>
    <xf numFmtId="3" fontId="134" fillId="0" borderId="0" xfId="412" applyNumberFormat="1" applyFont="1"/>
    <xf numFmtId="3" fontId="163" fillId="0" borderId="0" xfId="3" applyNumberFormat="1" applyFont="1" applyFill="1"/>
    <xf numFmtId="0" fontId="129" fillId="0" borderId="58" xfId="0" applyFont="1" applyBorder="1" applyAlignment="1">
      <alignment horizontal="center"/>
    </xf>
    <xf numFmtId="3" fontId="129" fillId="0" borderId="58" xfId="1" applyNumberFormat="1" applyFont="1" applyBorder="1" applyAlignment="1">
      <alignment horizontal="right"/>
    </xf>
    <xf numFmtId="3" fontId="209" fillId="0" borderId="58" xfId="1" applyNumberFormat="1" applyFont="1" applyBorder="1" applyAlignment="1">
      <alignment horizontal="right"/>
    </xf>
    <xf numFmtId="3" fontId="129" fillId="0" borderId="58" xfId="1" applyNumberFormat="1" applyFont="1" applyBorder="1" applyAlignment="1">
      <alignment horizontal="right" shrinkToFit="1"/>
    </xf>
    <xf numFmtId="3" fontId="129" fillId="0" borderId="19" xfId="1" applyNumberFormat="1" applyFont="1" applyBorder="1" applyAlignment="1">
      <alignment horizontal="right" shrinkToFit="1"/>
    </xf>
    <xf numFmtId="3" fontId="129" fillId="0" borderId="60" xfId="1" applyNumberFormat="1" applyFont="1" applyFill="1" applyBorder="1" applyAlignment="1">
      <alignment horizontal="right" vertical="center"/>
    </xf>
    <xf numFmtId="3" fontId="129" fillId="0" borderId="60" xfId="0" applyNumberFormat="1" applyFont="1" applyBorder="1" applyAlignment="1">
      <alignment horizontal="right" vertical="center"/>
    </xf>
    <xf numFmtId="3" fontId="209" fillId="0" borderId="60" xfId="0" applyNumberFormat="1" applyFont="1" applyBorder="1" applyAlignment="1">
      <alignment horizontal="right" vertical="center"/>
    </xf>
    <xf numFmtId="3" fontId="129" fillId="0" borderId="60" xfId="1" applyNumberFormat="1" applyFont="1" applyFill="1" applyBorder="1" applyAlignment="1">
      <alignment horizontal="right" vertical="center" shrinkToFit="1"/>
    </xf>
    <xf numFmtId="3" fontId="129" fillId="0" borderId="20" xfId="1" applyNumberFormat="1" applyFont="1" applyFill="1" applyBorder="1" applyAlignment="1">
      <alignment horizontal="right" vertical="center"/>
    </xf>
    <xf numFmtId="3" fontId="209" fillId="0" borderId="60" xfId="1" applyNumberFormat="1" applyFont="1" applyFill="1" applyBorder="1" applyAlignment="1">
      <alignment horizontal="right" vertical="center"/>
    </xf>
    <xf numFmtId="3" fontId="135" fillId="0" borderId="60" xfId="0" applyNumberFormat="1" applyFont="1" applyBorder="1" applyAlignment="1">
      <alignment horizontal="right" vertical="center"/>
    </xf>
    <xf numFmtId="3" fontId="122" fillId="0" borderId="60" xfId="1" applyNumberFormat="1" applyFont="1" applyFill="1" applyBorder="1" applyAlignment="1">
      <alignment horizontal="right" vertical="center" shrinkToFit="1"/>
    </xf>
    <xf numFmtId="3" fontId="122" fillId="0" borderId="60" xfId="1" applyNumberFormat="1" applyFont="1" applyFill="1" applyBorder="1" applyAlignment="1">
      <alignment vertical="center"/>
    </xf>
    <xf numFmtId="3" fontId="121" fillId="0" borderId="60" xfId="1" applyNumberFormat="1" applyFont="1" applyFill="1" applyBorder="1" applyAlignment="1">
      <alignment horizontal="right" vertical="center" shrinkToFit="1"/>
    </xf>
    <xf numFmtId="171" fontId="129" fillId="0" borderId="4" xfId="0" applyNumberFormat="1" applyFont="1" applyBorder="1" applyAlignment="1">
      <alignment horizontal="center" vertical="center"/>
    </xf>
    <xf numFmtId="171" fontId="129" fillId="0" borderId="60" xfId="0" applyNumberFormat="1" applyFont="1" applyBorder="1" applyAlignment="1">
      <alignment horizontal="justify" vertical="justify" shrinkToFit="1"/>
    </xf>
    <xf numFmtId="3" fontId="129" fillId="0" borderId="60" xfId="1" applyNumberFormat="1" applyFont="1" applyFill="1" applyBorder="1" applyAlignment="1">
      <alignment vertical="center"/>
    </xf>
    <xf numFmtId="3" fontId="209" fillId="0" borderId="60" xfId="1" applyNumberFormat="1" applyFont="1" applyFill="1" applyBorder="1" applyAlignment="1">
      <alignment vertical="center"/>
    </xf>
    <xf numFmtId="0" fontId="121" fillId="0" borderId="60" xfId="0" applyFont="1" applyBorder="1" applyAlignment="1">
      <alignment vertical="justify" shrinkToFit="1"/>
    </xf>
    <xf numFmtId="3" fontId="122" fillId="0" borderId="20" xfId="3" applyNumberFormat="1" applyFont="1" applyFill="1" applyBorder="1" applyAlignment="1">
      <alignment vertical="center"/>
    </xf>
    <xf numFmtId="3" fontId="121" fillId="3" borderId="60" xfId="1" applyNumberFormat="1" applyFont="1" applyFill="1" applyBorder="1" applyAlignment="1">
      <alignment horizontal="right" vertical="center"/>
    </xf>
    <xf numFmtId="3" fontId="129" fillId="0" borderId="60" xfId="0" applyNumberFormat="1" applyFont="1" applyBorder="1" applyAlignment="1">
      <alignment vertical="center"/>
    </xf>
    <xf numFmtId="3" fontId="209" fillId="0" borderId="60" xfId="0" applyNumberFormat="1" applyFont="1" applyBorder="1" applyAlignment="1">
      <alignment vertical="center"/>
    </xf>
    <xf numFmtId="3" fontId="129" fillId="0" borderId="60" xfId="1" applyNumberFormat="1" applyFont="1" applyBorder="1" applyAlignment="1">
      <alignment vertical="center" shrinkToFit="1"/>
    </xf>
    <xf numFmtId="2" fontId="121" fillId="0" borderId="60" xfId="0" applyNumberFormat="1" applyFont="1" applyBorder="1" applyAlignment="1">
      <alignment horizontal="left" vertical="center" wrapText="1"/>
    </xf>
    <xf numFmtId="3" fontId="121" fillId="0" borderId="60" xfId="1" applyNumberFormat="1" applyFont="1" applyFill="1" applyBorder="1" applyAlignment="1">
      <alignment vertical="center" shrinkToFit="1"/>
    </xf>
    <xf numFmtId="3" fontId="121" fillId="0" borderId="140" xfId="0" applyNumberFormat="1" applyFont="1" applyBorder="1" applyAlignment="1">
      <alignment horizontal="right" vertical="center"/>
    </xf>
    <xf numFmtId="3" fontId="121" fillId="0" borderId="140" xfId="1" applyNumberFormat="1" applyFont="1" applyFill="1" applyBorder="1" applyAlignment="1">
      <alignment vertical="center"/>
    </xf>
    <xf numFmtId="3" fontId="126" fillId="0" borderId="140" xfId="1" applyNumberFormat="1" applyFont="1" applyFill="1" applyBorder="1" applyAlignment="1">
      <alignment vertical="center"/>
    </xf>
    <xf numFmtId="3" fontId="121" fillId="0" borderId="140" xfId="1" applyNumberFormat="1" applyFont="1" applyFill="1" applyBorder="1" applyAlignment="1">
      <alignment horizontal="right" vertical="center"/>
    </xf>
    <xf numFmtId="3" fontId="121" fillId="0" borderId="6" xfId="0" applyNumberFormat="1" applyFont="1" applyBorder="1" applyAlignment="1">
      <alignment horizontal="right" vertical="center"/>
    </xf>
    <xf numFmtId="3" fontId="121" fillId="0" borderId="6" xfId="1" applyNumberFormat="1" applyFont="1" applyFill="1" applyBorder="1" applyAlignment="1">
      <alignment vertical="center"/>
    </xf>
    <xf numFmtId="3" fontId="126" fillId="0" borderId="6" xfId="1" applyNumberFormat="1" applyFont="1" applyFill="1" applyBorder="1" applyAlignment="1">
      <alignment vertical="center"/>
    </xf>
    <xf numFmtId="3" fontId="121" fillId="0" borderId="6" xfId="1" applyNumberFormat="1" applyFont="1" applyFill="1" applyBorder="1" applyAlignment="1">
      <alignment horizontal="right" vertical="center"/>
    </xf>
    <xf numFmtId="179" fontId="129" fillId="0" borderId="11" xfId="1" applyNumberFormat="1" applyFont="1" applyBorder="1" applyAlignment="1">
      <alignment horizontal="right"/>
    </xf>
    <xf numFmtId="179" fontId="209" fillId="0" borderId="11" xfId="1" applyNumberFormat="1" applyFont="1" applyBorder="1" applyAlignment="1">
      <alignment horizontal="right"/>
    </xf>
    <xf numFmtId="3" fontId="129" fillId="0" borderId="11" xfId="1" applyNumberFormat="1" applyFont="1" applyBorder="1" applyAlignment="1">
      <alignment horizontal="right"/>
    </xf>
    <xf numFmtId="3" fontId="129" fillId="3" borderId="11" xfId="1" applyNumberFormat="1" applyFont="1" applyFill="1" applyBorder="1" applyAlignment="1"/>
    <xf numFmtId="3" fontId="129" fillId="0" borderId="11" xfId="1" applyNumberFormat="1" applyFont="1" applyBorder="1" applyAlignment="1"/>
    <xf numFmtId="3" fontId="129" fillId="0" borderId="18" xfId="1" applyNumberFormat="1" applyFont="1" applyBorder="1" applyAlignment="1"/>
    <xf numFmtId="3" fontId="129" fillId="0" borderId="58" xfId="1" applyNumberFormat="1" applyFont="1" applyFill="1" applyBorder="1" applyAlignment="1">
      <alignment horizontal="right" vertical="center"/>
    </xf>
    <xf numFmtId="3" fontId="129" fillId="0" borderId="58" xfId="0" applyNumberFormat="1" applyFont="1" applyBorder="1" applyAlignment="1">
      <alignment horizontal="right" vertical="center"/>
    </xf>
    <xf numFmtId="3" fontId="209" fillId="0" borderId="58" xfId="0" applyNumberFormat="1" applyFont="1" applyBorder="1" applyAlignment="1">
      <alignment horizontal="right" vertical="center"/>
    </xf>
    <xf numFmtId="3" fontId="129" fillId="0" borderId="58" xfId="0" applyNumberFormat="1" applyFont="1" applyBorder="1" applyAlignment="1">
      <alignment horizontal="center" vertical="center"/>
    </xf>
    <xf numFmtId="3" fontId="129" fillId="0" borderId="58" xfId="1" applyNumberFormat="1" applyFont="1" applyFill="1" applyBorder="1" applyAlignment="1">
      <alignment vertical="center"/>
    </xf>
    <xf numFmtId="3" fontId="129" fillId="0" borderId="19" xfId="1" applyNumberFormat="1" applyFont="1" applyFill="1" applyBorder="1" applyAlignment="1">
      <alignment vertical="center"/>
    </xf>
    <xf numFmtId="179" fontId="122" fillId="0" borderId="60" xfId="1" applyNumberFormat="1" applyFont="1" applyFill="1" applyBorder="1" applyAlignment="1">
      <alignment vertical="center"/>
    </xf>
    <xf numFmtId="0" fontId="122" fillId="0" borderId="20" xfId="0" applyFont="1" applyBorder="1" applyAlignment="1">
      <alignment vertical="center"/>
    </xf>
    <xf numFmtId="3" fontId="121" fillId="0" borderId="60" xfId="349" applyNumberFormat="1" applyFont="1" applyFill="1" applyBorder="1" applyAlignment="1">
      <alignment horizontal="right" vertical="center"/>
    </xf>
    <xf numFmtId="3" fontId="122" fillId="0" borderId="60" xfId="350" applyNumberFormat="1" applyFont="1" applyFill="1" applyBorder="1" applyAlignment="1">
      <alignment horizontal="right" vertical="center" shrinkToFit="1"/>
    </xf>
    <xf numFmtId="3" fontId="122" fillId="0" borderId="60" xfId="12" applyNumberFormat="1" applyFont="1" applyBorder="1" applyAlignment="1">
      <alignment vertical="center"/>
    </xf>
    <xf numFmtId="3" fontId="122" fillId="0" borderId="60" xfId="349" applyNumberFormat="1" applyFont="1" applyFill="1" applyBorder="1" applyAlignment="1">
      <alignment vertical="center"/>
    </xf>
    <xf numFmtId="179" fontId="122" fillId="0" borderId="60" xfId="0" applyNumberFormat="1" applyFont="1" applyBorder="1" applyAlignment="1">
      <alignment vertical="center"/>
    </xf>
    <xf numFmtId="3" fontId="122" fillId="0" borderId="60" xfId="1" applyNumberFormat="1" applyFont="1" applyBorder="1" applyAlignment="1">
      <alignment horizontal="right" vertical="center"/>
    </xf>
    <xf numFmtId="170" fontId="122" fillId="0" borderId="60" xfId="1" applyNumberFormat="1" applyFont="1" applyBorder="1" applyAlignment="1">
      <alignment horizontal="right" vertical="center"/>
    </xf>
    <xf numFmtId="9" fontId="122" fillId="0" borderId="20" xfId="3" applyFont="1" applyFill="1" applyBorder="1" applyAlignment="1">
      <alignment vertical="center"/>
    </xf>
    <xf numFmtId="170" fontId="122" fillId="0" borderId="60" xfId="1" applyNumberFormat="1" applyFont="1" applyFill="1" applyBorder="1" applyAlignment="1">
      <alignment horizontal="right" vertical="center" shrinkToFit="1"/>
    </xf>
    <xf numFmtId="170" fontId="122" fillId="0" borderId="60" xfId="1" applyNumberFormat="1" applyFont="1" applyBorder="1" applyAlignment="1">
      <alignment vertical="center"/>
    </xf>
    <xf numFmtId="3" fontId="122" fillId="3" borderId="60" xfId="0" applyNumberFormat="1" applyFont="1" applyFill="1" applyBorder="1" applyAlignment="1">
      <alignment vertical="center"/>
    </xf>
    <xf numFmtId="37" fontId="121" fillId="0" borderId="60" xfId="1" applyNumberFormat="1" applyFont="1" applyBorder="1" applyAlignment="1">
      <alignment vertical="center"/>
    </xf>
    <xf numFmtId="179" fontId="121" fillId="0" borderId="60" xfId="0" applyNumberFormat="1" applyFont="1" applyBorder="1" applyAlignment="1">
      <alignment vertical="center"/>
    </xf>
    <xf numFmtId="3" fontId="135" fillId="3" borderId="60" xfId="0" applyNumberFormat="1" applyFont="1" applyFill="1" applyBorder="1" applyAlignment="1">
      <alignment vertical="center"/>
    </xf>
    <xf numFmtId="0" fontId="135" fillId="0" borderId="20" xfId="0" applyFont="1" applyBorder="1" applyAlignment="1">
      <alignment vertical="center"/>
    </xf>
    <xf numFmtId="0" fontId="126" fillId="0" borderId="20" xfId="0" applyFont="1" applyBorder="1" applyAlignment="1">
      <alignment vertical="center"/>
    </xf>
    <xf numFmtId="170" fontId="121" fillId="0" borderId="60" xfId="1" applyNumberFormat="1" applyFont="1" applyFill="1" applyBorder="1" applyAlignment="1">
      <alignment vertical="center"/>
    </xf>
    <xf numFmtId="170" fontId="135" fillId="0" borderId="60" xfId="1" applyNumberFormat="1" applyFont="1" applyFill="1" applyBorder="1" applyAlignment="1">
      <alignment vertical="center"/>
    </xf>
    <xf numFmtId="165" fontId="121" fillId="0" borderId="60" xfId="0" applyNumberFormat="1" applyFont="1" applyBorder="1" applyAlignment="1">
      <alignment vertical="center"/>
    </xf>
    <xf numFmtId="165" fontId="135" fillId="0" borderId="60" xfId="1" applyFont="1" applyFill="1" applyBorder="1" applyAlignment="1">
      <alignment vertical="center"/>
    </xf>
    <xf numFmtId="0" fontId="135" fillId="0" borderId="1" xfId="0" applyFont="1" applyBorder="1" applyAlignment="1">
      <alignment vertical="center"/>
    </xf>
    <xf numFmtId="179" fontId="126" fillId="0" borderId="60" xfId="0" applyNumberFormat="1" applyFont="1" applyBorder="1" applyAlignment="1">
      <alignment vertical="center"/>
    </xf>
    <xf numFmtId="3" fontId="135" fillId="0" borderId="60" xfId="1" applyNumberFormat="1" applyFont="1" applyBorder="1" applyAlignment="1">
      <alignment horizontal="right" vertical="center"/>
    </xf>
    <xf numFmtId="3" fontId="135" fillId="0" borderId="60" xfId="1" applyNumberFormat="1" applyFont="1" applyFill="1" applyBorder="1" applyAlignment="1">
      <alignment horizontal="right" vertical="center"/>
    </xf>
    <xf numFmtId="3" fontId="135" fillId="3" borderId="60" xfId="1" applyNumberFormat="1" applyFont="1" applyFill="1" applyBorder="1" applyAlignment="1">
      <alignment vertical="center" shrinkToFit="1"/>
    </xf>
    <xf numFmtId="1" fontId="126" fillId="0" borderId="60" xfId="0" applyNumberFormat="1" applyFont="1" applyBorder="1" applyAlignment="1">
      <alignment vertical="center"/>
    </xf>
    <xf numFmtId="179" fontId="121" fillId="3" borderId="60" xfId="1" applyNumberFormat="1" applyFont="1" applyFill="1" applyBorder="1" applyAlignment="1">
      <alignment vertical="center"/>
    </xf>
    <xf numFmtId="37" fontId="121" fillId="0" borderId="60" xfId="1" applyNumberFormat="1" applyFont="1" applyBorder="1" applyAlignment="1">
      <alignment horizontal="right" vertical="center"/>
    </xf>
    <xf numFmtId="170" fontId="121" fillId="0" borderId="60" xfId="1" applyNumberFormat="1" applyFont="1" applyBorder="1" applyAlignment="1">
      <alignment horizontal="right" vertical="center"/>
    </xf>
    <xf numFmtId="179" fontId="121" fillId="3" borderId="60" xfId="0" applyNumberFormat="1" applyFont="1" applyFill="1" applyBorder="1" applyAlignment="1">
      <alignment vertical="center"/>
    </xf>
    <xf numFmtId="170" fontId="121" fillId="0" borderId="60" xfId="1" applyNumberFormat="1" applyFont="1" applyBorder="1" applyAlignment="1">
      <alignment vertical="center"/>
    </xf>
    <xf numFmtId="179" fontId="121" fillId="0" borderId="60" xfId="1" applyNumberFormat="1" applyFont="1" applyFill="1" applyBorder="1" applyAlignment="1">
      <alignment vertical="center" shrinkToFit="1"/>
    </xf>
    <xf numFmtId="179" fontId="121" fillId="0" borderId="140" xfId="1" applyNumberFormat="1" applyFont="1" applyFill="1" applyBorder="1" applyAlignment="1">
      <alignment vertical="center"/>
    </xf>
    <xf numFmtId="179" fontId="126" fillId="0" borderId="140" xfId="1" applyNumberFormat="1" applyFont="1" applyFill="1" applyBorder="1" applyAlignment="1">
      <alignment vertical="center"/>
    </xf>
    <xf numFmtId="179" fontId="121" fillId="0" borderId="6" xfId="1" applyNumberFormat="1" applyFont="1" applyFill="1" applyBorder="1" applyAlignment="1">
      <alignment vertical="center"/>
    </xf>
    <xf numFmtId="179" fontId="126" fillId="0" borderId="6" xfId="1" applyNumberFormat="1" applyFont="1" applyFill="1" applyBorder="1" applyAlignment="1">
      <alignment vertical="center"/>
    </xf>
    <xf numFmtId="0" fontId="121" fillId="0" borderId="21" xfId="0" applyFont="1" applyBorder="1" applyAlignment="1">
      <alignment vertical="center"/>
    </xf>
    <xf numFmtId="3" fontId="121" fillId="3" borderId="60" xfId="0" applyNumberFormat="1" applyFont="1" applyFill="1" applyBorder="1" applyAlignment="1">
      <alignment vertical="center"/>
    </xf>
    <xf numFmtId="9" fontId="112" fillId="0" borderId="0" xfId="0" applyNumberFormat="1" applyFont="1"/>
    <xf numFmtId="170" fontId="112" fillId="0" borderId="0" xfId="1" applyNumberFormat="1" applyFont="1" applyAlignment="1">
      <alignment vertical="center"/>
    </xf>
    <xf numFmtId="9" fontId="113" fillId="0" borderId="0" xfId="0" applyNumberFormat="1" applyFont="1"/>
    <xf numFmtId="0" fontId="120" fillId="0" borderId="107" xfId="0" applyFont="1" applyBorder="1" applyAlignment="1">
      <alignment horizontal="center" vertical="center" wrapText="1"/>
    </xf>
    <xf numFmtId="0" fontId="120" fillId="0" borderId="106" xfId="0" applyFont="1" applyBorder="1" applyAlignment="1">
      <alignment horizontal="center" vertical="center" wrapText="1"/>
    </xf>
    <xf numFmtId="0" fontId="32" fillId="0" borderId="0" xfId="0" applyFont="1" applyAlignment="1">
      <alignment horizontal="center"/>
    </xf>
    <xf numFmtId="0" fontId="32" fillId="0" borderId="104" xfId="0" applyFont="1" applyBorder="1" applyAlignment="1">
      <alignment horizontal="center"/>
    </xf>
    <xf numFmtId="0" fontId="32" fillId="0" borderId="103" xfId="0" applyFont="1" applyBorder="1" applyAlignment="1">
      <alignment horizontal="center"/>
    </xf>
    <xf numFmtId="0" fontId="120" fillId="0" borderId="11" xfId="0" applyFont="1" applyBorder="1" applyAlignment="1">
      <alignment horizontal="center" vertical="center" wrapText="1"/>
    </xf>
    <xf numFmtId="0" fontId="120" fillId="0" borderId="0" xfId="0" applyFont="1" applyAlignment="1">
      <alignment horizontal="center" vertical="center"/>
    </xf>
    <xf numFmtId="0" fontId="120" fillId="0" borderId="98" xfId="0" applyFont="1" applyBorder="1" applyAlignment="1">
      <alignment horizontal="center" vertical="center" wrapText="1"/>
    </xf>
    <xf numFmtId="0" fontId="120" fillId="0" borderId="99" xfId="0" applyFont="1" applyBorder="1" applyAlignment="1">
      <alignment horizontal="center" vertical="center" wrapText="1"/>
    </xf>
    <xf numFmtId="0" fontId="3" fillId="36" borderId="11" xfId="2" applyFont="1" applyFill="1" applyBorder="1" applyAlignment="1">
      <alignment horizontal="center" vertical="center" wrapText="1"/>
    </xf>
    <xf numFmtId="0" fontId="114" fillId="0" borderId="0" xfId="0" applyFont="1" applyAlignment="1">
      <alignment horizontal="center" vertical="center" wrapText="1"/>
    </xf>
    <xf numFmtId="0" fontId="147"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right" vertical="center" wrapText="1"/>
    </xf>
    <xf numFmtId="0" fontId="114" fillId="0" borderId="0" xfId="0" applyFont="1" applyAlignment="1">
      <alignment horizontal="center" vertical="center"/>
    </xf>
    <xf numFmtId="0" fontId="147" fillId="0" borderId="0" xfId="0" applyFont="1" applyAlignment="1">
      <alignment horizontal="center" vertical="center"/>
    </xf>
    <xf numFmtId="0" fontId="14" fillId="0" borderId="0" xfId="0" applyFont="1" applyAlignment="1">
      <alignment horizontal="center" shrinkToFit="1"/>
    </xf>
    <xf numFmtId="0" fontId="14" fillId="0" borderId="0" xfId="0" applyFont="1" applyAlignment="1">
      <alignment horizontal="center"/>
    </xf>
    <xf numFmtId="0" fontId="14" fillId="0" borderId="0" xfId="0" applyFont="1" applyAlignment="1">
      <alignment horizontal="center" vertical="center" shrinkToFit="1"/>
    </xf>
    <xf numFmtId="3" fontId="21" fillId="0" borderId="133" xfId="0" applyNumberFormat="1" applyFont="1" applyBorder="1" applyAlignment="1">
      <alignment horizontal="right"/>
    </xf>
    <xf numFmtId="0" fontId="17" fillId="0" borderId="0" xfId="0" applyFont="1" applyAlignment="1">
      <alignment horizontal="center"/>
    </xf>
    <xf numFmtId="3" fontId="3" fillId="0" borderId="11" xfId="2" applyNumberFormat="1" applyFont="1" applyFill="1" applyBorder="1" applyAlignment="1">
      <alignment horizontal="center" vertical="center" wrapText="1"/>
    </xf>
    <xf numFmtId="3" fontId="14" fillId="0" borderId="11" xfId="0" applyNumberFormat="1" applyFont="1" applyBorder="1" applyAlignment="1">
      <alignment horizontal="center" vertical="center" wrapText="1"/>
    </xf>
    <xf numFmtId="3" fontId="21"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horizontal="center"/>
    </xf>
    <xf numFmtId="0" fontId="14" fillId="0" borderId="11" xfId="0" applyFont="1" applyBorder="1" applyAlignment="1">
      <alignment horizontal="center" wrapText="1"/>
    </xf>
    <xf numFmtId="0" fontId="113" fillId="0" borderId="0" xfId="0" applyFont="1" applyAlignment="1">
      <alignment horizontal="center"/>
    </xf>
    <xf numFmtId="3" fontId="133" fillId="0" borderId="133" xfId="0" applyNumberFormat="1" applyFont="1" applyBorder="1" applyAlignment="1">
      <alignment horizontal="right"/>
    </xf>
    <xf numFmtId="0" fontId="133" fillId="0" borderId="133" xfId="0" applyFont="1" applyBorder="1" applyAlignment="1">
      <alignment horizontal="right"/>
    </xf>
    <xf numFmtId="0" fontId="113" fillId="0" borderId="7"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72" xfId="0" applyFont="1" applyBorder="1" applyAlignment="1">
      <alignment horizontal="center" vertical="center" wrapText="1"/>
    </xf>
    <xf numFmtId="0" fontId="3" fillId="0" borderId="11" xfId="2"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11" xfId="0" applyFont="1" applyBorder="1" applyAlignment="1">
      <alignment horizontal="center" vertical="center" wrapText="1"/>
    </xf>
    <xf numFmtId="0" fontId="121" fillId="0" borderId="17" xfId="0" applyFont="1" applyBorder="1" applyAlignment="1">
      <alignment horizontal="center"/>
    </xf>
    <xf numFmtId="0" fontId="121" fillId="0" borderId="64" xfId="0" applyFont="1" applyBorder="1" applyAlignment="1">
      <alignment horizontal="center"/>
    </xf>
    <xf numFmtId="0" fontId="121" fillId="0" borderId="0" xfId="0" applyFont="1" applyAlignment="1">
      <alignment horizontal="center"/>
    </xf>
    <xf numFmtId="0" fontId="126" fillId="0" borderId="0" xfId="0" applyFont="1" applyAlignment="1">
      <alignment horizontal="center"/>
    </xf>
    <xf numFmtId="0" fontId="122" fillId="0" borderId="0" xfId="0" applyFont="1" applyAlignment="1">
      <alignment horizontal="center"/>
    </xf>
    <xf numFmtId="0" fontId="3" fillId="0" borderId="73" xfId="2" applyFont="1" applyFill="1" applyBorder="1" applyAlignment="1">
      <alignment horizontal="center" vertical="center"/>
    </xf>
    <xf numFmtId="0" fontId="3" fillId="0" borderId="74" xfId="2" applyFont="1" applyFill="1" applyBorder="1" applyAlignment="1">
      <alignment horizontal="center" vertical="center"/>
    </xf>
    <xf numFmtId="0" fontId="121" fillId="0" borderId="71" xfId="0" applyFont="1" applyBorder="1" applyAlignment="1">
      <alignment horizontal="center" vertical="center"/>
    </xf>
    <xf numFmtId="0" fontId="121" fillId="0" borderId="72" xfId="0" applyFont="1" applyBorder="1" applyAlignment="1">
      <alignment horizontal="center" vertical="center"/>
    </xf>
    <xf numFmtId="0" fontId="113" fillId="0" borderId="8" xfId="0" applyFont="1" applyBorder="1" applyAlignment="1">
      <alignment horizontal="center"/>
    </xf>
    <xf numFmtId="0" fontId="113" fillId="0" borderId="9" xfId="0" applyFont="1" applyBorder="1" applyAlignment="1">
      <alignment horizontal="center"/>
    </xf>
    <xf numFmtId="0" fontId="113" fillId="0" borderId="10" xfId="0" applyFont="1" applyBorder="1" applyAlignment="1">
      <alignment horizontal="center"/>
    </xf>
    <xf numFmtId="0" fontId="113" fillId="0" borderId="11" xfId="0" applyFont="1" applyBorder="1" applyAlignment="1">
      <alignment horizontal="center"/>
    </xf>
    <xf numFmtId="0" fontId="113" fillId="27" borderId="88" xfId="0" applyFont="1" applyFill="1" applyBorder="1" applyAlignment="1">
      <alignment horizontal="center"/>
    </xf>
    <xf numFmtId="0" fontId="113" fillId="27" borderId="89"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0" fontId="3" fillId="27" borderId="155" xfId="2" applyFont="1" applyFill="1" applyBorder="1" applyAlignment="1">
      <alignment horizontal="center" vertical="center"/>
    </xf>
    <xf numFmtId="0" fontId="3" fillId="27" borderId="158" xfId="2" applyFont="1" applyFill="1" applyBorder="1" applyAlignment="1">
      <alignment horizontal="center" vertical="center"/>
    </xf>
    <xf numFmtId="0" fontId="123" fillId="27" borderId="156" xfId="0" applyFont="1" applyFill="1" applyBorder="1" applyAlignment="1">
      <alignment horizontal="center" vertical="center"/>
    </xf>
    <xf numFmtId="0" fontId="123" fillId="27" borderId="159" xfId="0" applyFont="1" applyFill="1" applyBorder="1" applyAlignment="1">
      <alignment horizontal="center" vertical="center"/>
    </xf>
    <xf numFmtId="0" fontId="123" fillId="27" borderId="156" xfId="0" applyFont="1" applyFill="1" applyBorder="1" applyAlignment="1">
      <alignment horizontal="center"/>
    </xf>
    <xf numFmtId="0" fontId="123" fillId="27" borderId="157" xfId="0" applyFont="1" applyFill="1" applyBorder="1" applyAlignment="1">
      <alignment horizontal="center"/>
    </xf>
    <xf numFmtId="0" fontId="11" fillId="0" borderId="11" xfId="401" applyFont="1" applyBorder="1" applyAlignment="1">
      <alignment horizontal="center" vertical="center" wrapText="1"/>
    </xf>
    <xf numFmtId="0" fontId="135" fillId="0" borderId="0" xfId="401" applyFont="1" applyAlignment="1">
      <alignment horizontal="center"/>
    </xf>
    <xf numFmtId="0" fontId="120" fillId="0" borderId="0" xfId="401" applyFont="1" applyAlignment="1">
      <alignment horizontal="center"/>
    </xf>
    <xf numFmtId="0" fontId="32" fillId="0" borderId="0" xfId="401" applyFont="1" applyAlignment="1">
      <alignment horizontal="center"/>
    </xf>
    <xf numFmtId="0" fontId="11" fillId="0" borderId="11" xfId="402" applyFont="1" applyBorder="1" applyAlignment="1">
      <alignment horizontal="center" vertical="center" wrapText="1"/>
    </xf>
    <xf numFmtId="0" fontId="123" fillId="0" borderId="60" xfId="401" applyFont="1" applyBorder="1" applyAlignment="1">
      <alignment horizontal="center" vertical="center" wrapText="1"/>
    </xf>
    <xf numFmtId="0" fontId="18" fillId="0" borderId="11" xfId="402" applyFont="1" applyBorder="1" applyAlignment="1">
      <alignment horizontal="center" vertical="center" wrapText="1"/>
    </xf>
    <xf numFmtId="0" fontId="178" fillId="0" borderId="11" xfId="402" applyFont="1" applyBorder="1" applyAlignment="1">
      <alignment horizontal="center" vertical="center" wrapText="1"/>
    </xf>
    <xf numFmtId="0" fontId="120" fillId="0" borderId="0" xfId="0" applyFont="1" applyAlignment="1">
      <alignment horizontal="center" vertical="center" wrapText="1"/>
    </xf>
    <xf numFmtId="0" fontId="173" fillId="0" borderId="0" xfId="0" applyFont="1" applyAlignment="1">
      <alignment horizontal="center" vertical="center" wrapText="1"/>
    </xf>
    <xf numFmtId="0" fontId="121" fillId="0" borderId="0" xfId="401" applyFont="1" applyAlignment="1">
      <alignment horizontal="left"/>
    </xf>
    <xf numFmtId="0" fontId="14" fillId="0" borderId="11" xfId="401" applyFont="1" applyBorder="1" applyAlignment="1">
      <alignment horizontal="center" vertical="center" wrapText="1"/>
    </xf>
    <xf numFmtId="0" fontId="11" fillId="30" borderId="11" xfId="401" applyFont="1" applyFill="1" applyBorder="1" applyAlignment="1">
      <alignment horizontal="center" vertical="center" wrapText="1"/>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72" xfId="7" applyFont="1" applyBorder="1" applyAlignment="1">
      <alignment horizontal="center" vertical="center"/>
    </xf>
    <xf numFmtId="0" fontId="3" fillId="0" borderId="7" xfId="2" applyFont="1" applyBorder="1" applyAlignment="1">
      <alignment horizontal="center" vertical="center"/>
    </xf>
    <xf numFmtId="0" fontId="3" fillId="0" borderId="1" xfId="2" applyFont="1" applyBorder="1" applyAlignment="1">
      <alignment horizontal="center" vertical="center"/>
    </xf>
    <xf numFmtId="0" fontId="3" fillId="0" borderId="72" xfId="2" applyFont="1" applyBorder="1" applyAlignment="1">
      <alignment horizontal="center" vertical="center"/>
    </xf>
    <xf numFmtId="0" fontId="11" fillId="0" borderId="0" xfId="7" applyFont="1" applyAlignment="1">
      <alignment horizontal="center" vertical="center"/>
    </xf>
    <xf numFmtId="0" fontId="11" fillId="0" borderId="0" xfId="401" applyFont="1" applyAlignment="1">
      <alignment horizontal="center"/>
    </xf>
    <xf numFmtId="0" fontId="180" fillId="30" borderId="11" xfId="7" applyFont="1" applyFill="1" applyBorder="1" applyAlignment="1">
      <alignment horizontal="center"/>
    </xf>
    <xf numFmtId="0" fontId="180" fillId="31" borderId="11" xfId="7" applyFont="1" applyFill="1" applyBorder="1" applyAlignment="1">
      <alignment horizontal="center"/>
    </xf>
    <xf numFmtId="0" fontId="11" fillId="0" borderId="11" xfId="7" applyFont="1" applyBorder="1" applyAlignment="1">
      <alignment horizontal="center" vertical="center" wrapText="1"/>
    </xf>
    <xf numFmtId="0" fontId="19" fillId="0" borderId="0" xfId="7" applyFont="1" applyAlignment="1">
      <alignment horizontal="right"/>
    </xf>
    <xf numFmtId="0" fontId="11" fillId="0" borderId="0" xfId="7" applyFont="1" applyAlignment="1">
      <alignment horizontal="right"/>
    </xf>
    <xf numFmtId="0" fontId="4" fillId="0" borderId="0" xfId="401" applyFont="1" applyAlignment="1">
      <alignment horizontal="center"/>
    </xf>
    <xf numFmtId="0" fontId="16" fillId="0" borderId="0" xfId="401" applyFont="1" applyAlignment="1">
      <alignment horizontal="center"/>
    </xf>
    <xf numFmtId="0" fontId="11" fillId="0" borderId="11" xfId="7" applyFont="1" applyBorder="1" applyAlignment="1">
      <alignment horizontal="center" vertical="top" wrapText="1"/>
    </xf>
    <xf numFmtId="0" fontId="14" fillId="0" borderId="0" xfId="401" applyFont="1" applyAlignment="1">
      <alignment horizontal="left"/>
    </xf>
    <xf numFmtId="0" fontId="180" fillId="0" borderId="0" xfId="7" applyFont="1" applyAlignment="1">
      <alignment horizont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1" xfId="405" applyFont="1" applyBorder="1" applyAlignment="1">
      <alignment horizontal="center" vertical="center" wrapText="1"/>
    </xf>
    <xf numFmtId="0" fontId="11" fillId="0" borderId="11" xfId="6" applyFont="1" applyBorder="1" applyAlignment="1">
      <alignment horizontal="center" vertical="center" wrapText="1"/>
    </xf>
    <xf numFmtId="0" fontId="11" fillId="33" borderId="11" xfId="0" applyFont="1" applyFill="1" applyBorder="1" applyAlignment="1">
      <alignment horizontal="center" vertical="center" wrapText="1"/>
    </xf>
    <xf numFmtId="0" fontId="11" fillId="31" borderId="11" xfId="0" applyFont="1" applyFill="1" applyBorder="1" applyAlignment="1">
      <alignment horizontal="center" vertical="center"/>
    </xf>
    <xf numFmtId="0" fontId="11" fillId="0" borderId="0" xfId="0" applyFont="1" applyAlignment="1">
      <alignment horizontal="center"/>
    </xf>
    <xf numFmtId="0" fontId="19" fillId="0" borderId="0" xfId="0" applyFont="1" applyAlignment="1">
      <alignment horizontal="right" vertical="center" wrapText="1"/>
    </xf>
    <xf numFmtId="0" fontId="12" fillId="0" borderId="0" xfId="0" applyFont="1" applyAlignment="1">
      <alignment horizontal="right" vertical="center" wrapText="1"/>
    </xf>
    <xf numFmtId="0" fontId="11" fillId="0" borderId="0" xfId="0" applyFont="1" applyAlignment="1">
      <alignment horizontal="right"/>
    </xf>
    <xf numFmtId="0" fontId="11" fillId="31" borderId="8" xfId="0" applyFont="1" applyFill="1" applyBorder="1" applyAlignment="1">
      <alignment horizontal="center"/>
    </xf>
    <xf numFmtId="0" fontId="11" fillId="31" borderId="9" xfId="0" applyFont="1" applyFill="1" applyBorder="1" applyAlignment="1">
      <alignment horizontal="center"/>
    </xf>
    <xf numFmtId="0" fontId="11" fillId="31" borderId="10" xfId="0" applyFont="1" applyFill="1" applyBorder="1" applyAlignment="1">
      <alignment horizontal="center"/>
    </xf>
    <xf numFmtId="0" fontId="11" fillId="0" borderId="11" xfId="18" applyFont="1" applyBorder="1" applyAlignment="1">
      <alignment horizontal="center" vertical="center" wrapText="1"/>
    </xf>
    <xf numFmtId="0" fontId="11" fillId="0" borderId="0" xfId="18" applyFont="1" applyAlignment="1">
      <alignment horizontal="center" vertical="center" wrapText="1"/>
    </xf>
    <xf numFmtId="0" fontId="11" fillId="0" borderId="0" xfId="18" applyFont="1" applyAlignment="1">
      <alignment horizontal="left" vertical="center"/>
    </xf>
    <xf numFmtId="0" fontId="11" fillId="0" borderId="0" xfId="18" applyFont="1" applyAlignment="1">
      <alignment horizontal="center" vertical="center"/>
    </xf>
    <xf numFmtId="0" fontId="11" fillId="0" borderId="0" xfId="18" applyFont="1" applyAlignment="1">
      <alignment horizontal="left" vertical="center" wrapText="1"/>
    </xf>
    <xf numFmtId="0" fontId="4" fillId="0" borderId="0" xfId="18" applyFont="1" applyAlignment="1">
      <alignment horizontal="center" vertical="center"/>
    </xf>
    <xf numFmtId="0" fontId="11" fillId="2" borderId="11" xfId="18" applyFont="1" applyFill="1" applyBorder="1" applyAlignment="1">
      <alignment horizontal="center" vertical="center" wrapText="1"/>
    </xf>
    <xf numFmtId="0" fontId="11" fillId="0" borderId="0" xfId="18" applyFont="1" applyAlignment="1">
      <alignment vertical="center"/>
    </xf>
    <xf numFmtId="0" fontId="19" fillId="0" borderId="0" xfId="18" applyFont="1" applyAlignment="1">
      <alignment horizontal="right" vertical="center" wrapText="1"/>
    </xf>
    <xf numFmtId="0" fontId="11" fillId="31" borderId="11" xfId="0" applyFont="1" applyFill="1" applyBorder="1" applyAlignment="1">
      <alignment horizontal="center"/>
    </xf>
    <xf numFmtId="0" fontId="11" fillId="33" borderId="11" xfId="0" applyFont="1" applyFill="1" applyBorder="1" applyAlignment="1">
      <alignment horizontal="center"/>
    </xf>
    <xf numFmtId="0" fontId="3" fillId="2" borderId="11" xfId="2" applyFont="1" applyFill="1" applyBorder="1" applyAlignment="1">
      <alignment horizontal="center" vertical="center"/>
    </xf>
    <xf numFmtId="0" fontId="11" fillId="2" borderId="11" xfId="406" applyFont="1" applyFill="1" applyBorder="1" applyAlignment="1">
      <alignment horizontal="center" vertical="center"/>
    </xf>
    <xf numFmtId="179" fontId="11" fillId="0" borderId="8" xfId="403" applyNumberFormat="1" applyFont="1" applyFill="1" applyBorder="1" applyAlignment="1">
      <alignment horizontal="center"/>
    </xf>
    <xf numFmtId="179" fontId="11" fillId="0" borderId="9" xfId="403" applyNumberFormat="1" applyFont="1" applyFill="1" applyBorder="1" applyAlignment="1">
      <alignment horizontal="center"/>
    </xf>
    <xf numFmtId="179" fontId="11" fillId="0" borderId="10" xfId="403" applyNumberFormat="1" applyFont="1" applyFill="1" applyBorder="1" applyAlignment="1">
      <alignment horizontal="center"/>
    </xf>
    <xf numFmtId="179" fontId="11" fillId="2" borderId="11" xfId="403" applyNumberFormat="1" applyFont="1" applyFill="1" applyBorder="1" applyAlignment="1">
      <alignment horizontal="center" vertical="center" wrapText="1"/>
    </xf>
    <xf numFmtId="43" fontId="11" fillId="2" borderId="11" xfId="403" applyFont="1" applyFill="1" applyBorder="1" applyAlignment="1">
      <alignment horizontal="center" vertical="center" wrapText="1"/>
    </xf>
    <xf numFmtId="0" fontId="11" fillId="2" borderId="11" xfId="406" applyFont="1" applyFill="1" applyBorder="1" applyAlignment="1">
      <alignment horizontal="center" vertical="center" wrapText="1"/>
    </xf>
    <xf numFmtId="179" fontId="11" fillId="2" borderId="11" xfId="403" applyNumberFormat="1" applyFont="1" applyFill="1" applyBorder="1" applyAlignment="1">
      <alignment horizontal="center" vertical="center"/>
    </xf>
    <xf numFmtId="179" fontId="11" fillId="2" borderId="10" xfId="403" applyNumberFormat="1" applyFont="1" applyFill="1" applyBorder="1" applyAlignment="1">
      <alignment horizontal="center" vertical="center" wrapText="1"/>
    </xf>
    <xf numFmtId="168" fontId="11" fillId="2" borderId="11" xfId="403" applyNumberFormat="1"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center" vertical="center" wrapText="1"/>
    </xf>
    <xf numFmtId="0" fontId="12" fillId="2" borderId="0" xfId="0" applyFont="1" applyFill="1" applyAlignment="1">
      <alignment horizontal="right" vertical="center" wrapText="1"/>
    </xf>
    <xf numFmtId="0" fontId="19" fillId="2" borderId="0" xfId="0" applyFont="1" applyFill="1" applyAlignment="1">
      <alignment horizontal="center" vertical="center" wrapText="1"/>
    </xf>
    <xf numFmtId="0" fontId="11" fillId="0" borderId="11" xfId="407" applyFont="1" applyBorder="1" applyAlignment="1">
      <alignment horizontal="center" vertical="center" wrapText="1"/>
    </xf>
    <xf numFmtId="0" fontId="11" fillId="3" borderId="11" xfId="407" applyFont="1" applyFill="1" applyBorder="1" applyAlignment="1">
      <alignment horizontal="center" vertical="center" wrapText="1"/>
    </xf>
    <xf numFmtId="0" fontId="11" fillId="0" borderId="0" xfId="407" applyFont="1" applyAlignment="1">
      <alignment horizontal="right"/>
    </xf>
    <xf numFmtId="0" fontId="11" fillId="0" borderId="0" xfId="407" applyFont="1" applyAlignment="1">
      <alignment horizontal="center"/>
    </xf>
    <xf numFmtId="0" fontId="11" fillId="33" borderId="11" xfId="407" applyFont="1" applyFill="1" applyBorder="1" applyAlignment="1">
      <alignment horizontal="center"/>
    </xf>
    <xf numFmtId="0" fontId="11" fillId="31" borderId="11" xfId="407" applyFont="1" applyFill="1" applyBorder="1" applyAlignment="1">
      <alignment horizontal="center"/>
    </xf>
    <xf numFmtId="0" fontId="12" fillId="0" borderId="133" xfId="407" applyFont="1" applyBorder="1" applyAlignment="1">
      <alignment horizontal="right"/>
    </xf>
    <xf numFmtId="0" fontId="11" fillId="0" borderId="0" xfId="356" applyFont="1" applyAlignment="1">
      <alignment horizontal="center" vertical="center"/>
    </xf>
    <xf numFmtId="0" fontId="11" fillId="0" borderId="0" xfId="356" applyFont="1" applyAlignment="1">
      <alignment horizontal="center" vertical="center" wrapText="1"/>
    </xf>
    <xf numFmtId="0" fontId="11" fillId="33" borderId="11" xfId="356" applyFont="1" applyFill="1" applyBorder="1" applyAlignment="1">
      <alignment horizontal="center" vertical="center" wrapText="1"/>
    </xf>
    <xf numFmtId="0" fontId="11" fillId="31" borderId="11" xfId="356" applyFont="1" applyFill="1" applyBorder="1" applyAlignment="1">
      <alignment horizontal="center" vertical="center" wrapText="1"/>
    </xf>
    <xf numFmtId="0" fontId="12" fillId="0" borderId="133" xfId="356" applyFont="1" applyBorder="1" applyAlignment="1">
      <alignment horizontal="right" vertical="center" wrapText="1"/>
    </xf>
    <xf numFmtId="0" fontId="180" fillId="0" borderId="0" xfId="381" applyFont="1" applyAlignment="1">
      <alignment horizontal="center" wrapText="1"/>
    </xf>
    <xf numFmtId="0" fontId="184" fillId="0" borderId="133" xfId="381" applyFont="1" applyBorder="1" applyAlignment="1">
      <alignment horizontal="right"/>
    </xf>
    <xf numFmtId="0" fontId="4" fillId="0" borderId="0" xfId="381" applyFont="1" applyAlignment="1">
      <alignment horizontal="center"/>
    </xf>
    <xf numFmtId="0" fontId="3" fillId="0" borderId="11" xfId="2" applyFont="1" applyBorder="1"/>
    <xf numFmtId="0" fontId="180" fillId="0" borderId="11" xfId="381" applyFont="1" applyBorder="1" applyAlignment="1">
      <alignment horizontal="center" vertical="center" wrapText="1"/>
    </xf>
    <xf numFmtId="0" fontId="202" fillId="0" borderId="11" xfId="0" applyFont="1" applyBorder="1"/>
    <xf numFmtId="0" fontId="120" fillId="0" borderId="0" xfId="347" applyFont="1" applyAlignment="1">
      <alignment horizontal="center" vertical="center" wrapText="1"/>
    </xf>
    <xf numFmtId="0" fontId="120" fillId="0" borderId="0" xfId="347" applyFont="1" applyAlignment="1">
      <alignment horizontal="center" vertical="center"/>
    </xf>
    <xf numFmtId="0" fontId="138" fillId="0" borderId="0" xfId="347" applyFont="1" applyAlignment="1">
      <alignment horizontal="right"/>
    </xf>
    <xf numFmtId="0" fontId="142" fillId="0" borderId="67" xfId="0" applyFont="1" applyBorder="1" applyAlignment="1">
      <alignment horizontal="center" vertical="center" wrapText="1" shrinkToFit="1"/>
    </xf>
    <xf numFmtId="0" fontId="142" fillId="0" borderId="94" xfId="0" applyFont="1" applyBorder="1" applyAlignment="1">
      <alignment horizontal="center" vertical="center" wrapText="1" shrinkToFit="1"/>
    </xf>
    <xf numFmtId="0" fontId="121" fillId="0" borderId="167" xfId="347" applyFont="1" applyBorder="1" applyAlignment="1">
      <alignment horizontal="center" vertical="center" wrapText="1"/>
    </xf>
    <xf numFmtId="0" fontId="121" fillId="0" borderId="72" xfId="347" applyFont="1" applyBorder="1" applyAlignment="1">
      <alignment horizontal="center" vertical="center" wrapText="1"/>
    </xf>
    <xf numFmtId="0" fontId="121" fillId="0" borderId="168" xfId="347" applyFont="1" applyBorder="1" applyAlignment="1">
      <alignment horizontal="center" vertical="center" wrapText="1"/>
    </xf>
    <xf numFmtId="0" fontId="121" fillId="0" borderId="169" xfId="347" applyFont="1" applyBorder="1" applyAlignment="1">
      <alignment horizontal="center" vertical="center" wrapText="1"/>
    </xf>
    <xf numFmtId="0" fontId="121" fillId="0" borderId="27" xfId="347" applyFont="1" applyBorder="1" applyAlignment="1">
      <alignment horizontal="center" vertical="center" wrapText="1"/>
    </xf>
    <xf numFmtId="0" fontId="120" fillId="0" borderId="27" xfId="347" applyFont="1" applyBorder="1" applyAlignment="1">
      <alignment horizontal="center" vertical="center" wrapText="1"/>
    </xf>
    <xf numFmtId="0" fontId="142" fillId="0" borderId="27" xfId="347" applyFont="1" applyBorder="1" applyAlignment="1">
      <alignment horizontal="center" vertical="center" wrapText="1"/>
    </xf>
    <xf numFmtId="0" fontId="142" fillId="0" borderId="23" xfId="347" applyFont="1" applyBorder="1" applyAlignment="1">
      <alignment horizontal="center" vertical="center" wrapText="1"/>
    </xf>
    <xf numFmtId="0" fontId="112" fillId="0" borderId="0" xfId="0" applyFont="1" applyAlignment="1">
      <alignment horizontal="center"/>
    </xf>
    <xf numFmtId="0" fontId="209" fillId="0" borderId="37" xfId="0" applyFont="1" applyBorder="1" applyAlignment="1">
      <alignment horizontal="right"/>
    </xf>
    <xf numFmtId="0" fontId="142" fillId="0" borderId="34" xfId="0" applyFont="1" applyBorder="1" applyAlignment="1">
      <alignment horizontal="center" vertical="center" wrapText="1" shrinkToFit="1"/>
    </xf>
    <xf numFmtId="0" fontId="3" fillId="0" borderId="22" xfId="2" applyFont="1" applyBorder="1" applyAlignment="1">
      <alignment horizontal="center" vertical="center" wrapText="1"/>
    </xf>
    <xf numFmtId="0" fontId="3" fillId="0" borderId="24" xfId="2" applyFont="1" applyBorder="1" applyAlignment="1">
      <alignment horizontal="center" vertical="center" wrapText="1"/>
    </xf>
    <xf numFmtId="0" fontId="120" fillId="0" borderId="11" xfId="347" applyFont="1" applyBorder="1" applyAlignment="1">
      <alignment horizontal="center" vertical="center" wrapText="1"/>
    </xf>
    <xf numFmtId="0" fontId="120" fillId="29" borderId="11" xfId="0" applyFont="1" applyFill="1" applyBorder="1" applyAlignment="1">
      <alignment horizontal="center" vertical="center" wrapText="1" shrinkToFit="1"/>
    </xf>
    <xf numFmtId="0" fontId="120" fillId="29" borderId="8" xfId="0" applyFont="1" applyFill="1" applyBorder="1" applyAlignment="1">
      <alignment horizontal="center" vertical="center" wrapText="1" shrinkToFit="1"/>
    </xf>
    <xf numFmtId="0" fontId="120" fillId="29" borderId="10" xfId="0" applyFont="1" applyFill="1" applyBorder="1" applyAlignment="1">
      <alignment horizontal="center" vertical="center" wrapText="1" shrinkToFit="1"/>
    </xf>
    <xf numFmtId="0" fontId="120" fillId="29" borderId="7" xfId="0" applyFont="1" applyFill="1" applyBorder="1" applyAlignment="1">
      <alignment horizontal="center" vertical="center" wrapText="1"/>
    </xf>
    <xf numFmtId="0" fontId="120" fillId="29" borderId="72" xfId="0" applyFont="1" applyFill="1" applyBorder="1" applyAlignment="1">
      <alignment horizontal="center" vertical="center" wrapText="1"/>
    </xf>
    <xf numFmtId="0" fontId="120" fillId="29" borderId="36" xfId="0" applyFont="1" applyFill="1" applyBorder="1" applyAlignment="1">
      <alignment horizontal="center" vertical="center" wrapText="1"/>
    </xf>
    <xf numFmtId="0" fontId="120" fillId="29" borderId="34" xfId="0" applyFont="1" applyFill="1" applyBorder="1" applyAlignment="1">
      <alignment horizontal="center" vertical="center" wrapText="1"/>
    </xf>
    <xf numFmtId="0" fontId="120" fillId="29" borderId="35" xfId="0" applyFont="1" applyFill="1" applyBorder="1" applyAlignment="1">
      <alignment horizontal="center" vertical="center" wrapText="1"/>
    </xf>
    <xf numFmtId="0" fontId="3" fillId="29" borderId="22" xfId="2" applyFont="1" applyFill="1" applyBorder="1" applyAlignment="1">
      <alignment horizontal="center" vertical="center" wrapText="1"/>
    </xf>
    <xf numFmtId="0" fontId="3" fillId="29" borderId="24" xfId="2" applyFont="1" applyFill="1" applyBorder="1" applyAlignment="1">
      <alignment horizontal="center" vertical="center" wrapText="1"/>
    </xf>
    <xf numFmtId="0" fontId="120" fillId="29" borderId="27" xfId="0" applyFont="1" applyFill="1" applyBorder="1" applyAlignment="1">
      <alignment horizontal="center" vertical="center" wrapText="1"/>
    </xf>
    <xf numFmtId="0" fontId="120" fillId="29" borderId="11" xfId="0" applyFont="1" applyFill="1" applyBorder="1" applyAlignment="1">
      <alignment horizontal="center" vertical="center" wrapText="1"/>
    </xf>
    <xf numFmtId="0" fontId="120" fillId="29" borderId="23" xfId="0" applyFont="1" applyFill="1" applyBorder="1" applyAlignment="1">
      <alignment horizontal="center" vertical="center" wrapText="1"/>
    </xf>
    <xf numFmtId="0" fontId="120" fillId="29" borderId="25" xfId="0" applyFont="1" applyFill="1" applyBorder="1" applyAlignment="1">
      <alignment horizontal="center" vertical="center" wrapText="1"/>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21" fillId="0" borderId="144" xfId="0" applyFont="1" applyBorder="1" applyAlignment="1">
      <alignment horizontal="center"/>
    </xf>
    <xf numFmtId="0" fontId="121" fillId="0" borderId="145" xfId="0" applyFont="1" applyBorder="1" applyAlignment="1">
      <alignment horizontal="center"/>
    </xf>
    <xf numFmtId="0" fontId="121" fillId="0" borderId="148" xfId="0" applyFont="1" applyBorder="1" applyAlignment="1">
      <alignment horizontal="center"/>
    </xf>
    <xf numFmtId="0" fontId="121" fillId="0" borderId="146" xfId="0" applyFont="1" applyBorder="1" applyAlignment="1">
      <alignment horizontal="center"/>
    </xf>
    <xf numFmtId="0" fontId="3" fillId="0" borderId="87" xfId="2" applyFont="1" applyFill="1" applyBorder="1" applyAlignment="1">
      <alignment horizontal="center" vertical="center"/>
    </xf>
    <xf numFmtId="0" fontId="3" fillId="0" borderId="90" xfId="2" applyFont="1" applyFill="1" applyBorder="1" applyAlignment="1">
      <alignment horizontal="center" vertical="center"/>
    </xf>
    <xf numFmtId="0" fontId="123" fillId="0" borderId="88" xfId="0" applyFont="1" applyBorder="1" applyAlignment="1">
      <alignment horizontal="center" vertical="center"/>
    </xf>
    <xf numFmtId="0" fontId="123" fillId="0" borderId="91" xfId="0" applyFont="1" applyBorder="1" applyAlignment="1">
      <alignment horizontal="center" vertical="center"/>
    </xf>
    <xf numFmtId="0" fontId="123" fillId="0" borderId="88" xfId="0" applyFont="1" applyBorder="1" applyAlignment="1">
      <alignment horizontal="center"/>
    </xf>
    <xf numFmtId="0" fontId="113" fillId="0" borderId="88" xfId="0" applyFont="1" applyBorder="1" applyAlignment="1">
      <alignment horizontal="center"/>
    </xf>
    <xf numFmtId="0" fontId="113" fillId="0" borderId="141" xfId="0" applyFont="1" applyBorder="1" applyAlignment="1">
      <alignment horizontal="center"/>
    </xf>
    <xf numFmtId="0" fontId="113" fillId="0" borderId="142" xfId="0" applyFont="1" applyBorder="1" applyAlignment="1">
      <alignment horizontal="center"/>
    </xf>
    <xf numFmtId="0" fontId="113" fillId="0" borderId="154" xfId="0" applyFont="1" applyBorder="1" applyAlignment="1">
      <alignment horizontal="center"/>
    </xf>
    <xf numFmtId="0" fontId="113" fillId="0" borderId="143" xfId="0" applyFont="1" applyBorder="1" applyAlignment="1">
      <alignment horizontal="center"/>
    </xf>
    <xf numFmtId="0" fontId="113" fillId="0" borderId="89" xfId="0" applyFont="1" applyBorder="1" applyAlignment="1">
      <alignment horizont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10" fillId="0" borderId="133" xfId="0" applyFont="1" applyBorder="1" applyAlignment="1">
      <alignment horizontal="right"/>
    </xf>
    <xf numFmtId="0" fontId="120" fillId="0" borderId="58" xfId="0" applyFont="1" applyBorder="1" applyAlignment="1">
      <alignment horizontal="center" vertical="center" wrapText="1"/>
    </xf>
    <xf numFmtId="0" fontId="120" fillId="0" borderId="60" xfId="0" applyFont="1" applyBorder="1" applyAlignment="1">
      <alignment horizontal="center" vertical="center" wrapText="1"/>
    </xf>
    <xf numFmtId="0" fontId="246" fillId="0" borderId="58" xfId="2" applyFont="1" applyBorder="1" applyAlignment="1">
      <alignment horizontal="center" vertical="center" wrapText="1"/>
    </xf>
    <xf numFmtId="0" fontId="246" fillId="0" borderId="60" xfId="2" applyFont="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horizontal="center" vertical="center"/>
    </xf>
    <xf numFmtId="171" fontId="121" fillId="2" borderId="7" xfId="382" applyNumberFormat="1" applyFont="1" applyFill="1" applyBorder="1" applyAlignment="1">
      <alignment horizontal="center" vertical="center" wrapText="1"/>
    </xf>
    <xf numFmtId="171" fontId="121" fillId="2" borderId="72" xfId="382" applyNumberFormat="1" applyFont="1" applyFill="1" applyBorder="1" applyAlignment="1">
      <alignment horizontal="center" vertical="center" wrapText="1"/>
    </xf>
    <xf numFmtId="0" fontId="32" fillId="2" borderId="133" xfId="0" applyFont="1" applyFill="1" applyBorder="1" applyAlignment="1">
      <alignment horizontal="right" vertical="center"/>
    </xf>
    <xf numFmtId="0" fontId="32" fillId="0" borderId="0" xfId="0" applyFont="1" applyAlignment="1">
      <alignment horizontal="center" wrapText="1"/>
    </xf>
    <xf numFmtId="165" fontId="3" fillId="2" borderId="11" xfId="2" applyNumberFormat="1" applyFont="1" applyFill="1" applyBorder="1" applyAlignment="1">
      <alignment horizontal="center" vertical="center" wrapText="1"/>
    </xf>
    <xf numFmtId="165" fontId="121" fillId="2" borderId="11" xfId="382" applyFont="1" applyFill="1" applyBorder="1" applyAlignment="1">
      <alignment horizontal="center" vertical="center" wrapText="1"/>
    </xf>
    <xf numFmtId="165" fontId="120" fillId="2" borderId="11" xfId="382" applyFont="1" applyFill="1" applyBorder="1" applyAlignment="1">
      <alignment horizontal="center" vertical="center" wrapText="1"/>
    </xf>
    <xf numFmtId="0" fontId="134" fillId="2" borderId="0" xfId="0" applyFont="1" applyFill="1" applyAlignment="1">
      <alignment horizontal="center" vertical="center" wrapText="1"/>
    </xf>
    <xf numFmtId="171" fontId="121" fillId="2" borderId="11" xfId="382" applyNumberFormat="1" applyFont="1" applyFill="1" applyBorder="1" applyAlignment="1">
      <alignment horizontal="center" vertical="center" wrapText="1"/>
    </xf>
    <xf numFmtId="0" fontId="135" fillId="0" borderId="0" xfId="0" applyFont="1" applyAlignment="1">
      <alignment horizontal="center"/>
    </xf>
    <xf numFmtId="0" fontId="120" fillId="2" borderId="0" xfId="0" applyFont="1" applyFill="1" applyAlignment="1">
      <alignment horizontal="center"/>
    </xf>
    <xf numFmtId="0" fontId="121" fillId="0" borderId="34" xfId="0" applyFont="1" applyBorder="1" applyAlignment="1">
      <alignment horizontal="center" vertical="center" wrapText="1" shrinkToFit="1"/>
    </xf>
    <xf numFmtId="0" fontId="121" fillId="0" borderId="94" xfId="0" applyFont="1" applyBorder="1" applyAlignment="1">
      <alignment horizontal="center" vertical="center" wrapText="1" shrinkToFit="1"/>
    </xf>
    <xf numFmtId="0" fontId="121" fillId="0" borderId="67" xfId="0" applyFont="1" applyBorder="1" applyAlignment="1">
      <alignment horizontal="center" vertical="center" wrapText="1" shrinkToFit="1"/>
    </xf>
    <xf numFmtId="0" fontId="120" fillId="0" borderId="23" xfId="347" applyFont="1" applyBorder="1" applyAlignment="1">
      <alignment horizontal="center" vertical="center" wrapText="1"/>
    </xf>
    <xf numFmtId="220" fontId="4" fillId="0" borderId="16" xfId="351" applyNumberFormat="1" applyFont="1" applyBorder="1" applyAlignment="1">
      <alignment horizontal="left" vertical="center"/>
    </xf>
    <xf numFmtId="220" fontId="4" fillId="0" borderId="127" xfId="351" applyNumberFormat="1" applyFont="1" applyBorder="1" applyAlignment="1">
      <alignment horizontal="left" vertical="center"/>
    </xf>
    <xf numFmtId="220" fontId="4" fillId="0" borderId="59" xfId="351" applyNumberFormat="1" applyFont="1" applyBorder="1" applyAlignment="1">
      <alignment horizontal="left" vertical="center"/>
    </xf>
    <xf numFmtId="220" fontId="216" fillId="0" borderId="72" xfId="413" applyNumberFormat="1" applyFont="1" applyBorder="1" applyAlignment="1">
      <alignment horizontal="center" vertical="center" wrapText="1"/>
    </xf>
    <xf numFmtId="220" fontId="216" fillId="0" borderId="11" xfId="413" applyNumberFormat="1" applyFont="1" applyBorder="1" applyAlignment="1">
      <alignment horizontal="center" vertical="center" wrapText="1"/>
    </xf>
    <xf numFmtId="220" fontId="216" fillId="0" borderId="0" xfId="413" applyNumberFormat="1" applyFont="1" applyAlignment="1">
      <alignment horizontal="center" vertical="center" wrapText="1"/>
    </xf>
    <xf numFmtId="220" fontId="216" fillId="0" borderId="0" xfId="413" applyNumberFormat="1" applyFont="1" applyAlignment="1">
      <alignment horizontal="center" vertical="center"/>
    </xf>
    <xf numFmtId="220" fontId="216" fillId="0" borderId="0" xfId="413" applyNumberFormat="1" applyFont="1" applyAlignment="1">
      <alignment horizontal="center"/>
    </xf>
    <xf numFmtId="220" fontId="187" fillId="0" borderId="37" xfId="413" applyNumberFormat="1" applyFont="1" applyBorder="1" applyAlignment="1">
      <alignment horizontal="center"/>
    </xf>
    <xf numFmtId="0" fontId="3" fillId="0" borderId="22" xfId="2" applyFont="1" applyBorder="1" applyAlignment="1">
      <alignment horizontal="center" vertical="center"/>
    </xf>
    <xf numFmtId="0" fontId="3" fillId="0" borderId="24" xfId="2" applyFont="1" applyBorder="1" applyAlignment="1">
      <alignment horizontal="center" vertical="center"/>
    </xf>
    <xf numFmtId="220" fontId="216" fillId="0" borderId="27" xfId="413" applyNumberFormat="1" applyFont="1" applyBorder="1" applyAlignment="1">
      <alignment horizontal="center" vertical="center" wrapText="1"/>
    </xf>
    <xf numFmtId="220" fontId="216" fillId="0" borderId="198" xfId="413" applyNumberFormat="1" applyFont="1" applyBorder="1" applyAlignment="1">
      <alignment horizontal="center" vertical="center" wrapText="1"/>
    </xf>
    <xf numFmtId="220" fontId="216" fillId="0" borderId="23" xfId="413" applyNumberFormat="1" applyFont="1" applyBorder="1" applyAlignment="1">
      <alignment horizontal="center" vertical="center" wrapText="1"/>
    </xf>
    <xf numFmtId="220" fontId="216" fillId="0" borderId="25" xfId="413" applyNumberFormat="1" applyFont="1" applyBorder="1" applyAlignment="1">
      <alignment horizontal="center" vertical="center" wrapText="1"/>
    </xf>
    <xf numFmtId="0" fontId="32" fillId="0" borderId="26" xfId="0" applyFont="1" applyBorder="1" applyAlignment="1">
      <alignment horizontal="center" vertical="center" wrapText="1"/>
    </xf>
    <xf numFmtId="0" fontId="32" fillId="0" borderId="60" xfId="0" applyFont="1" applyBorder="1" applyAlignment="1">
      <alignment horizontal="left" vertical="center" wrapText="1"/>
    </xf>
    <xf numFmtId="0" fontId="120" fillId="0" borderId="0" xfId="0" applyFont="1" applyAlignment="1">
      <alignment horizontal="center"/>
    </xf>
    <xf numFmtId="0" fontId="120" fillId="0" borderId="0" xfId="0" applyFont="1" applyAlignment="1">
      <alignment horizontal="center" wrapText="1"/>
    </xf>
    <xf numFmtId="0" fontId="120" fillId="0" borderId="27" xfId="0" applyFont="1" applyBorder="1" applyAlignment="1">
      <alignment horizontal="center" vertical="center" wrapText="1"/>
    </xf>
    <xf numFmtId="0" fontId="120" fillId="0" borderId="23" xfId="0" applyFont="1" applyBorder="1" applyAlignment="1">
      <alignment horizontal="center" vertical="center" wrapText="1"/>
    </xf>
    <xf numFmtId="0" fontId="120" fillId="0" borderId="25"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7" xfId="0" applyFont="1" applyBorder="1" applyAlignment="1">
      <alignment horizontal="center" vertical="center"/>
    </xf>
    <xf numFmtId="0" fontId="121" fillId="0" borderId="23"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0" xfId="0" applyFont="1" applyAlignment="1">
      <alignment horizontal="center" wrapText="1"/>
    </xf>
    <xf numFmtId="0" fontId="129" fillId="0" borderId="37" xfId="0" applyFont="1" applyBorder="1" applyAlignment="1">
      <alignment horizontal="right"/>
    </xf>
    <xf numFmtId="0" fontId="121" fillId="0" borderId="11" xfId="0" applyFont="1" applyBorder="1" applyAlignment="1">
      <alignment horizontal="center" vertical="center"/>
    </xf>
    <xf numFmtId="0" fontId="121" fillId="0" borderId="11" xfId="0" applyFont="1" applyBorder="1" applyAlignment="1">
      <alignment horizontal="center" vertical="center" wrapText="1"/>
    </xf>
    <xf numFmtId="3" fontId="121" fillId="0" borderId="1" xfId="0" applyNumberFormat="1" applyFont="1" applyBorder="1" applyAlignment="1">
      <alignment horizontal="center" vertical="center" wrapText="1"/>
    </xf>
    <xf numFmtId="3" fontId="121" fillId="0" borderId="72" xfId="0" applyNumberFormat="1" applyFont="1" applyBorder="1" applyAlignment="1">
      <alignment horizontal="center" vertical="center" wrapText="1"/>
    </xf>
    <xf numFmtId="3" fontId="121" fillId="0" borderId="135" xfId="0" applyNumberFormat="1" applyFont="1" applyBorder="1" applyAlignment="1">
      <alignment horizontal="center" vertical="center" wrapText="1"/>
    </xf>
    <xf numFmtId="3" fontId="121" fillId="0" borderId="139" xfId="0" applyNumberFormat="1" applyFont="1" applyBorder="1" applyAlignment="1">
      <alignment horizontal="center" vertical="center" wrapText="1"/>
    </xf>
    <xf numFmtId="3" fontId="121" fillId="0" borderId="27"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167" xfId="0" applyNumberFormat="1" applyFont="1" applyBorder="1" applyAlignment="1">
      <alignment horizontal="center" vertical="center" wrapText="1"/>
    </xf>
    <xf numFmtId="3" fontId="121" fillId="0" borderId="190" xfId="0" applyNumberFormat="1" applyFont="1" applyBorder="1" applyAlignment="1">
      <alignment horizontal="center" vertical="center" wrapText="1"/>
    </xf>
    <xf numFmtId="3" fontId="121" fillId="0" borderId="39" xfId="0" applyNumberFormat="1" applyFont="1" applyBorder="1" applyAlignment="1">
      <alignment horizontal="center" vertical="center" wrapText="1"/>
    </xf>
    <xf numFmtId="3" fontId="121" fillId="0" borderId="191" xfId="0" applyNumberFormat="1" applyFont="1" applyBorder="1" applyAlignment="1">
      <alignment horizontal="center" vertical="center" wrapText="1"/>
    </xf>
    <xf numFmtId="3" fontId="120" fillId="0" borderId="0" xfId="0" applyNumberFormat="1" applyFont="1" applyAlignment="1">
      <alignment horizontal="center" vertical="center" wrapText="1"/>
    </xf>
    <xf numFmtId="3" fontId="120" fillId="0" borderId="0" xfId="0" applyNumberFormat="1" applyFont="1" applyAlignment="1">
      <alignment horizontal="right"/>
    </xf>
    <xf numFmtId="3" fontId="3" fillId="0" borderId="22" xfId="2" applyNumberFormat="1" applyFont="1" applyBorder="1" applyAlignment="1">
      <alignment horizontal="center" vertical="center" wrapText="1"/>
    </xf>
    <xf numFmtId="3" fontId="120" fillId="0" borderId="27" xfId="0" applyNumberFormat="1" applyFont="1" applyBorder="1" applyAlignment="1">
      <alignment horizontal="center" vertical="center" wrapText="1"/>
    </xf>
    <xf numFmtId="0" fontId="32" fillId="0" borderId="11" xfId="0" applyFont="1" applyBorder="1" applyAlignment="1">
      <alignment horizontal="center" vertical="center" wrapText="1"/>
    </xf>
    <xf numFmtId="3" fontId="142" fillId="0" borderId="167"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3" fontId="142" fillId="0" borderId="72" xfId="0" applyNumberFormat="1" applyFont="1" applyBorder="1" applyAlignment="1">
      <alignment horizontal="center" vertical="center" wrapText="1"/>
    </xf>
    <xf numFmtId="3" fontId="121" fillId="0" borderId="23"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2" fillId="0" borderId="0" xfId="0" applyNumberFormat="1" applyFont="1" applyAlignment="1">
      <alignment horizontal="center" vertical="center" wrapText="1"/>
    </xf>
    <xf numFmtId="3" fontId="120" fillId="0" borderId="11" xfId="0" applyNumberFormat="1" applyFont="1" applyBorder="1" applyAlignment="1">
      <alignment horizontal="center" vertical="center" wrapText="1"/>
    </xf>
    <xf numFmtId="3" fontId="120" fillId="0" borderId="133" xfId="0" applyNumberFormat="1" applyFont="1" applyBorder="1" applyAlignment="1">
      <alignment horizontal="right"/>
    </xf>
    <xf numFmtId="3" fontId="246" fillId="0" borderId="11" xfId="2" applyNumberFormat="1" applyFont="1" applyBorder="1" applyAlignment="1">
      <alignment horizontal="center" vertical="center" wrapText="1"/>
    </xf>
    <xf numFmtId="0" fontId="246" fillId="0" borderId="11" xfId="2" applyFont="1" applyBorder="1" applyAlignment="1">
      <alignment horizontal="center" vertical="center" wrapText="1"/>
    </xf>
    <xf numFmtId="3" fontId="142" fillId="0" borderId="11"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7" xfId="0" applyNumberFormat="1" applyFont="1" applyBorder="1" applyAlignment="1">
      <alignment horizontal="center" vertical="center" wrapText="1"/>
    </xf>
    <xf numFmtId="0" fontId="32" fillId="0" borderId="72" xfId="0" applyFont="1" applyBorder="1" applyAlignment="1">
      <alignment horizontal="center" vertical="center" wrapText="1"/>
    </xf>
    <xf numFmtId="3" fontId="134" fillId="0" borderId="0" xfId="0" applyNumberFormat="1" applyFont="1" applyAlignment="1">
      <alignment horizontal="center"/>
    </xf>
    <xf numFmtId="3" fontId="120" fillId="0" borderId="133" xfId="0" applyNumberFormat="1" applyFont="1" applyBorder="1" applyAlignment="1">
      <alignment horizontal="center"/>
    </xf>
    <xf numFmtId="3" fontId="3" fillId="0" borderId="7" xfId="2" applyNumberFormat="1" applyFont="1" applyBorder="1" applyAlignment="1">
      <alignment horizontal="center" vertical="center" wrapText="1"/>
    </xf>
    <xf numFmtId="0" fontId="3" fillId="0" borderId="1" xfId="2" applyFont="1" applyBorder="1" applyAlignment="1">
      <alignment horizontal="center" vertical="center" wrapText="1"/>
    </xf>
    <xf numFmtId="0" fontId="3" fillId="0" borderId="72" xfId="2" applyFont="1" applyBorder="1" applyAlignment="1">
      <alignment horizontal="center" vertical="center" wrapText="1"/>
    </xf>
    <xf numFmtId="0" fontId="32" fillId="0" borderId="1" xfId="0" applyFont="1" applyBorder="1" applyAlignment="1">
      <alignment horizontal="center" vertical="center" wrapText="1"/>
    </xf>
    <xf numFmtId="3" fontId="120" fillId="0" borderId="136" xfId="0" applyNumberFormat="1" applyFont="1" applyBorder="1" applyAlignment="1">
      <alignment horizontal="center" vertical="center" wrapText="1"/>
    </xf>
    <xf numFmtId="3" fontId="120" fillId="0" borderId="135" xfId="0" applyNumberFormat="1" applyFont="1" applyBorder="1" applyAlignment="1">
      <alignment horizontal="center" vertical="center" wrapText="1"/>
    </xf>
    <xf numFmtId="3" fontId="120" fillId="0" borderId="189" xfId="0" applyNumberFormat="1" applyFont="1" applyBorder="1" applyAlignment="1">
      <alignment horizontal="center" vertical="center" wrapText="1"/>
    </xf>
    <xf numFmtId="3" fontId="120" fillId="0" borderId="72" xfId="0" applyNumberFormat="1" applyFont="1" applyBorder="1" applyAlignment="1">
      <alignment horizontal="center" vertical="center" wrapText="1"/>
    </xf>
    <xf numFmtId="3" fontId="120" fillId="0" borderId="0" xfId="0" applyNumberFormat="1" applyFont="1" applyAlignment="1">
      <alignment horizontal="center"/>
    </xf>
    <xf numFmtId="0" fontId="3" fillId="0" borderId="195" xfId="2" applyFont="1" applyBorder="1" applyAlignment="1">
      <alignment horizontal="center" vertical="center" wrapText="1"/>
    </xf>
    <xf numFmtId="0" fontId="3" fillId="0" borderId="196" xfId="2" applyFont="1" applyBorder="1" applyAlignment="1">
      <alignment horizontal="center" vertical="center" wrapText="1"/>
    </xf>
    <xf numFmtId="3" fontId="120" fillId="0" borderId="167" xfId="0" applyNumberFormat="1" applyFont="1" applyBorder="1" applyAlignment="1">
      <alignment horizontal="center" vertical="center" wrapText="1"/>
    </xf>
    <xf numFmtId="0" fontId="120" fillId="0" borderId="72" xfId="0" applyFont="1" applyBorder="1" applyAlignment="1">
      <alignment horizontal="center" vertical="center" wrapText="1"/>
    </xf>
    <xf numFmtId="3" fontId="120" fillId="0" borderId="36" xfId="0" applyNumberFormat="1" applyFont="1" applyBorder="1" applyAlignment="1">
      <alignment horizontal="center" vertical="center" wrapText="1"/>
    </xf>
    <xf numFmtId="3" fontId="120" fillId="0" borderId="34" xfId="0" applyNumberFormat="1" applyFont="1" applyBorder="1" applyAlignment="1">
      <alignment horizontal="center" vertical="center" wrapText="1"/>
    </xf>
    <xf numFmtId="3" fontId="120" fillId="0" borderId="35" xfId="0" applyNumberFormat="1" applyFont="1" applyBorder="1" applyAlignment="1">
      <alignment horizontal="center" vertical="center" wrapText="1"/>
    </xf>
    <xf numFmtId="3" fontId="120" fillId="0" borderId="36" xfId="0" applyNumberFormat="1" applyFont="1" applyBorder="1" applyAlignment="1">
      <alignment horizontal="center" vertical="center" shrinkToFit="1"/>
    </xf>
    <xf numFmtId="3" fontId="120" fillId="0" borderId="34" xfId="0" applyNumberFormat="1" applyFont="1" applyBorder="1" applyAlignment="1">
      <alignment horizontal="center" vertical="center" shrinkToFit="1"/>
    </xf>
    <xf numFmtId="3" fontId="120" fillId="0" borderId="35" xfId="0" applyNumberFormat="1" applyFont="1" applyBorder="1" applyAlignment="1">
      <alignment horizontal="center" vertical="center" shrinkToFit="1"/>
    </xf>
    <xf numFmtId="3" fontId="120" fillId="0" borderId="94" xfId="0" applyNumberFormat="1" applyFont="1" applyBorder="1" applyAlignment="1">
      <alignment horizontal="center" vertical="center" wrapText="1"/>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33" xfId="0" applyFont="1" applyBorder="1" applyAlignment="1">
      <alignment horizontal="right"/>
    </xf>
    <xf numFmtId="0" fontId="3" fillId="0" borderId="195" xfId="2" applyFont="1" applyBorder="1" applyAlignment="1">
      <alignment horizontal="center" vertical="center"/>
    </xf>
    <xf numFmtId="0" fontId="3" fillId="0" borderId="196" xfId="2" applyFont="1" applyBorder="1" applyAlignment="1">
      <alignment horizontal="center" vertical="center"/>
    </xf>
    <xf numFmtId="0" fontId="11" fillId="0" borderId="167" xfId="0" applyFont="1" applyBorder="1" applyAlignment="1">
      <alignment horizontal="center" vertical="center"/>
    </xf>
    <xf numFmtId="0" fontId="11" fillId="0" borderId="72" xfId="0" applyFont="1" applyBorder="1" applyAlignment="1">
      <alignment horizontal="center" vertical="center"/>
    </xf>
    <xf numFmtId="0" fontId="11" fillId="0" borderId="27" xfId="0" applyFont="1" applyBorder="1" applyAlignment="1">
      <alignment horizontal="center"/>
    </xf>
    <xf numFmtId="0" fontId="11" fillId="0" borderId="36"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94" xfId="0" applyFont="1" applyBorder="1" applyAlignment="1">
      <alignment horizontal="center"/>
    </xf>
    <xf numFmtId="0" fontId="120" fillId="0" borderId="8" xfId="0" applyFont="1" applyBorder="1" applyAlignment="1">
      <alignment horizontal="center"/>
    </xf>
    <xf numFmtId="0" fontId="120" fillId="0" borderId="9" xfId="0" applyFont="1" applyBorder="1" applyAlignment="1">
      <alignment horizontal="center"/>
    </xf>
    <xf numFmtId="0" fontId="120" fillId="0" borderId="10" xfId="0" applyFont="1" applyBorder="1" applyAlignment="1">
      <alignment horizontal="center"/>
    </xf>
    <xf numFmtId="0" fontId="120" fillId="3" borderId="9" xfId="0" applyFont="1" applyFill="1" applyBorder="1" applyAlignment="1">
      <alignment horizontal="center"/>
    </xf>
    <xf numFmtId="0" fontId="120" fillId="3" borderId="10" xfId="0" applyFont="1" applyFill="1" applyBorder="1" applyAlignment="1">
      <alignment horizontal="center"/>
    </xf>
    <xf numFmtId="0" fontId="121" fillId="0" borderId="0" xfId="0" applyFont="1" applyAlignment="1">
      <alignment horizontal="right"/>
    </xf>
    <xf numFmtId="0" fontId="3" fillId="0" borderId="130" xfId="2" applyFont="1" applyBorder="1" applyAlignment="1">
      <alignment horizontal="center" vertical="center"/>
    </xf>
    <xf numFmtId="0" fontId="3" fillId="0" borderId="131" xfId="2" applyFont="1" applyBorder="1" applyAlignment="1">
      <alignment horizontal="center" vertical="center"/>
    </xf>
    <xf numFmtId="0" fontId="120" fillId="0" borderId="17" xfId="0" applyFont="1" applyBorder="1" applyAlignment="1">
      <alignment horizontal="center" vertical="center"/>
    </xf>
    <xf numFmtId="0" fontId="120" fillId="0" borderId="11" xfId="0" applyFont="1" applyBorder="1" applyAlignment="1">
      <alignment horizontal="center" vertical="center"/>
    </xf>
    <xf numFmtId="3" fontId="11" fillId="0" borderId="11"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18" fillId="0" borderId="1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17" fillId="0" borderId="72" xfId="0"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0"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0" fontId="23" fillId="0" borderId="72" xfId="0"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0" fontId="4" fillId="0" borderId="72" xfId="0" applyFont="1" applyBorder="1" applyAlignment="1">
      <alignment horizontal="center" vertical="center" wrapText="1"/>
    </xf>
    <xf numFmtId="3" fontId="11" fillId="0" borderId="72" xfId="0" applyNumberFormat="1" applyFont="1" applyBorder="1" applyAlignment="1">
      <alignment horizontal="center" vertical="center" wrapText="1"/>
    </xf>
    <xf numFmtId="3" fontId="11" fillId="0" borderId="0" xfId="0" applyNumberFormat="1" applyFont="1" applyAlignment="1">
      <alignment horizontal="center"/>
    </xf>
    <xf numFmtId="3" fontId="11" fillId="0" borderId="0" xfId="0" applyNumberFormat="1" applyFont="1" applyAlignment="1">
      <alignment horizontal="center" shrinkToFit="1"/>
    </xf>
    <xf numFmtId="3" fontId="11" fillId="0" borderId="133" xfId="0" applyNumberFormat="1" applyFont="1" applyBorder="1" applyAlignment="1">
      <alignment horizontal="center"/>
    </xf>
    <xf numFmtId="0" fontId="4" fillId="0" borderId="1" xfId="0" applyFont="1" applyBorder="1" applyAlignment="1">
      <alignment horizontal="center" vertical="center" wrapText="1"/>
    </xf>
    <xf numFmtId="3" fontId="11" fillId="0" borderId="136" xfId="0" applyNumberFormat="1" applyFont="1" applyBorder="1" applyAlignment="1">
      <alignment horizontal="center" vertical="center" wrapText="1"/>
    </xf>
    <xf numFmtId="3" fontId="11" fillId="0" borderId="135" xfId="0" applyNumberFormat="1" applyFont="1" applyBorder="1" applyAlignment="1">
      <alignment horizontal="center" vertical="center" wrapText="1"/>
    </xf>
    <xf numFmtId="3" fontId="11" fillId="0" borderId="189" xfId="0" applyNumberFormat="1" applyFont="1" applyBorder="1" applyAlignment="1">
      <alignment horizontal="center" vertical="center" wrapText="1"/>
    </xf>
    <xf numFmtId="3" fontId="119" fillId="0" borderId="8" xfId="0" applyNumberFormat="1" applyFont="1" applyBorder="1" applyAlignment="1">
      <alignment horizontal="center" vertical="center" wrapText="1"/>
    </xf>
    <xf numFmtId="3" fontId="119" fillId="0" borderId="9" xfId="0" applyNumberFormat="1" applyFont="1" applyBorder="1" applyAlignment="1">
      <alignment horizontal="center" vertical="center" wrapText="1"/>
    </xf>
    <xf numFmtId="3" fontId="119" fillId="0" borderId="10" xfId="0" applyNumberFormat="1" applyFont="1" applyBorder="1" applyAlignment="1">
      <alignment horizontal="center" vertical="center" wrapText="1"/>
    </xf>
    <xf numFmtId="3" fontId="162" fillId="0" borderId="0" xfId="0" applyNumberFormat="1" applyFont="1" applyAlignment="1">
      <alignment horizontal="center"/>
    </xf>
    <xf numFmtId="0" fontId="3" fillId="0" borderId="7" xfId="2" applyFont="1" applyBorder="1" applyAlignment="1">
      <alignment horizontal="center" vertical="center" wrapText="1"/>
    </xf>
    <xf numFmtId="0" fontId="11" fillId="0" borderId="72" xfId="0" applyFont="1" applyBorder="1" applyAlignment="1">
      <alignment horizontal="center" vertical="center" wrapText="1"/>
    </xf>
    <xf numFmtId="3" fontId="123" fillId="0" borderId="8" xfId="0" applyNumberFormat="1" applyFont="1" applyBorder="1" applyAlignment="1">
      <alignment horizontal="center" vertical="center" shrinkToFit="1"/>
    </xf>
    <xf numFmtId="3" fontId="123" fillId="0" borderId="9" xfId="0" applyNumberFormat="1" applyFont="1" applyBorder="1" applyAlignment="1">
      <alignment horizontal="center" vertical="center" shrinkToFit="1"/>
    </xf>
    <xf numFmtId="3" fontId="123" fillId="0" borderId="10" xfId="0" applyNumberFormat="1" applyFont="1" applyBorder="1" applyAlignment="1">
      <alignment horizontal="center" vertical="center" shrinkToFit="1"/>
    </xf>
    <xf numFmtId="3" fontId="123" fillId="0" borderId="8" xfId="0" applyNumberFormat="1" applyFont="1" applyBorder="1" applyAlignment="1">
      <alignment horizontal="center" vertical="center" wrapText="1"/>
    </xf>
    <xf numFmtId="3" fontId="123" fillId="0" borderId="9" xfId="0" applyNumberFormat="1" applyFont="1" applyBorder="1" applyAlignment="1">
      <alignment horizontal="center" vertical="center" wrapText="1"/>
    </xf>
    <xf numFmtId="3" fontId="123" fillId="0" borderId="10" xfId="0" applyNumberFormat="1" applyFont="1" applyBorder="1" applyAlignment="1">
      <alignment horizontal="center" vertical="center" wrapText="1"/>
    </xf>
    <xf numFmtId="3" fontId="18" fillId="0" borderId="27" xfId="0" applyNumberFormat="1"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196" fillId="0" borderId="27" xfId="0" applyNumberFormat="1" applyFont="1" applyBorder="1" applyAlignment="1">
      <alignment horizontal="center" vertical="center" wrapText="1"/>
    </xf>
    <xf numFmtId="3" fontId="196" fillId="0" borderId="11" xfId="0" applyNumberFormat="1" applyFont="1" applyBorder="1" applyAlignment="1">
      <alignment horizontal="center" vertical="center" wrapText="1"/>
    </xf>
    <xf numFmtId="3" fontId="18" fillId="0" borderId="167"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96" fillId="0" borderId="190" xfId="0" applyNumberFormat="1" applyFont="1" applyBorder="1" applyAlignment="1">
      <alignment horizontal="center" vertical="center" wrapText="1"/>
    </xf>
    <xf numFmtId="3" fontId="196" fillId="0" borderId="191" xfId="0" applyNumberFormat="1" applyFont="1" applyBorder="1" applyAlignment="1">
      <alignment horizontal="center" vertical="center" wrapText="1"/>
    </xf>
    <xf numFmtId="3" fontId="196" fillId="0" borderId="189" xfId="0" applyNumberFormat="1" applyFont="1" applyBorder="1" applyAlignment="1">
      <alignment horizontal="center" vertical="center" wrapText="1"/>
    </xf>
    <xf numFmtId="3" fontId="196" fillId="0" borderId="192"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3" fontId="14" fillId="0" borderId="190" xfId="0" applyNumberFormat="1" applyFont="1" applyBorder="1" applyAlignment="1">
      <alignment horizontal="center" vertical="center" wrapText="1"/>
    </xf>
    <xf numFmtId="3" fontId="14" fillId="0" borderId="191" xfId="0" applyNumberFormat="1" applyFont="1" applyBorder="1" applyAlignment="1">
      <alignment horizontal="center" vertical="center" wrapText="1"/>
    </xf>
    <xf numFmtId="3" fontId="14" fillId="0" borderId="189" xfId="0" applyNumberFormat="1" applyFont="1" applyBorder="1" applyAlignment="1">
      <alignment horizontal="center" vertical="center" wrapText="1"/>
    </xf>
    <xf numFmtId="3" fontId="14" fillId="0" borderId="192" xfId="0" applyNumberFormat="1" applyFont="1" applyBorder="1" applyAlignment="1">
      <alignment horizontal="center" vertical="center" wrapText="1"/>
    </xf>
    <xf numFmtId="3" fontId="14" fillId="0" borderId="2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0" fontId="4" fillId="0" borderId="11" xfId="0" applyFont="1" applyBorder="1" applyAlignment="1">
      <alignment horizontal="center" vertical="center" wrapText="1"/>
    </xf>
    <xf numFmtId="3" fontId="11" fillId="0" borderId="1" xfId="0" applyNumberFormat="1" applyFont="1" applyBorder="1" applyAlignment="1">
      <alignment horizontal="center" vertical="center" wrapText="1"/>
    </xf>
    <xf numFmtId="3" fontId="11" fillId="0" borderId="139" xfId="0" applyNumberFormat="1" applyFont="1" applyBorder="1" applyAlignment="1">
      <alignment horizontal="center" vertical="center" wrapText="1"/>
    </xf>
    <xf numFmtId="3" fontId="14" fillId="0" borderId="135" xfId="0" applyNumberFormat="1" applyFont="1" applyBorder="1" applyAlignment="1">
      <alignment horizontal="center" vertical="center" wrapText="1"/>
    </xf>
    <xf numFmtId="3" fontId="14" fillId="0" borderId="139" xfId="0" applyNumberFormat="1" applyFont="1" applyBorder="1" applyAlignment="1">
      <alignment horizontal="center" vertical="center" wrapText="1"/>
    </xf>
    <xf numFmtId="3" fontId="11" fillId="0" borderId="167" xfId="0" applyNumberFormat="1" applyFont="1" applyBorder="1" applyAlignment="1">
      <alignment horizontal="center" vertical="center" wrapText="1"/>
    </xf>
    <xf numFmtId="3" fontId="11" fillId="0" borderId="190" xfId="0" applyNumberFormat="1" applyFont="1" applyBorder="1" applyAlignment="1">
      <alignment horizontal="center" vertical="center" wrapText="1"/>
    </xf>
    <xf numFmtId="3" fontId="11" fillId="0" borderId="191" xfId="0" applyNumberFormat="1" applyFont="1" applyBorder="1" applyAlignment="1">
      <alignment horizontal="center" vertical="center" wrapText="1"/>
    </xf>
    <xf numFmtId="0" fontId="3" fillId="0" borderId="193" xfId="2" applyFont="1" applyBorder="1" applyAlignment="1">
      <alignment horizontal="center" vertical="center" wrapText="1"/>
    </xf>
    <xf numFmtId="0" fontId="4" fillId="0" borderId="0" xfId="0" applyFont="1" applyAlignment="1">
      <alignment horizontal="center"/>
    </xf>
    <xf numFmtId="3" fontId="11" fillId="0" borderId="36"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0" fontId="14" fillId="0" borderId="27" xfId="0" applyFont="1" applyBorder="1" applyAlignment="1">
      <alignment horizontal="center" vertic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3" fontId="11" fillId="0" borderId="24" xfId="0" applyNumberFormat="1" applyFont="1" applyBorder="1" applyAlignment="1">
      <alignment horizontal="center" vertical="center" wrapText="1"/>
    </xf>
    <xf numFmtId="3" fontId="11" fillId="0" borderId="67" xfId="0" applyNumberFormat="1"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3" fontId="3" fillId="0" borderId="24" xfId="2"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0" fontId="14" fillId="0" borderId="23" xfId="0" applyFont="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35" xfId="0" applyNumberFormat="1" applyFont="1" applyFill="1" applyBorder="1" applyAlignment="1">
      <alignment horizontal="center" vertical="center" wrapText="1"/>
    </xf>
    <xf numFmtId="3" fontId="11" fillId="0" borderId="5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246" fillId="0" borderId="11" xfId="2" applyFont="1" applyBorder="1" applyAlignment="1">
      <alignment horizontal="center" vertical="center"/>
    </xf>
    <xf numFmtId="0" fontId="14" fillId="0" borderId="135" xfId="0" applyFont="1" applyBorder="1" applyAlignment="1">
      <alignment horizontal="center"/>
    </xf>
    <xf numFmtId="3" fontId="2" fillId="0" borderId="22" xfId="2" applyNumberFormat="1" applyBorder="1" applyAlignment="1">
      <alignment horizontal="center" vertical="center" wrapText="1"/>
    </xf>
    <xf numFmtId="3" fontId="2" fillId="0" borderId="24" xfId="2" applyNumberFormat="1" applyBorder="1" applyAlignment="1">
      <alignment horizontal="center" vertical="center" wrapText="1"/>
    </xf>
    <xf numFmtId="0" fontId="120" fillId="0" borderId="11" xfId="0" applyFont="1" applyBorder="1" applyAlignment="1">
      <alignment horizontal="center"/>
    </xf>
    <xf numFmtId="0" fontId="120" fillId="0" borderId="7" xfId="0" applyFont="1" applyBorder="1" applyAlignment="1">
      <alignment horizontal="center" vertical="center" wrapText="1"/>
    </xf>
    <xf numFmtId="2" fontId="4" fillId="0" borderId="0" xfId="348" applyNumberFormat="1" applyFont="1" applyAlignment="1">
      <alignment horizontal="left" vertical="center" wrapText="1"/>
    </xf>
    <xf numFmtId="2" fontId="11" fillId="0" borderId="0" xfId="348" applyNumberFormat="1" applyFont="1" applyAlignment="1">
      <alignment horizontal="center" vertical="center" wrapText="1"/>
    </xf>
    <xf numFmtId="2" fontId="4" fillId="0" borderId="0" xfId="348" applyNumberFormat="1" applyFont="1" applyAlignment="1">
      <alignment vertical="center" wrapText="1"/>
    </xf>
    <xf numFmtId="0" fontId="0" fillId="0" borderId="0" xfId="348" applyNumberFormat="1" applyFont="1" applyAlignment="1">
      <alignment vertical="justify" wrapText="1"/>
    </xf>
    <xf numFmtId="0" fontId="0" fillId="0" borderId="0" xfId="0" applyAlignment="1">
      <alignment vertical="justify" wrapText="1"/>
    </xf>
    <xf numFmtId="2" fontId="11" fillId="0" borderId="0" xfId="348" applyNumberFormat="1" applyFont="1" applyAlignment="1">
      <alignment vertical="center" wrapText="1"/>
    </xf>
    <xf numFmtId="2" fontId="4" fillId="0" borderId="0" xfId="348" quotePrefix="1" applyNumberFormat="1" applyFont="1" applyAlignment="1">
      <alignment vertical="center" wrapText="1"/>
    </xf>
    <xf numFmtId="2" fontId="11" fillId="0" borderId="0" xfId="348" applyNumberFormat="1" applyFont="1" applyAlignment="1">
      <alignment horizontal="center" vertical="justify" wrapText="1"/>
    </xf>
    <xf numFmtId="3" fontId="4" fillId="0" borderId="60" xfId="347" applyNumberFormat="1" applyFont="1" applyBorder="1" applyAlignment="1">
      <alignment horizontal="left" vertical="top" wrapText="1"/>
    </xf>
    <xf numFmtId="3" fontId="4" fillId="0" borderId="140" xfId="347" applyNumberFormat="1" applyFont="1" applyBorder="1" applyAlignment="1">
      <alignment horizontal="left" vertical="top" wrapText="1"/>
    </xf>
    <xf numFmtId="3" fontId="4" fillId="0" borderId="14" xfId="347" applyNumberFormat="1" applyFont="1" applyBorder="1" applyAlignment="1">
      <alignment horizontal="left" vertical="top" wrapText="1"/>
    </xf>
    <xf numFmtId="0" fontId="4" fillId="3" borderId="137" xfId="347" applyFont="1" applyFill="1" applyBorder="1" applyAlignment="1">
      <alignment horizontal="left" vertical="center" wrapText="1"/>
    </xf>
    <xf numFmtId="0" fontId="11" fillId="0" borderId="0" xfId="347" applyFont="1" applyAlignment="1">
      <alignment horizontal="center" wrapText="1"/>
    </xf>
    <xf numFmtId="3" fontId="4" fillId="0" borderId="1" xfId="347" applyNumberFormat="1" applyFont="1" applyBorder="1" applyAlignment="1">
      <alignment horizontal="left" vertical="top" wrapText="1"/>
    </xf>
    <xf numFmtId="0" fontId="11" fillId="0" borderId="8" xfId="347" applyFont="1" applyBorder="1" applyAlignment="1">
      <alignment horizontal="center" wrapText="1"/>
    </xf>
    <xf numFmtId="0" fontId="11" fillId="0" borderId="10" xfId="347" applyFont="1" applyBorder="1" applyAlignment="1">
      <alignment horizontal="center" wrapText="1"/>
    </xf>
    <xf numFmtId="0" fontId="258" fillId="0" borderId="137" xfId="0" applyFont="1" applyBorder="1" applyAlignment="1">
      <alignment vertical="center" wrapText="1"/>
    </xf>
    <xf numFmtId="0" fontId="250" fillId="0" borderId="0" xfId="0" applyFont="1" applyAlignment="1">
      <alignment horizontal="center" vertical="center"/>
    </xf>
    <xf numFmtId="0" fontId="3" fillId="29" borderId="97" xfId="2" applyFont="1" applyFill="1" applyBorder="1" applyAlignment="1">
      <alignment horizontal="center" vertical="center" wrapText="1"/>
    </xf>
    <xf numFmtId="0" fontId="123" fillId="29" borderId="97" xfId="0" applyFont="1" applyFill="1" applyBorder="1" applyAlignment="1">
      <alignment horizontal="center" vertical="center" wrapText="1"/>
    </xf>
    <xf numFmtId="0" fontId="123" fillId="29" borderId="210" xfId="0" applyFont="1" applyFill="1" applyBorder="1" applyAlignment="1">
      <alignment horizontal="center" vertical="center" wrapText="1"/>
    </xf>
    <xf numFmtId="0" fontId="123" fillId="29" borderId="212" xfId="0" applyFont="1" applyFill="1" applyBorder="1" applyAlignment="1">
      <alignment horizontal="center" vertical="center" wrapText="1"/>
    </xf>
    <xf numFmtId="0" fontId="123" fillId="29" borderId="98" xfId="0" applyFont="1" applyFill="1" applyBorder="1" applyAlignment="1">
      <alignment horizontal="center" vertical="center" wrapText="1"/>
    </xf>
    <xf numFmtId="0" fontId="123" fillId="29" borderId="211" xfId="0" applyFont="1" applyFill="1" applyBorder="1" applyAlignment="1">
      <alignment horizontal="center" vertical="center" wrapText="1"/>
    </xf>
    <xf numFmtId="0" fontId="123" fillId="29" borderId="99" xfId="0" applyFont="1" applyFill="1" applyBorder="1" applyAlignment="1">
      <alignment horizontal="center" vertical="center" wrapText="1"/>
    </xf>
    <xf numFmtId="0" fontId="112" fillId="0" borderId="0" xfId="0" applyFont="1" applyAlignment="1">
      <alignment horizontal="center" vertical="center" shrinkToFit="1"/>
    </xf>
    <xf numFmtId="0" fontId="113" fillId="0" borderId="0" xfId="0" applyFont="1" applyAlignment="1">
      <alignment horizontal="center" shrinkToFit="1"/>
    </xf>
    <xf numFmtId="0" fontId="113" fillId="0" borderId="0" xfId="0" applyFont="1" applyAlignment="1">
      <alignment horizontal="center" vertical="center" wrapText="1" shrinkToFit="1"/>
    </xf>
    <xf numFmtId="0" fontId="113" fillId="36" borderId="0" xfId="0" applyFont="1" applyFill="1" applyAlignment="1">
      <alignment horizontal="center" vertical="center" shrinkToFit="1"/>
    </xf>
    <xf numFmtId="0" fontId="113" fillId="0" borderId="0" xfId="0" applyFont="1" applyAlignment="1">
      <alignment horizontal="center" vertical="center" shrinkToFit="1"/>
    </xf>
    <xf numFmtId="0" fontId="134" fillId="0" borderId="0" xfId="0" applyFont="1" applyAlignment="1">
      <alignment horizontal="center"/>
    </xf>
    <xf numFmtId="0" fontId="32" fillId="0" borderId="0" xfId="0" applyFont="1" applyAlignment="1">
      <alignment horizontal="center" vertical="center" wrapText="1"/>
    </xf>
    <xf numFmtId="0" fontId="134" fillId="0" borderId="0" xfId="0" applyFont="1" applyAlignment="1">
      <alignment horizontal="center" vertical="center" wrapText="1"/>
    </xf>
    <xf numFmtId="3" fontId="32" fillId="0" borderId="0" xfId="412" applyNumberFormat="1" applyFont="1" applyAlignment="1">
      <alignment horizontal="center"/>
    </xf>
    <xf numFmtId="0" fontId="135" fillId="0" borderId="0" xfId="0" applyFont="1" applyAlignment="1">
      <alignment horizontal="left"/>
    </xf>
    <xf numFmtId="0" fontId="121" fillId="0" borderId="130" xfId="2" applyFont="1" applyFill="1" applyBorder="1" applyAlignment="1">
      <alignment horizontal="center" vertical="center" wrapText="1"/>
    </xf>
    <xf numFmtId="0" fontId="121" fillId="0" borderId="131" xfId="2" applyFont="1" applyFill="1" applyBorder="1" applyAlignment="1">
      <alignment horizontal="center" vertical="center"/>
    </xf>
    <xf numFmtId="0" fontId="121" fillId="0" borderId="17" xfId="0" applyFont="1" applyBorder="1" applyAlignment="1">
      <alignment horizontal="center" vertical="center"/>
    </xf>
    <xf numFmtId="0" fontId="121" fillId="0" borderId="11" xfId="0" applyFont="1" applyBorder="1" applyAlignment="1">
      <alignment horizontal="center"/>
    </xf>
    <xf numFmtId="0" fontId="121" fillId="0" borderId="18" xfId="0" applyFont="1" applyBorder="1" applyAlignment="1">
      <alignment horizontal="center"/>
    </xf>
    <xf numFmtId="0" fontId="121" fillId="0" borderId="129" xfId="0" applyFont="1" applyBorder="1" applyAlignment="1">
      <alignment horizontal="right"/>
    </xf>
    <xf numFmtId="0" fontId="120" fillId="0" borderId="0" xfId="0" applyFont="1" applyAlignment="1">
      <alignment shrinkToFit="1"/>
    </xf>
    <xf numFmtId="3" fontId="135" fillId="0" borderId="0" xfId="0" applyNumberFormat="1" applyFont="1" applyAlignment="1">
      <alignment horizontal="center" wrapText="1"/>
    </xf>
    <xf numFmtId="0" fontId="135" fillId="0" borderId="0" xfId="0" applyFont="1" applyAlignment="1">
      <alignment horizontal="center" wrapText="1"/>
    </xf>
    <xf numFmtId="3" fontId="32" fillId="0" borderId="0" xfId="0" applyNumberFormat="1" applyFont="1" applyAlignment="1">
      <alignment horizontal="center" vertical="center" wrapText="1"/>
    </xf>
    <xf numFmtId="0" fontId="120" fillId="0" borderId="1" xfId="0" applyFont="1" applyBorder="1" applyAlignment="1">
      <alignment horizontal="center" vertical="center" wrapText="1"/>
    </xf>
    <xf numFmtId="3" fontId="134" fillId="0" borderId="0" xfId="0" applyNumberFormat="1" applyFont="1" applyAlignment="1">
      <alignment horizontal="center" vertical="center" wrapText="1"/>
    </xf>
    <xf numFmtId="0" fontId="120" fillId="0" borderId="11" xfId="0" applyFont="1" applyBorder="1" applyAlignment="1">
      <alignment horizontal="center" vertical="center" wrapText="1" shrinkToFit="1"/>
    </xf>
    <xf numFmtId="3" fontId="128" fillId="0" borderId="7" xfId="0" applyNumberFormat="1" applyFont="1" applyBorder="1" applyAlignment="1">
      <alignment horizontal="center" vertical="center" wrapText="1"/>
    </xf>
    <xf numFmtId="3" fontId="128" fillId="0" borderId="72" xfId="0" applyNumberFormat="1" applyFont="1" applyBorder="1" applyAlignment="1">
      <alignment horizontal="center" vertical="center" wrapText="1"/>
    </xf>
    <xf numFmtId="0" fontId="130" fillId="0" borderId="0" xfId="0" applyFont="1" applyAlignment="1">
      <alignment horizontal="right"/>
    </xf>
    <xf numFmtId="0" fontId="127" fillId="0" borderId="130" xfId="2" applyFont="1" applyBorder="1" applyAlignment="1">
      <alignment vertical="center"/>
    </xf>
    <xf numFmtId="0" fontId="127" fillId="0" borderId="131" xfId="2" applyFont="1" applyBorder="1" applyAlignment="1">
      <alignment vertical="center"/>
    </xf>
    <xf numFmtId="0" fontId="120" fillId="0" borderId="17" xfId="0" applyFont="1" applyBorder="1" applyAlignment="1">
      <alignment horizontal="center" vertical="center" wrapText="1"/>
    </xf>
    <xf numFmtId="0" fontId="120" fillId="0" borderId="17" xfId="0" applyFont="1" applyBorder="1" applyAlignment="1">
      <alignment horizontal="center"/>
    </xf>
    <xf numFmtId="0" fontId="120" fillId="0" borderId="71" xfId="0" applyFont="1" applyBorder="1" applyAlignment="1">
      <alignment horizontal="center" vertical="center" wrapText="1"/>
    </xf>
    <xf numFmtId="3" fontId="135" fillId="0" borderId="0" xfId="0" applyNumberFormat="1" applyFont="1" applyAlignment="1">
      <alignment horizontal="center"/>
    </xf>
    <xf numFmtId="0" fontId="120" fillId="0" borderId="221" xfId="0" applyFont="1" applyBorder="1" applyAlignment="1">
      <alignment horizontal="center" vertical="center" wrapText="1"/>
    </xf>
    <xf numFmtId="0" fontId="120" fillId="0" borderId="209" xfId="0" applyFont="1" applyBorder="1" applyAlignment="1">
      <alignment horizontal="center" vertical="center" wrapText="1"/>
    </xf>
    <xf numFmtId="0" fontId="14" fillId="0" borderId="10" xfId="0" applyFont="1" applyBorder="1" applyAlignment="1">
      <alignment horizontal="center" vertical="center" wrapText="1"/>
    </xf>
    <xf numFmtId="3" fontId="14" fillId="0" borderId="18" xfId="0" applyNumberFormat="1" applyFont="1" applyBorder="1" applyAlignment="1">
      <alignment horizontal="center" vertical="center" wrapText="1"/>
    </xf>
    <xf numFmtId="0" fontId="14" fillId="0" borderId="17" xfId="0" applyFont="1" applyBorder="1" applyAlignment="1">
      <alignment horizontal="center"/>
    </xf>
    <xf numFmtId="0" fontId="14" fillId="0" borderId="64" xfId="0" applyFont="1" applyBorder="1" applyAlignment="1">
      <alignment horizontal="center"/>
    </xf>
    <xf numFmtId="3" fontId="21" fillId="0" borderId="0" xfId="0" applyNumberFormat="1" applyFont="1" applyAlignment="1">
      <alignment horizontal="right"/>
    </xf>
    <xf numFmtId="3" fontId="14" fillId="0" borderId="130" xfId="2" applyNumberFormat="1" applyFont="1" applyFill="1" applyBorder="1" applyAlignment="1">
      <alignment horizontal="center" vertical="center" wrapText="1"/>
    </xf>
    <xf numFmtId="3" fontId="14" fillId="0" borderId="131" xfId="2" applyNumberFormat="1" applyFont="1" applyFill="1" applyBorder="1" applyAlignment="1">
      <alignment horizontal="center" vertical="center" wrapText="1"/>
    </xf>
    <xf numFmtId="3" fontId="14"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0" fontId="113" fillId="0" borderId="18"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64" xfId="0" applyFont="1" applyBorder="1" applyAlignment="1">
      <alignment horizontal="center" vertical="center" wrapText="1"/>
    </xf>
    <xf numFmtId="3" fontId="133" fillId="0" borderId="0" xfId="0" applyNumberFormat="1" applyFont="1" applyAlignment="1">
      <alignment horizontal="right"/>
    </xf>
    <xf numFmtId="0" fontId="133" fillId="0" borderId="0" xfId="0" applyFont="1" applyAlignment="1">
      <alignment horizontal="right"/>
    </xf>
    <xf numFmtId="0" fontId="3" fillId="0" borderId="130" xfId="2" applyFont="1" applyBorder="1" applyAlignment="1">
      <alignment horizontal="center" vertical="center" wrapText="1"/>
    </xf>
    <xf numFmtId="0" fontId="3" fillId="0" borderId="131" xfId="2" applyFont="1" applyBorder="1" applyAlignment="1">
      <alignment horizontal="center" vertical="center" wrapText="1"/>
    </xf>
    <xf numFmtId="0" fontId="113" fillId="0" borderId="71" xfId="0" applyFont="1" applyBorder="1" applyAlignment="1">
      <alignment horizontal="center" vertical="center" wrapText="1"/>
    </xf>
    <xf numFmtId="0" fontId="113" fillId="0" borderId="144"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146" xfId="0" applyFont="1" applyBorder="1" applyAlignment="1">
      <alignment horizontal="center" vertical="center" wrapText="1"/>
    </xf>
    <xf numFmtId="0" fontId="113" fillId="0" borderId="17" xfId="0" applyFont="1" applyBorder="1" applyAlignment="1">
      <alignment horizontal="center" vertical="center" wrapText="1"/>
    </xf>
    <xf numFmtId="0" fontId="127" fillId="0" borderId="130" xfId="2" applyFont="1" applyFill="1" applyBorder="1" applyAlignment="1">
      <alignment horizontal="center" vertical="center"/>
    </xf>
    <xf numFmtId="0" fontId="127" fillId="0" borderId="131" xfId="2" applyFont="1" applyFill="1" applyBorder="1" applyAlignment="1">
      <alignment horizontal="center" vertical="center"/>
    </xf>
    <xf numFmtId="0" fontId="113" fillId="27" borderId="17" xfId="0" applyFont="1" applyFill="1" applyBorder="1" applyAlignment="1">
      <alignment horizontal="center"/>
    </xf>
    <xf numFmtId="0" fontId="113" fillId="27" borderId="144" xfId="0" applyFont="1" applyFill="1" applyBorder="1" applyAlignment="1">
      <alignment horizontal="center"/>
    </xf>
    <xf numFmtId="0" fontId="113" fillId="27" borderId="143" xfId="0" applyFont="1" applyFill="1" applyBorder="1" applyAlignment="1">
      <alignment horizontal="center"/>
    </xf>
    <xf numFmtId="0" fontId="127" fillId="27" borderId="130" xfId="2" applyFont="1" applyFill="1" applyBorder="1" applyAlignment="1">
      <alignment horizontal="center" vertical="center"/>
    </xf>
    <xf numFmtId="0" fontId="127" fillId="27" borderId="131" xfId="2" applyFont="1" applyFill="1" applyBorder="1" applyAlignment="1">
      <alignment horizontal="center" vertical="center"/>
    </xf>
    <xf numFmtId="0" fontId="123" fillId="27" borderId="17" xfId="0" applyFont="1" applyFill="1" applyBorder="1" applyAlignment="1">
      <alignment horizontal="center" vertical="center"/>
    </xf>
    <xf numFmtId="0" fontId="123" fillId="27" borderId="11" xfId="0" applyFont="1" applyFill="1" applyBorder="1" applyAlignment="1">
      <alignment horizontal="center" vertical="center"/>
    </xf>
    <xf numFmtId="0" fontId="123" fillId="27" borderId="17" xfId="0" applyFont="1" applyFill="1" applyBorder="1" applyAlignment="1">
      <alignment horizontal="center"/>
    </xf>
    <xf numFmtId="0" fontId="11" fillId="0" borderId="17" xfId="0" applyFont="1" applyBorder="1" applyAlignment="1">
      <alignment horizontal="center"/>
    </xf>
    <xf numFmtId="0" fontId="11" fillId="0" borderId="0" xfId="0" applyFont="1" applyAlignment="1">
      <alignment horizontal="center" wrapText="1"/>
    </xf>
    <xf numFmtId="0" fontId="11" fillId="0" borderId="7" xfId="0" applyFont="1" applyBorder="1" applyAlignment="1">
      <alignment horizontal="center" vertical="center" wrapText="1"/>
    </xf>
    <xf numFmtId="0" fontId="174" fillId="0" borderId="0" xfId="0" applyFont="1" applyAlignment="1">
      <alignment vertical="center" wrapText="1"/>
    </xf>
    <xf numFmtId="0" fontId="123" fillId="0" borderId="11" xfId="0" applyFont="1" applyBorder="1" applyAlignment="1">
      <alignment horizontal="center" vertical="center" wrapText="1"/>
    </xf>
    <xf numFmtId="0" fontId="127" fillId="0" borderId="130" xfId="2" applyFont="1" applyBorder="1" applyAlignment="1">
      <alignment horizontal="center" vertical="center" wrapText="1"/>
    </xf>
    <xf numFmtId="0" fontId="127" fillId="0" borderId="131" xfId="2"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20" fillId="0" borderId="18" xfId="0" applyNumberFormat="1" applyFont="1" applyBorder="1" applyAlignment="1">
      <alignment horizontal="center" vertical="center" wrapText="1" shrinkToFit="1"/>
    </xf>
    <xf numFmtId="0" fontId="127" fillId="0" borderId="130" xfId="2" applyFont="1" applyFill="1" applyBorder="1" applyAlignment="1">
      <alignment horizontal="center" vertical="center" wrapText="1"/>
    </xf>
    <xf numFmtId="0" fontId="127" fillId="0" borderId="131" xfId="2" applyFont="1" applyFill="1" applyBorder="1" applyAlignment="1">
      <alignment horizontal="center" vertical="center" wrapText="1"/>
    </xf>
    <xf numFmtId="0" fontId="121" fillId="0" borderId="17" xfId="0" applyFont="1" applyBorder="1" applyAlignment="1">
      <alignment horizontal="center" vertical="center" wrapText="1"/>
    </xf>
    <xf numFmtId="0" fontId="120" fillId="0" borderId="218" xfId="0" applyFont="1" applyBorder="1" applyAlignment="1">
      <alignment horizontal="center" vertical="center"/>
    </xf>
    <xf numFmtId="0" fontId="120" fillId="0" borderId="219" xfId="0" applyFont="1" applyBorder="1" applyAlignment="1">
      <alignment horizontal="center" vertical="center"/>
    </xf>
    <xf numFmtId="0" fontId="209" fillId="0" borderId="129" xfId="0" applyFont="1" applyBorder="1" applyAlignment="1">
      <alignment horizontal="right"/>
    </xf>
    <xf numFmtId="0" fontId="121" fillId="0" borderId="64" xfId="0" applyFont="1" applyBorder="1" applyAlignment="1">
      <alignment horizontal="center" vertical="center"/>
    </xf>
    <xf numFmtId="0" fontId="120" fillId="0" borderId="0" xfId="0" applyFont="1" applyAlignment="1">
      <alignment horizontal="center" shrinkToFit="1"/>
    </xf>
    <xf numFmtId="0" fontId="120" fillId="0" borderId="0" xfId="0" applyFont="1" applyAlignment="1">
      <alignment horizontal="right"/>
    </xf>
    <xf numFmtId="0" fontId="120" fillId="0" borderId="64" xfId="0" applyFont="1" applyBorder="1" applyAlignment="1">
      <alignment horizontal="center" vertical="center" wrapText="1"/>
    </xf>
    <xf numFmtId="0" fontId="16" fillId="0" borderId="0" xfId="0" applyFont="1" applyAlignment="1">
      <alignment horizontal="center"/>
    </xf>
    <xf numFmtId="0" fontId="119" fillId="0" borderId="10" xfId="0" applyFont="1" applyBorder="1" applyAlignment="1">
      <alignment horizontal="center" vertical="center" wrapText="1"/>
    </xf>
    <xf numFmtId="0" fontId="119" fillId="0" borderId="11" xfId="0" applyFont="1" applyBorder="1" applyAlignment="1">
      <alignment horizontal="center" vertical="center" wrapText="1"/>
    </xf>
    <xf numFmtId="0" fontId="113" fillId="0" borderId="64" xfId="0" applyFont="1" applyBorder="1" applyAlignment="1">
      <alignment horizontal="center" vertical="center" wrapText="1"/>
    </xf>
    <xf numFmtId="3" fontId="121" fillId="0" borderId="17" xfId="0" applyNumberFormat="1" applyFont="1" applyBorder="1" applyAlignment="1">
      <alignment horizontal="center"/>
    </xf>
    <xf numFmtId="3" fontId="121" fillId="0" borderId="64" xfId="0" applyNumberFormat="1" applyFont="1" applyBorder="1" applyAlignment="1">
      <alignment horizontal="center"/>
    </xf>
    <xf numFmtId="0" fontId="14" fillId="27" borderId="146" xfId="0" applyFont="1" applyFill="1" applyBorder="1" applyAlignment="1">
      <alignment horizontal="center"/>
    </xf>
    <xf numFmtId="0" fontId="14" fillId="27" borderId="17" xfId="0" applyFont="1" applyFill="1" applyBorder="1" applyAlignment="1">
      <alignment horizontal="center"/>
    </xf>
    <xf numFmtId="0" fontId="14" fillId="27" borderId="64" xfId="0" applyFont="1" applyFill="1" applyBorder="1" applyAlignment="1">
      <alignment horizontal="center"/>
    </xf>
    <xf numFmtId="0" fontId="14" fillId="27" borderId="143" xfId="0" applyFont="1" applyFill="1" applyBorder="1" applyAlignment="1">
      <alignment horizontal="center"/>
    </xf>
    <xf numFmtId="0" fontId="14" fillId="27" borderId="88" xfId="0" applyFont="1" applyFill="1" applyBorder="1" applyAlignment="1">
      <alignment horizontal="center"/>
    </xf>
    <xf numFmtId="0" fontId="14" fillId="27" borderId="89" xfId="0" applyFont="1" applyFill="1" applyBorder="1" applyAlignment="1">
      <alignment horizontal="center"/>
    </xf>
    <xf numFmtId="0" fontId="15" fillId="0" borderId="0" xfId="0" applyFont="1" applyAlignment="1">
      <alignment horizontal="center"/>
    </xf>
    <xf numFmtId="0" fontId="3" fillId="27" borderId="130" xfId="2" applyFont="1" applyFill="1" applyBorder="1" applyAlignment="1">
      <alignment horizontal="center" vertical="center"/>
    </xf>
    <xf numFmtId="0" fontId="3" fillId="27" borderId="131" xfId="2" applyFont="1" applyFill="1" applyBorder="1" applyAlignment="1">
      <alignment horizontal="center" vertical="center"/>
    </xf>
    <xf numFmtId="0" fontId="11" fillId="27" borderId="17" xfId="0" applyFont="1" applyFill="1" applyBorder="1" applyAlignment="1">
      <alignment horizontal="center" vertical="center"/>
    </xf>
    <xf numFmtId="0" fontId="11" fillId="27" borderId="11" xfId="0" applyFont="1" applyFill="1" applyBorder="1" applyAlignment="1">
      <alignment horizontal="center" vertical="center"/>
    </xf>
    <xf numFmtId="0" fontId="11" fillId="27" borderId="17" xfId="0" applyFont="1" applyFill="1" applyBorder="1" applyAlignment="1">
      <alignment horizontal="center"/>
    </xf>
    <xf numFmtId="0" fontId="135" fillId="0" borderId="0" xfId="0" applyFont="1" applyAlignment="1">
      <alignment horizontal="center" shrinkToFit="1"/>
    </xf>
    <xf numFmtId="3" fontId="121" fillId="0" borderId="0" xfId="412" applyNumberFormat="1" applyFont="1" applyAlignment="1">
      <alignment horizontal="center" wrapText="1"/>
    </xf>
    <xf numFmtId="3" fontId="135" fillId="0" borderId="0" xfId="412" applyNumberFormat="1" applyFont="1" applyAlignment="1">
      <alignment horizontal="center"/>
    </xf>
    <xf numFmtId="3" fontId="121" fillId="0" borderId="129" xfId="412" applyNumberFormat="1" applyFont="1" applyBorder="1" applyAlignment="1">
      <alignment horizontal="right"/>
    </xf>
    <xf numFmtId="0" fontId="121" fillId="0" borderId="130" xfId="2" applyFont="1" applyBorder="1" applyAlignment="1">
      <alignment horizontal="center" vertical="center" wrapText="1"/>
    </xf>
    <xf numFmtId="0" fontId="121" fillId="0" borderId="131" xfId="2" applyFont="1" applyBorder="1" applyAlignment="1">
      <alignment horizontal="center" vertical="center" wrapText="1"/>
    </xf>
    <xf numFmtId="0" fontId="121" fillId="0" borderId="17" xfId="412" applyFont="1" applyBorder="1" applyAlignment="1">
      <alignment horizontal="center" vertical="center" wrapText="1"/>
    </xf>
    <xf numFmtId="0" fontId="121" fillId="0" borderId="11" xfId="412" applyFont="1" applyBorder="1" applyAlignment="1">
      <alignment horizontal="center" vertical="center" wrapText="1"/>
    </xf>
    <xf numFmtId="3" fontId="121" fillId="0" borderId="64" xfId="412" applyNumberFormat="1" applyFont="1" applyBorder="1" applyAlignment="1">
      <alignment horizontal="center" vertical="center" wrapText="1"/>
    </xf>
    <xf numFmtId="0" fontId="122" fillId="0" borderId="18" xfId="412" applyFont="1" applyBorder="1" applyAlignment="1">
      <alignment horizontal="center" vertical="center" wrapText="1"/>
    </xf>
    <xf numFmtId="0" fontId="19" fillId="0" borderId="137" xfId="0" applyFont="1" applyBorder="1" applyAlignment="1">
      <alignment horizontal="center"/>
    </xf>
    <xf numFmtId="0" fontId="243" fillId="0" borderId="11" xfId="0" applyFont="1" applyBorder="1" applyAlignment="1">
      <alignment horizontal="center" vertical="center" wrapText="1"/>
    </xf>
    <xf numFmtId="3" fontId="4" fillId="0" borderId="0" xfId="0" applyNumberFormat="1" applyFont="1" applyAlignment="1">
      <alignment horizontal="center" wrapText="1"/>
    </xf>
    <xf numFmtId="0" fontId="4" fillId="0" borderId="0" xfId="0" applyFont="1" applyAlignment="1">
      <alignment horizontal="center" wrapText="1"/>
    </xf>
    <xf numFmtId="0" fontId="11" fillId="0" borderId="133" xfId="0" applyFont="1" applyBorder="1" applyAlignment="1">
      <alignment horizontal="center"/>
    </xf>
    <xf numFmtId="0" fontId="11" fillId="0" borderId="11" xfId="0" applyFont="1" applyBorder="1" applyAlignment="1">
      <alignment horizontal="center"/>
    </xf>
    <xf numFmtId="9" fontId="4" fillId="34" borderId="205" xfId="0" applyNumberFormat="1" applyFont="1" applyFill="1" applyBorder="1" applyAlignment="1">
      <alignment horizontal="center" vertical="center" wrapText="1"/>
    </xf>
    <xf numFmtId="9" fontId="4" fillId="34" borderId="206" xfId="0" applyNumberFormat="1" applyFont="1" applyFill="1" applyBorder="1" applyAlignment="1">
      <alignment horizontal="center" vertical="center" wrapText="1"/>
    </xf>
    <xf numFmtId="9" fontId="4" fillId="34" borderId="174" xfId="0" applyNumberFormat="1" applyFont="1" applyFill="1" applyBorder="1" applyAlignment="1">
      <alignment horizontal="center" vertical="center" wrapText="1"/>
    </xf>
    <xf numFmtId="9" fontId="4" fillId="34" borderId="135" xfId="0" applyNumberFormat="1" applyFont="1" applyFill="1" applyBorder="1" applyAlignment="1">
      <alignment horizontal="center" vertical="center" wrapText="1"/>
    </xf>
    <xf numFmtId="9" fontId="4" fillId="34" borderId="0" xfId="0" applyNumberFormat="1" applyFont="1" applyFill="1" applyAlignment="1">
      <alignment horizontal="center" vertical="center" wrapText="1"/>
    </xf>
    <xf numFmtId="9" fontId="4" fillId="34" borderId="139" xfId="0" applyNumberFormat="1" applyFont="1" applyFill="1" applyBorder="1" applyAlignment="1">
      <alignment horizontal="center" vertical="center" wrapText="1"/>
    </xf>
    <xf numFmtId="9" fontId="4" fillId="34" borderId="207" xfId="0" applyNumberFormat="1" applyFont="1" applyFill="1" applyBorder="1" applyAlignment="1">
      <alignment horizontal="center" vertical="center" wrapText="1"/>
    </xf>
    <xf numFmtId="9" fontId="4" fillId="34" borderId="208" xfId="0" applyNumberFormat="1" applyFont="1" applyFill="1" applyBorder="1" applyAlignment="1">
      <alignment horizontal="center" vertical="center" wrapText="1"/>
    </xf>
    <xf numFmtId="9" fontId="4" fillId="34" borderId="65" xfId="0" applyNumberFormat="1" applyFont="1" applyFill="1" applyBorder="1" applyAlignment="1">
      <alignment horizontal="center" vertical="center" wrapText="1"/>
    </xf>
    <xf numFmtId="9" fontId="4" fillId="34" borderId="60" xfId="0" applyNumberFormat="1" applyFont="1" applyFill="1" applyBorder="1" applyAlignment="1">
      <alignment horizontal="center" vertical="center" wrapText="1"/>
    </xf>
    <xf numFmtId="0" fontId="4" fillId="34" borderId="60" xfId="0" applyFont="1" applyFill="1" applyBorder="1" applyAlignment="1">
      <alignment horizontal="center" vertical="center" wrapText="1"/>
    </xf>
    <xf numFmtId="0" fontId="120" fillId="0" borderId="18" xfId="0" applyFont="1" applyBorder="1" applyAlignment="1">
      <alignment horizontal="center" vertical="center" wrapText="1"/>
    </xf>
    <xf numFmtId="3" fontId="32" fillId="0" borderId="0" xfId="0" applyNumberFormat="1" applyFont="1" applyAlignment="1">
      <alignment horizontal="left" vertical="center"/>
    </xf>
    <xf numFmtId="3" fontId="32" fillId="0" borderId="0" xfId="0" applyNumberFormat="1" applyFont="1" applyAlignment="1">
      <alignment horizontal="left" vertical="center" wrapText="1" shrinkToFit="1"/>
    </xf>
    <xf numFmtId="3" fontId="120" fillId="3" borderId="17" xfId="0" applyNumberFormat="1" applyFont="1" applyFill="1" applyBorder="1" applyAlignment="1">
      <alignment horizontal="center" vertical="center" wrapText="1" shrinkToFit="1"/>
    </xf>
    <xf numFmtId="3" fontId="120" fillId="3" borderId="64" xfId="0" applyNumberFormat="1" applyFont="1" applyFill="1" applyBorder="1" applyAlignment="1">
      <alignment horizontal="center" vertical="center" wrapText="1" shrinkToFit="1"/>
    </xf>
    <xf numFmtId="3" fontId="127" fillId="0" borderId="130" xfId="2" applyNumberFormat="1" applyFont="1" applyBorder="1" applyAlignment="1">
      <alignment horizontal="center" vertical="center" shrinkToFit="1"/>
    </xf>
    <xf numFmtId="3" fontId="127" fillId="0" borderId="131" xfId="2" applyNumberFormat="1" applyFont="1" applyBorder="1" applyAlignment="1">
      <alignment horizontal="center" vertical="center" shrinkToFit="1"/>
    </xf>
    <xf numFmtId="3" fontId="120" fillId="0" borderId="17" xfId="0" applyNumberFormat="1" applyFont="1" applyBorder="1" applyAlignment="1">
      <alignment horizontal="center" vertical="center" shrinkToFit="1"/>
    </xf>
    <xf numFmtId="3" fontId="120" fillId="0" borderId="11"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shrinkToFit="1"/>
    </xf>
    <xf numFmtId="49" fontId="120" fillId="0" borderId="11" xfId="0" applyNumberFormat="1" applyFont="1" applyBorder="1" applyAlignment="1">
      <alignment horizontal="center" vertical="center" wrapText="1"/>
    </xf>
    <xf numFmtId="49" fontId="120" fillId="0" borderId="11" xfId="0" applyNumberFormat="1" applyFont="1" applyBorder="1" applyAlignment="1">
      <alignment horizontal="center" vertical="center"/>
    </xf>
    <xf numFmtId="0" fontId="142" fillId="0" borderId="11" xfId="0" applyFont="1" applyBorder="1" applyAlignment="1">
      <alignment horizontal="center" vertical="center"/>
    </xf>
    <xf numFmtId="0" fontId="142"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shrinkToFit="1"/>
    </xf>
    <xf numFmtId="0" fontId="121" fillId="0" borderId="11" xfId="0" applyFont="1" applyBorder="1" applyAlignment="1">
      <alignment horizontal="center" vertical="center" shrinkToFit="1"/>
    </xf>
    <xf numFmtId="0" fontId="120" fillId="3" borderId="11" xfId="0" applyFont="1" applyFill="1" applyBorder="1" applyAlignment="1">
      <alignment horizontal="center" vertical="center"/>
    </xf>
    <xf numFmtId="0" fontId="3" fillId="0" borderId="11" xfId="2" applyFont="1" applyFill="1" applyBorder="1" applyAlignment="1">
      <alignment horizontal="center" vertical="center"/>
    </xf>
    <xf numFmtId="0" fontId="120" fillId="0" borderId="0" xfId="352" applyFont="1" applyAlignment="1">
      <alignment horizontal="center" vertical="center"/>
    </xf>
    <xf numFmtId="166" fontId="120" fillId="0" borderId="0" xfId="352" applyNumberFormat="1" applyFont="1" applyAlignment="1">
      <alignment horizontal="center" vertical="center"/>
    </xf>
    <xf numFmtId="0" fontId="128" fillId="0" borderId="0" xfId="352" applyFont="1" applyAlignment="1">
      <alignment horizontal="center" vertical="center"/>
    </xf>
    <xf numFmtId="166" fontId="120" fillId="0" borderId="170" xfId="352" applyNumberFormat="1" applyFont="1" applyBorder="1" applyAlignment="1">
      <alignment horizontal="center" vertical="center" wrapText="1"/>
    </xf>
    <xf numFmtId="166" fontId="120" fillId="0" borderId="169" xfId="352" applyNumberFormat="1" applyFont="1" applyBorder="1" applyAlignment="1">
      <alignment horizontal="center" vertical="center" wrapText="1"/>
    </xf>
    <xf numFmtId="0" fontId="120" fillId="0" borderId="8" xfId="352" applyFont="1" applyBorder="1" applyAlignment="1">
      <alignment horizontal="center" vertical="center"/>
    </xf>
    <xf numFmtId="0" fontId="120" fillId="0" borderId="9" xfId="352" applyFont="1" applyBorder="1" applyAlignment="1">
      <alignment horizontal="center" vertical="center"/>
    </xf>
    <xf numFmtId="0" fontId="120" fillId="0" borderId="10" xfId="352" applyFont="1" applyBorder="1" applyAlignment="1">
      <alignment horizontal="center" vertical="center"/>
    </xf>
    <xf numFmtId="166" fontId="120" fillId="0" borderId="7" xfId="352" applyNumberFormat="1" applyFont="1" applyBorder="1" applyAlignment="1">
      <alignment horizontal="center" vertical="center" wrapText="1"/>
    </xf>
    <xf numFmtId="166" fontId="120" fillId="0" borderId="72" xfId="352" applyNumberFormat="1" applyFont="1" applyBorder="1" applyAlignment="1">
      <alignment horizontal="center" vertical="center" wrapText="1"/>
    </xf>
    <xf numFmtId="0" fontId="120" fillId="0" borderId="171" xfId="352" applyFont="1" applyBorder="1" applyAlignment="1">
      <alignment horizontal="center" vertical="center"/>
    </xf>
    <xf numFmtId="0" fontId="128" fillId="3" borderId="0" xfId="352" applyFont="1" applyFill="1" applyAlignment="1">
      <alignment horizontal="center" vertical="center"/>
    </xf>
    <xf numFmtId="166" fontId="120" fillId="0" borderId="67" xfId="352" applyNumberFormat="1" applyFont="1" applyBorder="1" applyAlignment="1">
      <alignment horizontal="center" vertical="center"/>
    </xf>
    <xf numFmtId="166" fontId="120" fillId="0" borderId="34" xfId="352" applyNumberFormat="1" applyFont="1" applyBorder="1" applyAlignment="1">
      <alignment horizontal="center" vertical="center"/>
    </xf>
    <xf numFmtId="166" fontId="120" fillId="0" borderId="94" xfId="352" applyNumberFormat="1" applyFont="1" applyBorder="1" applyAlignment="1">
      <alignment horizontal="center" vertical="center"/>
    </xf>
    <xf numFmtId="166" fontId="120" fillId="3" borderId="67" xfId="352" applyNumberFormat="1" applyFont="1" applyFill="1" applyBorder="1" applyAlignment="1">
      <alignment horizontal="center" vertical="center"/>
    </xf>
    <xf numFmtId="166" fontId="120" fillId="3" borderId="34" xfId="352" applyNumberFormat="1" applyFont="1" applyFill="1" applyBorder="1" applyAlignment="1">
      <alignment horizontal="center" vertical="center"/>
    </xf>
    <xf numFmtId="166" fontId="120" fillId="3" borderId="94" xfId="352" applyNumberFormat="1" applyFont="1" applyFill="1" applyBorder="1" applyAlignment="1">
      <alignment horizontal="center" vertical="center"/>
    </xf>
    <xf numFmtId="0" fontId="3" fillId="0" borderId="22" xfId="2" applyNumberFormat="1" applyFont="1" applyFill="1" applyBorder="1" applyAlignment="1">
      <alignment horizontal="center" vertical="center"/>
    </xf>
    <xf numFmtId="0" fontId="3" fillId="0" borderId="24" xfId="2" applyNumberFormat="1" applyFont="1" applyFill="1" applyBorder="1" applyAlignment="1">
      <alignment horizontal="center" vertical="center"/>
    </xf>
    <xf numFmtId="0" fontId="120" fillId="0" borderId="27" xfId="352" applyFont="1" applyBorder="1" applyAlignment="1">
      <alignment horizontal="center" vertical="center"/>
    </xf>
    <xf numFmtId="0" fontId="120" fillId="0" borderId="11" xfId="352" applyFont="1" applyBorder="1" applyAlignment="1">
      <alignment horizontal="center" vertical="center"/>
    </xf>
    <xf numFmtId="166" fontId="120" fillId="0" borderId="36" xfId="352" applyNumberFormat="1" applyFont="1" applyBorder="1" applyAlignment="1">
      <alignment horizontal="center" vertical="center"/>
    </xf>
    <xf numFmtId="166" fontId="142" fillId="0" borderId="67" xfId="352" applyNumberFormat="1" applyFont="1" applyBorder="1" applyAlignment="1">
      <alignment horizontal="center" vertical="center"/>
    </xf>
    <xf numFmtId="166" fontId="142" fillId="0" borderId="34" xfId="352" applyNumberFormat="1" applyFont="1" applyBorder="1" applyAlignment="1">
      <alignment horizontal="center" vertical="center"/>
    </xf>
    <xf numFmtId="166" fontId="142" fillId="0" borderId="94" xfId="352" applyNumberFormat="1" applyFont="1" applyBorder="1" applyAlignment="1">
      <alignment horizontal="center" vertical="center"/>
    </xf>
    <xf numFmtId="0" fontId="11" fillId="0" borderId="135" xfId="381" applyFont="1" applyBorder="1" applyAlignment="1">
      <alignment horizontal="center"/>
    </xf>
    <xf numFmtId="0" fontId="11" fillId="0" borderId="0" xfId="381" applyFont="1" applyAlignment="1">
      <alignment horizontal="center" vertical="center"/>
    </xf>
    <xf numFmtId="0" fontId="11" fillId="0" borderId="0" xfId="381" applyFont="1" applyAlignment="1">
      <alignment horizontal="center"/>
    </xf>
    <xf numFmtId="0" fontId="11" fillId="0" borderId="11" xfId="381" applyFont="1" applyBorder="1" applyAlignment="1">
      <alignment horizontal="center" vertical="center" wrapText="1"/>
    </xf>
    <xf numFmtId="0" fontId="11" fillId="0" borderId="0" xfId="381" applyFont="1" applyAlignment="1">
      <alignment horizontal="center" vertical="center" wrapText="1"/>
    </xf>
    <xf numFmtId="0" fontId="4" fillId="0" borderId="0" xfId="0" applyFont="1" applyAlignment="1">
      <alignment horizontal="center" vertical="center" wrapText="1"/>
    </xf>
    <xf numFmtId="0" fontId="246" fillId="0" borderId="7" xfId="2" applyFont="1" applyBorder="1" applyAlignment="1">
      <alignment horizontal="center" vertical="center" wrapText="1"/>
    </xf>
    <xf numFmtId="0" fontId="246" fillId="0" borderId="72" xfId="2" applyFont="1" applyBorder="1" applyAlignment="1">
      <alignment horizontal="center" vertical="center" wrapText="1"/>
    </xf>
    <xf numFmtId="0" fontId="11" fillId="3" borderId="11" xfId="381" applyFont="1" applyFill="1" applyBorder="1" applyAlignment="1">
      <alignment horizontal="center" vertical="center" wrapText="1"/>
    </xf>
    <xf numFmtId="0" fontId="18" fillId="0" borderId="11" xfId="381" applyFont="1" applyBorder="1" applyAlignment="1">
      <alignment horizontal="center" vertical="center" wrapText="1"/>
    </xf>
    <xf numFmtId="0" fontId="120" fillId="0" borderId="24" xfId="0" applyFont="1" applyBorder="1" applyAlignment="1">
      <alignment horizontal="center" vertical="center" wrapText="1" shrinkToFit="1"/>
    </xf>
    <xf numFmtId="0" fontId="120" fillId="0" borderId="8" xfId="0" applyFont="1" applyBorder="1" applyAlignment="1">
      <alignment horizontal="center" vertical="center" wrapText="1" shrinkToFit="1"/>
    </xf>
    <xf numFmtId="0" fontId="120" fillId="0" borderId="9" xfId="0" applyFont="1" applyBorder="1" applyAlignment="1">
      <alignment horizontal="center" vertical="center" wrapText="1" shrinkToFit="1"/>
    </xf>
    <xf numFmtId="0" fontId="120" fillId="0" borderId="123" xfId="0" applyFont="1" applyBorder="1" applyAlignment="1">
      <alignment horizontal="center" vertical="center" wrapText="1" shrinkToFit="1"/>
    </xf>
    <xf numFmtId="0" fontId="120" fillId="0" borderId="67" xfId="0" applyFont="1" applyBorder="1" applyAlignment="1">
      <alignment horizontal="center" vertical="center" wrapText="1" shrinkToFit="1"/>
    </xf>
    <xf numFmtId="0" fontId="120" fillId="0" borderId="34" xfId="0" applyFont="1" applyBorder="1" applyAlignment="1">
      <alignment horizontal="center" vertical="center" wrapText="1" shrinkToFit="1"/>
    </xf>
    <xf numFmtId="0" fontId="120" fillId="0" borderId="94" xfId="0" applyFont="1" applyBorder="1" applyAlignment="1">
      <alignment horizontal="center" vertical="center" wrapText="1" shrinkToFit="1"/>
    </xf>
    <xf numFmtId="0" fontId="246" fillId="0" borderId="22" xfId="2" applyFont="1" applyBorder="1" applyAlignment="1">
      <alignment horizontal="center" vertical="center" wrapText="1" shrinkToFit="1"/>
    </xf>
    <xf numFmtId="0" fontId="246" fillId="0" borderId="24" xfId="2" applyFont="1" applyBorder="1" applyAlignment="1">
      <alignment horizontal="center" vertical="center" wrapText="1" shrinkToFit="1"/>
    </xf>
    <xf numFmtId="0" fontId="120" fillId="0" borderId="27" xfId="0" applyFont="1" applyBorder="1" applyAlignment="1">
      <alignment horizontal="center" vertical="center" wrapText="1" shrinkToFit="1"/>
    </xf>
    <xf numFmtId="0" fontId="120" fillId="0" borderId="36" xfId="0" applyFont="1" applyBorder="1" applyAlignment="1">
      <alignment horizontal="center" vertical="center" wrapText="1" shrinkToFit="1"/>
    </xf>
    <xf numFmtId="0" fontId="120" fillId="0" borderId="37" xfId="0" applyFont="1" applyBorder="1" applyAlignment="1">
      <alignment horizontal="center" vertical="center"/>
    </xf>
    <xf numFmtId="0" fontId="32" fillId="0" borderId="0" xfId="0"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horizontal="center" vertical="center"/>
    </xf>
    <xf numFmtId="0" fontId="120" fillId="0" borderId="0" xfId="0" applyFont="1" applyAlignment="1">
      <alignment horizontal="right" vertical="center"/>
    </xf>
    <xf numFmtId="0" fontId="11" fillId="0" borderId="1"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21" fillId="0" borderId="182" xfId="0" applyFont="1" applyBorder="1" applyAlignment="1">
      <alignment horizontal="center" vertical="center"/>
    </xf>
    <xf numFmtId="0" fontId="121" fillId="0" borderId="183" xfId="0" applyFont="1" applyBorder="1" applyAlignment="1">
      <alignment horizontal="center" vertical="center"/>
    </xf>
    <xf numFmtId="0" fontId="121" fillId="0" borderId="72" xfId="0" applyFont="1" applyBorder="1" applyAlignment="1">
      <alignment horizontal="center"/>
    </xf>
    <xf numFmtId="0" fontId="121" fillId="0" borderId="72" xfId="0" applyFont="1" applyBorder="1" applyAlignment="1">
      <alignment horizontal="center" vertical="center" wrapText="1"/>
    </xf>
    <xf numFmtId="0" fontId="121" fillId="0" borderId="131" xfId="2" applyFont="1" applyFill="1" applyBorder="1" applyAlignment="1">
      <alignment horizontal="center" vertical="center" wrapText="1"/>
    </xf>
    <xf numFmtId="0" fontId="121" fillId="0" borderId="1" xfId="0" applyFont="1" applyBorder="1" applyAlignment="1">
      <alignment horizontal="center" vertical="center" wrapText="1"/>
    </xf>
    <xf numFmtId="3" fontId="121" fillId="0" borderId="209" xfId="0" applyNumberFormat="1" applyFont="1" applyBorder="1" applyAlignment="1">
      <alignment horizontal="center" vertical="center" wrapText="1" shrinkToFit="1"/>
    </xf>
    <xf numFmtId="3" fontId="121" fillId="0" borderId="204" xfId="0" applyNumberFormat="1" applyFont="1" applyBorder="1" applyAlignment="1">
      <alignment horizontal="center" vertical="center" wrapText="1" shrinkToFit="1"/>
    </xf>
    <xf numFmtId="0" fontId="120" fillId="0" borderId="214" xfId="0" applyFont="1" applyBorder="1" applyAlignment="1">
      <alignment horizontal="center" vertical="center"/>
    </xf>
    <xf numFmtId="0" fontId="120" fillId="0" borderId="215" xfId="0" applyFont="1" applyBorder="1" applyAlignment="1">
      <alignment horizontal="center" vertical="center"/>
    </xf>
    <xf numFmtId="0" fontId="11" fillId="0" borderId="11" xfId="0" applyFont="1" applyBorder="1" applyAlignment="1">
      <alignment horizontal="center" vertical="center"/>
    </xf>
    <xf numFmtId="0" fontId="216" fillId="0" borderId="0" xfId="0" applyFont="1" applyAlignment="1">
      <alignment horizontal="center"/>
    </xf>
    <xf numFmtId="0" fontId="218" fillId="0" borderId="7" xfId="2" applyFont="1" applyBorder="1" applyAlignment="1">
      <alignment horizontal="center" vertical="center" wrapText="1"/>
    </xf>
    <xf numFmtId="0" fontId="218" fillId="0" borderId="1" xfId="2" applyFont="1" applyBorder="1" applyAlignment="1">
      <alignment horizontal="center" vertical="center" wrapText="1"/>
    </xf>
    <xf numFmtId="0" fontId="218" fillId="0" borderId="72" xfId="2" applyFont="1" applyBorder="1" applyAlignment="1">
      <alignment horizontal="center" vertical="center" wrapText="1"/>
    </xf>
    <xf numFmtId="0" fontId="21" fillId="0" borderId="133" xfId="0" applyFont="1" applyBorder="1" applyAlignment="1">
      <alignment horizontal="right"/>
    </xf>
    <xf numFmtId="3" fontId="3" fillId="0" borderId="11" xfId="2" applyNumberFormat="1" applyFont="1" applyBorder="1" applyAlignment="1">
      <alignment horizontal="center" vertical="center" wrapText="1"/>
    </xf>
    <xf numFmtId="0" fontId="3" fillId="0" borderId="73" xfId="2" applyFont="1" applyBorder="1" applyAlignment="1">
      <alignment horizontal="center" vertical="center"/>
    </xf>
    <xf numFmtId="0" fontId="3" fillId="0" borderId="74" xfId="2" applyFont="1" applyBorder="1" applyAlignment="1">
      <alignment horizontal="center" vertical="center"/>
    </xf>
    <xf numFmtId="0" fontId="11" fillId="0" borderId="71" xfId="0" applyFont="1" applyBorder="1" applyAlignment="1">
      <alignment horizontal="center" vertical="center"/>
    </xf>
    <xf numFmtId="0" fontId="3" fillId="27" borderId="11" xfId="2"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xf>
    <xf numFmtId="3" fontId="120" fillId="0" borderId="17" xfId="0" applyNumberFormat="1" applyFont="1" applyBorder="1" applyAlignment="1">
      <alignment horizontal="center" vertical="center" wrapText="1"/>
    </xf>
    <xf numFmtId="3" fontId="120" fillId="0" borderId="144" xfId="0" applyNumberFormat="1" applyFont="1" applyBorder="1" applyAlignment="1">
      <alignment horizontal="center" wrapText="1"/>
    </xf>
    <xf numFmtId="3" fontId="120" fillId="0" borderId="145" xfId="0" applyNumberFormat="1" applyFont="1" applyBorder="1" applyAlignment="1">
      <alignment horizontal="center" wrapText="1"/>
    </xf>
    <xf numFmtId="3" fontId="120" fillId="0" borderId="146" xfId="0" applyNumberFormat="1" applyFont="1" applyBorder="1" applyAlignment="1">
      <alignment horizontal="center" wrapText="1"/>
    </xf>
    <xf numFmtId="3" fontId="120" fillId="0" borderId="144" xfId="0" applyNumberFormat="1" applyFont="1" applyBorder="1" applyAlignment="1">
      <alignment horizontal="center" vertical="center" wrapText="1"/>
    </xf>
    <xf numFmtId="3" fontId="120" fillId="0" borderId="145" xfId="0" applyNumberFormat="1" applyFont="1" applyBorder="1" applyAlignment="1">
      <alignment horizontal="center" vertical="center" wrapText="1"/>
    </xf>
    <xf numFmtId="3" fontId="120" fillId="0" borderId="146" xfId="0" applyNumberFormat="1" applyFont="1" applyBorder="1" applyAlignment="1">
      <alignment horizontal="center" vertical="center" wrapText="1"/>
    </xf>
    <xf numFmtId="3" fontId="120" fillId="0" borderId="64" xfId="0" applyNumberFormat="1" applyFont="1" applyBorder="1" applyAlignment="1">
      <alignment horizontal="center" vertical="center" shrinkToFit="1"/>
    </xf>
    <xf numFmtId="3" fontId="120" fillId="0" borderId="64" xfId="0" applyNumberFormat="1" applyFont="1" applyBorder="1" applyAlignment="1">
      <alignment horizontal="center" vertical="center" wrapText="1"/>
    </xf>
    <xf numFmtId="3" fontId="121" fillId="0" borderId="17" xfId="0" applyNumberFormat="1" applyFont="1" applyBorder="1" applyAlignment="1">
      <alignment horizontal="center" vertical="center" wrapText="1" shrinkToFit="1"/>
    </xf>
    <xf numFmtId="3" fontId="127" fillId="0" borderId="130" xfId="2" applyNumberFormat="1" applyFont="1" applyFill="1" applyBorder="1" applyAlignment="1">
      <alignment horizontal="center" vertical="center" shrinkToFit="1"/>
    </xf>
    <xf numFmtId="3" fontId="127" fillId="0" borderId="131" xfId="2" applyNumberFormat="1" applyFont="1" applyFill="1" applyBorder="1" applyAlignment="1">
      <alignment horizontal="center" vertical="center" shrinkToFit="1"/>
    </xf>
    <xf numFmtId="3" fontId="121" fillId="0" borderId="17" xfId="0" applyNumberFormat="1" applyFont="1" applyBorder="1" applyAlignment="1">
      <alignment horizontal="center" vertical="center" shrinkToFit="1"/>
    </xf>
    <xf numFmtId="3" fontId="121" fillId="0" borderId="11" xfId="0" applyNumberFormat="1" applyFont="1" applyBorder="1" applyAlignment="1">
      <alignment horizontal="center" vertical="center" shrinkToFit="1"/>
    </xf>
    <xf numFmtId="3" fontId="121" fillId="0" borderId="0" xfId="0" applyNumberFormat="1" applyFont="1" applyAlignment="1">
      <alignment horizontal="center" vertical="center" wrapText="1"/>
    </xf>
    <xf numFmtId="3" fontId="135" fillId="0" borderId="0" xfId="0" applyNumberFormat="1" applyFont="1" applyAlignment="1">
      <alignment horizontal="center" vertical="center" wrapText="1"/>
    </xf>
    <xf numFmtId="0" fontId="135" fillId="0" borderId="0" xfId="0" applyFont="1" applyAlignment="1">
      <alignment horizontal="center" vertical="center" wrapText="1"/>
    </xf>
    <xf numFmtId="3" fontId="121" fillId="0" borderId="0" xfId="0" applyNumberFormat="1" applyFont="1" applyAlignment="1">
      <alignment horizontal="right"/>
    </xf>
    <xf numFmtId="3" fontId="121" fillId="0" borderId="64" xfId="0" applyNumberFormat="1" applyFont="1" applyBorder="1" applyAlignment="1">
      <alignment horizontal="center" vertical="center" wrapText="1" shrinkToFit="1"/>
    </xf>
    <xf numFmtId="3" fontId="121" fillId="0" borderId="180" xfId="0" applyNumberFormat="1" applyFont="1" applyBorder="1" applyAlignment="1">
      <alignment horizontal="center" vertical="center" wrapText="1" shrinkToFit="1"/>
    </xf>
    <xf numFmtId="3" fontId="121" fillId="0" borderId="146" xfId="0" applyNumberFormat="1" applyFont="1" applyBorder="1" applyAlignment="1">
      <alignment horizontal="center" vertical="center" wrapText="1" shrinkToFit="1"/>
    </xf>
    <xf numFmtId="3" fontId="121" fillId="0" borderId="0" xfId="0" applyNumberFormat="1" applyFont="1" applyAlignment="1">
      <alignment horizontal="center" wrapText="1"/>
    </xf>
    <xf numFmtId="3" fontId="121" fillId="0" borderId="0" xfId="0" applyNumberFormat="1" applyFont="1" applyAlignment="1">
      <alignment horizontal="center"/>
    </xf>
    <xf numFmtId="0" fontId="121" fillId="0" borderId="0" xfId="0" applyFont="1" applyAlignment="1">
      <alignment horizontal="justify" vertical="justify" wrapText="1" shrinkToFit="1"/>
    </xf>
    <xf numFmtId="0" fontId="130" fillId="0" borderId="0" xfId="0" applyFont="1" applyAlignment="1">
      <alignment horizontal="left" shrinkToFit="1"/>
    </xf>
    <xf numFmtId="0" fontId="122" fillId="0" borderId="0" xfId="0" quotePrefix="1" applyFont="1" applyAlignment="1">
      <alignment horizontal="justify" vertical="justify" wrapText="1"/>
    </xf>
    <xf numFmtId="0" fontId="122" fillId="0" borderId="0" xfId="0" applyFont="1" applyAlignment="1">
      <alignment horizontal="justify" vertical="justify" wrapText="1"/>
    </xf>
    <xf numFmtId="0" fontId="121" fillId="0" borderId="0" xfId="0" applyFont="1" applyAlignment="1">
      <alignment horizontal="left" vertical="justify" wrapText="1" shrinkToFit="1"/>
    </xf>
    <xf numFmtId="0" fontId="122" fillId="0" borderId="0" xfId="0" applyFont="1" applyAlignment="1">
      <alignment horizontal="left" vertical="top" wrapText="1"/>
    </xf>
    <xf numFmtId="0" fontId="121" fillId="0" borderId="0" xfId="0" applyFont="1" applyAlignment="1">
      <alignment horizontal="left" vertical="top" wrapText="1"/>
    </xf>
    <xf numFmtId="0" fontId="122" fillId="0" borderId="0" xfId="0" quotePrefix="1" applyFont="1" applyAlignment="1">
      <alignment horizontal="left" vertical="top" shrinkToFit="1"/>
    </xf>
    <xf numFmtId="0" fontId="121" fillId="0" borderId="0" xfId="0" applyFont="1" applyAlignment="1">
      <alignment horizontal="left" vertical="justify" wrapText="1"/>
    </xf>
    <xf numFmtId="0" fontId="122" fillId="0" borderId="0" xfId="0" quotePrefix="1" applyFont="1" applyAlignment="1">
      <alignment horizontal="left"/>
    </xf>
    <xf numFmtId="0" fontId="122" fillId="0" borderId="0" xfId="0" applyFont="1" applyAlignment="1">
      <alignment horizontal="left"/>
    </xf>
    <xf numFmtId="0" fontId="121" fillId="0" borderId="0" xfId="0" applyFont="1" applyAlignment="1">
      <alignment horizontal="left" vertical="center" wrapText="1"/>
    </xf>
    <xf numFmtId="0" fontId="122" fillId="0" borderId="0" xfId="0" quotePrefix="1" applyFont="1" applyAlignment="1">
      <alignment horizontal="justify" vertical="center" wrapText="1"/>
    </xf>
    <xf numFmtId="0" fontId="122" fillId="0" borderId="0" xfId="0" applyFont="1" applyAlignment="1">
      <alignment horizontal="justify" vertical="center" wrapText="1"/>
    </xf>
    <xf numFmtId="0" fontId="32" fillId="0" borderId="0" xfId="0" applyFont="1" applyAlignment="1">
      <alignment horizontal="left" vertical="justify" wrapText="1" shrinkToFit="1"/>
    </xf>
    <xf numFmtId="0" fontId="141" fillId="0" borderId="0" xfId="0" applyFont="1" applyAlignment="1">
      <alignment horizontal="justify" vertical="center"/>
    </xf>
    <xf numFmtId="0" fontId="32" fillId="0" borderId="0" xfId="0" applyFont="1" applyAlignment="1">
      <alignment horizontal="justify" vertical="justify" wrapText="1" shrinkToFit="1"/>
    </xf>
    <xf numFmtId="0" fontId="32" fillId="0" borderId="0" xfId="0" applyFont="1" applyAlignment="1">
      <alignment horizontal="left"/>
    </xf>
    <xf numFmtId="0" fontId="32" fillId="0" borderId="0" xfId="0" applyFont="1" applyAlignment="1">
      <alignment horizontal="left" vertical="top" wrapText="1"/>
    </xf>
    <xf numFmtId="0" fontId="120" fillId="0" borderId="0" xfId="0" applyFont="1" applyAlignment="1">
      <alignment horizontal="left" vertical="top" wrapText="1"/>
    </xf>
    <xf numFmtId="0" fontId="144" fillId="0" borderId="0" xfId="0" applyFont="1" applyAlignment="1">
      <alignment horizontal="justify" vertical="center"/>
    </xf>
    <xf numFmtId="0" fontId="120" fillId="0" borderId="0" xfId="0" applyFont="1" applyAlignment="1">
      <alignment horizontal="left" vertical="justify" wrapText="1"/>
    </xf>
    <xf numFmtId="0" fontId="152" fillId="0" borderId="0" xfId="0" applyFont="1" applyAlignment="1">
      <alignment horizontal="left" wrapText="1"/>
    </xf>
    <xf numFmtId="0" fontId="152" fillId="0" borderId="0" xfId="0" applyFont="1" applyAlignment="1">
      <alignment horizontal="left" vertical="center" wrapText="1"/>
    </xf>
    <xf numFmtId="0" fontId="144" fillId="0" borderId="0" xfId="0" applyFont="1" applyAlignment="1">
      <alignment horizontal="left" vertical="top" wrapText="1"/>
    </xf>
    <xf numFmtId="0" fontId="152" fillId="0" borderId="0" xfId="0" applyFont="1" applyAlignment="1">
      <alignment horizontal="left" vertical="top" wrapText="1"/>
    </xf>
    <xf numFmtId="0" fontId="144" fillId="0" borderId="0" xfId="0" applyFont="1" applyAlignment="1">
      <alignment horizontal="justify" vertical="justify" wrapText="1"/>
    </xf>
    <xf numFmtId="0" fontId="141" fillId="0" borderId="0" xfId="0" applyFont="1" applyAlignment="1">
      <alignment horizontal="justify" vertical="justify" wrapText="1"/>
    </xf>
    <xf numFmtId="0" fontId="152" fillId="0" borderId="0" xfId="0" applyFont="1" applyAlignment="1">
      <alignment horizontal="justify" vertical="justify" wrapText="1"/>
    </xf>
    <xf numFmtId="0" fontId="144" fillId="0" borderId="0" xfId="0" quotePrefix="1" applyFont="1" applyAlignment="1">
      <alignment horizontal="justify" vertical="justify" wrapText="1"/>
    </xf>
    <xf numFmtId="0" fontId="141" fillId="0" borderId="0" xfId="0" applyFont="1" applyAlignment="1">
      <alignment horizontal="left" vertical="justify" wrapText="1" shrinkToFit="1"/>
    </xf>
    <xf numFmtId="0" fontId="142" fillId="0" borderId="0" xfId="0" applyFont="1" applyAlignment="1">
      <alignment horizontal="justify" vertical="justify" wrapText="1"/>
    </xf>
    <xf numFmtId="0" fontId="141" fillId="0" borderId="0" xfId="0" applyFont="1" applyAlignment="1">
      <alignment horizontal="justify" vertical="justify" wrapText="1" shrinkToFit="1"/>
    </xf>
    <xf numFmtId="0" fontId="141" fillId="0" borderId="0" xfId="0" quotePrefix="1" applyFont="1" applyAlignment="1">
      <alignment horizontal="justify" vertical="justify" wrapText="1"/>
    </xf>
    <xf numFmtId="0" fontId="142" fillId="0" borderId="0" xfId="0" applyFont="1" applyAlignment="1">
      <alignment horizontal="left" vertical="justify" wrapText="1"/>
    </xf>
    <xf numFmtId="0" fontId="32" fillId="0" borderId="0" xfId="0" applyFont="1" applyAlignment="1">
      <alignment horizontal="left" vertical="justify"/>
    </xf>
    <xf numFmtId="0" fontId="141" fillId="0" borderId="0" xfId="0" applyFont="1" applyAlignment="1">
      <alignment horizontal="justify" vertical="center" wrapText="1"/>
    </xf>
    <xf numFmtId="0" fontId="152" fillId="0" borderId="0" xfId="0" applyFont="1" applyAlignment="1">
      <alignment horizontal="left"/>
    </xf>
    <xf numFmtId="0" fontId="144" fillId="0" borderId="0" xfId="0" quotePrefix="1" applyFont="1" applyAlignment="1">
      <alignment horizontal="left" vertical="top" wrapText="1"/>
    </xf>
    <xf numFmtId="0" fontId="141" fillId="0" borderId="0" xfId="0" quotePrefix="1" applyFont="1" applyAlignment="1">
      <alignment horizontal="justify" vertical="center" wrapText="1"/>
    </xf>
    <xf numFmtId="3" fontId="120" fillId="0" borderId="0" xfId="412" applyNumberFormat="1" applyFont="1" applyAlignment="1">
      <alignment horizontal="center" wrapText="1"/>
    </xf>
    <xf numFmtId="3" fontId="120" fillId="0" borderId="129" xfId="412" applyNumberFormat="1" applyFont="1" applyBorder="1" applyAlignment="1">
      <alignment horizontal="right"/>
    </xf>
    <xf numFmtId="0" fontId="120" fillId="0" borderId="17" xfId="412" applyFont="1" applyBorder="1" applyAlignment="1">
      <alignment horizontal="center" vertical="center" wrapText="1"/>
    </xf>
    <xf numFmtId="0" fontId="120" fillId="0" borderId="11" xfId="412" applyFont="1" applyBorder="1" applyAlignment="1">
      <alignment horizontal="center" vertical="center" wrapText="1"/>
    </xf>
    <xf numFmtId="3" fontId="120" fillId="0" borderId="64" xfId="412" applyNumberFormat="1" applyFont="1" applyBorder="1" applyAlignment="1">
      <alignment horizontal="center" vertical="center" wrapText="1"/>
    </xf>
    <xf numFmtId="0" fontId="32" fillId="0" borderId="18" xfId="412" applyFont="1" applyBorder="1" applyAlignment="1">
      <alignment horizontal="center" vertical="center" wrapText="1"/>
    </xf>
    <xf numFmtId="0" fontId="134" fillId="0" borderId="0" xfId="0" applyFont="1" applyAlignment="1">
      <alignment horizontal="left"/>
    </xf>
    <xf numFmtId="3" fontId="32" fillId="0" borderId="0" xfId="0" applyNumberFormat="1" applyFont="1" applyAlignment="1">
      <alignment horizontal="center" wrapText="1"/>
    </xf>
    <xf numFmtId="0" fontId="127" fillId="0" borderId="131" xfId="2" applyFont="1" applyBorder="1" applyAlignment="1">
      <alignment horizontal="center" vertical="center"/>
    </xf>
    <xf numFmtId="0" fontId="120" fillId="0" borderId="64" xfId="0" applyFont="1" applyBorder="1" applyAlignment="1">
      <alignment horizontal="center"/>
    </xf>
    <xf numFmtId="0" fontId="120" fillId="0" borderId="18" xfId="0" applyFont="1" applyBorder="1" applyAlignment="1">
      <alignment horizontal="center"/>
    </xf>
  </cellXfs>
  <cellStyles count="416">
    <cellStyle name="??" xfId="27"/>
    <cellStyle name="?? [0.00]_ Att. 1- Cover" xfId="28"/>
    <cellStyle name="?? [0]" xfId="29"/>
    <cellStyle name="?_x001d_??%U©÷u&amp;H©÷9_x0008_?_x0009_s_x000a__x0007__x0001__x0001_" xfId="30"/>
    <cellStyle name="???? [0.00]_PRODUCT DETAIL Q1" xfId="31"/>
    <cellStyle name="????_PRODUCT DETAIL Q1" xfId="32"/>
    <cellStyle name="???[0]_?? DI" xfId="33"/>
    <cellStyle name="???_?? DI" xfId="34"/>
    <cellStyle name="??[0]_BRE" xfId="35"/>
    <cellStyle name="??_ Att. 1- Cover" xfId="36"/>
    <cellStyle name="??A? [0]_ÿÿÿÿÿÿ_1_¢¬???¢â? " xfId="37"/>
    <cellStyle name="??A?_ÿÿÿÿÿÿ_1_¢¬???¢â? " xfId="38"/>
    <cellStyle name="?¡±¢¥?_?¨ù??¢´¢¥_¢¬???¢â? " xfId="39"/>
    <cellStyle name="?ðÇ%U?&amp;H?_x0008_?s_x000a__x0007__x0001__x0001_" xfId="40"/>
    <cellStyle name="_Bang Chi tieu (2)" xfId="41"/>
    <cellStyle name="~1" xfId="42"/>
    <cellStyle name="1" xfId="43"/>
    <cellStyle name="¹éºÐÀ²_±âÅ¸" xfId="44"/>
    <cellStyle name="2" xfId="45"/>
    <cellStyle name="3" xfId="46"/>
    <cellStyle name="4" xfId="47"/>
    <cellStyle name="ÅëÈ­ [0]_¿ì¹°Åë" xfId="48"/>
    <cellStyle name="AeE­ [0]_INQUIRY ¿?¾÷AßAø " xfId="49"/>
    <cellStyle name="ÅëÈ­ [0]_laroux" xfId="50"/>
    <cellStyle name="ÅëÈ­_¿ì¹°Åë" xfId="51"/>
    <cellStyle name="AeE­_INQUIRY ¿?¾÷AßAø " xfId="52"/>
    <cellStyle name="ÅëÈ­_laroux" xfId="53"/>
    <cellStyle name="args.style" xfId="54"/>
    <cellStyle name="ÄÞ¸¶ [0]_¿ì¹°Åë" xfId="55"/>
    <cellStyle name="AÞ¸¶ [0]_INQUIRY ¿?¾÷AßAø " xfId="56"/>
    <cellStyle name="ÄÞ¸¶ [0]_laroux" xfId="57"/>
    <cellStyle name="ÄÞ¸¶_¿ì¹°Åë" xfId="58"/>
    <cellStyle name="AÞ¸¶_INQUIRY ¿?¾÷AßAø " xfId="59"/>
    <cellStyle name="ÄÞ¸¶_laroux" xfId="60"/>
    <cellStyle name="Body" xfId="61"/>
    <cellStyle name="C?AØ_¿?¾÷CoE² " xfId="62"/>
    <cellStyle name="Ç¥ÁØ_´çÃÊ±¸ÀÔ»ý»ê" xfId="63"/>
    <cellStyle name="C￥AØ_¿μ¾÷CoE² " xfId="64"/>
    <cellStyle name="Ç¥ÁØ_±³°¢¼ö·®" xfId="65"/>
    <cellStyle name="C￥AØ_Sheet1_¿μ¾÷CoE² " xfId="66"/>
    <cellStyle name="Calc Currency (0)" xfId="67"/>
    <cellStyle name="Calc Currency (2)" xfId="68"/>
    <cellStyle name="Calc Percent (0)" xfId="69"/>
    <cellStyle name="Calc Percent (1)" xfId="70"/>
    <cellStyle name="Calc Percent (2)" xfId="71"/>
    <cellStyle name="Calc Units (0)" xfId="72"/>
    <cellStyle name="Calc Units (1)" xfId="73"/>
    <cellStyle name="Calc Units (2)" xfId="74"/>
    <cellStyle name="category" xfId="75"/>
    <cellStyle name="Chi phÝ kh¸c_Book1" xfId="76"/>
    <cellStyle name="Comma" xfId="1" builtinId="3"/>
    <cellStyle name="Comma  - Style1" xfId="77"/>
    <cellStyle name="Comma  - Style2" xfId="78"/>
    <cellStyle name="Comma  - Style3" xfId="79"/>
    <cellStyle name="Comma  - Style4" xfId="80"/>
    <cellStyle name="Comma  - Style5" xfId="81"/>
    <cellStyle name="Comma  - Style6" xfId="82"/>
    <cellStyle name="Comma  - Style7" xfId="83"/>
    <cellStyle name="Comma  - Style8" xfId="84"/>
    <cellStyle name="Comma [0]" xfId="415" builtinId="6"/>
    <cellStyle name="Comma [00]" xfId="85"/>
    <cellStyle name="Comma 10" xfId="14"/>
    <cellStyle name="Comma 10 2 2" xfId="350"/>
    <cellStyle name="Comma 11" xfId="308"/>
    <cellStyle name="Comma 12" xfId="17"/>
    <cellStyle name="Comma 13" xfId="10"/>
    <cellStyle name="Comma 14" xfId="19"/>
    <cellStyle name="Comma 15" xfId="309"/>
    <cellStyle name="Comma 16" xfId="310"/>
    <cellStyle name="Comma 17" xfId="311"/>
    <cellStyle name="Comma 18" xfId="312"/>
    <cellStyle name="Comma 19" xfId="313"/>
    <cellStyle name="Comma 2" xfId="264"/>
    <cellStyle name="Comma 2 2" xfId="23"/>
    <cellStyle name="Comma 2 2 2" xfId="384"/>
    <cellStyle name="Comma 2 2 2 10" xfId="403"/>
    <cellStyle name="Comma 2 3" xfId="349"/>
    <cellStyle name="Comma 2 3 2" xfId="21"/>
    <cellStyle name="Comma 2 4" xfId="383"/>
    <cellStyle name="Comma 20" xfId="341"/>
    <cellStyle name="Comma 21" xfId="344"/>
    <cellStyle name="Comma 22" xfId="345"/>
    <cellStyle name="Comma 23" xfId="346"/>
    <cellStyle name="Comma 24" xfId="353"/>
    <cellStyle name="Comma 25" xfId="363"/>
    <cellStyle name="Comma 26" xfId="364"/>
    <cellStyle name="Comma 27" xfId="365"/>
    <cellStyle name="Comma 28" xfId="367"/>
    <cellStyle name="Comma 29" xfId="366"/>
    <cellStyle name="Comma 3" xfId="86"/>
    <cellStyle name="Comma 3 2" xfId="348"/>
    <cellStyle name="Comma 3 3" xfId="385"/>
    <cellStyle name="Comma 30" xfId="368"/>
    <cellStyle name="Comma 31" xfId="369"/>
    <cellStyle name="Comma 32" xfId="370"/>
    <cellStyle name="Comma 33" xfId="371"/>
    <cellStyle name="Comma 34" xfId="372"/>
    <cellStyle name="Comma 35" xfId="373"/>
    <cellStyle name="Comma 36" xfId="374"/>
    <cellStyle name="Comma 37" xfId="375"/>
    <cellStyle name="Comma 38" xfId="376"/>
    <cellStyle name="Comma 39" xfId="377"/>
    <cellStyle name="Comma 4" xfId="268"/>
    <cellStyle name="Comma 4 2" xfId="387"/>
    <cellStyle name="Comma 4 3" xfId="386"/>
    <cellStyle name="Comma 40" xfId="378"/>
    <cellStyle name="Comma 41" xfId="379"/>
    <cellStyle name="Comma 42" xfId="380"/>
    <cellStyle name="Comma 5" xfId="303"/>
    <cellStyle name="Comma 5 2" xfId="389"/>
    <cellStyle name="Comma 5 3" xfId="388"/>
    <cellStyle name="Comma 6" xfId="304"/>
    <cellStyle name="Comma 6 2" xfId="390"/>
    <cellStyle name="Comma 7" xfId="305"/>
    <cellStyle name="Comma 7 2" xfId="391"/>
    <cellStyle name="Comma 7 3" xfId="382"/>
    <cellStyle name="Comma 8" xfId="306"/>
    <cellStyle name="Comma 9" xfId="307"/>
    <cellStyle name="comma zerodec" xfId="87"/>
    <cellStyle name="Comma0" xfId="88"/>
    <cellStyle name="Copied" xfId="89"/>
    <cellStyle name="Currency [00]" xfId="90"/>
    <cellStyle name="Currency0" xfId="91"/>
    <cellStyle name="Currency1" xfId="92"/>
    <cellStyle name="Date" xfId="93"/>
    <cellStyle name="Date Short" xfId="94"/>
    <cellStyle name="Dezimal [0]_NEGS" xfId="95"/>
    <cellStyle name="Dezimal_NEGS" xfId="96"/>
    <cellStyle name="Dollar (zero dec)" xfId="97"/>
    <cellStyle name="Dziesi?tny [0]_Invoices2001Slovakia" xfId="98"/>
    <cellStyle name="Dziesi?tny_Invoices2001Slovakia" xfId="99"/>
    <cellStyle name="Dziesietny [0]_Invoices2001Slovakia" xfId="100"/>
    <cellStyle name="Dziesiętny [0]_Invoices2001Slovakia" xfId="101"/>
    <cellStyle name="Dziesietny [0]_Invoices2001Slovakia_Book1" xfId="102"/>
    <cellStyle name="Dziesiętny [0]_Invoices2001Slovakia_Book1" xfId="103"/>
    <cellStyle name="Dziesietny [0]_Invoices2001Slovakia_Book1_Tong hop Cac tuyen(9-1-06)" xfId="104"/>
    <cellStyle name="Dziesiętny [0]_Invoices2001Slovakia_Book1_Tong hop Cac tuyen(9-1-06)" xfId="105"/>
    <cellStyle name="Dziesietny [0]_Invoices2001Slovakia_KL K.C mat duong" xfId="106"/>
    <cellStyle name="Dziesiętny [0]_Invoices2001Slovakia_Nhalamviec VTC(25-1-05)" xfId="107"/>
    <cellStyle name="Dziesietny [0]_Invoices2001Slovakia_TDT KHANH HOA" xfId="108"/>
    <cellStyle name="Dziesiętny [0]_Invoices2001Slovakia_TDT KHANH HOA" xfId="109"/>
    <cellStyle name="Dziesietny [0]_Invoices2001Slovakia_TDT KHANH HOA_Tong hop Cac tuyen(9-1-06)" xfId="110"/>
    <cellStyle name="Dziesiętny [0]_Invoices2001Slovakia_TDT KHANH HOA_Tong hop Cac tuyen(9-1-06)" xfId="111"/>
    <cellStyle name="Dziesietny [0]_Invoices2001Slovakia_TDT quangngai" xfId="112"/>
    <cellStyle name="Dziesiętny [0]_Invoices2001Slovakia_TDT quangngai" xfId="113"/>
    <cellStyle name="Dziesietny [0]_Invoices2001Slovakia_TDT quangngai 2" xfId="323"/>
    <cellStyle name="Dziesiętny [0]_Invoices2001Slovakia_TDT quangngai 2" xfId="324"/>
    <cellStyle name="Dziesietny [0]_Invoices2001Slovakia_TDT quangngai 3" xfId="333"/>
    <cellStyle name="Dziesiętny [0]_Invoices2001Slovakia_TDT quangngai 3" xfId="332"/>
    <cellStyle name="Dziesietny [0]_Invoices2001Slovakia_TDT quangngai 4" xfId="340"/>
    <cellStyle name="Dziesiętny [0]_Invoices2001Slovakia_TDT quangngai 4" xfId="337"/>
    <cellStyle name="Dziesietny [0]_Invoices2001Slovakia_TDT quangngai 5" xfId="326"/>
    <cellStyle name="Dziesiętny [0]_Invoices2001Slovakia_TDT quangngai 5" xfId="325"/>
    <cellStyle name="Dziesietny [0]_Invoices2001Slovakia_Tong hop Cac tuyen(9-1-06)" xfId="114"/>
    <cellStyle name="Dziesietny_Invoices2001Slovakia" xfId="115"/>
    <cellStyle name="Dziesiętny_Invoices2001Slovakia" xfId="116"/>
    <cellStyle name="Dziesietny_Invoices2001Slovakia_Book1" xfId="117"/>
    <cellStyle name="Dziesiętny_Invoices2001Slovakia_Book1" xfId="118"/>
    <cellStyle name="Dziesietny_Invoices2001Slovakia_Book1_Tong hop Cac tuyen(9-1-06)" xfId="119"/>
    <cellStyle name="Dziesiętny_Invoices2001Slovakia_Book1_Tong hop Cac tuyen(9-1-06)" xfId="120"/>
    <cellStyle name="Dziesietny_Invoices2001Slovakia_KL K.C mat duong" xfId="121"/>
    <cellStyle name="Dziesiętny_Invoices2001Slovakia_Nhalamviec VTC(25-1-05)" xfId="122"/>
    <cellStyle name="Dziesietny_Invoices2001Slovakia_TDT KHANH HOA" xfId="123"/>
    <cellStyle name="Dziesiętny_Invoices2001Slovakia_TDT KHANH HOA" xfId="124"/>
    <cellStyle name="Dziesietny_Invoices2001Slovakia_TDT KHANH HOA_Tong hop Cac tuyen(9-1-06)" xfId="125"/>
    <cellStyle name="Dziesiętny_Invoices2001Slovakia_TDT KHANH HOA_Tong hop Cac tuyen(9-1-06)" xfId="126"/>
    <cellStyle name="Dziesietny_Invoices2001Slovakia_TDT quangngai" xfId="127"/>
    <cellStyle name="Dziesiętny_Invoices2001Slovakia_TDT quangngai" xfId="128"/>
    <cellStyle name="Dziesietny_Invoices2001Slovakia_TDT quangngai 2" xfId="327"/>
    <cellStyle name="Dziesiętny_Invoices2001Slovakia_TDT quangngai 2" xfId="328"/>
    <cellStyle name="Dziesietny_Invoices2001Slovakia_TDT quangngai 3" xfId="330"/>
    <cellStyle name="Dziesiętny_Invoices2001Slovakia_TDT quangngai 3" xfId="329"/>
    <cellStyle name="Dziesietny_Invoices2001Slovakia_TDT quangngai 4" xfId="321"/>
    <cellStyle name="Dziesiętny_Invoices2001Slovakia_TDT quangngai 4" xfId="322"/>
    <cellStyle name="Dziesietny_Invoices2001Slovakia_TDT quangngai 5" xfId="319"/>
    <cellStyle name="Dziesiętny_Invoices2001Slovakia_TDT quangngai 5" xfId="318"/>
    <cellStyle name="Dziesietny_Invoices2001Slovakia_Tong hop Cac tuyen(9-1-06)" xfId="129"/>
    <cellStyle name="Enter Currency (0)" xfId="130"/>
    <cellStyle name="Enter Currency (2)" xfId="131"/>
    <cellStyle name="Enter Units (0)" xfId="132"/>
    <cellStyle name="Enter Units (1)" xfId="133"/>
    <cellStyle name="Enter Units (2)" xfId="134"/>
    <cellStyle name="Entered" xfId="135"/>
    <cellStyle name="Fixed" xfId="136"/>
    <cellStyle name="Grey" xfId="137"/>
    <cellStyle name="HAI" xfId="138"/>
    <cellStyle name="Head 1" xfId="139"/>
    <cellStyle name="HEADER" xfId="140"/>
    <cellStyle name="Header1" xfId="141"/>
    <cellStyle name="Header2" xfId="142"/>
    <cellStyle name="HEADING1" xfId="143"/>
    <cellStyle name="HEADING2" xfId="144"/>
    <cellStyle name="HEADINGS" xfId="145"/>
    <cellStyle name="HEADINGSTOP" xfId="146"/>
    <cellStyle name="headoption" xfId="147"/>
    <cellStyle name="Hoa-Scholl" xfId="148"/>
    <cellStyle name="Hyperlink" xfId="2" builtinId="8"/>
    <cellStyle name="Input [yellow]" xfId="149"/>
    <cellStyle name="khanh" xfId="150"/>
    <cellStyle name="Ledger 17 x 11 in" xfId="151"/>
    <cellStyle name="Link Currency (0)" xfId="152"/>
    <cellStyle name="Link Currency (2)" xfId="153"/>
    <cellStyle name="Link Units (0)" xfId="154"/>
    <cellStyle name="Link Units (1)" xfId="155"/>
    <cellStyle name="Link Units (2)" xfId="156"/>
    <cellStyle name="Millares [0]_Well Timing" xfId="157"/>
    <cellStyle name="Millares_Well Timing" xfId="158"/>
    <cellStyle name="Milliers [0]_      " xfId="159"/>
    <cellStyle name="Milliers_      " xfId="160"/>
    <cellStyle name="Model" xfId="161"/>
    <cellStyle name="moi" xfId="162"/>
    <cellStyle name="moi 2" xfId="288"/>
    <cellStyle name="moi 3" xfId="320"/>
    <cellStyle name="moi 4" xfId="331"/>
    <cellStyle name="Moneda [0]_Well Timing" xfId="163"/>
    <cellStyle name="Moneda_Well Timing" xfId="164"/>
    <cellStyle name="Monétaire [0]_      " xfId="165"/>
    <cellStyle name="Monétaire_      " xfId="166"/>
    <cellStyle name="n" xfId="167"/>
    <cellStyle name="New Times Roman" xfId="168"/>
    <cellStyle name="no dec" xfId="169"/>
    <cellStyle name="Normal" xfId="0" builtinId="0"/>
    <cellStyle name="Normal - Style1" xfId="170"/>
    <cellStyle name="Normal 10" xfId="171"/>
    <cellStyle name="Normal 11" xfId="269"/>
    <cellStyle name="Normal 119 2" xfId="407"/>
    <cellStyle name="Normal 12" xfId="302"/>
    <cellStyle name="Normal 13" xfId="267"/>
    <cellStyle name="Normal 14" xfId="274"/>
    <cellStyle name="Normal 15" xfId="11"/>
    <cellStyle name="Normal 153" xfId="401"/>
    <cellStyle name="Normal 153 2" xfId="402"/>
    <cellStyle name="Normal 16" xfId="297"/>
    <cellStyle name="Normal 16 2" xfId="392"/>
    <cellStyle name="Normal 17" xfId="281"/>
    <cellStyle name="Normal 18" xfId="289"/>
    <cellStyle name="Normal 19" xfId="286"/>
    <cellStyle name="Normal 2" xfId="6"/>
    <cellStyle name="Normal 2 2" xfId="15"/>
    <cellStyle name="Normal 2 2 2" xfId="26"/>
    <cellStyle name="Normal 2 2 7" xfId="408"/>
    <cellStyle name="Normal 2 3" xfId="354"/>
    <cellStyle name="Normal 2 3 3" xfId="22"/>
    <cellStyle name="Normal 2 4" xfId="12"/>
    <cellStyle name="Normal 2 5" xfId="393"/>
    <cellStyle name="Normal 2 6" xfId="8"/>
    <cellStyle name="Normal 2_TK hang nam" xfId="9"/>
    <cellStyle name="Normal 20" xfId="272"/>
    <cellStyle name="Normal 21" xfId="300"/>
    <cellStyle name="Normal 22" xfId="277"/>
    <cellStyle name="Normal 23" xfId="293"/>
    <cellStyle name="Normal 24" xfId="314"/>
    <cellStyle name="Normal 25" xfId="339"/>
    <cellStyle name="Normal 26" xfId="343"/>
    <cellStyle name="Normal 27" xfId="336"/>
    <cellStyle name="Normal 3" xfId="16"/>
    <cellStyle name="Normal 3 2" xfId="356"/>
    <cellStyle name="Normal 3 2 2" xfId="395"/>
    <cellStyle name="Normal 3 3" xfId="355"/>
    <cellStyle name="Normal 3 4" xfId="394"/>
    <cellStyle name="Normal 4" xfId="7"/>
    <cellStyle name="Normal 4 2" xfId="357"/>
    <cellStyle name="Normal 4 2 3" xfId="405"/>
    <cellStyle name="Normal 4 3" xfId="396"/>
    <cellStyle name="Normal 5" xfId="18"/>
    <cellStyle name="Normal 5 2" xfId="358"/>
    <cellStyle name="Normal 5 3" xfId="397"/>
    <cellStyle name="Normal 6" xfId="24"/>
    <cellStyle name="Normal 6 2" xfId="25"/>
    <cellStyle name="Normal 6 2 2" xfId="360"/>
    <cellStyle name="Normal 6 3" xfId="362"/>
    <cellStyle name="Normal 6 4" xfId="359"/>
    <cellStyle name="Normal 6 5" xfId="398"/>
    <cellStyle name="Normal 7" xfId="4"/>
    <cellStyle name="Normal 7 2" xfId="361"/>
    <cellStyle name="Normal 8" xfId="265"/>
    <cellStyle name="Normal 9" xfId="266"/>
    <cellStyle name="Normal_050723 Bieu mau che do chinh sach moi BSMT (tinh Yen Bai)" xfId="347"/>
    <cellStyle name="Normal_060331 Bieu tinh chi thuong xuyen NSDP 2007 theo DM bc TTg" xfId="413"/>
    <cellStyle name="Normal_060720 du toan chi NSDP vong I-2007 (DTHAP)" xfId="414"/>
    <cellStyle name="Normal_080626 BPTDPC ND 61 nam 2004-2007,Lg ND 166 nam 2008" xfId="409"/>
    <cellStyle name="Normal_Bieu so 2(DPsua)" xfId="381"/>
    <cellStyle name="Normal_Bieu so 2(DPsua) 2 2" xfId="410"/>
    <cellStyle name="Normal_DU TOAN  NSNN" xfId="412"/>
    <cellStyle name="Normal_DU TOAN NGAN SACH DIA PHUONG" xfId="411"/>
    <cellStyle name="Normal_In brief" xfId="352"/>
    <cellStyle name="Normal_nghi dinh 136" xfId="406"/>
    <cellStyle name="Normal_Sheet1" xfId="351"/>
    <cellStyle name="Normal_Sheet1 2" xfId="404"/>
    <cellStyle name="Normal1" xfId="172"/>
    <cellStyle name="Normalny_Cennik obowiazuje od 06-08-2001 r (1)" xfId="173"/>
    <cellStyle name="oft Excel]_x000d__x000a_Comment=open=/f ‚ðw’è‚·‚é‚ÆAƒ†[ƒU[’è‹`ŠÖ”‚ðŠÖ”“\‚è•t‚¯‚Ìˆê——‚É“o˜^‚·‚é‚±‚Æ‚ª‚Å‚«‚Ü‚·B_x000d__x000a_Maximized" xfId="174"/>
    <cellStyle name="oft Excel]_x000d__x000a_Comment=open=/f ‚ðŽw’è‚·‚é‚ÆAƒ†[ƒU[’è‹`ŠÖ”‚ðŠÖ”“\‚è•t‚¯‚Ìˆê——‚É“o˜^‚·‚é‚±‚Æ‚ª‚Å‚«‚Ü‚·B_x000d__x000a_Maximized" xfId="175"/>
    <cellStyle name="per.style" xfId="176"/>
    <cellStyle name="Percent" xfId="3" builtinId="5"/>
    <cellStyle name="Percent [0]" xfId="177"/>
    <cellStyle name="Percent [00]" xfId="178"/>
    <cellStyle name="Percent [2]" xfId="179"/>
    <cellStyle name="Percent 10" xfId="273"/>
    <cellStyle name="Percent 11" xfId="287"/>
    <cellStyle name="Percent 12" xfId="271"/>
    <cellStyle name="Percent 13" xfId="299"/>
    <cellStyle name="Percent 14" xfId="279"/>
    <cellStyle name="Percent 15" xfId="291"/>
    <cellStyle name="Percent 16" xfId="315"/>
    <cellStyle name="Percent 17" xfId="338"/>
    <cellStyle name="Percent 18" xfId="342"/>
    <cellStyle name="Percent 19" xfId="335"/>
    <cellStyle name="Percent 2" xfId="13"/>
    <cellStyle name="Percent 2 2" xfId="400"/>
    <cellStyle name="Percent 2 3" xfId="399"/>
    <cellStyle name="Percent 3" xfId="5"/>
    <cellStyle name="Percent 4" xfId="270"/>
    <cellStyle name="Percent 5" xfId="301"/>
    <cellStyle name="Percent 6" xfId="20"/>
    <cellStyle name="Percent 7" xfId="275"/>
    <cellStyle name="Percent 8" xfId="296"/>
    <cellStyle name="Percent 9" xfId="282"/>
    <cellStyle name="PERCENTAGE" xfId="180"/>
    <cellStyle name="PrePop Currency (0)" xfId="181"/>
    <cellStyle name="PrePop Currency (2)" xfId="182"/>
    <cellStyle name="PrePop Units (0)" xfId="183"/>
    <cellStyle name="PrePop Units (1)" xfId="184"/>
    <cellStyle name="PrePop Units (2)" xfId="185"/>
    <cellStyle name="pricing" xfId="186"/>
    <cellStyle name="PSChar" xfId="187"/>
    <cellStyle name="PSHeading" xfId="188"/>
    <cellStyle name="regstoresfromspecstores" xfId="189"/>
    <cellStyle name="RevList" xfId="190"/>
    <cellStyle name="SAPBEXaggData" xfId="191"/>
    <cellStyle name="SAPBEXaggDataEmph" xfId="192"/>
    <cellStyle name="SAPBEXaggItem" xfId="193"/>
    <cellStyle name="SAPBEXchaText" xfId="194"/>
    <cellStyle name="SAPBEXexcBad7" xfId="195"/>
    <cellStyle name="SAPBEXexcBad8" xfId="196"/>
    <cellStyle name="SAPBEXexcBad9" xfId="197"/>
    <cellStyle name="SAPBEXexcCritical4" xfId="198"/>
    <cellStyle name="SAPBEXexcCritical5" xfId="199"/>
    <cellStyle name="SAPBEXexcCritical6" xfId="200"/>
    <cellStyle name="SAPBEXexcGood1" xfId="201"/>
    <cellStyle name="SAPBEXexcGood2" xfId="202"/>
    <cellStyle name="SAPBEXexcGood3" xfId="203"/>
    <cellStyle name="SAPBEXfilterDrill" xfId="204"/>
    <cellStyle name="SAPBEXfilterItem" xfId="205"/>
    <cellStyle name="SAPBEXfilterText" xfId="206"/>
    <cellStyle name="SAPBEXformats" xfId="207"/>
    <cellStyle name="SAPBEXheaderItem" xfId="208"/>
    <cellStyle name="SAPBEXheaderText" xfId="209"/>
    <cellStyle name="SAPBEXresData" xfId="210"/>
    <cellStyle name="SAPBEXresDataEmph" xfId="211"/>
    <cellStyle name="SAPBEXresItem" xfId="212"/>
    <cellStyle name="SAPBEXstdData" xfId="213"/>
    <cellStyle name="SAPBEXstdDataEmph" xfId="214"/>
    <cellStyle name="SAPBEXstdItem" xfId="215"/>
    <cellStyle name="SAPBEXtitle" xfId="216"/>
    <cellStyle name="SAPBEXundefined" xfId="217"/>
    <cellStyle name="SHADEDSTORES" xfId="218"/>
    <cellStyle name="specstores" xfId="219"/>
    <cellStyle name="Standard" xfId="220"/>
    <cellStyle name="Standard 10" xfId="278"/>
    <cellStyle name="Standard 11" xfId="292"/>
    <cellStyle name="Standard 12" xfId="284"/>
    <cellStyle name="Standard 13" xfId="316"/>
    <cellStyle name="Standard 14" xfId="334"/>
    <cellStyle name="Standard 15" xfId="317"/>
    <cellStyle name="Standard 2" xfId="295"/>
    <cellStyle name="Standard 3" xfId="280"/>
    <cellStyle name="Standard 4" xfId="290"/>
    <cellStyle name="Standard 5" xfId="285"/>
    <cellStyle name="Standard 6" xfId="276"/>
    <cellStyle name="Standard 7" xfId="294"/>
    <cellStyle name="Standard 8" xfId="283"/>
    <cellStyle name="Standard 9" xfId="298"/>
    <cellStyle name="Style 1" xfId="221"/>
    <cellStyle name="Style 2" xfId="222"/>
    <cellStyle name="subhead" xfId="223"/>
    <cellStyle name="Subtotal" xfId="224"/>
    <cellStyle name="T" xfId="225"/>
    <cellStyle name="Text Indent A" xfId="226"/>
    <cellStyle name="Text Indent B" xfId="227"/>
    <cellStyle name="Text Indent C" xfId="228"/>
    <cellStyle name="th" xfId="229"/>
    <cellStyle name="þ_x001d_ðK_x000c_Fý_x001b__x000d_9ýU_x0001_Ð_x0008_¦)_x0007__x0001__x0001_" xfId="230"/>
    <cellStyle name="viet" xfId="231"/>
    <cellStyle name="viet2" xfId="232"/>
    <cellStyle name="vnbo" xfId="233"/>
    <cellStyle name="vnhead1" xfId="234"/>
    <cellStyle name="vnhead2" xfId="235"/>
    <cellStyle name="vnhead3" xfId="236"/>
    <cellStyle name="vnhead4" xfId="237"/>
    <cellStyle name="vntxt1" xfId="238"/>
    <cellStyle name="vntxt2" xfId="239"/>
    <cellStyle name="Walutowy [0]_Invoices2001Slovakia" xfId="240"/>
    <cellStyle name="Walutowy_Invoices2001Slovakia" xfId="241"/>
    <cellStyle name="xuan" xfId="242"/>
    <cellStyle name=" [0.00]_ Att. 1- Cover" xfId="261"/>
    <cellStyle name="_ Att. 1- Cover" xfId="262"/>
    <cellStyle name="?_ Att. 1- Cover" xfId="263"/>
    <cellStyle name="똿뗦먛귟 [0.00]_PRODUCT DETAIL Q1" xfId="243"/>
    <cellStyle name="똿뗦먛귟_PRODUCT DETAIL Q1" xfId="244"/>
    <cellStyle name="믅됞 [0.00]_PRODUCT DETAIL Q1" xfId="245"/>
    <cellStyle name="믅됞_PRODUCT DETAIL Q1" xfId="246"/>
    <cellStyle name="백분율_95" xfId="247"/>
    <cellStyle name="뷭?_BOOKSHIP" xfId="248"/>
    <cellStyle name="콤마 [0]_1202" xfId="252"/>
    <cellStyle name="콤마_1202" xfId="253"/>
    <cellStyle name="통화 [0]_1202" xfId="254"/>
    <cellStyle name="통화_1202" xfId="255"/>
    <cellStyle name="표준_(정보부문)월별인원계획" xfId="256"/>
    <cellStyle name="一般_00Q3902REV.1" xfId="249"/>
    <cellStyle name="千分位[0]_00Q3902REV.1" xfId="250"/>
    <cellStyle name="千分位_00Q3902REV.1" xfId="251"/>
    <cellStyle name="標準_BOQ-08" xfId="257"/>
    <cellStyle name="貨幣 [0]_00Q3902REV.1" xfId="258"/>
    <cellStyle name="貨幣[0]_BRE" xfId="259"/>
    <cellStyle name="貨幣_00Q3902REV.1" xfId="26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4.xml"/><Relationship Id="rId138" Type="http://schemas.openxmlformats.org/officeDocument/2006/relationships/externalLink" Target="externalLinks/externalLink9.xml"/><Relationship Id="rId154" Type="http://schemas.openxmlformats.org/officeDocument/2006/relationships/externalLink" Target="externalLinks/externalLink25.xml"/><Relationship Id="rId159" Type="http://schemas.openxmlformats.org/officeDocument/2006/relationships/externalLink" Target="externalLinks/externalLink30.xml"/><Relationship Id="rId170" Type="http://schemas.openxmlformats.org/officeDocument/2006/relationships/sharedStrings" Target="sharedStrings.xml"/><Relationship Id="rId196" Type="http://schemas.microsoft.com/office/2017/06/relationships/rdRichValueStructure" Target="richData/rdrichvaluestructure.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5.xml"/><Relationship Id="rId149" Type="http://schemas.openxmlformats.org/officeDocument/2006/relationships/externalLink" Target="externalLinks/externalLink2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1.xml"/><Relationship Id="rId165" Type="http://schemas.openxmlformats.org/officeDocument/2006/relationships/externalLink" Target="externalLinks/externalLink3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5.xml"/><Relationship Id="rId139" Type="http://schemas.openxmlformats.org/officeDocument/2006/relationships/externalLink" Target="externalLinks/externalLink10.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1.xml"/><Relationship Id="rId155" Type="http://schemas.openxmlformats.org/officeDocument/2006/relationships/externalLink" Target="externalLinks/externalLink26.xml"/><Relationship Id="rId171" Type="http://schemas.openxmlformats.org/officeDocument/2006/relationships/sheetMetadata" Target="metadata.xml"/><Relationship Id="rId197" Type="http://schemas.microsoft.com/office/2017/06/relationships/rdRichValueTypes" Target="richData/rdRichValueTyp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1.xml"/><Relationship Id="rId145" Type="http://schemas.openxmlformats.org/officeDocument/2006/relationships/externalLink" Target="externalLinks/externalLink16.xml"/><Relationship Id="rId161" Type="http://schemas.openxmlformats.org/officeDocument/2006/relationships/externalLink" Target="externalLinks/externalLink32.xml"/><Relationship Id="rId166"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1.xml"/><Relationship Id="rId135" Type="http://schemas.openxmlformats.org/officeDocument/2006/relationships/externalLink" Target="externalLinks/externalLink6.xml"/><Relationship Id="rId143" Type="http://schemas.openxmlformats.org/officeDocument/2006/relationships/externalLink" Target="externalLinks/externalLink14.xml"/><Relationship Id="rId148" Type="http://schemas.openxmlformats.org/officeDocument/2006/relationships/externalLink" Target="externalLinks/externalLink19.xml"/><Relationship Id="rId151" Type="http://schemas.openxmlformats.org/officeDocument/2006/relationships/externalLink" Target="externalLinks/externalLink22.xml"/><Relationship Id="rId156" Type="http://schemas.openxmlformats.org/officeDocument/2006/relationships/externalLink" Target="externalLinks/externalLink27.xml"/><Relationship Id="rId164" Type="http://schemas.openxmlformats.org/officeDocument/2006/relationships/externalLink" Target="externalLinks/externalLink35.xml"/><Relationship Id="rId169" Type="http://schemas.openxmlformats.org/officeDocument/2006/relationships/styles" Target="styles.xml"/><Relationship Id="rId19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2.xml"/><Relationship Id="rId146" Type="http://schemas.openxmlformats.org/officeDocument/2006/relationships/externalLink" Target="externalLinks/externalLink17.xml"/><Relationship Id="rId167"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2.xml"/><Relationship Id="rId136" Type="http://schemas.openxmlformats.org/officeDocument/2006/relationships/externalLink" Target="externalLinks/externalLink7.xml"/><Relationship Id="rId157"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8.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3.xml"/><Relationship Id="rId163"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8.xml"/><Relationship Id="rId158"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3.xml"/><Relationship Id="rId153" Type="http://schemas.openxmlformats.org/officeDocument/2006/relationships/externalLink" Target="externalLinks/externalLink24.xml"/><Relationship Id="rId195" Type="http://schemas.microsoft.com/office/2017/06/relationships/rdRichValue" Target="richData/rdrichvalue.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c/Desktop/WPS%20Office/22.%20BC%2045%20PHU%20LUC%20TONG%20HOP%20-%20205-chart-2018-2022-2025-2030%20(BD%2014-3-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Documents/Zalo%20Received%20Files/Thu%20chi%20va%20DBT%20nam%202022%20KX%2014022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Thu%20chi%20va%20DBT%2031-12-2023%20(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STC%20-%20PL9%20NGAY%2011-12-2023-PL8%20NGAY%2018-12-2023-THEO%20BT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NHU%20CAU%20LUONG%20LINH%20GUI/STC%20-%20PL9%20NGAY%2011-12-2023-PL8%20NGAY%2018-12-2023-THEO%20BTC16-7-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TC-QLNS%202024\01.%20QLNS%20SOAN%20THAO\38.%20CV%204006%20NGAY%2022-10-2024%20PHOI%20HOP%20CHI%20TIET%20DTC%202026-2030\DT%20NAM%202025%20-%20KH%203%20NAM%20-%20KH%205%20NAM%202026%20-2030%20GUI%20TC&#272;T%2024-7-2024%20&#272;T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DATA%20D/01.%20SO%20TAI%20CHINH/STC-QLNS%202024/01.%20QLNS%20SOAN%20THAO/15.%20CV%202115%20NGAY%2018-6-2024%20SO%206%20THANG%20SAU%20HOP/CV%202115%20NGAY%2018-6-2024%20PL%20UOC%20THU-CHI%206%20THANG%20DAU%20NAM-6%20THANG%20CUOI%202024-13-6-HDN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T%20NAM%202025%20-%20KH%203%20NAM%20-%20KH%205%20NAM%202026%20-2030%20GUI%20TC&#272;T%2024-7-2024%20&#272;TC-KIEM%20TRA%20SO%20DT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A%20Si%2030-11-2023/Ngay%2030-11-2023%20PL%20UTH2023-KH2024-THUE%20NGAY%205-10%20-%20XAY%20DUNG%20PL1-2-3%20TANG%20XSK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20TOAN%202025%20VP%20TINH%20UY%20N%2005T10N2024-07-10-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toan2025-Chochutruong-21-10-2024-Anh%20Duy%20g&#7917;i%20%20ngay%2021-10-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Anh%20Duy%20g&#7917;i%208-11-2024\D.TONG%20HOP%20DU%20TOAN%202025-ChiTietDa-Tinh6%25-DH-Xe8-11-Cando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20DATA%20D/01.%20SO%20TAI%20CHINH/STC-DU%20TOAN/DU%20TOAN%20CAC%20NAM/SO%20DIA%20PHUONG/35%20DU%20TOAN%202022/QLNS%20BAO%20CAO/230/Ke%20hoach%20tai%20chinh%20ngan%20sach%205%20nam%202021-2025%20ngay%202710202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U%20TOAN%202025%20DIA%20PHUONG%2005-11-20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PL%20UOC%20TH%202023%20DT%202024%20NGAY%2005-9-2023%20CDCS%20NGAY%209-9-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PL%201%20(2)-%2029-7-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STC-phu%20luc%20dinh%20kem%20tham%20dinh%20luong%20dp%20nam%202024%20dt%202025%20ngay%2031-7-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row>
      </sheetData>
      <sheetData sheetId="1"/>
      <sheetData sheetId="2"/>
      <sheetData sheetId="3"/>
      <sheetData sheetId="4"/>
      <sheetData sheetId="5">
        <row r="5">
          <cell r="H5">
            <v>75875880</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sheetData>
      <sheetData sheetId="20">
        <row r="10">
          <cell r="C10">
            <v>4308494.4799180003</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8">
          <cell r="E18">
            <v>0</v>
          </cell>
          <cell r="J18">
            <v>0</v>
          </cell>
          <cell r="T18">
            <v>0</v>
          </cell>
          <cell r="Y18">
            <v>0</v>
          </cell>
        </row>
        <row r="30">
          <cell r="D30">
            <v>0</v>
          </cell>
          <cell r="E30">
            <v>0</v>
          </cell>
        </row>
        <row r="35">
          <cell r="E35">
            <v>0</v>
          </cell>
          <cell r="J35">
            <v>0</v>
          </cell>
          <cell r="O35">
            <v>0</v>
          </cell>
          <cell r="T35">
            <v>0</v>
          </cell>
        </row>
      </sheetData>
      <sheetData sheetId="28">
        <row r="8">
          <cell r="C8">
            <v>5809777</v>
          </cell>
        </row>
        <row r="14">
          <cell r="K14">
            <v>4430923</v>
          </cell>
          <cell r="N14">
            <v>4430923</v>
          </cell>
        </row>
        <row r="15">
          <cell r="K15">
            <v>317798</v>
          </cell>
        </row>
        <row r="31">
          <cell r="Y31">
            <v>1.0047879424816806</v>
          </cell>
          <cell r="Z31">
            <v>1.0127502007166578</v>
          </cell>
          <cell r="AB31">
            <v>1.0267006153038798</v>
          </cell>
          <cell r="AC31">
            <v>1.0186611374861316</v>
          </cell>
          <cell r="AE31">
            <v>1.0278959515568287</v>
          </cell>
          <cell r="AF31">
            <v>1.0203782588786079</v>
          </cell>
        </row>
      </sheetData>
      <sheetData sheetId="29">
        <row r="14">
          <cell r="C14">
            <v>6803512</v>
          </cell>
        </row>
      </sheetData>
      <sheetData sheetId="30">
        <row r="9">
          <cell r="C9">
            <v>12922645</v>
          </cell>
        </row>
      </sheetData>
      <sheetData sheetId="31">
        <row r="8">
          <cell r="Q8">
            <v>6704000</v>
          </cell>
        </row>
        <row r="53">
          <cell r="N53">
            <v>6487488</v>
          </cell>
        </row>
        <row r="57">
          <cell r="N57">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4">
          <cell r="E44">
            <v>1600575</v>
          </cell>
        </row>
      </sheetData>
      <sheetData sheetId="18" refreshError="1"/>
      <sheetData sheetId="19" refreshError="1"/>
      <sheetData sheetId="20" refreshError="1"/>
      <sheetData sheetId="21" refreshError="1"/>
      <sheetData sheetId="22" refreshError="1"/>
      <sheetData sheetId="23" refreshError="1"/>
      <sheetData sheetId="24" refreshError="1">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efreshError="1">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efreshError="1">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efreshError="1">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efreshError="1">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efreshError="1">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efreshError="1">
        <row r="18">
          <cell r="V18">
            <v>-21453</v>
          </cell>
          <cell r="W18">
            <v>445109</v>
          </cell>
        </row>
      </sheetData>
      <sheetData sheetId="40" refreshError="1">
        <row r="9">
          <cell r="I9">
            <v>2343711</v>
          </cell>
        </row>
        <row r="30">
          <cell r="I30">
            <v>0</v>
          </cell>
        </row>
      </sheetData>
      <sheetData sheetId="41" refreshError="1"/>
      <sheetData sheetId="42" refreshError="1"/>
      <sheetData sheetId="43" refreshError="1">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efreshError="1">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efreshError="1">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efreshError="1">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efreshError="1">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efreshError="1">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efreshError="1">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efreshError="1">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bieu do cung ky nam truoc"/>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Chi huyen 11-12-2022"/>
      <sheetName val="Thu huyen 11-12-2022"/>
      <sheetName val="Thu 2023"/>
      <sheetName val="Thu 31-12-2023"/>
      <sheetName val="0105-TH chi"/>
      <sheetName val="B5-01 (NST)"/>
      <sheetName val="B5-01(NSH)"/>
      <sheetName val="B5-01 (xa)"/>
      <sheetName val="B5-03 (tinh)"/>
      <sheetName val="B5-03 (huyen)"/>
      <sheetName val="B5-03(xa)"/>
      <sheetName val="CT MTQG"/>
      <sheetName val="Chi"/>
      <sheetName val="Chi (HĐND)"/>
      <sheetName val="Chi 2023"/>
      <sheetName val="Chi 31-12-2023"/>
      <sheetName val="Bao cao (Qmoi)"/>
      <sheetName val="thu"/>
      <sheetName val="Bao cao (1)"/>
      <sheetName val="Sheet4"/>
      <sheetName val="Phan tich"/>
      <sheetName val="Bao cao"/>
      <sheetName val="Chi (HĐND) (ko ke chuyen nguon)"/>
      <sheetName val="Chi (A-B-C)"/>
      <sheetName val="Chi (A-B-C) ko ke chi DTPT khac"/>
      <sheetName val="Sheet1"/>
      <sheetName val="Sheet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ow r="10">
          <cell r="I10">
            <v>7491821.4102769997</v>
          </cell>
        </row>
        <row r="15">
          <cell r="G15">
            <v>209114.47203999999</v>
          </cell>
        </row>
        <row r="16">
          <cell r="G16">
            <v>281819.395969</v>
          </cell>
        </row>
        <row r="17">
          <cell r="G17">
            <v>63555.740023999999</v>
          </cell>
        </row>
        <row r="18">
          <cell r="G18">
            <v>1585169.3797579999</v>
          </cell>
        </row>
        <row r="19">
          <cell r="G19">
            <v>299934.16521599999</v>
          </cell>
        </row>
        <row r="20">
          <cell r="G20">
            <v>341.74988999999999</v>
          </cell>
        </row>
        <row r="21">
          <cell r="G21">
            <v>17526.987714000003</v>
          </cell>
        </row>
        <row r="22">
          <cell r="G22">
            <v>694840.38474699995</v>
          </cell>
        </row>
        <row r="23">
          <cell r="G23">
            <v>946182.54455700004</v>
          </cell>
        </row>
        <row r="24">
          <cell r="G24">
            <v>154883.97971400002</v>
          </cell>
        </row>
        <row r="25">
          <cell r="G25">
            <v>1157474.7737749999</v>
          </cell>
        </row>
        <row r="26">
          <cell r="G26">
            <v>118474.487924</v>
          </cell>
        </row>
        <row r="27">
          <cell r="G27">
            <v>32.606999999999999</v>
          </cell>
        </row>
        <row r="28">
          <cell r="G28">
            <v>377487.68165899999</v>
          </cell>
        </row>
        <row r="29">
          <cell r="G29">
            <v>52127.206015000003</v>
          </cell>
        </row>
        <row r="30">
          <cell r="G30">
            <v>80341.411819999994</v>
          </cell>
        </row>
        <row r="32">
          <cell r="G32">
            <v>2115.8489530000002</v>
          </cell>
        </row>
        <row r="33">
          <cell r="G33">
            <v>2017387.9198539997</v>
          </cell>
        </row>
        <row r="39">
          <cell r="G39">
            <v>281887.67128599994</v>
          </cell>
        </row>
      </sheetData>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I11">
            <v>3646187.9516190002</v>
          </cell>
          <cell r="J11">
            <v>3220107.329657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83">
          <cell r="L183">
            <v>6803512000000</v>
          </cell>
        </row>
        <row r="184">
          <cell r="L184">
            <v>1191268339852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3">
          <cell r="F13">
            <v>3260550.5345359999</v>
          </cell>
        </row>
        <row r="49">
          <cell r="F49">
            <v>0</v>
          </cell>
        </row>
        <row r="53">
          <cell r="F53">
            <v>1774.8968809999999</v>
          </cell>
        </row>
        <row r="56">
          <cell r="F56">
            <v>1567739.8360000001</v>
          </cell>
        </row>
        <row r="63">
          <cell r="F63">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row r="8">
          <cell r="Q8">
            <v>6704000</v>
          </cell>
          <cell r="W8">
            <v>7450399.7999999989</v>
          </cell>
          <cell r="AC8">
            <v>8485000</v>
          </cell>
          <cell r="AI8">
            <v>9117270.1705882363</v>
          </cell>
          <cell r="AO8">
            <v>9913851.7061085254</v>
          </cell>
        </row>
        <row r="9">
          <cell r="Z9">
            <v>9066000</v>
          </cell>
          <cell r="AF9">
            <v>9999999.6999999993</v>
          </cell>
          <cell r="AL9">
            <v>10870000</v>
          </cell>
        </row>
        <row r="11">
          <cell r="H11">
            <v>227900.049615</v>
          </cell>
          <cell r="Z11">
            <v>230000</v>
          </cell>
          <cell r="AF11">
            <v>309999.7</v>
          </cell>
          <cell r="AL11">
            <v>340000</v>
          </cell>
        </row>
        <row r="12">
          <cell r="Q12">
            <v>196000</v>
          </cell>
          <cell r="W12">
            <v>154000</v>
          </cell>
          <cell r="AC12">
            <v>170000</v>
          </cell>
          <cell r="AI12">
            <v>244000</v>
          </cell>
          <cell r="AO12">
            <v>268000</v>
          </cell>
        </row>
        <row r="13">
          <cell r="Q13">
            <v>12000</v>
          </cell>
          <cell r="W13">
            <v>37000</v>
          </cell>
          <cell r="AC13">
            <v>20000</v>
          </cell>
          <cell r="AI13">
            <v>14000</v>
          </cell>
          <cell r="AO13">
            <v>15000</v>
          </cell>
        </row>
        <row r="14">
          <cell r="Q14">
            <v>42000</v>
          </cell>
          <cell r="W14">
            <v>18990</v>
          </cell>
        </row>
        <row r="17">
          <cell r="H17">
            <v>391144.28547999996</v>
          </cell>
          <cell r="Z17">
            <v>300000</v>
          </cell>
          <cell r="AF17">
            <v>470000</v>
          </cell>
          <cell r="AL17">
            <v>510000</v>
          </cell>
        </row>
        <row r="18">
          <cell r="Q18">
            <v>183000</v>
          </cell>
          <cell r="W18">
            <v>100000</v>
          </cell>
          <cell r="AC18">
            <v>110000</v>
          </cell>
          <cell r="AI18">
            <v>241000</v>
          </cell>
          <cell r="AO18">
            <v>263000</v>
          </cell>
        </row>
        <row r="19">
          <cell r="Q19">
            <v>65000</v>
          </cell>
          <cell r="W19">
            <v>100000</v>
          </cell>
          <cell r="AC19">
            <v>106000</v>
          </cell>
          <cell r="AI19">
            <v>103000</v>
          </cell>
          <cell r="AO19">
            <v>112000</v>
          </cell>
        </row>
        <row r="20">
          <cell r="Q20">
            <v>0</v>
          </cell>
          <cell r="W20">
            <v>0</v>
          </cell>
        </row>
        <row r="23">
          <cell r="H23">
            <v>74729.223614999995</v>
          </cell>
          <cell r="Z23">
            <v>75000</v>
          </cell>
          <cell r="AF23">
            <v>100000</v>
          </cell>
          <cell r="AL23">
            <v>110000</v>
          </cell>
        </row>
        <row r="24">
          <cell r="Q24">
            <v>18000</v>
          </cell>
          <cell r="W24">
            <v>15000</v>
          </cell>
          <cell r="AC24">
            <v>16000</v>
          </cell>
          <cell r="AI24">
            <v>22000</v>
          </cell>
          <cell r="AO24">
            <v>24000</v>
          </cell>
        </row>
        <row r="25">
          <cell r="Q25">
            <v>52000</v>
          </cell>
          <cell r="W25">
            <v>54990</v>
          </cell>
          <cell r="AC25">
            <v>59000</v>
          </cell>
          <cell r="AI25">
            <v>78000</v>
          </cell>
          <cell r="AO25">
            <v>86000</v>
          </cell>
        </row>
        <row r="28">
          <cell r="H28">
            <v>1184282.337326</v>
          </cell>
          <cell r="Z28">
            <v>1701000</v>
          </cell>
          <cell r="AF28">
            <v>1620000</v>
          </cell>
          <cell r="AL28">
            <v>1790000</v>
          </cell>
        </row>
        <row r="29">
          <cell r="Q29">
            <v>651170</v>
          </cell>
          <cell r="W29">
            <v>728899.9</v>
          </cell>
          <cell r="AC29">
            <v>724290</v>
          </cell>
          <cell r="AI29">
            <v>910000</v>
          </cell>
          <cell r="AO29">
            <v>1004000</v>
          </cell>
        </row>
        <row r="30">
          <cell r="Q30">
            <v>524980</v>
          </cell>
          <cell r="W30">
            <v>790000</v>
          </cell>
          <cell r="AC30">
            <v>905790</v>
          </cell>
          <cell r="AI30">
            <v>592000</v>
          </cell>
          <cell r="AO30">
            <v>655000</v>
          </cell>
        </row>
        <row r="31">
          <cell r="Q31">
            <v>85120</v>
          </cell>
          <cell r="W31">
            <v>76000.2</v>
          </cell>
        </row>
        <row r="34">
          <cell r="H34">
            <v>368324.93194500002</v>
          </cell>
          <cell r="Z34">
            <v>350000</v>
          </cell>
          <cell r="AF34">
            <v>436000</v>
          </cell>
          <cell r="AL34">
            <v>480000</v>
          </cell>
        </row>
        <row r="35">
          <cell r="H35">
            <v>280.44446699999997</v>
          </cell>
          <cell r="Z35">
            <v>0</v>
          </cell>
          <cell r="AF35">
            <v>0</v>
          </cell>
          <cell r="AL35">
            <v>0</v>
          </cell>
        </row>
        <row r="36">
          <cell r="H36">
            <v>17903.111367000001</v>
          </cell>
          <cell r="Z36">
            <v>15000</v>
          </cell>
          <cell r="AF36">
            <v>12000</v>
          </cell>
          <cell r="AL36">
            <v>13000</v>
          </cell>
        </row>
        <row r="37">
          <cell r="H37">
            <v>711978.18546399998</v>
          </cell>
          <cell r="Q37">
            <v>600000</v>
          </cell>
          <cell r="W37">
            <v>710000</v>
          </cell>
          <cell r="Z37">
            <v>730000</v>
          </cell>
          <cell r="AC37">
            <v>730000</v>
          </cell>
          <cell r="AF37">
            <v>870000</v>
          </cell>
          <cell r="AI37">
            <v>870000</v>
          </cell>
          <cell r="AL37">
            <v>940000</v>
          </cell>
          <cell r="AO37">
            <v>940000</v>
          </cell>
        </row>
        <row r="38">
          <cell r="H38">
            <v>926612.70443099993</v>
          </cell>
          <cell r="Q38">
            <v>900000</v>
          </cell>
          <cell r="W38">
            <v>588000</v>
          </cell>
          <cell r="Z38">
            <v>1065000</v>
          </cell>
          <cell r="AC38">
            <v>639000</v>
          </cell>
          <cell r="AF38">
            <v>1750000</v>
          </cell>
          <cell r="AI38">
            <v>1050000</v>
          </cell>
          <cell r="AL38">
            <v>1900000</v>
          </cell>
          <cell r="AO38">
            <v>1140000</v>
          </cell>
        </row>
        <row r="39">
          <cell r="H39">
            <v>174909.15649200001</v>
          </cell>
          <cell r="Z39">
            <v>170000</v>
          </cell>
          <cell r="AF39">
            <v>212000</v>
          </cell>
          <cell r="AL39">
            <v>226000</v>
          </cell>
        </row>
        <row r="40">
          <cell r="H40">
            <v>1029162.981864</v>
          </cell>
          <cell r="Z40">
            <v>1770000</v>
          </cell>
          <cell r="AF40">
            <v>1200000</v>
          </cell>
          <cell r="AL40">
            <v>1260000</v>
          </cell>
        </row>
        <row r="41">
          <cell r="H41">
            <v>237121.31138199999</v>
          </cell>
          <cell r="Z41">
            <v>315000</v>
          </cell>
          <cell r="AF41">
            <v>184000</v>
          </cell>
          <cell r="AL41">
            <v>250000</v>
          </cell>
        </row>
        <row r="42">
          <cell r="H42">
            <v>79.078599999999994</v>
          </cell>
          <cell r="Z42">
            <v>0</v>
          </cell>
          <cell r="AF42">
            <v>0</v>
          </cell>
          <cell r="AL42">
            <v>0</v>
          </cell>
        </row>
        <row r="43">
          <cell r="H43">
            <v>285472.88611600001</v>
          </cell>
          <cell r="Z43">
            <v>326000</v>
          </cell>
          <cell r="AF43">
            <v>370000</v>
          </cell>
          <cell r="AL43">
            <v>400000</v>
          </cell>
        </row>
        <row r="44">
          <cell r="H44">
            <v>35466.300600000002</v>
          </cell>
          <cell r="Z44">
            <v>30000</v>
          </cell>
          <cell r="AF44">
            <v>27000</v>
          </cell>
          <cell r="AL44">
            <v>28000</v>
          </cell>
        </row>
        <row r="45">
          <cell r="H45">
            <v>76161.542220000003</v>
          </cell>
          <cell r="Z45">
            <v>37000</v>
          </cell>
          <cell r="AF45">
            <v>114000</v>
          </cell>
          <cell r="AL45">
            <v>120000</v>
          </cell>
        </row>
        <row r="47">
          <cell r="H47">
            <v>2041.6675579999999</v>
          </cell>
          <cell r="Z47">
            <v>2000</v>
          </cell>
          <cell r="AF47">
            <v>3000</v>
          </cell>
          <cell r="AL47">
            <v>3000</v>
          </cell>
        </row>
        <row r="48">
          <cell r="H48">
            <v>1743740.6317860002</v>
          </cell>
          <cell r="Z48">
            <v>1950000</v>
          </cell>
          <cell r="AF48">
            <v>2322000</v>
          </cell>
          <cell r="AL48">
            <v>2500000</v>
          </cell>
        </row>
        <row r="49">
          <cell r="H49">
            <v>389783.37025500002</v>
          </cell>
          <cell r="Z49">
            <v>200000</v>
          </cell>
          <cell r="AF49">
            <v>162500</v>
          </cell>
          <cell r="AL49">
            <v>169000</v>
          </cell>
        </row>
        <row r="53">
          <cell r="C53">
            <v>6803512</v>
          </cell>
          <cell r="N53">
            <v>6487488</v>
          </cell>
          <cell r="Z53">
            <v>6487488</v>
          </cell>
          <cell r="AC53">
            <v>6487488</v>
          </cell>
          <cell r="AF53">
            <v>6617188</v>
          </cell>
          <cell r="AI53">
            <v>6617188</v>
          </cell>
          <cell r="AL53">
            <v>6617188</v>
          </cell>
          <cell r="AO53">
            <v>6617188</v>
          </cell>
        </row>
        <row r="55">
          <cell r="C55">
            <v>1127000</v>
          </cell>
          <cell r="H55">
            <v>1263569.5071109999</v>
          </cell>
          <cell r="R55">
            <v>2417971</v>
          </cell>
          <cell r="T55">
            <v>2417971</v>
          </cell>
          <cell r="Z55">
            <v>1814491</v>
          </cell>
          <cell r="AC55">
            <v>1814491</v>
          </cell>
          <cell r="AF55">
            <v>2205000</v>
          </cell>
          <cell r="AI55">
            <v>2205000</v>
          </cell>
          <cell r="AL55">
            <v>2205000</v>
          </cell>
          <cell r="AO55">
            <v>2205000</v>
          </cell>
        </row>
        <row r="56">
          <cell r="C56">
            <v>86473</v>
          </cell>
          <cell r="R56">
            <v>179036</v>
          </cell>
          <cell r="T56">
            <v>179036</v>
          </cell>
          <cell r="Z56">
            <v>174485</v>
          </cell>
          <cell r="AC56">
            <v>174485</v>
          </cell>
          <cell r="AF56">
            <v>174485.3</v>
          </cell>
          <cell r="AL56">
            <v>174485.3</v>
          </cell>
          <cell r="AO56">
            <v>174485.3</v>
          </cell>
        </row>
        <row r="57">
          <cell r="C57">
            <v>0</v>
          </cell>
          <cell r="R57">
            <v>0</v>
          </cell>
          <cell r="T57">
            <v>0</v>
          </cell>
          <cell r="Z57">
            <v>650315</v>
          </cell>
          <cell r="AC57">
            <v>650315</v>
          </cell>
          <cell r="AF57">
            <v>650315</v>
          </cell>
          <cell r="AL57">
            <v>650315</v>
          </cell>
          <cell r="AO57">
            <v>650315</v>
          </cell>
        </row>
        <row r="58">
          <cell r="C58">
            <v>179391</v>
          </cell>
          <cell r="R58">
            <v>0</v>
          </cell>
          <cell r="T58">
            <v>431000</v>
          </cell>
          <cell r="Z58">
            <v>886000</v>
          </cell>
          <cell r="AC58">
            <v>886000</v>
          </cell>
          <cell r="AF58">
            <v>717399.2</v>
          </cell>
          <cell r="AL58">
            <v>882854.2423493322</v>
          </cell>
          <cell r="AO58">
            <v>882854.2423493322</v>
          </cell>
        </row>
        <row r="59">
          <cell r="C59">
            <v>48300</v>
          </cell>
          <cell r="R59">
            <v>31500</v>
          </cell>
          <cell r="T59">
            <v>31500</v>
          </cell>
          <cell r="Z59">
            <v>0</v>
          </cell>
          <cell r="AC59">
            <v>0</v>
          </cell>
          <cell r="AF59">
            <v>0</v>
          </cell>
          <cell r="AL59">
            <v>0</v>
          </cell>
          <cell r="AO59">
            <v>0</v>
          </cell>
        </row>
        <row r="60">
          <cell r="C60">
            <v>15063453</v>
          </cell>
        </row>
      </sheetData>
      <sheetData sheetId="3">
        <row r="9">
          <cell r="K9">
            <v>3561000</v>
          </cell>
          <cell r="P9">
            <v>4091000</v>
          </cell>
          <cell r="U9">
            <v>4863186.4089698764</v>
          </cell>
          <cell r="Z9">
            <v>4735000</v>
          </cell>
          <cell r="AE9">
            <v>5025000</v>
          </cell>
        </row>
        <row r="10">
          <cell r="K10">
            <v>1061000</v>
          </cell>
          <cell r="P10">
            <v>1061000</v>
          </cell>
          <cell r="U10">
            <v>1143186.4089698761</v>
          </cell>
          <cell r="Z10">
            <v>1213000</v>
          </cell>
          <cell r="AE10">
            <v>1265000</v>
          </cell>
        </row>
        <row r="11">
          <cell r="K11">
            <v>900000</v>
          </cell>
          <cell r="P11">
            <v>1080000</v>
          </cell>
          <cell r="U11">
            <v>1770000</v>
          </cell>
          <cell r="Z11">
            <v>1200000</v>
          </cell>
          <cell r="AE11">
            <v>1260000</v>
          </cell>
        </row>
        <row r="12">
          <cell r="K12">
            <v>1600000</v>
          </cell>
          <cell r="P12">
            <v>1950000</v>
          </cell>
          <cell r="U12">
            <v>1950000</v>
          </cell>
          <cell r="Z12">
            <v>2322000</v>
          </cell>
          <cell r="AE12">
            <v>2500000</v>
          </cell>
        </row>
        <row r="13">
          <cell r="K13">
            <v>0</v>
          </cell>
          <cell r="P13">
            <v>0</v>
          </cell>
          <cell r="U13">
            <v>0</v>
          </cell>
          <cell r="Z13">
            <v>0</v>
          </cell>
          <cell r="AE13">
            <v>0</v>
          </cell>
        </row>
        <row r="14">
          <cell r="K14">
            <v>9353865</v>
          </cell>
          <cell r="P14">
            <v>9353865</v>
          </cell>
          <cell r="U14">
            <v>10664978.394711081</v>
          </cell>
          <cell r="Z14">
            <v>11071000</v>
          </cell>
          <cell r="AE14">
            <v>11373000</v>
          </cell>
        </row>
        <row r="15">
          <cell r="K15">
            <v>1793642</v>
          </cell>
          <cell r="P15">
            <v>1793642</v>
          </cell>
          <cell r="U15">
            <v>2068978.6115313373</v>
          </cell>
          <cell r="Z15">
            <v>2136000</v>
          </cell>
          <cell r="AE15">
            <v>2186000</v>
          </cell>
        </row>
        <row r="16">
          <cell r="K16">
            <v>136670</v>
          </cell>
          <cell r="P16">
            <v>136670</v>
          </cell>
          <cell r="U16">
            <v>151965</v>
          </cell>
          <cell r="Z16">
            <v>160000</v>
          </cell>
          <cell r="AE16">
            <v>166000</v>
          </cell>
        </row>
        <row r="18">
          <cell r="K18">
            <v>31000</v>
          </cell>
          <cell r="P18">
            <v>31000</v>
          </cell>
          <cell r="U18">
            <v>31218</v>
          </cell>
          <cell r="Z18">
            <v>35000</v>
          </cell>
          <cell r="AE18">
            <v>38000</v>
          </cell>
        </row>
        <row r="19">
          <cell r="K19">
            <v>4179745</v>
          </cell>
          <cell r="P19">
            <v>4179745</v>
          </cell>
          <cell r="U19">
            <v>4797945.7831797441</v>
          </cell>
          <cell r="Z19">
            <v>4916000</v>
          </cell>
          <cell r="AE19">
            <v>5004000</v>
          </cell>
        </row>
        <row r="20">
          <cell r="K20">
            <v>750000</v>
          </cell>
          <cell r="P20">
            <v>750000</v>
          </cell>
          <cell r="U20">
            <v>828538</v>
          </cell>
          <cell r="Z20">
            <v>931000</v>
          </cell>
          <cell r="AE20">
            <v>1007000</v>
          </cell>
        </row>
        <row r="21">
          <cell r="K21">
            <v>78978</v>
          </cell>
          <cell r="P21">
            <v>78978</v>
          </cell>
          <cell r="U21">
            <v>91888</v>
          </cell>
          <cell r="Z21">
            <v>98000</v>
          </cell>
          <cell r="AE21">
            <v>102000</v>
          </cell>
        </row>
        <row r="22">
          <cell r="K22">
            <v>42757</v>
          </cell>
          <cell r="P22">
            <v>42757</v>
          </cell>
          <cell r="U22">
            <v>50073</v>
          </cell>
          <cell r="Z22">
            <v>52000</v>
          </cell>
          <cell r="AE22">
            <v>54000</v>
          </cell>
        </row>
        <row r="23">
          <cell r="K23">
            <v>38378</v>
          </cell>
          <cell r="P23">
            <v>38378</v>
          </cell>
          <cell r="U23">
            <v>53202</v>
          </cell>
          <cell r="Z23">
            <v>58000</v>
          </cell>
          <cell r="AE23">
            <v>61000</v>
          </cell>
        </row>
        <row r="24">
          <cell r="K24">
            <v>539140</v>
          </cell>
          <cell r="P24">
            <v>539140</v>
          </cell>
          <cell r="U24">
            <v>601385</v>
          </cell>
          <cell r="Z24">
            <v>611000</v>
          </cell>
          <cell r="AE24">
            <v>618000</v>
          </cell>
        </row>
        <row r="25">
          <cell r="K25">
            <v>1388540</v>
          </cell>
          <cell r="P25">
            <v>1388540</v>
          </cell>
          <cell r="U25">
            <v>1570458</v>
          </cell>
          <cell r="Z25">
            <v>1634000</v>
          </cell>
          <cell r="AE25">
            <v>1681000</v>
          </cell>
        </row>
        <row r="26">
          <cell r="K26">
            <v>326504</v>
          </cell>
          <cell r="P26">
            <v>326504</v>
          </cell>
          <cell r="U26">
            <v>367327</v>
          </cell>
          <cell r="Z26">
            <v>386000</v>
          </cell>
          <cell r="AE26">
            <v>400000</v>
          </cell>
        </row>
        <row r="27">
          <cell r="K27">
            <v>48511</v>
          </cell>
          <cell r="P27">
            <v>48511</v>
          </cell>
          <cell r="U27">
            <v>52000</v>
          </cell>
          <cell r="Z27">
            <v>54000</v>
          </cell>
          <cell r="AE27">
            <v>56000</v>
          </cell>
        </row>
        <row r="28">
          <cell r="K28">
            <v>2000</v>
          </cell>
          <cell r="P28">
            <v>2000</v>
          </cell>
          <cell r="U28">
            <v>2000</v>
          </cell>
          <cell r="Z28">
            <v>2000</v>
          </cell>
          <cell r="AE28">
            <v>2000</v>
          </cell>
        </row>
        <row r="29">
          <cell r="K29">
            <v>274623</v>
          </cell>
          <cell r="P29">
            <v>274623</v>
          </cell>
          <cell r="U29">
            <v>327868.91231904214</v>
          </cell>
          <cell r="Z29">
            <v>347000</v>
          </cell>
          <cell r="AE29">
            <v>361000</v>
          </cell>
        </row>
        <row r="30">
          <cell r="K30">
            <v>0</v>
          </cell>
          <cell r="P30">
            <v>431000</v>
          </cell>
          <cell r="U30">
            <v>0</v>
          </cell>
          <cell r="Z30">
            <v>0</v>
          </cell>
          <cell r="AE30">
            <v>0</v>
          </cell>
        </row>
        <row r="31">
          <cell r="K31">
            <v>0</v>
          </cell>
          <cell r="P31">
            <v>357489.34666666656</v>
          </cell>
          <cell r="U31">
            <v>717399.2</v>
          </cell>
          <cell r="Z31">
            <v>882854.2423493322</v>
          </cell>
          <cell r="AE31">
            <v>1237230.2030542626</v>
          </cell>
        </row>
        <row r="32">
          <cell r="K32">
            <v>0</v>
          </cell>
          <cell r="P32">
            <v>153209.71999999997</v>
          </cell>
          <cell r="U32">
            <v>0</v>
          </cell>
          <cell r="Z32">
            <v>0</v>
          </cell>
          <cell r="AE32">
            <v>0</v>
          </cell>
        </row>
        <row r="33">
          <cell r="K33">
            <v>0</v>
          </cell>
          <cell r="P33">
            <v>0</v>
          </cell>
          <cell r="U33">
            <v>3000</v>
          </cell>
          <cell r="Z33">
            <v>3000</v>
          </cell>
          <cell r="AE33">
            <v>3000</v>
          </cell>
        </row>
        <row r="35">
          <cell r="K35">
            <v>2417971</v>
          </cell>
          <cell r="P35">
            <v>2417971</v>
          </cell>
          <cell r="U35">
            <v>1814491</v>
          </cell>
          <cell r="Z35">
            <v>2205000</v>
          </cell>
          <cell r="AE35">
            <v>2205000</v>
          </cell>
        </row>
        <row r="36">
          <cell r="K36">
            <v>179036</v>
          </cell>
          <cell r="P36">
            <v>179036</v>
          </cell>
          <cell r="U36">
            <v>174485</v>
          </cell>
          <cell r="Z36">
            <v>174485.3</v>
          </cell>
          <cell r="AE36">
            <v>174485.3</v>
          </cell>
        </row>
        <row r="37">
          <cell r="K37">
            <v>0</v>
          </cell>
          <cell r="P37">
            <v>0</v>
          </cell>
          <cell r="U37">
            <v>0</v>
          </cell>
          <cell r="Z37">
            <v>0</v>
          </cell>
          <cell r="AE37">
            <v>0</v>
          </cell>
        </row>
        <row r="38">
          <cell r="K38">
            <v>31500</v>
          </cell>
          <cell r="P38">
            <v>31500</v>
          </cell>
          <cell r="U38">
            <v>0</v>
          </cell>
          <cell r="Z38">
            <v>0</v>
          </cell>
          <cell r="AE38">
            <v>0</v>
          </cell>
        </row>
      </sheetData>
      <sheetData sheetId="4">
        <row r="8">
          <cell r="AE8">
            <v>8035900</v>
          </cell>
          <cell r="AF8">
            <v>7016452</v>
          </cell>
          <cell r="AG8">
            <v>6708777</v>
          </cell>
          <cell r="AH8">
            <v>7487310.8303279998</v>
          </cell>
          <cell r="AO8">
            <v>7440000</v>
          </cell>
          <cell r="AP8">
            <v>8058810.7366289999</v>
          </cell>
        </row>
        <row r="28">
          <cell r="AE28">
            <v>105000</v>
          </cell>
          <cell r="AF28">
            <v>196854</v>
          </cell>
          <cell r="AG28">
            <v>110000</v>
          </cell>
          <cell r="AH28">
            <v>389783.37025500002</v>
          </cell>
          <cell r="AO28">
            <v>150000</v>
          </cell>
          <cell r="AP28">
            <v>281887.67128599994</v>
          </cell>
        </row>
        <row r="32">
          <cell r="AG32">
            <v>6803512</v>
          </cell>
          <cell r="AO32">
            <v>6487488</v>
          </cell>
          <cell r="AP32">
            <v>6487488</v>
          </cell>
        </row>
        <row r="34">
          <cell r="AE34">
            <v>1263824</v>
          </cell>
          <cell r="AG34">
            <v>1127000</v>
          </cell>
          <cell r="AO34">
            <v>2417971</v>
          </cell>
        </row>
        <row r="35">
          <cell r="AE35">
            <v>416452</v>
          </cell>
          <cell r="AG35">
            <v>86473</v>
          </cell>
          <cell r="AO35">
            <v>179036</v>
          </cell>
        </row>
        <row r="36">
          <cell r="AE36">
            <v>202194</v>
          </cell>
          <cell r="AG36">
            <v>0</v>
          </cell>
          <cell r="AO36">
            <v>0</v>
          </cell>
        </row>
        <row r="37">
          <cell r="AE37">
            <v>816873</v>
          </cell>
          <cell r="AF37">
            <v>816873</v>
          </cell>
          <cell r="AG37">
            <v>179391</v>
          </cell>
          <cell r="AO37">
            <v>0</v>
          </cell>
          <cell r="AP37">
            <v>431000</v>
          </cell>
        </row>
        <row r="38">
          <cell r="AE38">
            <v>61200</v>
          </cell>
          <cell r="AF38">
            <v>61200</v>
          </cell>
          <cell r="AG38">
            <v>48300</v>
          </cell>
          <cell r="AH38">
            <v>48300</v>
          </cell>
          <cell r="AO38">
            <v>31500</v>
          </cell>
          <cell r="AP38">
            <v>31500</v>
          </cell>
        </row>
      </sheetData>
      <sheetData sheetId="5">
        <row r="10">
          <cell r="AG10">
            <v>14663187.066666666</v>
          </cell>
        </row>
        <row r="11">
          <cell r="X11">
            <v>3381485</v>
          </cell>
          <cell r="Y11">
            <v>4460541</v>
          </cell>
          <cell r="Z11">
            <v>3374957</v>
          </cell>
        </row>
        <row r="16">
          <cell r="X16">
            <v>8465821</v>
          </cell>
          <cell r="Y16">
            <v>9613280</v>
          </cell>
          <cell r="Z16">
            <v>9140657</v>
          </cell>
        </row>
        <row r="30">
          <cell r="X30">
            <v>2000</v>
          </cell>
          <cell r="Y30">
            <v>2000</v>
          </cell>
          <cell r="Z30">
            <v>2000</v>
          </cell>
        </row>
        <row r="31">
          <cell r="X31">
            <v>233960</v>
          </cell>
          <cell r="Z31">
            <v>273066</v>
          </cell>
          <cell r="AA31">
            <v>0</v>
          </cell>
        </row>
        <row r="32">
          <cell r="X32">
            <v>606749</v>
          </cell>
          <cell r="Y32">
            <v>0</v>
          </cell>
          <cell r="Z32">
            <v>0</v>
          </cell>
        </row>
        <row r="33">
          <cell r="X33">
            <v>0</v>
          </cell>
          <cell r="Y33">
            <v>0</v>
          </cell>
          <cell r="Z33">
            <v>0</v>
          </cell>
        </row>
        <row r="34">
          <cell r="X34">
            <v>0</v>
          </cell>
          <cell r="Y34">
            <v>0</v>
          </cell>
          <cell r="Z34">
            <v>0</v>
          </cell>
        </row>
        <row r="35">
          <cell r="X35">
            <v>2100</v>
          </cell>
          <cell r="Y35">
            <v>823</v>
          </cell>
          <cell r="Z35">
            <v>2000</v>
          </cell>
        </row>
        <row r="37">
          <cell r="N37">
            <v>158489</v>
          </cell>
          <cell r="P37">
            <v>237567</v>
          </cell>
          <cell r="R37">
            <v>426575</v>
          </cell>
        </row>
        <row r="38">
          <cell r="N38">
            <v>1503647</v>
          </cell>
          <cell r="P38">
            <v>849684</v>
          </cell>
          <cell r="R38">
            <v>906600</v>
          </cell>
          <cell r="X38">
            <v>1263824</v>
          </cell>
          <cell r="Z38">
            <v>1127000</v>
          </cell>
          <cell r="AA38">
            <v>1481267</v>
          </cell>
          <cell r="AF38">
            <v>2417971</v>
          </cell>
          <cell r="AH38">
            <v>1814491</v>
          </cell>
          <cell r="AI38">
            <v>2205000</v>
          </cell>
          <cell r="AO38">
            <v>2205000</v>
          </cell>
        </row>
        <row r="39">
          <cell r="N39">
            <v>156150</v>
          </cell>
          <cell r="P39">
            <v>423993</v>
          </cell>
          <cell r="R39">
            <v>267388</v>
          </cell>
          <cell r="X39">
            <v>106970</v>
          </cell>
          <cell r="Z39">
            <v>86473</v>
          </cell>
          <cell r="AA39">
            <v>86473</v>
          </cell>
          <cell r="AF39">
            <v>179036</v>
          </cell>
          <cell r="AH39">
            <v>174485</v>
          </cell>
          <cell r="AI39">
            <v>174485.3</v>
          </cell>
          <cell r="AO39">
            <v>174485.3</v>
          </cell>
        </row>
        <row r="40">
          <cell r="N40">
            <v>0</v>
          </cell>
          <cell r="P40">
            <v>0</v>
          </cell>
          <cell r="R40">
            <v>0</v>
          </cell>
          <cell r="X40">
            <v>0</v>
          </cell>
          <cell r="Y40">
            <v>0</v>
          </cell>
          <cell r="Z40">
            <v>0</v>
          </cell>
          <cell r="AF40">
            <v>0</v>
          </cell>
          <cell r="AH40">
            <v>0</v>
          </cell>
          <cell r="AI40">
            <v>0</v>
          </cell>
          <cell r="AO40">
            <v>0</v>
          </cell>
        </row>
        <row r="41">
          <cell r="X41">
            <v>61200</v>
          </cell>
          <cell r="Y41">
            <v>78453</v>
          </cell>
          <cell r="AA41">
            <v>12155.078450000001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V7">
            <v>4422430</v>
          </cell>
          <cell r="W7">
            <v>3753500</v>
          </cell>
        </row>
        <row r="9">
          <cell r="V9">
            <v>1908430</v>
          </cell>
          <cell r="W9">
            <v>2610500</v>
          </cell>
        </row>
      </sheetData>
      <sheetData sheetId="27"/>
      <sheetData sheetId="28"/>
      <sheetData sheetId="29"/>
      <sheetData sheetId="30"/>
      <sheetData sheetId="31">
        <row r="8">
          <cell r="E8">
            <v>6704000</v>
          </cell>
          <cell r="F8">
            <v>3806650</v>
          </cell>
          <cell r="G8">
            <v>2897350</v>
          </cell>
          <cell r="K8">
            <v>7450399.7999999998</v>
          </cell>
          <cell r="L8">
            <v>3862350.7333333334</v>
          </cell>
          <cell r="M8">
            <v>3588049.0666666664</v>
          </cell>
          <cell r="Q8">
            <v>8485000</v>
          </cell>
          <cell r="R8">
            <v>4544420</v>
          </cell>
          <cell r="S8">
            <v>3940580</v>
          </cell>
          <cell r="W8">
            <v>9117505.0846986659</v>
          </cell>
          <cell r="X8">
            <v>5621404.8269772194</v>
          </cell>
          <cell r="Y8">
            <v>3496100.2577214451</v>
          </cell>
          <cell r="AC8">
            <v>9913851.3061085232</v>
          </cell>
          <cell r="AD8">
            <v>6174950.8132625353</v>
          </cell>
          <cell r="AE8">
            <v>3738900.4928459888</v>
          </cell>
        </row>
        <row r="9">
          <cell r="C9">
            <v>7440000</v>
          </cell>
          <cell r="H9">
            <v>7999999.7999999998</v>
          </cell>
          <cell r="N9">
            <v>9066000</v>
          </cell>
          <cell r="T9">
            <v>9999999.6999999993</v>
          </cell>
          <cell r="Z9">
            <v>10870000</v>
          </cell>
        </row>
        <row r="12">
          <cell r="E12">
            <v>196000</v>
          </cell>
          <cell r="H12">
            <v>154000</v>
          </cell>
          <cell r="Q12">
            <v>170000</v>
          </cell>
          <cell r="W12">
            <v>244000</v>
          </cell>
          <cell r="AC12">
            <v>268000</v>
          </cell>
        </row>
        <row r="13">
          <cell r="E13">
            <v>12000</v>
          </cell>
          <cell r="H13">
            <v>37000</v>
          </cell>
          <cell r="Q13">
            <v>20000</v>
          </cell>
          <cell r="W13">
            <v>14000</v>
          </cell>
          <cell r="AC13">
            <v>15000</v>
          </cell>
        </row>
        <row r="14">
          <cell r="E14">
            <v>42000</v>
          </cell>
          <cell r="H14">
            <v>18990</v>
          </cell>
          <cell r="Q14">
            <v>40000</v>
          </cell>
          <cell r="W14">
            <v>51999.7</v>
          </cell>
          <cell r="AC14">
            <v>57000</v>
          </cell>
        </row>
        <row r="18">
          <cell r="E18">
            <v>183000</v>
          </cell>
          <cell r="H18">
            <v>100000</v>
          </cell>
          <cell r="Q18">
            <v>110000</v>
          </cell>
          <cell r="W18">
            <v>241000</v>
          </cell>
          <cell r="AC18">
            <v>263000</v>
          </cell>
        </row>
        <row r="19">
          <cell r="E19">
            <v>65000</v>
          </cell>
          <cell r="H19">
            <v>100000</v>
          </cell>
          <cell r="Q19">
            <v>106000</v>
          </cell>
          <cell r="W19">
            <v>103000</v>
          </cell>
          <cell r="AC19">
            <v>112000</v>
          </cell>
        </row>
        <row r="20">
          <cell r="E20">
            <v>0</v>
          </cell>
          <cell r="H20">
            <v>0</v>
          </cell>
          <cell r="Q20">
            <v>0</v>
          </cell>
          <cell r="W20">
            <v>0</v>
          </cell>
          <cell r="AC20">
            <v>0</v>
          </cell>
        </row>
        <row r="24">
          <cell r="E24">
            <v>18000</v>
          </cell>
          <cell r="H24">
            <v>15000</v>
          </cell>
          <cell r="Q24">
            <v>16000</v>
          </cell>
          <cell r="W24">
            <v>22000</v>
          </cell>
          <cell r="AC24">
            <v>24000</v>
          </cell>
        </row>
        <row r="25">
          <cell r="E25">
            <v>52000</v>
          </cell>
          <cell r="H25">
            <v>54990</v>
          </cell>
          <cell r="Q25">
            <v>59000</v>
          </cell>
          <cell r="W25">
            <v>78000</v>
          </cell>
          <cell r="AC25">
            <v>86000</v>
          </cell>
        </row>
        <row r="29">
          <cell r="E29">
            <v>651170</v>
          </cell>
          <cell r="H29">
            <v>728899.9</v>
          </cell>
          <cell r="Q29">
            <v>724290</v>
          </cell>
          <cell r="W29">
            <v>910000</v>
          </cell>
          <cell r="AC29">
            <v>1004000</v>
          </cell>
        </row>
        <row r="30">
          <cell r="E30">
            <v>524980</v>
          </cell>
          <cell r="H30">
            <v>790000</v>
          </cell>
          <cell r="Q30">
            <v>905790</v>
          </cell>
          <cell r="W30">
            <v>592000</v>
          </cell>
          <cell r="AC30">
            <v>655000</v>
          </cell>
        </row>
        <row r="31">
          <cell r="E31">
            <v>85120</v>
          </cell>
          <cell r="H31">
            <v>76000.2</v>
          </cell>
          <cell r="Q31">
            <v>63450</v>
          </cell>
          <cell r="W31">
            <v>109400</v>
          </cell>
          <cell r="AC31">
            <v>122000</v>
          </cell>
        </row>
        <row r="37">
          <cell r="E37">
            <v>600000</v>
          </cell>
          <cell r="H37">
            <v>710000</v>
          </cell>
          <cell r="Q37">
            <v>730000</v>
          </cell>
          <cell r="W37">
            <v>870000</v>
          </cell>
          <cell r="AC37">
            <v>940000</v>
          </cell>
        </row>
        <row r="38">
          <cell r="E38">
            <v>900000</v>
          </cell>
          <cell r="H38">
            <v>980000</v>
          </cell>
          <cell r="Q38">
            <v>639000</v>
          </cell>
          <cell r="W38">
            <v>1050000</v>
          </cell>
          <cell r="AC38">
            <v>1140000</v>
          </cell>
        </row>
        <row r="40">
          <cell r="F40">
            <v>100000</v>
          </cell>
          <cell r="G40">
            <v>800000</v>
          </cell>
          <cell r="L40">
            <v>100000</v>
          </cell>
          <cell r="M40">
            <v>980000</v>
          </cell>
          <cell r="R40">
            <v>627000</v>
          </cell>
          <cell r="S40">
            <v>1143000</v>
          </cell>
          <cell r="X40">
            <v>425099.74576271186</v>
          </cell>
          <cell r="Y40">
            <v>774900.25423728814</v>
          </cell>
          <cell r="AD40">
            <v>446399.73305084754</v>
          </cell>
          <cell r="AE40">
            <v>813600.26694915246</v>
          </cell>
        </row>
        <row r="46">
          <cell r="F46">
            <v>0</v>
          </cell>
          <cell r="G46">
            <v>0</v>
          </cell>
          <cell r="L46">
            <v>0</v>
          </cell>
          <cell r="M46">
            <v>0</v>
          </cell>
          <cell r="R46">
            <v>0</v>
          </cell>
          <cell r="S46">
            <v>0</v>
          </cell>
          <cell r="X46">
            <v>0</v>
          </cell>
          <cell r="Y46">
            <v>0</v>
          </cell>
          <cell r="AD46">
            <v>0</v>
          </cell>
          <cell r="AE46">
            <v>0</v>
          </cell>
        </row>
        <row r="48">
          <cell r="F48">
            <v>1600000</v>
          </cell>
          <cell r="G48">
            <v>0</v>
          </cell>
          <cell r="L48">
            <v>1950000</v>
          </cell>
          <cell r="M48">
            <v>0</v>
          </cell>
          <cell r="R48">
            <v>1950000</v>
          </cell>
          <cell r="S48">
            <v>0</v>
          </cell>
          <cell r="X48">
            <v>2322000</v>
          </cell>
          <cell r="Y48">
            <v>0</v>
          </cell>
          <cell r="AD48">
            <v>2500000</v>
          </cell>
          <cell r="AE48">
            <v>0</v>
          </cell>
        </row>
        <row r="49">
          <cell r="C49">
            <v>150000</v>
          </cell>
          <cell r="H49">
            <v>150745.51999999999</v>
          </cell>
          <cell r="N49">
            <v>200000</v>
          </cell>
          <cell r="T49">
            <v>162500</v>
          </cell>
          <cell r="Z49">
            <v>169000</v>
          </cell>
        </row>
        <row r="53">
          <cell r="C53">
            <v>6487488</v>
          </cell>
          <cell r="F53">
            <v>6487488</v>
          </cell>
          <cell r="G53">
            <v>0</v>
          </cell>
          <cell r="H53">
            <v>6487488</v>
          </cell>
          <cell r="L53">
            <v>6487488</v>
          </cell>
          <cell r="N53">
            <v>6617188</v>
          </cell>
          <cell r="R53">
            <v>6617188</v>
          </cell>
          <cell r="S53">
            <v>0</v>
          </cell>
          <cell r="T53">
            <v>6617188</v>
          </cell>
          <cell r="X53">
            <v>6617188</v>
          </cell>
          <cell r="Y53">
            <v>0</v>
          </cell>
          <cell r="Z53">
            <v>6617188</v>
          </cell>
          <cell r="AD53">
            <v>6617188</v>
          </cell>
          <cell r="AE53">
            <v>0</v>
          </cell>
        </row>
        <row r="55">
          <cell r="B55" t="str">
            <v>Bổ sung thực hiện mục tiêu, nhiệm vụ quan trọng (vốn đầu tư phát triển)</v>
          </cell>
          <cell r="C55">
            <v>2417971</v>
          </cell>
          <cell r="F55">
            <v>2417971</v>
          </cell>
          <cell r="G55">
            <v>0</v>
          </cell>
          <cell r="H55">
            <v>2417971</v>
          </cell>
          <cell r="L55">
            <v>2417971</v>
          </cell>
          <cell r="M55">
            <v>0</v>
          </cell>
          <cell r="N55">
            <v>1814491</v>
          </cell>
          <cell r="R55">
            <v>1814491</v>
          </cell>
          <cell r="S55">
            <v>0</v>
          </cell>
          <cell r="T55">
            <v>2205000</v>
          </cell>
          <cell r="X55">
            <v>2205000</v>
          </cell>
          <cell r="Y55">
            <v>0</v>
          </cell>
          <cell r="Z55">
            <v>2205000</v>
          </cell>
          <cell r="AD55">
            <v>2205000</v>
          </cell>
          <cell r="AE55">
            <v>0</v>
          </cell>
        </row>
        <row r="56">
          <cell r="B56" t="str">
            <v>Bổ sung thực hiện mục tiêu, nhiệm vụ quan trọng (kinh phí sự nghiệp)</v>
          </cell>
          <cell r="C56">
            <v>179036</v>
          </cell>
          <cell r="F56">
            <v>179036</v>
          </cell>
          <cell r="G56">
            <v>0</v>
          </cell>
          <cell r="H56">
            <v>179036</v>
          </cell>
          <cell r="L56">
            <v>179036</v>
          </cell>
          <cell r="M56">
            <v>0</v>
          </cell>
          <cell r="N56">
            <v>174485</v>
          </cell>
          <cell r="R56">
            <v>174485</v>
          </cell>
          <cell r="S56">
            <v>0</v>
          </cell>
          <cell r="T56">
            <v>174485.3</v>
          </cell>
          <cell r="X56">
            <v>174485.3</v>
          </cell>
          <cell r="Y56">
            <v>0</v>
          </cell>
          <cell r="Z56">
            <v>174485.3</v>
          </cell>
          <cell r="AD56">
            <v>174485.3</v>
          </cell>
          <cell r="AE56">
            <v>0</v>
          </cell>
        </row>
        <row r="57">
          <cell r="B57" t="str">
            <v>Bổ sung nguồn thực hiện CCTL (nếu có); đảm bảo nhiệm vụ chi</v>
          </cell>
          <cell r="C57">
            <v>0</v>
          </cell>
          <cell r="F57">
            <v>0</v>
          </cell>
          <cell r="G57">
            <v>0</v>
          </cell>
          <cell r="H57">
            <v>0</v>
          </cell>
          <cell r="L57">
            <v>0</v>
          </cell>
          <cell r="M57">
            <v>0</v>
          </cell>
          <cell r="N57">
            <v>650315</v>
          </cell>
          <cell r="R57">
            <v>650315</v>
          </cell>
          <cell r="S57">
            <v>0</v>
          </cell>
          <cell r="T57">
            <v>650315</v>
          </cell>
          <cell r="Y57">
            <v>0</v>
          </cell>
          <cell r="Z57">
            <v>650315</v>
          </cell>
          <cell r="AD57">
            <v>650315</v>
          </cell>
          <cell r="AE57">
            <v>0</v>
          </cell>
        </row>
        <row r="58">
          <cell r="C58">
            <v>0</v>
          </cell>
          <cell r="F58">
            <v>0</v>
          </cell>
          <cell r="G58">
            <v>0</v>
          </cell>
          <cell r="H58">
            <v>431000</v>
          </cell>
          <cell r="L58">
            <v>89700</v>
          </cell>
          <cell r="M58">
            <v>341300</v>
          </cell>
          <cell r="N58">
            <v>886000</v>
          </cell>
          <cell r="R58">
            <v>0</v>
          </cell>
          <cell r="S58">
            <v>886000</v>
          </cell>
          <cell r="T58">
            <v>717399.2</v>
          </cell>
          <cell r="X58">
            <v>79139.200000000012</v>
          </cell>
          <cell r="Y58">
            <v>638260</v>
          </cell>
          <cell r="Z58">
            <v>882854.2423493322</v>
          </cell>
          <cell r="AD58">
            <v>567070.94060725369</v>
          </cell>
          <cell r="AE58">
            <v>315783.30174207845</v>
          </cell>
        </row>
        <row r="59">
          <cell r="C59">
            <v>31500</v>
          </cell>
          <cell r="F59">
            <v>31500</v>
          </cell>
          <cell r="G59">
            <v>0</v>
          </cell>
          <cell r="H59">
            <v>31500</v>
          </cell>
          <cell r="L59">
            <v>31500</v>
          </cell>
          <cell r="M59">
            <v>0</v>
          </cell>
          <cell r="N59">
            <v>0</v>
          </cell>
          <cell r="R59">
            <v>0</v>
          </cell>
          <cell r="S59">
            <v>0</v>
          </cell>
          <cell r="T59">
            <v>0</v>
          </cell>
          <cell r="X59">
            <v>0</v>
          </cell>
          <cell r="Y59">
            <v>0</v>
          </cell>
          <cell r="Z59">
            <v>0</v>
          </cell>
          <cell r="AD59">
            <v>0</v>
          </cell>
          <cell r="AE59">
            <v>0</v>
          </cell>
        </row>
      </sheetData>
      <sheetData sheetId="32">
        <row r="9">
          <cell r="C9">
            <v>3561000</v>
          </cell>
          <cell r="F9">
            <v>4091000</v>
          </cell>
          <cell r="K9">
            <v>4923186.4089698764</v>
          </cell>
          <cell r="P9">
            <v>4795000</v>
          </cell>
          <cell r="U9">
            <v>5085000</v>
          </cell>
        </row>
        <row r="10">
          <cell r="D10">
            <v>540000</v>
          </cell>
          <cell r="E10">
            <v>521000</v>
          </cell>
          <cell r="I10">
            <v>540000</v>
          </cell>
          <cell r="J10">
            <v>521000</v>
          </cell>
          <cell r="N10">
            <v>562186</v>
          </cell>
          <cell r="O10">
            <v>581000.40896987612</v>
          </cell>
          <cell r="S10">
            <v>632000</v>
          </cell>
          <cell r="T10">
            <v>581000</v>
          </cell>
          <cell r="X10">
            <v>684000</v>
          </cell>
          <cell r="Y10">
            <v>581000</v>
          </cell>
        </row>
        <row r="11">
          <cell r="D11">
            <v>100000</v>
          </cell>
          <cell r="E11">
            <v>800000</v>
          </cell>
          <cell r="I11">
            <v>100000</v>
          </cell>
          <cell r="J11">
            <v>980000</v>
          </cell>
          <cell r="N11">
            <v>627000</v>
          </cell>
          <cell r="O11">
            <v>1143000</v>
          </cell>
          <cell r="S11">
            <v>425099.74576271186</v>
          </cell>
          <cell r="T11">
            <v>774900.25423728814</v>
          </cell>
          <cell r="X11">
            <v>446399.73305084754</v>
          </cell>
          <cell r="Y11">
            <v>813600.26694915246</v>
          </cell>
        </row>
        <row r="12">
          <cell r="D12">
            <v>1600000</v>
          </cell>
          <cell r="E12">
            <v>0</v>
          </cell>
          <cell r="I12">
            <v>1950000</v>
          </cell>
          <cell r="J12">
            <v>0</v>
          </cell>
          <cell r="N12">
            <v>1950000</v>
          </cell>
          <cell r="O12">
            <v>0</v>
          </cell>
          <cell r="S12">
            <v>2322000</v>
          </cell>
          <cell r="T12">
            <v>0</v>
          </cell>
          <cell r="X12">
            <v>2500000</v>
          </cell>
          <cell r="Y12">
            <v>0</v>
          </cell>
        </row>
        <row r="13">
          <cell r="D13">
            <v>0</v>
          </cell>
          <cell r="E13">
            <v>0</v>
          </cell>
          <cell r="I13">
            <v>0</v>
          </cell>
          <cell r="J13">
            <v>0</v>
          </cell>
          <cell r="N13">
            <v>0</v>
          </cell>
          <cell r="O13">
            <v>0</v>
          </cell>
          <cell r="S13">
            <v>0</v>
          </cell>
          <cell r="T13">
            <v>0</v>
          </cell>
          <cell r="X13">
            <v>0</v>
          </cell>
          <cell r="Y13">
            <v>0</v>
          </cell>
        </row>
        <row r="14">
          <cell r="N14">
            <v>60000</v>
          </cell>
        </row>
        <row r="15">
          <cell r="C15">
            <v>9353865</v>
          </cell>
          <cell r="D15">
            <v>3168035</v>
          </cell>
          <cell r="E15">
            <v>6185830</v>
          </cell>
          <cell r="F15">
            <v>9353865</v>
          </cell>
          <cell r="I15">
            <v>3168035</v>
          </cell>
          <cell r="J15">
            <v>6185830</v>
          </cell>
          <cell r="K15">
            <v>10664978.394711081</v>
          </cell>
          <cell r="N15">
            <v>3294440</v>
          </cell>
          <cell r="O15">
            <v>7370538.3947110809</v>
          </cell>
          <cell r="P15">
            <v>11071000</v>
          </cell>
          <cell r="S15">
            <v>3701000</v>
          </cell>
          <cell r="T15">
            <v>7370000</v>
          </cell>
          <cell r="U15">
            <v>11373000</v>
          </cell>
          <cell r="X15">
            <v>4003000</v>
          </cell>
          <cell r="Y15">
            <v>7370000</v>
          </cell>
        </row>
        <row r="19">
          <cell r="D19">
            <v>31000</v>
          </cell>
          <cell r="I19">
            <v>31000</v>
          </cell>
          <cell r="N19">
            <v>31218</v>
          </cell>
          <cell r="O19">
            <v>0</v>
          </cell>
          <cell r="S19">
            <v>35000</v>
          </cell>
          <cell r="X19">
            <v>38000</v>
          </cell>
        </row>
        <row r="20">
          <cell r="D20">
            <v>1017035</v>
          </cell>
          <cell r="E20">
            <v>3162710</v>
          </cell>
          <cell r="I20">
            <v>1017035</v>
          </cell>
          <cell r="J20">
            <v>3162710</v>
          </cell>
          <cell r="N20">
            <v>956676</v>
          </cell>
          <cell r="O20">
            <v>3841269.7831797441</v>
          </cell>
          <cell r="S20">
            <v>1075000</v>
          </cell>
          <cell r="T20">
            <v>3841000</v>
          </cell>
          <cell r="X20">
            <v>1163000</v>
          </cell>
          <cell r="Y20">
            <v>3841000</v>
          </cell>
        </row>
        <row r="29">
          <cell r="C29">
            <v>2000</v>
          </cell>
          <cell r="D29">
            <v>2000</v>
          </cell>
          <cell r="E29">
            <v>0</v>
          </cell>
          <cell r="F29">
            <v>2000</v>
          </cell>
          <cell r="I29">
            <v>2000</v>
          </cell>
          <cell r="J29">
            <v>0</v>
          </cell>
          <cell r="K29">
            <v>2000</v>
          </cell>
          <cell r="N29">
            <v>2000</v>
          </cell>
          <cell r="O29">
            <v>0</v>
          </cell>
          <cell r="P29">
            <v>2000</v>
          </cell>
          <cell r="S29">
            <v>2000</v>
          </cell>
          <cell r="T29">
            <v>0</v>
          </cell>
          <cell r="U29">
            <v>2000</v>
          </cell>
          <cell r="X29">
            <v>2000</v>
          </cell>
          <cell r="Y29">
            <v>0</v>
          </cell>
        </row>
        <row r="30">
          <cell r="C30">
            <v>274623</v>
          </cell>
          <cell r="D30">
            <v>135382</v>
          </cell>
          <cell r="E30">
            <v>139241</v>
          </cell>
          <cell r="F30">
            <v>274623</v>
          </cell>
          <cell r="I30">
            <v>135382</v>
          </cell>
          <cell r="J30">
            <v>139241</v>
          </cell>
          <cell r="K30">
            <v>327868.91231904214</v>
          </cell>
          <cell r="N30">
            <v>152264.36799999999</v>
          </cell>
          <cell r="O30">
            <v>175604.54431904212</v>
          </cell>
          <cell r="P30">
            <v>347000</v>
          </cell>
          <cell r="S30">
            <v>171000</v>
          </cell>
          <cell r="T30">
            <v>176000</v>
          </cell>
          <cell r="U30">
            <v>361000</v>
          </cell>
          <cell r="X30">
            <v>185000</v>
          </cell>
          <cell r="Y30">
            <v>176000</v>
          </cell>
        </row>
        <row r="31">
          <cell r="F31">
            <v>431000</v>
          </cell>
          <cell r="I31">
            <v>89700</v>
          </cell>
          <cell r="J31">
            <v>341300</v>
          </cell>
          <cell r="K31">
            <v>0</v>
          </cell>
          <cell r="N31">
            <v>0</v>
          </cell>
          <cell r="O31">
            <v>0</v>
          </cell>
          <cell r="P31">
            <v>0</v>
          </cell>
          <cell r="S31">
            <v>0</v>
          </cell>
          <cell r="T31">
            <v>0</v>
          </cell>
          <cell r="U31">
            <v>0</v>
          </cell>
          <cell r="X31">
            <v>0</v>
          </cell>
          <cell r="Y31">
            <v>0</v>
          </cell>
        </row>
        <row r="32">
          <cell r="F32">
            <v>357489.34666666656</v>
          </cell>
          <cell r="I32">
            <v>0</v>
          </cell>
          <cell r="J32">
            <v>357489.34666666656</v>
          </cell>
          <cell r="K32">
            <v>717399.2</v>
          </cell>
          <cell r="N32">
            <v>79139.200000000012</v>
          </cell>
          <cell r="O32">
            <v>638260</v>
          </cell>
          <cell r="P32">
            <v>882854.2423493322</v>
          </cell>
          <cell r="S32">
            <v>567070.94060725369</v>
          </cell>
          <cell r="T32">
            <v>315783.30174207845</v>
          </cell>
          <cell r="U32">
            <v>1237230.2030542626</v>
          </cell>
          <cell r="X32">
            <v>1039823.5401058444</v>
          </cell>
          <cell r="Y32">
            <v>197406.66294841812</v>
          </cell>
        </row>
        <row r="33">
          <cell r="F33">
            <v>153209.71999999997</v>
          </cell>
          <cell r="I33">
            <v>0</v>
          </cell>
          <cell r="J33">
            <v>153209.71999999997</v>
          </cell>
          <cell r="K33">
            <v>0</v>
          </cell>
          <cell r="N33">
            <v>0</v>
          </cell>
          <cell r="O33">
            <v>0</v>
          </cell>
          <cell r="P33">
            <v>0</v>
          </cell>
          <cell r="S33">
            <v>0</v>
          </cell>
          <cell r="T33">
            <v>0</v>
          </cell>
          <cell r="U33">
            <v>0</v>
          </cell>
          <cell r="X33">
            <v>0</v>
          </cell>
          <cell r="Y33">
            <v>0</v>
          </cell>
        </row>
        <row r="34">
          <cell r="C34">
            <v>0</v>
          </cell>
          <cell r="D34">
            <v>0</v>
          </cell>
          <cell r="E34">
            <v>0</v>
          </cell>
          <cell r="F34">
            <v>0</v>
          </cell>
          <cell r="I34">
            <v>0</v>
          </cell>
          <cell r="J34">
            <v>0</v>
          </cell>
          <cell r="K34">
            <v>3000</v>
          </cell>
          <cell r="N34">
            <v>3000</v>
          </cell>
          <cell r="O34">
            <v>0</v>
          </cell>
          <cell r="P34">
            <v>3000</v>
          </cell>
          <cell r="S34">
            <v>3000</v>
          </cell>
          <cell r="T34">
            <v>0</v>
          </cell>
          <cell r="U34">
            <v>3000</v>
          </cell>
          <cell r="X34">
            <v>3000</v>
          </cell>
          <cell r="Y34">
            <v>0</v>
          </cell>
        </row>
        <row r="36">
          <cell r="C36">
            <v>2417971</v>
          </cell>
          <cell r="D36">
            <v>2417971</v>
          </cell>
          <cell r="E36">
            <v>0</v>
          </cell>
          <cell r="F36">
            <v>2417971</v>
          </cell>
          <cell r="I36">
            <v>2417971</v>
          </cell>
          <cell r="K36">
            <v>1814491</v>
          </cell>
          <cell r="N36">
            <v>1814491</v>
          </cell>
          <cell r="P36">
            <v>2205000</v>
          </cell>
          <cell r="S36">
            <v>2205000</v>
          </cell>
          <cell r="U36">
            <v>2205000</v>
          </cell>
          <cell r="X36">
            <v>2205000</v>
          </cell>
          <cell r="Y36">
            <v>0</v>
          </cell>
        </row>
        <row r="37">
          <cell r="C37">
            <v>179036</v>
          </cell>
          <cell r="D37">
            <v>179036</v>
          </cell>
          <cell r="E37">
            <v>0</v>
          </cell>
          <cell r="F37">
            <v>179036</v>
          </cell>
          <cell r="I37">
            <v>179036</v>
          </cell>
          <cell r="K37">
            <v>174485</v>
          </cell>
          <cell r="N37">
            <v>174485</v>
          </cell>
          <cell r="P37">
            <v>174485.3</v>
          </cell>
          <cell r="S37">
            <v>174485.3</v>
          </cell>
          <cell r="U37">
            <v>174485.3</v>
          </cell>
          <cell r="X37">
            <v>174485.3</v>
          </cell>
          <cell r="Y37">
            <v>0</v>
          </cell>
        </row>
        <row r="38">
          <cell r="C38">
            <v>0</v>
          </cell>
          <cell r="D38">
            <v>0</v>
          </cell>
          <cell r="E38">
            <v>0</v>
          </cell>
          <cell r="F38">
            <v>0</v>
          </cell>
          <cell r="I38">
            <v>0</v>
          </cell>
          <cell r="K38">
            <v>0</v>
          </cell>
          <cell r="N38">
            <v>0</v>
          </cell>
          <cell r="P38">
            <v>0</v>
          </cell>
          <cell r="S38">
            <v>0</v>
          </cell>
          <cell r="U38">
            <v>0</v>
          </cell>
          <cell r="X38">
            <v>0</v>
          </cell>
          <cell r="Y38">
            <v>0</v>
          </cell>
        </row>
        <row r="39">
          <cell r="C39">
            <v>31500</v>
          </cell>
          <cell r="D39">
            <v>31500</v>
          </cell>
          <cell r="F39">
            <v>31500</v>
          </cell>
          <cell r="I39">
            <v>31500</v>
          </cell>
          <cell r="K39">
            <v>0</v>
          </cell>
          <cell r="N39">
            <v>0</v>
          </cell>
          <cell r="P39">
            <v>0</v>
          </cell>
          <cell r="S39">
            <v>0</v>
          </cell>
          <cell r="U39">
            <v>0</v>
          </cell>
          <cell r="X39">
            <v>0</v>
          </cell>
          <cell r="Y39">
            <v>0</v>
          </cell>
        </row>
      </sheetData>
      <sheetData sheetId="33"/>
      <sheetData sheetId="34">
        <row r="6">
          <cell r="R6">
            <v>49849572.761403583</v>
          </cell>
        </row>
        <row r="40">
          <cell r="B40" t="str">
            <v>Chi thực hiện mục tiêu, nhiệm vụ quan trọng (vốn đầu tư phát triển)</v>
          </cell>
        </row>
        <row r="41">
          <cell r="B41" t="str">
            <v>Chi thực hiện mục tiêu, nhiệm vụ quan trọng (kinh phí sự nghiệp)</v>
          </cell>
        </row>
        <row r="42">
          <cell r="B42" t="str">
            <v>Chi bổ sung có mục tiêu nhiệm vụ quan trọng khác (nếu có)</v>
          </cell>
        </row>
      </sheetData>
      <sheetData sheetId="35">
        <row r="18">
          <cell r="M18">
            <v>650315</v>
          </cell>
        </row>
      </sheetData>
      <sheetData sheetId="36"/>
      <sheetData sheetId="37">
        <row r="2">
          <cell r="A2" t="str">
            <v>(Kèm Theo Nghị quyết số         /NQ-HĐND ngày     /12/2023 của Hội đồng nhân dân Tỉnh)</v>
          </cell>
        </row>
      </sheetData>
      <sheetData sheetId="38">
        <row r="2">
          <cell r="A2" t="str">
            <v>(Kèm Theo Nghị quyết số         /NQ-HĐND ngày     /12/2023 của Hội đồng nhân dân Tỉnh)</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(DỰ TOÁN TRÌNH HỘI ĐỒNG NHÂN DÂN TỈNH)</v>
          </cell>
        </row>
      </sheetData>
      <sheetData sheetId="52"/>
      <sheetData sheetId="53"/>
      <sheetData sheetId="54">
        <row r="5">
          <cell r="A5" t="str">
            <v>(DỰ TOÁN TRÌNH HỘI ĐỒNG NHÂN DÂN TỈNH)</v>
          </cell>
        </row>
      </sheetData>
      <sheetData sheetId="55"/>
      <sheetData sheetId="56"/>
      <sheetData sheetId="57">
        <row r="5">
          <cell r="A5" t="str">
            <v>(DỰ TOÁN TRÌNH HỘI ĐỒNG NHÂN DÂN TỈNH)</v>
          </cell>
        </row>
      </sheetData>
      <sheetData sheetId="58">
        <row r="5">
          <cell r="A5" t="str">
            <v>(DỰ TOÁN TRÌNH HỘI ĐỒNG NHÂN DÂN TỈNH)</v>
          </cell>
        </row>
      </sheetData>
      <sheetData sheetId="59">
        <row r="5">
          <cell r="A5" t="str">
            <v>(DỰ TOÁN TRÌNH HỘI ĐỒNG NHÂN DÂN TỈNH)</v>
          </cell>
        </row>
      </sheetData>
      <sheetData sheetId="60">
        <row r="5">
          <cell r="A5" t="str">
            <v>(DỰ TOÁN TRÌNH HỘI ĐỒNG NHÂN DÂN TỈNH)</v>
          </cell>
        </row>
      </sheetData>
      <sheetData sheetId="61">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row>
        <row r="8">
          <cell r="F8">
            <v>3806650</v>
          </cell>
          <cell r="G8">
            <v>2897350</v>
          </cell>
          <cell r="R8">
            <v>2141675.3199999998</v>
          </cell>
          <cell r="S8">
            <v>1609205.9200000002</v>
          </cell>
          <cell r="X8">
            <v>3862350.7333333334</v>
          </cell>
          <cell r="Y8">
            <v>3588049.0666666664</v>
          </cell>
          <cell r="AI8">
            <v>4545850</v>
          </cell>
          <cell r="AJ8">
            <v>3939080</v>
          </cell>
          <cell r="AO8">
            <v>5621404.8269772194</v>
          </cell>
          <cell r="AP8">
            <v>3496100.2577214451</v>
          </cell>
          <cell r="AU8">
            <v>6174951.0132625364</v>
          </cell>
          <cell r="AV8">
            <v>3738900.3928459887</v>
          </cell>
        </row>
        <row r="10">
          <cell r="AC10">
            <v>-294299.2666666666</v>
          </cell>
        </row>
        <row r="11">
          <cell r="C11">
            <v>250000</v>
          </cell>
          <cell r="F11">
            <v>250000</v>
          </cell>
          <cell r="T11">
            <v>210000</v>
          </cell>
          <cell r="X11">
            <v>210000</v>
          </cell>
          <cell r="AE11">
            <v>230000</v>
          </cell>
          <cell r="AI11">
            <v>230000</v>
          </cell>
        </row>
        <row r="12">
          <cell r="C12">
            <v>196000</v>
          </cell>
          <cell r="T12">
            <v>154000</v>
          </cell>
          <cell r="AE12">
            <v>170000</v>
          </cell>
          <cell r="AG12">
            <v>0</v>
          </cell>
          <cell r="AI12">
            <v>170000</v>
          </cell>
          <cell r="AJ12">
            <v>0</v>
          </cell>
          <cell r="AK12">
            <v>244000</v>
          </cell>
          <cell r="AQ12">
            <v>268000</v>
          </cell>
        </row>
        <row r="13">
          <cell r="C13">
            <v>12000</v>
          </cell>
          <cell r="T13">
            <v>37000</v>
          </cell>
          <cell r="AE13">
            <v>20000</v>
          </cell>
          <cell r="AG13">
            <v>0</v>
          </cell>
          <cell r="AI13">
            <v>20000</v>
          </cell>
          <cell r="AJ13">
            <v>0</v>
          </cell>
          <cell r="AK13">
            <v>14000</v>
          </cell>
          <cell r="AQ13">
            <v>15000</v>
          </cell>
        </row>
        <row r="14">
          <cell r="C14">
            <v>42000</v>
          </cell>
          <cell r="T14">
            <v>18990</v>
          </cell>
          <cell r="AE14">
            <v>40000</v>
          </cell>
          <cell r="AG14">
            <v>0</v>
          </cell>
          <cell r="AI14">
            <v>40000</v>
          </cell>
          <cell r="AJ14">
            <v>0</v>
          </cell>
          <cell r="AK14">
            <v>51999.7</v>
          </cell>
          <cell r="AQ14">
            <v>57000</v>
          </cell>
        </row>
        <row r="15">
          <cell r="C15">
            <v>0</v>
          </cell>
          <cell r="T15">
            <v>10</v>
          </cell>
          <cell r="AE15">
            <v>0</v>
          </cell>
          <cell r="AG15">
            <v>0</v>
          </cell>
          <cell r="AI15">
            <v>0</v>
          </cell>
          <cell r="AJ15">
            <v>0</v>
          </cell>
          <cell r="AK15">
            <v>0</v>
          </cell>
          <cell r="AQ15">
            <v>0</v>
          </cell>
        </row>
        <row r="16">
          <cell r="C16">
            <v>0</v>
          </cell>
          <cell r="T16">
            <v>0</v>
          </cell>
          <cell r="AE16">
            <v>0</v>
          </cell>
          <cell r="AG16">
            <v>0</v>
          </cell>
          <cell r="AI16">
            <v>0</v>
          </cell>
          <cell r="AJ16">
            <v>0</v>
          </cell>
          <cell r="AK16">
            <v>0</v>
          </cell>
          <cell r="AQ16">
            <v>0</v>
          </cell>
        </row>
        <row r="17">
          <cell r="C17">
            <v>350000</v>
          </cell>
          <cell r="F17">
            <v>350000</v>
          </cell>
          <cell r="T17">
            <v>270000</v>
          </cell>
          <cell r="X17">
            <v>270000</v>
          </cell>
          <cell r="AE17">
            <v>300000</v>
          </cell>
          <cell r="AI17">
            <v>300000</v>
          </cell>
        </row>
        <row r="18">
          <cell r="C18">
            <v>183000</v>
          </cell>
          <cell r="T18">
            <v>100000</v>
          </cell>
          <cell r="AE18">
            <v>110000</v>
          </cell>
          <cell r="AG18">
            <v>0</v>
          </cell>
          <cell r="AI18">
            <v>110000</v>
          </cell>
          <cell r="AK18">
            <v>241000</v>
          </cell>
          <cell r="AQ18">
            <v>263000</v>
          </cell>
        </row>
        <row r="19">
          <cell r="C19">
            <v>65000</v>
          </cell>
          <cell r="T19">
            <v>100000</v>
          </cell>
          <cell r="AE19">
            <v>106000</v>
          </cell>
          <cell r="AG19">
            <v>0</v>
          </cell>
          <cell r="AI19">
            <v>106000</v>
          </cell>
          <cell r="AK19">
            <v>103000</v>
          </cell>
          <cell r="AQ19">
            <v>112000</v>
          </cell>
        </row>
        <row r="20">
          <cell r="C20">
            <v>0</v>
          </cell>
          <cell r="T20">
            <v>0</v>
          </cell>
          <cell r="AE20">
            <v>0</v>
          </cell>
          <cell r="AG20">
            <v>0</v>
          </cell>
          <cell r="AI20">
            <v>0</v>
          </cell>
          <cell r="AK20">
            <v>0</v>
          </cell>
          <cell r="AQ20">
            <v>0</v>
          </cell>
        </row>
        <row r="21">
          <cell r="C21">
            <v>102000</v>
          </cell>
          <cell r="T21">
            <v>70000</v>
          </cell>
          <cell r="AE21">
            <v>84000</v>
          </cell>
          <cell r="AG21">
            <v>0</v>
          </cell>
          <cell r="AI21">
            <v>84000</v>
          </cell>
          <cell r="AK21">
            <v>126000</v>
          </cell>
          <cell r="AQ21">
            <v>135000</v>
          </cell>
        </row>
        <row r="22">
          <cell r="C22">
            <v>0</v>
          </cell>
          <cell r="T22">
            <v>0</v>
          </cell>
          <cell r="AE22">
            <v>0</v>
          </cell>
          <cell r="AG22">
            <v>0</v>
          </cell>
          <cell r="AI22">
            <v>0</v>
          </cell>
          <cell r="AK22">
            <v>0</v>
          </cell>
          <cell r="AQ22">
            <v>0</v>
          </cell>
        </row>
        <row r="23">
          <cell r="C23">
            <v>70000</v>
          </cell>
          <cell r="F23">
            <v>70000</v>
          </cell>
          <cell r="T23">
            <v>70000</v>
          </cell>
          <cell r="X23">
            <v>70000</v>
          </cell>
          <cell r="AE23">
            <v>75000</v>
          </cell>
          <cell r="AI23">
            <v>75000</v>
          </cell>
        </row>
        <row r="24">
          <cell r="C24">
            <v>18000</v>
          </cell>
          <cell r="T24">
            <v>15000</v>
          </cell>
          <cell r="AE24">
            <v>16000</v>
          </cell>
          <cell r="AG24">
            <v>0</v>
          </cell>
          <cell r="AI24">
            <v>16000</v>
          </cell>
          <cell r="AJ24">
            <v>0</v>
          </cell>
          <cell r="AK24">
            <v>22000</v>
          </cell>
          <cell r="AQ24">
            <v>24000</v>
          </cell>
        </row>
        <row r="25">
          <cell r="C25">
            <v>52000</v>
          </cell>
          <cell r="T25">
            <v>54990</v>
          </cell>
          <cell r="AE25">
            <v>59000</v>
          </cell>
          <cell r="AG25">
            <v>0</v>
          </cell>
          <cell r="AI25">
            <v>59000</v>
          </cell>
          <cell r="AJ25">
            <v>0</v>
          </cell>
          <cell r="AK25">
            <v>78000</v>
          </cell>
          <cell r="AQ25">
            <v>86000</v>
          </cell>
        </row>
        <row r="26">
          <cell r="C26">
            <v>0</v>
          </cell>
          <cell r="T26">
            <v>0</v>
          </cell>
          <cell r="AE26">
            <v>0</v>
          </cell>
          <cell r="AG26">
            <v>0</v>
          </cell>
          <cell r="AI26">
            <v>0</v>
          </cell>
          <cell r="AJ26">
            <v>0</v>
          </cell>
          <cell r="AK26">
            <v>0</v>
          </cell>
          <cell r="AQ26">
            <v>0</v>
          </cell>
        </row>
        <row r="27">
          <cell r="C27">
            <v>0</v>
          </cell>
          <cell r="T27">
            <v>10</v>
          </cell>
          <cell r="AE27">
            <v>0</v>
          </cell>
          <cell r="AG27">
            <v>0</v>
          </cell>
          <cell r="AI27">
            <v>0</v>
          </cell>
          <cell r="AJ27">
            <v>0</v>
          </cell>
          <cell r="AK27">
            <v>0</v>
          </cell>
          <cell r="AQ27">
            <v>0</v>
          </cell>
        </row>
        <row r="28">
          <cell r="C28">
            <v>1265000</v>
          </cell>
          <cell r="F28">
            <v>88850</v>
          </cell>
          <cell r="G28">
            <v>1176150</v>
          </cell>
          <cell r="T28">
            <v>1600000.2999999998</v>
          </cell>
          <cell r="X28">
            <v>80950.399999999994</v>
          </cell>
          <cell r="Y28">
            <v>1519049.9</v>
          </cell>
          <cell r="AE28">
            <v>1701000</v>
          </cell>
          <cell r="AI28">
            <v>70920</v>
          </cell>
          <cell r="AJ28">
            <v>1630080</v>
          </cell>
        </row>
        <row r="29">
          <cell r="C29">
            <v>651170</v>
          </cell>
          <cell r="T29">
            <v>728899.9</v>
          </cell>
          <cell r="AE29">
            <v>724290</v>
          </cell>
          <cell r="AI29">
            <v>0</v>
          </cell>
          <cell r="AJ29">
            <v>724290</v>
          </cell>
          <cell r="AK29">
            <v>910000</v>
          </cell>
          <cell r="AQ29">
            <v>1004000</v>
          </cell>
        </row>
        <row r="30">
          <cell r="C30">
            <v>524980</v>
          </cell>
          <cell r="T30">
            <v>790000</v>
          </cell>
          <cell r="AE30">
            <v>905790</v>
          </cell>
          <cell r="AI30">
            <v>0</v>
          </cell>
          <cell r="AJ30">
            <v>905790</v>
          </cell>
          <cell r="AK30">
            <v>592000</v>
          </cell>
          <cell r="AQ30">
            <v>655000</v>
          </cell>
        </row>
        <row r="31">
          <cell r="C31">
            <v>85120</v>
          </cell>
          <cell r="T31">
            <v>76000.2</v>
          </cell>
          <cell r="AE31">
            <v>63450</v>
          </cell>
          <cell r="AI31">
            <v>63450</v>
          </cell>
          <cell r="AJ31">
            <v>0</v>
          </cell>
          <cell r="AK31">
            <v>109400</v>
          </cell>
          <cell r="AQ31">
            <v>122000</v>
          </cell>
        </row>
        <row r="32">
          <cell r="C32">
            <v>3730</v>
          </cell>
          <cell r="T32">
            <v>4950.2</v>
          </cell>
          <cell r="AE32">
            <v>5970</v>
          </cell>
          <cell r="AI32">
            <v>5970</v>
          </cell>
          <cell r="AJ32">
            <v>0</v>
          </cell>
          <cell r="AK32">
            <v>8600</v>
          </cell>
          <cell r="AQ32">
            <v>9000</v>
          </cell>
        </row>
        <row r="33">
          <cell r="C33">
            <v>0</v>
          </cell>
          <cell r="T33">
            <v>150</v>
          </cell>
          <cell r="AE33">
            <v>1500</v>
          </cell>
          <cell r="AI33">
            <v>1500</v>
          </cell>
          <cell r="AJ33">
            <v>0</v>
          </cell>
          <cell r="AK33">
            <v>0</v>
          </cell>
          <cell r="AQ33">
            <v>0</v>
          </cell>
        </row>
        <row r="34">
          <cell r="C34">
            <v>295000</v>
          </cell>
          <cell r="G34">
            <v>295000</v>
          </cell>
          <cell r="T34">
            <v>340000</v>
          </cell>
          <cell r="Y34">
            <v>340000</v>
          </cell>
          <cell r="AE34">
            <v>350000</v>
          </cell>
          <cell r="AI34">
            <v>0</v>
          </cell>
          <cell r="AJ34">
            <v>350000</v>
          </cell>
          <cell r="AK34">
            <v>436000</v>
          </cell>
          <cell r="AQ34">
            <v>480000</v>
          </cell>
        </row>
        <row r="35">
          <cell r="C35">
            <v>0</v>
          </cell>
          <cell r="T35">
            <v>339.5</v>
          </cell>
          <cell r="Y35">
            <v>339.5</v>
          </cell>
          <cell r="AE35">
            <v>0</v>
          </cell>
          <cell r="AK35">
            <v>0</v>
          </cell>
          <cell r="AQ35">
            <v>0</v>
          </cell>
        </row>
        <row r="36">
          <cell r="C36">
            <v>10000</v>
          </cell>
          <cell r="G36">
            <v>10000</v>
          </cell>
          <cell r="T36">
            <v>14660.1</v>
          </cell>
          <cell r="Y36">
            <v>14660.1</v>
          </cell>
          <cell r="AE36">
            <v>15000</v>
          </cell>
          <cell r="AI36">
            <v>0</v>
          </cell>
          <cell r="AJ36">
            <v>15000</v>
          </cell>
          <cell r="AK36">
            <v>12000</v>
          </cell>
          <cell r="AQ36">
            <v>13000</v>
          </cell>
        </row>
        <row r="37">
          <cell r="C37">
            <v>600000</v>
          </cell>
          <cell r="F37">
            <v>290500</v>
          </cell>
          <cell r="G37">
            <v>309500</v>
          </cell>
          <cell r="T37">
            <v>710000</v>
          </cell>
          <cell r="X37">
            <v>344000.33333333337</v>
          </cell>
          <cell r="Y37">
            <v>365999.66666666663</v>
          </cell>
          <cell r="AE37">
            <v>730000</v>
          </cell>
          <cell r="AI37">
            <v>408000</v>
          </cell>
          <cell r="AJ37">
            <v>322000</v>
          </cell>
          <cell r="AK37">
            <v>870000</v>
          </cell>
          <cell r="AP37">
            <v>384000.42465753428</v>
          </cell>
          <cell r="AQ37">
            <v>940000</v>
          </cell>
          <cell r="AU37">
            <v>525099.98945048021</v>
          </cell>
          <cell r="AV37">
            <v>414900.01054951979</v>
          </cell>
        </row>
        <row r="38">
          <cell r="C38">
            <v>1500000</v>
          </cell>
          <cell r="D38">
            <v>600000</v>
          </cell>
          <cell r="F38">
            <v>900000</v>
          </cell>
          <cell r="T38">
            <v>980000</v>
          </cell>
          <cell r="V38">
            <v>392000</v>
          </cell>
          <cell r="X38">
            <v>588000</v>
          </cell>
          <cell r="AE38">
            <v>1065000</v>
          </cell>
          <cell r="AG38">
            <v>426000</v>
          </cell>
          <cell r="AI38">
            <v>639000</v>
          </cell>
          <cell r="AJ38">
            <v>0</v>
          </cell>
          <cell r="AK38">
            <v>1750000</v>
          </cell>
          <cell r="AM38">
            <v>700000</v>
          </cell>
          <cell r="AQ38">
            <v>1900000</v>
          </cell>
          <cell r="AS38">
            <v>760000</v>
          </cell>
          <cell r="AU38">
            <v>1140000</v>
          </cell>
        </row>
        <row r="39">
          <cell r="C39">
            <v>160000</v>
          </cell>
          <cell r="D39">
            <v>82000</v>
          </cell>
          <cell r="F39">
            <v>18800</v>
          </cell>
          <cell r="G39">
            <v>59200</v>
          </cell>
          <cell r="T39">
            <v>160000</v>
          </cell>
          <cell r="V39">
            <v>82000</v>
          </cell>
          <cell r="X39">
            <v>19000</v>
          </cell>
          <cell r="Y39">
            <v>59000</v>
          </cell>
          <cell r="AE39">
            <v>170000</v>
          </cell>
          <cell r="AG39">
            <v>60000</v>
          </cell>
          <cell r="AI39">
            <v>47600</v>
          </cell>
          <cell r="AJ39">
            <v>62400</v>
          </cell>
          <cell r="AK39">
            <v>212000</v>
          </cell>
          <cell r="AM39">
            <v>74729.529411764699</v>
          </cell>
          <cell r="AP39">
            <v>77799.970588235301</v>
          </cell>
          <cell r="AQ39">
            <v>226000</v>
          </cell>
          <cell r="AS39">
            <v>79605.498335183118</v>
          </cell>
          <cell r="AU39">
            <v>63494.597169811314</v>
          </cell>
          <cell r="AV39">
            <v>82899.704495005557</v>
          </cell>
        </row>
        <row r="40">
          <cell r="C40">
            <v>900000</v>
          </cell>
          <cell r="F40">
            <v>100000</v>
          </cell>
          <cell r="G40">
            <v>800000</v>
          </cell>
          <cell r="R40">
            <v>70000</v>
          </cell>
          <cell r="S40">
            <v>553794</v>
          </cell>
          <cell r="T40">
            <v>1080000</v>
          </cell>
          <cell r="X40">
            <v>100000</v>
          </cell>
          <cell r="Y40">
            <v>980000</v>
          </cell>
          <cell r="AE40">
            <v>1770000</v>
          </cell>
          <cell r="AI40">
            <v>627000</v>
          </cell>
          <cell r="AJ40">
            <v>1143000</v>
          </cell>
          <cell r="AK40">
            <v>1200000</v>
          </cell>
          <cell r="AO40">
            <v>425099.74576271186</v>
          </cell>
          <cell r="AP40">
            <v>774900.25423728814</v>
          </cell>
          <cell r="AQ40">
            <v>1260000</v>
          </cell>
          <cell r="AU40">
            <v>446399.73305084754</v>
          </cell>
          <cell r="AV40">
            <v>813600.26694915246</v>
          </cell>
        </row>
        <row r="41">
          <cell r="C41">
            <v>115000</v>
          </cell>
          <cell r="G41">
            <v>115000</v>
          </cell>
          <cell r="T41">
            <v>125999.8</v>
          </cell>
          <cell r="X41">
            <v>0</v>
          </cell>
          <cell r="Y41">
            <v>125999.8</v>
          </cell>
          <cell r="AE41">
            <v>315000</v>
          </cell>
          <cell r="AI41">
            <v>45900</v>
          </cell>
          <cell r="AJ41">
            <v>269100</v>
          </cell>
          <cell r="AK41">
            <v>184000</v>
          </cell>
          <cell r="AP41">
            <v>141299.57142857145</v>
          </cell>
          <cell r="AQ41">
            <v>250000</v>
          </cell>
          <cell r="AU41">
            <v>155999.51542857144</v>
          </cell>
          <cell r="AV41">
            <v>94000.484571428577</v>
          </cell>
        </row>
        <row r="42">
          <cell r="C42">
            <v>0</v>
          </cell>
          <cell r="T42">
            <v>0</v>
          </cell>
          <cell r="AE42">
            <v>0</v>
          </cell>
          <cell r="AI42">
            <v>0</v>
          </cell>
          <cell r="AJ42">
            <v>0</v>
          </cell>
          <cell r="AK42">
            <v>0</v>
          </cell>
          <cell r="AQ42">
            <v>0</v>
          </cell>
        </row>
        <row r="43">
          <cell r="C43">
            <v>250000</v>
          </cell>
          <cell r="D43">
            <v>54000</v>
          </cell>
          <cell r="F43">
            <v>66500</v>
          </cell>
          <cell r="G43">
            <v>129500</v>
          </cell>
          <cell r="T43">
            <v>350000</v>
          </cell>
          <cell r="V43">
            <v>75600</v>
          </cell>
          <cell r="X43">
            <v>93400</v>
          </cell>
          <cell r="Y43">
            <v>181000</v>
          </cell>
          <cell r="AE43">
            <v>326000</v>
          </cell>
          <cell r="AG43">
            <v>95000</v>
          </cell>
          <cell r="AI43">
            <v>85530</v>
          </cell>
          <cell r="AJ43">
            <v>145500</v>
          </cell>
          <cell r="AK43">
            <v>370000</v>
          </cell>
          <cell r="AM43">
            <v>107765.08588957056</v>
          </cell>
          <cell r="AP43">
            <v>165100.03680981597</v>
          </cell>
          <cell r="AQ43">
            <v>400000</v>
          </cell>
          <cell r="AS43">
            <v>116542.79555629249</v>
          </cell>
          <cell r="AU43">
            <v>104957.17816282535</v>
          </cell>
          <cell r="AV43">
            <v>178500.02628088213</v>
          </cell>
        </row>
        <row r="44">
          <cell r="C44">
            <v>22000</v>
          </cell>
          <cell r="F44">
            <v>22000</v>
          </cell>
          <cell r="T44">
            <v>37000</v>
          </cell>
          <cell r="X44">
            <v>37000</v>
          </cell>
          <cell r="AE44">
            <v>30000</v>
          </cell>
          <cell r="AG44">
            <v>100</v>
          </cell>
          <cell r="AI44">
            <v>29900</v>
          </cell>
          <cell r="AK44">
            <v>27000</v>
          </cell>
          <cell r="AQ44">
            <v>28000</v>
          </cell>
        </row>
        <row r="45">
          <cell r="C45">
            <v>50000</v>
          </cell>
          <cell r="F45">
            <v>50000</v>
          </cell>
          <cell r="T45">
            <v>100000</v>
          </cell>
          <cell r="X45">
            <v>100000</v>
          </cell>
          <cell r="AE45">
            <v>37000</v>
          </cell>
          <cell r="AI45">
            <v>37000</v>
          </cell>
          <cell r="AJ45">
            <v>0</v>
          </cell>
          <cell r="AK45">
            <v>114000</v>
          </cell>
          <cell r="AQ45">
            <v>120000</v>
          </cell>
        </row>
        <row r="46">
          <cell r="C46">
            <v>0</v>
          </cell>
          <cell r="G46">
            <v>0</v>
          </cell>
          <cell r="T46">
            <v>0</v>
          </cell>
          <cell r="X46">
            <v>0</v>
          </cell>
          <cell r="Y46">
            <v>0</v>
          </cell>
          <cell r="AE46">
            <v>0</v>
          </cell>
          <cell r="AI46">
            <v>0</v>
          </cell>
          <cell r="AJ46">
            <v>0</v>
          </cell>
          <cell r="AK46">
            <v>0</v>
          </cell>
          <cell r="AO46">
            <v>0</v>
          </cell>
          <cell r="AP46">
            <v>0</v>
          </cell>
          <cell r="AQ46">
            <v>0</v>
          </cell>
          <cell r="AU46">
            <v>0</v>
          </cell>
          <cell r="AV46">
            <v>0</v>
          </cell>
        </row>
        <row r="47">
          <cell r="C47">
            <v>3000</v>
          </cell>
          <cell r="G47">
            <v>3000</v>
          </cell>
          <cell r="T47">
            <v>2000.1</v>
          </cell>
          <cell r="Y47">
            <v>2000.1</v>
          </cell>
          <cell r="AE47">
            <v>2000</v>
          </cell>
          <cell r="AI47">
            <v>0</v>
          </cell>
          <cell r="AJ47">
            <v>2000</v>
          </cell>
          <cell r="AK47">
            <v>3000</v>
          </cell>
          <cell r="AQ47">
            <v>3000</v>
          </cell>
        </row>
        <row r="48">
          <cell r="C48">
            <v>1600000</v>
          </cell>
          <cell r="F48">
            <v>1600000</v>
          </cell>
          <cell r="G48">
            <v>0</v>
          </cell>
          <cell r="R48">
            <v>960524</v>
          </cell>
          <cell r="S48">
            <v>0</v>
          </cell>
          <cell r="T48">
            <v>1950000</v>
          </cell>
          <cell r="X48">
            <v>1950000</v>
          </cell>
          <cell r="Y48">
            <v>0</v>
          </cell>
          <cell r="AE48">
            <v>1950000</v>
          </cell>
          <cell r="AI48">
            <v>1950000</v>
          </cell>
          <cell r="AJ48">
            <v>0</v>
          </cell>
          <cell r="AK48">
            <v>2322000</v>
          </cell>
          <cell r="AO48">
            <v>2322000</v>
          </cell>
          <cell r="AP48">
            <v>0</v>
          </cell>
          <cell r="AQ48">
            <v>2500000</v>
          </cell>
          <cell r="AU48">
            <v>2500000</v>
          </cell>
          <cell r="AV48">
            <v>0</v>
          </cell>
        </row>
        <row r="49">
          <cell r="C49">
            <v>150000</v>
          </cell>
          <cell r="D49">
            <v>150000</v>
          </cell>
          <cell r="T49">
            <v>150745.51999999999</v>
          </cell>
          <cell r="V49">
            <v>150745.51999999999</v>
          </cell>
          <cell r="AE49">
            <v>200000</v>
          </cell>
          <cell r="AG49">
            <v>200000</v>
          </cell>
          <cell r="AK49">
            <v>162500</v>
          </cell>
          <cell r="AQ49">
            <v>169000</v>
          </cell>
        </row>
        <row r="50">
          <cell r="C50">
            <v>39500</v>
          </cell>
        </row>
        <row r="51">
          <cell r="C51">
            <v>110500</v>
          </cell>
        </row>
        <row r="52">
          <cell r="R52">
            <v>5319863</v>
          </cell>
        </row>
        <row r="53">
          <cell r="C53">
            <v>6487488</v>
          </cell>
          <cell r="F53">
            <v>6487488</v>
          </cell>
          <cell r="T53">
            <v>6487488</v>
          </cell>
          <cell r="X53">
            <v>6487488</v>
          </cell>
          <cell r="AE53">
            <v>6617188</v>
          </cell>
          <cell r="AI53">
            <v>6617188</v>
          </cell>
          <cell r="AK53">
            <v>6617188</v>
          </cell>
          <cell r="AQ53">
            <v>6617188</v>
          </cell>
        </row>
        <row r="54">
          <cell r="AE54">
            <v>129700</v>
          </cell>
        </row>
        <row r="56">
          <cell r="B56" t="str">
            <v>Bổ sung thực hiện mục tiêu, nhiệm vụ quan trọng (vốn đầu tư phát triển)</v>
          </cell>
          <cell r="C56">
            <v>2417971</v>
          </cell>
          <cell r="F56">
            <v>2417971</v>
          </cell>
          <cell r="T56">
            <v>2417971</v>
          </cell>
          <cell r="X56">
            <v>2417971</v>
          </cell>
          <cell r="Y56">
            <v>0</v>
          </cell>
          <cell r="AE56">
            <v>1814491</v>
          </cell>
          <cell r="AI56">
            <v>1814491</v>
          </cell>
          <cell r="AJ56">
            <v>0</v>
          </cell>
          <cell r="AK56">
            <v>2205000</v>
          </cell>
          <cell r="AO56">
            <v>2205000</v>
          </cell>
          <cell r="AP56">
            <v>0</v>
          </cell>
          <cell r="AQ56">
            <v>2205000</v>
          </cell>
          <cell r="AU56">
            <v>2205000</v>
          </cell>
          <cell r="AV56">
            <v>0</v>
          </cell>
        </row>
        <row r="57">
          <cell r="B57" t="str">
            <v>Bổ sung thực hiện mục tiêu, nhiệm vụ quan trọng (kinh phí sự nghiệp)</v>
          </cell>
          <cell r="C57">
            <v>179036</v>
          </cell>
          <cell r="F57">
            <v>179036</v>
          </cell>
          <cell r="T57">
            <v>179036</v>
          </cell>
          <cell r="X57">
            <v>179036</v>
          </cell>
          <cell r="Y57">
            <v>0</v>
          </cell>
          <cell r="AE57">
            <v>174485</v>
          </cell>
          <cell r="AI57">
            <v>174485</v>
          </cell>
          <cell r="AJ57">
            <v>0</v>
          </cell>
          <cell r="AK57">
            <v>174485.3</v>
          </cell>
          <cell r="AO57">
            <v>174485.3</v>
          </cell>
          <cell r="AP57">
            <v>0</v>
          </cell>
          <cell r="AQ57">
            <v>174485.3</v>
          </cell>
          <cell r="AU57">
            <v>174485.3</v>
          </cell>
          <cell r="AV57">
            <v>0</v>
          </cell>
        </row>
        <row r="58">
          <cell r="B58" t="str">
            <v>Bổ sung nguồn thực hiện CCTL (nếu có); đảm bảo nhiệm vụ chi</v>
          </cell>
          <cell r="C58">
            <v>0</v>
          </cell>
          <cell r="F58">
            <v>0</v>
          </cell>
          <cell r="T58">
            <v>0</v>
          </cell>
          <cell r="X58">
            <v>0</v>
          </cell>
          <cell r="Y58">
            <v>0</v>
          </cell>
          <cell r="AE58">
            <v>650315</v>
          </cell>
          <cell r="AI58">
            <v>650315</v>
          </cell>
          <cell r="AJ58">
            <v>0</v>
          </cell>
          <cell r="AK58">
            <v>650315</v>
          </cell>
          <cell r="AO58">
            <v>650315</v>
          </cell>
          <cell r="AP58">
            <v>0</v>
          </cell>
          <cell r="AQ58">
            <v>650315</v>
          </cell>
          <cell r="AU58">
            <v>650315</v>
          </cell>
          <cell r="AV58">
            <v>0</v>
          </cell>
        </row>
        <row r="59">
          <cell r="B59" t="str">
            <v>Thu chuyển nguồn làm lương năm trước chuyển sang</v>
          </cell>
          <cell r="C59">
            <v>0</v>
          </cell>
          <cell r="F59">
            <v>0</v>
          </cell>
          <cell r="G59">
            <v>0</v>
          </cell>
          <cell r="R59">
            <v>89700</v>
          </cell>
          <cell r="S59">
            <v>341300</v>
          </cell>
          <cell r="T59">
            <v>431000</v>
          </cell>
          <cell r="X59">
            <v>89700</v>
          </cell>
          <cell r="Y59">
            <v>341300</v>
          </cell>
          <cell r="AE59">
            <v>886000</v>
          </cell>
          <cell r="AI59">
            <v>0</v>
          </cell>
          <cell r="AJ59">
            <v>886000</v>
          </cell>
          <cell r="AK59">
            <v>717399.2</v>
          </cell>
          <cell r="AO59">
            <v>79139.200000000012</v>
          </cell>
          <cell r="AP59">
            <v>638260</v>
          </cell>
          <cell r="AQ59">
            <v>882854.2423493322</v>
          </cell>
          <cell r="AU59">
            <v>567070.94060725369</v>
          </cell>
          <cell r="AV59">
            <v>315783.30174207845</v>
          </cell>
        </row>
        <row r="60">
          <cell r="B60" t="str">
            <v>Thu vay từ nguồn Chính phủ vay về cho vay lại</v>
          </cell>
          <cell r="C60">
            <v>31500</v>
          </cell>
          <cell r="F60">
            <v>31500</v>
          </cell>
          <cell r="G60">
            <v>0</v>
          </cell>
          <cell r="R60">
            <v>15500</v>
          </cell>
          <cell r="S60">
            <v>0</v>
          </cell>
          <cell r="T60">
            <v>31500</v>
          </cell>
          <cell r="X60">
            <v>31500</v>
          </cell>
          <cell r="Y60">
            <v>0</v>
          </cell>
          <cell r="AE60">
            <v>0</v>
          </cell>
          <cell r="AH60">
            <v>0</v>
          </cell>
          <cell r="AI60">
            <v>0</v>
          </cell>
          <cell r="AJ60">
            <v>0</v>
          </cell>
          <cell r="AK60">
            <v>0</v>
          </cell>
          <cell r="AO60">
            <v>0</v>
          </cell>
          <cell r="AP60">
            <v>0</v>
          </cell>
          <cell r="AQ60">
            <v>0</v>
          </cell>
          <cell r="AU60">
            <v>0</v>
          </cell>
          <cell r="AV60">
            <v>0</v>
          </cell>
        </row>
      </sheetData>
      <sheetData sheetId="62">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row r="10">
          <cell r="B10" t="str">
            <v>Chi đầu tư xây dựng cơ bản</v>
          </cell>
          <cell r="D10">
            <v>540000</v>
          </cell>
          <cell r="E10">
            <v>521000</v>
          </cell>
          <cell r="S10">
            <v>540000</v>
          </cell>
          <cell r="T10">
            <v>521000</v>
          </cell>
          <cell r="AA10">
            <v>562186</v>
          </cell>
          <cell r="AB10">
            <v>581000.40896987612</v>
          </cell>
          <cell r="AF10">
            <v>632000</v>
          </cell>
          <cell r="AG10">
            <v>581000</v>
          </cell>
          <cell r="AK10">
            <v>684000</v>
          </cell>
          <cell r="AL10">
            <v>581000</v>
          </cell>
        </row>
        <row r="11">
          <cell r="B11" t="str">
            <v>Chi đầu tư từ nguồn thu tiền sử dụng đất</v>
          </cell>
          <cell r="D11">
            <v>100000</v>
          </cell>
          <cell r="E11">
            <v>800000</v>
          </cell>
          <cell r="S11">
            <v>100000</v>
          </cell>
          <cell r="T11">
            <v>980000</v>
          </cell>
          <cell r="AA11">
            <v>627000</v>
          </cell>
          <cell r="AB11">
            <v>1143000</v>
          </cell>
          <cell r="AF11">
            <v>425099.74576271186</v>
          </cell>
          <cell r="AG11">
            <v>774900.25423728814</v>
          </cell>
          <cell r="AK11">
            <v>446399.73305084754</v>
          </cell>
          <cell r="AL11">
            <v>813600.26694915246</v>
          </cell>
        </row>
        <row r="12">
          <cell r="B12" t="str">
            <v>Chi đầu tư từ nguồn thu xổ số kiến thiết</v>
          </cell>
          <cell r="D12">
            <v>1600000</v>
          </cell>
          <cell r="E12">
            <v>0</v>
          </cell>
          <cell r="S12">
            <v>1950000</v>
          </cell>
          <cell r="T12">
            <v>0</v>
          </cell>
          <cell r="AA12">
            <v>1950000</v>
          </cell>
          <cell r="AB12">
            <v>0</v>
          </cell>
          <cell r="AF12">
            <v>2322000</v>
          </cell>
          <cell r="AG12">
            <v>0</v>
          </cell>
          <cell r="AK12">
            <v>2500000</v>
          </cell>
          <cell r="AL12">
            <v>0</v>
          </cell>
        </row>
        <row r="13">
          <cell r="B13" t="str">
            <v>Chi đầu tư từ nguồn thu thoái vốn doanh nghiệp nhà nước địa phương quản lý;…</v>
          </cell>
          <cell r="D13">
            <v>0</v>
          </cell>
          <cell r="E13">
            <v>0</v>
          </cell>
          <cell r="I13">
            <v>0</v>
          </cell>
          <cell r="J13">
            <v>0</v>
          </cell>
          <cell r="N13">
            <v>0</v>
          </cell>
          <cell r="S13">
            <v>0</v>
          </cell>
          <cell r="T13">
            <v>0</v>
          </cell>
          <cell r="AA13">
            <v>0</v>
          </cell>
          <cell r="AB13">
            <v>0</v>
          </cell>
          <cell r="AF13">
            <v>0</v>
          </cell>
          <cell r="AG13">
            <v>0</v>
          </cell>
          <cell r="AK13">
            <v>0</v>
          </cell>
          <cell r="AL13">
            <v>0</v>
          </cell>
        </row>
        <row r="14">
          <cell r="B14" t="str">
            <v>Chi đầu tư phát triển khác (Ủy thác qua NH Chính sách xã hội chi nhánh tỉnh Đồng Tháp)</v>
          </cell>
          <cell r="AA14">
            <v>60000</v>
          </cell>
          <cell r="AB14">
            <v>0</v>
          </cell>
          <cell r="AF14">
            <v>60000</v>
          </cell>
          <cell r="AG14">
            <v>0</v>
          </cell>
          <cell r="AK14">
            <v>60000</v>
          </cell>
        </row>
        <row r="15">
          <cell r="D15">
            <v>3168035</v>
          </cell>
          <cell r="E15">
            <v>6185830</v>
          </cell>
          <cell r="S15">
            <v>3168035</v>
          </cell>
          <cell r="T15">
            <v>6185830</v>
          </cell>
          <cell r="AA15">
            <v>3294440</v>
          </cell>
          <cell r="AB15">
            <v>7370538.3947110809</v>
          </cell>
          <cell r="AF15">
            <v>3701000</v>
          </cell>
          <cell r="AG15">
            <v>7370000</v>
          </cell>
          <cell r="AK15">
            <v>4003000</v>
          </cell>
          <cell r="AL15">
            <v>7370000</v>
          </cell>
        </row>
        <row r="16">
          <cell r="D16">
            <v>540000</v>
          </cell>
          <cell r="E16">
            <v>1253642</v>
          </cell>
          <cell r="S16">
            <v>540000</v>
          </cell>
          <cell r="T16">
            <v>1253642</v>
          </cell>
          <cell r="AA16">
            <v>545710</v>
          </cell>
          <cell r="AB16">
            <v>1523268.6115313373</v>
          </cell>
          <cell r="AF16">
            <v>613000</v>
          </cell>
          <cell r="AG16">
            <v>1523000</v>
          </cell>
          <cell r="AK16">
            <v>663000</v>
          </cell>
          <cell r="AL16">
            <v>1523000</v>
          </cell>
        </row>
        <row r="17">
          <cell r="D17">
            <v>62000</v>
          </cell>
          <cell r="E17">
            <v>74670</v>
          </cell>
          <cell r="S17">
            <v>62000</v>
          </cell>
          <cell r="T17">
            <v>74670</v>
          </cell>
          <cell r="AA17">
            <v>67965</v>
          </cell>
          <cell r="AB17">
            <v>84000</v>
          </cell>
          <cell r="AF17">
            <v>76000</v>
          </cell>
          <cell r="AG17">
            <v>84000</v>
          </cell>
          <cell r="AK17">
            <v>82000</v>
          </cell>
          <cell r="AL17">
            <v>84000</v>
          </cell>
        </row>
        <row r="19">
          <cell r="D19">
            <v>31000</v>
          </cell>
          <cell r="E19">
            <v>0</v>
          </cell>
          <cell r="S19">
            <v>31000</v>
          </cell>
          <cell r="T19">
            <v>0</v>
          </cell>
          <cell r="AA19">
            <v>31218</v>
          </cell>
          <cell r="AB19">
            <v>0</v>
          </cell>
          <cell r="AF19">
            <v>35000</v>
          </cell>
          <cell r="AG19">
            <v>0</v>
          </cell>
          <cell r="AK19">
            <v>38000</v>
          </cell>
          <cell r="AL19">
            <v>0</v>
          </cell>
        </row>
        <row r="20">
          <cell r="D20">
            <v>1017035</v>
          </cell>
          <cell r="E20">
            <v>3162710</v>
          </cell>
          <cell r="S20">
            <v>1017035</v>
          </cell>
          <cell r="T20">
            <v>3162710</v>
          </cell>
          <cell r="AA20">
            <v>956676</v>
          </cell>
          <cell r="AB20">
            <v>3841269.7831797441</v>
          </cell>
          <cell r="AF20">
            <v>1075000</v>
          </cell>
          <cell r="AG20">
            <v>3841000</v>
          </cell>
          <cell r="AK20">
            <v>1163000</v>
          </cell>
          <cell r="AL20">
            <v>3841000</v>
          </cell>
        </row>
        <row r="21">
          <cell r="D21">
            <v>750000</v>
          </cell>
          <cell r="E21">
            <v>0</v>
          </cell>
          <cell r="S21">
            <v>750000</v>
          </cell>
          <cell r="T21">
            <v>0</v>
          </cell>
          <cell r="AA21">
            <v>828538</v>
          </cell>
          <cell r="AB21">
            <v>0</v>
          </cell>
          <cell r="AF21">
            <v>931000</v>
          </cell>
          <cell r="AG21">
            <v>0</v>
          </cell>
          <cell r="AK21">
            <v>1007000</v>
          </cell>
          <cell r="AL21">
            <v>0</v>
          </cell>
        </row>
        <row r="22">
          <cell r="D22">
            <v>40000</v>
          </cell>
          <cell r="E22">
            <v>38978</v>
          </cell>
          <cell r="S22">
            <v>40000</v>
          </cell>
          <cell r="T22">
            <v>38978</v>
          </cell>
          <cell r="AA22">
            <v>47888</v>
          </cell>
          <cell r="AB22">
            <v>44000</v>
          </cell>
          <cell r="AF22">
            <v>54000</v>
          </cell>
          <cell r="AG22">
            <v>44000</v>
          </cell>
          <cell r="AK22">
            <v>58000</v>
          </cell>
          <cell r="AL22">
            <v>44000</v>
          </cell>
        </row>
        <row r="23">
          <cell r="D23">
            <v>14000</v>
          </cell>
          <cell r="E23">
            <v>28757</v>
          </cell>
          <cell r="S23">
            <v>14000</v>
          </cell>
          <cell r="T23">
            <v>28757</v>
          </cell>
          <cell r="AA23">
            <v>18073</v>
          </cell>
          <cell r="AB23">
            <v>32000</v>
          </cell>
          <cell r="AF23">
            <v>20000</v>
          </cell>
          <cell r="AG23">
            <v>32000</v>
          </cell>
          <cell r="AK23">
            <v>22000</v>
          </cell>
          <cell r="AL23">
            <v>32000</v>
          </cell>
        </row>
        <row r="24">
          <cell r="D24">
            <v>24000</v>
          </cell>
          <cell r="E24">
            <v>14378</v>
          </cell>
          <cell r="S24">
            <v>24000</v>
          </cell>
          <cell r="T24">
            <v>14378</v>
          </cell>
          <cell r="AA24">
            <v>37202</v>
          </cell>
          <cell r="AB24">
            <v>16000</v>
          </cell>
          <cell r="AF24">
            <v>42000</v>
          </cell>
          <cell r="AG24">
            <v>16000</v>
          </cell>
          <cell r="AK24">
            <v>45000</v>
          </cell>
          <cell r="AL24">
            <v>16000</v>
          </cell>
        </row>
        <row r="25">
          <cell r="D25">
            <v>75000</v>
          </cell>
          <cell r="E25">
            <v>464140</v>
          </cell>
          <cell r="S25">
            <v>75000</v>
          </cell>
          <cell r="T25">
            <v>464140</v>
          </cell>
          <cell r="AA25">
            <v>77385</v>
          </cell>
          <cell r="AB25">
            <v>524000</v>
          </cell>
          <cell r="AF25">
            <v>87000</v>
          </cell>
          <cell r="AG25">
            <v>524000</v>
          </cell>
          <cell r="AK25">
            <v>94000</v>
          </cell>
          <cell r="AL25">
            <v>524000</v>
          </cell>
        </row>
        <row r="26">
          <cell r="D26">
            <v>455000</v>
          </cell>
          <cell r="E26">
            <v>933540</v>
          </cell>
          <cell r="S26">
            <v>455000</v>
          </cell>
          <cell r="T26">
            <v>933540</v>
          </cell>
          <cell r="AA26">
            <v>515458</v>
          </cell>
          <cell r="AB26">
            <v>1055000</v>
          </cell>
          <cell r="AF26">
            <v>579000</v>
          </cell>
          <cell r="AG26">
            <v>1055000</v>
          </cell>
          <cell r="AK26">
            <v>626000</v>
          </cell>
          <cell r="AL26">
            <v>1055000</v>
          </cell>
        </row>
        <row r="27">
          <cell r="D27">
            <v>140000</v>
          </cell>
          <cell r="E27">
            <v>186504</v>
          </cell>
          <cell r="S27">
            <v>140000</v>
          </cell>
          <cell r="T27">
            <v>186504</v>
          </cell>
          <cell r="AA27">
            <v>148327</v>
          </cell>
          <cell r="AB27">
            <v>219000</v>
          </cell>
          <cell r="AF27">
            <v>167000</v>
          </cell>
          <cell r="AG27">
            <v>219000</v>
          </cell>
          <cell r="AK27">
            <v>181000</v>
          </cell>
          <cell r="AL27">
            <v>219000</v>
          </cell>
        </row>
        <row r="28">
          <cell r="D28">
            <v>20000</v>
          </cell>
          <cell r="E28">
            <v>28511</v>
          </cell>
          <cell r="S28">
            <v>20000</v>
          </cell>
          <cell r="T28">
            <v>28511</v>
          </cell>
          <cell r="AA28">
            <v>20000</v>
          </cell>
          <cell r="AB28">
            <v>32000</v>
          </cell>
          <cell r="AF28">
            <v>22000</v>
          </cell>
          <cell r="AG28">
            <v>32000</v>
          </cell>
          <cell r="AK28">
            <v>24000</v>
          </cell>
          <cell r="AL28">
            <v>32000</v>
          </cell>
        </row>
        <row r="29">
          <cell r="D29">
            <v>2000</v>
          </cell>
          <cell r="E29">
            <v>0</v>
          </cell>
          <cell r="S29">
            <v>2000</v>
          </cell>
          <cell r="T29">
            <v>0</v>
          </cell>
          <cell r="AA29">
            <v>2000</v>
          </cell>
          <cell r="AB29">
            <v>0</v>
          </cell>
          <cell r="AF29">
            <v>2000</v>
          </cell>
          <cell r="AG29">
            <v>0</v>
          </cell>
          <cell r="AK29">
            <v>2000</v>
          </cell>
          <cell r="AL29">
            <v>0</v>
          </cell>
        </row>
        <row r="30">
          <cell r="D30">
            <v>135382</v>
          </cell>
          <cell r="E30">
            <v>139241</v>
          </cell>
          <cell r="S30">
            <v>135382</v>
          </cell>
          <cell r="T30">
            <v>139241</v>
          </cell>
          <cell r="AA30">
            <v>152264.36799999999</v>
          </cell>
          <cell r="AB30">
            <v>175604.54431904212</v>
          </cell>
          <cell r="AF30">
            <v>171000</v>
          </cell>
          <cell r="AG30">
            <v>176000</v>
          </cell>
          <cell r="AK30">
            <v>185000</v>
          </cell>
          <cell r="AL30">
            <v>176000</v>
          </cell>
        </row>
        <row r="31">
          <cell r="C31">
            <v>0</v>
          </cell>
          <cell r="D31">
            <v>0</v>
          </cell>
          <cell r="E31">
            <v>0</v>
          </cell>
          <cell r="S31">
            <v>89700</v>
          </cell>
          <cell r="T31">
            <v>341300</v>
          </cell>
          <cell r="AA31">
            <v>0</v>
          </cell>
          <cell r="AB31">
            <v>0</v>
          </cell>
          <cell r="AF31">
            <v>0</v>
          </cell>
          <cell r="AG31">
            <v>0</v>
          </cell>
          <cell r="AK31">
            <v>0</v>
          </cell>
          <cell r="AL31">
            <v>0</v>
          </cell>
        </row>
        <row r="32">
          <cell r="C32">
            <v>0</v>
          </cell>
          <cell r="D32">
            <v>0</v>
          </cell>
          <cell r="E32">
            <v>0</v>
          </cell>
          <cell r="S32">
            <v>0</v>
          </cell>
          <cell r="T32">
            <v>357489.34666666656</v>
          </cell>
          <cell r="AA32">
            <v>79139.200000000012</v>
          </cell>
          <cell r="AB32">
            <v>638260</v>
          </cell>
          <cell r="AF32">
            <v>567070.94060725369</v>
          </cell>
          <cell r="AG32">
            <v>315783.30174207845</v>
          </cell>
          <cell r="AK32">
            <v>1039823.5401058444</v>
          </cell>
          <cell r="AL32">
            <v>197406.66294841812</v>
          </cell>
        </row>
        <row r="33">
          <cell r="C33">
            <v>0</v>
          </cell>
          <cell r="D33">
            <v>0</v>
          </cell>
          <cell r="E33">
            <v>0</v>
          </cell>
          <cell r="S33">
            <v>0</v>
          </cell>
          <cell r="T33">
            <v>153209.71999999997</v>
          </cell>
          <cell r="AA33">
            <v>0</v>
          </cell>
          <cell r="AB33">
            <v>0</v>
          </cell>
          <cell r="AF33">
            <v>0</v>
          </cell>
          <cell r="AG33">
            <v>0</v>
          </cell>
          <cell r="AK33">
            <v>0</v>
          </cell>
          <cell r="AL33">
            <v>0</v>
          </cell>
        </row>
        <row r="34">
          <cell r="D34">
            <v>0</v>
          </cell>
          <cell r="E34">
            <v>0</v>
          </cell>
          <cell r="S34">
            <v>0</v>
          </cell>
          <cell r="T34">
            <v>0</v>
          </cell>
          <cell r="AA34">
            <v>3000</v>
          </cell>
          <cell r="AB34">
            <v>0</v>
          </cell>
          <cell r="AF34">
            <v>3000</v>
          </cell>
          <cell r="AG34">
            <v>0</v>
          </cell>
          <cell r="AK34">
            <v>3000</v>
          </cell>
          <cell r="AL34">
            <v>0</v>
          </cell>
        </row>
        <row r="36">
          <cell r="B36" t="str">
            <v>Chi thực hiện mục tiêu, nhiệm vụ quan trọng (vốn đầu tư phát triển)</v>
          </cell>
          <cell r="D36">
            <v>2417971</v>
          </cell>
          <cell r="E36">
            <v>0</v>
          </cell>
          <cell r="S36">
            <v>2417971</v>
          </cell>
          <cell r="T36">
            <v>0</v>
          </cell>
          <cell r="AA36">
            <v>1814491</v>
          </cell>
          <cell r="AB36">
            <v>0</v>
          </cell>
          <cell r="AF36">
            <v>2205000</v>
          </cell>
          <cell r="AG36">
            <v>0</v>
          </cell>
          <cell r="AK36">
            <v>2205000</v>
          </cell>
          <cell r="AL36">
            <v>0</v>
          </cell>
        </row>
        <row r="37">
          <cell r="B37" t="str">
            <v>Chi thực hiện mục tiêu, nhiệm vụ quan trọng (kinh phí sự nghiệp)</v>
          </cell>
          <cell r="D37">
            <v>179036</v>
          </cell>
          <cell r="E37">
            <v>0</v>
          </cell>
          <cell r="S37">
            <v>179036</v>
          </cell>
          <cell r="T37">
            <v>0</v>
          </cell>
          <cell r="AA37">
            <v>174485</v>
          </cell>
          <cell r="AB37">
            <v>0</v>
          </cell>
          <cell r="AF37">
            <v>174485.3</v>
          </cell>
          <cell r="AG37">
            <v>0</v>
          </cell>
          <cell r="AK37">
            <v>174485.3</v>
          </cell>
          <cell r="AL37">
            <v>0</v>
          </cell>
        </row>
        <row r="38">
          <cell r="B38" t="str">
            <v>Chi bổ sung có mục tiêu nhiệm vụ quan trọng khác (nếu có)</v>
          </cell>
          <cell r="D38">
            <v>0</v>
          </cell>
          <cell r="E38">
            <v>0</v>
          </cell>
          <cell r="S38">
            <v>0</v>
          </cell>
          <cell r="T38">
            <v>0</v>
          </cell>
          <cell r="AA38">
            <v>0</v>
          </cell>
          <cell r="AB38">
            <v>0</v>
          </cell>
          <cell r="AF38">
            <v>0</v>
          </cell>
          <cell r="AG38">
            <v>0</v>
          </cell>
          <cell r="AK38">
            <v>0</v>
          </cell>
          <cell r="AL38">
            <v>0</v>
          </cell>
        </row>
        <row r="39">
          <cell r="D39">
            <v>31500</v>
          </cell>
          <cell r="E39">
            <v>0</v>
          </cell>
          <cell r="S39">
            <v>31500</v>
          </cell>
          <cell r="T39">
            <v>0</v>
          </cell>
          <cell r="AA39">
            <v>0</v>
          </cell>
          <cell r="AB39">
            <v>0</v>
          </cell>
          <cell r="AF39">
            <v>0</v>
          </cell>
          <cell r="AG39">
            <v>0</v>
          </cell>
          <cell r="AK39">
            <v>0</v>
          </cell>
          <cell r="AL39">
            <v>0</v>
          </cell>
        </row>
      </sheetData>
      <sheetData sheetId="63">
        <row r="17">
          <cell r="B17" t="str">
            <v>Bổ sung thực hiện mục tiêu, nhiệm vụ quan trọng (vốn đầu tư phát triển)</v>
          </cell>
        </row>
        <row r="18">
          <cell r="B18" t="str">
            <v>Bổ sung thực hiện mục tiêu, nhiệm vụ quan trọng (kinh phí sự nghiệp)</v>
          </cell>
        </row>
        <row r="19">
          <cell r="B19" t="str">
            <v>Bổ sung nguồn thực hiện CCTL (nếu có); đảm bảo nhiệm vụ chi</v>
          </cell>
        </row>
        <row r="20">
          <cell r="B20" t="str">
            <v>Thu chuyển nguồn làm lương năm trước chuyển sang</v>
          </cell>
        </row>
        <row r="25">
          <cell r="D25">
            <v>540000</v>
          </cell>
          <cell r="E25">
            <v>521000</v>
          </cell>
        </row>
        <row r="26">
          <cell r="D26">
            <v>100000</v>
          </cell>
          <cell r="E26">
            <v>800000</v>
          </cell>
        </row>
        <row r="27">
          <cell r="D27">
            <v>1600000</v>
          </cell>
          <cell r="E27">
            <v>0</v>
          </cell>
        </row>
        <row r="28">
          <cell r="B28" t="str">
            <v>Chi đầu tư từ nguồn thu thoái vốn doanh nghiệp nhà nước địa phương quản lý;…</v>
          </cell>
          <cell r="D28">
            <v>0</v>
          </cell>
          <cell r="E28">
            <v>0</v>
          </cell>
        </row>
        <row r="29">
          <cell r="B29" t="str">
            <v>Chi đầu tư phát triển khác (Ủy thác qua NH Chính sách xã hội chi nhánh tỉnh Đồng Tháp)</v>
          </cell>
          <cell r="D29">
            <v>0</v>
          </cell>
          <cell r="E29">
            <v>0</v>
          </cell>
        </row>
        <row r="41">
          <cell r="B41" t="str">
            <v>Chi thực hiện mục tiêu, nhiệm vụ quan trọng (vốn đầu tư phát triển)</v>
          </cell>
        </row>
        <row r="42">
          <cell r="B42" t="str">
            <v>Chi thực hiện mục tiêu, nhiệm vụ quan trọng (kinh phí sự nghiệp)</v>
          </cell>
        </row>
        <row r="43">
          <cell r="B43" t="str">
            <v>Chi bổ sung có mục tiêu nhiệm vụ quan trọng khác (nếu có)</v>
          </cell>
        </row>
      </sheetData>
      <sheetData sheetId="64">
        <row r="2">
          <cell r="A2" t="str">
            <v>(Kèm theo Báo cáo số         /BC-UBND ngày      tháng 10 năm 2023 của Ủy ban nhân dân tỉnh Đồng Tháp)</v>
          </cell>
        </row>
        <row r="15">
          <cell r="E15">
            <v>4430923</v>
          </cell>
          <cell r="H15">
            <v>4430923</v>
          </cell>
          <cell r="K15">
            <v>4430923</v>
          </cell>
        </row>
        <row r="16">
          <cell r="E16">
            <v>317798</v>
          </cell>
        </row>
        <row r="17">
          <cell r="H17">
            <v>0</v>
          </cell>
          <cell r="K17">
            <v>0</v>
          </cell>
        </row>
        <row r="19">
          <cell r="K19">
            <v>232934</v>
          </cell>
        </row>
        <row r="25">
          <cell r="G25">
            <v>540000</v>
          </cell>
          <cell r="H25">
            <v>521000</v>
          </cell>
          <cell r="J25">
            <v>562186</v>
          </cell>
          <cell r="K25">
            <v>581000.40896987612</v>
          </cell>
        </row>
        <row r="26">
          <cell r="G26">
            <v>100000</v>
          </cell>
          <cell r="H26">
            <v>980000</v>
          </cell>
          <cell r="J26">
            <v>627000</v>
          </cell>
          <cell r="K26">
            <v>1143000</v>
          </cell>
        </row>
        <row r="27">
          <cell r="G27">
            <v>1950000</v>
          </cell>
          <cell r="H27">
            <v>0</v>
          </cell>
          <cell r="J27">
            <v>1950000</v>
          </cell>
          <cell r="K27">
            <v>0</v>
          </cell>
        </row>
        <row r="28">
          <cell r="G28">
            <v>0</v>
          </cell>
          <cell r="H28">
            <v>0</v>
          </cell>
          <cell r="J28">
            <v>0</v>
          </cell>
          <cell r="K28">
            <v>0</v>
          </cell>
        </row>
        <row r="29">
          <cell r="G29">
            <v>0</v>
          </cell>
          <cell r="H29">
            <v>0</v>
          </cell>
          <cell r="J29">
            <v>60000</v>
          </cell>
          <cell r="K29">
            <v>0</v>
          </cell>
        </row>
        <row r="30">
          <cell r="D30">
            <v>3168035</v>
          </cell>
          <cell r="E30">
            <v>6185830</v>
          </cell>
          <cell r="G30">
            <v>3168035</v>
          </cell>
          <cell r="H30">
            <v>6185830</v>
          </cell>
          <cell r="J30">
            <v>3294440</v>
          </cell>
          <cell r="K30">
            <v>7370538.3947110809</v>
          </cell>
        </row>
        <row r="31">
          <cell r="D31">
            <v>1017035</v>
          </cell>
          <cell r="E31">
            <v>3162710</v>
          </cell>
          <cell r="G31">
            <v>1017035</v>
          </cell>
          <cell r="H31">
            <v>3162710</v>
          </cell>
          <cell r="J31">
            <v>956676</v>
          </cell>
          <cell r="K31">
            <v>3841269.7831797441</v>
          </cell>
        </row>
        <row r="32">
          <cell r="D32">
            <v>31000</v>
          </cell>
          <cell r="E32">
            <v>0</v>
          </cell>
          <cell r="G32">
            <v>31000</v>
          </cell>
          <cell r="H32">
            <v>0</v>
          </cell>
          <cell r="J32">
            <v>31218</v>
          </cell>
          <cell r="K32">
            <v>0</v>
          </cell>
        </row>
        <row r="33">
          <cell r="D33">
            <v>2120000</v>
          </cell>
          <cell r="E33">
            <v>3023120</v>
          </cell>
          <cell r="G33">
            <v>2120000</v>
          </cell>
          <cell r="H33">
            <v>3023120</v>
          </cell>
          <cell r="J33">
            <v>2306546</v>
          </cell>
          <cell r="K33">
            <v>3529268.6115313368</v>
          </cell>
        </row>
        <row r="34">
          <cell r="D34">
            <v>0</v>
          </cell>
          <cell r="E34">
            <v>0</v>
          </cell>
          <cell r="G34">
            <v>89700</v>
          </cell>
          <cell r="H34">
            <v>341300</v>
          </cell>
          <cell r="J34">
            <v>0</v>
          </cell>
          <cell r="K34">
            <v>0</v>
          </cell>
        </row>
        <row r="35">
          <cell r="D35">
            <v>0</v>
          </cell>
          <cell r="E35">
            <v>0</v>
          </cell>
          <cell r="G35">
            <v>0</v>
          </cell>
          <cell r="H35">
            <v>357489.34666666656</v>
          </cell>
          <cell r="J35">
            <v>79139.200000000012</v>
          </cell>
          <cell r="K35">
            <v>638260</v>
          </cell>
        </row>
        <row r="36">
          <cell r="D36">
            <v>0</v>
          </cell>
          <cell r="E36">
            <v>0</v>
          </cell>
          <cell r="G36">
            <v>0</v>
          </cell>
          <cell r="H36">
            <v>153209.71999999997</v>
          </cell>
          <cell r="J36">
            <v>0</v>
          </cell>
          <cell r="K36">
            <v>0</v>
          </cell>
        </row>
        <row r="37">
          <cell r="D37">
            <v>2000</v>
          </cell>
          <cell r="E37">
            <v>0</v>
          </cell>
          <cell r="G37">
            <v>2000</v>
          </cell>
          <cell r="H37">
            <v>0</v>
          </cell>
          <cell r="J37">
            <v>2000</v>
          </cell>
          <cell r="K37">
            <v>0</v>
          </cell>
        </row>
        <row r="38">
          <cell r="D38">
            <v>135382</v>
          </cell>
          <cell r="E38">
            <v>139241</v>
          </cell>
          <cell r="G38">
            <v>135382</v>
          </cell>
          <cell r="H38">
            <v>139241</v>
          </cell>
          <cell r="J38">
            <v>152264.36799999999</v>
          </cell>
          <cell r="K38">
            <v>175604.54431904212</v>
          </cell>
        </row>
        <row r="39">
          <cell r="D39">
            <v>0</v>
          </cell>
          <cell r="E39">
            <v>0</v>
          </cell>
          <cell r="G39">
            <v>0</v>
          </cell>
          <cell r="H39">
            <v>0</v>
          </cell>
          <cell r="J39">
            <v>3000</v>
          </cell>
          <cell r="K39">
            <v>0</v>
          </cell>
        </row>
        <row r="41">
          <cell r="D41">
            <v>2417971</v>
          </cell>
          <cell r="E41">
            <v>0</v>
          </cell>
          <cell r="G41">
            <v>2417971</v>
          </cell>
          <cell r="H41">
            <v>0</v>
          </cell>
          <cell r="J41">
            <v>1814491</v>
          </cell>
          <cell r="K41">
            <v>0</v>
          </cell>
        </row>
        <row r="42">
          <cell r="D42">
            <v>179036</v>
          </cell>
          <cell r="E42">
            <v>0</v>
          </cell>
          <cell r="G42">
            <v>179036</v>
          </cell>
          <cell r="H42">
            <v>0</v>
          </cell>
          <cell r="J42">
            <v>174485</v>
          </cell>
          <cell r="K42">
            <v>0</v>
          </cell>
        </row>
        <row r="43">
          <cell r="D43">
            <v>0</v>
          </cell>
          <cell r="E43">
            <v>0</v>
          </cell>
          <cell r="G43">
            <v>0</v>
          </cell>
          <cell r="H43">
            <v>0</v>
          </cell>
          <cell r="J43">
            <v>0</v>
          </cell>
          <cell r="K43">
            <v>0</v>
          </cell>
        </row>
        <row r="44">
          <cell r="D44">
            <v>31500</v>
          </cell>
          <cell r="E44">
            <v>0</v>
          </cell>
          <cell r="G44">
            <v>31500</v>
          </cell>
          <cell r="H44">
            <v>0</v>
          </cell>
          <cell r="J44">
            <v>0</v>
          </cell>
          <cell r="K44">
            <v>0</v>
          </cell>
        </row>
        <row r="45">
          <cell r="D45">
            <v>4748721</v>
          </cell>
          <cell r="G45">
            <v>4748721</v>
          </cell>
          <cell r="H45">
            <v>0</v>
          </cell>
          <cell r="J45">
            <v>5083323.3480000002</v>
          </cell>
          <cell r="K45">
            <v>0</v>
          </cell>
        </row>
      </sheetData>
      <sheetData sheetId="65"/>
      <sheetData sheetId="66">
        <row r="2">
          <cell r="A2" t="str">
            <v>(Kèm theo Báo cáo số         /BC-UBND ngày      tháng 10 năm 2023 của Ủy ban nhân dân tỉnh Đồng Tháp)</v>
          </cell>
        </row>
      </sheetData>
      <sheetData sheetId="67">
        <row r="7">
          <cell r="F7">
            <v>189200</v>
          </cell>
        </row>
        <row r="35">
          <cell r="AG35">
            <v>0</v>
          </cell>
        </row>
        <row r="38">
          <cell r="E38">
            <v>652400.348</v>
          </cell>
        </row>
      </sheetData>
      <sheetData sheetId="68">
        <row r="8">
          <cell r="D8">
            <v>27999.594533972257</v>
          </cell>
        </row>
      </sheetData>
      <sheetData sheetId="69">
        <row r="8">
          <cell r="M8" t="str">
            <v>Bổ sung nguồn thực hiện điều chỉnh tiền lương cơ sở tăng thêm đến 1,8 triệu đồng/tháng (12 tháng)</v>
          </cell>
        </row>
      </sheetData>
      <sheetData sheetId="70">
        <row r="7">
          <cell r="B7" t="str">
            <v>BỔ SUNG CÓ MỤC TIÊU TỪ NGÂN SÁCH TRUNG ƯƠNG ĐỂ THỰC HIỆN CÁC MỤC TIÊU, NHIỆM VỤ QUAN TRỌNG (I+II)</v>
          </cell>
          <cell r="E7">
            <v>174485</v>
          </cell>
        </row>
        <row r="9">
          <cell r="C9">
            <v>85000</v>
          </cell>
        </row>
        <row r="13">
          <cell r="C13">
            <v>1596570</v>
          </cell>
        </row>
        <row r="19">
          <cell r="C19">
            <v>234937</v>
          </cell>
          <cell r="E19">
            <v>102016</v>
          </cell>
        </row>
      </sheetData>
      <sheetData sheetId="71"/>
      <sheetData sheetId="72">
        <row r="12">
          <cell r="U12">
            <v>14100</v>
          </cell>
        </row>
      </sheetData>
      <sheetData sheetId="73">
        <row r="11">
          <cell r="N11">
            <v>413967</v>
          </cell>
          <cell r="V11">
            <v>225665</v>
          </cell>
          <cell r="AD11">
            <v>391207</v>
          </cell>
          <cell r="AL11">
            <v>388772</v>
          </cell>
          <cell r="AT11">
            <v>449761</v>
          </cell>
          <cell r="BB11">
            <v>37354</v>
          </cell>
          <cell r="BJ11">
            <v>566422</v>
          </cell>
          <cell r="BR11">
            <v>441700</v>
          </cell>
          <cell r="BZ11">
            <v>470689</v>
          </cell>
          <cell r="CH11">
            <v>440874</v>
          </cell>
          <cell r="CP11">
            <v>224584</v>
          </cell>
          <cell r="CX11">
            <v>379928</v>
          </cell>
        </row>
      </sheetData>
      <sheetData sheetId="74"/>
      <sheetData sheetId="75"/>
      <sheetData sheetId="76">
        <row r="13">
          <cell r="AC13">
            <v>715</v>
          </cell>
        </row>
      </sheetData>
      <sheetData sheetId="77"/>
      <sheetData sheetId="78">
        <row r="8">
          <cell r="L8">
            <v>1967711.4</v>
          </cell>
          <cell r="M8">
            <v>1730030</v>
          </cell>
        </row>
        <row r="40">
          <cell r="L40">
            <v>11000</v>
          </cell>
          <cell r="M40">
            <v>548711</v>
          </cell>
        </row>
        <row r="48">
          <cell r="L48">
            <v>800515</v>
          </cell>
          <cell r="M48">
            <v>0</v>
          </cell>
        </row>
        <row r="53">
          <cell r="L53">
            <v>5623219.5</v>
          </cell>
          <cell r="M53">
            <v>0</v>
          </cell>
        </row>
        <row r="60">
          <cell r="B60" t="str">
            <v>Thu chuyển nguồn làm lương năm trước chuyển sang</v>
          </cell>
          <cell r="L60">
            <v>0</v>
          </cell>
          <cell r="M60">
            <v>443000</v>
          </cell>
        </row>
        <row r="61">
          <cell r="B61" t="str">
            <v>Thu vay từ nguồn Chính phủ vay về cho vay lại</v>
          </cell>
          <cell r="L61">
            <v>0</v>
          </cell>
          <cell r="M61">
            <v>0</v>
          </cell>
        </row>
      </sheetData>
      <sheetData sheetId="79">
        <row r="10">
          <cell r="B10" t="str">
            <v>Chi đầu tư xây dựng cơ bản</v>
          </cell>
          <cell r="I10">
            <v>281093</v>
          </cell>
          <cell r="J10">
            <v>290500.20448493806</v>
          </cell>
          <cell r="N10">
            <v>281093</v>
          </cell>
          <cell r="O10">
            <v>290500.20448493806</v>
          </cell>
        </row>
        <row r="11">
          <cell r="B11" t="str">
            <v>Chi đầu tư từ nguồn thu tiền sử dụng đất</v>
          </cell>
          <cell r="I11">
            <v>313500</v>
          </cell>
          <cell r="J11">
            <v>571500</v>
          </cell>
          <cell r="N11">
            <v>89000</v>
          </cell>
          <cell r="O11">
            <v>502289</v>
          </cell>
        </row>
        <row r="12">
          <cell r="B12" t="str">
            <v>Chi đầu tư từ nguồn thu xổ số kiến thiết</v>
          </cell>
          <cell r="I12">
            <v>975000</v>
          </cell>
          <cell r="J12">
            <v>0</v>
          </cell>
          <cell r="N12">
            <v>1099485</v>
          </cell>
          <cell r="O12">
            <v>0</v>
          </cell>
        </row>
        <row r="13">
          <cell r="B13" t="str">
            <v>Chi đầu tư từ nguồn thu thoái vốn doanh nghiệp nhà nước địa phương quản lý;…</v>
          </cell>
          <cell r="I13">
            <v>0</v>
          </cell>
          <cell r="J13">
            <v>0</v>
          </cell>
          <cell r="N13">
            <v>0</v>
          </cell>
          <cell r="O13">
            <v>0</v>
          </cell>
        </row>
        <row r="14">
          <cell r="B14" t="str">
            <v>Chi đầu tư phát triển khác (Ủy thác qua NH Chính sách chi nhánh tỉnh Đồng Tháp)</v>
          </cell>
          <cell r="I14">
            <v>60000</v>
          </cell>
          <cell r="J14">
            <v>0</v>
          </cell>
          <cell r="N14">
            <v>0</v>
          </cell>
          <cell r="O14">
            <v>0</v>
          </cell>
        </row>
        <row r="15">
          <cell r="I15">
            <v>1647020</v>
          </cell>
          <cell r="J15">
            <v>3685097</v>
          </cell>
          <cell r="N15">
            <v>1647420</v>
          </cell>
          <cell r="O15">
            <v>3713806.3947110809</v>
          </cell>
        </row>
        <row r="29">
          <cell r="B29" t="str">
            <v xml:space="preserve">Chi bổ sung quỹ dự trữ tài chính </v>
          </cell>
          <cell r="I29">
            <v>2000</v>
          </cell>
          <cell r="J29">
            <v>0</v>
          </cell>
          <cell r="N29">
            <v>0</v>
          </cell>
          <cell r="O29">
            <v>0</v>
          </cell>
        </row>
        <row r="30">
          <cell r="B30" t="str">
            <v>Dự phòng ngân sách</v>
          </cell>
          <cell r="I30">
            <v>39000</v>
          </cell>
          <cell r="J30">
            <v>87802</v>
          </cell>
          <cell r="N30">
            <v>0</v>
          </cell>
        </row>
        <row r="31">
          <cell r="B31" t="str">
            <v>Chi điều chỉnh tiền lương cơ sở</v>
          </cell>
          <cell r="I31">
            <v>0</v>
          </cell>
          <cell r="J31">
            <v>0</v>
          </cell>
          <cell r="N31">
            <v>0</v>
          </cell>
          <cell r="O31">
            <v>0</v>
          </cell>
        </row>
        <row r="32">
          <cell r="B32" t="str">
            <v>Chi chuyển nguồn cải cách tiền lương sang kỳ sau thực hiện</v>
          </cell>
          <cell r="I32">
            <v>0</v>
          </cell>
          <cell r="J32">
            <v>0</v>
          </cell>
          <cell r="N32">
            <v>0</v>
          </cell>
          <cell r="O32">
            <v>0</v>
          </cell>
        </row>
        <row r="33">
          <cell r="B33" t="str">
            <v>Chi từ nguồn dự kiến tăng thu (sau khi dành CCTL theo quy định)</v>
          </cell>
          <cell r="I33">
            <v>0</v>
          </cell>
          <cell r="J33">
            <v>0</v>
          </cell>
          <cell r="N33">
            <v>0</v>
          </cell>
          <cell r="O33">
            <v>0</v>
          </cell>
        </row>
        <row r="34">
          <cell r="B34" t="str">
            <v>Chi trả lãi tiền vay</v>
          </cell>
          <cell r="I34">
            <v>1500</v>
          </cell>
          <cell r="J34">
            <v>0</v>
          </cell>
          <cell r="N34">
            <v>1500</v>
          </cell>
          <cell r="O34">
            <v>0</v>
          </cell>
        </row>
        <row r="35">
          <cell r="B35" t="str">
            <v>Chi từ nguồn ngân sách trung ương bổ sung có mục tiêu</v>
          </cell>
        </row>
        <row r="36">
          <cell r="B36" t="str">
            <v>Chi thực hiện mục tiêu, nhiệm vụ quan trọng (vốn đầu tư phát triển)</v>
          </cell>
          <cell r="I36">
            <v>907245.5</v>
          </cell>
          <cell r="J36">
            <v>0</v>
          </cell>
          <cell r="N36">
            <v>907245.5</v>
          </cell>
          <cell r="O36">
            <v>0</v>
          </cell>
        </row>
        <row r="37">
          <cell r="B37" t="str">
            <v>Chi thực hiện mục tiêu, nhiệm vụ quan trọng (kinh phí sự nghiệp)</v>
          </cell>
          <cell r="I37">
            <v>87242.5</v>
          </cell>
          <cell r="J37">
            <v>0</v>
          </cell>
          <cell r="N37">
            <v>87242.5</v>
          </cell>
          <cell r="O37">
            <v>0</v>
          </cell>
        </row>
        <row r="38">
          <cell r="B38" t="str">
            <v>Chi bổ sung có mục tiêu nhiệm vụ quan trọng khác (nếu có)</v>
          </cell>
          <cell r="I38">
            <v>0</v>
          </cell>
          <cell r="J38">
            <v>0</v>
          </cell>
          <cell r="N38">
            <v>0</v>
          </cell>
          <cell r="O38">
            <v>0</v>
          </cell>
        </row>
        <row r="39">
          <cell r="B39" t="str">
            <v>Chi đầu tư từ nguồn vốn Chính phủ vay về cho vay lại</v>
          </cell>
          <cell r="I39">
            <v>0</v>
          </cell>
          <cell r="J39">
            <v>0</v>
          </cell>
        </row>
      </sheetData>
      <sheetData sheetId="80"/>
      <sheetData sheetId="81"/>
      <sheetData sheetId="82">
        <row r="17">
          <cell r="C17">
            <v>4901400</v>
          </cell>
        </row>
      </sheetData>
      <sheetData sheetId="83">
        <row r="15">
          <cell r="B15" t="str">
            <v>Thu chuyển nguồn từ năm trước chuyển sang</v>
          </cell>
        </row>
      </sheetData>
      <sheetData sheetId="84"/>
      <sheetData sheetId="85">
        <row r="18">
          <cell r="B18" t="str">
            <v>Chi đầu tư phát triển khác (Ủy thác qua NH Chính sách xã hội chi nhánh tỉnh Đồng Tháp)</v>
          </cell>
        </row>
        <row r="39">
          <cell r="D39">
            <v>13000</v>
          </cell>
        </row>
      </sheetData>
      <sheetData sheetId="86">
        <row r="43">
          <cell r="A43" t="str">
            <v>đ</v>
          </cell>
        </row>
      </sheetData>
      <sheetData sheetId="87">
        <row r="18">
          <cell r="B18" t="str">
            <v>Chi đầu tư xây dựng cơ bản</v>
          </cell>
        </row>
        <row r="19">
          <cell r="B19" t="str">
            <v>Chi đầu tư từ nguồn xổ số kiến thiết</v>
          </cell>
        </row>
      </sheetData>
      <sheetData sheetId="88">
        <row r="2">
          <cell r="A2" t="str">
            <v>(Kèm Theo Nghị quyết số         /NQ-HĐND ngày     /12/2023 của Hội đồng nhân dân Tỉnh)</v>
          </cell>
        </row>
      </sheetData>
      <sheetData sheetId="89"/>
      <sheetData sheetId="90"/>
      <sheetData sheetId="91"/>
      <sheetData sheetId="92"/>
      <sheetData sheetId="93"/>
      <sheetData sheetId="94">
        <row r="1">
          <cell r="A1" t="str">
            <v>PHỤ LỤC I</v>
          </cell>
        </row>
        <row r="39">
          <cell r="F39">
            <v>5083323348000</v>
          </cell>
          <cell r="G39">
            <v>2541661674000</v>
          </cell>
          <cell r="H39">
            <v>2541661674000</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77">
          <cell r="B77" t="str">
            <v>Chi đầu tư xây dựng cơ bản</v>
          </cell>
        </row>
        <row r="78">
          <cell r="B78" t="str">
            <v>Chi đầu tư từ nguồn xổ số kiến thiết</v>
          </cell>
        </row>
        <row r="91">
          <cell r="A91" t="str">
            <v>(3): Trong đó:</v>
          </cell>
          <cell r="B91">
            <v>0</v>
          </cell>
          <cell r="C91">
            <v>0</v>
          </cell>
        </row>
      </sheetData>
      <sheetData sheetId="95">
        <row r="1">
          <cell r="A1" t="str">
            <v>PHỤ LỤC I</v>
          </cell>
        </row>
        <row r="44">
          <cell r="C44">
            <v>33411</v>
          </cell>
        </row>
        <row r="45">
          <cell r="C45">
            <v>3431</v>
          </cell>
        </row>
        <row r="47">
          <cell r="C47">
            <v>36493</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6">
        <row r="1">
          <cell r="A1" t="str">
            <v>PHỤ LỤC I</v>
          </cell>
        </row>
        <row r="44">
          <cell r="C44">
            <v>46035</v>
          </cell>
        </row>
        <row r="45">
          <cell r="C45">
            <v>4055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7">
        <row r="1">
          <cell r="A1" t="str">
            <v>PHỤ LỤC I</v>
          </cell>
        </row>
        <row r="44">
          <cell r="C44">
            <v>8966</v>
          </cell>
        </row>
        <row r="45">
          <cell r="C45">
            <v>6923.8239999999996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8">
        <row r="1">
          <cell r="A1" t="str">
            <v>PHỤ LỤC I</v>
          </cell>
        </row>
        <row r="44">
          <cell r="C44">
            <v>30706</v>
          </cell>
        </row>
        <row r="45">
          <cell r="C45">
            <v>1686.76</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9">
        <row r="1">
          <cell r="A1" t="str">
            <v>PHỤ LỤC I</v>
          </cell>
        </row>
        <row r="44">
          <cell r="C44">
            <v>0</v>
          </cell>
        </row>
        <row r="45">
          <cell r="C45">
            <v>4041.3519999999999</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0">
        <row r="1">
          <cell r="A1" t="str">
            <v>PHỤ LỤC I</v>
          </cell>
        </row>
        <row r="44">
          <cell r="C44">
            <v>0</v>
          </cell>
        </row>
        <row r="45">
          <cell r="C45">
            <v>11159.2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101">
        <row r="1">
          <cell r="A1" t="str">
            <v>PHỤ LỤC I</v>
          </cell>
        </row>
        <row r="44">
          <cell r="C44">
            <v>10606</v>
          </cell>
        </row>
        <row r="45">
          <cell r="C45">
            <v>17921.2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2">
        <row r="1">
          <cell r="A1" t="str">
            <v>PHỤ LỤC I</v>
          </cell>
        </row>
        <row r="44">
          <cell r="C44">
            <v>34795</v>
          </cell>
        </row>
        <row r="45">
          <cell r="C45">
            <v>2610.6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3">
        <row r="1">
          <cell r="A1" t="str">
            <v>PHỤ LỤC I</v>
          </cell>
        </row>
        <row r="44">
          <cell r="C44">
            <v>9628</v>
          </cell>
        </row>
        <row r="45">
          <cell r="C45">
            <v>22437.948</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4">
        <row r="1">
          <cell r="A1" t="str">
            <v>PHỤ LỤC I</v>
          </cell>
        </row>
        <row r="44">
          <cell r="C44">
            <v>50621</v>
          </cell>
        </row>
        <row r="45">
          <cell r="C45">
            <v>7262.7119999999995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5">
        <row r="1">
          <cell r="A1" t="str">
            <v>PHỤ LỤC I</v>
          </cell>
        </row>
        <row r="44">
          <cell r="C44">
            <v>0</v>
          </cell>
        </row>
        <row r="45">
          <cell r="C45">
            <v>5375.92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6">
        <row r="11">
          <cell r="C11">
            <v>46000</v>
          </cell>
        </row>
        <row r="44">
          <cell r="C44">
            <v>8166</v>
          </cell>
        </row>
        <row r="45">
          <cell r="C45">
            <v>6762.8320000000003</v>
          </cell>
        </row>
      </sheetData>
      <sheetData sheetId="107">
        <row r="24">
          <cell r="B24" t="str">
            <v>Chi ngân sách địa phương (I+II+III)</v>
          </cell>
        </row>
      </sheetData>
      <sheetData sheetId="108"/>
      <sheetData sheetId="109"/>
      <sheetData sheetId="110"/>
      <sheetData sheetId="111"/>
      <sheetData sheetId="112">
        <row r="5">
          <cell r="A5" t="str">
            <v>(Kèm theo Quyết định số       /QĐ-UBND-HC ngày     /12/2023 của Ủy ban nhân dân tỉnh Đồng Tháp)</v>
          </cell>
        </row>
      </sheetData>
      <sheetData sheetId="113">
        <row r="5">
          <cell r="A5" t="str">
            <v>(Kèm theo Quyết định số       /QĐ-UBND-HC ngày     /12/2023 của Ủy ban nhân dân tỉnh Đồng Tháp)</v>
          </cell>
        </row>
      </sheetData>
      <sheetData sheetId="114">
        <row r="5">
          <cell r="A5" t="str">
            <v>(Kèm theo Quyết định số       /QĐ-UBND-HC ngày     /12/2023 của Ủy ban nhân dân tỉnh Đồng Tháp)</v>
          </cell>
        </row>
      </sheetData>
      <sheetData sheetId="115"/>
      <sheetData sheetId="116">
        <row r="2">
          <cell r="A2" t="str">
            <v>(Kèm theo Quyết định số       /QĐ-UBND-HC ngày     /12/2023 của Ủy ban nhân dân tỉnh Đồng Tháp)</v>
          </cell>
        </row>
      </sheetData>
      <sheetData sheetId="117">
        <row r="2">
          <cell r="A2" t="str">
            <v>(Kèm theo Quyết định số       /QĐ-UBND-HC ngày     /12/2023 của Ủy ban nhân dân tỉnh Đồng Tháp)</v>
          </cell>
        </row>
      </sheetData>
      <sheetData sheetId="118">
        <row r="2">
          <cell r="A2" t="str">
            <v>(Kèm theo Quyết định số       /QĐ-UBND-HC ngày     /12/2023 của Ủy ban nhân dân tỉnh Đồng Tháp)</v>
          </cell>
        </row>
      </sheetData>
      <sheetData sheetId="119">
        <row r="2">
          <cell r="A2" t="str">
            <v>(Kèm theo Quyết định số       /QĐ-UBND-HC ngày     /12/2023 của Ủy ban nhân dân tỉnh Đồng Tháp)</v>
          </cell>
        </row>
      </sheetData>
      <sheetData sheetId="120"/>
      <sheetData sheetId="121"/>
      <sheetData sheetId="122"/>
      <sheetData sheetId="1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F14">
            <v>7483830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refreshError="1"/>
      <sheetData sheetId="1" refreshError="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C12">
            <v>3336400</v>
          </cell>
        </row>
        <row r="14">
          <cell r="C14">
            <v>4883126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74">
          <cell r="F74">
            <v>578053.55000000005</v>
          </cell>
        </row>
        <row r="75">
          <cell r="F75">
            <v>787322.09596199996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7">
          <cell r="J67">
            <v>545944</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refreshError="1"/>
      <sheetData sheetId="1" refreshError="1"/>
      <sheetData sheetId="2" refreshError="1"/>
      <sheetData sheetId="3" refreshError="1"/>
      <sheetData sheetId="4" refreshError="1">
        <row r="30">
          <cell r="C30">
            <v>1474513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S14">
            <v>651329</v>
          </cell>
          <cell r="Y14">
            <v>508000</v>
          </cell>
        </row>
        <row r="15">
          <cell r="S15">
            <v>118000</v>
          </cell>
          <cell r="T15">
            <v>500000</v>
          </cell>
        </row>
        <row r="16">
          <cell r="S16">
            <v>1475000</v>
          </cell>
        </row>
        <row r="38">
          <cell r="P38">
            <v>602000</v>
          </cell>
          <cell r="U38">
            <v>849000</v>
          </cell>
          <cell r="Z38">
            <v>1198000</v>
          </cell>
          <cell r="AE38">
            <v>1690000</v>
          </cell>
        </row>
        <row r="39">
          <cell r="S39">
            <v>1070000</v>
          </cell>
          <cell r="U39">
            <v>1263000</v>
          </cell>
          <cell r="Z39">
            <v>1491000</v>
          </cell>
          <cell r="AE39">
            <v>1760000</v>
          </cell>
        </row>
        <row r="40">
          <cell r="P40">
            <v>141338</v>
          </cell>
          <cell r="U40">
            <v>141338</v>
          </cell>
          <cell r="Z40">
            <v>141338</v>
          </cell>
          <cell r="AE40">
            <v>141338</v>
          </cell>
        </row>
        <row r="41">
          <cell r="P41">
            <v>30000</v>
          </cell>
          <cell r="U41">
            <v>96096</v>
          </cell>
          <cell r="Z41">
            <v>0</v>
          </cell>
          <cell r="AE41">
            <v>0</v>
          </cell>
        </row>
      </sheetData>
      <sheetData sheetId="14" refreshError="1">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efreshError="1">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L Thuyet minh đất"/>
      <sheetName val="Phụ lục số 5.1 Thu"/>
      <sheetName val="Phụ lục 6.1 Chi"/>
      <sheetName val="Phụ lục 7.1-CĐH"/>
      <sheetName val="Phụ lục 7.2-CCTL"/>
      <sheetName val="Phụ lục số 8"/>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8">
          <cell r="AH8">
            <v>8484930</v>
          </cell>
        </row>
        <row r="60">
          <cell r="AH60">
            <v>0</v>
          </cell>
        </row>
      </sheetData>
      <sheetData sheetId="62">
        <row r="7">
          <cell r="X7">
            <v>18627408.915999997</v>
          </cell>
        </row>
        <row r="10">
          <cell r="B10" t="str">
            <v>Chi đầu tư xây dựng cơ bản</v>
          </cell>
        </row>
        <row r="11">
          <cell r="B11" t="str">
            <v>Chi đầu tư từ nguồn thu tiền sử dụng đất</v>
          </cell>
        </row>
        <row r="13">
          <cell r="X13">
            <v>0</v>
          </cell>
          <cell r="AA13">
            <v>0</v>
          </cell>
          <cell r="AB13">
            <v>0</v>
          </cell>
        </row>
        <row r="39">
          <cell r="AA39">
            <v>0</v>
          </cell>
          <cell r="AB39">
            <v>0</v>
          </cell>
        </row>
      </sheetData>
      <sheetData sheetId="63"/>
      <sheetData sheetId="64"/>
      <sheetData sheetId="65"/>
      <sheetData sheetId="66">
        <row r="56">
          <cell r="U56">
            <v>148327.4</v>
          </cell>
        </row>
      </sheetData>
      <sheetData sheetId="67">
        <row r="7">
          <cell r="F7">
            <v>189200</v>
          </cell>
        </row>
        <row r="27">
          <cell r="G27">
            <v>90</v>
          </cell>
        </row>
        <row r="30">
          <cell r="G30">
            <v>90</v>
          </cell>
        </row>
      </sheetData>
      <sheetData sheetId="68">
        <row r="8">
          <cell r="D8">
            <v>27999.594533972257</v>
          </cell>
        </row>
        <row r="17">
          <cell r="B17" t="str">
            <v>Chi đầu tư xây dựng cơ bản</v>
          </cell>
        </row>
        <row r="18">
          <cell r="B18" t="str">
            <v>Chi đầu tư từ nguồn xổ số kiến thiết</v>
          </cell>
        </row>
      </sheetData>
      <sheetData sheetId="69">
        <row r="8">
          <cell r="M8" t="str">
            <v>Bổ sung nguồn thực hiện điều chỉnh tiền lương cơ sở tăng thêm đến 1,8 triệu đồng/tháng (12 tháng)</v>
          </cell>
        </row>
      </sheetData>
      <sheetData sheetId="70"/>
      <sheetData sheetId="71"/>
      <sheetData sheetId="72">
        <row r="43">
          <cell r="V43">
            <v>600.54508638145694</v>
          </cell>
          <cell r="AD43">
            <v>5758.2598837468213</v>
          </cell>
          <cell r="AL43">
            <v>2732.2123367437066</v>
          </cell>
          <cell r="AT43">
            <v>25449.044324105798</v>
          </cell>
          <cell r="BB43">
            <v>121983.44142151806</v>
          </cell>
          <cell r="BJ43">
            <v>17175.070488188318</v>
          </cell>
          <cell r="BR43">
            <v>7386.3338839258013</v>
          </cell>
          <cell r="BZ43">
            <v>19969.37547413263</v>
          </cell>
          <cell r="CH43">
            <v>0.25509571213825666</v>
          </cell>
          <cell r="CP43">
            <v>34648.364037845444</v>
          </cell>
          <cell r="CX43">
            <v>17297.333069020206</v>
          </cell>
        </row>
      </sheetData>
      <sheetData sheetId="73"/>
      <sheetData sheetId="74"/>
      <sheetData sheetId="75">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cell r="E9">
            <v>0</v>
          </cell>
        </row>
        <row r="10">
          <cell r="B10" t="str">
            <v>Trong đó:</v>
          </cell>
        </row>
        <row r="11">
          <cell r="B11" t="str">
            <v>Chương trình mục tiêu ứng phó biến đổi khí hậu và tăng trưởng xanh (giải ngân theo cơ chế tài chính trong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4">
          <cell r="B14" t="str">
            <v>Trong đó:</v>
          </cell>
        </row>
        <row r="15">
          <cell r="A15" t="str">
            <v>2.1.1</v>
          </cell>
          <cell r="B15" t="str">
            <v>Đầu tư các dự án theo ngành, lĩnh vực và Chương trình phục hồi phát triển kinh tế - xã hội</v>
          </cell>
          <cell r="E15">
            <v>0</v>
          </cell>
        </row>
        <row r="16">
          <cell r="B16" t="str">
            <v>Thu hồi các khoản vốn ứng trước của các chương trình mục tiêu (số vốn thiểu địa phương phải bố trí)</v>
          </cell>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row>
        <row r="19">
          <cell r="A19" t="str">
            <v>2.2</v>
          </cell>
          <cell r="B19" t="str">
            <v>Vốn thực hiện 03 chương trình mục tiêu quốc gia</v>
          </cell>
        </row>
        <row r="20">
          <cell r="A20" t="str">
            <v>2.2.1</v>
          </cell>
          <cell r="B20" t="str">
            <v>Chương trình mục tiêu quốc gia giảm nghèo bền vững</v>
          </cell>
        </row>
        <row r="21">
          <cell r="A21" t="str">
            <v>a</v>
          </cell>
          <cell r="B21" t="str">
            <v>Dự án 2: Đa dạng hóa sinh kế, phát triển mô hình giảm nghèo (các hoạt động kinh tế); 25.125 triệu đồng</v>
          </cell>
          <cell r="D21">
            <v>0</v>
          </cell>
          <cell r="E21">
            <v>25125</v>
          </cell>
        </row>
        <row r="22">
          <cell r="A22" t="str">
            <v>b</v>
          </cell>
          <cell r="B22" t="str">
            <v>Dự án 3: Hỗ trợ phát triển sản xuất, cải thiện dinh dưỡng (sự nghiệp y tế, dân số và gia đình: 4.025 triệu đồng; các hoạt động kinh tế: 10.387 triệu đồng)</v>
          </cell>
          <cell r="D22">
            <v>0</v>
          </cell>
          <cell r="E22">
            <v>14412</v>
          </cell>
        </row>
        <row r="23">
          <cell r="A23" t="str">
            <v>c</v>
          </cell>
          <cell r="B23" t="str">
            <v xml:space="preserve">Dự án 4: Phát triển giáo dục nghề nghiệp, việc làm bền vững (sự nghiệp giáo dục-đào tạo và dạy nghề 2.237 triệu đồng; các hoạt động kinh tế 9.941 triệu đồng) </v>
          </cell>
          <cell r="D23">
            <v>0</v>
          </cell>
          <cell r="E23">
            <v>12178</v>
          </cell>
        </row>
        <row r="24">
          <cell r="A24" t="str">
            <v>d</v>
          </cell>
          <cell r="B24" t="str">
            <v>Dự án 6: Truyền thông và giảm nghèo về thông tin (sự nghiệp văn hóa thông tin); 6.372 triệu đồng</v>
          </cell>
          <cell r="D24">
            <v>0</v>
          </cell>
          <cell r="E24">
            <v>6372</v>
          </cell>
        </row>
        <row r="25">
          <cell r="A25" t="str">
            <v>đ</v>
          </cell>
          <cell r="B25" t="str">
            <v>Dự án 7: Nâng cao năng lực và giám sát, đánh giá chương trình (sự nghiệp giáo dục- đào tạo và dạy nghề); 7.568 triệu đồng</v>
          </cell>
          <cell r="D25">
            <v>0</v>
          </cell>
          <cell r="E25">
            <v>7568</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cell r="D27">
            <v>0</v>
          </cell>
          <cell r="E27">
            <v>0</v>
          </cell>
        </row>
        <row r="29">
          <cell r="B29" t="str">
            <v>Ngân sách trung ương bổ sung có mục tiêu (kinh phí sự nghiệp)</v>
          </cell>
        </row>
        <row r="30">
          <cell r="A30">
            <v>1</v>
          </cell>
        </row>
      </sheetData>
      <sheetData sheetId="76"/>
      <sheetData sheetId="77"/>
      <sheetData sheetId="78"/>
      <sheetData sheetId="79"/>
      <sheetData sheetId="80"/>
      <sheetData sheetId="81"/>
      <sheetData sheetId="82">
        <row r="9">
          <cell r="B9" t="str">
            <v>Tổng thu ngân sách nhà nước trên địa bàn (I+II)</v>
          </cell>
        </row>
        <row r="10">
          <cell r="B10" t="str">
            <v>Thu nội địa</v>
          </cell>
        </row>
        <row r="11">
          <cell r="B11" t="str">
            <v>Trong đó:</v>
          </cell>
        </row>
        <row r="12">
          <cell r="B12" t="str">
            <v>Thu tiền sử dụng đất</v>
          </cell>
        </row>
        <row r="13">
          <cell r="B13" t="str">
            <v>Thu xổ số kiến thiết</v>
          </cell>
        </row>
        <row r="14">
          <cell r="B14" t="str">
            <v>Thu từ hoạt động xuất, nhập khẩu</v>
          </cell>
        </row>
        <row r="15">
          <cell r="B15" t="str">
            <v>Thu ngân sách địa phương  (I+II+III)</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4">
          <cell r="B24" t="str">
            <v>Chi ngân sách địa phương (I+II+III)</v>
          </cell>
        </row>
        <row r="25">
          <cell r="B25" t="str">
            <v>Chi cân đối ngân sách địa phương</v>
          </cell>
        </row>
        <row r="26">
          <cell r="B26" t="str">
            <v>Chi đầu tư phát triển (1)</v>
          </cell>
        </row>
        <row r="27">
          <cell r="B27" t="str">
            <v>Chi đầu tư xây dựng cơ bản</v>
          </cell>
        </row>
        <row r="28">
          <cell r="B28" t="str">
            <v>Chi đầu tư từ nguồn thu tiền sử dụng đất</v>
          </cell>
        </row>
        <row r="29">
          <cell r="B29" t="str">
            <v>Chi đầu tư từ nguồn thu xổ số kiến thiết</v>
          </cell>
        </row>
        <row r="30">
          <cell r="B30" t="str">
            <v>Chi đầu tư từ nguồn thu cổ phần hóa, thoái vốn doanh nghiệp nhà nước địa phương quản lý;…</v>
          </cell>
        </row>
        <row r="32">
          <cell r="B32" t="str">
            <v>Chi thường xuyên</v>
          </cell>
        </row>
        <row r="33">
          <cell r="B33" t="str">
            <v>Bao gồm:</v>
          </cell>
        </row>
        <row r="34">
          <cell r="B34" t="str">
            <v>Chi giáo dục, đào tạo và dạy nghề</v>
          </cell>
        </row>
        <row r="35">
          <cell r="B35" t="str">
            <v>Chi khoa học và công nghệ</v>
          </cell>
        </row>
        <row r="36">
          <cell r="B36" t="str">
            <v>Các khoản chi thường xuyên còn lại</v>
          </cell>
        </row>
        <row r="37">
          <cell r="B37" t="str">
            <v>Chi bổ sung Quỹ Dự trữ tài chính</v>
          </cell>
        </row>
        <row r="38">
          <cell r="B38" t="str">
            <v>Dự phòng ngân sách</v>
          </cell>
        </row>
        <row r="39">
          <cell r="B39" t="str">
            <v>Chi tạo nguồn cải cách tiền lương</v>
          </cell>
        </row>
        <row r="40">
          <cell r="B40" t="str">
            <v>Chi trả lãi khoản vay của ngân sách cấp tỉnh</v>
          </cell>
        </row>
        <row r="41">
          <cell r="B41" t="str">
            <v>Chi từ nguồn bổ sung có mục tiêu từ ngân sách trung ương</v>
          </cell>
        </row>
      </sheetData>
      <sheetData sheetId="83">
        <row r="15">
          <cell r="B15" t="str">
            <v>Thu chuyển nguồn từ năm trước chuyển sang</v>
          </cell>
        </row>
        <row r="20">
          <cell r="B20" t="str">
            <v>Chi đầu tư xây dựng cơ bản</v>
          </cell>
        </row>
        <row r="21">
          <cell r="B21" t="str">
            <v>Chi đầu tư từ nguồn thu tiền sử dụng đất</v>
          </cell>
        </row>
        <row r="22">
          <cell r="B22" t="str">
            <v>Chi đầu tư từ nguồn thu xổ số kiến thiết</v>
          </cell>
        </row>
        <row r="23">
          <cell r="B23" t="str">
            <v>Chi đầu tư từ nguồn thu cổ phần hóa, thoái vốn doanh nghiệp nhà nước địa phương quản lý;…</v>
          </cell>
        </row>
        <row r="24">
          <cell r="B24" t="str">
            <v>Chi đầu tư phát triển khác (Ủy thác qua NH Chính sách xã hội chi nhánh tỉnh Đồng Tháp)</v>
          </cell>
        </row>
      </sheetData>
      <sheetData sheetId="84"/>
      <sheetData sheetId="85">
        <row r="11">
          <cell r="B11" t="str">
            <v>Tổng chi ngân sách địa phương</v>
          </cell>
        </row>
        <row r="13">
          <cell r="B13" t="str">
            <v>Bao gồm:</v>
          </cell>
        </row>
        <row r="14">
          <cell r="A14">
            <v>1</v>
          </cell>
        </row>
        <row r="15">
          <cell r="A15">
            <v>2</v>
          </cell>
        </row>
        <row r="16">
          <cell r="A16">
            <v>3</v>
          </cell>
        </row>
      </sheetData>
      <sheetData sheetId="86"/>
      <sheetData sheetId="87"/>
      <sheetData sheetId="88"/>
      <sheetData sheetId="89">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5">
          <cell r="A15" t="str">
            <v>2.1.1</v>
          </cell>
          <cell r="B15" t="str">
            <v>Đầu tư các dự án theo ngành, lĩnh vực và Chương trình phục hồi phát triển kinh tế - xã hội</v>
          </cell>
          <cell r="E15">
            <v>0</v>
          </cell>
        </row>
        <row r="16">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cell r="E18">
            <v>0</v>
          </cell>
        </row>
        <row r="19">
          <cell r="A19" t="str">
            <v>2.2</v>
          </cell>
          <cell r="B19" t="str">
            <v>Vốn thực hiện 03 chương trình mục tiêu quốc gia</v>
          </cell>
        </row>
        <row r="20">
          <cell r="A20" t="str">
            <v>2.2.1</v>
          </cell>
          <cell r="B20" t="str">
            <v>Chương trình mục tiêu quốc gia giảm nghèo bền vững</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row>
        <row r="30">
          <cell r="D30">
            <v>0</v>
          </cell>
        </row>
        <row r="31">
          <cell r="D31">
            <v>0</v>
          </cell>
        </row>
        <row r="32">
          <cell r="D32">
            <v>0</v>
          </cell>
        </row>
        <row r="33">
          <cell r="D33">
            <v>0</v>
          </cell>
        </row>
        <row r="34">
          <cell r="D34">
            <v>0</v>
          </cell>
        </row>
        <row r="35">
          <cell r="D35">
            <v>0</v>
          </cell>
        </row>
        <row r="36">
          <cell r="D36">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t="str">
            <v>(Kèm theo Báo cáo số            /BC-UBND ngày      /12/2023 của Ủy ban nhân dân tỉnh Đồng Tháp)</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7">
          <cell r="B27" t="str">
            <v>Chi đầu tư xây dựng cơ bản</v>
          </cell>
        </row>
        <row r="28">
          <cell r="B28" t="str">
            <v>Chi đầu tư từ nguồn thu tiền sử dụng đất</v>
          </cell>
        </row>
        <row r="29">
          <cell r="B29" t="str">
            <v>Chi đầu tư từ nguồn thu xổ số kiến thiết</v>
          </cell>
        </row>
        <row r="34">
          <cell r="B34" t="str">
            <v>Chi giáo dục, đào tạo và dạy nghề</v>
          </cell>
        </row>
        <row r="35">
          <cell r="B35" t="str">
            <v>Chi khoa học và công nghệ</v>
          </cell>
        </row>
        <row r="36">
          <cell r="B36" t="str">
            <v>Các khoản chi thường xuyên còn lại</v>
          </cell>
        </row>
        <row r="41">
          <cell r="B41" t="str">
            <v>Chi từ nguồn bổ sung có mục tiêu từ ngân sách trung ương</v>
          </cell>
        </row>
      </sheetData>
      <sheetData sheetId="108">
        <row r="5">
          <cell r="A5" t="str">
            <v>(Kèm theo Báo cáo số            /BC-UBND ngày      /12/2023 của Ủy ban nhân dân tỉnh Đồng Tháp)</v>
          </cell>
        </row>
      </sheetData>
      <sheetData sheetId="109">
        <row r="5">
          <cell r="A5" t="str">
            <v>(Kèm theo Báo cáo số            /BC-UBND ngày      /12/2023 của Ủy ban nhân dân tỉnh Đồng Tháp)</v>
          </cell>
        </row>
      </sheetData>
      <sheetData sheetId="110">
        <row r="2">
          <cell r="A2" t="str">
            <v>(Kèm theo Báo cáo số            /BC-UBND ngày      /12/2023 của Ủy ban nhân dân tỉnh Đồng Tháp)</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2)"/>
      <sheetName val="Biểu ĐTC 2026-2030"/>
      <sheetName val="Biểu Nợ vay"/>
      <sheetName val="Biểu DP-DT"/>
      <sheetName val="Biểu Quỹ TC-NNSNN"/>
      <sheetName val="Phụ lục số 1"/>
      <sheetName val="Phụ lục số 2 (2)"/>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50">
          <cell r="BC50">
            <v>13750000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C6T"/>
      <sheetName val="PL3-CĐC6T-BS"/>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30">
          <cell r="AA30">
            <v>152264.36799999999</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0">
          <cell r="C10">
            <v>9674054.1620000005</v>
          </cell>
        </row>
      </sheetData>
      <sheetData sheetId="79"/>
      <sheetData sheetId="80"/>
      <sheetData sheetId="81"/>
      <sheetData sheetId="82"/>
      <sheetData sheetId="83"/>
      <sheetData sheetId="84"/>
      <sheetData sheetId="85"/>
      <sheetData sheetId="86"/>
      <sheetData sheetId="87">
        <row r="15">
          <cell r="D15">
            <v>10437.59385626638</v>
          </cell>
          <cell r="E15">
            <v>11499.215573075984</v>
          </cell>
          <cell r="F15">
            <v>10537.223837203137</v>
          </cell>
          <cell r="G15">
            <v>11588.977980819584</v>
          </cell>
          <cell r="H15">
            <v>15019.092791175266</v>
          </cell>
          <cell r="I15">
            <v>24840.315989198371</v>
          </cell>
          <cell r="J15">
            <v>18324.891001880766</v>
          </cell>
          <cell r="K15">
            <v>15331.331169737576</v>
          </cell>
          <cell r="L15">
            <v>16254.273125298643</v>
          </cell>
          <cell r="M15">
            <v>11451.024086591191</v>
          </cell>
          <cell r="N15">
            <v>16517.275562142579</v>
          </cell>
          <cell r="O15">
            <v>13803.329345652623</v>
          </cell>
        </row>
      </sheetData>
      <sheetData sheetId="88"/>
      <sheetData sheetId="89"/>
      <sheetData sheetId="90"/>
      <sheetData sheetId="91"/>
      <sheetData sheetId="92"/>
      <sheetData sheetId="93"/>
      <sheetData sheetId="94">
        <row r="40">
          <cell r="C40">
            <v>4430923</v>
          </cell>
        </row>
        <row r="41">
          <cell r="C41">
            <v>652400.348</v>
          </cell>
        </row>
        <row r="44">
          <cell r="C44">
            <v>232934</v>
          </cell>
        </row>
        <row r="45">
          <cell r="C45">
            <v>93668.347999999998</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sheetName val="Biểu Nợ vay"/>
      <sheetName val="Biểu DP-DT"/>
      <sheetName val="Biểu Quỹ TC-NNSNN"/>
      <sheetName val="Phụ lục số 1"/>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12">
          <cell r="U12">
            <v>626211.68926796957</v>
          </cell>
          <cell r="V12">
            <v>581000.40896987612</v>
          </cell>
          <cell r="Z12">
            <v>720943.72933961113</v>
          </cell>
          <cell r="AA12">
            <v>617764.20997363189</v>
          </cell>
          <cell r="AE12">
            <v>779449.9806064032</v>
          </cell>
          <cell r="AF12">
            <v>690353.68477532186</v>
          </cell>
          <cell r="AJ12">
            <v>872342.93138140603</v>
          </cell>
          <cell r="AK12">
            <v>733408.08190585766</v>
          </cell>
          <cell r="AO12">
            <v>926384.7870840528</v>
          </cell>
          <cell r="AP12">
            <v>822415.5780481929</v>
          </cell>
        </row>
      </sheetData>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Dự toán Chi TW-ĐP"/>
      <sheetName val="PL-SosanhĐM"/>
      <sheetName val="PL-ĐP Xác định lại ĐM"/>
      <sheetName val="PL-TW Xác định lại ĐM"/>
      <sheetName val="PL-Định mức chi TX"/>
      <sheetName val="SO SANH-UTH2023-DT2024 (2)"/>
      <sheetName val="SO SANH (1) UTH2023-DT2024"/>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hụ lục 10-CKNS"/>
      <sheetName val="Phụ lục 9-CKNS"/>
      <sheetName val="Phụ lục 8-CKNS"/>
      <sheetName val="Phụ lục 7-CKNS"/>
      <sheetName val="Phụ lục 6-CKNS"/>
      <sheetName val="Phụ lục 5-CKNS"/>
      <sheetName val="Phụ lục 4-CKNS"/>
      <sheetName val="Phụ lục 3-CKNS"/>
      <sheetName val="Phụ lục 2-CKNS"/>
      <sheetName val="Phụ lục 1-CKNS"/>
      <sheetName val="PL1-Thu6T"/>
      <sheetName val="PL2-Chi6T"/>
      <sheetName val="PL3-CĐ6Thang"/>
      <sheetName val="PL3-CĐ6Thang-K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KQPB"/>
      <sheetName val="Phụ lục 2-KQPB"/>
      <sheetName val="Phụ lục 3-KQPB"/>
      <sheetName val="Phụ lục 4-KQPB"/>
      <sheetName val="Phụ lục 5-KQPB"/>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B10">
            <v>581000.40896987612</v>
          </cell>
        </row>
        <row r="15">
          <cell r="AB15">
            <v>7370538.3947110809</v>
          </cell>
        </row>
        <row r="20">
          <cell r="AB20">
            <v>3841269.7831797441</v>
          </cell>
        </row>
        <row r="30">
          <cell r="AB30">
            <v>175604.54431904212</v>
          </cell>
        </row>
      </sheetData>
      <sheetData sheetId="63"/>
      <sheetData sheetId="64">
        <row r="25">
          <cell r="B25" t="str">
            <v>Chi đầu tư xây dựng cơ bản</v>
          </cell>
        </row>
        <row r="26">
          <cell r="B26" t="str">
            <v>Chi đầu tư từ nguồn thu tiền sử dụng đất</v>
          </cell>
        </row>
        <row r="27">
          <cell r="B27" t="str">
            <v>Chi đầu tư từ nguồn thu xổ số kiến thiết</v>
          </cell>
        </row>
        <row r="28">
          <cell r="B28" t="str">
            <v>Chi đầu tư từ nguồn thu thoái vốn doanh nghiệp nhà nước địa phương quản lý;…</v>
          </cell>
        </row>
        <row r="29">
          <cell r="B29" t="str">
            <v>Chi đầu tư phát triển khác (Ủy thác qua NH Chính sách xã hội chi nhánh tỉnh Đồng Tháp)</v>
          </cell>
        </row>
      </sheetData>
      <sheetData sheetId="65"/>
      <sheetData sheetId="66"/>
      <sheetData sheetId="67">
        <row r="7">
          <cell r="F7">
            <v>189200</v>
          </cell>
        </row>
      </sheetData>
      <sheetData sheetId="68">
        <row r="2">
          <cell r="A2" t="str">
            <v>(Kèm theo Báo cáo số         /BC-UBND ngày      tháng 11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sheetData>
      <sheetData sheetId="69">
        <row r="2">
          <cell r="A2" t="str">
            <v>(Kèm theo Báo cáo số         /BC-UBND ngày      tháng 11 năm 2023 của Ủy ban nhân dân tỉnh Đồng Tháp)</v>
          </cell>
        </row>
      </sheetData>
      <sheetData sheetId="70"/>
      <sheetData sheetId="71"/>
      <sheetData sheetId="72">
        <row r="9">
          <cell r="AF9">
            <v>267539.5</v>
          </cell>
          <cell r="AR9">
            <v>95701</v>
          </cell>
          <cell r="BD9">
            <v>121821</v>
          </cell>
          <cell r="BP9">
            <v>230256.66666666666</v>
          </cell>
          <cell r="CN9">
            <v>270987</v>
          </cell>
          <cell r="CZ9">
            <v>230542.5</v>
          </cell>
          <cell r="DX9">
            <v>192522.66666666669</v>
          </cell>
        </row>
        <row r="32">
          <cell r="AF32">
            <v>166000</v>
          </cell>
          <cell r="AR32">
            <v>36000</v>
          </cell>
          <cell r="BD32">
            <v>42000</v>
          </cell>
          <cell r="BP32">
            <v>50000</v>
          </cell>
          <cell r="CB32">
            <v>160000</v>
          </cell>
          <cell r="CN32">
            <v>100000</v>
          </cell>
          <cell r="CZ32">
            <v>90000</v>
          </cell>
          <cell r="DL32">
            <v>48000</v>
          </cell>
          <cell r="DX32">
            <v>90000</v>
          </cell>
          <cell r="EJ32">
            <v>100500</v>
          </cell>
        </row>
        <row r="43">
          <cell r="T43">
            <v>868</v>
          </cell>
          <cell r="AF43">
            <v>0</v>
          </cell>
          <cell r="AR43">
            <v>9415.6999999999989</v>
          </cell>
          <cell r="BD43">
            <v>1904.6999999999998</v>
          </cell>
          <cell r="BP43">
            <v>51524.666666666657</v>
          </cell>
          <cell r="CB43">
            <v>86667.7</v>
          </cell>
          <cell r="CN43">
            <v>14158.9</v>
          </cell>
          <cell r="CZ43">
            <v>0</v>
          </cell>
          <cell r="DL43">
            <v>25350.85</v>
          </cell>
          <cell r="DX43">
            <v>0</v>
          </cell>
          <cell r="EJ43">
            <v>11501.349999999999</v>
          </cell>
          <cell r="EV43">
            <v>1218.6999999999998</v>
          </cell>
        </row>
        <row r="45">
          <cell r="V45">
            <v>225</v>
          </cell>
          <cell r="AH45">
            <v>2465</v>
          </cell>
          <cell r="AT45">
            <v>11545</v>
          </cell>
          <cell r="BF45">
            <v>4920</v>
          </cell>
          <cell r="BR45">
            <v>36100</v>
          </cell>
          <cell r="CD45">
            <v>150625</v>
          </cell>
          <cell r="CP45">
            <v>27190</v>
          </cell>
          <cell r="DB45">
            <v>13145</v>
          </cell>
          <cell r="DN45">
            <v>29650</v>
          </cell>
          <cell r="DZ45">
            <v>415</v>
          </cell>
          <cell r="EL45">
            <v>47570</v>
          </cell>
          <cell r="EX45">
            <v>25515</v>
          </cell>
        </row>
      </sheetData>
      <sheetData sheetId="73"/>
      <sheetData sheetId="74"/>
      <sheetData sheetId="75">
        <row r="6">
          <cell r="F6">
            <v>0</v>
          </cell>
          <cell r="I6">
            <v>39471</v>
          </cell>
          <cell r="L6">
            <v>26700</v>
          </cell>
          <cell r="N6">
            <v>22770</v>
          </cell>
        </row>
        <row r="31">
          <cell r="H31">
            <v>-30706</v>
          </cell>
          <cell r="I31">
            <v>0</v>
          </cell>
          <cell r="L31">
            <v>-34795</v>
          </cell>
          <cell r="M31">
            <v>-9628</v>
          </cell>
          <cell r="N31">
            <v>-50621</v>
          </cell>
        </row>
      </sheetData>
      <sheetData sheetId="76">
        <row r="11">
          <cell r="AC11">
            <v>3431</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INH UY DT 2025"/>
    </sheetNames>
    <sheetDataSet>
      <sheetData sheetId="0">
        <row r="12">
          <cell r="P12">
            <v>280453.99060199998</v>
          </cell>
        </row>
        <row r="53">
          <cell r="P53">
            <v>14090.743</v>
          </cell>
        </row>
        <row r="87">
          <cell r="P87">
            <v>1352.6000000000001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v>117981</v>
          </cell>
          <cell r="F4">
            <v>36299.116999999998</v>
          </cell>
          <cell r="G4">
            <v>1132.472</v>
          </cell>
          <cell r="H4">
            <v>60051</v>
          </cell>
          <cell r="K4">
            <v>29448.800000000003</v>
          </cell>
          <cell r="N4">
            <v>18090</v>
          </cell>
          <cell r="O4">
            <v>4150</v>
          </cell>
          <cell r="P4">
            <v>69292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h vuc"/>
      <sheetName val="chi tiet"/>
      <sheetName val="Nguon CCTL"/>
      <sheetName val="Phụ lục số 4"/>
      <sheetName val="ChuaChuTruong"/>
      <sheetName val="MayTinh+Lanh-VB"/>
    </sheetNames>
    <sheetDataSet>
      <sheetData sheetId="0"/>
      <sheetData sheetId="1">
        <row r="12">
          <cell r="AI12">
            <v>86578</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63">
          <cell r="G163">
            <v>215162</v>
          </cell>
        </row>
        <row r="164">
          <cell r="G164">
            <v>195279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GĐ"/>
      <sheetName val="KT-XH NAM"/>
      <sheetName val="Phụ lục số I"/>
      <sheetName val="Phụ lục số II"/>
      <sheetName val="Phụ lục số III-CĐC"/>
      <sheetName val="Phụ lục số III-CĐC(-BS)"/>
      <sheetName val="Phụ lục số IV"/>
      <sheetName val="Phụ lục số IVa"/>
      <sheetName val="Phụ lục số IVb"/>
      <sheetName val="Phụ lục số IVd"/>
      <sheetName val="Phụ lục số IVk"/>
      <sheetName val="Phụ lục số IVL"/>
      <sheetName val="Phụ lục số IVm"/>
      <sheetName val="Phụ lục số IVn"/>
      <sheetName val="Phụ lục số V-CCTL"/>
      <sheetName val="Phụ lục số VI-DPDTr"/>
      <sheetName val="Phụ lục số VII-Vaytrano"/>
      <sheetName val="Phụ lục VIII-QUYTC"/>
      <sheetName val="Phụ lục số IX"/>
      <sheetName val="Phụ lục số X"/>
      <sheetName val="Phụ lục số XI năm -CĐC"/>
      <sheetName val="Phụ lục số XI-CĐC(-BS)"/>
      <sheetName val="Phụ lục số XII"/>
      <sheetName val="Phụ lục số XIII"/>
      <sheetName val="BIỂU MẪU SỐ 03-RUT VON"/>
      <sheetName val="Biểu Nợ vay"/>
      <sheetName val="PL-Chithuongxuyen"/>
      <sheetName val="Biểu mẫu số 04"/>
      <sheetName val="Biểu mẫu số 05"/>
      <sheetName val="SosanhThuTW-ĐP"/>
      <sheetName val="SosanhTW-ĐP"/>
      <sheetName val="Thu 3n"/>
      <sheetName val="Chi 3n"/>
      <sheetName val="CĐ3n"/>
      <sheetName val="CĐDP3nBS"/>
      <sheetName val="CĐĐP3n-BS"/>
      <sheetName val="PL-BSMTTW"/>
      <sheetName val="Phụ luc 1.1"/>
      <sheetName val="Phụ lục 2.1"/>
      <sheetName val="PLThu 21-25"/>
      <sheetName val="PLChi 21-25"/>
      <sheetName val="PLCĐ 21-25"/>
      <sheetName val="Biểu số 1"/>
      <sheetName val="Biểu số 2"/>
      <sheetName val="Biểu số 3"/>
      <sheetName val="Biểu số 1 (2)"/>
      <sheetName val="Biểu số 4-ĐTC 21-25"/>
      <sheetName val="Biểu số 4.1-ĐTC 2026-2030"/>
      <sheetName val="PL so sanh ĐM"/>
      <sheetName val="PL xác định lại ĐM"/>
      <sheetName val="PL xác định lại ĐM-TW"/>
      <sheetName val="Biểu KH05 năm"/>
      <sheetName val="Danh mục file"/>
      <sheetName val="Biểu 48-CK-NSNN"/>
      <sheetName val="Biểu 33-CK-NSNN"/>
      <sheetName val="Biểu 34-CK-NSNN"/>
      <sheetName val="Biểu 35-CK-NSNN"/>
      <sheetName val="Biểu 36-CK-NSNN"/>
      <sheetName val="Biểu 37-CK-NSNN"/>
      <sheetName val="Biểu 38-CK-NSNN"/>
      <sheetName val="Biểu 39-CK-NSNN"/>
      <sheetName val="Biểu 40-CK-NSNN"/>
      <sheetName val="Biểu 41-CK-NSNN"/>
      <sheetName val="Biểu 42-CK-NSNN"/>
      <sheetName val="Biểu 43-CK-NSNN"/>
      <sheetName val="Biểu 44-CK-NSNN"/>
      <sheetName val="Biểu 45-CK-NSNN"/>
      <sheetName val="Biểu 46-CK-NSNN"/>
      <sheetName val="Biểu 47-CK-NSNN"/>
      <sheetName val="Biểu 49-CK-NSNN"/>
      <sheetName val="Biểu 50-CK-NSNN"/>
      <sheetName val="Biểu 51-CK-NSNN"/>
      <sheetName val="Biểu 52-CK-NSNN"/>
      <sheetName val="Biểu 53-CK-NSNN "/>
      <sheetName val="Biểu 54-CK-NSNN"/>
      <sheetName val="Biểu 55-CK-NSNN"/>
      <sheetName val="Biểu 56-CK-NSNN"/>
      <sheetName val="Biểu 57-CK-NSNN"/>
      <sheetName val="Phụ lục số 1"/>
      <sheetName val="Phụ lục số 2"/>
      <sheetName val="Phụ lục số 3-CĐC"/>
      <sheetName val="Phụ lục số 3-CĐC(-BS)"/>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số 3.1-Phân bổ"/>
      <sheetName val="Phụ lục số 4"/>
      <sheetName val="Phụ lục số 5"/>
      <sheetName val="Phụ lục số 6"/>
      <sheetName val="Phụ lục số 7"/>
      <sheetName val="Phụ lục số 7.1"/>
      <sheetName val="Phụ lục số 7.2 - đất - thuê đất"/>
      <sheetName val="Phụ lục số 8"/>
      <sheetName val="Phụ lục số 8.1"/>
      <sheetName val="Phụ lục số 8.2-CCTL"/>
      <sheetName val="Phụ lục số 8.3-CĐCS"/>
      <sheetName val="Phụ lục số 8.4-10%TK"/>
      <sheetName val="Phụ lục số 9"/>
      <sheetName val="Phụ lục số 10"/>
      <sheetName val="Phụ lục số 9.1"/>
      <sheetName val="PHỤ LỤC 1 TRÌNH "/>
      <sheetName val="PHỤ LỤC 2 TRÌNH"/>
      <sheetName val="PHỤ LỤC 3 - CĐC TRINH"/>
      <sheetName val="PHỤ LỤC 3-CĐC(-BS) TRINH"/>
      <sheetName val="Phụ lục thu-6T"/>
      <sheetName val="Phụ lục chi-6T"/>
      <sheetName val="Phụ lục CĐC-6T"/>
      <sheetName val="Phụ lục CĐC-6T-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0-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Đề án Đ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E32">
            <v>-147800</v>
          </cell>
          <cell r="F32">
            <v>-142141</v>
          </cell>
          <cell r="G32">
            <v>-115357</v>
          </cell>
          <cell r="H32">
            <v>-153024</v>
          </cell>
          <cell r="I32">
            <v>-206207</v>
          </cell>
          <cell r="J32">
            <v>0</v>
          </cell>
          <cell r="K32">
            <v>-200473</v>
          </cell>
          <cell r="L32">
            <v>-180867</v>
          </cell>
          <cell r="M32">
            <v>-202721</v>
          </cell>
          <cell r="N32">
            <v>-175900</v>
          </cell>
          <cell r="O32">
            <v>0</v>
          </cell>
          <cell r="P32">
            <v>-166906</v>
          </cell>
        </row>
        <row r="33">
          <cell r="J33">
            <v>478266</v>
          </cell>
          <cell r="O33">
            <v>40420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KTXH"/>
      <sheetName val="Biểu KTXH.1"/>
      <sheetName val="PL1.1"/>
      <sheetName val="PL2.1"/>
      <sheetName val="PL-Thu21-25"/>
      <sheetName val="PL-ChiNSĐ21-25"/>
      <sheetName val="PL-NSTWBS"/>
      <sheetName val="PL-CĐ21-25"/>
      <sheetName val="Biểu DPhong-DTru"/>
      <sheetName val="Quytcngoainsnn"/>
      <sheetName val="CĐnamtheoTW"/>
      <sheetName val="Biểu mẫu số 3"/>
      <sheetName val="Biểu mẫu số 04"/>
      <sheetName val="Biểu mẫu số 05"/>
      <sheetName val="TheodoiNSTWbosungtrongnam"/>
      <sheetName val="KHTC5nam"/>
      <sheetName val="NhucauTLCStangthem"/>
      <sheetName val="DTĐP-DTTW"/>
      <sheetName val="ĐM2017-2022"/>
      <sheetName val="ĐMxacdinhlai-ĐP"/>
      <sheetName val="ĐMxacdinhlai-TW"/>
      <sheetName val="Vay-Tranovay"/>
      <sheetName val="ĐMChithuongxuyen"/>
      <sheetName val="UTH2023-DT2024"/>
      <sheetName val="ThuNSNN2010-2025"/>
      <sheetName val="ChiNSĐP2010-2025"/>
      <sheetName val="CĐ03nam"/>
      <sheetName val="Thu03nam"/>
      <sheetName val="ChiNĐND03nam"/>
      <sheetName val="CĐNSĐP03namBS"/>
      <sheetName val="CĐNS2023-2024"/>
      <sheetName val="Cân đối chung-không kể BSNSH"/>
      <sheetName val="Cân đối chung"/>
      <sheetName val="Phuluc3.2"/>
      <sheetName val="Phuluc7.2CCTL (2)"/>
      <sheetName val="Phuluc7.2CCTL (3)"/>
      <sheetName val="Phuluc7.2CCTL"/>
      <sheetName val="PhulucPKvondautu"/>
      <sheetName val="Sheet1"/>
      <sheetName val="CĐCS"/>
      <sheetName val="ASXH con thua"/>
      <sheetName val="Phụ lục 1-HĐND"/>
      <sheetName val="Phụ lục 2-HĐND"/>
      <sheetName val="Phụ lục 3-HĐND"/>
      <sheetName val="Phụ lục 4-HĐND"/>
      <sheetName val="Phụ lục 6-HĐND"/>
      <sheetName val="Phụ lục 7-HĐND"/>
      <sheetName val="Phụ lục 8-HĐND"/>
      <sheetName val="Phụ lục 9-HĐ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AM12">
            <v>796</v>
          </cell>
          <cell r="AN12">
            <v>799</v>
          </cell>
          <cell r="AO12">
            <v>0</v>
          </cell>
          <cell r="AP12">
            <v>395</v>
          </cell>
          <cell r="BP12">
            <v>363</v>
          </cell>
          <cell r="BQ12">
            <v>524</v>
          </cell>
          <cell r="BR12">
            <v>-135.32000000000005</v>
          </cell>
          <cell r="BS12">
            <v>61.670000000000101</v>
          </cell>
          <cell r="CS12">
            <v>769</v>
          </cell>
          <cell r="CT12">
            <v>880.81500000000005</v>
          </cell>
          <cell r="CU12">
            <v>0</v>
          </cell>
          <cell r="CV12">
            <v>38.184999999999903</v>
          </cell>
          <cell r="DV12">
            <v>824</v>
          </cell>
          <cell r="DW12">
            <v>1404</v>
          </cell>
          <cell r="DX12">
            <v>0</v>
          </cell>
          <cell r="DY12">
            <v>0</v>
          </cell>
          <cell r="EY12">
            <v>970</v>
          </cell>
          <cell r="EZ12">
            <v>864.01999999999975</v>
          </cell>
          <cell r="FA12">
            <v>100</v>
          </cell>
          <cell r="FB12">
            <v>0</v>
          </cell>
          <cell r="GB12">
            <v>696</v>
          </cell>
          <cell r="GC12">
            <v>0</v>
          </cell>
          <cell r="GD12">
            <v>680</v>
          </cell>
          <cell r="GE12">
            <v>0</v>
          </cell>
          <cell r="HE12">
            <v>1028</v>
          </cell>
          <cell r="HF12">
            <v>1593.9625000000001</v>
          </cell>
          <cell r="HG12">
            <v>158</v>
          </cell>
          <cell r="HH12">
            <v>0</v>
          </cell>
          <cell r="IH12">
            <v>1125</v>
          </cell>
          <cell r="II12">
            <v>360.41300000000001</v>
          </cell>
          <cell r="IJ12">
            <v>837.51</v>
          </cell>
          <cell r="IK12">
            <v>0</v>
          </cell>
          <cell r="JK12">
            <v>445</v>
          </cell>
          <cell r="JL12">
            <v>456</v>
          </cell>
          <cell r="JM12">
            <v>-5</v>
          </cell>
          <cell r="JN12">
            <v>0</v>
          </cell>
          <cell r="KN12">
            <v>1270</v>
          </cell>
          <cell r="KO12">
            <v>380</v>
          </cell>
          <cell r="KP12">
            <v>1517</v>
          </cell>
          <cell r="KQ12">
            <v>0</v>
          </cell>
          <cell r="LQ12">
            <v>448</v>
          </cell>
          <cell r="LR12">
            <v>976.2</v>
          </cell>
          <cell r="LS12">
            <v>669</v>
          </cell>
          <cell r="LT12">
            <v>0</v>
          </cell>
          <cell r="MT12">
            <v>1000</v>
          </cell>
          <cell r="MU12">
            <v>0</v>
          </cell>
          <cell r="MV12">
            <v>460.16999999999996</v>
          </cell>
          <cell r="MW12">
            <v>0</v>
          </cell>
        </row>
        <row r="13">
          <cell r="AM13">
            <v>228</v>
          </cell>
          <cell r="AN13">
            <v>169</v>
          </cell>
          <cell r="AO13">
            <v>138</v>
          </cell>
          <cell r="AP13">
            <v>32</v>
          </cell>
          <cell r="BP13">
            <v>69</v>
          </cell>
          <cell r="BQ13">
            <v>69</v>
          </cell>
          <cell r="BR13">
            <v>-24.960000000000008</v>
          </cell>
          <cell r="BS13">
            <v>18.96</v>
          </cell>
          <cell r="CS13">
            <v>244.8</v>
          </cell>
          <cell r="CT13">
            <v>23</v>
          </cell>
          <cell r="CU13">
            <v>-49</v>
          </cell>
          <cell r="CV13">
            <v>190.2</v>
          </cell>
          <cell r="DV13">
            <v>482.4</v>
          </cell>
          <cell r="DW13">
            <v>117.60000000000002</v>
          </cell>
          <cell r="DX13">
            <v>0</v>
          </cell>
          <cell r="DY13">
            <v>0</v>
          </cell>
          <cell r="EY13">
            <v>385.92</v>
          </cell>
          <cell r="EZ13">
            <v>87.839999999999975</v>
          </cell>
          <cell r="FA13">
            <v>130</v>
          </cell>
          <cell r="FB13">
            <v>0</v>
          </cell>
          <cell r="GB13">
            <v>280.8</v>
          </cell>
          <cell r="GC13">
            <v>0</v>
          </cell>
          <cell r="GD13">
            <v>249</v>
          </cell>
          <cell r="GE13">
            <v>0</v>
          </cell>
          <cell r="HE13">
            <v>587.52</v>
          </cell>
          <cell r="HF13">
            <v>-23.039999999999964</v>
          </cell>
          <cell r="HG13">
            <v>367</v>
          </cell>
          <cell r="HH13">
            <v>0</v>
          </cell>
          <cell r="IH13">
            <v>230.4</v>
          </cell>
          <cell r="II13">
            <v>12.96</v>
          </cell>
          <cell r="IJ13">
            <v>123.28</v>
          </cell>
          <cell r="IK13">
            <v>0</v>
          </cell>
          <cell r="JK13">
            <v>172.8</v>
          </cell>
          <cell r="JL13">
            <v>-10</v>
          </cell>
          <cell r="JM13">
            <v>54</v>
          </cell>
          <cell r="JN13">
            <v>0</v>
          </cell>
          <cell r="KN13">
            <v>349.92</v>
          </cell>
          <cell r="KO13">
            <v>110.07999999999998</v>
          </cell>
          <cell r="KP13">
            <v>191</v>
          </cell>
          <cell r="KQ13">
            <v>0</v>
          </cell>
          <cell r="LQ13">
            <v>191.52</v>
          </cell>
          <cell r="LR13">
            <v>-49</v>
          </cell>
          <cell r="LS13">
            <v>136</v>
          </cell>
          <cell r="LT13">
            <v>0</v>
          </cell>
          <cell r="MT13">
            <v>208.8</v>
          </cell>
          <cell r="MU13">
            <v>0</v>
          </cell>
          <cell r="MV13">
            <v>144</v>
          </cell>
          <cell r="MW13">
            <v>0</v>
          </cell>
        </row>
        <row r="14">
          <cell r="AM14">
            <v>281</v>
          </cell>
          <cell r="AN14">
            <v>238</v>
          </cell>
          <cell r="AO14">
            <v>2817</v>
          </cell>
          <cell r="AP14">
            <v>21</v>
          </cell>
          <cell r="BP14">
            <v>12</v>
          </cell>
          <cell r="BQ14">
            <v>23</v>
          </cell>
          <cell r="BR14">
            <v>-0.33300000000000018</v>
          </cell>
          <cell r="BS14">
            <v>15.333</v>
          </cell>
          <cell r="CS14">
            <v>199.376</v>
          </cell>
          <cell r="CT14">
            <v>23.555999999999983</v>
          </cell>
          <cell r="CU14">
            <v>-4</v>
          </cell>
          <cell r="CV14">
            <v>66.067999999999998</v>
          </cell>
          <cell r="DV14">
            <v>351.84</v>
          </cell>
          <cell r="DW14">
            <v>0</v>
          </cell>
          <cell r="DX14">
            <v>0</v>
          </cell>
          <cell r="DY14">
            <v>0</v>
          </cell>
          <cell r="EY14">
            <v>11.728</v>
          </cell>
          <cell r="EZ14">
            <v>35.183999999999997</v>
          </cell>
          <cell r="FA14">
            <v>-31</v>
          </cell>
          <cell r="FB14">
            <v>0</v>
          </cell>
          <cell r="GB14">
            <v>0</v>
          </cell>
          <cell r="GC14">
            <v>0</v>
          </cell>
          <cell r="GD14">
            <v>0</v>
          </cell>
          <cell r="GE14">
            <v>0</v>
          </cell>
          <cell r="HE14">
            <v>949.96799999999996</v>
          </cell>
          <cell r="HF14">
            <v>-93.824000000000069</v>
          </cell>
          <cell r="HG14">
            <v>554</v>
          </cell>
          <cell r="HH14">
            <v>0</v>
          </cell>
          <cell r="IH14">
            <v>0</v>
          </cell>
          <cell r="II14">
            <v>0</v>
          </cell>
          <cell r="IJ14">
            <v>0</v>
          </cell>
          <cell r="IK14">
            <v>0</v>
          </cell>
          <cell r="JK14">
            <v>586.4</v>
          </cell>
          <cell r="JL14">
            <v>11.600000000000023</v>
          </cell>
          <cell r="JM14">
            <v>272</v>
          </cell>
          <cell r="JN14">
            <v>0</v>
          </cell>
          <cell r="KN14">
            <v>70.367999999999995</v>
          </cell>
          <cell r="KO14">
            <v>-34</v>
          </cell>
          <cell r="KP14">
            <v>46</v>
          </cell>
          <cell r="KQ14">
            <v>0</v>
          </cell>
          <cell r="LQ14">
            <v>234.56</v>
          </cell>
          <cell r="LR14">
            <v>-59</v>
          </cell>
          <cell r="LS14">
            <v>73</v>
          </cell>
          <cell r="LT14">
            <v>0</v>
          </cell>
          <cell r="MT14">
            <v>70.367999999999995</v>
          </cell>
          <cell r="MU14">
            <v>0</v>
          </cell>
          <cell r="MV14">
            <v>17</v>
          </cell>
          <cell r="MW14">
            <v>0</v>
          </cell>
        </row>
        <row r="16">
          <cell r="AM16">
            <v>41000</v>
          </cell>
          <cell r="AN16">
            <v>0</v>
          </cell>
          <cell r="AO16">
            <v>3587</v>
          </cell>
          <cell r="AP16">
            <v>4346</v>
          </cell>
          <cell r="BP16">
            <v>16548</v>
          </cell>
          <cell r="BQ16">
            <v>2422</v>
          </cell>
          <cell r="BR16">
            <v>0</v>
          </cell>
          <cell r="BS16">
            <v>544.25999999999794</v>
          </cell>
          <cell r="CS16">
            <v>19088</v>
          </cell>
          <cell r="CT16">
            <v>1134</v>
          </cell>
          <cell r="CU16">
            <v>-451</v>
          </cell>
          <cell r="CV16">
            <v>2469</v>
          </cell>
          <cell r="DV16">
            <v>27022</v>
          </cell>
          <cell r="DW16">
            <v>0</v>
          </cell>
          <cell r="DX16">
            <v>0</v>
          </cell>
          <cell r="DY16">
            <v>0</v>
          </cell>
          <cell r="EY16">
            <v>40000</v>
          </cell>
          <cell r="EZ16">
            <v>5738</v>
          </cell>
          <cell r="FA16">
            <v>4531</v>
          </cell>
          <cell r="FB16">
            <v>0</v>
          </cell>
          <cell r="GB16">
            <v>30000</v>
          </cell>
          <cell r="GC16">
            <v>9773.5199999999968</v>
          </cell>
          <cell r="GD16">
            <v>-1648</v>
          </cell>
          <cell r="GE16">
            <v>2038.328</v>
          </cell>
          <cell r="HE16">
            <v>38000</v>
          </cell>
          <cell r="HF16">
            <v>18258.199999999997</v>
          </cell>
          <cell r="HG16">
            <v>1601</v>
          </cell>
          <cell r="HH16">
            <v>0</v>
          </cell>
          <cell r="IH16">
            <v>30471</v>
          </cell>
          <cell r="II16">
            <v>0</v>
          </cell>
          <cell r="IJ16">
            <v>875</v>
          </cell>
          <cell r="IK16">
            <v>0</v>
          </cell>
          <cell r="JK16">
            <v>44000</v>
          </cell>
          <cell r="JL16">
            <v>13235.080000000002</v>
          </cell>
          <cell r="JM16">
            <v>-1822</v>
          </cell>
          <cell r="JN16">
            <v>9796.1200000000008</v>
          </cell>
          <cell r="KN16">
            <v>42350</v>
          </cell>
          <cell r="KO16">
            <v>5692</v>
          </cell>
          <cell r="KP16">
            <v>-648</v>
          </cell>
          <cell r="KQ16">
            <v>0</v>
          </cell>
          <cell r="LQ16">
            <v>31000</v>
          </cell>
          <cell r="LR16">
            <v>2000</v>
          </cell>
          <cell r="LS16">
            <v>-324</v>
          </cell>
          <cell r="LT16">
            <v>0</v>
          </cell>
          <cell r="MT16">
            <v>45333</v>
          </cell>
          <cell r="MU16">
            <v>1787.4000000000015</v>
          </cell>
          <cell r="MV16">
            <v>-2469</v>
          </cell>
          <cell r="MW16">
            <v>4180.2619999999997</v>
          </cell>
        </row>
        <row r="17">
          <cell r="AM17">
            <v>2059</v>
          </cell>
          <cell r="AN17">
            <v>0</v>
          </cell>
          <cell r="AO17">
            <v>1017.6999999999998</v>
          </cell>
          <cell r="AP17">
            <v>-2118</v>
          </cell>
          <cell r="BP17">
            <v>359</v>
          </cell>
          <cell r="BQ17">
            <v>390</v>
          </cell>
          <cell r="BR17">
            <v>-382.99599999999998</v>
          </cell>
          <cell r="BS17">
            <v>121.004</v>
          </cell>
          <cell r="CS17">
            <v>1166</v>
          </cell>
          <cell r="CT17">
            <v>0</v>
          </cell>
          <cell r="CU17">
            <v>0</v>
          </cell>
          <cell r="CV17">
            <v>0</v>
          </cell>
          <cell r="DV17">
            <v>218</v>
          </cell>
          <cell r="DW17">
            <v>277</v>
          </cell>
          <cell r="DX17">
            <v>0</v>
          </cell>
          <cell r="DY17">
            <v>0</v>
          </cell>
          <cell r="EY17">
            <v>2023</v>
          </cell>
          <cell r="EZ17">
            <v>-1194.6999999999998</v>
          </cell>
          <cell r="FA17">
            <v>1104</v>
          </cell>
          <cell r="FB17">
            <v>0</v>
          </cell>
          <cell r="GB17">
            <v>257</v>
          </cell>
          <cell r="GC17">
            <v>123.35199999999998</v>
          </cell>
          <cell r="GD17">
            <v>1</v>
          </cell>
          <cell r="GE17">
            <v>0</v>
          </cell>
          <cell r="HE17">
            <v>805</v>
          </cell>
          <cell r="HF17">
            <v>336</v>
          </cell>
          <cell r="HG17">
            <v>-337</v>
          </cell>
          <cell r="HH17">
            <v>0</v>
          </cell>
          <cell r="IH17">
            <v>469</v>
          </cell>
          <cell r="II17">
            <v>0</v>
          </cell>
          <cell r="IJ17">
            <v>-15</v>
          </cell>
          <cell r="IK17">
            <v>0</v>
          </cell>
          <cell r="JK17">
            <v>788</v>
          </cell>
          <cell r="JL17">
            <v>-25</v>
          </cell>
          <cell r="JM17">
            <v>119</v>
          </cell>
          <cell r="JN17">
            <v>0</v>
          </cell>
          <cell r="KN17">
            <v>435</v>
          </cell>
          <cell r="KO17">
            <v>1343</v>
          </cell>
          <cell r="KP17">
            <v>787</v>
          </cell>
          <cell r="KQ17">
            <v>0</v>
          </cell>
          <cell r="LQ17">
            <v>498</v>
          </cell>
          <cell r="LR17">
            <v>-48</v>
          </cell>
          <cell r="LS17">
            <v>53</v>
          </cell>
          <cell r="LT17">
            <v>0</v>
          </cell>
          <cell r="MT17">
            <v>230</v>
          </cell>
          <cell r="MU17">
            <v>80</v>
          </cell>
          <cell r="MV17">
            <v>-78</v>
          </cell>
          <cell r="MW17">
            <v>0</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efreshError="1">
        <row r="10">
          <cell r="F10">
            <v>1889997</v>
          </cell>
          <cell r="X10">
            <v>1848673.7999999998</v>
          </cell>
          <cell r="AD10">
            <v>94547</v>
          </cell>
        </row>
        <row r="40">
          <cell r="R40">
            <v>89000</v>
          </cell>
          <cell r="S40">
            <v>302289</v>
          </cell>
        </row>
        <row r="46">
          <cell r="R46">
            <v>0</v>
          </cell>
          <cell r="S46">
            <v>0</v>
          </cell>
        </row>
        <row r="48">
          <cell r="R48">
            <v>699485</v>
          </cell>
          <cell r="S48">
            <v>0</v>
          </cell>
        </row>
        <row r="55">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ố 03 (2)"/>
      <sheetName val="Bieu số 03"/>
      <sheetName val="01"/>
      <sheetName val="1a"/>
      <sheetName val="PL01a"/>
      <sheetName val="PL01a (2)"/>
      <sheetName val="PL1b"/>
      <sheetName val="PL 01c"/>
      <sheetName val="1b-R"/>
      <sheetName val="1c"/>
      <sheetName val="1d-R"/>
      <sheetName val="1e"/>
      <sheetName val="1f"/>
      <sheetName val="1g"/>
      <sheetName val="1h"/>
      <sheetName val="1i"/>
      <sheetName val="1j"/>
      <sheetName val="1l"/>
      <sheetName val="1k"/>
      <sheetName val="1m"/>
      <sheetName val="1n"/>
      <sheetName val="1o"/>
      <sheetName val="PL10"/>
      <sheetName val="10a"/>
      <sheetName val="PL11"/>
      <sheetName val="PL11a"/>
      <sheetName val="PL12"/>
      <sheetName val="12a"/>
      <sheetName val="12b"/>
      <sheetName val="12c"/>
      <sheetName val="12d"/>
    </sheetNames>
    <sheetDataSet>
      <sheetData sheetId="0"/>
      <sheetData sheetId="1"/>
      <sheetData sheetId="2">
        <row r="1">
          <cell r="A1" t="str">
            <v>ỦY BAN NHÂN DÂN TỈNH ĐỒNG THÁP</v>
          </cell>
        </row>
      </sheetData>
      <sheetData sheetId="3">
        <row r="1">
          <cell r="A1" t="str">
            <v>ỦY BAN NHÂN DÂN TỈNH ĐỒNG THÁP</v>
          </cell>
        </row>
        <row r="11">
          <cell r="I11">
            <v>8490.4499999999989</v>
          </cell>
        </row>
        <row r="28">
          <cell r="I28">
            <v>19195.515999999992</v>
          </cell>
        </row>
        <row r="57">
          <cell r="I57">
            <v>8270.0559999999987</v>
          </cell>
        </row>
      </sheetData>
      <sheetData sheetId="4"/>
      <sheetData sheetId="5"/>
      <sheetData sheetId="6"/>
      <sheetData sheetId="7"/>
      <sheetData sheetId="8">
        <row r="9">
          <cell r="C9">
            <v>1538</v>
          </cell>
          <cell r="L9">
            <v>0</v>
          </cell>
          <cell r="M9">
            <v>0</v>
          </cell>
          <cell r="Z9">
            <v>0</v>
          </cell>
          <cell r="AA9">
            <v>0</v>
          </cell>
        </row>
      </sheetData>
      <sheetData sheetId="9">
        <row r="1">
          <cell r="A1" t="str">
            <v>ỦY BAN NHÂN DÂN TỈNH ĐỒNG THÁP</v>
          </cell>
        </row>
        <row r="13">
          <cell r="F13">
            <v>0</v>
          </cell>
          <cell r="J13">
            <v>0</v>
          </cell>
        </row>
        <row r="14">
          <cell r="F14">
            <v>0</v>
          </cell>
          <cell r="J14">
            <v>0</v>
          </cell>
        </row>
        <row r="15">
          <cell r="F15">
            <v>0</v>
          </cell>
          <cell r="J15">
            <v>0</v>
          </cell>
        </row>
        <row r="16">
          <cell r="F16">
            <v>0</v>
          </cell>
          <cell r="J16">
            <v>0</v>
          </cell>
        </row>
        <row r="17">
          <cell r="F17">
            <v>0</v>
          </cell>
          <cell r="J17">
            <v>0</v>
          </cell>
        </row>
        <row r="18">
          <cell r="F18">
            <v>0</v>
          </cell>
          <cell r="J18">
            <v>0</v>
          </cell>
        </row>
        <row r="19">
          <cell r="F19">
            <v>0</v>
          </cell>
          <cell r="J19">
            <v>0</v>
          </cell>
        </row>
        <row r="20">
          <cell r="F20">
            <v>0</v>
          </cell>
          <cell r="J20">
            <v>0</v>
          </cell>
        </row>
        <row r="21">
          <cell r="F21">
            <v>0</v>
          </cell>
          <cell r="J21">
            <v>0</v>
          </cell>
        </row>
        <row r="22">
          <cell r="F22">
            <v>0</v>
          </cell>
          <cell r="J22">
            <v>0</v>
          </cell>
        </row>
        <row r="23">
          <cell r="F23">
            <v>0</v>
          </cell>
          <cell r="J23">
            <v>0</v>
          </cell>
        </row>
        <row r="24">
          <cell r="F24">
            <v>0</v>
          </cell>
          <cell r="J24">
            <v>0</v>
          </cell>
        </row>
      </sheetData>
      <sheetData sheetId="10">
        <row r="1">
          <cell r="A1" t="str">
            <v>ỦY BAN NHÂN DÂN TỈNH ĐỒNG THÁP</v>
          </cell>
        </row>
      </sheetData>
      <sheetData sheetId="11"/>
      <sheetData sheetId="12"/>
      <sheetData sheetId="13"/>
      <sheetData sheetId="14"/>
      <sheetData sheetId="15"/>
      <sheetData sheetId="16"/>
      <sheetData sheetId="17">
        <row r="1">
          <cell r="A1" t="str">
            <v>ỦY BAN NHÂN DÂN TỈNH ĐỒNG THÁP</v>
          </cell>
        </row>
      </sheetData>
      <sheetData sheetId="18">
        <row r="1">
          <cell r="A1" t="str">
            <v>ỦY BAN NHÂN DÂN TỈNH ĐỒNG THÁP</v>
          </cell>
        </row>
      </sheetData>
      <sheetData sheetId="19">
        <row r="1">
          <cell r="A1" t="str">
            <v>ỦY BAN NHÂN DÂN TỈNH ĐỒNG THÁP</v>
          </cell>
        </row>
      </sheetData>
      <sheetData sheetId="20">
        <row r="11">
          <cell r="C11">
            <v>548</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4b"/>
      <sheetName val="2a tong cong"/>
      <sheetName val="4a-tong cong 6h"/>
      <sheetName val="Sheet1"/>
      <sheetName val="2a chi tiet dc cap tinh"/>
      <sheetName val="QD 72"/>
      <sheetName val="2a chi tiet"/>
      <sheetName val="2c"/>
      <sheetName val="hội"/>
      <sheetName val="2d"/>
      <sheetName val="2e"/>
      <sheetName val="2g"/>
    </sheetNames>
    <sheetDataSet>
      <sheetData sheetId="0" refreshError="1"/>
      <sheetData sheetId="1">
        <row r="11">
          <cell r="G11">
            <v>400</v>
          </cell>
        </row>
      </sheetData>
      <sheetData sheetId="2">
        <row r="13">
          <cell r="AJ13">
            <v>828640.55275557633</v>
          </cell>
        </row>
        <row r="30">
          <cell r="AJ30">
            <v>81027.605542987527</v>
          </cell>
        </row>
      </sheetData>
      <sheetData sheetId="3" refreshError="1"/>
      <sheetData sheetId="4" refreshError="1"/>
      <sheetData sheetId="5" refreshError="1"/>
      <sheetData sheetId="6" refreshError="1"/>
      <sheetData sheetId="7">
        <row r="234">
          <cell r="AJ234">
            <v>4254.4439999999977</v>
          </cell>
        </row>
      </sheetData>
      <sheetData sheetId="8">
        <row r="11">
          <cell r="H11">
            <v>51020.00999999998</v>
          </cell>
        </row>
      </sheetData>
      <sheetData sheetId="9">
        <row r="10">
          <cell r="O10">
            <v>2696.0039999999995</v>
          </cell>
        </row>
      </sheetData>
      <sheetData sheetId="10">
        <row r="14">
          <cell r="U14">
            <v>0</v>
          </cell>
        </row>
      </sheetData>
      <sheetData sheetId="11">
        <row r="10">
          <cell r="K10">
            <v>41126.400000000001</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refreshError="1"/>
      <sheetData sheetId="1" refreshError="1"/>
      <sheetData sheetId="2" refreshError="1">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8">
          <cell r="AI28">
            <v>77900</v>
          </cell>
          <cell r="AJ28">
            <v>1574100</v>
          </cell>
        </row>
        <row r="34">
          <cell r="AJ34">
            <v>350000</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7">
          <cell r="N37">
            <v>600000</v>
          </cell>
        </row>
        <row r="53">
          <cell r="N53">
            <v>6487488</v>
          </cell>
        </row>
        <row r="55">
          <cell r="N55">
            <v>2417971</v>
          </cell>
        </row>
        <row r="56">
          <cell r="N56">
            <v>179036</v>
          </cell>
        </row>
        <row r="57">
          <cell r="N57">
            <v>0</v>
          </cell>
        </row>
        <row r="58">
          <cell r="N58">
            <v>31500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F8">
            <v>3489997</v>
          </cell>
        </row>
        <row r="48">
          <cell r="S48">
            <v>0</v>
          </cell>
        </row>
        <row r="58">
          <cell r="G58">
            <v>0</v>
          </cell>
        </row>
      </sheetData>
      <sheetData sheetId="25" refreshError="1">
        <row r="10">
          <cell r="D10">
            <v>530934</v>
          </cell>
        </row>
        <row r="12">
          <cell r="O12">
            <v>0</v>
          </cell>
        </row>
        <row r="13">
          <cell r="O13">
            <v>0</v>
          </cell>
        </row>
        <row r="18">
          <cell r="O18">
            <v>0</v>
          </cell>
          <cell r="Y18">
            <v>0</v>
          </cell>
        </row>
        <row r="28">
          <cell r="E28">
            <v>0</v>
          </cell>
          <cell r="N28">
            <v>2000</v>
          </cell>
          <cell r="O28">
            <v>0</v>
          </cell>
        </row>
        <row r="30">
          <cell r="E30">
            <v>0</v>
          </cell>
        </row>
        <row r="31">
          <cell r="E31">
            <v>0</v>
          </cell>
          <cell r="O31">
            <v>0</v>
          </cell>
        </row>
        <row r="35">
          <cell r="E3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persons/person.xml><?xml version="1.0" encoding="utf-8"?>
<personList xmlns="http://schemas.microsoft.com/office/spreadsheetml/2018/threadedcomments" xmlns:x="http://schemas.openxmlformats.org/spreadsheetml/2006/main">
  <person displayName="Administrator" id="{C042E7F1-8BCA-4EE2-9EF8-EA0520BB5268}" userId="Administrator"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14</v>
    <v>8</v>
    <v>0</v>
    <v>6</v>
  </rv>
  <rv s="0">
    <v>2</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6" dT="2024-09-26T04:30:04.05" personId="{C042E7F1-8BCA-4EE2-9EF8-EA0520BB5268}" id="{6C4E8160-F480-476B-997A-A2683AA1E488}">
    <text>Giảm trừ 14.300 triệu đồng, nguồn ứng Quỹ phát triển đất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8.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7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7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8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8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8.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7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o%20so%20lien%20quan/STC/Du%20toan%20NSNN%202025/Dutoan2025-Chochutruong-21-10-2024-Anh%20Duy%20g&#7917;i%20%20ngay%2021-10-2024.xlsx" TargetMode="External"/><Relationship Id="rId1" Type="http://schemas.openxmlformats.org/officeDocument/2006/relationships/hyperlink" Target="../../Ho%20so%20lien%20quan/STC/Du%20toan%20NSNN%202025/01_2022_NQ-H&#272;ND_24032022-signed%20CHINH%20SACH%20PHAT%20TRIEN%20DU%20LICH.pdf" TargetMode="External"/><Relationship Id="rId5" Type="http://schemas.openxmlformats.org/officeDocument/2006/relationships/comments" Target="../comments46.xml"/><Relationship Id="rId4" Type="http://schemas.openxmlformats.org/officeDocument/2006/relationships/vmlDrawing" Target="../drawings/vmlDrawing4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 Id="rId4" Type="http://schemas.microsoft.com/office/2017/10/relationships/threadedComment" Target="../threadedComments/threadedComment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97.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99.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activeCell="A3" sqref="A3:A4"/>
    </sheetView>
  </sheetViews>
  <sheetFormatPr defaultRowHeight="18"/>
  <cols>
    <col min="1" max="1" width="6.44140625" style="386" bestFit="1" customWidth="1"/>
    <col min="2" max="2" width="57" style="381" customWidth="1"/>
    <col min="3" max="3" width="12.44140625" style="381" customWidth="1"/>
    <col min="4" max="4" width="12.109375" style="381" customWidth="1"/>
    <col min="5" max="5" width="10.44140625" style="381" customWidth="1"/>
    <col min="6" max="6" width="10.6640625" style="381" customWidth="1"/>
    <col min="7" max="10" width="10.6640625" style="381" bestFit="1" customWidth="1"/>
    <col min="11" max="11" width="12.109375" style="381" customWidth="1"/>
    <col min="12" max="23" width="14.6640625" style="381" customWidth="1"/>
    <col min="24" max="25" width="9.109375" style="381" customWidth="1"/>
    <col min="26" max="26" width="10" style="381" customWidth="1"/>
    <col min="27" max="48" width="9.109375" style="38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45" t="s">
        <v>941</v>
      </c>
      <c r="B1" s="6045"/>
      <c r="C1" s="6045"/>
      <c r="D1" s="6045"/>
      <c r="E1" s="6045"/>
      <c r="F1" s="6045"/>
      <c r="G1" s="6045"/>
      <c r="H1" s="6045"/>
      <c r="I1" s="6045"/>
      <c r="J1" s="6045"/>
      <c r="K1" s="6045"/>
      <c r="L1" s="382"/>
      <c r="M1" s="382"/>
      <c r="N1" s="382"/>
      <c r="O1" s="382"/>
      <c r="P1" s="382"/>
      <c r="Q1" s="382"/>
      <c r="R1" s="382"/>
      <c r="S1" s="382"/>
      <c r="T1" s="382"/>
      <c r="U1" s="382"/>
      <c r="V1" s="382"/>
      <c r="W1" s="382"/>
    </row>
    <row r="2" spans="1:48">
      <c r="A2" s="382"/>
      <c r="B2" s="382"/>
      <c r="C2" s="382"/>
      <c r="Y2" s="381">
        <v>82290</v>
      </c>
      <c r="AA2" s="6043" t="s">
        <v>478</v>
      </c>
      <c r="AB2" s="6043"/>
      <c r="AC2" s="6043"/>
      <c r="AD2" s="6043"/>
      <c r="AE2" s="6043"/>
      <c r="AF2" s="6043"/>
      <c r="AG2" s="6043"/>
      <c r="AH2" s="6043"/>
      <c r="AI2" s="6043"/>
      <c r="AJ2" s="6043"/>
      <c r="AK2" s="6043"/>
      <c r="AL2" s="6043"/>
      <c r="AM2" s="6043"/>
      <c r="AN2" s="6043"/>
      <c r="AO2" s="6043"/>
      <c r="AP2" s="6043"/>
      <c r="AQ2" s="6043"/>
      <c r="AR2" s="6043"/>
    </row>
    <row r="3" spans="1:48" ht="36.75" customHeight="1">
      <c r="A3" s="6048" t="s">
        <v>247</v>
      </c>
      <c r="B3" s="6044" t="s">
        <v>137</v>
      </c>
      <c r="C3" s="6044" t="s">
        <v>479</v>
      </c>
      <c r="D3" s="6044" t="s">
        <v>480</v>
      </c>
      <c r="E3" s="6044" t="s">
        <v>481</v>
      </c>
      <c r="F3" s="6044"/>
      <c r="G3" s="6044"/>
      <c r="H3" s="6044"/>
      <c r="I3" s="6044"/>
      <c r="J3" s="6044"/>
      <c r="K3" s="6044" t="s">
        <v>483</v>
      </c>
      <c r="L3" s="431"/>
      <c r="M3" s="431"/>
      <c r="N3" s="431"/>
      <c r="O3" s="431"/>
      <c r="P3" s="431"/>
      <c r="Q3" s="431"/>
      <c r="R3" s="431"/>
      <c r="S3" s="431"/>
      <c r="T3" s="431"/>
      <c r="U3" s="431"/>
      <c r="V3" s="431"/>
      <c r="W3" s="431"/>
      <c r="Y3" s="6041" t="s">
        <v>484</v>
      </c>
      <c r="Z3" s="6042"/>
      <c r="AA3" s="6046" t="s">
        <v>322</v>
      </c>
      <c r="AB3" s="6047"/>
      <c r="AC3" s="6046" t="s">
        <v>323</v>
      </c>
      <c r="AD3" s="6047"/>
      <c r="AE3" s="6046" t="s">
        <v>324</v>
      </c>
      <c r="AF3" s="6047"/>
      <c r="AG3" s="6039" t="s">
        <v>290</v>
      </c>
      <c r="AH3" s="6040"/>
      <c r="AI3" s="6039" t="s">
        <v>411</v>
      </c>
      <c r="AJ3" s="6040"/>
      <c r="AK3" s="6039" t="s">
        <v>491</v>
      </c>
      <c r="AL3" s="6040"/>
      <c r="AM3" s="6039" t="s">
        <v>412</v>
      </c>
      <c r="AN3" s="6040"/>
      <c r="AO3" s="6039" t="s">
        <v>487</v>
      </c>
      <c r="AP3" s="6040"/>
      <c r="AQ3" s="6039" t="s">
        <v>488</v>
      </c>
      <c r="AR3" s="6040"/>
      <c r="AS3" s="6039" t="s">
        <v>489</v>
      </c>
      <c r="AT3" s="6040"/>
      <c r="AU3" s="6039" t="s">
        <v>490</v>
      </c>
      <c r="AV3" s="6040"/>
    </row>
    <row r="4" spans="1:48" ht="52.2">
      <c r="A4" s="6048"/>
      <c r="B4" s="6044"/>
      <c r="C4" s="6044"/>
      <c r="D4" s="6044"/>
      <c r="E4" s="430" t="s">
        <v>482</v>
      </c>
      <c r="F4" s="430" t="s">
        <v>85</v>
      </c>
      <c r="G4" s="430" t="s">
        <v>86</v>
      </c>
      <c r="H4" s="430" t="s">
        <v>87</v>
      </c>
      <c r="I4" s="430" t="s">
        <v>88</v>
      </c>
      <c r="J4" s="430" t="s">
        <v>89</v>
      </c>
      <c r="K4" s="6044"/>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ht="36">
      <c r="A5" s="879">
        <v>1</v>
      </c>
      <c r="B5" s="880" t="s">
        <v>415</v>
      </c>
      <c r="C5" s="881" t="s">
        <v>416</v>
      </c>
      <c r="D5" s="882">
        <f t="shared" ref="D5:K5" si="0">SUM(D6:D8)</f>
        <v>147704</v>
      </c>
      <c r="E5" s="883">
        <f t="shared" si="0"/>
        <v>109728.86</v>
      </c>
      <c r="F5" s="883">
        <f t="shared" si="0"/>
        <v>86844.3</v>
      </c>
      <c r="G5" s="883">
        <f t="shared" si="0"/>
        <v>99721</v>
      </c>
      <c r="H5" s="883">
        <f t="shared" si="0"/>
        <v>110108</v>
      </c>
      <c r="I5" s="883">
        <f t="shared" si="0"/>
        <v>124127</v>
      </c>
      <c r="J5" s="883">
        <f t="shared" si="0"/>
        <v>127844</v>
      </c>
      <c r="K5" s="884">
        <f t="shared" si="0"/>
        <v>211428</v>
      </c>
      <c r="Z5" s="434">
        <f t="shared" ref="Z5:AE5" si="1">SUM(Z6:Z8)</f>
        <v>85423</v>
      </c>
      <c r="AA5" s="410">
        <f t="shared" si="1"/>
        <v>94200.377999999997</v>
      </c>
      <c r="AB5" s="432">
        <f t="shared" si="1"/>
        <v>90348.445999999996</v>
      </c>
      <c r="AC5" s="445">
        <f t="shared" si="1"/>
        <v>99308</v>
      </c>
      <c r="AD5" s="446">
        <f t="shared" si="1"/>
        <v>99095</v>
      </c>
      <c r="AE5" s="445">
        <f t="shared" si="1"/>
        <v>109632.1</v>
      </c>
      <c r="AF5" s="445">
        <f t="shared" ref="AF5:AH5" si="2">SUM(AF6:AF8)</f>
        <v>0</v>
      </c>
      <c r="AG5" s="445">
        <f t="shared" si="2"/>
        <v>121118</v>
      </c>
      <c r="AH5" s="445">
        <f t="shared" si="2"/>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885"/>
      <c r="B6" s="886" t="s">
        <v>419</v>
      </c>
      <c r="C6" s="887"/>
      <c r="D6" s="888">
        <v>40155.5</v>
      </c>
      <c r="E6" s="889">
        <f>SUM(F6:J6)/5</f>
        <v>38812</v>
      </c>
      <c r="F6" s="888">
        <v>32592</v>
      </c>
      <c r="G6" s="884">
        <v>35521</v>
      </c>
      <c r="H6" s="884">
        <v>38881</v>
      </c>
      <c r="I6" s="884">
        <v>44153</v>
      </c>
      <c r="J6" s="884">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885"/>
      <c r="B7" s="886" t="s">
        <v>420</v>
      </c>
      <c r="C7" s="887"/>
      <c r="D7" s="888">
        <f>25961+7679</f>
        <v>33640</v>
      </c>
      <c r="E7" s="889">
        <f>SUM(F7:J7)/5</f>
        <v>21070.959999999999</v>
      </c>
      <c r="F7" s="888">
        <f>12678.4+2799.4</f>
        <v>15477.8</v>
      </c>
      <c r="G7" s="884">
        <f>15606+3639</f>
        <v>19245</v>
      </c>
      <c r="H7" s="884">
        <f>17314+4037</f>
        <v>21351</v>
      </c>
      <c r="I7" s="884">
        <f>19333+4528</f>
        <v>23861</v>
      </c>
      <c r="J7" s="884">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885"/>
      <c r="B8" s="886" t="s">
        <v>421</v>
      </c>
      <c r="C8" s="887"/>
      <c r="D8" s="888">
        <v>73908.5</v>
      </c>
      <c r="E8" s="889">
        <f t="shared" ref="E8:E9" si="3">SUM(F8:J8)/5</f>
        <v>49845.9</v>
      </c>
      <c r="F8" s="888">
        <v>38774.5</v>
      </c>
      <c r="G8" s="884">
        <v>44955</v>
      </c>
      <c r="H8" s="884">
        <v>49876</v>
      </c>
      <c r="I8" s="884">
        <v>56113</v>
      </c>
      <c r="J8" s="884">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885"/>
      <c r="B9" s="886" t="s">
        <v>486</v>
      </c>
      <c r="C9" s="887"/>
      <c r="D9" s="888">
        <v>10153</v>
      </c>
      <c r="E9" s="889">
        <f t="shared" si="3"/>
        <v>6970.8</v>
      </c>
      <c r="F9" s="888">
        <v>5751</v>
      </c>
      <c r="G9" s="884">
        <v>6410</v>
      </c>
      <c r="H9" s="884">
        <v>6858</v>
      </c>
      <c r="I9" s="884">
        <v>7776</v>
      </c>
      <c r="J9" s="884">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518">
        <v>7.5</v>
      </c>
      <c r="E10" s="893">
        <f>SUM(F10:J10)/5</f>
        <v>8.5267594853834598</v>
      </c>
      <c r="F10" s="894">
        <f>+F5/Z5*100-100</f>
        <v>1.6638376081383228</v>
      </c>
      <c r="G10" s="895">
        <f>+G5/F5*100-100</f>
        <v>14.827340424184428</v>
      </c>
      <c r="H10" s="895">
        <f>+H5/G5*100-100</f>
        <v>10.416060809658958</v>
      </c>
      <c r="I10" s="895">
        <f>+I5/H5*100-100</f>
        <v>12.732044901369562</v>
      </c>
      <c r="J10" s="89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4">+D5/D5*100</f>
        <v>100</v>
      </c>
      <c r="E11" s="896">
        <f t="shared" si="4"/>
        <v>100</v>
      </c>
      <c r="F11" s="896">
        <f t="shared" si="4"/>
        <v>100</v>
      </c>
      <c r="G11" s="896">
        <f t="shared" si="4"/>
        <v>100</v>
      </c>
      <c r="H11" s="896">
        <f t="shared" si="4"/>
        <v>100</v>
      </c>
      <c r="I11" s="896">
        <f t="shared" si="4"/>
        <v>100</v>
      </c>
      <c r="J11" s="896">
        <f t="shared" si="4"/>
        <v>100</v>
      </c>
      <c r="K11" s="896">
        <f t="shared" si="4"/>
        <v>100</v>
      </c>
      <c r="Z11" s="436">
        <f t="shared" ref="Z11:AE11" si="5">SUM(Z12:Z14)</f>
        <v>100</v>
      </c>
      <c r="AA11" s="441">
        <f t="shared" si="5"/>
        <v>100</v>
      </c>
      <c r="AB11" s="436">
        <f t="shared" si="5"/>
        <v>100</v>
      </c>
      <c r="AC11" s="441">
        <f t="shared" si="5"/>
        <v>100</v>
      </c>
      <c r="AD11" s="448">
        <f t="shared" si="5"/>
        <v>100</v>
      </c>
      <c r="AE11" s="441">
        <f t="shared" si="5"/>
        <v>99.999999999999986</v>
      </c>
      <c r="AF11" s="415"/>
      <c r="AG11" s="441">
        <f>SUM(AG12:AG14)</f>
        <v>100</v>
      </c>
      <c r="AH11" s="415">
        <f t="shared" ref="AH11" si="6">SUM(AH12:AH14)</f>
        <v>100</v>
      </c>
      <c r="AI11" s="415"/>
      <c r="AJ11" s="415">
        <f>SUM(AJ12:AJ14)</f>
        <v>100</v>
      </c>
      <c r="AK11" s="415"/>
      <c r="AL11" s="415"/>
      <c r="AM11" s="415"/>
      <c r="AN11" s="415">
        <f>SUM(AN12:AN14)</f>
        <v>100</v>
      </c>
      <c r="AO11" s="415"/>
      <c r="AP11" s="415">
        <f t="shared" ref="AP11:AR11" si="7">SUM(AP12:AP14)</f>
        <v>100</v>
      </c>
      <c r="AQ11" s="415"/>
      <c r="AR11" s="415">
        <f t="shared" si="7"/>
        <v>100</v>
      </c>
    </row>
    <row r="12" spans="1:48">
      <c r="A12" s="890" t="s">
        <v>29</v>
      </c>
      <c r="B12" s="886" t="s">
        <v>419</v>
      </c>
      <c r="C12" s="892" t="s">
        <v>417</v>
      </c>
      <c r="D12" s="897">
        <f t="shared" ref="D12:K12" si="8">+D6/D5*100</f>
        <v>27.186467529653903</v>
      </c>
      <c r="E12" s="897">
        <f t="shared" si="8"/>
        <v>35.370822224891427</v>
      </c>
      <c r="F12" s="897">
        <f t="shared" si="8"/>
        <v>37.529233352102551</v>
      </c>
      <c r="G12" s="897">
        <f t="shared" si="8"/>
        <v>35.620380862606673</v>
      </c>
      <c r="H12" s="897">
        <f t="shared" si="8"/>
        <v>35.311693973189961</v>
      </c>
      <c r="I12" s="897">
        <f t="shared" si="8"/>
        <v>35.570826653346977</v>
      </c>
      <c r="J12" s="897">
        <f t="shared" si="8"/>
        <v>33.566690654234847</v>
      </c>
      <c r="K12" s="897">
        <f t="shared" si="8"/>
        <v>29.150822029248729</v>
      </c>
      <c r="Z12" s="440">
        <f t="shared" ref="Z12:AE12" si="9">Z6/Z5*100</f>
        <v>36.915116537700619</v>
      </c>
      <c r="AA12" s="442">
        <f t="shared" si="9"/>
        <v>35.86392721269123</v>
      </c>
      <c r="AB12" s="440">
        <f t="shared" si="9"/>
        <v>36.161488599372262</v>
      </c>
      <c r="AC12" s="442">
        <f t="shared" si="9"/>
        <v>35.078744914810486</v>
      </c>
      <c r="AD12" s="447">
        <f t="shared" si="9"/>
        <v>35.846410010595889</v>
      </c>
      <c r="AE12" s="442">
        <f t="shared" si="9"/>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10">+D7/D5*100</f>
        <v>22.775280290310352</v>
      </c>
      <c r="E13" s="897">
        <f t="shared" si="10"/>
        <v>19.202751217865561</v>
      </c>
      <c r="F13" s="897">
        <f t="shared" si="10"/>
        <v>17.822470789677617</v>
      </c>
      <c r="G13" s="897">
        <f t="shared" si="10"/>
        <v>19.298843774129821</v>
      </c>
      <c r="H13" s="897">
        <f t="shared" si="10"/>
        <v>19.390961601336869</v>
      </c>
      <c r="I13" s="897">
        <f t="shared" si="10"/>
        <v>19.223053807793629</v>
      </c>
      <c r="J13" s="897">
        <f t="shared" si="10"/>
        <v>19.88360814742968</v>
      </c>
      <c r="K13" s="897">
        <f t="shared" si="10"/>
        <v>22.072289384565906</v>
      </c>
      <c r="Z13" s="440">
        <f t="shared" ref="Z13:AE13" si="11">+Z7/Z5*100</f>
        <v>18.788850777893543</v>
      </c>
      <c r="AA13" s="442">
        <f t="shared" si="11"/>
        <v>19.681202340822878</v>
      </c>
      <c r="AB13" s="440">
        <f t="shared" si="11"/>
        <v>19.742475703455931</v>
      </c>
      <c r="AC13" s="442">
        <f t="shared" si="11"/>
        <v>20.008458533048699</v>
      </c>
      <c r="AD13" s="447">
        <f t="shared" si="11"/>
        <v>18.956556839396537</v>
      </c>
      <c r="AE13" s="442">
        <f t="shared" si="11"/>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2">+D8/D5*100</f>
        <v>50.038252180035748</v>
      </c>
      <c r="E14" s="897">
        <f t="shared" si="12"/>
        <v>45.426426557243012</v>
      </c>
      <c r="F14" s="897">
        <f t="shared" si="12"/>
        <v>44.648295858219825</v>
      </c>
      <c r="G14" s="897">
        <f t="shared" si="12"/>
        <v>45.080775363263506</v>
      </c>
      <c r="H14" s="897">
        <f t="shared" si="12"/>
        <v>45.29734442547317</v>
      </c>
      <c r="I14" s="897">
        <f t="shared" si="12"/>
        <v>45.206119538859397</v>
      </c>
      <c r="J14" s="897">
        <f t="shared" si="12"/>
        <v>46.54970119833547</v>
      </c>
      <c r="K14" s="897">
        <f t="shared" si="12"/>
        <v>48.776888586185372</v>
      </c>
      <c r="Z14" s="440">
        <f t="shared" ref="Z14:AE14" si="13">+Z8/Z5*100</f>
        <v>44.296032684405837</v>
      </c>
      <c r="AA14" s="442">
        <f t="shared" si="13"/>
        <v>44.454870446485899</v>
      </c>
      <c r="AB14" s="440">
        <f t="shared" si="13"/>
        <v>44.096035697171814</v>
      </c>
      <c r="AC14" s="442">
        <f t="shared" si="13"/>
        <v>44.912796552140819</v>
      </c>
      <c r="AD14" s="447">
        <f t="shared" si="13"/>
        <v>45.19703315000757</v>
      </c>
      <c r="AE14" s="442">
        <f t="shared" si="13"/>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882">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4">+G16/G5*100</f>
        <v>20.621534080083435</v>
      </c>
      <c r="H17" s="901">
        <f t="shared" si="14"/>
        <v>20.642460130054129</v>
      </c>
      <c r="I17" s="901">
        <f t="shared" si="14"/>
        <v>19.337452770146704</v>
      </c>
      <c r="J17" s="901">
        <f t="shared" si="14"/>
        <v>27.254309940239668</v>
      </c>
      <c r="K17" s="901">
        <f t="shared" si="14"/>
        <v>113.15010310838677</v>
      </c>
      <c r="Z17" s="435">
        <f t="shared" ref="Z17:AE17" si="15">+Z16/Z5*100</f>
        <v>22.200110040621379</v>
      </c>
      <c r="AA17" s="435">
        <f>+AA16/AA5*100</f>
        <v>25.239999567729971</v>
      </c>
      <c r="AB17" s="435">
        <f>+AB16/AB5*100</f>
        <v>20.38883989216594</v>
      </c>
      <c r="AC17" s="435">
        <f t="shared" si="15"/>
        <v>23.434164417770976</v>
      </c>
      <c r="AD17" s="449">
        <f t="shared" si="15"/>
        <v>20.751803824612743</v>
      </c>
      <c r="AE17" s="435">
        <f t="shared" si="15"/>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6">+Z18/Z5*100</f>
        <v>1.2092761902532105</v>
      </c>
      <c r="AA19" s="435">
        <f t="shared" si="16"/>
        <v>1.2844959072244913</v>
      </c>
      <c r="AB19" s="435">
        <f t="shared" si="16"/>
        <v>1.4654374907566203</v>
      </c>
      <c r="AC19" s="435">
        <f t="shared" si="16"/>
        <v>1.0814838683691141</v>
      </c>
      <c r="AD19" s="449">
        <f t="shared" si="16"/>
        <v>1.7457994853423482</v>
      </c>
      <c r="AE19" s="435">
        <f t="shared" si="16"/>
        <v>1.4001373685261889</v>
      </c>
      <c r="AF19" s="414"/>
      <c r="AG19" s="414"/>
      <c r="AH19" s="414">
        <f>AH18/AE18*100-100</f>
        <v>-11.400651465798049</v>
      </c>
      <c r="AI19" s="414"/>
      <c r="AJ19" s="414">
        <f t="shared" ref="AJ19" si="17">AJ18/AH18*100-100</f>
        <v>4.4117647058823621</v>
      </c>
      <c r="AK19" s="414"/>
      <c r="AL19" s="414"/>
      <c r="AM19" s="414"/>
      <c r="AN19" s="414">
        <f t="shared" ref="AN19" si="18">AN18/AJ18*100-100</f>
        <v>4.3661971830985919</v>
      </c>
      <c r="AO19" s="414"/>
      <c r="AP19" s="414">
        <f t="shared" ref="AP19" si="19">AP18/AN18*100-100</f>
        <v>4.2510121457489873</v>
      </c>
      <c r="AQ19" s="414"/>
      <c r="AR19" s="414">
        <f t="shared" ref="AR19" si="20">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1">+Z20/Z5*100</f>
        <v>0.36055863175023123</v>
      </c>
      <c r="AA21" s="437">
        <f t="shared" si="21"/>
        <v>0.41401107753516664</v>
      </c>
      <c r="AB21" s="437">
        <f t="shared" si="21"/>
        <v>0.44383718564456548</v>
      </c>
      <c r="AC21" s="437">
        <f t="shared" si="21"/>
        <v>0.4833447456398276</v>
      </c>
      <c r="AD21" s="450">
        <f t="shared" si="21"/>
        <v>0.80321913315505333</v>
      </c>
      <c r="AE21" s="437">
        <f t="shared" si="21"/>
        <v>0.73883470260991069</v>
      </c>
      <c r="AF21" s="412"/>
      <c r="AG21" s="412"/>
      <c r="AH21" s="412">
        <f>AH20/AD20*100-100</f>
        <v>-44.720145737797601</v>
      </c>
      <c r="AI21" s="412"/>
      <c r="AJ21" s="412">
        <f>AJ20/AE20*100-100</f>
        <v>-43.827160493827158</v>
      </c>
      <c r="AK21" s="412"/>
      <c r="AL21" s="412"/>
      <c r="AM21" s="412"/>
      <c r="AN21" s="412">
        <f t="shared" ref="AN21" si="22">AN20/AH20*100-100</f>
        <v>6.818181818181813</v>
      </c>
      <c r="AO21" s="412"/>
      <c r="AP21" s="412">
        <f t="shared" ref="AP21" si="23">AP20/AJ20*100-100</f>
        <v>6.5934065934065984</v>
      </c>
      <c r="AQ21" s="412"/>
      <c r="AR21" s="412">
        <f t="shared" ref="AR21" si="24">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5">SUM(F27:F29)</f>
        <v>869086</v>
      </c>
      <c r="G26" s="911">
        <f t="shared" si="25"/>
        <v>867337</v>
      </c>
      <c r="H26" s="911">
        <f t="shared" si="25"/>
        <v>872025</v>
      </c>
      <c r="I26" s="911">
        <f t="shared" si="25"/>
        <v>876385</v>
      </c>
      <c r="J26" s="911">
        <f t="shared" si="25"/>
        <v>907000</v>
      </c>
      <c r="K26" s="911">
        <f t="shared" si="25"/>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6">+D26/D26*100</f>
        <v>100</v>
      </c>
      <c r="E30" s="518"/>
      <c r="F30" s="918">
        <f t="shared" si="26"/>
        <v>100</v>
      </c>
      <c r="G30" s="918">
        <f t="shared" si="26"/>
        <v>100</v>
      </c>
      <c r="H30" s="918">
        <f t="shared" si="26"/>
        <v>100</v>
      </c>
      <c r="I30" s="918">
        <f t="shared" si="26"/>
        <v>100</v>
      </c>
      <c r="J30" s="918">
        <f t="shared" si="26"/>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7">+F27/F26*100</f>
        <v>35.678057177310421</v>
      </c>
      <c r="G31" s="895">
        <f t="shared" si="27"/>
        <v>31.983531199522215</v>
      </c>
      <c r="H31" s="895">
        <f t="shared" si="27"/>
        <v>28.886098449012355</v>
      </c>
      <c r="I31" s="895">
        <f t="shared" si="27"/>
        <v>26.099145923309962</v>
      </c>
      <c r="J31" s="895">
        <f t="shared" si="27"/>
        <v>39.900000000000006</v>
      </c>
      <c r="K31" s="895">
        <f t="shared" si="27"/>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8">+F28/F26*100</f>
        <v>27.842929238303228</v>
      </c>
      <c r="G32" s="895">
        <f t="shared" si="28"/>
        <v>30.605635410457527</v>
      </c>
      <c r="H32" s="895">
        <f t="shared" si="28"/>
        <v>30.500616381411085</v>
      </c>
      <c r="I32" s="895">
        <f t="shared" si="28"/>
        <v>30.409580264381518</v>
      </c>
      <c r="J32" s="895">
        <f t="shared" si="28"/>
        <v>24</v>
      </c>
      <c r="K32" s="895">
        <f t="shared" si="28"/>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9">+F29/F26*100</f>
        <v>36.479013584386358</v>
      </c>
      <c r="G33" s="895">
        <f t="shared" si="29"/>
        <v>37.410833390020258</v>
      </c>
      <c r="H33" s="895">
        <f t="shared" si="29"/>
        <v>40.613285169576564</v>
      </c>
      <c r="I33" s="895">
        <f t="shared" si="29"/>
        <v>43.491273812308521</v>
      </c>
      <c r="J33" s="895">
        <f t="shared" si="29"/>
        <v>36.1</v>
      </c>
      <c r="K33" s="895">
        <f t="shared" si="29"/>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ht="32.4">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4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927">
        <v>15</v>
      </c>
      <c r="B41" s="937" t="s">
        <v>507</v>
      </c>
      <c r="C41" s="929" t="s">
        <v>417</v>
      </c>
      <c r="D41" s="930"/>
      <c r="E41" s="930"/>
      <c r="F41" s="930"/>
      <c r="G41" s="930"/>
      <c r="H41" s="930"/>
      <c r="I41" s="930"/>
      <c r="J41" s="930"/>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72">
        <v>17</v>
      </c>
      <c r="B43" s="970" t="s">
        <v>874</v>
      </c>
      <c r="C43" s="969"/>
      <c r="D43" s="968"/>
      <c r="E43" s="967"/>
      <c r="F43" s="967"/>
      <c r="G43" s="967"/>
      <c r="H43" s="967"/>
      <c r="I43" s="967"/>
      <c r="J43" s="967"/>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ht="33.6">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83"/>
      <c r="B67" s="991" t="s">
        <v>886</v>
      </c>
      <c r="C67" s="984" t="s">
        <v>894</v>
      </c>
      <c r="D67" s="985">
        <v>2.25</v>
      </c>
      <c r="E67" s="967"/>
      <c r="F67" s="986">
        <v>2.1</v>
      </c>
      <c r="G67" s="986">
        <v>2.1</v>
      </c>
      <c r="H67" s="986">
        <v>2.1</v>
      </c>
      <c r="I67" s="987">
        <v>2.25</v>
      </c>
      <c r="J67" s="985">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12">
        <v>91</v>
      </c>
      <c r="J82" s="1011">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09">
        <v>95</v>
      </c>
      <c r="J83" s="1011">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09">
        <v>95</v>
      </c>
      <c r="J84" s="1011">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09">
        <v>86</v>
      </c>
      <c r="J85" s="1011">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09">
        <v>86</v>
      </c>
      <c r="J86" s="1011">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15"/>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47"/>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3" si="30">B130/100</f>
        <v>2510.61</v>
      </c>
    </row>
    <row r="131" spans="2:3">
      <c r="B131" s="427">
        <v>239481</v>
      </c>
      <c r="C131" s="428">
        <f t="shared" si="30"/>
        <v>2394.81</v>
      </c>
    </row>
    <row r="132" spans="2:3">
      <c r="B132" s="427">
        <v>338385</v>
      </c>
      <c r="C132" s="428">
        <f>B132/100</f>
        <v>3383.85</v>
      </c>
    </row>
    <row r="133" spans="2:3">
      <c r="B133" s="427">
        <v>152573</v>
      </c>
      <c r="C133" s="428">
        <f t="shared" si="30"/>
        <v>1525.73</v>
      </c>
    </row>
    <row r="134" spans="2:3">
      <c r="B134" s="427">
        <v>235826</v>
      </c>
      <c r="C134" s="428">
        <f t="shared" si="30"/>
        <v>2358.2600000000002</v>
      </c>
    </row>
    <row r="135" spans="2:3">
      <c r="B135" s="427">
        <v>143896</v>
      </c>
      <c r="C135" s="428">
        <f t="shared" si="30"/>
        <v>1438.96</v>
      </c>
    </row>
    <row r="136" spans="2:3">
      <c r="B136" s="427">
        <v>162170</v>
      </c>
      <c r="C136" s="428">
        <f t="shared" si="30"/>
        <v>1621.7</v>
      </c>
    </row>
    <row r="137" spans="2:3">
      <c r="B137" s="427">
        <v>331188</v>
      </c>
      <c r="C137" s="428">
        <f t="shared" si="30"/>
        <v>3311.88</v>
      </c>
    </row>
    <row r="138" spans="2:3">
      <c r="B138" s="427">
        <v>353668</v>
      </c>
      <c r="C138" s="428">
        <f t="shared" si="30"/>
        <v>3536.68</v>
      </c>
    </row>
    <row r="139" spans="2:3">
      <c r="B139" s="427">
        <v>634878</v>
      </c>
      <c r="C139" s="428">
        <f t="shared" si="30"/>
        <v>6348.78</v>
      </c>
    </row>
    <row r="140" spans="2:3">
      <c r="B140" s="427">
        <v>266901</v>
      </c>
      <c r="C140" s="428">
        <f t="shared" si="30"/>
        <v>2669.01</v>
      </c>
    </row>
    <row r="141" spans="2:3">
      <c r="B141" s="427">
        <v>522119</v>
      </c>
      <c r="C141" s="428">
        <f t="shared" si="30"/>
        <v>5221.1899999999996</v>
      </c>
    </row>
    <row r="142" spans="2:3">
      <c r="B142" s="427"/>
      <c r="C142" s="426">
        <f>SUM(C129:C141)</f>
        <v>40816.400000000001</v>
      </c>
    </row>
    <row r="143" spans="2:3">
      <c r="B143" s="427">
        <f>33123597</f>
        <v>33123597</v>
      </c>
      <c r="C143" s="428">
        <f t="shared" si="30"/>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0">
    <mergeCell ref="AA2:AR2"/>
    <mergeCell ref="D3:D4"/>
    <mergeCell ref="E3:J3"/>
    <mergeCell ref="A1:K1"/>
    <mergeCell ref="AE3:AF3"/>
    <mergeCell ref="K3:K4"/>
    <mergeCell ref="AA3:AB3"/>
    <mergeCell ref="AC3:AD3"/>
    <mergeCell ref="A3:A4"/>
    <mergeCell ref="B3:B4"/>
    <mergeCell ref="C3:C4"/>
    <mergeCell ref="AQ3:AR3"/>
    <mergeCell ref="AS3:AT3"/>
    <mergeCell ref="AU3:AV3"/>
    <mergeCell ref="AK3:AL3"/>
    <mergeCell ref="Y3:Z3"/>
    <mergeCell ref="AG3:AH3"/>
    <mergeCell ref="AI3:AJ3"/>
    <mergeCell ref="AM3:AN3"/>
    <mergeCell ref="AO3:AP3"/>
  </mergeCells>
  <hyperlinks>
    <hyperlink ref="A3:A4" location="'Danh mục file'!A1" display="STT"/>
  </hyperlinks>
  <printOptions horizontalCentered="1"/>
  <pageMargins left="0" right="0" top="0.39370078740157483" bottom="0" header="0" footer="0"/>
  <pageSetup paperSize="9" scale="60" orientation="portrait" verticalDpi="0" r:id="rId1"/>
  <headerFooter>
    <oddHeader>&amp;R&amp;A</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Y31"/>
  <sheetViews>
    <sheetView workbookViewId="0">
      <selection activeCell="A6" sqref="A6:A9"/>
    </sheetView>
  </sheetViews>
  <sheetFormatPr defaultRowHeight="15.6"/>
  <cols>
    <col min="1" max="1" width="5" style="1193" customWidth="1"/>
    <col min="2" max="2" width="32.6640625" style="1192" customWidth="1"/>
    <col min="3" max="10" width="9.6640625" style="1193" customWidth="1"/>
    <col min="11" max="12" width="9.6640625" style="1192" customWidth="1"/>
    <col min="13" max="13" width="10.6640625" style="1192" bestFit="1" customWidth="1"/>
    <col min="14" max="21" width="9.6640625" style="1193" customWidth="1"/>
    <col min="22" max="22" width="9.6640625" style="1192" customWidth="1"/>
    <col min="23" max="24" width="15.33203125" style="1192" hidden="1" customWidth="1"/>
    <col min="25" max="269" width="9.109375" style="1192"/>
    <col min="270" max="270" width="5" style="1192" customWidth="1"/>
    <col min="271" max="271" width="23.5546875" style="1192" customWidth="1"/>
    <col min="272" max="277" width="12.5546875" style="1192" customWidth="1"/>
    <col min="278" max="280" width="15.33203125" style="1192" customWidth="1"/>
    <col min="281" max="525" width="9.109375" style="1192"/>
    <col min="526" max="526" width="5" style="1192" customWidth="1"/>
    <col min="527" max="527" width="23.5546875" style="1192" customWidth="1"/>
    <col min="528" max="533" width="12.5546875" style="1192" customWidth="1"/>
    <col min="534" max="536" width="15.33203125" style="1192" customWidth="1"/>
    <col min="537" max="781" width="9.109375" style="1192"/>
    <col min="782" max="782" width="5" style="1192" customWidth="1"/>
    <col min="783" max="783" width="23.5546875" style="1192" customWidth="1"/>
    <col min="784" max="789" width="12.5546875" style="1192" customWidth="1"/>
    <col min="790" max="792" width="15.33203125" style="1192" customWidth="1"/>
    <col min="793" max="1037" width="9.109375" style="1192"/>
    <col min="1038" max="1038" width="5" style="1192" customWidth="1"/>
    <col min="1039" max="1039" width="23.5546875" style="1192" customWidth="1"/>
    <col min="1040" max="1045" width="12.5546875" style="1192" customWidth="1"/>
    <col min="1046" max="1048" width="15.33203125" style="1192" customWidth="1"/>
    <col min="1049" max="1293" width="9.109375" style="1192"/>
    <col min="1294" max="1294" width="5" style="1192" customWidth="1"/>
    <col min="1295" max="1295" width="23.5546875" style="1192" customWidth="1"/>
    <col min="1296" max="1301" width="12.5546875" style="1192" customWidth="1"/>
    <col min="1302" max="1304" width="15.33203125" style="1192" customWidth="1"/>
    <col min="1305" max="1549" width="9.109375" style="1192"/>
    <col min="1550" max="1550" width="5" style="1192" customWidth="1"/>
    <col min="1551" max="1551" width="23.5546875" style="1192" customWidth="1"/>
    <col min="1552" max="1557" width="12.5546875" style="1192" customWidth="1"/>
    <col min="1558" max="1560" width="15.33203125" style="1192" customWidth="1"/>
    <col min="1561" max="1805" width="9.109375" style="1192"/>
    <col min="1806" max="1806" width="5" style="1192" customWidth="1"/>
    <col min="1807" max="1807" width="23.5546875" style="1192" customWidth="1"/>
    <col min="1808" max="1813" width="12.5546875" style="1192" customWidth="1"/>
    <col min="1814" max="1816" width="15.33203125" style="1192" customWidth="1"/>
    <col min="1817" max="2061" width="9.109375" style="1192"/>
    <col min="2062" max="2062" width="5" style="1192" customWidth="1"/>
    <col min="2063" max="2063" width="23.5546875" style="1192" customWidth="1"/>
    <col min="2064" max="2069" width="12.5546875" style="1192" customWidth="1"/>
    <col min="2070" max="2072" width="15.33203125" style="1192" customWidth="1"/>
    <col min="2073" max="2317" width="9.109375" style="1192"/>
    <col min="2318" max="2318" width="5" style="1192" customWidth="1"/>
    <col min="2319" max="2319" width="23.5546875" style="1192" customWidth="1"/>
    <col min="2320" max="2325" width="12.5546875" style="1192" customWidth="1"/>
    <col min="2326" max="2328" width="15.33203125" style="1192" customWidth="1"/>
    <col min="2329" max="2573" width="9.109375" style="1192"/>
    <col min="2574" max="2574" width="5" style="1192" customWidth="1"/>
    <col min="2575" max="2575" width="23.5546875" style="1192" customWidth="1"/>
    <col min="2576" max="2581" width="12.5546875" style="1192" customWidth="1"/>
    <col min="2582" max="2584" width="15.33203125" style="1192" customWidth="1"/>
    <col min="2585" max="2829" width="9.109375" style="1192"/>
    <col min="2830" max="2830" width="5" style="1192" customWidth="1"/>
    <col min="2831" max="2831" width="23.5546875" style="1192" customWidth="1"/>
    <col min="2832" max="2837" width="12.5546875" style="1192" customWidth="1"/>
    <col min="2838" max="2840" width="15.33203125" style="1192" customWidth="1"/>
    <col min="2841" max="3085" width="9.109375" style="1192"/>
    <col min="3086" max="3086" width="5" style="1192" customWidth="1"/>
    <col min="3087" max="3087" width="23.5546875" style="1192" customWidth="1"/>
    <col min="3088" max="3093" width="12.5546875" style="1192" customWidth="1"/>
    <col min="3094" max="3096" width="15.33203125" style="1192" customWidth="1"/>
    <col min="3097" max="3341" width="9.109375" style="1192"/>
    <col min="3342" max="3342" width="5" style="1192" customWidth="1"/>
    <col min="3343" max="3343" width="23.5546875" style="1192" customWidth="1"/>
    <col min="3344" max="3349" width="12.5546875" style="1192" customWidth="1"/>
    <col min="3350" max="3352" width="15.33203125" style="1192" customWidth="1"/>
    <col min="3353" max="3597" width="9.109375" style="1192"/>
    <col min="3598" max="3598" width="5" style="1192" customWidth="1"/>
    <col min="3599" max="3599" width="23.5546875" style="1192" customWidth="1"/>
    <col min="3600" max="3605" width="12.5546875" style="1192" customWidth="1"/>
    <col min="3606" max="3608" width="15.33203125" style="1192" customWidth="1"/>
    <col min="3609" max="3853" width="9.109375" style="1192"/>
    <col min="3854" max="3854" width="5" style="1192" customWidth="1"/>
    <col min="3855" max="3855" width="23.5546875" style="1192" customWidth="1"/>
    <col min="3856" max="3861" width="12.5546875" style="1192" customWidth="1"/>
    <col min="3862" max="3864" width="15.33203125" style="1192" customWidth="1"/>
    <col min="3865" max="4109" width="9.109375" style="1192"/>
    <col min="4110" max="4110" width="5" style="1192" customWidth="1"/>
    <col min="4111" max="4111" width="23.5546875" style="1192" customWidth="1"/>
    <col min="4112" max="4117" width="12.5546875" style="1192" customWidth="1"/>
    <col min="4118" max="4120" width="15.33203125" style="1192" customWidth="1"/>
    <col min="4121" max="4365" width="9.109375" style="1192"/>
    <col min="4366" max="4366" width="5" style="1192" customWidth="1"/>
    <col min="4367" max="4367" width="23.5546875" style="1192" customWidth="1"/>
    <col min="4368" max="4373" width="12.5546875" style="1192" customWidth="1"/>
    <col min="4374" max="4376" width="15.33203125" style="1192" customWidth="1"/>
    <col min="4377" max="4621" width="9.109375" style="1192"/>
    <col min="4622" max="4622" width="5" style="1192" customWidth="1"/>
    <col min="4623" max="4623" width="23.5546875" style="1192" customWidth="1"/>
    <col min="4624" max="4629" width="12.5546875" style="1192" customWidth="1"/>
    <col min="4630" max="4632" width="15.33203125" style="1192" customWidth="1"/>
    <col min="4633" max="4877" width="9.109375" style="1192"/>
    <col min="4878" max="4878" width="5" style="1192" customWidth="1"/>
    <col min="4879" max="4879" width="23.5546875" style="1192" customWidth="1"/>
    <col min="4880" max="4885" width="12.5546875" style="1192" customWidth="1"/>
    <col min="4886" max="4888" width="15.33203125" style="1192" customWidth="1"/>
    <col min="4889" max="5133" width="9.109375" style="1192"/>
    <col min="5134" max="5134" width="5" style="1192" customWidth="1"/>
    <col min="5135" max="5135" width="23.5546875" style="1192" customWidth="1"/>
    <col min="5136" max="5141" width="12.5546875" style="1192" customWidth="1"/>
    <col min="5142" max="5144" width="15.33203125" style="1192" customWidth="1"/>
    <col min="5145" max="5389" width="9.109375" style="1192"/>
    <col min="5390" max="5390" width="5" style="1192" customWidth="1"/>
    <col min="5391" max="5391" width="23.5546875" style="1192" customWidth="1"/>
    <col min="5392" max="5397" width="12.5546875" style="1192" customWidth="1"/>
    <col min="5398" max="5400" width="15.33203125" style="1192" customWidth="1"/>
    <col min="5401" max="5645" width="9.109375" style="1192"/>
    <col min="5646" max="5646" width="5" style="1192" customWidth="1"/>
    <col min="5647" max="5647" width="23.5546875" style="1192" customWidth="1"/>
    <col min="5648" max="5653" width="12.5546875" style="1192" customWidth="1"/>
    <col min="5654" max="5656" width="15.33203125" style="1192" customWidth="1"/>
    <col min="5657" max="5901" width="9.109375" style="1192"/>
    <col min="5902" max="5902" width="5" style="1192" customWidth="1"/>
    <col min="5903" max="5903" width="23.5546875" style="1192" customWidth="1"/>
    <col min="5904" max="5909" width="12.5546875" style="1192" customWidth="1"/>
    <col min="5910" max="5912" width="15.33203125" style="1192" customWidth="1"/>
    <col min="5913" max="6157" width="9.109375" style="1192"/>
    <col min="6158" max="6158" width="5" style="1192" customWidth="1"/>
    <col min="6159" max="6159" width="23.5546875" style="1192" customWidth="1"/>
    <col min="6160" max="6165" width="12.5546875" style="1192" customWidth="1"/>
    <col min="6166" max="6168" width="15.33203125" style="1192" customWidth="1"/>
    <col min="6169" max="6413" width="9.109375" style="1192"/>
    <col min="6414" max="6414" width="5" style="1192" customWidth="1"/>
    <col min="6415" max="6415" width="23.5546875" style="1192" customWidth="1"/>
    <col min="6416" max="6421" width="12.5546875" style="1192" customWidth="1"/>
    <col min="6422" max="6424" width="15.33203125" style="1192" customWidth="1"/>
    <col min="6425" max="6669" width="9.109375" style="1192"/>
    <col min="6670" max="6670" width="5" style="1192" customWidth="1"/>
    <col min="6671" max="6671" width="23.5546875" style="1192" customWidth="1"/>
    <col min="6672" max="6677" width="12.5546875" style="1192" customWidth="1"/>
    <col min="6678" max="6680" width="15.33203125" style="1192" customWidth="1"/>
    <col min="6681" max="6925" width="9.109375" style="1192"/>
    <col min="6926" max="6926" width="5" style="1192" customWidth="1"/>
    <col min="6927" max="6927" width="23.5546875" style="1192" customWidth="1"/>
    <col min="6928" max="6933" width="12.5546875" style="1192" customWidth="1"/>
    <col min="6934" max="6936" width="15.33203125" style="1192" customWidth="1"/>
    <col min="6937" max="7181" width="9.109375" style="1192"/>
    <col min="7182" max="7182" width="5" style="1192" customWidth="1"/>
    <col min="7183" max="7183" width="23.5546875" style="1192" customWidth="1"/>
    <col min="7184" max="7189" width="12.5546875" style="1192" customWidth="1"/>
    <col min="7190" max="7192" width="15.33203125" style="1192" customWidth="1"/>
    <col min="7193" max="7437" width="9.109375" style="1192"/>
    <col min="7438" max="7438" width="5" style="1192" customWidth="1"/>
    <col min="7439" max="7439" width="23.5546875" style="1192" customWidth="1"/>
    <col min="7440" max="7445" width="12.5546875" style="1192" customWidth="1"/>
    <col min="7446" max="7448" width="15.33203125" style="1192" customWidth="1"/>
    <col min="7449" max="7693" width="9.109375" style="1192"/>
    <col min="7694" max="7694" width="5" style="1192" customWidth="1"/>
    <col min="7695" max="7695" width="23.5546875" style="1192" customWidth="1"/>
    <col min="7696" max="7701" width="12.5546875" style="1192" customWidth="1"/>
    <col min="7702" max="7704" width="15.33203125" style="1192" customWidth="1"/>
    <col min="7705" max="7949" width="9.109375" style="1192"/>
    <col min="7950" max="7950" width="5" style="1192" customWidth="1"/>
    <col min="7951" max="7951" width="23.5546875" style="1192" customWidth="1"/>
    <col min="7952" max="7957" width="12.5546875" style="1192" customWidth="1"/>
    <col min="7958" max="7960" width="15.33203125" style="1192" customWidth="1"/>
    <col min="7961" max="8205" width="9.109375" style="1192"/>
    <col min="8206" max="8206" width="5" style="1192" customWidth="1"/>
    <col min="8207" max="8207" width="23.5546875" style="1192" customWidth="1"/>
    <col min="8208" max="8213" width="12.5546875" style="1192" customWidth="1"/>
    <col min="8214" max="8216" width="15.33203125" style="1192" customWidth="1"/>
    <col min="8217" max="8461" width="9.109375" style="1192"/>
    <col min="8462" max="8462" width="5" style="1192" customWidth="1"/>
    <col min="8463" max="8463" width="23.5546875" style="1192" customWidth="1"/>
    <col min="8464" max="8469" width="12.5546875" style="1192" customWidth="1"/>
    <col min="8470" max="8472" width="15.33203125" style="1192" customWidth="1"/>
    <col min="8473" max="8717" width="9.109375" style="1192"/>
    <col min="8718" max="8718" width="5" style="1192" customWidth="1"/>
    <col min="8719" max="8719" width="23.5546875" style="1192" customWidth="1"/>
    <col min="8720" max="8725" width="12.5546875" style="1192" customWidth="1"/>
    <col min="8726" max="8728" width="15.33203125" style="1192" customWidth="1"/>
    <col min="8729" max="8973" width="9.109375" style="1192"/>
    <col min="8974" max="8974" width="5" style="1192" customWidth="1"/>
    <col min="8975" max="8975" width="23.5546875" style="1192" customWidth="1"/>
    <col min="8976" max="8981" width="12.5546875" style="1192" customWidth="1"/>
    <col min="8982" max="8984" width="15.33203125" style="1192" customWidth="1"/>
    <col min="8985" max="9229" width="9.109375" style="1192"/>
    <col min="9230" max="9230" width="5" style="1192" customWidth="1"/>
    <col min="9231" max="9231" width="23.5546875" style="1192" customWidth="1"/>
    <col min="9232" max="9237" width="12.5546875" style="1192" customWidth="1"/>
    <col min="9238" max="9240" width="15.33203125" style="1192" customWidth="1"/>
    <col min="9241" max="9485" width="9.109375" style="1192"/>
    <col min="9486" max="9486" width="5" style="1192" customWidth="1"/>
    <col min="9487" max="9487" width="23.5546875" style="1192" customWidth="1"/>
    <col min="9488" max="9493" width="12.5546875" style="1192" customWidth="1"/>
    <col min="9494" max="9496" width="15.33203125" style="1192" customWidth="1"/>
    <col min="9497" max="9741" width="9.109375" style="1192"/>
    <col min="9742" max="9742" width="5" style="1192" customWidth="1"/>
    <col min="9743" max="9743" width="23.5546875" style="1192" customWidth="1"/>
    <col min="9744" max="9749" width="12.5546875" style="1192" customWidth="1"/>
    <col min="9750" max="9752" width="15.33203125" style="1192" customWidth="1"/>
    <col min="9753" max="9997" width="9.109375" style="1192"/>
    <col min="9998" max="9998" width="5" style="1192" customWidth="1"/>
    <col min="9999" max="9999" width="23.5546875" style="1192" customWidth="1"/>
    <col min="10000" max="10005" width="12.5546875" style="1192" customWidth="1"/>
    <col min="10006" max="10008" width="15.33203125" style="1192" customWidth="1"/>
    <col min="10009" max="10253" width="9.109375" style="1192"/>
    <col min="10254" max="10254" width="5" style="1192" customWidth="1"/>
    <col min="10255" max="10255" width="23.5546875" style="1192" customWidth="1"/>
    <col min="10256" max="10261" width="12.5546875" style="1192" customWidth="1"/>
    <col min="10262" max="10264" width="15.33203125" style="1192" customWidth="1"/>
    <col min="10265" max="10509" width="9.109375" style="1192"/>
    <col min="10510" max="10510" width="5" style="1192" customWidth="1"/>
    <col min="10511" max="10511" width="23.5546875" style="1192" customWidth="1"/>
    <col min="10512" max="10517" width="12.5546875" style="1192" customWidth="1"/>
    <col min="10518" max="10520" width="15.33203125" style="1192" customWidth="1"/>
    <col min="10521" max="10765" width="9.109375" style="1192"/>
    <col min="10766" max="10766" width="5" style="1192" customWidth="1"/>
    <col min="10767" max="10767" width="23.5546875" style="1192" customWidth="1"/>
    <col min="10768" max="10773" width="12.5546875" style="1192" customWidth="1"/>
    <col min="10774" max="10776" width="15.33203125" style="1192" customWidth="1"/>
    <col min="10777" max="11021" width="9.109375" style="1192"/>
    <col min="11022" max="11022" width="5" style="1192" customWidth="1"/>
    <col min="11023" max="11023" width="23.5546875" style="1192" customWidth="1"/>
    <col min="11024" max="11029" width="12.5546875" style="1192" customWidth="1"/>
    <col min="11030" max="11032" width="15.33203125" style="1192" customWidth="1"/>
    <col min="11033" max="11277" width="9.109375" style="1192"/>
    <col min="11278" max="11278" width="5" style="1192" customWidth="1"/>
    <col min="11279" max="11279" width="23.5546875" style="1192" customWidth="1"/>
    <col min="11280" max="11285" width="12.5546875" style="1192" customWidth="1"/>
    <col min="11286" max="11288" width="15.33203125" style="1192" customWidth="1"/>
    <col min="11289" max="11533" width="9.109375" style="1192"/>
    <col min="11534" max="11534" width="5" style="1192" customWidth="1"/>
    <col min="11535" max="11535" width="23.5546875" style="1192" customWidth="1"/>
    <col min="11536" max="11541" width="12.5546875" style="1192" customWidth="1"/>
    <col min="11542" max="11544" width="15.33203125" style="1192" customWidth="1"/>
    <col min="11545" max="11789" width="9.109375" style="1192"/>
    <col min="11790" max="11790" width="5" style="1192" customWidth="1"/>
    <col min="11791" max="11791" width="23.5546875" style="1192" customWidth="1"/>
    <col min="11792" max="11797" width="12.5546875" style="1192" customWidth="1"/>
    <col min="11798" max="11800" width="15.33203125" style="1192" customWidth="1"/>
    <col min="11801" max="12045" width="9.109375" style="1192"/>
    <col min="12046" max="12046" width="5" style="1192" customWidth="1"/>
    <col min="12047" max="12047" width="23.5546875" style="1192" customWidth="1"/>
    <col min="12048" max="12053" width="12.5546875" style="1192" customWidth="1"/>
    <col min="12054" max="12056" width="15.33203125" style="1192" customWidth="1"/>
    <col min="12057" max="12301" width="9.109375" style="1192"/>
    <col min="12302" max="12302" width="5" style="1192" customWidth="1"/>
    <col min="12303" max="12303" width="23.5546875" style="1192" customWidth="1"/>
    <col min="12304" max="12309" width="12.5546875" style="1192" customWidth="1"/>
    <col min="12310" max="12312" width="15.33203125" style="1192" customWidth="1"/>
    <col min="12313" max="12557" width="9.109375" style="1192"/>
    <col min="12558" max="12558" width="5" style="1192" customWidth="1"/>
    <col min="12559" max="12559" width="23.5546875" style="1192" customWidth="1"/>
    <col min="12560" max="12565" width="12.5546875" style="1192" customWidth="1"/>
    <col min="12566" max="12568" width="15.33203125" style="1192" customWidth="1"/>
    <col min="12569" max="12813" width="9.109375" style="1192"/>
    <col min="12814" max="12814" width="5" style="1192" customWidth="1"/>
    <col min="12815" max="12815" width="23.5546875" style="1192" customWidth="1"/>
    <col min="12816" max="12821" width="12.5546875" style="1192" customWidth="1"/>
    <col min="12822" max="12824" width="15.33203125" style="1192" customWidth="1"/>
    <col min="12825" max="13069" width="9.109375" style="1192"/>
    <col min="13070" max="13070" width="5" style="1192" customWidth="1"/>
    <col min="13071" max="13071" width="23.5546875" style="1192" customWidth="1"/>
    <col min="13072" max="13077" width="12.5546875" style="1192" customWidth="1"/>
    <col min="13078" max="13080" width="15.33203125" style="1192" customWidth="1"/>
    <col min="13081" max="13325" width="9.109375" style="1192"/>
    <col min="13326" max="13326" width="5" style="1192" customWidth="1"/>
    <col min="13327" max="13327" width="23.5546875" style="1192" customWidth="1"/>
    <col min="13328" max="13333" width="12.5546875" style="1192" customWidth="1"/>
    <col min="13334" max="13336" width="15.33203125" style="1192" customWidth="1"/>
    <col min="13337" max="13581" width="9.109375" style="1192"/>
    <col min="13582" max="13582" width="5" style="1192" customWidth="1"/>
    <col min="13583" max="13583" width="23.5546875" style="1192" customWidth="1"/>
    <col min="13584" max="13589" width="12.5546875" style="1192" customWidth="1"/>
    <col min="13590" max="13592" width="15.33203125" style="1192" customWidth="1"/>
    <col min="13593" max="13837" width="9.109375" style="1192"/>
    <col min="13838" max="13838" width="5" style="1192" customWidth="1"/>
    <col min="13839" max="13839" width="23.5546875" style="1192" customWidth="1"/>
    <col min="13840" max="13845" width="12.5546875" style="1192" customWidth="1"/>
    <col min="13846" max="13848" width="15.33203125" style="1192" customWidth="1"/>
    <col min="13849" max="14093" width="9.109375" style="1192"/>
    <col min="14094" max="14094" width="5" style="1192" customWidth="1"/>
    <col min="14095" max="14095" width="23.5546875" style="1192" customWidth="1"/>
    <col min="14096" max="14101" width="12.5546875" style="1192" customWidth="1"/>
    <col min="14102" max="14104" width="15.33203125" style="1192" customWidth="1"/>
    <col min="14105" max="14349" width="9.109375" style="1192"/>
    <col min="14350" max="14350" width="5" style="1192" customWidth="1"/>
    <col min="14351" max="14351" width="23.5546875" style="1192" customWidth="1"/>
    <col min="14352" max="14357" width="12.5546875" style="1192" customWidth="1"/>
    <col min="14358" max="14360" width="15.33203125" style="1192" customWidth="1"/>
    <col min="14361" max="14605" width="9.109375" style="1192"/>
    <col min="14606" max="14606" width="5" style="1192" customWidth="1"/>
    <col min="14607" max="14607" width="23.5546875" style="1192" customWidth="1"/>
    <col min="14608" max="14613" width="12.5546875" style="1192" customWidth="1"/>
    <col min="14614" max="14616" width="15.33203125" style="1192" customWidth="1"/>
    <col min="14617" max="14861" width="9.109375" style="1192"/>
    <col min="14862" max="14862" width="5" style="1192" customWidth="1"/>
    <col min="14863" max="14863" width="23.5546875" style="1192" customWidth="1"/>
    <col min="14864" max="14869" width="12.5546875" style="1192" customWidth="1"/>
    <col min="14870" max="14872" width="15.33203125" style="1192" customWidth="1"/>
    <col min="14873" max="15117" width="9.109375" style="1192"/>
    <col min="15118" max="15118" width="5" style="1192" customWidth="1"/>
    <col min="15119" max="15119" width="23.5546875" style="1192" customWidth="1"/>
    <col min="15120" max="15125" width="12.5546875" style="1192" customWidth="1"/>
    <col min="15126" max="15128" width="15.33203125" style="1192" customWidth="1"/>
    <col min="15129" max="15373" width="9.109375" style="1192"/>
    <col min="15374" max="15374" width="5" style="1192" customWidth="1"/>
    <col min="15375" max="15375" width="23.5546875" style="1192" customWidth="1"/>
    <col min="15376" max="15381" width="12.5546875" style="1192" customWidth="1"/>
    <col min="15382" max="15384" width="15.33203125" style="1192" customWidth="1"/>
    <col min="15385" max="15629" width="9.109375" style="1192"/>
    <col min="15630" max="15630" width="5" style="1192" customWidth="1"/>
    <col min="15631" max="15631" width="23.5546875" style="1192" customWidth="1"/>
    <col min="15632" max="15637" width="12.5546875" style="1192" customWidth="1"/>
    <col min="15638" max="15640" width="15.33203125" style="1192" customWidth="1"/>
    <col min="15641" max="15885" width="9.109375" style="1192"/>
    <col min="15886" max="15886" width="5" style="1192" customWidth="1"/>
    <col min="15887" max="15887" width="23.5546875" style="1192" customWidth="1"/>
    <col min="15888" max="15893" width="12.5546875" style="1192" customWidth="1"/>
    <col min="15894" max="15896" width="15.33203125" style="1192" customWidth="1"/>
    <col min="15897" max="16141" width="9.109375" style="1192"/>
    <col min="16142" max="16142" width="5" style="1192" customWidth="1"/>
    <col min="16143" max="16143" width="23.5546875" style="1192" customWidth="1"/>
    <col min="16144" max="16149" width="12.5546875" style="1192" customWidth="1"/>
    <col min="16150" max="16152" width="15.33203125" style="1192" customWidth="1"/>
    <col min="16153" max="16384" width="9.109375" style="1192"/>
  </cols>
  <sheetData>
    <row r="1" spans="1:25">
      <c r="A1" s="1189" t="str">
        <f>'[4]1c'!A1</f>
        <v>ỦY BAN NHÂN DÂN TỈNH ĐỒNG THÁP</v>
      </c>
      <c r="B1" s="1189"/>
      <c r="C1" s="1189"/>
      <c r="L1" s="6141"/>
      <c r="M1" s="6141"/>
      <c r="N1" s="1189"/>
      <c r="U1" s="6138"/>
      <c r="V1" s="6138"/>
      <c r="W1" s="6141" t="s">
        <v>1186</v>
      </c>
      <c r="X1" s="6141"/>
    </row>
    <row r="2" spans="1:25">
      <c r="A2" s="1189"/>
      <c r="B2" s="1189"/>
      <c r="C2" s="1189"/>
      <c r="L2" s="1409"/>
      <c r="M2" s="1409"/>
      <c r="N2" s="1189"/>
      <c r="U2" s="1410"/>
      <c r="V2" s="1410"/>
      <c r="W2" s="1409"/>
      <c r="X2" s="1409"/>
    </row>
    <row r="3" spans="1:25">
      <c r="A3" s="6133" t="s">
        <v>1187</v>
      </c>
      <c r="B3" s="6133"/>
      <c r="C3" s="6133"/>
      <c r="D3" s="6133"/>
      <c r="E3" s="6133"/>
      <c r="F3" s="6133"/>
      <c r="G3" s="6133"/>
      <c r="H3" s="6133"/>
      <c r="I3" s="6133"/>
      <c r="J3" s="6133"/>
      <c r="K3" s="6133"/>
      <c r="L3" s="6133"/>
      <c r="M3" s="6133"/>
      <c r="N3" s="6133"/>
      <c r="O3" s="6133"/>
      <c r="P3" s="6133"/>
      <c r="Q3" s="6133"/>
      <c r="R3" s="6133"/>
      <c r="S3" s="6133"/>
      <c r="T3" s="6133"/>
      <c r="U3" s="6133"/>
      <c r="V3" s="6133"/>
      <c r="W3" s="6133"/>
      <c r="X3" s="6133"/>
    </row>
    <row r="4" spans="1:25">
      <c r="A4" s="6133"/>
      <c r="B4" s="6133"/>
      <c r="C4" s="6133"/>
      <c r="D4" s="6133"/>
      <c r="E4" s="6133"/>
      <c r="F4" s="6133"/>
      <c r="G4" s="6133"/>
      <c r="H4" s="6133"/>
      <c r="I4" s="6133"/>
      <c r="J4" s="6133"/>
      <c r="K4" s="6133"/>
      <c r="L4" s="6133"/>
      <c r="M4" s="6133"/>
      <c r="N4" s="6133"/>
      <c r="O4" s="6133"/>
      <c r="P4" s="6133"/>
      <c r="Q4" s="6133"/>
      <c r="R4" s="6133"/>
      <c r="S4" s="6133"/>
      <c r="T4" s="6133"/>
      <c r="U4" s="6133"/>
      <c r="V4" s="6133"/>
      <c r="W4" s="1382"/>
      <c r="X4" s="1382"/>
    </row>
    <row r="5" spans="1:25" ht="16.5" customHeight="1">
      <c r="A5" s="1382"/>
      <c r="B5" s="1382"/>
      <c r="C5" s="1382"/>
      <c r="D5" s="1382"/>
      <c r="E5" s="1382"/>
      <c r="F5" s="1382"/>
      <c r="G5" s="1382"/>
      <c r="H5" s="1382"/>
      <c r="I5" s="1382"/>
      <c r="J5" s="1382"/>
      <c r="K5" s="1382"/>
      <c r="L5" s="1382"/>
      <c r="M5" s="1382"/>
      <c r="N5" s="1382"/>
      <c r="O5" s="1382"/>
      <c r="P5" s="1382"/>
      <c r="Q5" s="1382"/>
      <c r="R5" s="1382"/>
      <c r="S5" s="1382"/>
      <c r="T5" s="6140" t="s">
        <v>1121</v>
      </c>
      <c r="U5" s="6140"/>
      <c r="V5" s="6140"/>
      <c r="W5" s="1382"/>
      <c r="X5" s="1382"/>
    </row>
    <row r="6" spans="1:25">
      <c r="A6" s="6073" t="s">
        <v>200</v>
      </c>
      <c r="B6" s="6132" t="s">
        <v>1188</v>
      </c>
      <c r="C6" s="6136" t="s">
        <v>985</v>
      </c>
      <c r="D6" s="6136"/>
      <c r="E6" s="6136"/>
      <c r="F6" s="6136"/>
      <c r="G6" s="6136"/>
      <c r="H6" s="6136"/>
      <c r="I6" s="6136"/>
      <c r="J6" s="6136"/>
      <c r="K6" s="6136"/>
      <c r="L6" s="6136"/>
      <c r="M6" s="6136"/>
      <c r="N6" s="6142" t="s">
        <v>1122</v>
      </c>
      <c r="O6" s="6143"/>
      <c r="P6" s="6143"/>
      <c r="Q6" s="6143"/>
      <c r="R6" s="6143"/>
      <c r="S6" s="6143"/>
      <c r="T6" s="6143"/>
      <c r="U6" s="6143"/>
      <c r="V6" s="6144"/>
      <c r="W6" s="1416"/>
      <c r="X6" s="1416"/>
    </row>
    <row r="7" spans="1:25" ht="50.25" customHeight="1">
      <c r="A7" s="6073"/>
      <c r="B7" s="6132"/>
      <c r="C7" s="6132" t="s">
        <v>1199</v>
      </c>
      <c r="D7" s="6132"/>
      <c r="E7" s="6132"/>
      <c r="F7" s="6132"/>
      <c r="G7" s="6132" t="s">
        <v>1167</v>
      </c>
      <c r="H7" s="6132"/>
      <c r="I7" s="6132"/>
      <c r="J7" s="6132"/>
      <c r="K7" s="6132" t="s">
        <v>1124</v>
      </c>
      <c r="L7" s="6132" t="s">
        <v>996</v>
      </c>
      <c r="M7" s="6132" t="s">
        <v>1125</v>
      </c>
      <c r="N7" s="6132" t="s">
        <v>1126</v>
      </c>
      <c r="O7" s="6132"/>
      <c r="P7" s="6132"/>
      <c r="Q7" s="6132"/>
      <c r="R7" s="6132" t="s">
        <v>1127</v>
      </c>
      <c r="S7" s="6132"/>
      <c r="T7" s="6132"/>
      <c r="U7" s="6132"/>
      <c r="V7" s="6132" t="s">
        <v>1124</v>
      </c>
      <c r="W7" s="6132" t="s">
        <v>1165</v>
      </c>
      <c r="X7" s="6132" t="s">
        <v>1125</v>
      </c>
    </row>
    <row r="8" spans="1:25">
      <c r="A8" s="6073"/>
      <c r="B8" s="6132"/>
      <c r="C8" s="6132" t="s">
        <v>987</v>
      </c>
      <c r="D8" s="6132" t="s">
        <v>1189</v>
      </c>
      <c r="E8" s="6132"/>
      <c r="F8" s="6132"/>
      <c r="G8" s="6132" t="s">
        <v>987</v>
      </c>
      <c r="H8" s="6132" t="s">
        <v>1189</v>
      </c>
      <c r="I8" s="6132"/>
      <c r="J8" s="6132"/>
      <c r="K8" s="6132"/>
      <c r="L8" s="6132"/>
      <c r="M8" s="6132"/>
      <c r="N8" s="6132" t="s">
        <v>987</v>
      </c>
      <c r="O8" s="6132" t="s">
        <v>1189</v>
      </c>
      <c r="P8" s="6132"/>
      <c r="Q8" s="6132"/>
      <c r="R8" s="6132" t="s">
        <v>987</v>
      </c>
      <c r="S8" s="6132" t="s">
        <v>1189</v>
      </c>
      <c r="T8" s="6132"/>
      <c r="U8" s="6132"/>
      <c r="V8" s="6132"/>
      <c r="W8" s="6132"/>
      <c r="X8" s="6132"/>
    </row>
    <row r="9" spans="1:25" ht="120.75" customHeight="1">
      <c r="A9" s="6073"/>
      <c r="B9" s="6132"/>
      <c r="C9" s="6132"/>
      <c r="D9" s="1383" t="s">
        <v>387</v>
      </c>
      <c r="E9" s="1383" t="s">
        <v>1190</v>
      </c>
      <c r="F9" s="1383" t="s">
        <v>1191</v>
      </c>
      <c r="G9" s="6132"/>
      <c r="H9" s="1383" t="s">
        <v>387</v>
      </c>
      <c r="I9" s="1383" t="s">
        <v>1192</v>
      </c>
      <c r="J9" s="1383" t="s">
        <v>1193</v>
      </c>
      <c r="K9" s="6132"/>
      <c r="L9" s="6132"/>
      <c r="M9" s="6132"/>
      <c r="N9" s="6132"/>
      <c r="O9" s="1383" t="s">
        <v>387</v>
      </c>
      <c r="P9" s="1383" t="s">
        <v>1190</v>
      </c>
      <c r="Q9" s="1383" t="s">
        <v>1191</v>
      </c>
      <c r="R9" s="6132"/>
      <c r="S9" s="1383" t="s">
        <v>387</v>
      </c>
      <c r="T9" s="1383" t="s">
        <v>1192</v>
      </c>
      <c r="U9" s="1383" t="s">
        <v>1193</v>
      </c>
      <c r="V9" s="6132"/>
      <c r="W9" s="6132"/>
      <c r="X9" s="6132"/>
    </row>
    <row r="10" spans="1:25">
      <c r="A10" s="1385" t="s">
        <v>1</v>
      </c>
      <c r="B10" s="1385" t="s">
        <v>37</v>
      </c>
      <c r="C10" s="1385">
        <v>1</v>
      </c>
      <c r="D10" s="1385">
        <v>2</v>
      </c>
      <c r="E10" s="1385">
        <v>3</v>
      </c>
      <c r="F10" s="1385">
        <v>4</v>
      </c>
      <c r="G10" s="1385">
        <v>5</v>
      </c>
      <c r="H10" s="1385">
        <v>6</v>
      </c>
      <c r="I10" s="1385">
        <v>7</v>
      </c>
      <c r="J10" s="1385">
        <v>8</v>
      </c>
      <c r="K10" s="1385" t="s">
        <v>1194</v>
      </c>
      <c r="L10" s="1385">
        <v>10</v>
      </c>
      <c r="M10" s="1385" t="s">
        <v>1195</v>
      </c>
      <c r="N10" s="1385">
        <v>1</v>
      </c>
      <c r="O10" s="1385">
        <v>2</v>
      </c>
      <c r="P10" s="1385">
        <v>3</v>
      </c>
      <c r="Q10" s="1385">
        <v>4</v>
      </c>
      <c r="R10" s="1385">
        <v>5</v>
      </c>
      <c r="S10" s="1385">
        <v>6</v>
      </c>
      <c r="T10" s="1385">
        <v>7</v>
      </c>
      <c r="U10" s="1385">
        <v>8</v>
      </c>
      <c r="V10" s="1385" t="s">
        <v>1194</v>
      </c>
      <c r="W10" s="1385">
        <v>10</v>
      </c>
      <c r="X10" s="1385" t="s">
        <v>1195</v>
      </c>
    </row>
    <row r="11" spans="1:25">
      <c r="A11" s="1417"/>
      <c r="B11" s="1417" t="s">
        <v>387</v>
      </c>
      <c r="C11" s="1418">
        <f t="shared" ref="C11:X11" si="0">SUM(C12,C14)</f>
        <v>211</v>
      </c>
      <c r="D11" s="1418">
        <f t="shared" si="0"/>
        <v>1638.7377777777779</v>
      </c>
      <c r="E11" s="1418">
        <f t="shared" si="0"/>
        <v>1524.9599999999998</v>
      </c>
      <c r="F11" s="1418">
        <f t="shared" si="0"/>
        <v>113.77777777777779</v>
      </c>
      <c r="G11" s="1418">
        <f t="shared" si="0"/>
        <v>269</v>
      </c>
      <c r="H11" s="1418">
        <f t="shared" si="0"/>
        <v>2131.1608888888891</v>
      </c>
      <c r="I11" s="1418">
        <f t="shared" si="0"/>
        <v>2014.2720000000004</v>
      </c>
      <c r="J11" s="1418">
        <f t="shared" si="0"/>
        <v>116.8888888888889</v>
      </c>
      <c r="K11" s="1418">
        <f t="shared" si="0"/>
        <v>3769.8986666666669</v>
      </c>
      <c r="L11" s="1418">
        <f t="shared" si="0"/>
        <v>0</v>
      </c>
      <c r="M11" s="1418">
        <f t="shared" si="0"/>
        <v>3769.8986666666669</v>
      </c>
      <c r="N11" s="1418">
        <f t="shared" si="0"/>
        <v>261</v>
      </c>
      <c r="O11" s="1418">
        <f t="shared" si="0"/>
        <v>2587.96</v>
      </c>
      <c r="P11" s="1418">
        <f t="shared" si="0"/>
        <v>2442.96</v>
      </c>
      <c r="Q11" s="1418">
        <f t="shared" si="0"/>
        <v>145</v>
      </c>
      <c r="R11" s="1418">
        <f t="shared" si="0"/>
        <v>274</v>
      </c>
      <c r="S11" s="1418">
        <f t="shared" si="0"/>
        <v>2173.4897777777778</v>
      </c>
      <c r="T11" s="1418">
        <f t="shared" si="0"/>
        <v>2051.712</v>
      </c>
      <c r="U11" s="1418">
        <f t="shared" si="0"/>
        <v>121.77777777777779</v>
      </c>
      <c r="V11" s="1418">
        <f>SUM(V12,V14)</f>
        <v>4761.4497777777788</v>
      </c>
      <c r="W11" s="1411">
        <f t="shared" si="0"/>
        <v>0</v>
      </c>
      <c r="X11" s="1411">
        <f t="shared" si="0"/>
        <v>0</v>
      </c>
    </row>
    <row r="12" spans="1:25">
      <c r="A12" s="1419" t="s">
        <v>1180</v>
      </c>
      <c r="B12" s="1420" t="s">
        <v>1181</v>
      </c>
      <c r="C12" s="1130">
        <f>SUM(C13)</f>
        <v>34</v>
      </c>
      <c r="D12" s="1130">
        <f t="shared" ref="D12:X12" si="1">SUM(D13)</f>
        <v>263.68888888888893</v>
      </c>
      <c r="E12" s="1130">
        <f t="shared" si="1"/>
        <v>244.80000000000004</v>
      </c>
      <c r="F12" s="1130">
        <f t="shared" si="1"/>
        <v>18.888888888888889</v>
      </c>
      <c r="G12" s="1130">
        <f t="shared" si="1"/>
        <v>34</v>
      </c>
      <c r="H12" s="1130">
        <f t="shared" si="1"/>
        <v>269.70311111111107</v>
      </c>
      <c r="I12" s="1130">
        <f t="shared" si="1"/>
        <v>254.59199999999998</v>
      </c>
      <c r="J12" s="1130">
        <f t="shared" si="1"/>
        <v>15.111111111111111</v>
      </c>
      <c r="K12" s="1130">
        <f t="shared" si="1"/>
        <v>533.39200000000005</v>
      </c>
      <c r="L12" s="1130">
        <f t="shared" si="1"/>
        <v>0</v>
      </c>
      <c r="M12" s="1130">
        <f t="shared" si="1"/>
        <v>533.39200000000005</v>
      </c>
      <c r="N12" s="1130">
        <f t="shared" si="1"/>
        <v>34</v>
      </c>
      <c r="O12" s="1130">
        <f t="shared" si="1"/>
        <v>337.12888888888892</v>
      </c>
      <c r="P12" s="1130">
        <f t="shared" si="1"/>
        <v>318.24</v>
      </c>
      <c r="Q12" s="1130">
        <f t="shared" si="1"/>
        <v>18.888888888888889</v>
      </c>
      <c r="R12" s="1130">
        <f t="shared" si="1"/>
        <v>34</v>
      </c>
      <c r="S12" s="1130">
        <f t="shared" si="1"/>
        <v>269.70311111111107</v>
      </c>
      <c r="T12" s="1130">
        <f t="shared" si="1"/>
        <v>254.59199999999998</v>
      </c>
      <c r="U12" s="1130">
        <f t="shared" si="1"/>
        <v>15.111111111111111</v>
      </c>
      <c r="V12" s="1130">
        <f t="shared" si="1"/>
        <v>606.83199999999999</v>
      </c>
      <c r="W12" s="1412">
        <f t="shared" si="1"/>
        <v>0</v>
      </c>
      <c r="X12" s="1412">
        <f t="shared" si="1"/>
        <v>0</v>
      </c>
      <c r="Y12" s="1413"/>
    </row>
    <row r="13" spans="1:25" s="1190" customFormat="1">
      <c r="A13" s="1421"/>
      <c r="B13" s="1422" t="s">
        <v>667</v>
      </c>
      <c r="C13" s="1140">
        <v>34</v>
      </c>
      <c r="D13" s="1140">
        <f>E13+F13</f>
        <v>263.68888888888893</v>
      </c>
      <c r="E13" s="1140">
        <f>(1.8*80%)*5*C13</f>
        <v>244.80000000000004</v>
      </c>
      <c r="F13" s="1140">
        <f>(1/9)*C13*5</f>
        <v>18.888888888888889</v>
      </c>
      <c r="G13" s="1140">
        <v>34</v>
      </c>
      <c r="H13" s="1140">
        <f>I13+J13</f>
        <v>269.70311111111107</v>
      </c>
      <c r="I13" s="1140">
        <f>C13*(2.34*80%)*4</f>
        <v>254.59199999999998</v>
      </c>
      <c r="J13" s="1140">
        <f>(1/9)*G13*4</f>
        <v>15.111111111111111</v>
      </c>
      <c r="K13" s="1140">
        <f>D13+H13</f>
        <v>533.39200000000005</v>
      </c>
      <c r="L13" s="1140"/>
      <c r="M13" s="1140">
        <f>K13-L13</f>
        <v>533.39200000000005</v>
      </c>
      <c r="N13" s="1140">
        <v>34</v>
      </c>
      <c r="O13" s="1140">
        <f>P13+Q13</f>
        <v>337.12888888888892</v>
      </c>
      <c r="P13" s="1140">
        <f>(2.34*80%)*5*N13</f>
        <v>318.24</v>
      </c>
      <c r="Q13" s="1140">
        <f>(1/9)*N13*5</f>
        <v>18.888888888888889</v>
      </c>
      <c r="R13" s="1140">
        <v>34</v>
      </c>
      <c r="S13" s="1140">
        <f>T13+U13</f>
        <v>269.70311111111107</v>
      </c>
      <c r="T13" s="1140">
        <f>N13*(2.34*80%)*4</f>
        <v>254.59199999999998</v>
      </c>
      <c r="U13" s="1140">
        <f>(1/9)*R13*4</f>
        <v>15.111111111111111</v>
      </c>
      <c r="V13" s="1140">
        <f>O13+S13</f>
        <v>606.83199999999999</v>
      </c>
      <c r="W13" s="1414"/>
      <c r="X13" s="1414"/>
      <c r="Y13" s="1191"/>
    </row>
    <row r="14" spans="1:25">
      <c r="A14" s="1419" t="s">
        <v>1183</v>
      </c>
      <c r="B14" s="1420" t="s">
        <v>1184</v>
      </c>
      <c r="C14" s="1130">
        <f>SUM(C15,C16,C17,C18,C19,C20,C21,C22,C23,C24,C25,C26)</f>
        <v>177</v>
      </c>
      <c r="D14" s="1130">
        <f t="shared" ref="D14:V14" si="2">SUM(D15,D16,D17,D18,D19,D20,D21,D22,D23,D24,D25,D26)</f>
        <v>1375.048888888889</v>
      </c>
      <c r="E14" s="1130">
        <f t="shared" si="2"/>
        <v>1280.1599999999999</v>
      </c>
      <c r="F14" s="1130">
        <f t="shared" si="2"/>
        <v>94.8888888888889</v>
      </c>
      <c r="G14" s="1130">
        <f t="shared" si="2"/>
        <v>235</v>
      </c>
      <c r="H14" s="1130">
        <f t="shared" si="2"/>
        <v>1861.4577777777779</v>
      </c>
      <c r="I14" s="1130">
        <f t="shared" si="2"/>
        <v>1759.6800000000003</v>
      </c>
      <c r="J14" s="1130">
        <f t="shared" si="2"/>
        <v>101.77777777777779</v>
      </c>
      <c r="K14" s="1130">
        <f t="shared" si="2"/>
        <v>3236.5066666666671</v>
      </c>
      <c r="L14" s="1130">
        <f t="shared" si="2"/>
        <v>0</v>
      </c>
      <c r="M14" s="1130">
        <f t="shared" si="2"/>
        <v>3236.5066666666671</v>
      </c>
      <c r="N14" s="1130">
        <f t="shared" si="2"/>
        <v>227</v>
      </c>
      <c r="O14" s="1130">
        <f t="shared" si="2"/>
        <v>2250.8311111111111</v>
      </c>
      <c r="P14" s="1130">
        <f t="shared" si="2"/>
        <v>2124.7199999999998</v>
      </c>
      <c r="Q14" s="1130">
        <f t="shared" si="2"/>
        <v>126.1111111111111</v>
      </c>
      <c r="R14" s="1130">
        <f t="shared" si="2"/>
        <v>240</v>
      </c>
      <c r="S14" s="1130">
        <f t="shared" si="2"/>
        <v>1903.7866666666666</v>
      </c>
      <c r="T14" s="1130">
        <f t="shared" si="2"/>
        <v>1797.1200000000001</v>
      </c>
      <c r="U14" s="1130">
        <f t="shared" si="2"/>
        <v>106.66666666666667</v>
      </c>
      <c r="V14" s="1130">
        <f t="shared" si="2"/>
        <v>4154.6177777777784</v>
      </c>
      <c r="W14" s="1415"/>
      <c r="X14" s="1415"/>
      <c r="Y14" s="1413"/>
    </row>
    <row r="15" spans="1:25" s="1190" customFormat="1">
      <c r="A15" s="1423"/>
      <c r="B15" s="203" t="s">
        <v>1135</v>
      </c>
      <c r="C15" s="1424">
        <v>27</v>
      </c>
      <c r="D15" s="1136">
        <f>E15+F15</f>
        <v>209.4</v>
      </c>
      <c r="E15" s="1140">
        <f>C15*1800/1000*5*80%</f>
        <v>194.4</v>
      </c>
      <c r="F15" s="1140">
        <f>(C15*1000/9*5)/1000</f>
        <v>15</v>
      </c>
      <c r="G15" s="1424">
        <v>27</v>
      </c>
      <c r="H15" s="1136">
        <f>I15+J15</f>
        <v>214.17600000000002</v>
      </c>
      <c r="I15" s="1140">
        <f>G15*2340/1000*4*80%</f>
        <v>202.17600000000002</v>
      </c>
      <c r="J15" s="1140">
        <f>(G15*1000/9*4)/1000</f>
        <v>12</v>
      </c>
      <c r="K15" s="1136">
        <f t="shared" ref="K15:K26" si="3">D15+H15</f>
        <v>423.57600000000002</v>
      </c>
      <c r="L15" s="1136"/>
      <c r="M15" s="1140">
        <f t="shared" ref="M15:M26" si="4">K15-L15</f>
        <v>423.57600000000002</v>
      </c>
      <c r="N15" s="1424">
        <v>27</v>
      </c>
      <c r="O15" s="1136">
        <f>P15+Q15</f>
        <v>267.72000000000003</v>
      </c>
      <c r="P15" s="1140">
        <f>N15*2340/1000*5*80%</f>
        <v>252.72</v>
      </c>
      <c r="Q15" s="1140">
        <f>(N15*1000/9*5)/1000</f>
        <v>15</v>
      </c>
      <c r="R15" s="1424">
        <v>27</v>
      </c>
      <c r="S15" s="1136">
        <f>T15+U15</f>
        <v>214.17600000000002</v>
      </c>
      <c r="T15" s="1140">
        <f>R15*2340/1000*4*80%</f>
        <v>202.17600000000002</v>
      </c>
      <c r="U15" s="1140">
        <f>(R15*1000/9*4)/1000</f>
        <v>12</v>
      </c>
      <c r="V15" s="1140">
        <f t="shared" ref="V15:V26" si="5">O15+S15</f>
        <v>481.89600000000007</v>
      </c>
      <c r="W15" s="1414"/>
      <c r="X15" s="1414"/>
      <c r="Y15" s="1191"/>
    </row>
    <row r="16" spans="1:25" s="1190" customFormat="1">
      <c r="A16" s="1423"/>
      <c r="B16" s="203" t="s">
        <v>1136</v>
      </c>
      <c r="C16" s="1424">
        <v>1</v>
      </c>
      <c r="D16" s="1136">
        <f>E16+F16</f>
        <v>13.96</v>
      </c>
      <c r="E16" s="1140">
        <f>C16*1800/1000*9*80%</f>
        <v>12.96</v>
      </c>
      <c r="F16" s="1140">
        <f>(C16*1000/9*9)/1000</f>
        <v>1</v>
      </c>
      <c r="G16" s="1424">
        <v>1</v>
      </c>
      <c r="H16" s="1136">
        <f>I16+J16</f>
        <v>7.9324444444444442</v>
      </c>
      <c r="I16" s="1140">
        <f>G16*2340/1000*4*80%</f>
        <v>7.4879999999999995</v>
      </c>
      <c r="J16" s="1140">
        <f>(G16*1000/9*4)/1000</f>
        <v>0.44444444444444448</v>
      </c>
      <c r="K16" s="1136">
        <f t="shared" si="3"/>
        <v>21.892444444444443</v>
      </c>
      <c r="L16" s="1136"/>
      <c r="M16" s="1140">
        <f t="shared" si="4"/>
        <v>21.892444444444443</v>
      </c>
      <c r="N16" s="1424">
        <v>1</v>
      </c>
      <c r="O16" s="1136">
        <f>P16+Q16</f>
        <v>9.9155555555555548</v>
      </c>
      <c r="P16" s="1140">
        <f>N16*2340/1000*5*80%</f>
        <v>9.36</v>
      </c>
      <c r="Q16" s="1140">
        <f>(N16*1000/9*5)/1000</f>
        <v>0.55555555555555558</v>
      </c>
      <c r="R16" s="1424">
        <v>1</v>
      </c>
      <c r="S16" s="1136">
        <f>T16+U16</f>
        <v>7.9324444444444442</v>
      </c>
      <c r="T16" s="1140">
        <f>R16*2340/1000*4*80%</f>
        <v>7.4879999999999995</v>
      </c>
      <c r="U16" s="1140">
        <f>(R16*1000/9*4)/1000</f>
        <v>0.44444444444444448</v>
      </c>
      <c r="V16" s="1140">
        <f t="shared" si="5"/>
        <v>17.847999999999999</v>
      </c>
      <c r="W16" s="1414"/>
      <c r="X16" s="1414"/>
      <c r="Y16" s="1191"/>
    </row>
    <row r="17" spans="1:25" s="1190" customFormat="1">
      <c r="A17" s="1423"/>
      <c r="B17" s="203" t="s">
        <v>1137</v>
      </c>
      <c r="C17" s="1424">
        <v>32</v>
      </c>
      <c r="D17" s="1136">
        <f>E17+F17</f>
        <v>248.17777777777781</v>
      </c>
      <c r="E17" s="1425">
        <f>C17*1800000/1000000*80%*5</f>
        <v>230.40000000000003</v>
      </c>
      <c r="F17" s="1140">
        <f>C17*1/9*5</f>
        <v>17.777777777777779</v>
      </c>
      <c r="G17" s="1424">
        <v>49</v>
      </c>
      <c r="H17" s="1136">
        <f>I17+J17</f>
        <v>388.68977777777781</v>
      </c>
      <c r="I17" s="1140">
        <f>G17*2340/1000*4*80%</f>
        <v>366.91200000000003</v>
      </c>
      <c r="J17" s="1140">
        <f>(G17*1000/9*4)/1000</f>
        <v>21.777777777777779</v>
      </c>
      <c r="K17" s="1136">
        <f t="shared" si="3"/>
        <v>636.86755555555555</v>
      </c>
      <c r="L17" s="1136"/>
      <c r="M17" s="1140">
        <f t="shared" si="4"/>
        <v>636.86755555555555</v>
      </c>
      <c r="N17" s="1424">
        <v>55</v>
      </c>
      <c r="O17" s="1136">
        <f>P17+Q17</f>
        <v>545.35555555555561</v>
      </c>
      <c r="P17" s="1140">
        <f>N17*2340/1000*5*80%</f>
        <v>514.80000000000007</v>
      </c>
      <c r="Q17" s="1140">
        <f>(N17*1000/9*5)/1000</f>
        <v>30.555555555555554</v>
      </c>
      <c r="R17" s="1424">
        <v>55</v>
      </c>
      <c r="S17" s="1136">
        <f>T17+U17</f>
        <v>436.28444444444443</v>
      </c>
      <c r="T17" s="1140">
        <f>R17*2340/1000*4*80%</f>
        <v>411.84</v>
      </c>
      <c r="U17" s="1140">
        <f>(R17*1000/9*4)/1000</f>
        <v>24.444444444444446</v>
      </c>
      <c r="V17" s="1140">
        <f t="shared" si="5"/>
        <v>981.6400000000001</v>
      </c>
      <c r="W17" s="1414"/>
      <c r="X17" s="1414"/>
      <c r="Y17" s="1191"/>
    </row>
    <row r="18" spans="1:25" s="1190" customFormat="1">
      <c r="A18" s="1423"/>
      <c r="B18" s="203" t="s">
        <v>1138</v>
      </c>
      <c r="C18" s="1424">
        <v>26</v>
      </c>
      <c r="D18" s="1136">
        <f>E18+F18</f>
        <v>201.64444444444445</v>
      </c>
      <c r="E18" s="1425">
        <f>C18*1800000/1000000*80%*5</f>
        <v>187.2</v>
      </c>
      <c r="F18" s="1140">
        <f>C18*1/9*5</f>
        <v>14.444444444444445</v>
      </c>
      <c r="G18" s="1424">
        <v>26</v>
      </c>
      <c r="H18" s="1136">
        <f>I18+J18</f>
        <v>206.24355555555556</v>
      </c>
      <c r="I18" s="1140">
        <f>G18*2340000/1000000*80%*4</f>
        <v>194.68800000000002</v>
      </c>
      <c r="J18" s="1140">
        <f>G18*1/9*4</f>
        <v>11.555555555555555</v>
      </c>
      <c r="K18" s="1136">
        <f t="shared" si="3"/>
        <v>407.88800000000003</v>
      </c>
      <c r="L18" s="1136"/>
      <c r="M18" s="1140">
        <f t="shared" si="4"/>
        <v>407.88800000000003</v>
      </c>
      <c r="N18" s="1424">
        <v>18</v>
      </c>
      <c r="O18" s="1136">
        <f>P18+Q18</f>
        <v>178.48</v>
      </c>
      <c r="P18" s="1140">
        <f>N18*2340000/1000000*80%*5</f>
        <v>168.48</v>
      </c>
      <c r="Q18" s="1140">
        <f>N18*1/9*5</f>
        <v>10</v>
      </c>
      <c r="R18" s="1424">
        <v>22</v>
      </c>
      <c r="S18" s="1136">
        <f>T18+U18</f>
        <v>174.51377777777776</v>
      </c>
      <c r="T18" s="1140">
        <f>R18*2340000/1000000*80%*4</f>
        <v>164.73599999999999</v>
      </c>
      <c r="U18" s="1140">
        <f>R18*1/9*4</f>
        <v>9.7777777777777786</v>
      </c>
      <c r="V18" s="1140">
        <f t="shared" si="5"/>
        <v>352.99377777777772</v>
      </c>
      <c r="W18" s="1414"/>
      <c r="X18" s="1414"/>
      <c r="Y18" s="1191"/>
    </row>
    <row r="19" spans="1:25" s="1190" customFormat="1">
      <c r="A19" s="1423"/>
      <c r="B19" s="203" t="s">
        <v>1139</v>
      </c>
      <c r="C19" s="1424">
        <v>4</v>
      </c>
      <c r="D19" s="1136">
        <f>E19+F19</f>
        <v>31.022222222222226</v>
      </c>
      <c r="E19" s="1140">
        <f>C19*1800000/1000000*80%*5</f>
        <v>28.800000000000004</v>
      </c>
      <c r="F19" s="1140">
        <f>C19*1/9*5</f>
        <v>2.2222222222222223</v>
      </c>
      <c r="G19" s="1424">
        <v>4</v>
      </c>
      <c r="H19" s="1136">
        <f>I19+J19</f>
        <v>31.729777777777777</v>
      </c>
      <c r="I19" s="1140">
        <f>G19*2340000/1000000*80%*4</f>
        <v>29.951999999999998</v>
      </c>
      <c r="J19" s="1140">
        <f>G19*1/9*4</f>
        <v>1.7777777777777777</v>
      </c>
      <c r="K19" s="1136">
        <f t="shared" si="3"/>
        <v>62.752000000000002</v>
      </c>
      <c r="L19" s="1136"/>
      <c r="M19" s="1140">
        <f t="shared" si="4"/>
        <v>62.752000000000002</v>
      </c>
      <c r="N19" s="1424">
        <v>3</v>
      </c>
      <c r="O19" s="1136">
        <f>P19+Q19</f>
        <v>29.746666666666666</v>
      </c>
      <c r="P19" s="1140">
        <f>N19*2340000/1000000*80%*5</f>
        <v>28.08</v>
      </c>
      <c r="Q19" s="1140">
        <f>N19*1/9*5</f>
        <v>1.6666666666666665</v>
      </c>
      <c r="R19" s="1424">
        <v>3</v>
      </c>
      <c r="S19" s="1136">
        <f>T19+U19</f>
        <v>23.797333333333331</v>
      </c>
      <c r="T19" s="1140">
        <f>R19*2340000/1000000*80%*4</f>
        <v>22.463999999999999</v>
      </c>
      <c r="U19" s="1140">
        <f>R19*1/9*4</f>
        <v>1.3333333333333333</v>
      </c>
      <c r="V19" s="1140">
        <f t="shared" si="5"/>
        <v>53.543999999999997</v>
      </c>
      <c r="W19" s="1414"/>
      <c r="X19" s="1414"/>
      <c r="Y19" s="1191"/>
    </row>
    <row r="20" spans="1:25" s="1190" customFormat="1" hidden="1">
      <c r="A20" s="1423"/>
      <c r="B20" s="203" t="s">
        <v>1140</v>
      </c>
      <c r="C20" s="1424"/>
      <c r="D20" s="1136">
        <f t="shared" ref="D20:D22" si="6">E20+F20</f>
        <v>0</v>
      </c>
      <c r="E20" s="1140">
        <f t="shared" ref="E20:E22" si="7">C20*1800000/1000000*80%*5</f>
        <v>0</v>
      </c>
      <c r="F20" s="1140">
        <f t="shared" ref="F20:F22" si="8">C20*1/9*5</f>
        <v>0</v>
      </c>
      <c r="G20" s="1424"/>
      <c r="H20" s="1136">
        <f t="shared" ref="H20:H21" si="9">I20+J20</f>
        <v>0</v>
      </c>
      <c r="I20" s="1140">
        <f t="shared" ref="I20:I21" si="10">G20*2340000/1000000*80%*4</f>
        <v>0</v>
      </c>
      <c r="J20" s="1140">
        <f t="shared" ref="J20" si="11">G20*1/9*4</f>
        <v>0</v>
      </c>
      <c r="K20" s="1136">
        <f t="shared" si="3"/>
        <v>0</v>
      </c>
      <c r="L20" s="1136"/>
      <c r="M20" s="1140">
        <f t="shared" si="4"/>
        <v>0</v>
      </c>
      <c r="N20" s="1424"/>
      <c r="O20" s="1136">
        <f t="shared" ref="O20:O21" si="12">P20+Q20</f>
        <v>0</v>
      </c>
      <c r="P20" s="1140">
        <f t="shared" ref="P20:P21" si="13">N20*2340000/1000000*80%*5</f>
        <v>0</v>
      </c>
      <c r="Q20" s="1140">
        <f t="shared" ref="Q20:Q21" si="14">N20*1/9*5</f>
        <v>0</v>
      </c>
      <c r="R20" s="1424"/>
      <c r="S20" s="1136">
        <f t="shared" ref="S20:S21" si="15">T20+U20</f>
        <v>0</v>
      </c>
      <c r="T20" s="1140">
        <f t="shared" ref="T20:T21" si="16">R20*2340000/1000000*80%*4</f>
        <v>0</v>
      </c>
      <c r="U20" s="1140">
        <f t="shared" ref="U20:U21" si="17">R20*1/9*4</f>
        <v>0</v>
      </c>
      <c r="V20" s="1140">
        <f t="shared" si="5"/>
        <v>0</v>
      </c>
      <c r="W20" s="1414"/>
      <c r="X20" s="1414"/>
      <c r="Y20" s="1191" t="s">
        <v>1185</v>
      </c>
    </row>
    <row r="21" spans="1:25" s="1190" customFormat="1">
      <c r="A21" s="1423"/>
      <c r="B21" s="203" t="s">
        <v>1141</v>
      </c>
      <c r="C21" s="1424">
        <v>37</v>
      </c>
      <c r="D21" s="1136">
        <f>E21+F21</f>
        <v>283.06666666666666</v>
      </c>
      <c r="E21" s="1140">
        <f>C21*1800000/1000000*80%*5</f>
        <v>266.39999999999998</v>
      </c>
      <c r="F21" s="1140">
        <f>30*1/9*5</f>
        <v>16.666666666666668</v>
      </c>
      <c r="G21" s="1424">
        <v>62</v>
      </c>
      <c r="H21" s="1136">
        <f t="shared" si="9"/>
        <v>489.144888888889</v>
      </c>
      <c r="I21" s="1140">
        <f t="shared" si="10"/>
        <v>464.25600000000009</v>
      </c>
      <c r="J21" s="1140">
        <f>56*1/9*4</f>
        <v>24.888888888888889</v>
      </c>
      <c r="K21" s="1136">
        <f t="shared" si="3"/>
        <v>772.21155555555561</v>
      </c>
      <c r="L21" s="1136"/>
      <c r="M21" s="1140">
        <f t="shared" si="4"/>
        <v>772.21155555555561</v>
      </c>
      <c r="N21" s="1424">
        <v>54</v>
      </c>
      <c r="O21" s="1136">
        <f t="shared" si="12"/>
        <v>535.44000000000005</v>
      </c>
      <c r="P21" s="1140">
        <f t="shared" si="13"/>
        <v>505.44000000000005</v>
      </c>
      <c r="Q21" s="1140">
        <f t="shared" si="14"/>
        <v>30</v>
      </c>
      <c r="R21" s="1424">
        <v>57</v>
      </c>
      <c r="S21" s="1136">
        <f t="shared" si="15"/>
        <v>452.14933333333335</v>
      </c>
      <c r="T21" s="1140">
        <f t="shared" si="16"/>
        <v>426.81600000000003</v>
      </c>
      <c r="U21" s="1140">
        <f t="shared" si="17"/>
        <v>25.333333333333332</v>
      </c>
      <c r="V21" s="1140">
        <f t="shared" si="5"/>
        <v>987.58933333333334</v>
      </c>
      <c r="W21" s="1414"/>
      <c r="X21" s="1414"/>
      <c r="Y21" s="1191"/>
    </row>
    <row r="22" spans="1:25" s="1190" customFormat="1" hidden="1">
      <c r="A22" s="1423"/>
      <c r="B22" s="203" t="s">
        <v>1142</v>
      </c>
      <c r="C22" s="1424"/>
      <c r="D22" s="1136">
        <f t="shared" si="6"/>
        <v>0</v>
      </c>
      <c r="E22" s="1140">
        <f t="shared" si="7"/>
        <v>0</v>
      </c>
      <c r="F22" s="1140">
        <f t="shared" si="8"/>
        <v>0</v>
      </c>
      <c r="G22" s="1424"/>
      <c r="H22" s="1136"/>
      <c r="I22" s="1140"/>
      <c r="J22" s="1140"/>
      <c r="K22" s="1136">
        <f t="shared" si="3"/>
        <v>0</v>
      </c>
      <c r="L22" s="1136"/>
      <c r="M22" s="1140">
        <f t="shared" si="4"/>
        <v>0</v>
      </c>
      <c r="N22" s="1424"/>
      <c r="O22" s="1136"/>
      <c r="P22" s="1140"/>
      <c r="Q22" s="1140"/>
      <c r="R22" s="1424"/>
      <c r="S22" s="1136"/>
      <c r="T22" s="1140"/>
      <c r="U22" s="1140"/>
      <c r="V22" s="1140">
        <f t="shared" si="5"/>
        <v>0</v>
      </c>
      <c r="W22" s="1414"/>
      <c r="X22" s="1414"/>
      <c r="Y22" s="1191" t="s">
        <v>1185</v>
      </c>
    </row>
    <row r="23" spans="1:25" s="1190" customFormat="1">
      <c r="A23" s="1423"/>
      <c r="B23" s="203" t="s">
        <v>1143</v>
      </c>
      <c r="C23" s="1424">
        <v>27</v>
      </c>
      <c r="D23" s="1136">
        <f>E23+F23</f>
        <v>209.4</v>
      </c>
      <c r="E23" s="1140">
        <f>C23*1800000/1000000*80%*5</f>
        <v>194.4</v>
      </c>
      <c r="F23" s="1140">
        <f>C23*1/9*5</f>
        <v>15</v>
      </c>
      <c r="G23" s="1424">
        <v>40</v>
      </c>
      <c r="H23" s="1136">
        <f>I23+J23</f>
        <v>317.29777777777775</v>
      </c>
      <c r="I23" s="1140">
        <f>G23*2340000/1000000*80%*4</f>
        <v>299.52</v>
      </c>
      <c r="J23" s="1140">
        <f>G23*1/9*4</f>
        <v>17.777777777777779</v>
      </c>
      <c r="K23" s="1136">
        <f t="shared" si="3"/>
        <v>526.69777777777779</v>
      </c>
      <c r="L23" s="1136"/>
      <c r="M23" s="1140">
        <f t="shared" si="4"/>
        <v>526.69777777777779</v>
      </c>
      <c r="N23" s="1424">
        <v>43</v>
      </c>
      <c r="O23" s="1136">
        <f>P23+Q23</f>
        <v>426.36888888888893</v>
      </c>
      <c r="P23" s="1140">
        <f>N23*2340000/1000000*80%*5</f>
        <v>402.48</v>
      </c>
      <c r="Q23" s="1140">
        <f>N23*1/9*5</f>
        <v>23.888888888888889</v>
      </c>
      <c r="R23" s="1424">
        <v>47</v>
      </c>
      <c r="S23" s="1136">
        <f>T23+U23</f>
        <v>372.82488888888895</v>
      </c>
      <c r="T23" s="1140">
        <f>R23*2340000/1000000*80%*4</f>
        <v>351.93600000000004</v>
      </c>
      <c r="U23" s="1140">
        <f>R23*1/9*4</f>
        <v>20.888888888888889</v>
      </c>
      <c r="V23" s="1140">
        <f>O23+S23</f>
        <v>799.19377777777788</v>
      </c>
      <c r="W23" s="1414"/>
      <c r="X23" s="1414"/>
      <c r="Y23" s="1191"/>
    </row>
    <row r="24" spans="1:25" s="1190" customFormat="1">
      <c r="A24" s="1423"/>
      <c r="B24" s="203" t="s">
        <v>1144</v>
      </c>
      <c r="C24" s="1424">
        <v>1</v>
      </c>
      <c r="D24" s="1136">
        <f>E24+F24</f>
        <v>7.7555555555555564</v>
      </c>
      <c r="E24" s="1140">
        <f>C24*1800000/1000000*80%*5</f>
        <v>7.2000000000000011</v>
      </c>
      <c r="F24" s="1140">
        <f>C24*1/9*5</f>
        <v>0.55555555555555558</v>
      </c>
      <c r="G24" s="1424">
        <v>1</v>
      </c>
      <c r="H24" s="1136">
        <f>I24+J24</f>
        <v>7.9324444444444442</v>
      </c>
      <c r="I24" s="1140">
        <f>G24*2340000/1000000*80%*4</f>
        <v>7.4879999999999995</v>
      </c>
      <c r="J24" s="1140">
        <f>G24*1/9*4</f>
        <v>0.44444444444444442</v>
      </c>
      <c r="K24" s="1136">
        <f t="shared" si="3"/>
        <v>15.688000000000001</v>
      </c>
      <c r="L24" s="1136"/>
      <c r="M24" s="1140">
        <f t="shared" si="4"/>
        <v>15.688000000000001</v>
      </c>
      <c r="N24" s="1424">
        <v>1</v>
      </c>
      <c r="O24" s="1136">
        <f>P24+Q24</f>
        <v>9.9155555555555548</v>
      </c>
      <c r="P24" s="1140">
        <f>N24*2340000/1000000*80%*5</f>
        <v>9.36</v>
      </c>
      <c r="Q24" s="1140">
        <f>N24*1/9*5</f>
        <v>0.55555555555555558</v>
      </c>
      <c r="R24" s="1424">
        <v>1</v>
      </c>
      <c r="S24" s="1136">
        <f>T24+U24</f>
        <v>7.9324444444444442</v>
      </c>
      <c r="T24" s="1140">
        <f>R24*2340000/1000000*80%*4</f>
        <v>7.4879999999999995</v>
      </c>
      <c r="U24" s="1140">
        <f>R24*1/9*4</f>
        <v>0.44444444444444442</v>
      </c>
      <c r="V24" s="1140">
        <f t="shared" si="5"/>
        <v>17.847999999999999</v>
      </c>
      <c r="W24" s="1414"/>
      <c r="X24" s="1414"/>
      <c r="Y24" s="1191"/>
    </row>
    <row r="25" spans="1:25" s="1190" customFormat="1">
      <c r="A25" s="1423"/>
      <c r="B25" s="203" t="s">
        <v>1145</v>
      </c>
      <c r="C25" s="1424">
        <v>13</v>
      </c>
      <c r="D25" s="1136">
        <f>E25+F25</f>
        <v>100.82222222222222</v>
      </c>
      <c r="E25" s="1140">
        <f>C25*1800000/1000000*80%*5</f>
        <v>93.6</v>
      </c>
      <c r="F25" s="1140">
        <f>C25*1/9*5</f>
        <v>7.2222222222222223</v>
      </c>
      <c r="G25" s="1424">
        <v>16</v>
      </c>
      <c r="H25" s="1136">
        <f>I25+J25</f>
        <v>126.91911111111111</v>
      </c>
      <c r="I25" s="1140">
        <f>G25*2340000/1000000*80%*4</f>
        <v>119.80799999999999</v>
      </c>
      <c r="J25" s="1140">
        <f>G25*1/9*4</f>
        <v>7.1111111111111107</v>
      </c>
      <c r="K25" s="1136">
        <f>D25+H25</f>
        <v>227.74133333333333</v>
      </c>
      <c r="L25" s="1136"/>
      <c r="M25" s="1140">
        <f t="shared" si="4"/>
        <v>227.74133333333333</v>
      </c>
      <c r="N25" s="1424">
        <v>16</v>
      </c>
      <c r="O25" s="1136">
        <f>P25+Q25</f>
        <v>158.64888888888888</v>
      </c>
      <c r="P25" s="1140">
        <f>N25*2340000/1000000*80%*5</f>
        <v>149.76</v>
      </c>
      <c r="Q25" s="1140">
        <f>N25*1/9*5</f>
        <v>8.8888888888888893</v>
      </c>
      <c r="R25" s="1424">
        <v>18</v>
      </c>
      <c r="S25" s="1136">
        <f>T25+U25</f>
        <v>142.78399999999999</v>
      </c>
      <c r="T25" s="1140">
        <f>R25*2340000/1000000*80%*4</f>
        <v>134.78399999999999</v>
      </c>
      <c r="U25" s="1140">
        <f>R25*1/9*4</f>
        <v>8</v>
      </c>
      <c r="V25" s="1140">
        <f t="shared" si="5"/>
        <v>301.4328888888889</v>
      </c>
      <c r="W25" s="1414"/>
      <c r="X25" s="1414"/>
      <c r="Y25" s="1191"/>
    </row>
    <row r="26" spans="1:25" s="1190" customFormat="1">
      <c r="A26" s="1426"/>
      <c r="B26" s="1427" t="s">
        <v>1146</v>
      </c>
      <c r="C26" s="1428">
        <v>9</v>
      </c>
      <c r="D26" s="1312">
        <f>E26+F26</f>
        <v>69.800000000000011</v>
      </c>
      <c r="E26" s="1429">
        <f>C26*1800000/1000000*80%*5</f>
        <v>64.800000000000011</v>
      </c>
      <c r="F26" s="1429">
        <f>C26*1/9*5</f>
        <v>5</v>
      </c>
      <c r="G26" s="1428">
        <v>9</v>
      </c>
      <c r="H26" s="1312">
        <f>I26+J26</f>
        <v>71.391999999999996</v>
      </c>
      <c r="I26" s="1429">
        <f>G26*2340000/1000000*80%*4</f>
        <v>67.391999999999996</v>
      </c>
      <c r="J26" s="1429">
        <f>G26*1/9*4</f>
        <v>4</v>
      </c>
      <c r="K26" s="1312">
        <f t="shared" si="3"/>
        <v>141.19200000000001</v>
      </c>
      <c r="L26" s="1312"/>
      <c r="M26" s="1429">
        <f t="shared" si="4"/>
        <v>141.19200000000001</v>
      </c>
      <c r="N26" s="1428">
        <v>9</v>
      </c>
      <c r="O26" s="1312">
        <f>P26+Q26</f>
        <v>89.24</v>
      </c>
      <c r="P26" s="1429">
        <f>N26*2340000/1000000*80%*5</f>
        <v>84.24</v>
      </c>
      <c r="Q26" s="1429">
        <f>N26*1/9*5</f>
        <v>5</v>
      </c>
      <c r="R26" s="1428">
        <v>9</v>
      </c>
      <c r="S26" s="1312">
        <f>T26+U26</f>
        <v>71.391999999999996</v>
      </c>
      <c r="T26" s="1429">
        <f>R26*2340000/1000000*80%*4</f>
        <v>67.391999999999996</v>
      </c>
      <c r="U26" s="1429">
        <f>R26*1/9*4</f>
        <v>4</v>
      </c>
      <c r="V26" s="1429">
        <f t="shared" si="5"/>
        <v>160.63200000000001</v>
      </c>
      <c r="W26" s="1414"/>
      <c r="X26" s="1414"/>
      <c r="Y26" s="1191"/>
    </row>
    <row r="28" spans="1:25">
      <c r="A28" s="1193" t="s">
        <v>1112</v>
      </c>
      <c r="B28" s="1192" t="s">
        <v>1196</v>
      </c>
      <c r="I28" s="6128"/>
      <c r="J28" s="6128"/>
      <c r="K28" s="6128"/>
      <c r="L28" s="6128"/>
      <c r="M28" s="6128"/>
      <c r="T28" s="6128"/>
      <c r="U28" s="6128"/>
      <c r="V28" s="6128"/>
      <c r="W28" s="6128"/>
      <c r="X28" s="6128"/>
    </row>
    <row r="29" spans="1:25">
      <c r="B29" s="1192" t="s">
        <v>1197</v>
      </c>
      <c r="I29" s="6121"/>
      <c r="J29" s="6121"/>
      <c r="K29" s="6121"/>
      <c r="L29" s="6121"/>
      <c r="M29" s="6121"/>
      <c r="T29" s="6121"/>
      <c r="U29" s="6121"/>
      <c r="V29" s="6121"/>
      <c r="W29" s="6121"/>
      <c r="X29" s="6121"/>
    </row>
    <row r="30" spans="1:25">
      <c r="A30" s="1193" t="s">
        <v>1115</v>
      </c>
      <c r="B30" s="1192" t="s">
        <v>1198</v>
      </c>
      <c r="I30" s="6121"/>
      <c r="J30" s="6121"/>
      <c r="K30" s="6121"/>
      <c r="L30" s="6121"/>
      <c r="M30" s="6121"/>
      <c r="T30" s="6121"/>
      <c r="U30" s="6121"/>
      <c r="V30" s="6121"/>
      <c r="W30" s="6121"/>
      <c r="X30" s="6121"/>
    </row>
    <row r="31" spans="1:25">
      <c r="I31" s="6127"/>
      <c r="J31" s="6127"/>
      <c r="K31" s="6127"/>
      <c r="L31" s="6127"/>
      <c r="M31" s="6127"/>
      <c r="T31" s="6127"/>
      <c r="U31" s="6127"/>
      <c r="V31" s="6127"/>
      <c r="W31" s="6127"/>
      <c r="X31" s="6127"/>
    </row>
  </sheetData>
  <mergeCells count="36">
    <mergeCell ref="L1:M1"/>
    <mergeCell ref="U1:V1"/>
    <mergeCell ref="W1:X1"/>
    <mergeCell ref="A3:X3"/>
    <mergeCell ref="C6:M6"/>
    <mergeCell ref="A4:V4"/>
    <mergeCell ref="N6:V6"/>
    <mergeCell ref="T28:X28"/>
    <mergeCell ref="I29:M29"/>
    <mergeCell ref="T29:X29"/>
    <mergeCell ref="M7:M9"/>
    <mergeCell ref="N7:Q7"/>
    <mergeCell ref="R7:U7"/>
    <mergeCell ref="V7:V9"/>
    <mergeCell ref="W7:W9"/>
    <mergeCell ref="X7:X9"/>
    <mergeCell ref="N8:N9"/>
    <mergeCell ref="O8:Q8"/>
    <mergeCell ref="R8:R9"/>
    <mergeCell ref="S8:U8"/>
    <mergeCell ref="I31:M31"/>
    <mergeCell ref="T31:X31"/>
    <mergeCell ref="T5:V5"/>
    <mergeCell ref="B6:B9"/>
    <mergeCell ref="A6:A9"/>
    <mergeCell ref="I30:M30"/>
    <mergeCell ref="T30:X30"/>
    <mergeCell ref="C7:F7"/>
    <mergeCell ref="G7:J7"/>
    <mergeCell ref="K7:K9"/>
    <mergeCell ref="L7:L9"/>
    <mergeCell ref="C8:C9"/>
    <mergeCell ref="D8:F8"/>
    <mergeCell ref="G8:G9"/>
    <mergeCell ref="H8:J8"/>
    <mergeCell ref="I28:M28"/>
  </mergeCells>
  <hyperlinks>
    <hyperlink ref="A6:A9" location="'Danh mục file'!A1" display="TT"/>
  </hyperlinks>
  <printOptions horizontalCentered="1"/>
  <pageMargins left="0" right="0" top="0.39370078740157483" bottom="0.39370078740157483" header="0" footer="0"/>
  <pageSetup paperSize="9" scale="60" orientation="landscape" r:id="rId1"/>
  <headerFooter>
    <oddHeader>&amp;R&amp;A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H67"/>
  <sheetViews>
    <sheetView topLeftCell="A4" workbookViewId="0">
      <selection activeCell="I24" sqref="I24"/>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74" t="s">
        <v>1658</v>
      </c>
      <c r="B1" s="6574"/>
      <c r="C1" s="6574"/>
    </row>
    <row r="2" spans="1:7" s="386" customFormat="1" ht="17.399999999999999" hidden="1">
      <c r="A2" s="6574" t="s">
        <v>1673</v>
      </c>
      <c r="B2" s="6574"/>
      <c r="C2" s="6574"/>
    </row>
    <row r="3" spans="1:7" s="386" customFormat="1" ht="17.399999999999999" hidden="1">
      <c r="C3" s="641"/>
    </row>
    <row r="4" spans="1:7">
      <c r="A4" s="6290" t="s">
        <v>3186</v>
      </c>
      <c r="B4" s="6080"/>
      <c r="C4" s="6080"/>
    </row>
    <row r="5" spans="1:7">
      <c r="A5" s="6258" t="s">
        <v>1725</v>
      </c>
      <c r="B5" s="6258"/>
      <c r="C5" s="6258"/>
    </row>
    <row r="6" spans="1:7">
      <c r="A6" s="317"/>
      <c r="B6" s="317"/>
      <c r="C6" s="317"/>
    </row>
    <row r="7" spans="1:7" ht="18.600000000000001" thickBot="1">
      <c r="A7" s="317"/>
      <c r="B7" s="6506" t="s">
        <v>638</v>
      </c>
      <c r="C7" s="6506"/>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4:C4"/>
    <mergeCell ref="A5:C5"/>
    <mergeCell ref="B7:C7"/>
    <mergeCell ref="A1:C1"/>
    <mergeCell ref="A2:C2"/>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J45"/>
  <sheetViews>
    <sheetView topLeftCell="A4" workbookViewId="0">
      <selection activeCell="A5" sqref="A5:C5"/>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596" t="s">
        <v>3190</v>
      </c>
      <c r="B4" s="6596"/>
      <c r="C4" s="6596"/>
    </row>
    <row r="5" spans="1:3" s="2663" customFormat="1">
      <c r="A5" s="6597" t="str">
        <f>+'Phụ lục 1-HĐND'!A5:C5</f>
        <v>(Kèm theo Nghị quyết số         /NQ-HĐND ngày     /12/2024 của Hội đồng nhân dân Tỉnh)</v>
      </c>
      <c r="B5" s="6597"/>
      <c r="C5" s="6597"/>
    </row>
    <row r="6" spans="1:3" s="2663" customFormat="1">
      <c r="A6" s="5256"/>
      <c r="B6" s="5256"/>
      <c r="C6" s="5256"/>
    </row>
    <row r="7" spans="1:3" s="2663" customFormat="1" thickBot="1">
      <c r="A7" s="5257"/>
      <c r="B7" s="6598" t="s">
        <v>638</v>
      </c>
      <c r="C7" s="6598"/>
    </row>
    <row r="8" spans="1:3" s="2668" customFormat="1" thickTop="1">
      <c r="A8" s="6599" t="s">
        <v>1660</v>
      </c>
      <c r="B8" s="6601" t="s">
        <v>201</v>
      </c>
      <c r="C8" s="6603" t="s">
        <v>1455</v>
      </c>
    </row>
    <row r="9" spans="1:3" s="2668" customFormat="1" ht="17.399999999999999">
      <c r="A9" s="6600"/>
      <c r="B9" s="6602"/>
      <c r="C9" s="6604"/>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J61"/>
  <sheetViews>
    <sheetView topLeftCell="A31" workbookViewId="0">
      <selection activeCell="D46" sqref="D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07" t="s">
        <v>1658</v>
      </c>
      <c r="C1" s="6507"/>
      <c r="D1" s="6507"/>
    </row>
    <row r="2" spans="1:8" s="386" customFormat="1" ht="17.399999999999999" hidden="1">
      <c r="B2" s="6507" t="s">
        <v>1659</v>
      </c>
      <c r="C2" s="6507"/>
      <c r="D2" s="6507"/>
    </row>
    <row r="3" spans="1:8" s="386" customFormat="1" ht="17.399999999999999" hidden="1">
      <c r="B3" s="641"/>
      <c r="C3" s="6281"/>
      <c r="D3" s="6281"/>
      <c r="E3" s="6281"/>
    </row>
    <row r="4" spans="1:8" s="386" customFormat="1" ht="17.399999999999999">
      <c r="A4" s="6290" t="s">
        <v>1416</v>
      </c>
      <c r="B4" s="6080"/>
      <c r="C4" s="6080"/>
      <c r="D4" s="6080"/>
      <c r="E4" s="6080"/>
    </row>
    <row r="5" spans="1:8" s="386" customFormat="1">
      <c r="A5" s="6508" t="str">
        <f>+'Phụ lục 2-HĐND'!A5:C5</f>
        <v>(Kèm theo Nghị quyết số         /NQ-HĐND ngày     /12/2024 của Hội đồng nhân dân Tỉnh)</v>
      </c>
      <c r="B5" s="6509"/>
      <c r="C5" s="6509"/>
      <c r="D5" s="6509"/>
      <c r="E5" s="6509"/>
    </row>
    <row r="6" spans="1:8" s="386" customFormat="1" ht="17.399999999999999">
      <c r="A6" s="2761"/>
      <c r="B6" s="319"/>
      <c r="C6" s="319"/>
      <c r="D6" s="319"/>
      <c r="E6" s="319"/>
    </row>
    <row r="7" spans="1:8" ht="18.600000000000001" thickBot="1">
      <c r="A7" s="47"/>
      <c r="B7" s="6506" t="s">
        <v>638</v>
      </c>
      <c r="C7" s="6506"/>
      <c r="D7" s="6506"/>
      <c r="E7" s="6506"/>
    </row>
    <row r="8" spans="1:8" s="386" customFormat="1" thickTop="1">
      <c r="A8" s="6501" t="s">
        <v>1660</v>
      </c>
      <c r="B8" s="6503" t="s">
        <v>137</v>
      </c>
      <c r="C8" s="6078" t="s">
        <v>1455</v>
      </c>
      <c r="D8" s="6078"/>
      <c r="E8" s="6079"/>
    </row>
    <row r="9" spans="1:8" s="386" customFormat="1" ht="17.399999999999999">
      <c r="A9" s="6502"/>
      <c r="B9" s="6292"/>
      <c r="C9" s="6292" t="s">
        <v>54</v>
      </c>
      <c r="D9" s="6504" t="s">
        <v>1710</v>
      </c>
      <c r="E9" s="6505"/>
    </row>
    <row r="10" spans="1:8" s="431" customFormat="1" ht="69.599999999999994">
      <c r="A10" s="6502"/>
      <c r="B10" s="6292"/>
      <c r="C10" s="6292"/>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00" t="str">
        <f>+'Phụ lục số 4'!B70</f>
        <v>- Trả nợ vay từ nguồn vốn Chính phủ vay về cho vay lại</v>
      </c>
      <c r="C55" s="6500"/>
      <c r="D55" s="5287">
        <f>+'Phụ lục số 4'!C70</f>
        <v>20800</v>
      </c>
      <c r="E55" s="5285" t="s">
        <v>3220</v>
      </c>
    </row>
    <row r="56" spans="1:5" s="873" customFormat="1">
      <c r="A56" s="1649"/>
      <c r="B56" s="6500" t="str">
        <f>+'Phụ lục số 4'!B71</f>
        <v>- Chương trình Cụm tuyến dân cư, tôn nền vượt lũ</v>
      </c>
      <c r="C56" s="6500"/>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55:C55"/>
    <mergeCell ref="B56:C5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72"/>
  <sheetViews>
    <sheetView topLeftCell="A35" workbookViewId="0">
      <selection activeCell="G64" sqref="G64"/>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74"/>
      <c r="B1" s="6574"/>
      <c r="C1" s="6574"/>
    </row>
    <row r="2" spans="1:4" hidden="1">
      <c r="A2" s="386"/>
      <c r="B2" s="386"/>
      <c r="C2" s="386"/>
    </row>
    <row r="3" spans="1:4">
      <c r="A3" s="6109" t="s">
        <v>3134</v>
      </c>
      <c r="B3" s="6045"/>
      <c r="C3" s="6045"/>
    </row>
    <row r="4" spans="1:4">
      <c r="A4" s="6512" t="str">
        <f>+'Phụ lục 3-HĐND'!A5:E5</f>
        <v>(Kèm theo Nghị quyết số         /NQ-HĐND ngày     /12/2024 của Hội đồng nhân dân Tỉnh)</v>
      </c>
      <c r="B4" s="6498"/>
      <c r="C4" s="6498"/>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tabColor rgb="FFFFFF0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AR25" sqref="AR25"/>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281" t="s">
        <v>756</v>
      </c>
      <c r="B1" s="6281"/>
      <c r="C1" s="6281"/>
      <c r="D1" s="6281"/>
      <c r="E1" s="6281"/>
      <c r="F1" s="6281"/>
      <c r="G1" s="6281"/>
      <c r="H1" s="6281"/>
      <c r="I1" s="6281"/>
      <c r="J1" s="6281"/>
      <c r="K1" s="6281"/>
      <c r="L1" s="6281"/>
      <c r="M1" s="6281"/>
      <c r="N1" s="6281"/>
      <c r="O1" s="6281"/>
      <c r="P1" s="6281"/>
      <c r="Q1" s="6281"/>
      <c r="R1" s="6281"/>
      <c r="S1" s="6281"/>
      <c r="T1" s="6281"/>
      <c r="U1" s="6281"/>
      <c r="V1" s="6281"/>
      <c r="W1" s="6281"/>
      <c r="X1" s="6281"/>
      <c r="Y1" s="6281"/>
      <c r="Z1" s="6281"/>
      <c r="AA1" s="6281"/>
      <c r="AB1" s="6281"/>
      <c r="AC1" s="6281"/>
      <c r="AD1" s="6281"/>
      <c r="AE1" s="6281"/>
      <c r="AF1" s="6281"/>
      <c r="AG1" s="6281"/>
      <c r="AH1" s="6281"/>
      <c r="AI1" s="6281"/>
      <c r="AJ1" s="6281"/>
      <c r="AK1" s="6281"/>
      <c r="AL1" s="6281"/>
      <c r="AM1" s="6281"/>
    </row>
    <row r="2" spans="1:41">
      <c r="A2" s="6325" t="str">
        <f>+'Phụ lục 4-HĐND'!A4:C4</f>
        <v>(Kèm theo Nghị quyết số         /NQ-HĐND ngày     /12/2024 của Hội đồng nhân dân Tỉnh)</v>
      </c>
      <c r="B2" s="6325"/>
      <c r="C2" s="6325"/>
      <c r="D2" s="6325"/>
      <c r="E2" s="6325"/>
      <c r="F2" s="6325"/>
      <c r="G2" s="6325"/>
      <c r="H2" s="6325"/>
      <c r="I2" s="6325"/>
      <c r="J2" s="6325"/>
      <c r="K2" s="6325"/>
      <c r="L2" s="6325"/>
      <c r="M2" s="6325"/>
      <c r="N2" s="6325"/>
      <c r="O2" s="6325"/>
      <c r="P2" s="6325"/>
      <c r="Q2" s="6325"/>
      <c r="R2" s="6325"/>
      <c r="S2" s="6325"/>
      <c r="T2" s="6325"/>
      <c r="U2" s="6325"/>
      <c r="V2" s="6325"/>
      <c r="W2" s="6325"/>
      <c r="X2" s="6325"/>
      <c r="Y2" s="6325"/>
      <c r="Z2" s="6325"/>
      <c r="AA2" s="6325"/>
      <c r="AB2" s="6325"/>
      <c r="AC2" s="6325"/>
      <c r="AD2" s="6325"/>
      <c r="AE2" s="6325"/>
      <c r="AF2" s="6325"/>
      <c r="AG2" s="6325"/>
      <c r="AH2" s="6325"/>
      <c r="AI2" s="6325"/>
      <c r="AJ2" s="6325"/>
      <c r="AK2" s="6325"/>
      <c r="AL2" s="6325"/>
      <c r="AM2" s="6325"/>
    </row>
    <row r="3" spans="1:41">
      <c r="P3" s="667">
        <f>+P10-'Phụ lục số 5'!P10</f>
        <v>0</v>
      </c>
      <c r="AB3" s="426"/>
    </row>
    <row r="4" spans="1:41" ht="18.600000000000001" thickBot="1">
      <c r="C4" s="426">
        <f>+C10-'Phụ lục số 5'!C10</f>
        <v>0</v>
      </c>
      <c r="Y4" s="667"/>
      <c r="AH4" s="6516" t="s">
        <v>638</v>
      </c>
      <c r="AI4" s="6516"/>
      <c r="AJ4" s="6516"/>
      <c r="AK4" s="681"/>
    </row>
    <row r="5" spans="1:41" s="386" customFormat="1" ht="18.75" customHeight="1" thickTop="1">
      <c r="A5" s="6517" t="s">
        <v>136</v>
      </c>
      <c r="B5" s="6519" t="s">
        <v>639</v>
      </c>
      <c r="C5" s="6520" t="s">
        <v>121</v>
      </c>
      <c r="D5" s="6520"/>
      <c r="E5" s="6520"/>
      <c r="F5" s="6520"/>
      <c r="G5" s="6520"/>
      <c r="H5" s="6520"/>
      <c r="I5" s="6520"/>
      <c r="J5" s="6520"/>
      <c r="K5" s="6520"/>
      <c r="L5" s="6520"/>
      <c r="M5" s="6520"/>
      <c r="N5" s="6520"/>
      <c r="O5" s="6520"/>
      <c r="P5" s="6520"/>
      <c r="Q5" s="6520"/>
      <c r="R5" s="6520"/>
      <c r="S5" s="6520"/>
      <c r="T5" s="6520"/>
      <c r="U5" s="6520"/>
      <c r="V5" s="6520"/>
      <c r="W5" s="6520"/>
      <c r="X5" s="6520"/>
      <c r="Y5" s="6520"/>
      <c r="Z5" s="6520"/>
      <c r="AA5" s="6520"/>
      <c r="AB5" s="6520"/>
      <c r="AC5" s="6520"/>
      <c r="AD5" s="6520"/>
      <c r="AE5" s="6520"/>
      <c r="AF5" s="6520"/>
      <c r="AG5" s="6520"/>
      <c r="AH5" s="6520"/>
      <c r="AI5" s="6520"/>
      <c r="AJ5" s="6520"/>
      <c r="AK5" s="5010"/>
      <c r="AL5" s="6519" t="s">
        <v>640</v>
      </c>
      <c r="AM5" s="6521" t="s">
        <v>3230</v>
      </c>
      <c r="AN5" s="6523" t="s">
        <v>3174</v>
      </c>
    </row>
    <row r="6" spans="1:41" s="386" customFormat="1" ht="17.399999999999999">
      <c r="A6" s="6518"/>
      <c r="B6" s="6044"/>
      <c r="C6" s="6044" t="s">
        <v>641</v>
      </c>
      <c r="D6" s="6044" t="s">
        <v>642</v>
      </c>
      <c r="E6" s="6044"/>
      <c r="F6" s="6044"/>
      <c r="G6" s="6044"/>
      <c r="H6" s="6044"/>
      <c r="I6" s="6044"/>
      <c r="J6" s="6044"/>
      <c r="K6" s="6044"/>
      <c r="L6" s="6044"/>
      <c r="M6" s="6044"/>
      <c r="N6" s="6044"/>
      <c r="O6" s="6044"/>
      <c r="P6" s="6464" t="s">
        <v>643</v>
      </c>
      <c r="Q6" s="6464"/>
      <c r="R6" s="6464"/>
      <c r="S6" s="6464"/>
      <c r="T6" s="6464"/>
      <c r="U6" s="6464"/>
      <c r="V6" s="6464"/>
      <c r="W6" s="6464"/>
      <c r="X6" s="6464"/>
      <c r="Y6" s="6464"/>
      <c r="Z6" s="6464"/>
      <c r="AA6" s="6464"/>
      <c r="AB6" s="6464"/>
      <c r="AC6" s="6464"/>
      <c r="AD6" s="6044" t="s">
        <v>755</v>
      </c>
      <c r="AE6" s="6044" t="s">
        <v>174</v>
      </c>
      <c r="AF6" s="6044" t="s">
        <v>175</v>
      </c>
      <c r="AG6" s="6513" t="s">
        <v>176</v>
      </c>
      <c r="AH6" s="6044" t="s">
        <v>644</v>
      </c>
      <c r="AI6" s="6369" t="s">
        <v>645</v>
      </c>
      <c r="AJ6" s="6369"/>
      <c r="AK6" s="6044" t="s">
        <v>766</v>
      </c>
      <c r="AL6" s="6044"/>
      <c r="AM6" s="6511"/>
      <c r="AN6" s="6524"/>
    </row>
    <row r="7" spans="1:41" s="386" customFormat="1" ht="17.399999999999999">
      <c r="A7" s="6518"/>
      <c r="B7" s="6044"/>
      <c r="C7" s="6044"/>
      <c r="D7" s="6044" t="s">
        <v>646</v>
      </c>
      <c r="E7" s="6044" t="s">
        <v>645</v>
      </c>
      <c r="F7" s="6044"/>
      <c r="G7" s="6044"/>
      <c r="H7" s="6044"/>
      <c r="I7" s="6044"/>
      <c r="J7" s="6044"/>
      <c r="K7" s="6044"/>
      <c r="L7" s="6044"/>
      <c r="M7" s="6044"/>
      <c r="N7" s="6044"/>
      <c r="O7" s="6044"/>
      <c r="P7" s="6044" t="s">
        <v>647</v>
      </c>
      <c r="Q7" s="6464" t="s">
        <v>645</v>
      </c>
      <c r="R7" s="6464"/>
      <c r="S7" s="6464"/>
      <c r="T7" s="6464"/>
      <c r="U7" s="6464"/>
      <c r="V7" s="6464"/>
      <c r="W7" s="6464"/>
      <c r="X7" s="6464"/>
      <c r="Y7" s="6464"/>
      <c r="Z7" s="6464"/>
      <c r="AA7" s="6464"/>
      <c r="AB7" s="6464"/>
      <c r="AC7" s="6464"/>
      <c r="AD7" s="6044"/>
      <c r="AE7" s="6044"/>
      <c r="AF7" s="6044"/>
      <c r="AG7" s="6513"/>
      <c r="AH7" s="6044"/>
      <c r="AI7" s="6369"/>
      <c r="AJ7" s="6369"/>
      <c r="AK7" s="6044"/>
      <c r="AL7" s="6044"/>
      <c r="AM7" s="6511"/>
      <c r="AN7" s="6524"/>
    </row>
    <row r="8" spans="1:41" s="386" customFormat="1" ht="18.75" hidden="1" customHeight="1">
      <c r="A8" s="6518"/>
      <c r="B8" s="6044"/>
      <c r="C8" s="6044"/>
      <c r="D8" s="6044"/>
      <c r="E8" s="6323" t="str">
        <f>'[2]Phụ lục số 2'!B10</f>
        <v>Chi đầu tư xây dựng cơ bản</v>
      </c>
      <c r="F8" s="6323" t="str">
        <f>'[2]Phụ lục số 2'!B11</f>
        <v>Chi đầu tư từ nguồn thu tiền sử dụng đất</v>
      </c>
      <c r="G8" s="6514"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23" t="str">
        <f>'[2]Phụ lục số 2'!B12</f>
        <v>Chi đầu tư từ nguồn thu xổ số kiến thiết</v>
      </c>
      <c r="I8" s="6514" t="str">
        <f>+'Phụ lục số 5'!I8:I9</f>
        <v>Trong đó: Ủy thác qua Ngân hàng Chính sách xã hội chi nhánh tỉnh Đồng Tháp (từ nguồn thu sổ số kiến thiết năm 2025)</v>
      </c>
      <c r="J8" s="6323" t="str">
        <f>+'Phụ lục số 5'!J8:J9</f>
        <v>Chi đầu tư từ nguồn thu thoái vốn doanh nghiệp nhà nước địa phương quản lý;…</v>
      </c>
      <c r="K8" s="6323" t="str">
        <f>+'Phụ lục số 5'!K8:K9</f>
        <v xml:space="preserve">Chi đầu tư phát triển khác </v>
      </c>
      <c r="L8" s="430"/>
      <c r="M8" s="430"/>
      <c r="N8" s="430"/>
      <c r="O8" s="430"/>
      <c r="P8" s="6044"/>
      <c r="Q8" s="2239"/>
      <c r="R8" s="2239"/>
      <c r="S8" s="2239"/>
      <c r="T8" s="2239"/>
      <c r="U8" s="2239"/>
      <c r="V8" s="2239"/>
      <c r="W8" s="2239"/>
      <c r="X8" s="2239"/>
      <c r="Y8" s="2239"/>
      <c r="Z8" s="2239"/>
      <c r="AA8" s="2239"/>
      <c r="AB8" s="2239"/>
      <c r="AC8" s="2239"/>
      <c r="AD8" s="6044"/>
      <c r="AE8" s="6044"/>
      <c r="AF8" s="6044"/>
      <c r="AG8" s="6513"/>
      <c r="AH8" s="6044"/>
      <c r="AI8" s="2238"/>
      <c r="AJ8" s="2238"/>
      <c r="AK8" s="6044"/>
      <c r="AL8" s="6044"/>
      <c r="AM8" s="6511"/>
      <c r="AN8" s="6524"/>
    </row>
    <row r="9" spans="1:41" s="431" customFormat="1" ht="211.5" customHeight="1">
      <c r="A9" s="6518"/>
      <c r="B9" s="6044"/>
      <c r="C9" s="6044"/>
      <c r="D9" s="6044"/>
      <c r="E9" s="6334"/>
      <c r="F9" s="6334"/>
      <c r="G9" s="6515"/>
      <c r="H9" s="6334"/>
      <c r="I9" s="6515"/>
      <c r="J9" s="6334"/>
      <c r="K9" s="6334"/>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44"/>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44"/>
      <c r="AE9" s="6044"/>
      <c r="AF9" s="6044"/>
      <c r="AG9" s="6513"/>
      <c r="AH9" s="6044"/>
      <c r="AI9" s="430" t="s">
        <v>649</v>
      </c>
      <c r="AJ9" s="430" t="s">
        <v>650</v>
      </c>
      <c r="AK9" s="6044"/>
      <c r="AL9" s="6044"/>
      <c r="AM9" s="6339"/>
      <c r="AN9" s="6524"/>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L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ref="AM11:AN11" si="5">AM12+AM44+AM59+AM63+AM80</f>
        <v>0</v>
      </c>
      <c r="AN11" s="5958">
        <f t="shared" si="5"/>
        <v>0</v>
      </c>
    </row>
    <row r="12" spans="1:41" s="382" customFormat="1">
      <c r="A12" s="606" t="s">
        <v>3</v>
      </c>
      <c r="B12" s="607" t="s">
        <v>653</v>
      </c>
      <c r="C12" s="5954">
        <f>SUM(C13:C43)</f>
        <v>2982510.3296019998</v>
      </c>
      <c r="D12" s="5954">
        <f t="shared" ref="D12:K12" si="6">SUM(D13:D43)</f>
        <v>0</v>
      </c>
      <c r="E12" s="5954">
        <f t="shared" si="6"/>
        <v>0</v>
      </c>
      <c r="F12" s="5954">
        <f t="shared" si="6"/>
        <v>0</v>
      </c>
      <c r="G12" s="5959"/>
      <c r="H12" s="5954">
        <f t="shared" si="6"/>
        <v>0</v>
      </c>
      <c r="I12" s="5959"/>
      <c r="J12" s="5954"/>
      <c r="K12" s="5954">
        <f t="shared" si="6"/>
        <v>0</v>
      </c>
      <c r="L12" s="5954"/>
      <c r="M12" s="5954"/>
      <c r="N12" s="5954"/>
      <c r="O12" s="5954"/>
      <c r="P12" s="5957">
        <f>SUM(P13:P43)</f>
        <v>2857433.3296019998</v>
      </c>
      <c r="Q12" s="5957">
        <f>SUM(Q13:Q43)</f>
        <v>1080741.6000000001</v>
      </c>
      <c r="R12" s="5957">
        <f t="shared" ref="R12:V12" si="7">SUM(R13:R43)</f>
        <v>29624</v>
      </c>
      <c r="S12" s="5957">
        <f t="shared" si="7"/>
        <v>0</v>
      </c>
      <c r="T12" s="5957">
        <f t="shared" si="7"/>
        <v>0</v>
      </c>
      <c r="U12" s="5957">
        <f>SUM(U13:U43)</f>
        <v>624975.74300000002</v>
      </c>
      <c r="V12" s="5957">
        <f t="shared" si="7"/>
        <v>55631</v>
      </c>
      <c r="W12" s="5957">
        <f>SUM(W13:W43)</f>
        <v>22029</v>
      </c>
      <c r="X12" s="5957">
        <f t="shared" ref="X12:AL12" si="8">SUM(X13:X43)</f>
        <v>23615</v>
      </c>
      <c r="Y12" s="5957">
        <f t="shared" si="8"/>
        <v>79089</v>
      </c>
      <c r="Z12" s="5957">
        <f t="shared" si="8"/>
        <v>237940</v>
      </c>
      <c r="AA12" s="5957">
        <f t="shared" si="8"/>
        <v>635714.98660199996</v>
      </c>
      <c r="AB12" s="5957">
        <f>SUM(AB13:AB43)</f>
        <v>68073</v>
      </c>
      <c r="AC12" s="5954">
        <f t="shared" si="8"/>
        <v>0</v>
      </c>
      <c r="AD12" s="5954">
        <f t="shared" si="8"/>
        <v>0</v>
      </c>
      <c r="AE12" s="5954">
        <f t="shared" si="8"/>
        <v>0</v>
      </c>
      <c r="AF12" s="5954">
        <f t="shared" si="8"/>
        <v>0</v>
      </c>
      <c r="AG12" s="5954">
        <f t="shared" si="8"/>
        <v>0</v>
      </c>
      <c r="AH12" s="5954">
        <f t="shared" si="8"/>
        <v>125077</v>
      </c>
      <c r="AI12" s="5954">
        <f t="shared" si="8"/>
        <v>0</v>
      </c>
      <c r="AJ12" s="5954">
        <f t="shared" si="8"/>
        <v>125077</v>
      </c>
      <c r="AK12" s="5954">
        <f t="shared" si="8"/>
        <v>0</v>
      </c>
      <c r="AL12" s="5954">
        <f t="shared" si="8"/>
        <v>0</v>
      </c>
      <c r="AM12" s="5954">
        <f t="shared" ref="AM12:AN12" si="9">SUM(AM13:AM43)</f>
        <v>0</v>
      </c>
      <c r="AN12" s="5958">
        <f t="shared" si="9"/>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10">D14+P14+AD14+AE14+AH14+AL14+AF14+AG14+AK14+AN14</f>
        <v>16569</v>
      </c>
      <c r="D14" s="5120">
        <f t="shared" ref="D14:D43" si="11">SUM(E14:O14)</f>
        <v>0</v>
      </c>
      <c r="E14" s="5120"/>
      <c r="F14" s="5120"/>
      <c r="G14" s="5960"/>
      <c r="H14" s="5120"/>
      <c r="I14" s="5960"/>
      <c r="J14" s="5120"/>
      <c r="K14" s="5120"/>
      <c r="L14" s="5120"/>
      <c r="M14" s="5120"/>
      <c r="N14" s="5120"/>
      <c r="O14" s="5120"/>
      <c r="P14" s="5961">
        <f t="shared" ref="P14:P42" si="12">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3">SUM(AI14:AJ14)</f>
        <v>0</v>
      </c>
      <c r="AI14" s="4775">
        <f>+'Phụ lục số 5'!AI14</f>
        <v>0</v>
      </c>
      <c r="AJ14" s="4775">
        <f>+'Phụ lục số 5'!AJ14</f>
        <v>0</v>
      </c>
      <c r="AK14" s="5962"/>
      <c r="AL14" s="328"/>
      <c r="AM14" s="328"/>
      <c r="AN14" s="1656"/>
    </row>
    <row r="15" spans="1:41" s="596" customFormat="1">
      <c r="A15" s="603">
        <v>3</v>
      </c>
      <c r="B15" s="604" t="s">
        <v>656</v>
      </c>
      <c r="C15" s="5120">
        <f t="shared" si="10"/>
        <v>33575</v>
      </c>
      <c r="D15" s="5120">
        <f t="shared" si="11"/>
        <v>0</v>
      </c>
      <c r="E15" s="5120"/>
      <c r="F15" s="5120"/>
      <c r="G15" s="5960"/>
      <c r="H15" s="5120"/>
      <c r="I15" s="5960"/>
      <c r="J15" s="5120"/>
      <c r="K15" s="5120"/>
      <c r="L15" s="5120"/>
      <c r="M15" s="5120"/>
      <c r="N15" s="5120"/>
      <c r="O15" s="5120"/>
      <c r="P15" s="5961">
        <f t="shared" si="12"/>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3"/>
        <v>0</v>
      </c>
      <c r="AI15" s="4775">
        <f>+'Phụ lục số 5'!AI15</f>
        <v>0</v>
      </c>
      <c r="AJ15" s="4775">
        <f>+'Phụ lục số 5'!AJ15</f>
        <v>0</v>
      </c>
      <c r="AK15" s="5962"/>
      <c r="AL15" s="328"/>
      <c r="AM15" s="328"/>
      <c r="AN15" s="1656"/>
    </row>
    <row r="16" spans="1:41" s="596" customFormat="1">
      <c r="A16" s="603">
        <v>4</v>
      </c>
      <c r="B16" s="604" t="s">
        <v>657</v>
      </c>
      <c r="C16" s="5120">
        <f t="shared" si="10"/>
        <v>144887</v>
      </c>
      <c r="D16" s="5120">
        <f t="shared" si="11"/>
        <v>0</v>
      </c>
      <c r="E16" s="5120"/>
      <c r="F16" s="5120"/>
      <c r="G16" s="5960"/>
      <c r="H16" s="5120"/>
      <c r="I16" s="5960"/>
      <c r="J16" s="5120"/>
      <c r="K16" s="5120"/>
      <c r="L16" s="5120"/>
      <c r="M16" s="5120"/>
      <c r="N16" s="5120"/>
      <c r="O16" s="5120"/>
      <c r="P16" s="5961">
        <f t="shared" si="12"/>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3"/>
        <v>39225</v>
      </c>
      <c r="AI16" s="4775">
        <f>+'Phụ lục số 5'!AI16</f>
        <v>0</v>
      </c>
      <c r="AJ16" s="4775">
        <f>+'Phụ lục số 5'!AJ16</f>
        <v>39225</v>
      </c>
      <c r="AK16" s="5962"/>
      <c r="AL16" s="328"/>
      <c r="AM16" s="328"/>
      <c r="AN16" s="1656"/>
      <c r="AO16" s="597"/>
    </row>
    <row r="17" spans="1:40" s="596" customFormat="1">
      <c r="A17" s="603">
        <v>5</v>
      </c>
      <c r="B17" s="604" t="s">
        <v>658</v>
      </c>
      <c r="C17" s="5120">
        <f t="shared" si="10"/>
        <v>16569</v>
      </c>
      <c r="D17" s="5120">
        <f t="shared" si="11"/>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3"/>
        <v>610</v>
      </c>
      <c r="AI17" s="4775">
        <f>+'Phụ lục số 5'!AI17</f>
        <v>0</v>
      </c>
      <c r="AJ17" s="4775">
        <f>+'Phụ lục số 5'!AJ17</f>
        <v>610</v>
      </c>
      <c r="AK17" s="5962"/>
      <c r="AL17" s="328"/>
      <c r="AM17" s="328"/>
      <c r="AN17" s="1656"/>
    </row>
    <row r="18" spans="1:40" s="596" customFormat="1">
      <c r="A18" s="603">
        <v>6</v>
      </c>
      <c r="B18" s="604" t="s">
        <v>659</v>
      </c>
      <c r="C18" s="5120">
        <f t="shared" si="10"/>
        <v>22686</v>
      </c>
      <c r="D18" s="5120">
        <f t="shared" si="11"/>
        <v>0</v>
      </c>
      <c r="E18" s="5120"/>
      <c r="F18" s="5120"/>
      <c r="G18" s="5960"/>
      <c r="H18" s="5120"/>
      <c r="I18" s="5960"/>
      <c r="J18" s="5120"/>
      <c r="K18" s="5120"/>
      <c r="L18" s="5120"/>
      <c r="M18" s="5120"/>
      <c r="N18" s="5120"/>
      <c r="O18" s="5120"/>
      <c r="P18" s="5961">
        <f t="shared" si="12"/>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3"/>
        <v>0</v>
      </c>
      <c r="AI18" s="4775">
        <f>+'Phụ lục số 5'!AI18</f>
        <v>0</v>
      </c>
      <c r="AJ18" s="4775">
        <f>+'Phụ lục số 5'!AJ18</f>
        <v>0</v>
      </c>
      <c r="AK18" s="5962"/>
      <c r="AL18" s="328"/>
      <c r="AM18" s="328"/>
      <c r="AN18" s="1656"/>
    </row>
    <row r="19" spans="1:40" s="596" customFormat="1">
      <c r="A19" s="603">
        <v>7</v>
      </c>
      <c r="B19" s="604" t="s">
        <v>660</v>
      </c>
      <c r="C19" s="5120">
        <f t="shared" si="10"/>
        <v>56355</v>
      </c>
      <c r="D19" s="5120">
        <f t="shared" si="11"/>
        <v>0</v>
      </c>
      <c r="E19" s="5120"/>
      <c r="F19" s="5120"/>
      <c r="G19" s="5960"/>
      <c r="H19" s="5120"/>
      <c r="I19" s="5960"/>
      <c r="J19" s="5120"/>
      <c r="K19" s="5120"/>
      <c r="L19" s="5120"/>
      <c r="M19" s="5120"/>
      <c r="N19" s="5120"/>
      <c r="O19" s="5120"/>
      <c r="P19" s="5961">
        <f t="shared" si="12"/>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3"/>
        <v>0</v>
      </c>
      <c r="AI19" s="4775">
        <f>+'Phụ lục số 5'!AI19</f>
        <v>0</v>
      </c>
      <c r="AJ19" s="4775">
        <f>+'Phụ lục số 5'!AJ19</f>
        <v>0</v>
      </c>
      <c r="AK19" s="5962"/>
      <c r="AL19" s="328"/>
      <c r="AM19" s="328"/>
      <c r="AN19" s="1656"/>
    </row>
    <row r="20" spans="1:40" s="596" customFormat="1">
      <c r="A20" s="603">
        <v>8</v>
      </c>
      <c r="B20" s="604" t="s">
        <v>661</v>
      </c>
      <c r="C20" s="5120">
        <f t="shared" si="10"/>
        <v>10971</v>
      </c>
      <c r="D20" s="5120">
        <f t="shared" si="11"/>
        <v>0</v>
      </c>
      <c r="E20" s="5120"/>
      <c r="F20" s="5120"/>
      <c r="G20" s="5960"/>
      <c r="H20" s="5120"/>
      <c r="I20" s="5960"/>
      <c r="J20" s="5120"/>
      <c r="K20" s="5120"/>
      <c r="L20" s="5120"/>
      <c r="M20" s="5120"/>
      <c r="N20" s="5120"/>
      <c r="O20" s="5120"/>
      <c r="P20" s="5961">
        <f t="shared" si="12"/>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3"/>
        <v>0</v>
      </c>
      <c r="AI20" s="4775">
        <f>+'Phụ lục số 5'!AI20</f>
        <v>0</v>
      </c>
      <c r="AJ20" s="4775">
        <f>+'Phụ lục số 5'!AJ20</f>
        <v>0</v>
      </c>
      <c r="AK20" s="5962"/>
      <c r="AL20" s="328"/>
      <c r="AM20" s="328"/>
      <c r="AN20" s="1656"/>
    </row>
    <row r="21" spans="1:40" s="596" customFormat="1">
      <c r="A21" s="603">
        <v>9</v>
      </c>
      <c r="B21" s="604" t="s">
        <v>662</v>
      </c>
      <c r="C21" s="5120">
        <f t="shared" si="10"/>
        <v>19880</v>
      </c>
      <c r="D21" s="5120">
        <f t="shared" si="11"/>
        <v>0</v>
      </c>
      <c r="E21" s="5120"/>
      <c r="F21" s="5120"/>
      <c r="G21" s="5960"/>
      <c r="H21" s="5120"/>
      <c r="I21" s="5960"/>
      <c r="J21" s="5120"/>
      <c r="K21" s="5120"/>
      <c r="L21" s="5120"/>
      <c r="M21" s="5120"/>
      <c r="N21" s="5120"/>
      <c r="O21" s="5120"/>
      <c r="P21" s="5961">
        <f t="shared" si="12"/>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3"/>
        <v>0</v>
      </c>
      <c r="AI21" s="4775">
        <f>+'Phụ lục số 5'!AI21</f>
        <v>0</v>
      </c>
      <c r="AJ21" s="4775">
        <f>+'Phụ lục số 5'!AJ21</f>
        <v>0</v>
      </c>
      <c r="AK21" s="5962"/>
      <c r="AL21" s="328"/>
      <c r="AM21" s="328"/>
      <c r="AN21" s="1656"/>
    </row>
    <row r="22" spans="1:40" s="596" customFormat="1">
      <c r="A22" s="603">
        <v>10</v>
      </c>
      <c r="B22" s="604" t="s">
        <v>663</v>
      </c>
      <c r="C22" s="5120">
        <f t="shared" si="10"/>
        <v>637637</v>
      </c>
      <c r="D22" s="5120">
        <f t="shared" si="11"/>
        <v>0</v>
      </c>
      <c r="E22" s="5120"/>
      <c r="F22" s="5120"/>
      <c r="G22" s="5960"/>
      <c r="H22" s="5120"/>
      <c r="I22" s="5960"/>
      <c r="J22" s="5120"/>
      <c r="K22" s="5120"/>
      <c r="L22" s="5120"/>
      <c r="M22" s="5120"/>
      <c r="N22" s="5120"/>
      <c r="O22" s="5120"/>
      <c r="P22" s="5961">
        <f t="shared" si="12"/>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3"/>
        <v>0</v>
      </c>
      <c r="AI22" s="4775">
        <f>+'Phụ lục số 5'!AI22</f>
        <v>0</v>
      </c>
      <c r="AJ22" s="4775">
        <f>+'Phụ lục số 5'!AJ22</f>
        <v>0</v>
      </c>
      <c r="AK22" s="5962"/>
      <c r="AL22" s="328"/>
      <c r="AM22" s="328"/>
      <c r="AN22" s="1656"/>
    </row>
    <row r="23" spans="1:40" s="596" customFormat="1">
      <c r="A23" s="603">
        <v>11</v>
      </c>
      <c r="B23" s="604" t="s">
        <v>664</v>
      </c>
      <c r="C23" s="5120">
        <f t="shared" si="10"/>
        <v>22627</v>
      </c>
      <c r="D23" s="5120">
        <f t="shared" si="11"/>
        <v>0</v>
      </c>
      <c r="E23" s="5120"/>
      <c r="F23" s="5120"/>
      <c r="G23" s="5960"/>
      <c r="H23" s="5120"/>
      <c r="I23" s="5960"/>
      <c r="J23" s="5120"/>
      <c r="K23" s="5120"/>
      <c r="L23" s="5120"/>
      <c r="M23" s="5120"/>
      <c r="N23" s="5120"/>
      <c r="O23" s="5120"/>
      <c r="P23" s="5961">
        <f t="shared" si="12"/>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3"/>
        <v>450</v>
      </c>
      <c r="AI23" s="4775">
        <f>+'Phụ lục số 5'!AI23</f>
        <v>0</v>
      </c>
      <c r="AJ23" s="4775">
        <f>+'Phụ lục số 5'!AJ23</f>
        <v>450</v>
      </c>
      <c r="AK23" s="5962"/>
      <c r="AL23" s="328"/>
      <c r="AM23" s="328"/>
      <c r="AN23" s="1656"/>
    </row>
    <row r="24" spans="1:40" s="596" customFormat="1">
      <c r="A24" s="603">
        <v>12</v>
      </c>
      <c r="B24" s="604" t="s">
        <v>665</v>
      </c>
      <c r="C24" s="5120">
        <f t="shared" si="10"/>
        <v>18435</v>
      </c>
      <c r="D24" s="5120">
        <f t="shared" si="11"/>
        <v>0</v>
      </c>
      <c r="E24" s="5120"/>
      <c r="F24" s="5120"/>
      <c r="G24" s="5960"/>
      <c r="H24" s="5120"/>
      <c r="I24" s="5960"/>
      <c r="J24" s="5120"/>
      <c r="K24" s="5120"/>
      <c r="L24" s="5120"/>
      <c r="M24" s="5120"/>
      <c r="N24" s="5120"/>
      <c r="O24" s="5120"/>
      <c r="P24" s="5961">
        <f t="shared" si="12"/>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3"/>
        <v>0</v>
      </c>
      <c r="AI24" s="4775">
        <f>+'Phụ lục số 5'!AI24</f>
        <v>0</v>
      </c>
      <c r="AJ24" s="4775">
        <f>+'Phụ lục số 5'!AJ24</f>
        <v>0</v>
      </c>
      <c r="AK24" s="5962"/>
      <c r="AL24" s="328"/>
      <c r="AM24" s="328"/>
      <c r="AN24" s="1656"/>
    </row>
    <row r="25" spans="1:40" s="596" customFormat="1">
      <c r="A25" s="603">
        <v>13</v>
      </c>
      <c r="B25" s="604" t="s">
        <v>666</v>
      </c>
      <c r="C25" s="5120">
        <f t="shared" si="10"/>
        <v>37082</v>
      </c>
      <c r="D25" s="5120">
        <f t="shared" si="11"/>
        <v>0</v>
      </c>
      <c r="E25" s="5120"/>
      <c r="F25" s="5120"/>
      <c r="G25" s="5960"/>
      <c r="H25" s="5120"/>
      <c r="I25" s="5960"/>
      <c r="J25" s="5120"/>
      <c r="K25" s="5120"/>
      <c r="L25" s="5120"/>
      <c r="M25" s="5120"/>
      <c r="N25" s="5120"/>
      <c r="O25" s="5120"/>
      <c r="P25" s="5961">
        <f t="shared" si="12"/>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3"/>
        <v>500</v>
      </c>
      <c r="AI25" s="4775">
        <f>+'Phụ lục số 5'!AI25</f>
        <v>0</v>
      </c>
      <c r="AJ25" s="4775">
        <f>+'Phụ lục số 5'!AJ25</f>
        <v>500</v>
      </c>
      <c r="AK25" s="5962"/>
      <c r="AL25" s="328"/>
      <c r="AM25" s="328"/>
      <c r="AN25" s="1656"/>
    </row>
    <row r="26" spans="1:40" s="596" customFormat="1">
      <c r="A26" s="603">
        <v>14</v>
      </c>
      <c r="B26" s="604" t="s">
        <v>667</v>
      </c>
      <c r="C26" s="5120">
        <f t="shared" si="10"/>
        <v>834331</v>
      </c>
      <c r="D26" s="5120">
        <f t="shared" si="11"/>
        <v>0</v>
      </c>
      <c r="E26" s="5120"/>
      <c r="F26" s="5120"/>
      <c r="G26" s="5960"/>
      <c r="H26" s="5120"/>
      <c r="I26" s="5960"/>
      <c r="J26" s="5120"/>
      <c r="K26" s="5120"/>
      <c r="L26" s="5120"/>
      <c r="M26" s="5120"/>
      <c r="N26" s="5120"/>
      <c r="O26" s="5120"/>
      <c r="P26" s="5961">
        <f t="shared" si="12"/>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3"/>
        <v>0</v>
      </c>
      <c r="AI26" s="4775">
        <f>+'Phụ lục số 5'!AI26</f>
        <v>0</v>
      </c>
      <c r="AJ26" s="4775">
        <f>+'Phụ lục số 5'!AJ26</f>
        <v>0</v>
      </c>
      <c r="AK26" s="5962"/>
      <c r="AL26" s="328"/>
      <c r="AM26" s="328"/>
      <c r="AN26" s="1656"/>
    </row>
    <row r="27" spans="1:40" s="596" customFormat="1">
      <c r="A27" s="603">
        <v>15</v>
      </c>
      <c r="B27" s="604" t="s">
        <v>668</v>
      </c>
      <c r="C27" s="5120">
        <f t="shared" si="10"/>
        <v>50582</v>
      </c>
      <c r="D27" s="5120">
        <f t="shared" si="11"/>
        <v>0</v>
      </c>
      <c r="E27" s="5120"/>
      <c r="F27" s="5120"/>
      <c r="G27" s="5960"/>
      <c r="H27" s="5120"/>
      <c r="I27" s="5960"/>
      <c r="J27" s="5120"/>
      <c r="K27" s="5120"/>
      <c r="L27" s="5120"/>
      <c r="M27" s="5120"/>
      <c r="N27" s="5120"/>
      <c r="O27" s="5120"/>
      <c r="P27" s="4775">
        <f t="shared" si="12"/>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3"/>
        <v>0</v>
      </c>
      <c r="AI27" s="4775">
        <f>+'Phụ lục số 5'!AI27</f>
        <v>0</v>
      </c>
      <c r="AJ27" s="4775">
        <f>+'Phụ lục số 5'!AJ27</f>
        <v>0</v>
      </c>
      <c r="AK27" s="5962"/>
      <c r="AL27" s="328"/>
      <c r="AM27" s="328"/>
      <c r="AN27" s="1656"/>
    </row>
    <row r="28" spans="1:40" s="596" customFormat="1">
      <c r="A28" s="603">
        <v>16</v>
      </c>
      <c r="B28" s="604" t="s">
        <v>669</v>
      </c>
      <c r="C28" s="5120">
        <f t="shared" si="10"/>
        <v>159789</v>
      </c>
      <c r="D28" s="5120">
        <f t="shared" si="11"/>
        <v>0</v>
      </c>
      <c r="E28" s="5120"/>
      <c r="F28" s="5120"/>
      <c r="G28" s="5960"/>
      <c r="H28" s="5120"/>
      <c r="I28" s="5960"/>
      <c r="J28" s="5120"/>
      <c r="K28" s="5120"/>
      <c r="L28" s="5120"/>
      <c r="M28" s="5120"/>
      <c r="N28" s="5120"/>
      <c r="O28" s="5120"/>
      <c r="P28" s="4775">
        <f t="shared" si="12"/>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3"/>
        <v>0</v>
      </c>
      <c r="AI28" s="4775">
        <f>+'Phụ lục số 5'!AI28</f>
        <v>0</v>
      </c>
      <c r="AJ28" s="4775">
        <f>+'Phụ lục số 5'!AJ28</f>
        <v>0</v>
      </c>
      <c r="AK28" s="5962"/>
      <c r="AL28" s="328"/>
      <c r="AM28" s="328"/>
      <c r="AN28" s="1656"/>
    </row>
    <row r="29" spans="1:40" s="596" customFormat="1">
      <c r="A29" s="603">
        <v>17</v>
      </c>
      <c r="B29" s="604" t="s">
        <v>670</v>
      </c>
      <c r="C29" s="5120">
        <f t="shared" si="10"/>
        <v>58811</v>
      </c>
      <c r="D29" s="5120">
        <f t="shared" si="11"/>
        <v>0</v>
      </c>
      <c r="E29" s="5120"/>
      <c r="F29" s="5120"/>
      <c r="G29" s="5960"/>
      <c r="H29" s="5120"/>
      <c r="I29" s="5960"/>
      <c r="J29" s="5120"/>
      <c r="K29" s="5120"/>
      <c r="L29" s="5120"/>
      <c r="M29" s="5120"/>
      <c r="N29" s="5120"/>
      <c r="O29" s="5120"/>
      <c r="P29" s="4775">
        <f t="shared" si="12"/>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3"/>
        <v>500</v>
      </c>
      <c r="AI29" s="4775">
        <f>+'Phụ lục số 5'!AI29</f>
        <v>0</v>
      </c>
      <c r="AJ29" s="4775">
        <f>+'Phụ lục số 5'!AJ29</f>
        <v>500</v>
      </c>
      <c r="AK29" s="5962"/>
      <c r="AL29" s="328"/>
      <c r="AM29" s="328"/>
      <c r="AN29" s="1656"/>
    </row>
    <row r="30" spans="1:40" s="596" customFormat="1">
      <c r="A30" s="603">
        <v>18</v>
      </c>
      <c r="B30" s="604" t="s">
        <v>671</v>
      </c>
      <c r="C30" s="5120">
        <f t="shared" si="10"/>
        <v>122626</v>
      </c>
      <c r="D30" s="5120">
        <f t="shared" si="11"/>
        <v>0</v>
      </c>
      <c r="E30" s="5120"/>
      <c r="F30" s="5120"/>
      <c r="G30" s="5960"/>
      <c r="H30" s="5120"/>
      <c r="I30" s="5960"/>
      <c r="J30" s="5120"/>
      <c r="K30" s="5120"/>
      <c r="L30" s="5120"/>
      <c r="M30" s="5120"/>
      <c r="N30" s="5120"/>
      <c r="O30" s="5120"/>
      <c r="P30" s="4775">
        <f t="shared" si="12"/>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3"/>
        <v>60404</v>
      </c>
      <c r="AI30" s="4775">
        <f>+'Phụ lục số 5'!AI30</f>
        <v>0</v>
      </c>
      <c r="AJ30" s="4775">
        <f>+'Phụ lục số 5'!AJ30</f>
        <v>60404</v>
      </c>
      <c r="AK30" s="5962"/>
      <c r="AL30" s="328"/>
      <c r="AM30" s="328"/>
      <c r="AN30" s="1656"/>
    </row>
    <row r="31" spans="1:40" s="596" customFormat="1">
      <c r="A31" s="603">
        <v>19</v>
      </c>
      <c r="B31" s="604" t="s">
        <v>672</v>
      </c>
      <c r="C31" s="5120">
        <f t="shared" si="10"/>
        <v>169872</v>
      </c>
      <c r="D31" s="5120">
        <f t="shared" si="11"/>
        <v>0</v>
      </c>
      <c r="E31" s="5120"/>
      <c r="F31" s="5120"/>
      <c r="G31" s="5960"/>
      <c r="H31" s="5120"/>
      <c r="I31" s="5960"/>
      <c r="J31" s="5120"/>
      <c r="K31" s="5120"/>
      <c r="L31" s="5120"/>
      <c r="M31" s="5120"/>
      <c r="N31" s="5120"/>
      <c r="O31" s="5120"/>
      <c r="P31" s="4775">
        <f t="shared" si="12"/>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3"/>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10"/>
        <v>16270</v>
      </c>
      <c r="D32" s="5120">
        <f t="shared" si="11"/>
        <v>0</v>
      </c>
      <c r="E32" s="5120"/>
      <c r="F32" s="5120"/>
      <c r="G32" s="5960"/>
      <c r="H32" s="5120"/>
      <c r="I32" s="5960"/>
      <c r="J32" s="5120"/>
      <c r="K32" s="5120"/>
      <c r="L32" s="5120"/>
      <c r="M32" s="5120"/>
      <c r="N32" s="5120"/>
      <c r="O32" s="5120"/>
      <c r="P32" s="4775">
        <f t="shared" si="12"/>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3"/>
        <v>0</v>
      </c>
      <c r="AI32" s="4775">
        <f>+'Phụ lục số 5'!AI32</f>
        <v>0</v>
      </c>
      <c r="AJ32" s="4775">
        <f>+'Phụ lục số 5'!AJ32</f>
        <v>0</v>
      </c>
      <c r="AK32" s="5962"/>
      <c r="AL32" s="328"/>
      <c r="AM32" s="328"/>
      <c r="AN32" s="1656"/>
    </row>
    <row r="33" spans="1:41" s="596" customFormat="1">
      <c r="A33" s="603">
        <v>21</v>
      </c>
      <c r="B33" s="604" t="s">
        <v>674</v>
      </c>
      <c r="C33" s="5120">
        <f t="shared" si="10"/>
        <v>24710</v>
      </c>
      <c r="D33" s="5120">
        <f t="shared" si="11"/>
        <v>0</v>
      </c>
      <c r="E33" s="5120"/>
      <c r="F33" s="5120"/>
      <c r="G33" s="5960"/>
      <c r="H33" s="5120"/>
      <c r="I33" s="5960"/>
      <c r="J33" s="5120"/>
      <c r="K33" s="5120"/>
      <c r="L33" s="5120"/>
      <c r="M33" s="5120"/>
      <c r="N33" s="5120"/>
      <c r="O33" s="5120"/>
      <c r="P33" s="4775">
        <f t="shared" si="12"/>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3"/>
        <v>0</v>
      </c>
      <c r="AI33" s="4775">
        <f>+'Phụ lục số 5'!AI33</f>
        <v>0</v>
      </c>
      <c r="AJ33" s="4775">
        <f>+'Phụ lục số 5'!AJ33</f>
        <v>0</v>
      </c>
      <c r="AK33" s="5962"/>
      <c r="AL33" s="328"/>
      <c r="AM33" s="328"/>
      <c r="AN33" s="1656"/>
    </row>
    <row r="34" spans="1:41" s="596" customFormat="1">
      <c r="A34" s="603">
        <v>22</v>
      </c>
      <c r="B34" s="604" t="s">
        <v>675</v>
      </c>
      <c r="C34" s="5120">
        <f t="shared" si="10"/>
        <v>32129</v>
      </c>
      <c r="D34" s="5120">
        <f t="shared" si="11"/>
        <v>0</v>
      </c>
      <c r="E34" s="5120"/>
      <c r="F34" s="5120"/>
      <c r="G34" s="5960"/>
      <c r="H34" s="5120"/>
      <c r="I34" s="5960"/>
      <c r="J34" s="5120"/>
      <c r="K34" s="5120"/>
      <c r="L34" s="5120"/>
      <c r="M34" s="5120"/>
      <c r="N34" s="5120"/>
      <c r="O34" s="5120"/>
      <c r="P34" s="4775">
        <f t="shared" si="12"/>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3"/>
        <v>0</v>
      </c>
      <c r="AI34" s="4775">
        <f>+'Phụ lục số 5'!AI34</f>
        <v>0</v>
      </c>
      <c r="AJ34" s="4775">
        <f>+'Phụ lục số 5'!AJ34</f>
        <v>0</v>
      </c>
      <c r="AK34" s="5962"/>
      <c r="AL34" s="328"/>
      <c r="AM34" s="328"/>
      <c r="AN34" s="1656"/>
    </row>
    <row r="35" spans="1:41" s="596" customFormat="1">
      <c r="A35" s="603">
        <v>23</v>
      </c>
      <c r="B35" s="604" t="s">
        <v>676</v>
      </c>
      <c r="C35" s="5120">
        <f t="shared" si="10"/>
        <v>10534</v>
      </c>
      <c r="D35" s="5120">
        <f t="shared" si="11"/>
        <v>0</v>
      </c>
      <c r="E35" s="5120"/>
      <c r="F35" s="5120"/>
      <c r="G35" s="5960"/>
      <c r="H35" s="5120"/>
      <c r="I35" s="5960"/>
      <c r="J35" s="5120"/>
      <c r="K35" s="5120"/>
      <c r="L35" s="5120"/>
      <c r="M35" s="5120"/>
      <c r="N35" s="5120"/>
      <c r="O35" s="5120"/>
      <c r="P35" s="4775">
        <f t="shared" si="12"/>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3"/>
        <v>0</v>
      </c>
      <c r="AI35" s="4775">
        <f>+'Phụ lục số 5'!AI35</f>
        <v>0</v>
      </c>
      <c r="AJ35" s="4775">
        <f>+'Phụ lục số 5'!AJ35</f>
        <v>0</v>
      </c>
      <c r="AK35" s="5962"/>
      <c r="AL35" s="328"/>
      <c r="AM35" s="328"/>
      <c r="AN35" s="1656"/>
    </row>
    <row r="36" spans="1:41" s="596" customFormat="1">
      <c r="A36" s="603">
        <v>24</v>
      </c>
      <c r="B36" s="604" t="s">
        <v>677</v>
      </c>
      <c r="C36" s="5120">
        <f t="shared" si="10"/>
        <v>16765</v>
      </c>
      <c r="D36" s="5120">
        <f t="shared" si="11"/>
        <v>0</v>
      </c>
      <c r="E36" s="5120"/>
      <c r="F36" s="5120"/>
      <c r="G36" s="5960"/>
      <c r="H36" s="5120"/>
      <c r="I36" s="5960"/>
      <c r="J36" s="5120"/>
      <c r="K36" s="5120"/>
      <c r="L36" s="5120"/>
      <c r="M36" s="5120"/>
      <c r="N36" s="5120"/>
      <c r="O36" s="5120"/>
      <c r="P36" s="4775">
        <f t="shared" si="12"/>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3"/>
        <v>0</v>
      </c>
      <c r="AI36" s="4775">
        <f>+'Phụ lục số 5'!AI36</f>
        <v>0</v>
      </c>
      <c r="AJ36" s="4775">
        <f>+'Phụ lục số 5'!AJ36</f>
        <v>0</v>
      </c>
      <c r="AK36" s="5962"/>
      <c r="AL36" s="328"/>
      <c r="AM36" s="328"/>
      <c r="AN36" s="1656"/>
    </row>
    <row r="37" spans="1:41" s="596" customFormat="1">
      <c r="A37" s="603">
        <v>25</v>
      </c>
      <c r="B37" s="604" t="s">
        <v>678</v>
      </c>
      <c r="C37" s="5120">
        <f t="shared" si="10"/>
        <v>13825</v>
      </c>
      <c r="D37" s="5120">
        <f t="shared" si="11"/>
        <v>0</v>
      </c>
      <c r="E37" s="5120"/>
      <c r="F37" s="5120"/>
      <c r="G37" s="5960"/>
      <c r="H37" s="5120"/>
      <c r="I37" s="5960"/>
      <c r="J37" s="5120"/>
      <c r="K37" s="5120"/>
      <c r="L37" s="5120"/>
      <c r="M37" s="5120"/>
      <c r="N37" s="5120"/>
      <c r="O37" s="5120"/>
      <c r="P37" s="4775">
        <f t="shared" si="12"/>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3"/>
        <v>11047</v>
      </c>
      <c r="AI37" s="4775">
        <f>+'Phụ lục số 5'!AI37</f>
        <v>0</v>
      </c>
      <c r="AJ37" s="4775">
        <f>+'Phụ lục số 5'!AJ37</f>
        <v>11047</v>
      </c>
      <c r="AK37" s="5962"/>
      <c r="AL37" s="328"/>
      <c r="AM37" s="328"/>
      <c r="AN37" s="1656"/>
    </row>
    <row r="38" spans="1:41" s="596" customFormat="1" ht="36">
      <c r="A38" s="603">
        <v>26</v>
      </c>
      <c r="B38" s="604" t="s">
        <v>679</v>
      </c>
      <c r="C38" s="5120">
        <f t="shared" si="10"/>
        <v>38522</v>
      </c>
      <c r="D38" s="5120">
        <f t="shared" si="11"/>
        <v>0</v>
      </c>
      <c r="E38" s="5120"/>
      <c r="F38" s="5120"/>
      <c r="G38" s="5960"/>
      <c r="H38" s="5120"/>
      <c r="I38" s="5960"/>
      <c r="J38" s="5120"/>
      <c r="K38" s="5120"/>
      <c r="L38" s="5120"/>
      <c r="M38" s="5120"/>
      <c r="N38" s="5120"/>
      <c r="O38" s="5120"/>
      <c r="P38" s="4775">
        <f t="shared" si="12"/>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3"/>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10"/>
        <v>0</v>
      </c>
      <c r="D39" s="5120"/>
      <c r="E39" s="5120"/>
      <c r="F39" s="5120"/>
      <c r="G39" s="5960"/>
      <c r="H39" s="5120"/>
      <c r="I39" s="5960"/>
      <c r="J39" s="5120"/>
      <c r="K39" s="5120"/>
      <c r="L39" s="5120"/>
      <c r="M39" s="5120"/>
      <c r="N39" s="5120"/>
      <c r="O39" s="5120"/>
      <c r="P39" s="4775">
        <f t="shared" si="12"/>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10"/>
        <v>0</v>
      </c>
      <c r="D40" s="5120"/>
      <c r="E40" s="5120"/>
      <c r="F40" s="5120"/>
      <c r="G40" s="5960"/>
      <c r="H40" s="5120"/>
      <c r="I40" s="5960"/>
      <c r="J40" s="5120"/>
      <c r="K40" s="5120"/>
      <c r="L40" s="5120"/>
      <c r="M40" s="5120"/>
      <c r="N40" s="5120"/>
      <c r="O40" s="5120"/>
      <c r="P40" s="4775">
        <f t="shared" si="12"/>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10"/>
        <v>22478</v>
      </c>
      <c r="D41" s="5120">
        <f t="shared" si="11"/>
        <v>0</v>
      </c>
      <c r="E41" s="5120"/>
      <c r="F41" s="5120"/>
      <c r="G41" s="5960"/>
      <c r="H41" s="5120"/>
      <c r="I41" s="5960"/>
      <c r="J41" s="5120"/>
      <c r="K41" s="5120"/>
      <c r="L41" s="5120"/>
      <c r="M41" s="5120"/>
      <c r="N41" s="5120"/>
      <c r="O41" s="5120"/>
      <c r="P41" s="4775">
        <f t="shared" si="12"/>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3"/>
        <v>0</v>
      </c>
      <c r="AI41" s="4775">
        <f>+'Phụ lục số 5'!AI41</f>
        <v>0</v>
      </c>
      <c r="AJ41" s="4775">
        <f>+'Phụ lục số 5'!AJ41</f>
        <v>0</v>
      </c>
      <c r="AK41" s="5962"/>
      <c r="AL41" s="328"/>
      <c r="AM41" s="328"/>
      <c r="AN41" s="1656"/>
    </row>
    <row r="42" spans="1:41" s="596" customFormat="1">
      <c r="A42" s="603">
        <v>28</v>
      </c>
      <c r="B42" s="604" t="s">
        <v>681</v>
      </c>
      <c r="C42" s="5120">
        <f t="shared" si="10"/>
        <v>28621</v>
      </c>
      <c r="D42" s="5120">
        <f t="shared" si="11"/>
        <v>0</v>
      </c>
      <c r="E42" s="5120"/>
      <c r="F42" s="5120"/>
      <c r="G42" s="5960"/>
      <c r="H42" s="5120"/>
      <c r="I42" s="5960"/>
      <c r="J42" s="5120"/>
      <c r="K42" s="5120"/>
      <c r="L42" s="5120"/>
      <c r="M42" s="5120"/>
      <c r="N42" s="5120"/>
      <c r="O42" s="5120"/>
      <c r="P42" s="4775">
        <f t="shared" si="12"/>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3"/>
        <v>0</v>
      </c>
      <c r="AI42" s="4775">
        <f>+'Phụ lục số 5'!AI42</f>
        <v>0</v>
      </c>
      <c r="AJ42" s="4775">
        <f>+'Phụ lục số 5'!AJ42</f>
        <v>0</v>
      </c>
      <c r="AK42" s="5962"/>
      <c r="AL42" s="328"/>
      <c r="AM42" s="328"/>
      <c r="AN42" s="1656"/>
    </row>
    <row r="43" spans="1:41" s="596" customFormat="1" hidden="1">
      <c r="A43" s="603">
        <v>29</v>
      </c>
      <c r="B43" s="604"/>
      <c r="C43" s="5120">
        <f t="shared" si="10"/>
        <v>0</v>
      </c>
      <c r="D43" s="5120">
        <f t="shared" si="11"/>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3"/>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4">SUM(D45,D51)</f>
        <v>0</v>
      </c>
      <c r="E44" s="5966">
        <f t="shared" si="14"/>
        <v>0</v>
      </c>
      <c r="F44" s="5966">
        <f t="shared" si="14"/>
        <v>0</v>
      </c>
      <c r="G44" s="5967"/>
      <c r="H44" s="5966">
        <f t="shared" si="14"/>
        <v>0</v>
      </c>
      <c r="I44" s="5967"/>
      <c r="J44" s="5966"/>
      <c r="K44" s="5966">
        <f t="shared" si="14"/>
        <v>0</v>
      </c>
      <c r="L44" s="5966"/>
      <c r="M44" s="5966"/>
      <c r="N44" s="5966"/>
      <c r="O44" s="5966"/>
      <c r="P44" s="5966">
        <f>SUM(P45,P51)</f>
        <v>67277</v>
      </c>
      <c r="Q44" s="5966">
        <f t="shared" ref="Q44:AJ44" si="15">SUM(Q45,Q51)</f>
        <v>4762</v>
      </c>
      <c r="R44" s="5966">
        <f t="shared" si="15"/>
        <v>1683</v>
      </c>
      <c r="S44" s="5966">
        <f t="shared" si="15"/>
        <v>0</v>
      </c>
      <c r="T44" s="5966">
        <f t="shared" si="15"/>
        <v>0</v>
      </c>
      <c r="U44" s="5966">
        <f t="shared" si="15"/>
        <v>100</v>
      </c>
      <c r="V44" s="5966">
        <f t="shared" si="15"/>
        <v>0</v>
      </c>
      <c r="W44" s="5966">
        <f t="shared" si="15"/>
        <v>600</v>
      </c>
      <c r="X44" s="5966">
        <f t="shared" si="15"/>
        <v>0</v>
      </c>
      <c r="Y44" s="5966">
        <f t="shared" si="15"/>
        <v>0</v>
      </c>
      <c r="Z44" s="5966">
        <f t="shared" si="15"/>
        <v>728</v>
      </c>
      <c r="AA44" s="5966">
        <f t="shared" si="15"/>
        <v>59404</v>
      </c>
      <c r="AB44" s="5966">
        <f t="shared" si="15"/>
        <v>0</v>
      </c>
      <c r="AC44" s="5966">
        <f t="shared" si="15"/>
        <v>0</v>
      </c>
      <c r="AD44" s="5966">
        <f t="shared" si="15"/>
        <v>0</v>
      </c>
      <c r="AE44" s="5966">
        <f t="shared" si="15"/>
        <v>0</v>
      </c>
      <c r="AF44" s="5966">
        <f t="shared" si="15"/>
        <v>0</v>
      </c>
      <c r="AG44" s="5966">
        <f t="shared" si="15"/>
        <v>0</v>
      </c>
      <c r="AH44" s="5966">
        <f t="shared" si="15"/>
        <v>500</v>
      </c>
      <c r="AI44" s="5966">
        <f t="shared" si="15"/>
        <v>0</v>
      </c>
      <c r="AJ44" s="5966">
        <f t="shared" si="15"/>
        <v>500</v>
      </c>
      <c r="AK44" s="5966"/>
      <c r="AL44" s="328"/>
      <c r="AM44" s="328"/>
      <c r="AN44" s="1656"/>
    </row>
    <row r="45" spans="1:41" s="596" customFormat="1">
      <c r="A45" s="611" t="s">
        <v>683</v>
      </c>
      <c r="B45" s="612" t="s">
        <v>684</v>
      </c>
      <c r="C45" s="1658">
        <f>SUM(C46:C50)</f>
        <v>38185</v>
      </c>
      <c r="D45" s="1658">
        <f t="shared" ref="D45:K45" si="16">SUM(D46:D50)</f>
        <v>0</v>
      </c>
      <c r="E45" s="1658">
        <f t="shared" si="16"/>
        <v>0</v>
      </c>
      <c r="F45" s="1658">
        <f t="shared" si="16"/>
        <v>0</v>
      </c>
      <c r="G45" s="5121"/>
      <c r="H45" s="1658">
        <f t="shared" si="16"/>
        <v>0</v>
      </c>
      <c r="I45" s="5121"/>
      <c r="J45" s="1658"/>
      <c r="K45" s="1658">
        <f t="shared" si="16"/>
        <v>0</v>
      </c>
      <c r="L45" s="1658"/>
      <c r="M45" s="1658"/>
      <c r="N45" s="1658"/>
      <c r="O45" s="1658"/>
      <c r="P45" s="1658">
        <f>SUM(P46:P50)</f>
        <v>38185</v>
      </c>
      <c r="Q45" s="1658">
        <f t="shared" ref="Q45:AJ45" si="17">SUM(Q46:Q50)</f>
        <v>2921</v>
      </c>
      <c r="R45" s="1658">
        <f t="shared" si="17"/>
        <v>75</v>
      </c>
      <c r="S45" s="1658">
        <f t="shared" si="17"/>
        <v>0</v>
      </c>
      <c r="T45" s="1658">
        <f t="shared" si="17"/>
        <v>0</v>
      </c>
      <c r="U45" s="1658">
        <f t="shared" si="17"/>
        <v>0</v>
      </c>
      <c r="V45" s="1658">
        <f t="shared" si="17"/>
        <v>0</v>
      </c>
      <c r="W45" s="1658">
        <f t="shared" si="17"/>
        <v>0</v>
      </c>
      <c r="X45" s="1658">
        <f t="shared" si="17"/>
        <v>0</v>
      </c>
      <c r="Y45" s="1658">
        <f t="shared" si="17"/>
        <v>0</v>
      </c>
      <c r="Z45" s="1658">
        <f t="shared" si="17"/>
        <v>350</v>
      </c>
      <c r="AA45" s="1658">
        <f t="shared" si="17"/>
        <v>34839</v>
      </c>
      <c r="AB45" s="1658">
        <f t="shared" si="17"/>
        <v>0</v>
      </c>
      <c r="AC45" s="1658">
        <f t="shared" si="17"/>
        <v>0</v>
      </c>
      <c r="AD45" s="1658">
        <f t="shared" si="17"/>
        <v>0</v>
      </c>
      <c r="AE45" s="1658">
        <f t="shared" si="17"/>
        <v>0</v>
      </c>
      <c r="AF45" s="1658">
        <f t="shared" si="17"/>
        <v>0</v>
      </c>
      <c r="AG45" s="1658">
        <f t="shared" si="17"/>
        <v>0</v>
      </c>
      <c r="AH45" s="1658">
        <f t="shared" si="17"/>
        <v>0</v>
      </c>
      <c r="AI45" s="1658">
        <f t="shared" si="17"/>
        <v>0</v>
      </c>
      <c r="AJ45" s="1658">
        <f t="shared" si="17"/>
        <v>0</v>
      </c>
      <c r="AK45" s="1658"/>
      <c r="AL45" s="328"/>
      <c r="AM45" s="328"/>
      <c r="AN45" s="1656"/>
    </row>
    <row r="46" spans="1:41" s="596" customFormat="1">
      <c r="A46" s="603">
        <f>A42+1</f>
        <v>29</v>
      </c>
      <c r="B46" s="604" t="s">
        <v>685</v>
      </c>
      <c r="C46" s="5120">
        <f t="shared" ref="C46:C79" si="18">D46+P46+AD46+AE46+AH46+AL46+AF46+AG46+AK46+AN46</f>
        <v>10828</v>
      </c>
      <c r="D46" s="5120">
        <f t="shared" ref="D46:D56" si="19">SUM(E46:O46)</f>
        <v>0</v>
      </c>
      <c r="E46" s="5962"/>
      <c r="F46" s="5962"/>
      <c r="G46" s="5123"/>
      <c r="H46" s="5962"/>
      <c r="I46" s="5123"/>
      <c r="J46" s="5962"/>
      <c r="K46" s="5962"/>
      <c r="L46" s="5962"/>
      <c r="M46" s="5962"/>
      <c r="N46" s="5962"/>
      <c r="O46" s="5962"/>
      <c r="P46" s="4775">
        <f t="shared" ref="P46:P56" si="20">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8"/>
        <v>9018</v>
      </c>
      <c r="D47" s="5120">
        <f t="shared" si="19"/>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21">SUM(AI47:AJ47)</f>
        <v>0</v>
      </c>
      <c r="AI47" s="5962">
        <f>+'Phụ lục số 5'!AI53</f>
        <v>0</v>
      </c>
      <c r="AJ47" s="5962">
        <f>+'Phụ lục số 5'!AJ53</f>
        <v>0</v>
      </c>
      <c r="AK47" s="5962"/>
      <c r="AL47" s="328"/>
      <c r="AM47" s="328"/>
      <c r="AN47" s="1656"/>
    </row>
    <row r="48" spans="1:41" s="596" customFormat="1">
      <c r="A48" s="603">
        <f>A47+1</f>
        <v>31</v>
      </c>
      <c r="B48" s="604" t="s">
        <v>687</v>
      </c>
      <c r="C48" s="5120">
        <f t="shared" si="18"/>
        <v>8117</v>
      </c>
      <c r="D48" s="5120">
        <f t="shared" si="19"/>
        <v>0</v>
      </c>
      <c r="E48" s="5962"/>
      <c r="F48" s="5962"/>
      <c r="G48" s="5123"/>
      <c r="H48" s="5962"/>
      <c r="I48" s="5123"/>
      <c r="J48" s="5962"/>
      <c r="K48" s="5962"/>
      <c r="L48" s="5962"/>
      <c r="M48" s="5962"/>
      <c r="N48" s="5962"/>
      <c r="O48" s="5962"/>
      <c r="P48" s="4775">
        <f t="shared" si="20"/>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21"/>
        <v>0</v>
      </c>
      <c r="AI48" s="5962">
        <f>+'Phụ lục số 5'!AI54</f>
        <v>0</v>
      </c>
      <c r="AJ48" s="5962">
        <f>+'Phụ lục số 5'!AJ54</f>
        <v>0</v>
      </c>
      <c r="AK48" s="5962"/>
      <c r="AL48" s="328"/>
      <c r="AM48" s="328"/>
      <c r="AN48" s="1656"/>
    </row>
    <row r="49" spans="1:43" s="596" customFormat="1">
      <c r="A49" s="603">
        <f>A48+1</f>
        <v>32</v>
      </c>
      <c r="B49" s="604" t="s">
        <v>688</v>
      </c>
      <c r="C49" s="5120">
        <f t="shared" si="18"/>
        <v>6426</v>
      </c>
      <c r="D49" s="5120">
        <f t="shared" si="19"/>
        <v>0</v>
      </c>
      <c r="E49" s="5962"/>
      <c r="F49" s="5962"/>
      <c r="G49" s="5123"/>
      <c r="H49" s="5962"/>
      <c r="I49" s="5123"/>
      <c r="J49" s="5962"/>
      <c r="K49" s="5962"/>
      <c r="L49" s="5962"/>
      <c r="M49" s="5962"/>
      <c r="N49" s="5962"/>
      <c r="O49" s="5962"/>
      <c r="P49" s="4775">
        <f t="shared" si="20"/>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21"/>
        <v>0</v>
      </c>
      <c r="AI49" s="5962">
        <f>+'Phụ lục số 5'!AI55</f>
        <v>0</v>
      </c>
      <c r="AJ49" s="5962">
        <f>+'Phụ lục số 5'!AJ49</f>
        <v>0</v>
      </c>
      <c r="AK49" s="5962"/>
      <c r="AL49" s="328"/>
      <c r="AM49" s="328"/>
      <c r="AN49" s="1656"/>
    </row>
    <row r="50" spans="1:43" s="596" customFormat="1">
      <c r="A50" s="603">
        <f>A49+1</f>
        <v>33</v>
      </c>
      <c r="B50" s="604" t="s">
        <v>689</v>
      </c>
      <c r="C50" s="5120">
        <f t="shared" si="18"/>
        <v>3796</v>
      </c>
      <c r="D50" s="5120">
        <f t="shared" si="19"/>
        <v>0</v>
      </c>
      <c r="E50" s="5962"/>
      <c r="F50" s="5962"/>
      <c r="G50" s="5123"/>
      <c r="H50" s="5962"/>
      <c r="I50" s="5123"/>
      <c r="J50" s="5962"/>
      <c r="K50" s="5962"/>
      <c r="L50" s="5962"/>
      <c r="M50" s="5962"/>
      <c r="N50" s="5962"/>
      <c r="O50" s="5962"/>
      <c r="P50" s="4775">
        <f t="shared" si="20"/>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21"/>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2">SUM(D52:D58)</f>
        <v>0</v>
      </c>
      <c r="E51" s="1658">
        <f t="shared" si="22"/>
        <v>0</v>
      </c>
      <c r="F51" s="1658">
        <f t="shared" si="22"/>
        <v>0</v>
      </c>
      <c r="G51" s="5121"/>
      <c r="H51" s="1658">
        <f t="shared" si="22"/>
        <v>0</v>
      </c>
      <c r="I51" s="5121"/>
      <c r="J51" s="1658"/>
      <c r="K51" s="1658">
        <f t="shared" si="22"/>
        <v>0</v>
      </c>
      <c r="L51" s="1658"/>
      <c r="M51" s="1658"/>
      <c r="N51" s="1658"/>
      <c r="O51" s="1658"/>
      <c r="P51" s="1658">
        <f>SUM(P52:P58)</f>
        <v>29092</v>
      </c>
      <c r="Q51" s="1658">
        <f t="shared" ref="Q51:AL51" si="23">SUM(Q52:Q58)</f>
        <v>1841</v>
      </c>
      <c r="R51" s="1658">
        <f t="shared" si="23"/>
        <v>1608</v>
      </c>
      <c r="S51" s="1658">
        <f t="shared" si="23"/>
        <v>0</v>
      </c>
      <c r="T51" s="1658">
        <f t="shared" si="23"/>
        <v>0</v>
      </c>
      <c r="U51" s="1658">
        <f t="shared" si="23"/>
        <v>100</v>
      </c>
      <c r="V51" s="1658">
        <f t="shared" si="23"/>
        <v>0</v>
      </c>
      <c r="W51" s="1658">
        <f t="shared" si="23"/>
        <v>600</v>
      </c>
      <c r="X51" s="1658">
        <f t="shared" si="23"/>
        <v>0</v>
      </c>
      <c r="Y51" s="1658">
        <f t="shared" si="23"/>
        <v>0</v>
      </c>
      <c r="Z51" s="1658">
        <f t="shared" si="23"/>
        <v>378</v>
      </c>
      <c r="AA51" s="1658">
        <f t="shared" si="23"/>
        <v>24565</v>
      </c>
      <c r="AB51" s="1658">
        <f t="shared" si="23"/>
        <v>0</v>
      </c>
      <c r="AC51" s="1658">
        <f t="shared" si="23"/>
        <v>0</v>
      </c>
      <c r="AD51" s="1658">
        <f t="shared" si="23"/>
        <v>0</v>
      </c>
      <c r="AE51" s="1658">
        <f t="shared" si="23"/>
        <v>0</v>
      </c>
      <c r="AF51" s="1658">
        <f t="shared" si="23"/>
        <v>0</v>
      </c>
      <c r="AG51" s="1658">
        <f t="shared" si="23"/>
        <v>0</v>
      </c>
      <c r="AH51" s="1658">
        <f t="shared" si="23"/>
        <v>500</v>
      </c>
      <c r="AI51" s="1658">
        <f t="shared" si="23"/>
        <v>0</v>
      </c>
      <c r="AJ51" s="1658">
        <f t="shared" si="23"/>
        <v>500</v>
      </c>
      <c r="AK51" s="1658">
        <f t="shared" si="23"/>
        <v>0</v>
      </c>
      <c r="AL51" s="1658">
        <f t="shared" si="23"/>
        <v>0</v>
      </c>
      <c r="AM51" s="329"/>
      <c r="AN51" s="1657"/>
    </row>
    <row r="52" spans="1:43" s="596" customFormat="1">
      <c r="A52" s="603">
        <v>35</v>
      </c>
      <c r="B52" s="604" t="s">
        <v>692</v>
      </c>
      <c r="C52" s="5120">
        <f t="shared" si="18"/>
        <v>5327</v>
      </c>
      <c r="D52" s="5120">
        <f t="shared" si="19"/>
        <v>0</v>
      </c>
      <c r="E52" s="328"/>
      <c r="F52" s="328"/>
      <c r="G52" s="5122"/>
      <c r="H52" s="328"/>
      <c r="I52" s="5122"/>
      <c r="J52" s="328"/>
      <c r="K52" s="328"/>
      <c r="L52" s="328"/>
      <c r="M52" s="328"/>
      <c r="N52" s="328"/>
      <c r="O52" s="328"/>
      <c r="P52" s="4775">
        <f t="shared" si="20"/>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8"/>
        <v>4627</v>
      </c>
      <c r="D53" s="5120">
        <f t="shared" si="19"/>
        <v>0</v>
      </c>
      <c r="E53" s="328"/>
      <c r="F53" s="328"/>
      <c r="G53" s="5122"/>
      <c r="H53" s="328"/>
      <c r="I53" s="5122"/>
      <c r="J53" s="328"/>
      <c r="K53" s="328"/>
      <c r="L53" s="328"/>
      <c r="M53" s="328"/>
      <c r="N53" s="328"/>
      <c r="O53" s="328"/>
      <c r="P53" s="4775">
        <f t="shared" si="20"/>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4">SUM(AI53:AJ53)</f>
        <v>0</v>
      </c>
      <c r="AI53" s="5962">
        <f>+'Phụ lục số 5'!AI53</f>
        <v>0</v>
      </c>
      <c r="AJ53" s="5962">
        <f>+'Phụ lục số 5'!AJ53</f>
        <v>0</v>
      </c>
      <c r="AK53" s="328"/>
      <c r="AL53" s="328"/>
      <c r="AM53" s="328"/>
      <c r="AN53" s="1656"/>
    </row>
    <row r="54" spans="1:43" s="596" customFormat="1">
      <c r="A54" s="603">
        <v>37</v>
      </c>
      <c r="B54" s="604" t="s">
        <v>694</v>
      </c>
      <c r="C54" s="5120">
        <f t="shared" si="18"/>
        <v>3820</v>
      </c>
      <c r="D54" s="5120">
        <f t="shared" si="19"/>
        <v>0</v>
      </c>
      <c r="E54" s="328"/>
      <c r="F54" s="328"/>
      <c r="G54" s="5122"/>
      <c r="H54" s="328"/>
      <c r="I54" s="5122"/>
      <c r="J54" s="328"/>
      <c r="K54" s="328"/>
      <c r="L54" s="328"/>
      <c r="M54" s="328"/>
      <c r="N54" s="328"/>
      <c r="O54" s="328"/>
      <c r="P54" s="4775">
        <f t="shared" si="20"/>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4"/>
        <v>0</v>
      </c>
      <c r="AI54" s="5962">
        <f>+'Phụ lục số 5'!AI54</f>
        <v>0</v>
      </c>
      <c r="AJ54" s="5962">
        <f>+'Phụ lục số 5'!AJ54</f>
        <v>0</v>
      </c>
      <c r="AK54" s="328"/>
      <c r="AL54" s="328"/>
      <c r="AM54" s="328"/>
      <c r="AN54" s="1656"/>
    </row>
    <row r="55" spans="1:43" s="596" customFormat="1">
      <c r="A55" s="603">
        <v>38</v>
      </c>
      <c r="B55" s="604" t="s">
        <v>695</v>
      </c>
      <c r="C55" s="5120">
        <f t="shared" si="18"/>
        <v>8003</v>
      </c>
      <c r="D55" s="5120">
        <f t="shared" si="19"/>
        <v>0</v>
      </c>
      <c r="E55" s="328"/>
      <c r="F55" s="328"/>
      <c r="G55" s="5122"/>
      <c r="H55" s="328"/>
      <c r="I55" s="5122"/>
      <c r="J55" s="328"/>
      <c r="K55" s="328"/>
      <c r="L55" s="328"/>
      <c r="M55" s="328"/>
      <c r="N55" s="328"/>
      <c r="O55" s="328"/>
      <c r="P55" s="4775">
        <f t="shared" si="20"/>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4"/>
        <v>500</v>
      </c>
      <c r="AI55" s="5962">
        <f>+'Phụ lục số 5'!AI55</f>
        <v>0</v>
      </c>
      <c r="AJ55" s="5962">
        <f>+'Phụ lục số 5'!AJ55</f>
        <v>500</v>
      </c>
      <c r="AK55" s="328"/>
      <c r="AL55" s="328"/>
      <c r="AM55" s="328"/>
      <c r="AN55" s="1656"/>
    </row>
    <row r="56" spans="1:43" s="596" customFormat="1">
      <c r="A56" s="603">
        <v>39</v>
      </c>
      <c r="B56" s="604" t="s">
        <v>696</v>
      </c>
      <c r="C56" s="5120">
        <f t="shared" si="18"/>
        <v>7815</v>
      </c>
      <c r="D56" s="5120">
        <f t="shared" si="19"/>
        <v>0</v>
      </c>
      <c r="E56" s="328"/>
      <c r="F56" s="328"/>
      <c r="G56" s="5122"/>
      <c r="H56" s="328"/>
      <c r="I56" s="5122"/>
      <c r="J56" s="328"/>
      <c r="K56" s="328"/>
      <c r="L56" s="328"/>
      <c r="M56" s="328"/>
      <c r="N56" s="328"/>
      <c r="O56" s="328"/>
      <c r="P56" s="4775">
        <f t="shared" si="20"/>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4"/>
        <v>0</v>
      </c>
      <c r="AI56" s="5962">
        <f>+'Phụ lục số 5'!AI56</f>
        <v>0</v>
      </c>
      <c r="AJ56" s="5962">
        <f>+'Phụ lục số 5'!AJ56</f>
        <v>0</v>
      </c>
      <c r="AK56" s="328"/>
      <c r="AL56" s="328"/>
      <c r="AM56" s="328"/>
      <c r="AN56" s="1656"/>
    </row>
    <row r="57" spans="1:43" s="596" customFormat="1">
      <c r="A57" s="603">
        <v>40</v>
      </c>
      <c r="B57" s="604" t="s">
        <v>697</v>
      </c>
      <c r="C57" s="5120">
        <f t="shared" si="18"/>
        <v>0</v>
      </c>
      <c r="D57" s="328">
        <f t="shared" ref="D57:D112" si="25">SUM(E57:K57)</f>
        <v>0</v>
      </c>
      <c r="E57" s="328"/>
      <c r="F57" s="328"/>
      <c r="G57" s="5122"/>
      <c r="H57" s="328"/>
      <c r="I57" s="5122"/>
      <c r="J57" s="328"/>
      <c r="K57" s="328"/>
      <c r="L57" s="328"/>
      <c r="M57" s="328"/>
      <c r="N57" s="328"/>
      <c r="O57" s="328"/>
      <c r="P57" s="5962">
        <f t="shared" ref="P57:P58" si="26">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4"/>
        <v>0</v>
      </c>
      <c r="AI57" s="5962">
        <f>+'Phụ lục số 5'!AI57</f>
        <v>0</v>
      </c>
      <c r="AJ57" s="5962">
        <f>+'Phụ lục số 5'!AJ57</f>
        <v>0</v>
      </c>
      <c r="AK57" s="328"/>
      <c r="AL57" s="328"/>
      <c r="AM57" s="328"/>
      <c r="AN57" s="1656"/>
    </row>
    <row r="58" spans="1:43" s="596" customFormat="1">
      <c r="A58" s="603">
        <v>41</v>
      </c>
      <c r="B58" s="604" t="s">
        <v>698</v>
      </c>
      <c r="C58" s="5120">
        <f t="shared" si="18"/>
        <v>0</v>
      </c>
      <c r="D58" s="328">
        <f t="shared" si="25"/>
        <v>0</v>
      </c>
      <c r="E58" s="328"/>
      <c r="F58" s="328"/>
      <c r="G58" s="5122"/>
      <c r="H58" s="328"/>
      <c r="I58" s="5122"/>
      <c r="J58" s="328"/>
      <c r="K58" s="328"/>
      <c r="L58" s="328"/>
      <c r="M58" s="328"/>
      <c r="N58" s="328"/>
      <c r="O58" s="328"/>
      <c r="P58" s="5962">
        <f t="shared" si="26"/>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4"/>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7">SUM(D60:D62)</f>
        <v>0</v>
      </c>
      <c r="E59" s="5966">
        <f t="shared" si="27"/>
        <v>0</v>
      </c>
      <c r="F59" s="5966">
        <f t="shared" si="27"/>
        <v>0</v>
      </c>
      <c r="G59" s="5967"/>
      <c r="H59" s="5966">
        <f t="shared" si="27"/>
        <v>0</v>
      </c>
      <c r="I59" s="5967"/>
      <c r="J59" s="5966"/>
      <c r="K59" s="5966">
        <f t="shared" si="27"/>
        <v>0</v>
      </c>
      <c r="L59" s="5966"/>
      <c r="M59" s="5966"/>
      <c r="N59" s="5966"/>
      <c r="O59" s="5966"/>
      <c r="P59" s="5966">
        <f>SUM(P60:P62)</f>
        <v>160670</v>
      </c>
      <c r="Q59" s="5966">
        <f t="shared" ref="Q59:AJ59" si="28">SUM(Q60:Q62)</f>
        <v>6070</v>
      </c>
      <c r="R59" s="5966">
        <f t="shared" si="28"/>
        <v>0</v>
      </c>
      <c r="S59" s="5966">
        <f t="shared" si="28"/>
        <v>150000</v>
      </c>
      <c r="T59" s="5966">
        <f t="shared" si="28"/>
        <v>0</v>
      </c>
      <c r="U59" s="5966">
        <f t="shared" si="28"/>
        <v>4300</v>
      </c>
      <c r="V59" s="5966">
        <f t="shared" si="28"/>
        <v>0</v>
      </c>
      <c r="W59" s="5966">
        <f t="shared" si="28"/>
        <v>0</v>
      </c>
      <c r="X59" s="5966">
        <f t="shared" si="28"/>
        <v>0</v>
      </c>
      <c r="Y59" s="5966">
        <f t="shared" si="28"/>
        <v>300</v>
      </c>
      <c r="Z59" s="5966">
        <f t="shared" si="28"/>
        <v>0</v>
      </c>
      <c r="AA59" s="5966">
        <f t="shared" si="28"/>
        <v>0</v>
      </c>
      <c r="AB59" s="5966">
        <f t="shared" si="28"/>
        <v>0</v>
      </c>
      <c r="AC59" s="5966">
        <f t="shared" si="28"/>
        <v>0</v>
      </c>
      <c r="AD59" s="5966">
        <f t="shared" si="28"/>
        <v>0</v>
      </c>
      <c r="AE59" s="5966">
        <f t="shared" si="28"/>
        <v>0</v>
      </c>
      <c r="AF59" s="5966">
        <f t="shared" si="28"/>
        <v>0</v>
      </c>
      <c r="AG59" s="5966">
        <f t="shared" si="28"/>
        <v>0</v>
      </c>
      <c r="AH59" s="5966">
        <f t="shared" si="28"/>
        <v>0</v>
      </c>
      <c r="AI59" s="5966">
        <f t="shared" si="28"/>
        <v>0</v>
      </c>
      <c r="AJ59" s="5966">
        <f t="shared" si="28"/>
        <v>0</v>
      </c>
      <c r="AK59" s="5966"/>
      <c r="AL59" s="329"/>
      <c r="AM59" s="329"/>
      <c r="AN59" s="1657"/>
    </row>
    <row r="60" spans="1:43" s="596" customFormat="1">
      <c r="A60" s="603">
        <v>42</v>
      </c>
      <c r="B60" s="604" t="s">
        <v>700</v>
      </c>
      <c r="C60" s="5120">
        <f t="shared" si="18"/>
        <v>51300</v>
      </c>
      <c r="D60" s="5120">
        <f t="shared" ref="D60:D77" si="29">SUM(E60:O60)</f>
        <v>0</v>
      </c>
      <c r="E60" s="328"/>
      <c r="F60" s="328"/>
      <c r="G60" s="5122"/>
      <c r="H60" s="328"/>
      <c r="I60" s="5122"/>
      <c r="J60" s="328"/>
      <c r="K60" s="328"/>
      <c r="L60" s="328"/>
      <c r="M60" s="328"/>
      <c r="N60" s="328"/>
      <c r="O60" s="328"/>
      <c r="P60" s="4775">
        <f t="shared" ref="P60:P79" si="30">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8"/>
        <v>92870</v>
      </c>
      <c r="D61" s="5120">
        <f t="shared" si="29"/>
        <v>0</v>
      </c>
      <c r="E61" s="328"/>
      <c r="F61" s="328"/>
      <c r="G61" s="5122"/>
      <c r="H61" s="328"/>
      <c r="I61" s="5122"/>
      <c r="J61" s="328"/>
      <c r="K61" s="328"/>
      <c r="L61" s="328"/>
      <c r="M61" s="328"/>
      <c r="N61" s="328"/>
      <c r="O61" s="328"/>
      <c r="P61" s="4775">
        <f t="shared" si="30"/>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31">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8"/>
        <v>16500</v>
      </c>
      <c r="D62" s="5120">
        <f t="shared" si="29"/>
        <v>0</v>
      </c>
      <c r="E62" s="328"/>
      <c r="F62" s="328"/>
      <c r="G62" s="5122"/>
      <c r="H62" s="328"/>
      <c r="I62" s="5122"/>
      <c r="J62" s="328"/>
      <c r="K62" s="328"/>
      <c r="L62" s="328"/>
      <c r="M62" s="328"/>
      <c r="N62" s="328"/>
      <c r="O62" s="328"/>
      <c r="P62" s="4775">
        <f t="shared" si="30"/>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31"/>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2">SUM(D64:D77)</f>
        <v>0</v>
      </c>
      <c r="E63" s="5966">
        <f t="shared" si="32"/>
        <v>0</v>
      </c>
      <c r="F63" s="5966">
        <f t="shared" si="32"/>
        <v>0</v>
      </c>
      <c r="G63" s="5967"/>
      <c r="H63" s="5966">
        <f t="shared" si="32"/>
        <v>0</v>
      </c>
      <c r="I63" s="5967"/>
      <c r="J63" s="5966"/>
      <c r="K63" s="5966">
        <f t="shared" si="32"/>
        <v>0</v>
      </c>
      <c r="L63" s="5966"/>
      <c r="M63" s="5966"/>
      <c r="N63" s="5966"/>
      <c r="O63" s="5966">
        <f t="shared" si="32"/>
        <v>0</v>
      </c>
      <c r="P63" s="5966">
        <f>SUM(P64:P79)</f>
        <v>383595.2</v>
      </c>
      <c r="Q63" s="5966">
        <f t="shared" ref="Q63:AJ63" si="33">SUM(Q64:Q79)</f>
        <v>0</v>
      </c>
      <c r="R63" s="5966">
        <f t="shared" si="33"/>
        <v>0</v>
      </c>
      <c r="S63" s="5966">
        <f t="shared" si="33"/>
        <v>0</v>
      </c>
      <c r="T63" s="5966">
        <f t="shared" si="33"/>
        <v>0</v>
      </c>
      <c r="U63" s="5966">
        <f t="shared" si="33"/>
        <v>367885</v>
      </c>
      <c r="V63" s="5966">
        <f t="shared" si="33"/>
        <v>0</v>
      </c>
      <c r="W63" s="5966">
        <f t="shared" si="33"/>
        <v>9765</v>
      </c>
      <c r="X63" s="5966">
        <f t="shared" si="33"/>
        <v>0</v>
      </c>
      <c r="Y63" s="5966">
        <f t="shared" si="33"/>
        <v>0</v>
      </c>
      <c r="Z63" s="5966">
        <f t="shared" si="33"/>
        <v>0</v>
      </c>
      <c r="AA63" s="5966">
        <f t="shared" si="33"/>
        <v>0</v>
      </c>
      <c r="AB63" s="5966">
        <f t="shared" si="33"/>
        <v>0</v>
      </c>
      <c r="AC63" s="5966">
        <f t="shared" si="33"/>
        <v>5945.2</v>
      </c>
      <c r="AD63" s="5966">
        <f t="shared" si="33"/>
        <v>0</v>
      </c>
      <c r="AE63" s="5966">
        <f t="shared" si="33"/>
        <v>0</v>
      </c>
      <c r="AF63" s="5966">
        <f t="shared" si="33"/>
        <v>0</v>
      </c>
      <c r="AG63" s="5966">
        <f t="shared" si="33"/>
        <v>0</v>
      </c>
      <c r="AH63" s="5966">
        <f t="shared" si="33"/>
        <v>114476</v>
      </c>
      <c r="AI63" s="5966">
        <f t="shared" si="33"/>
        <v>0</v>
      </c>
      <c r="AJ63" s="5966">
        <f t="shared" si="33"/>
        <v>114476</v>
      </c>
      <c r="AK63" s="5966">
        <f t="shared" ref="AK63:AM63" si="34">SUM(AK64:AK79)</f>
        <v>0</v>
      </c>
      <c r="AL63" s="5966">
        <f t="shared" si="34"/>
        <v>0</v>
      </c>
      <c r="AM63" s="5966">
        <f t="shared" si="34"/>
        <v>0</v>
      </c>
      <c r="AN63" s="1657"/>
    </row>
    <row r="64" spans="1:43" s="596" customFormat="1">
      <c r="A64" s="603">
        <v>45</v>
      </c>
      <c r="B64" s="604" t="s">
        <v>704</v>
      </c>
      <c r="C64" s="5120">
        <f t="shared" si="18"/>
        <v>482201</v>
      </c>
      <c r="D64" s="5120">
        <f t="shared" si="29"/>
        <v>0</v>
      </c>
      <c r="E64" s="328"/>
      <c r="F64" s="328"/>
      <c r="G64" s="5122"/>
      <c r="H64" s="328"/>
      <c r="I64" s="5122"/>
      <c r="J64" s="328"/>
      <c r="K64" s="328"/>
      <c r="L64" s="328"/>
      <c r="M64" s="328"/>
      <c r="N64" s="328"/>
      <c r="O64" s="328"/>
      <c r="P64" s="4775">
        <f t="shared" si="30"/>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8"/>
        <v>0</v>
      </c>
      <c r="D65" s="5120">
        <f t="shared" si="29"/>
        <v>0</v>
      </c>
      <c r="E65" s="328"/>
      <c r="F65" s="328"/>
      <c r="G65" s="5122"/>
      <c r="H65" s="328"/>
      <c r="I65" s="5122"/>
      <c r="J65" s="328"/>
      <c r="K65" s="328"/>
      <c r="L65" s="328"/>
      <c r="M65" s="328"/>
      <c r="N65" s="328"/>
      <c r="O65" s="328"/>
      <c r="P65" s="4775">
        <f t="shared" si="30"/>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8"/>
        <v>1625</v>
      </c>
      <c r="D66" s="5120">
        <f t="shared" si="29"/>
        <v>0</v>
      </c>
      <c r="E66" s="328"/>
      <c r="F66" s="328"/>
      <c r="G66" s="5122"/>
      <c r="H66" s="328"/>
      <c r="I66" s="5122"/>
      <c r="J66" s="328"/>
      <c r="K66" s="328"/>
      <c r="L66" s="328"/>
      <c r="M66" s="328"/>
      <c r="N66" s="328"/>
      <c r="O66" s="328"/>
      <c r="P66" s="4775">
        <f t="shared" si="30"/>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5">SUM(AI66:AJ66)</f>
        <v>160</v>
      </c>
      <c r="AI66" s="5962">
        <f>'Phụ lục số 5'!AI66</f>
        <v>0</v>
      </c>
      <c r="AJ66" s="5962">
        <f>'Phụ lục số 5'!AJ66</f>
        <v>160</v>
      </c>
      <c r="AK66" s="328"/>
      <c r="AL66" s="328"/>
      <c r="AM66" s="328"/>
      <c r="AN66" s="1656"/>
    </row>
    <row r="67" spans="1:40" s="596" customFormat="1">
      <c r="A67" s="603">
        <v>48</v>
      </c>
      <c r="B67" s="610" t="s">
        <v>707</v>
      </c>
      <c r="C67" s="5120">
        <f t="shared" si="18"/>
        <v>610</v>
      </c>
      <c r="D67" s="5120">
        <f t="shared" si="29"/>
        <v>0</v>
      </c>
      <c r="E67" s="328"/>
      <c r="F67" s="328"/>
      <c r="G67" s="5122"/>
      <c r="H67" s="328"/>
      <c r="I67" s="5122"/>
      <c r="J67" s="328"/>
      <c r="K67" s="328"/>
      <c r="L67" s="328"/>
      <c r="M67" s="328"/>
      <c r="N67" s="328"/>
      <c r="O67" s="328"/>
      <c r="P67" s="4775">
        <f t="shared" si="30"/>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5"/>
        <v>0</v>
      </c>
      <c r="AI67" s="5962">
        <f>'Phụ lục số 5'!AI67</f>
        <v>0</v>
      </c>
      <c r="AJ67" s="5962">
        <f>'Phụ lục số 5'!AJ67</f>
        <v>0</v>
      </c>
      <c r="AK67" s="328"/>
      <c r="AL67" s="328"/>
      <c r="AM67" s="328"/>
      <c r="AN67" s="1656"/>
    </row>
    <row r="68" spans="1:40" s="596" customFormat="1" ht="36">
      <c r="A68" s="603">
        <v>49</v>
      </c>
      <c r="B68" s="610" t="s">
        <v>708</v>
      </c>
      <c r="C68" s="5120">
        <f t="shared" si="18"/>
        <v>530</v>
      </c>
      <c r="D68" s="5120">
        <f t="shared" si="29"/>
        <v>0</v>
      </c>
      <c r="E68" s="328"/>
      <c r="F68" s="328"/>
      <c r="G68" s="5122"/>
      <c r="H68" s="328"/>
      <c r="I68" s="5122"/>
      <c r="J68" s="328"/>
      <c r="K68" s="328"/>
      <c r="L68" s="328"/>
      <c r="M68" s="328"/>
      <c r="N68" s="328"/>
      <c r="O68" s="328"/>
      <c r="P68" s="4775">
        <f t="shared" si="30"/>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5"/>
        <v>0</v>
      </c>
      <c r="AI68" s="5962">
        <f>'Phụ lục số 5'!AI68</f>
        <v>0</v>
      </c>
      <c r="AJ68" s="5962">
        <f>'Phụ lục số 5'!AJ68</f>
        <v>0</v>
      </c>
      <c r="AK68" s="328"/>
      <c r="AL68" s="328"/>
      <c r="AM68" s="328"/>
      <c r="AN68" s="1656"/>
    </row>
    <row r="69" spans="1:40" s="596" customFormat="1">
      <c r="A69" s="603">
        <v>50</v>
      </c>
      <c r="B69" s="610" t="s">
        <v>709</v>
      </c>
      <c r="C69" s="5120">
        <f t="shared" si="18"/>
        <v>550</v>
      </c>
      <c r="D69" s="5120">
        <f t="shared" si="29"/>
        <v>0</v>
      </c>
      <c r="E69" s="328"/>
      <c r="F69" s="328"/>
      <c r="G69" s="5122"/>
      <c r="H69" s="328"/>
      <c r="I69" s="5122"/>
      <c r="J69" s="328"/>
      <c r="K69" s="328"/>
      <c r="L69" s="328"/>
      <c r="M69" s="328"/>
      <c r="N69" s="328"/>
      <c r="O69" s="328"/>
      <c r="P69" s="4775">
        <f t="shared" si="30"/>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5"/>
        <v>0</v>
      </c>
      <c r="AI69" s="5962">
        <f>'Phụ lục số 5'!AI69</f>
        <v>0</v>
      </c>
      <c r="AJ69" s="5962">
        <f>'Phụ lục số 5'!AJ69</f>
        <v>0</v>
      </c>
      <c r="AK69" s="328"/>
      <c r="AL69" s="328"/>
      <c r="AM69" s="328"/>
      <c r="AN69" s="1656"/>
    </row>
    <row r="70" spans="1:40" s="596" customFormat="1">
      <c r="A70" s="603">
        <v>51</v>
      </c>
      <c r="B70" s="610" t="s">
        <v>710</v>
      </c>
      <c r="C70" s="5120">
        <f t="shared" si="18"/>
        <v>435</v>
      </c>
      <c r="D70" s="5120">
        <f t="shared" si="29"/>
        <v>0</v>
      </c>
      <c r="E70" s="328"/>
      <c r="F70" s="328"/>
      <c r="G70" s="5122"/>
      <c r="H70" s="328"/>
      <c r="I70" s="5122"/>
      <c r="J70" s="328"/>
      <c r="K70" s="328"/>
      <c r="L70" s="328"/>
      <c r="M70" s="328"/>
      <c r="N70" s="328"/>
      <c r="O70" s="328"/>
      <c r="P70" s="4775">
        <f t="shared" si="30"/>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5"/>
        <v>0</v>
      </c>
      <c r="AI70" s="5962">
        <f>'Phụ lục số 5'!AI70</f>
        <v>0</v>
      </c>
      <c r="AJ70" s="5962">
        <f>'Phụ lục số 5'!AJ70</f>
        <v>0</v>
      </c>
      <c r="AK70" s="328"/>
      <c r="AL70" s="328"/>
      <c r="AM70" s="328"/>
      <c r="AN70" s="1656"/>
    </row>
    <row r="71" spans="1:40" s="596" customFormat="1">
      <c r="A71" s="603">
        <v>52</v>
      </c>
      <c r="B71" s="610" t="s">
        <v>711</v>
      </c>
      <c r="C71" s="5120">
        <f t="shared" si="18"/>
        <v>676</v>
      </c>
      <c r="D71" s="5120">
        <f t="shared" si="29"/>
        <v>0</v>
      </c>
      <c r="E71" s="328"/>
      <c r="F71" s="328"/>
      <c r="G71" s="5122"/>
      <c r="H71" s="328"/>
      <c r="I71" s="5122"/>
      <c r="J71" s="328"/>
      <c r="K71" s="328"/>
      <c r="L71" s="328"/>
      <c r="M71" s="328"/>
      <c r="N71" s="328"/>
      <c r="O71" s="328"/>
      <c r="P71" s="4775">
        <f t="shared" si="30"/>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5"/>
        <v>0</v>
      </c>
      <c r="AI71" s="5962">
        <f>'Phụ lục số 5'!AI71</f>
        <v>0</v>
      </c>
      <c r="AJ71" s="5962">
        <f>'Phụ lục số 5'!AJ71</f>
        <v>0</v>
      </c>
      <c r="AK71" s="328"/>
      <c r="AL71" s="328"/>
      <c r="AM71" s="328"/>
      <c r="AN71" s="1656"/>
    </row>
    <row r="72" spans="1:40" s="596" customFormat="1">
      <c r="A72" s="603">
        <v>53</v>
      </c>
      <c r="B72" s="610" t="s">
        <v>712</v>
      </c>
      <c r="C72" s="5120">
        <f t="shared" si="18"/>
        <v>729.2</v>
      </c>
      <c r="D72" s="5120">
        <f t="shared" si="29"/>
        <v>0</v>
      </c>
      <c r="E72" s="328"/>
      <c r="F72" s="328"/>
      <c r="G72" s="5122"/>
      <c r="H72" s="328"/>
      <c r="I72" s="5122"/>
      <c r="J72" s="328"/>
      <c r="K72" s="328"/>
      <c r="L72" s="328"/>
      <c r="M72" s="328"/>
      <c r="N72" s="328"/>
      <c r="O72" s="328"/>
      <c r="P72" s="4775">
        <f t="shared" si="30"/>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5"/>
        <v>0</v>
      </c>
      <c r="AI72" s="5962">
        <f>'Phụ lục số 5'!AI72</f>
        <v>0</v>
      </c>
      <c r="AJ72" s="5962">
        <f>'Phụ lục số 5'!AJ72</f>
        <v>0</v>
      </c>
      <c r="AK72" s="328"/>
      <c r="AL72" s="328"/>
      <c r="AM72" s="328"/>
      <c r="AN72" s="1656"/>
    </row>
    <row r="73" spans="1:40" s="596" customFormat="1">
      <c r="A73" s="603">
        <v>54</v>
      </c>
      <c r="B73" s="610" t="s">
        <v>713</v>
      </c>
      <c r="C73" s="5120">
        <f t="shared" si="18"/>
        <v>150</v>
      </c>
      <c r="D73" s="5120">
        <f t="shared" si="29"/>
        <v>0</v>
      </c>
      <c r="E73" s="328"/>
      <c r="F73" s="328"/>
      <c r="G73" s="5122"/>
      <c r="H73" s="328"/>
      <c r="I73" s="5122"/>
      <c r="J73" s="328"/>
      <c r="K73" s="328"/>
      <c r="L73" s="328"/>
      <c r="M73" s="328"/>
      <c r="N73" s="328"/>
      <c r="O73" s="328"/>
      <c r="P73" s="4775">
        <f t="shared" si="30"/>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5"/>
        <v>0</v>
      </c>
      <c r="AI73" s="5962">
        <f>'Phụ lục số 5'!AI73</f>
        <v>0</v>
      </c>
      <c r="AJ73" s="5962">
        <f>'Phụ lục số 5'!AJ73</f>
        <v>0</v>
      </c>
      <c r="AK73" s="328"/>
      <c r="AL73" s="328"/>
      <c r="AM73" s="328"/>
      <c r="AN73" s="1656"/>
    </row>
    <row r="74" spans="1:40" s="596" customFormat="1">
      <c r="A74" s="603">
        <v>55</v>
      </c>
      <c r="B74" s="610" t="s">
        <v>714</v>
      </c>
      <c r="C74" s="5120">
        <f t="shared" si="18"/>
        <v>300</v>
      </c>
      <c r="D74" s="5120">
        <f t="shared" si="29"/>
        <v>0</v>
      </c>
      <c r="E74" s="328"/>
      <c r="F74" s="328"/>
      <c r="G74" s="5122"/>
      <c r="H74" s="328"/>
      <c r="I74" s="5122"/>
      <c r="J74" s="328"/>
      <c r="K74" s="328"/>
      <c r="L74" s="328"/>
      <c r="M74" s="328"/>
      <c r="N74" s="328"/>
      <c r="O74" s="328"/>
      <c r="P74" s="4775">
        <f t="shared" si="30"/>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5"/>
        <v>0</v>
      </c>
      <c r="AI74" s="5962">
        <f>'Phụ lục số 5'!AI74</f>
        <v>0</v>
      </c>
      <c r="AJ74" s="5962">
        <f>'Phụ lục số 5'!AJ74</f>
        <v>0</v>
      </c>
      <c r="AK74" s="328"/>
      <c r="AL74" s="328"/>
      <c r="AM74" s="328"/>
      <c r="AN74" s="1656"/>
    </row>
    <row r="75" spans="1:40" s="596" customFormat="1">
      <c r="A75" s="603">
        <v>56</v>
      </c>
      <c r="B75" s="610" t="s">
        <v>715</v>
      </c>
      <c r="C75" s="5120">
        <f t="shared" si="18"/>
        <v>0</v>
      </c>
      <c r="D75" s="5120">
        <f t="shared" si="29"/>
        <v>0</v>
      </c>
      <c r="E75" s="328"/>
      <c r="F75" s="328"/>
      <c r="G75" s="5122"/>
      <c r="H75" s="328"/>
      <c r="I75" s="5122"/>
      <c r="J75" s="328"/>
      <c r="K75" s="328"/>
      <c r="L75" s="328"/>
      <c r="M75" s="328"/>
      <c r="N75" s="328"/>
      <c r="O75" s="328"/>
      <c r="P75" s="4775">
        <f t="shared" si="30"/>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5"/>
        <v>0</v>
      </c>
      <c r="AI75" s="5962">
        <f>'Phụ lục số 5'!AI75</f>
        <v>0</v>
      </c>
      <c r="AJ75" s="5962">
        <f>'Phụ lục số 5'!AJ75</f>
        <v>0</v>
      </c>
      <c r="AK75" s="328"/>
      <c r="AL75" s="328"/>
      <c r="AM75" s="328"/>
      <c r="AN75" s="1656"/>
    </row>
    <row r="76" spans="1:40" s="596" customFormat="1">
      <c r="A76" s="603">
        <v>57</v>
      </c>
      <c r="B76" s="610" t="s">
        <v>716</v>
      </c>
      <c r="C76" s="5120">
        <f t="shared" si="18"/>
        <v>300</v>
      </c>
      <c r="D76" s="5120">
        <f t="shared" si="29"/>
        <v>0</v>
      </c>
      <c r="E76" s="328"/>
      <c r="F76" s="328"/>
      <c r="G76" s="5122"/>
      <c r="H76" s="328"/>
      <c r="I76" s="5122"/>
      <c r="J76" s="328"/>
      <c r="K76" s="328"/>
      <c r="L76" s="328"/>
      <c r="M76" s="328"/>
      <c r="N76" s="328"/>
      <c r="O76" s="328"/>
      <c r="P76" s="4775">
        <f t="shared" si="30"/>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5"/>
        <v>0</v>
      </c>
      <c r="AI76" s="5962">
        <f>'Phụ lục số 5'!AI76</f>
        <v>0</v>
      </c>
      <c r="AJ76" s="5962">
        <f>'Phụ lục số 5'!AJ76</f>
        <v>0</v>
      </c>
      <c r="AK76" s="328"/>
      <c r="AL76" s="328"/>
      <c r="AM76" s="328"/>
      <c r="AN76" s="1656"/>
    </row>
    <row r="77" spans="1:40" s="596" customFormat="1">
      <c r="A77" s="603">
        <v>58</v>
      </c>
      <c r="B77" s="610" t="s">
        <v>717</v>
      </c>
      <c r="C77" s="5120">
        <f t="shared" si="18"/>
        <v>200</v>
      </c>
      <c r="D77" s="5120">
        <f t="shared" si="29"/>
        <v>0</v>
      </c>
      <c r="E77" s="328"/>
      <c r="F77" s="328"/>
      <c r="G77" s="5122"/>
      <c r="H77" s="328"/>
      <c r="I77" s="5122"/>
      <c r="J77" s="328"/>
      <c r="K77" s="328"/>
      <c r="L77" s="328"/>
      <c r="M77" s="328"/>
      <c r="N77" s="328"/>
      <c r="O77" s="328"/>
      <c r="P77" s="4775">
        <f t="shared" si="30"/>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5"/>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8"/>
        <v>0</v>
      </c>
      <c r="D78" s="5120"/>
      <c r="E78" s="328"/>
      <c r="F78" s="328"/>
      <c r="G78" s="5122"/>
      <c r="H78" s="328"/>
      <c r="I78" s="5122"/>
      <c r="J78" s="328"/>
      <c r="K78" s="328"/>
      <c r="L78" s="328"/>
      <c r="M78" s="328"/>
      <c r="N78" s="328"/>
      <c r="O78" s="328"/>
      <c r="P78" s="4775">
        <f t="shared" si="30"/>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8"/>
        <v>9765</v>
      </c>
      <c r="D79" s="5120"/>
      <c r="E79" s="328"/>
      <c r="F79" s="328"/>
      <c r="G79" s="5122"/>
      <c r="H79" s="328"/>
      <c r="I79" s="5122"/>
      <c r="J79" s="328"/>
      <c r="K79" s="328"/>
      <c r="L79" s="328"/>
      <c r="M79" s="328"/>
      <c r="N79" s="328"/>
      <c r="O79" s="328"/>
      <c r="P79" s="4775">
        <f t="shared" si="30"/>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6">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6"/>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7">D82+P82+AD82+AE82+AH82+AL82+AF82+AG82+AK82+AN82</f>
        <v>12636.937382673808</v>
      </c>
      <c r="D82" s="5120">
        <f t="shared" ref="D82:D84" si="38">SUM(E82:O82)</f>
        <v>0</v>
      </c>
      <c r="E82" s="328"/>
      <c r="F82" s="328"/>
      <c r="G82" s="5122"/>
      <c r="H82" s="328"/>
      <c r="I82" s="5122"/>
      <c r="J82" s="328"/>
      <c r="K82" s="328"/>
      <c r="L82" s="328"/>
      <c r="M82" s="328"/>
      <c r="N82" s="328"/>
      <c r="O82" s="328"/>
      <c r="P82" s="5962">
        <f t="shared" si="36"/>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9">SUM(AI82:AJ82)</f>
        <v>0</v>
      </c>
      <c r="AI82" s="328"/>
      <c r="AJ82" s="328">
        <f>+'Phụ lục số 5'!AJ82</f>
        <v>0</v>
      </c>
      <c r="AK82" s="328"/>
      <c r="AL82" s="328"/>
      <c r="AM82" s="328"/>
      <c r="AN82" s="1656"/>
    </row>
    <row r="83" spans="1:40" s="380" customFormat="1" ht="34.799999999999997">
      <c r="A83" s="2977">
        <v>2</v>
      </c>
      <c r="B83" s="5974" t="s">
        <v>1697</v>
      </c>
      <c r="C83" s="5128">
        <f t="shared" ref="C83:C124" si="40">D83+P83+AD83+AE83+AH83+AL83+AF83+AG83+AK83</f>
        <v>0</v>
      </c>
      <c r="D83" s="5128">
        <f t="shared" si="38"/>
        <v>0</v>
      </c>
      <c r="E83" s="329"/>
      <c r="F83" s="329"/>
      <c r="G83" s="5125"/>
      <c r="H83" s="329"/>
      <c r="I83" s="5125"/>
      <c r="J83" s="329"/>
      <c r="K83" s="329"/>
      <c r="L83" s="329"/>
      <c r="M83" s="329"/>
      <c r="N83" s="329"/>
      <c r="O83" s="329"/>
      <c r="P83" s="1658">
        <f t="shared" si="36"/>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7"/>
        <v>0</v>
      </c>
      <c r="D84" s="5120">
        <f t="shared" si="38"/>
        <v>0</v>
      </c>
      <c r="E84" s="5122"/>
      <c r="F84" s="5122"/>
      <c r="G84" s="5122"/>
      <c r="H84" s="5122"/>
      <c r="I84" s="5122"/>
      <c r="J84" s="5122"/>
      <c r="K84" s="5122"/>
      <c r="L84" s="5122"/>
      <c r="M84" s="5122"/>
      <c r="N84" s="5122"/>
      <c r="O84" s="5122"/>
      <c r="P84" s="5123">
        <f t="shared" si="36"/>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40"/>
        <v>0</v>
      </c>
      <c r="D85" s="329">
        <f>SUM(E85:K85)</f>
        <v>0</v>
      </c>
      <c r="E85" s="329"/>
      <c r="F85" s="329"/>
      <c r="G85" s="5125"/>
      <c r="H85" s="329"/>
      <c r="I85" s="5125"/>
      <c r="J85" s="329"/>
      <c r="K85" s="329"/>
      <c r="L85" s="329"/>
      <c r="M85" s="329"/>
      <c r="N85" s="329"/>
      <c r="O85" s="329"/>
      <c r="P85" s="1658">
        <f t="shared" si="36"/>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7"/>
        <v>0</v>
      </c>
      <c r="D86" s="5122">
        <f t="shared" ref="D86" si="41">SUM(E86:K86)</f>
        <v>0</v>
      </c>
      <c r="E86" s="5122"/>
      <c r="F86" s="5122"/>
      <c r="G86" s="5122"/>
      <c r="H86" s="5122"/>
      <c r="I86" s="5122"/>
      <c r="J86" s="5122"/>
      <c r="K86" s="5122"/>
      <c r="L86" s="5122"/>
      <c r="M86" s="5122"/>
      <c r="N86" s="5122"/>
      <c r="O86" s="5122"/>
      <c r="P86" s="5123">
        <f t="shared" si="36"/>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40"/>
        <v>0</v>
      </c>
      <c r="D87" s="5125"/>
      <c r="E87" s="5125"/>
      <c r="F87" s="5125"/>
      <c r="G87" s="5125"/>
      <c r="H87" s="5125"/>
      <c r="I87" s="5125"/>
      <c r="J87" s="5125"/>
      <c r="K87" s="5125"/>
      <c r="L87" s="5125"/>
      <c r="M87" s="5125"/>
      <c r="N87" s="5125"/>
      <c r="O87" s="5125"/>
      <c r="P87" s="5121">
        <f t="shared" si="36"/>
        <v>0</v>
      </c>
      <c r="Q87" s="5121"/>
      <c r="R87" s="5121">
        <f t="shared" ref="R87" si="42">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7"/>
        <v>0</v>
      </c>
      <c r="D88" s="5122"/>
      <c r="E88" s="5122"/>
      <c r="F88" s="5122"/>
      <c r="G88" s="5122"/>
      <c r="H88" s="5122"/>
      <c r="I88" s="5122"/>
      <c r="J88" s="5122"/>
      <c r="K88" s="5122"/>
      <c r="L88" s="5122"/>
      <c r="M88" s="5122"/>
      <c r="N88" s="5122"/>
      <c r="O88" s="5122"/>
      <c r="P88" s="5123">
        <f t="shared" si="36"/>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6"/>
        <v>0.25699999998323619</v>
      </c>
      <c r="Q89" s="5121"/>
      <c r="R89" s="1658"/>
      <c r="S89" s="329"/>
      <c r="T89" s="329"/>
      <c r="U89" s="1658">
        <f>U90+U113</f>
        <v>0.25699999998323619</v>
      </c>
      <c r="V89" s="1658">
        <f t="shared" ref="V89:AJ89" si="43">V90</f>
        <v>0</v>
      </c>
      <c r="W89" s="1658">
        <f t="shared" si="43"/>
        <v>0</v>
      </c>
      <c r="X89" s="1658">
        <f t="shared" si="43"/>
        <v>0</v>
      </c>
      <c r="Y89" s="1658">
        <f t="shared" si="43"/>
        <v>0</v>
      </c>
      <c r="Z89" s="1658">
        <f t="shared" si="43"/>
        <v>0</v>
      </c>
      <c r="AA89" s="1658">
        <f t="shared" si="43"/>
        <v>0</v>
      </c>
      <c r="AB89" s="1658">
        <f t="shared" si="43"/>
        <v>0</v>
      </c>
      <c r="AC89" s="1658">
        <f t="shared" si="43"/>
        <v>0</v>
      </c>
      <c r="AD89" s="1658">
        <f t="shared" si="43"/>
        <v>0</v>
      </c>
      <c r="AE89" s="1658">
        <f t="shared" si="43"/>
        <v>0</v>
      </c>
      <c r="AF89" s="1658">
        <f t="shared" si="43"/>
        <v>0</v>
      </c>
      <c r="AG89" s="1658">
        <f t="shared" si="43"/>
        <v>0</v>
      </c>
      <c r="AH89" s="1658">
        <f t="shared" si="43"/>
        <v>0</v>
      </c>
      <c r="AI89" s="1658">
        <f t="shared" si="43"/>
        <v>0</v>
      </c>
      <c r="AJ89" s="1658">
        <f t="shared" si="43"/>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7"/>
        <v>0.25699999998323619</v>
      </c>
      <c r="D90" s="5122"/>
      <c r="E90" s="5122"/>
      <c r="F90" s="5122"/>
      <c r="G90" s="5122"/>
      <c r="H90" s="5122"/>
      <c r="I90" s="5122"/>
      <c r="J90" s="5122"/>
      <c r="K90" s="5122"/>
      <c r="L90" s="5122"/>
      <c r="M90" s="5122"/>
      <c r="N90" s="5122"/>
      <c r="O90" s="5122"/>
      <c r="P90" s="5123">
        <f t="shared" si="36"/>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9"/>
        <v>0</v>
      </c>
      <c r="AI90" s="5122"/>
      <c r="AJ90" s="5122"/>
      <c r="AK90" s="5122"/>
      <c r="AL90" s="5122"/>
      <c r="AM90" s="5122"/>
      <c r="AN90" s="2626"/>
    </row>
    <row r="91" spans="1:40" s="5127" customFormat="1">
      <c r="A91" s="620">
        <v>5</v>
      </c>
      <c r="B91" s="5119" t="s">
        <v>1789</v>
      </c>
      <c r="C91" s="5124">
        <f t="shared" si="40"/>
        <v>0</v>
      </c>
      <c r="D91" s="5125"/>
      <c r="E91" s="5125"/>
      <c r="F91" s="5125"/>
      <c r="G91" s="5125"/>
      <c r="H91" s="5125"/>
      <c r="I91" s="5125"/>
      <c r="J91" s="5125"/>
      <c r="K91" s="5125"/>
      <c r="L91" s="5125"/>
      <c r="M91" s="5125"/>
      <c r="N91" s="5125"/>
      <c r="O91" s="5125"/>
      <c r="P91" s="5121">
        <f t="shared" si="36"/>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7"/>
        <v>0</v>
      </c>
      <c r="D92" s="5122"/>
      <c r="E92" s="5122"/>
      <c r="F92" s="5122"/>
      <c r="G92" s="5122"/>
      <c r="H92" s="5122"/>
      <c r="I92" s="5122"/>
      <c r="J92" s="5122"/>
      <c r="K92" s="5122"/>
      <c r="L92" s="5122"/>
      <c r="M92" s="5122"/>
      <c r="N92" s="5122"/>
      <c r="O92" s="5122"/>
      <c r="P92" s="5123">
        <f t="shared" si="36"/>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40"/>
        <v>0</v>
      </c>
      <c r="D93" s="329"/>
      <c r="E93" s="329"/>
      <c r="F93" s="329"/>
      <c r="G93" s="5125"/>
      <c r="H93" s="329"/>
      <c r="I93" s="5125"/>
      <c r="J93" s="329"/>
      <c r="K93" s="329"/>
      <c r="L93" s="329"/>
      <c r="M93" s="329"/>
      <c r="N93" s="329"/>
      <c r="O93" s="329"/>
      <c r="P93" s="5123">
        <f t="shared" si="36"/>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7"/>
        <v>0</v>
      </c>
      <c r="D94" s="5122"/>
      <c r="E94" s="5122"/>
      <c r="F94" s="5122"/>
      <c r="G94" s="5122"/>
      <c r="H94" s="5122"/>
      <c r="I94" s="5122"/>
      <c r="J94" s="5122"/>
      <c r="K94" s="5122"/>
      <c r="L94" s="5122"/>
      <c r="M94" s="5122"/>
      <c r="N94" s="5122"/>
      <c r="O94" s="5122"/>
      <c r="P94" s="5123">
        <f t="shared" si="36"/>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40"/>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7"/>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40"/>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7"/>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5"/>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9"/>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7"/>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7"/>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4">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7"/>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4"/>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7"/>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4"/>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9"/>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7"/>
        <v>80946.835146215482</v>
      </c>
      <c r="D105" s="5122"/>
      <c r="E105" s="5122"/>
      <c r="F105" s="5122"/>
      <c r="G105" s="5122"/>
      <c r="H105" s="5122"/>
      <c r="I105" s="5122"/>
      <c r="J105" s="5122"/>
      <c r="K105" s="5122"/>
      <c r="L105" s="5122"/>
      <c r="M105" s="5122"/>
      <c r="N105" s="5122"/>
      <c r="O105" s="5122"/>
      <c r="P105" s="5123">
        <f t="shared" si="44"/>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40"/>
        <v>13652.513398000039</v>
      </c>
      <c r="D106" s="5125">
        <f t="shared" si="25"/>
        <v>0</v>
      </c>
      <c r="E106" s="5125"/>
      <c r="F106" s="5125"/>
      <c r="G106" s="5125"/>
      <c r="H106" s="5125"/>
      <c r="I106" s="5125"/>
      <c r="J106" s="5125"/>
      <c r="K106" s="5125"/>
      <c r="L106" s="5125"/>
      <c r="M106" s="5125"/>
      <c r="N106" s="5125"/>
      <c r="O106" s="5125"/>
      <c r="P106" s="5121">
        <f t="shared" ref="P106:P112" si="45">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9"/>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7"/>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5"/>
        <v>0.10000000000582077</v>
      </c>
      <c r="Q108" s="5121"/>
      <c r="R108" s="5125"/>
      <c r="S108" s="5125"/>
      <c r="T108" s="5125"/>
      <c r="U108" s="5125"/>
      <c r="V108" s="5121"/>
      <c r="W108" s="5125"/>
      <c r="X108" s="5125"/>
      <c r="Y108" s="5125"/>
      <c r="Z108" s="5125"/>
      <c r="AA108" s="5121"/>
      <c r="AB108" s="329">
        <f>SUM(AB109:AB110)+AB113</f>
        <v>0.10000000000582077</v>
      </c>
      <c r="AC108" s="329">
        <f t="shared" ref="AC108:AG108" si="46">SUM(AC109:AC110)</f>
        <v>0</v>
      </c>
      <c r="AD108" s="329">
        <f t="shared" si="46"/>
        <v>0</v>
      </c>
      <c r="AE108" s="329">
        <f t="shared" si="46"/>
        <v>0</v>
      </c>
      <c r="AF108" s="329">
        <f t="shared" si="46"/>
        <v>0</v>
      </c>
      <c r="AG108" s="329">
        <f t="shared" si="46"/>
        <v>0</v>
      </c>
      <c r="AH108" s="329">
        <f>SUM(AH109:AH110)</f>
        <v>12060</v>
      </c>
      <c r="AI108" s="329">
        <f t="shared" ref="AI108:AM108" si="47">SUM(AI109:AI110)</f>
        <v>0</v>
      </c>
      <c r="AJ108" s="329">
        <f t="shared" si="47"/>
        <v>12060</v>
      </c>
      <c r="AK108" s="329">
        <f t="shared" si="47"/>
        <v>0</v>
      </c>
      <c r="AL108" s="329">
        <f t="shared" si="47"/>
        <v>0</v>
      </c>
      <c r="AM108" s="329">
        <f t="shared" si="47"/>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7"/>
        <v>12060</v>
      </c>
      <c r="D109" s="5122"/>
      <c r="E109" s="5122"/>
      <c r="F109" s="5122"/>
      <c r="G109" s="5122"/>
      <c r="H109" s="5122"/>
      <c r="I109" s="5122"/>
      <c r="J109" s="5122"/>
      <c r="K109" s="5122"/>
      <c r="L109" s="5122"/>
      <c r="M109" s="5122"/>
      <c r="N109" s="5122"/>
      <c r="O109" s="5122"/>
      <c r="P109" s="5962">
        <f t="shared" si="45"/>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9"/>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7"/>
        <v>0.10000000000582077</v>
      </c>
      <c r="D110" s="329">
        <f t="shared" si="25"/>
        <v>0</v>
      </c>
      <c r="E110" s="329"/>
      <c r="F110" s="329"/>
      <c r="G110" s="5125"/>
      <c r="H110" s="329"/>
      <c r="I110" s="5125"/>
      <c r="J110" s="329"/>
      <c r="K110" s="329"/>
      <c r="L110" s="329"/>
      <c r="M110" s="329"/>
      <c r="N110" s="329"/>
      <c r="O110" s="329"/>
      <c r="P110" s="5962">
        <f t="shared" si="45"/>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9"/>
        <v>0</v>
      </c>
      <c r="AI110" s="329"/>
      <c r="AJ110" s="329">
        <f>+'Phụ lục số 5'!AJ110</f>
        <v>0</v>
      </c>
      <c r="AK110" s="329"/>
      <c r="AL110" s="329"/>
      <c r="AM110" s="329"/>
      <c r="AN110" s="1657"/>
    </row>
    <row r="111" spans="1:40" s="380" customFormat="1">
      <c r="A111" s="611">
        <v>12</v>
      </c>
      <c r="B111" s="612" t="s">
        <v>721</v>
      </c>
      <c r="C111" s="5128">
        <f>+C112</f>
        <v>13427.738688122938</v>
      </c>
      <c r="D111" s="329">
        <f t="shared" si="25"/>
        <v>0</v>
      </c>
      <c r="E111" s="329"/>
      <c r="F111" s="329"/>
      <c r="G111" s="5125"/>
      <c r="H111" s="329"/>
      <c r="I111" s="5125"/>
      <c r="J111" s="329"/>
      <c r="K111" s="329"/>
      <c r="L111" s="329"/>
      <c r="M111" s="329"/>
      <c r="N111" s="329"/>
      <c r="O111" s="329"/>
      <c r="P111" s="1658">
        <f t="shared" si="45"/>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9"/>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7"/>
        <v>13427.738688122938</v>
      </c>
      <c r="D112" s="328">
        <f t="shared" si="25"/>
        <v>0</v>
      </c>
      <c r="E112" s="328"/>
      <c r="F112" s="328"/>
      <c r="G112" s="5122"/>
      <c r="H112" s="328"/>
      <c r="I112" s="5122"/>
      <c r="J112" s="328"/>
      <c r="K112" s="328"/>
      <c r="L112" s="328"/>
      <c r="M112" s="328"/>
      <c r="N112" s="328"/>
      <c r="O112" s="328"/>
      <c r="P112" s="5962">
        <f t="shared" si="45"/>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9"/>
        <v>0</v>
      </c>
      <c r="AI112" s="328"/>
      <c r="AJ112" s="328"/>
      <c r="AK112" s="328"/>
      <c r="AL112" s="328"/>
      <c r="AM112" s="328"/>
      <c r="AN112" s="1656"/>
    </row>
    <row r="113" spans="1:41" s="380" customFormat="1" ht="34.799999999999997">
      <c r="A113" s="611">
        <v>13</v>
      </c>
      <c r="B113" s="630" t="s">
        <v>722</v>
      </c>
      <c r="C113" s="5128">
        <f t="shared" si="40"/>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40"/>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9"/>
        <v>0</v>
      </c>
      <c r="AI114" s="329"/>
      <c r="AJ114" s="329"/>
      <c r="AK114" s="329"/>
      <c r="AL114" s="329"/>
      <c r="AM114" s="329"/>
      <c r="AN114" s="1657"/>
    </row>
    <row r="115" spans="1:41" s="380" customFormat="1" ht="39.75" customHeight="1">
      <c r="A115" s="611" t="s">
        <v>44</v>
      </c>
      <c r="B115" s="612" t="s">
        <v>758</v>
      </c>
      <c r="C115" s="5128">
        <f t="shared" si="40"/>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9"/>
        <v>0</v>
      </c>
      <c r="AI115" s="329"/>
      <c r="AJ115" s="329"/>
      <c r="AK115" s="329"/>
      <c r="AL115" s="329"/>
      <c r="AM115" s="329"/>
      <c r="AN115" s="1657"/>
    </row>
    <row r="116" spans="1:41" s="380" customFormat="1" ht="34.799999999999997">
      <c r="A116" s="611" t="s">
        <v>46</v>
      </c>
      <c r="B116" s="612" t="s">
        <v>728</v>
      </c>
      <c r="C116" s="5128">
        <f t="shared" si="40"/>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40"/>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9"/>
        <v>0</v>
      </c>
      <c r="AI117" s="329"/>
      <c r="AJ117" s="329"/>
      <c r="AK117" s="329"/>
      <c r="AL117" s="329"/>
      <c r="AM117" s="329"/>
      <c r="AN117" s="1657"/>
    </row>
    <row r="118" spans="1:41" s="380" customFormat="1">
      <c r="A118" s="611" t="s">
        <v>725</v>
      </c>
      <c r="B118" s="612" t="s">
        <v>760</v>
      </c>
      <c r="C118" s="5128">
        <f t="shared" si="40"/>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9"/>
        <v>0</v>
      </c>
      <c r="AI118" s="329"/>
      <c r="AJ118" s="329"/>
      <c r="AK118" s="329"/>
      <c r="AL118" s="329"/>
      <c r="AM118" s="329"/>
      <c r="AN118" s="1657"/>
    </row>
    <row r="119" spans="1:41" s="380" customFormat="1" ht="34.799999999999997">
      <c r="A119" s="611" t="s">
        <v>726</v>
      </c>
      <c r="B119" s="612" t="s">
        <v>761</v>
      </c>
      <c r="C119" s="5128">
        <f t="shared" si="40"/>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9"/>
        <v>0</v>
      </c>
      <c r="AI119" s="329"/>
      <c r="AJ119" s="329"/>
      <c r="AK119" s="329"/>
      <c r="AL119" s="329"/>
      <c r="AM119" s="329"/>
      <c r="AN119" s="1657"/>
    </row>
    <row r="120" spans="1:41" s="380" customFormat="1">
      <c r="A120" s="611" t="s">
        <v>727</v>
      </c>
      <c r="B120" s="612" t="s">
        <v>723</v>
      </c>
      <c r="C120" s="5128">
        <f t="shared" si="40"/>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40"/>
        <v>163959.4</v>
      </c>
      <c r="D121" s="1658">
        <f t="shared" ref="D121" si="48">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9"/>
        <v>0</v>
      </c>
      <c r="AI121" s="329"/>
      <c r="AJ121" s="329"/>
      <c r="AK121" s="329"/>
      <c r="AL121" s="329"/>
      <c r="AM121" s="329"/>
      <c r="AN121" s="1657"/>
    </row>
    <row r="122" spans="1:41" s="380" customFormat="1">
      <c r="A122" s="611" t="s">
        <v>3</v>
      </c>
      <c r="B122" s="631" t="s">
        <v>763</v>
      </c>
      <c r="C122" s="5128">
        <f t="shared" si="40"/>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40"/>
        <v>2530494</v>
      </c>
      <c r="D123" s="1658">
        <f t="shared" ref="D123:D127" si="49">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9"/>
        <v>2530494</v>
      </c>
      <c r="AI123" s="1658">
        <f>+'Phụ lục số 5'!AI123</f>
        <v>2530494</v>
      </c>
      <c r="AJ123" s="329"/>
      <c r="AK123" s="329"/>
      <c r="AL123" s="329"/>
      <c r="AM123" s="329"/>
      <c r="AN123" s="1657"/>
    </row>
    <row r="124" spans="1:41" s="380" customFormat="1" ht="34.799999999999997">
      <c r="A124" s="611" t="s">
        <v>731</v>
      </c>
      <c r="B124" s="612" t="s">
        <v>765</v>
      </c>
      <c r="C124" s="5128">
        <f t="shared" si="40"/>
        <v>0</v>
      </c>
      <c r="D124" s="1658">
        <f t="shared" si="49"/>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9"/>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9"/>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L5:AL9"/>
    <mergeCell ref="P6:AC6"/>
    <mergeCell ref="AE6:AE9"/>
    <mergeCell ref="AD6:AD9"/>
    <mergeCell ref="AF6:AF9"/>
    <mergeCell ref="AG6:AG9"/>
    <mergeCell ref="AH6:AH9"/>
    <mergeCell ref="AI6:AJ7"/>
    <mergeCell ref="C5:AJ5"/>
    <mergeCell ref="C6:C9"/>
    <mergeCell ref="D6:O6"/>
    <mergeCell ref="AK6:AK9"/>
    <mergeCell ref="Q7:AC7"/>
    <mergeCell ref="A5:A9"/>
    <mergeCell ref="B5:B9"/>
    <mergeCell ref="E8:E9"/>
    <mergeCell ref="F8:F9"/>
    <mergeCell ref="H8:H9"/>
    <mergeCell ref="G8:G9"/>
    <mergeCell ref="AN5:AN9"/>
    <mergeCell ref="D7:D9"/>
    <mergeCell ref="E7:O7"/>
    <mergeCell ref="P7:P9"/>
    <mergeCell ref="AH4:AJ4"/>
    <mergeCell ref="K8:K9"/>
    <mergeCell ref="I8:I9"/>
    <mergeCell ref="J8:J9"/>
    <mergeCell ref="AM5:AM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E39"/>
  <sheetViews>
    <sheetView workbookViewId="0">
      <selection activeCell="B7" sqref="B7"/>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09" t="str">
        <f>+'Phụ lục số 6'!A1:E1</f>
        <v>DỰ TOÁN CHI NGÂN SÁCH CHO MỘT SỐ CHƯƠNG TRÌNH, DỰ ÁN, NHIỆM VỤ KHÁC QUAN TRỌNG NĂM 2025</v>
      </c>
      <c r="B1" s="6497"/>
      <c r="C1" s="6497"/>
      <c r="D1" s="6497"/>
      <c r="E1" s="6497"/>
    </row>
    <row r="2" spans="1:5">
      <c r="A2" s="6512" t="str">
        <f>+'Phụ lục 5-HĐND'!A2:AM2</f>
        <v>(Kèm theo Nghị quyết số         /NQ-HĐND ngày     /12/2024 của Hội đồng nhân dân Tỉnh)</v>
      </c>
      <c r="B2" s="6498"/>
      <c r="C2" s="6498"/>
      <c r="D2" s="6498"/>
      <c r="E2" s="6498"/>
    </row>
    <row r="3" spans="1:5">
      <c r="A3" s="431"/>
      <c r="B3" s="2635"/>
      <c r="C3" s="2635"/>
      <c r="D3" s="2635"/>
      <c r="E3" s="2635"/>
    </row>
    <row r="4" spans="1:5" ht="18.600000000000001" thickBot="1">
      <c r="B4" s="6575" t="s">
        <v>638</v>
      </c>
      <c r="C4" s="6575"/>
      <c r="D4" s="6575"/>
      <c r="E4" s="6575"/>
    </row>
    <row r="5" spans="1:5" s="431" customFormat="1" thickTop="1">
      <c r="A5" s="6561" t="s">
        <v>247</v>
      </c>
      <c r="B5" s="6519" t="s">
        <v>1123</v>
      </c>
      <c r="C5" s="6519" t="s">
        <v>1455</v>
      </c>
      <c r="D5" s="6519" t="s">
        <v>998</v>
      </c>
      <c r="E5" s="6576"/>
    </row>
    <row r="6" spans="1:5" s="431" customFormat="1" ht="34.799999999999997">
      <c r="A6" s="6562"/>
      <c r="B6" s="6044"/>
      <c r="C6" s="6044"/>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R57"/>
  <sheetViews>
    <sheetView workbookViewId="0">
      <pane xSplit="5" ySplit="5" topLeftCell="F6" activePane="bottomRight" state="frozen"/>
      <selection pane="topRight" activeCell="F1" sqref="F1"/>
      <selection pane="bottomLeft" activeCell="A6" sqref="A6"/>
      <selection pane="bottomRight" activeCell="E38" sqref="E38"/>
    </sheetView>
  </sheetViews>
  <sheetFormatPr defaultColWidth="12" defaultRowHeight="18"/>
  <cols>
    <col min="1" max="1" width="6" style="2732" bestFit="1" customWidth="1"/>
    <col min="2" max="2" width="45.6640625" style="679" customWidth="1"/>
    <col min="3" max="41" width="8.88671875" style="679" customWidth="1"/>
    <col min="42" max="16384" width="12" style="679"/>
  </cols>
  <sheetData>
    <row r="1" spans="1:44">
      <c r="B1" s="2733"/>
      <c r="C1" s="6734" t="s">
        <v>1845</v>
      </c>
      <c r="D1" s="6734"/>
      <c r="E1" s="6734"/>
      <c r="F1" s="6734"/>
      <c r="G1" s="6734"/>
      <c r="H1" s="6734"/>
      <c r="I1" s="6734"/>
      <c r="J1" s="6734"/>
      <c r="K1" s="6734"/>
      <c r="L1" s="6734"/>
      <c r="M1" s="6734"/>
      <c r="N1" s="6734"/>
      <c r="O1" s="6734"/>
      <c r="P1" s="6734"/>
      <c r="Q1" s="6734"/>
      <c r="R1" s="6734"/>
      <c r="S1" s="6734"/>
      <c r="T1" s="6734"/>
      <c r="U1" s="6734"/>
      <c r="V1" s="6734"/>
      <c r="W1" s="6734"/>
      <c r="X1" s="6734" t="str">
        <f>C1</f>
        <v>DỰ TOÁN THU NSNN NĂM 2025 TRÊN ĐỊA BÀN HUYỆN, THÀNH PHỐ</v>
      </c>
      <c r="Y1" s="6734"/>
      <c r="Z1" s="6734"/>
      <c r="AA1" s="6734"/>
      <c r="AB1" s="6734"/>
      <c r="AC1" s="6734"/>
      <c r="AD1" s="6734"/>
      <c r="AE1" s="6734"/>
      <c r="AF1" s="6734"/>
      <c r="AG1" s="6734"/>
      <c r="AH1" s="6734"/>
      <c r="AI1" s="6734"/>
      <c r="AJ1" s="6734"/>
      <c r="AK1" s="6734"/>
      <c r="AL1" s="6734"/>
      <c r="AM1" s="6734"/>
      <c r="AN1" s="6734"/>
      <c r="AO1" s="6734"/>
      <c r="AP1" s="2733"/>
      <c r="AQ1" s="2733"/>
      <c r="AR1" s="2733"/>
    </row>
    <row r="2" spans="1:44">
      <c r="A2" s="2734"/>
      <c r="B2" s="2734"/>
      <c r="C2" s="6735" t="s">
        <v>1726</v>
      </c>
      <c r="D2" s="6736"/>
      <c r="E2" s="6736"/>
      <c r="F2" s="6736"/>
      <c r="G2" s="6736"/>
      <c r="H2" s="6736"/>
      <c r="I2" s="6736"/>
      <c r="J2" s="6736"/>
      <c r="K2" s="6736"/>
      <c r="L2" s="6736"/>
      <c r="M2" s="6736"/>
      <c r="N2" s="6736"/>
      <c r="O2" s="6736"/>
      <c r="P2" s="6736"/>
      <c r="Q2" s="6736"/>
      <c r="R2" s="6736"/>
      <c r="S2" s="6736"/>
      <c r="T2" s="6736"/>
      <c r="U2" s="6736"/>
      <c r="V2" s="6736"/>
      <c r="W2" s="6736"/>
      <c r="X2" s="6314" t="str">
        <f>C2</f>
        <v>(Kèm theo Nghị quyết số          /NQ-HĐND ngày      /12/2024 của Hội đồng nhân dân Tỉnh)</v>
      </c>
      <c r="Y2" s="6314"/>
      <c r="Z2" s="6314"/>
      <c r="AA2" s="6314"/>
      <c r="AB2" s="6314"/>
      <c r="AC2" s="6314"/>
      <c r="AD2" s="6314"/>
      <c r="AE2" s="6314"/>
      <c r="AF2" s="6314"/>
      <c r="AG2" s="6314"/>
      <c r="AH2" s="6314"/>
      <c r="AI2" s="6314"/>
      <c r="AJ2" s="6314"/>
      <c r="AK2" s="6314"/>
      <c r="AL2" s="6314"/>
      <c r="AM2" s="6314"/>
      <c r="AN2" s="6314"/>
      <c r="AO2" s="6314"/>
    </row>
    <row r="3" spans="1:44">
      <c r="A3" s="2735"/>
      <c r="B3" s="2735"/>
      <c r="C3" s="2735"/>
      <c r="D3" s="2735"/>
      <c r="E3" s="2735"/>
      <c r="F3" s="2735"/>
      <c r="G3" s="2735"/>
      <c r="H3" s="2735"/>
      <c r="I3" s="2735"/>
      <c r="J3" s="2735"/>
      <c r="K3" s="2735"/>
      <c r="L3" s="2735"/>
      <c r="M3" s="2735"/>
      <c r="N3" s="2735"/>
      <c r="O3" s="2735"/>
      <c r="P3" s="2735"/>
      <c r="Q3" s="2735"/>
      <c r="R3" s="2735"/>
      <c r="S3" s="2735"/>
      <c r="T3" s="2735"/>
      <c r="U3" s="2735"/>
      <c r="V3" s="2735"/>
      <c r="W3" s="2735"/>
      <c r="X3" s="2735"/>
      <c r="Y3" s="2735"/>
      <c r="Z3" s="2735"/>
      <c r="AA3" s="2735"/>
      <c r="AB3" s="2735"/>
      <c r="AC3" s="2735"/>
      <c r="AD3" s="2736"/>
      <c r="AE3" s="2736"/>
      <c r="AF3" s="2736"/>
      <c r="AG3" s="2736"/>
      <c r="AH3" s="2736"/>
      <c r="AI3" s="2736"/>
      <c r="AJ3" s="2736"/>
      <c r="AK3" s="2736"/>
      <c r="AL3" s="2736"/>
      <c r="AM3" s="2736"/>
      <c r="AN3" s="2736"/>
      <c r="AO3" s="2736"/>
    </row>
    <row r="4" spans="1:44" ht="18.600000000000001" thickBot="1">
      <c r="D4" s="2737"/>
      <c r="E4" s="2737"/>
      <c r="F4" s="5331"/>
      <c r="T4" s="6737" t="s">
        <v>638</v>
      </c>
      <c r="U4" s="6737"/>
      <c r="V4" s="6737"/>
      <c r="W4" s="6737"/>
      <c r="X4" s="320"/>
      <c r="AD4" s="6737"/>
      <c r="AE4" s="6737"/>
      <c r="AF4" s="6737"/>
      <c r="AL4" s="6737" t="str">
        <f>T4</f>
        <v>Đơn vị tính: Triệu đồng</v>
      </c>
      <c r="AM4" s="6737"/>
      <c r="AN4" s="6737"/>
      <c r="AO4" s="6737"/>
    </row>
    <row r="5" spans="1:44" ht="18.600000000000001" thickTop="1">
      <c r="A5" s="6730" t="s">
        <v>247</v>
      </c>
      <c r="B5" s="6732" t="s">
        <v>767</v>
      </c>
      <c r="C5" s="6729" t="s">
        <v>651</v>
      </c>
      <c r="D5" s="6729"/>
      <c r="E5" s="6729"/>
      <c r="F5" s="6729" t="s">
        <v>768</v>
      </c>
      <c r="G5" s="6729"/>
      <c r="H5" s="6729"/>
      <c r="I5" s="6729" t="s">
        <v>769</v>
      </c>
      <c r="J5" s="6729"/>
      <c r="K5" s="6729"/>
      <c r="L5" s="6729" t="s">
        <v>770</v>
      </c>
      <c r="M5" s="6729"/>
      <c r="N5" s="6729"/>
      <c r="O5" s="6729" t="s">
        <v>771</v>
      </c>
      <c r="P5" s="6729"/>
      <c r="Q5" s="6729"/>
      <c r="R5" s="6729" t="s">
        <v>772</v>
      </c>
      <c r="S5" s="6729"/>
      <c r="T5" s="6729"/>
      <c r="U5" s="6729" t="s">
        <v>773</v>
      </c>
      <c r="V5" s="6729"/>
      <c r="W5" s="6739"/>
      <c r="X5" s="6740" t="s">
        <v>774</v>
      </c>
      <c r="Y5" s="6729"/>
      <c r="Z5" s="6729"/>
      <c r="AA5" s="6729" t="s">
        <v>775</v>
      </c>
      <c r="AB5" s="6729"/>
      <c r="AC5" s="6729"/>
      <c r="AD5" s="6729" t="s">
        <v>776</v>
      </c>
      <c r="AE5" s="6729"/>
      <c r="AF5" s="6729"/>
      <c r="AG5" s="6729" t="s">
        <v>777</v>
      </c>
      <c r="AH5" s="6729"/>
      <c r="AI5" s="6729"/>
      <c r="AJ5" s="6729" t="s">
        <v>778</v>
      </c>
      <c r="AK5" s="6729"/>
      <c r="AL5" s="6729"/>
      <c r="AM5" s="6729" t="s">
        <v>779</v>
      </c>
      <c r="AN5" s="6729"/>
      <c r="AO5" s="6738"/>
    </row>
    <row r="6" spans="1:44" s="314" customFormat="1" ht="27.75" customHeight="1">
      <c r="A6" s="6731"/>
      <c r="B6" s="6733"/>
      <c r="C6" s="2738" t="s">
        <v>780</v>
      </c>
      <c r="D6" s="2738" t="s">
        <v>781</v>
      </c>
      <c r="E6" s="2738" t="s">
        <v>782</v>
      </c>
      <c r="F6" s="2738" t="s">
        <v>780</v>
      </c>
      <c r="G6" s="2738" t="s">
        <v>781</v>
      </c>
      <c r="H6" s="2738" t="s">
        <v>782</v>
      </c>
      <c r="I6" s="2738" t="s">
        <v>780</v>
      </c>
      <c r="J6" s="2738" t="s">
        <v>781</v>
      </c>
      <c r="K6" s="2738" t="s">
        <v>782</v>
      </c>
      <c r="L6" s="2738" t="s">
        <v>780</v>
      </c>
      <c r="M6" s="2738" t="s">
        <v>781</v>
      </c>
      <c r="N6" s="2738" t="s">
        <v>782</v>
      </c>
      <c r="O6" s="2738" t="s">
        <v>780</v>
      </c>
      <c r="P6" s="2738" t="s">
        <v>781</v>
      </c>
      <c r="Q6" s="2738" t="s">
        <v>782</v>
      </c>
      <c r="R6" s="2738" t="s">
        <v>780</v>
      </c>
      <c r="S6" s="2738" t="s">
        <v>781</v>
      </c>
      <c r="T6" s="2738" t="s">
        <v>782</v>
      </c>
      <c r="U6" s="2738" t="s">
        <v>780</v>
      </c>
      <c r="V6" s="2738" t="s">
        <v>781</v>
      </c>
      <c r="W6" s="5332" t="s">
        <v>782</v>
      </c>
      <c r="X6" s="5333" t="s">
        <v>780</v>
      </c>
      <c r="Y6" s="2738" t="s">
        <v>781</v>
      </c>
      <c r="Z6" s="2738" t="s">
        <v>782</v>
      </c>
      <c r="AA6" s="2738" t="s">
        <v>780</v>
      </c>
      <c r="AB6" s="2738" t="s">
        <v>781</v>
      </c>
      <c r="AC6" s="2738" t="s">
        <v>782</v>
      </c>
      <c r="AD6" s="2738" t="s">
        <v>780</v>
      </c>
      <c r="AE6" s="2738" t="s">
        <v>781</v>
      </c>
      <c r="AF6" s="2738" t="s">
        <v>782</v>
      </c>
      <c r="AG6" s="2738" t="s">
        <v>780</v>
      </c>
      <c r="AH6" s="2738" t="s">
        <v>781</v>
      </c>
      <c r="AI6" s="2738" t="s">
        <v>782</v>
      </c>
      <c r="AJ6" s="2738" t="s">
        <v>780</v>
      </c>
      <c r="AK6" s="2738" t="s">
        <v>781</v>
      </c>
      <c r="AL6" s="2738" t="s">
        <v>782</v>
      </c>
      <c r="AM6" s="2738" t="s">
        <v>780</v>
      </c>
      <c r="AN6" s="2738" t="s">
        <v>781</v>
      </c>
      <c r="AO6" s="2739" t="s">
        <v>782</v>
      </c>
    </row>
    <row r="7" spans="1:44" s="4970" customFormat="1">
      <c r="A7" s="5334" t="s">
        <v>3</v>
      </c>
      <c r="B7" s="5335" t="s">
        <v>783</v>
      </c>
      <c r="C7" s="5336">
        <f>SUM(C9,C15,C18,C19,C20,C21,C25,C28,C31,C35)</f>
        <v>4493400</v>
      </c>
      <c r="D7" s="5336"/>
      <c r="E7" s="5336">
        <f>SUM(E9,E15,E18,E19,E20,E21,E25,E28,E31,E35)</f>
        <v>3732300</v>
      </c>
      <c r="F7" s="5336">
        <f>SUM(F9,F15,F18,F19,F20,F21,F25,F28,F31,F35)</f>
        <v>156150</v>
      </c>
      <c r="G7" s="5336"/>
      <c r="H7" s="5336">
        <f>SUM(H9,H15,H18,H19,H20,H21,H25,H28,H31,H35)</f>
        <v>134750</v>
      </c>
      <c r="I7" s="5336">
        <f>SUM(I9,I15,I18,I19,I20,I21,I25,I28,I31,I35)</f>
        <v>392350</v>
      </c>
      <c r="J7" s="5336"/>
      <c r="K7" s="5336">
        <f>SUM(K9,K15,K18,K19,K20,K21,K25,K28,K31,K35)</f>
        <v>353410</v>
      </c>
      <c r="L7" s="5336">
        <f>SUM(L9,L15,L18,L19,L20,L21,L25,L28,L31,L35)</f>
        <v>104800</v>
      </c>
      <c r="M7" s="5336"/>
      <c r="N7" s="5336">
        <f>SUM(N9,N15,N18,N19,N20,N21,N25,N28,N31,N35)</f>
        <v>98950</v>
      </c>
      <c r="O7" s="5336">
        <f>SUM(O9,O15,O18,O19,O20,O21,O25,O28,O31,O35)</f>
        <v>155200</v>
      </c>
      <c r="P7" s="5336"/>
      <c r="Q7" s="5336">
        <f>SUM(Q9,Q15,Q18,Q19,Q20,Q21,Q25,Q28,Q31,Q35)</f>
        <v>137300</v>
      </c>
      <c r="R7" s="5336">
        <f>SUM(R9,R15,R18,R19,R20,R21,R25,R28,R31,R35)</f>
        <v>196200</v>
      </c>
      <c r="S7" s="5336"/>
      <c r="T7" s="5336">
        <f>SUM(T9,T15,T18,T19,T20,T21,T25,T28,T31,T35)</f>
        <v>180900</v>
      </c>
      <c r="U7" s="5336">
        <f>SUM(U9,U15,U18,U19,U20,U21,U25,U28,U31,U35)</f>
        <v>1501500</v>
      </c>
      <c r="V7" s="5336"/>
      <c r="W7" s="5337">
        <f>SUM(W9,W15,W18,W19,W20,W21,W25,W28,W31,W35)</f>
        <v>1200500</v>
      </c>
      <c r="X7" s="5338">
        <f>SUM(X9,X15,X18,X19,X20,X21,X25,X28,X31,X35)</f>
        <v>266950</v>
      </c>
      <c r="Y7" s="5336"/>
      <c r="Z7" s="5336">
        <f>SUM(Z9,Z15,Z18,Z19,Z20,Z21,Z25,Z28,Z31,Z35)</f>
        <v>243800</v>
      </c>
      <c r="AA7" s="5336">
        <f>SUM(AA9,AA15,AA18,AA19,AA20,AA21,AA25,AA28,AA31,AA35)</f>
        <v>278300</v>
      </c>
      <c r="AB7" s="5336"/>
      <c r="AC7" s="5336">
        <f>SUM(AC9,AC15,AC18,AC19,AC20,AC21,AC25,AC28,AC31,AC35)</f>
        <v>258700</v>
      </c>
      <c r="AD7" s="5336">
        <f>SUM(AD9,AD15,AD18,AD19,AD20,AD21,AD25,AD28,AD31,AD35)</f>
        <v>276200</v>
      </c>
      <c r="AE7" s="5336"/>
      <c r="AF7" s="5336">
        <f>SUM(AF9,AF15,AF18,AF19,AF20,AF21,AF25,AF28,AF31,AF35)</f>
        <v>256900</v>
      </c>
      <c r="AG7" s="5336">
        <f>SUM(AG9,AG15,AG18,AG19,AG20,AG21,AG25,AG28,AG31,AG35)</f>
        <v>221700</v>
      </c>
      <c r="AH7" s="5336"/>
      <c r="AI7" s="5336">
        <f>SUM(AI9,AI15,AI18,AI19,AI20,AI21,AI25,AI28,AI31,AI35)</f>
        <v>207080</v>
      </c>
      <c r="AJ7" s="5336">
        <f>SUM(AJ9,AJ15,AJ18,AJ19,AJ20,AJ21,AJ25,AJ28,AJ31,AJ35)</f>
        <v>707000</v>
      </c>
      <c r="AK7" s="5336"/>
      <c r="AL7" s="5336">
        <f>SUM(AL9,AL15,AL18,AL19,AL20,AL21,AL25,AL28,AL31,AL35)</f>
        <v>439400</v>
      </c>
      <c r="AM7" s="2697">
        <f>SUM(AM9,AM15,AM18,AM19,AM20,AM21,AM25,AM28,AM31,AM35)</f>
        <v>237050</v>
      </c>
      <c r="AN7" s="2697"/>
      <c r="AO7" s="2698">
        <f>SUM(AO9,AO15,AO18,AO19,AO20,AO21,AO25,AO28,AO31,AO35)</f>
        <v>220610</v>
      </c>
    </row>
    <row r="8" spans="1:44" s="4969" customFormat="1" ht="36">
      <c r="A8" s="5339"/>
      <c r="B8" s="5340" t="s">
        <v>784</v>
      </c>
      <c r="C8" s="5341">
        <f>C7-C28</f>
        <v>2893400</v>
      </c>
      <c r="D8" s="5341"/>
      <c r="E8" s="5341">
        <f t="shared" ref="E8:AO8" si="0">E7-E28</f>
        <v>2638800</v>
      </c>
      <c r="F8" s="5341">
        <f t="shared" si="0"/>
        <v>96150</v>
      </c>
      <c r="G8" s="5341"/>
      <c r="H8" s="5341">
        <f t="shared" si="0"/>
        <v>80750</v>
      </c>
      <c r="I8" s="5341">
        <f t="shared" si="0"/>
        <v>102350</v>
      </c>
      <c r="J8" s="5341"/>
      <c r="K8" s="5341">
        <f t="shared" si="0"/>
        <v>92410</v>
      </c>
      <c r="L8" s="5341">
        <f t="shared" si="0"/>
        <v>74800</v>
      </c>
      <c r="M8" s="5341"/>
      <c r="N8" s="5341">
        <f t="shared" si="0"/>
        <v>71950</v>
      </c>
      <c r="O8" s="5341">
        <f t="shared" si="0"/>
        <v>95200</v>
      </c>
      <c r="P8" s="5341"/>
      <c r="Q8" s="5341">
        <f t="shared" si="0"/>
        <v>83300</v>
      </c>
      <c r="R8" s="5341">
        <f t="shared" si="0"/>
        <v>146200</v>
      </c>
      <c r="S8" s="5341"/>
      <c r="T8" s="5341">
        <f t="shared" si="0"/>
        <v>135900</v>
      </c>
      <c r="U8" s="5341">
        <f t="shared" si="0"/>
        <v>1191500</v>
      </c>
      <c r="V8" s="5341"/>
      <c r="W8" s="5342">
        <f t="shared" si="0"/>
        <v>1056500</v>
      </c>
      <c r="X8" s="5343">
        <f t="shared" si="0"/>
        <v>191950</v>
      </c>
      <c r="Y8" s="5341"/>
      <c r="Z8" s="5341">
        <f t="shared" si="0"/>
        <v>176300</v>
      </c>
      <c r="AA8" s="5341">
        <f t="shared" si="0"/>
        <v>178300</v>
      </c>
      <c r="AB8" s="5341"/>
      <c r="AC8" s="5341">
        <f t="shared" si="0"/>
        <v>168700</v>
      </c>
      <c r="AD8" s="5341">
        <f t="shared" si="0"/>
        <v>216200</v>
      </c>
      <c r="AE8" s="5341"/>
      <c r="AF8" s="5341">
        <f t="shared" si="0"/>
        <v>202900</v>
      </c>
      <c r="AG8" s="5341">
        <f t="shared" si="0"/>
        <v>151700</v>
      </c>
      <c r="AH8" s="5341"/>
      <c r="AI8" s="5341">
        <f t="shared" si="0"/>
        <v>144080</v>
      </c>
      <c r="AJ8" s="5341">
        <f t="shared" si="0"/>
        <v>312000</v>
      </c>
      <c r="AK8" s="5341"/>
      <c r="AL8" s="5341">
        <f t="shared" si="0"/>
        <v>295400</v>
      </c>
      <c r="AM8" s="5344">
        <f t="shared" si="0"/>
        <v>137050</v>
      </c>
      <c r="AN8" s="5344"/>
      <c r="AO8" s="5345">
        <f t="shared" si="0"/>
        <v>130610</v>
      </c>
    </row>
    <row r="9" spans="1:44" s="4970" customFormat="1">
      <c r="A9" s="4971">
        <v>1</v>
      </c>
      <c r="B9" s="4972" t="s">
        <v>785</v>
      </c>
      <c r="C9" s="5346">
        <f>SUM(F9,L9,O9,R9,U9,X9,AA9,AD9,AG9,AJ9,AM9,I9)</f>
        <v>1550000</v>
      </c>
      <c r="D9" s="5346"/>
      <c r="E9" s="5346">
        <f>SUM(H9,N9,Q9,T9,W9,Z9,AC9,AF9,AI9,AL9,AO9,K9)</f>
        <v>1477000</v>
      </c>
      <c r="F9" s="5346">
        <f>SUM(F10:F14)</f>
        <v>31500</v>
      </c>
      <c r="G9" s="5346"/>
      <c r="H9" s="5346">
        <f>SUM(H10:H14)</f>
        <v>21600</v>
      </c>
      <c r="I9" s="5346">
        <f>SUM(I10:I14)</f>
        <v>35000</v>
      </c>
      <c r="J9" s="5346"/>
      <c r="K9" s="5346">
        <f>SUM(K10:K14)</f>
        <v>34660</v>
      </c>
      <c r="L9" s="5346">
        <f>SUM(L10:L14)</f>
        <v>32000</v>
      </c>
      <c r="M9" s="5346"/>
      <c r="N9" s="5346">
        <f>SUM(N10:N14)</f>
        <v>31900</v>
      </c>
      <c r="O9" s="5346">
        <f>SUM(O10:O14)</f>
        <v>30500</v>
      </c>
      <c r="P9" s="5346"/>
      <c r="Q9" s="5346">
        <f>SUM(Q10:Q14)</f>
        <v>29800</v>
      </c>
      <c r="R9" s="5346">
        <f>SUM(R10:R14)</f>
        <v>67000</v>
      </c>
      <c r="S9" s="5346"/>
      <c r="T9" s="5346">
        <f>SUM(T10:T14)</f>
        <v>66600</v>
      </c>
      <c r="U9" s="5346">
        <f>SUM(U10:U14)</f>
        <v>780000</v>
      </c>
      <c r="V9" s="5346"/>
      <c r="W9" s="5347">
        <f>SUM(W10:W14)</f>
        <v>728200</v>
      </c>
      <c r="X9" s="5348">
        <f>SUM(X10:X14)</f>
        <v>80000</v>
      </c>
      <c r="Y9" s="5346"/>
      <c r="Z9" s="5346">
        <f>SUM(Z10:Z14)</f>
        <v>77200</v>
      </c>
      <c r="AA9" s="5346">
        <f>SUM(AA10:AA14)</f>
        <v>83000</v>
      </c>
      <c r="AB9" s="5346"/>
      <c r="AC9" s="5346">
        <f>SUM(AC10:AC14)</f>
        <v>82150</v>
      </c>
      <c r="AD9" s="5346">
        <f>SUM(AD10:AD14)</f>
        <v>117000</v>
      </c>
      <c r="AE9" s="5346"/>
      <c r="AF9" s="5346">
        <f>SUM(AF10:AF14)</f>
        <v>113700</v>
      </c>
      <c r="AG9" s="5346">
        <f>SUM(AG10:AG14)</f>
        <v>65000</v>
      </c>
      <c r="AH9" s="5346"/>
      <c r="AI9" s="5346">
        <f>SUM(AI10:AI14)</f>
        <v>63380</v>
      </c>
      <c r="AJ9" s="5346">
        <f>SUM(AJ10:AJ14)</f>
        <v>163000</v>
      </c>
      <c r="AK9" s="5346"/>
      <c r="AL9" s="5346">
        <f>SUM(AL10:AL14)</f>
        <v>162100</v>
      </c>
      <c r="AM9" s="2699">
        <f>SUM(AM10:AM14)</f>
        <v>66000</v>
      </c>
      <c r="AN9" s="2699"/>
      <c r="AO9" s="2700">
        <f>SUM(AO10:AO14)</f>
        <v>65710</v>
      </c>
    </row>
    <row r="10" spans="1:44" s="2750" customFormat="1">
      <c r="A10" s="1926" t="s">
        <v>29</v>
      </c>
      <c r="B10" s="4968" t="s">
        <v>786</v>
      </c>
      <c r="C10" s="2748">
        <f>SUM(F10,L10,O10,R10,U10,X10,AA10,AD10,AG10,AJ10,AM10,I10)</f>
        <v>757000</v>
      </c>
      <c r="D10" s="2748">
        <f>AVERAGE(G10,J10,M10,P10,S10,V10,Y10,AB10,AE10,AH10,AK10,AN10)</f>
        <v>100</v>
      </c>
      <c r="E10" s="2748">
        <f t="shared" ref="E10:E20" si="1">SUM(H10,N10,Q10,T10,W10,Z10,AC10,AF10,AI10,AL10,AO10,K10)</f>
        <v>757000</v>
      </c>
      <c r="F10" s="2748">
        <f>+'Phụ lục số 7'!F10</f>
        <v>17000</v>
      </c>
      <c r="G10" s="2748">
        <v>100</v>
      </c>
      <c r="H10" s="2748">
        <f>F10*G10/100</f>
        <v>17000</v>
      </c>
      <c r="I10" s="2748">
        <f>+'Phụ lục số 7'!I10</f>
        <v>23660</v>
      </c>
      <c r="J10" s="2748">
        <v>100</v>
      </c>
      <c r="K10" s="2748">
        <f t="shared" ref="K10:K20" si="2">I10*J10/100</f>
        <v>23660</v>
      </c>
      <c r="L10" s="2748">
        <f>+'Phụ lục số 7'!L10</f>
        <v>30500</v>
      </c>
      <c r="M10" s="2748">
        <v>100</v>
      </c>
      <c r="N10" s="2748">
        <f t="shared" ref="N10:N20" si="3">L10*M10/100</f>
        <v>30500</v>
      </c>
      <c r="O10" s="2748">
        <f>+'Phụ lục số 7'!O10</f>
        <v>21800</v>
      </c>
      <c r="P10" s="2748">
        <v>100</v>
      </c>
      <c r="Q10" s="2748">
        <f>O10*P10/100</f>
        <v>21800</v>
      </c>
      <c r="R10" s="2748">
        <f>+'Phụ lục số 7'!R10</f>
        <v>19700</v>
      </c>
      <c r="S10" s="2748">
        <v>100</v>
      </c>
      <c r="T10" s="2748">
        <f t="shared" ref="T10:T20" si="4">R10*S10/100</f>
        <v>19700</v>
      </c>
      <c r="U10" s="2748">
        <f>+'Phụ lục số 7'!U10</f>
        <v>306200</v>
      </c>
      <c r="V10" s="2748">
        <v>100</v>
      </c>
      <c r="W10" s="5349">
        <f t="shared" ref="W10:W20" si="5">U10*V10/100</f>
        <v>306200</v>
      </c>
      <c r="X10" s="5350">
        <f>+'Phụ lục số 7'!X10</f>
        <v>49200</v>
      </c>
      <c r="Y10" s="2748">
        <v>100</v>
      </c>
      <c r="Z10" s="2748">
        <f t="shared" ref="Z10:Z20" si="6">X10*Y10/100</f>
        <v>49200</v>
      </c>
      <c r="AA10" s="2748">
        <f>+'Phụ lục số 7'!AA10</f>
        <v>68650</v>
      </c>
      <c r="AB10" s="2748">
        <v>100</v>
      </c>
      <c r="AC10" s="2748">
        <f t="shared" ref="AC10:AC20" si="7">AA10*AB10/100</f>
        <v>68650</v>
      </c>
      <c r="AD10" s="2748">
        <f>+'Phụ lục số 7'!AD10</f>
        <v>37700</v>
      </c>
      <c r="AE10" s="2748">
        <v>100</v>
      </c>
      <c r="AF10" s="2748">
        <f t="shared" ref="AF10:AF20" si="8">AD10*AE10/100</f>
        <v>37700</v>
      </c>
      <c r="AG10" s="2748">
        <f>+'Phụ lục số 7'!AG10</f>
        <v>35980</v>
      </c>
      <c r="AH10" s="2748">
        <v>100</v>
      </c>
      <c r="AI10" s="2748">
        <f t="shared" ref="AI10:AI20" si="9">AG10*AH10/100</f>
        <v>35980</v>
      </c>
      <c r="AJ10" s="2748">
        <f>+'Phụ lục số 7'!AJ10</f>
        <v>94600</v>
      </c>
      <c r="AK10" s="2748">
        <v>100</v>
      </c>
      <c r="AL10" s="2748">
        <f t="shared" ref="AL10:AL20" si="10">AJ10*AK10/100</f>
        <v>94600</v>
      </c>
      <c r="AM10" s="46">
        <f>+'Phụ lục số 7'!AM10</f>
        <v>52010</v>
      </c>
      <c r="AN10" s="46">
        <v>100</v>
      </c>
      <c r="AO10" s="1645">
        <f t="shared" ref="AO10:AO20" si="11">AM10*AN10/100</f>
        <v>52010</v>
      </c>
    </row>
    <row r="11" spans="1:44" s="2750" customFormat="1">
      <c r="A11" s="1926" t="s">
        <v>29</v>
      </c>
      <c r="B11" s="4968" t="s">
        <v>787</v>
      </c>
      <c r="C11" s="2748">
        <f t="shared" ref="C11:C20" si="12">SUM(F11,L11,O11,R11,U11,X11,AA11,AD11,AG11,AJ11,AM11,I11)</f>
        <v>720000</v>
      </c>
      <c r="D11" s="2748">
        <f t="shared" ref="D11:D35" si="13">AVERAGE(G11,J11,M11,P11,S11,V11,Y11,AB11,AE11,AH11,AK11,AN11)</f>
        <v>100</v>
      </c>
      <c r="E11" s="2748">
        <f t="shared" si="1"/>
        <v>720000</v>
      </c>
      <c r="F11" s="2748">
        <f>+'Phụ lục số 7'!F11</f>
        <v>4600</v>
      </c>
      <c r="G11" s="2748">
        <v>100</v>
      </c>
      <c r="H11" s="2748">
        <f t="shared" ref="H11:H34" si="14">F11*G11/100</f>
        <v>4600</v>
      </c>
      <c r="I11" s="2748">
        <f>+'Phụ lục số 7'!I11</f>
        <v>11000</v>
      </c>
      <c r="J11" s="2748">
        <v>100</v>
      </c>
      <c r="K11" s="2748">
        <f t="shared" si="2"/>
        <v>11000</v>
      </c>
      <c r="L11" s="2748">
        <f>+'Phụ lục số 7'!L11</f>
        <v>1400</v>
      </c>
      <c r="M11" s="2748">
        <v>100</v>
      </c>
      <c r="N11" s="2748">
        <f t="shared" si="3"/>
        <v>1400</v>
      </c>
      <c r="O11" s="2748">
        <f>+'Phụ lục số 7'!O11</f>
        <v>8000</v>
      </c>
      <c r="P11" s="2748">
        <v>100</v>
      </c>
      <c r="Q11" s="2748">
        <f t="shared" ref="Q11:Q20" si="15">O11*P11/100</f>
        <v>8000</v>
      </c>
      <c r="R11" s="2748">
        <f>+'Phụ lục số 7'!R11</f>
        <v>46900</v>
      </c>
      <c r="S11" s="2748">
        <v>100</v>
      </c>
      <c r="T11" s="2748">
        <f t="shared" si="4"/>
        <v>46900</v>
      </c>
      <c r="U11" s="2748">
        <f>+'Phụ lục số 7'!U11</f>
        <v>422000</v>
      </c>
      <c r="V11" s="2748">
        <v>100</v>
      </c>
      <c r="W11" s="5349">
        <f t="shared" si="5"/>
        <v>422000</v>
      </c>
      <c r="X11" s="5350">
        <f>+'Phụ lục số 7'!X11</f>
        <v>28000</v>
      </c>
      <c r="Y11" s="2748">
        <v>100</v>
      </c>
      <c r="Z11" s="2748">
        <f t="shared" si="6"/>
        <v>28000</v>
      </c>
      <c r="AA11" s="2748">
        <f>+'Phụ lục số 7'!AA11</f>
        <v>13500</v>
      </c>
      <c r="AB11" s="2748">
        <v>100</v>
      </c>
      <c r="AC11" s="2748">
        <f t="shared" si="7"/>
        <v>13500</v>
      </c>
      <c r="AD11" s="2748">
        <f>+'Phụ lục số 7'!AD11</f>
        <v>76000</v>
      </c>
      <c r="AE11" s="2748">
        <v>100</v>
      </c>
      <c r="AF11" s="2748">
        <f t="shared" si="8"/>
        <v>76000</v>
      </c>
      <c r="AG11" s="2748">
        <f>+'Phụ lục số 7'!AG11</f>
        <v>27400</v>
      </c>
      <c r="AH11" s="2748">
        <v>100</v>
      </c>
      <c r="AI11" s="2748">
        <f t="shared" si="9"/>
        <v>27400</v>
      </c>
      <c r="AJ11" s="2748">
        <f>+'Phụ lục số 7'!AJ11</f>
        <v>67500</v>
      </c>
      <c r="AK11" s="2748">
        <v>100</v>
      </c>
      <c r="AL11" s="2748">
        <f t="shared" si="10"/>
        <v>67500</v>
      </c>
      <c r="AM11" s="46">
        <f>+'Phụ lục số 7'!AM11</f>
        <v>13700</v>
      </c>
      <c r="AN11" s="46">
        <v>100</v>
      </c>
      <c r="AO11" s="1645">
        <f t="shared" si="11"/>
        <v>13700</v>
      </c>
    </row>
    <row r="12" spans="1:44" s="2750" customFormat="1">
      <c r="A12" s="1926" t="s">
        <v>29</v>
      </c>
      <c r="B12" s="4968" t="s">
        <v>788</v>
      </c>
      <c r="C12" s="2748">
        <f t="shared" si="12"/>
        <v>28650</v>
      </c>
      <c r="D12" s="2748">
        <f t="shared" si="13"/>
        <v>0</v>
      </c>
      <c r="E12" s="2748">
        <f t="shared" si="1"/>
        <v>0</v>
      </c>
      <c r="F12" s="2748">
        <f>+'Phụ lục số 7'!F12</f>
        <v>0</v>
      </c>
      <c r="G12" s="2748">
        <v>0</v>
      </c>
      <c r="H12" s="2748">
        <f t="shared" si="14"/>
        <v>0</v>
      </c>
      <c r="I12" s="2748">
        <f>+'Phụ lục số 7'!I12</f>
        <v>300</v>
      </c>
      <c r="J12" s="2748">
        <v>0</v>
      </c>
      <c r="K12" s="2748">
        <f t="shared" si="2"/>
        <v>0</v>
      </c>
      <c r="L12" s="2748">
        <f>+'Phụ lục số 7'!L12</f>
        <v>50</v>
      </c>
      <c r="M12" s="2748">
        <v>0</v>
      </c>
      <c r="N12" s="2748">
        <f t="shared" si="3"/>
        <v>0</v>
      </c>
      <c r="O12" s="2748">
        <f>+'Phụ lục số 7'!O12</f>
        <v>200</v>
      </c>
      <c r="P12" s="2748">
        <v>0</v>
      </c>
      <c r="Q12" s="2748">
        <f t="shared" si="15"/>
        <v>0</v>
      </c>
      <c r="R12" s="2748">
        <f>+'Phụ lục số 7'!R12</f>
        <v>100</v>
      </c>
      <c r="S12" s="2748">
        <v>0</v>
      </c>
      <c r="T12" s="2748">
        <f t="shared" si="4"/>
        <v>0</v>
      </c>
      <c r="U12" s="2748">
        <f>+'Phụ lục số 7'!U12</f>
        <v>26600</v>
      </c>
      <c r="V12" s="2748">
        <v>0</v>
      </c>
      <c r="W12" s="5349">
        <f t="shared" si="5"/>
        <v>0</v>
      </c>
      <c r="X12" s="5350">
        <f>+'Phụ lục số 7'!X12</f>
        <v>200</v>
      </c>
      <c r="Y12" s="2748">
        <v>0</v>
      </c>
      <c r="Z12" s="2748">
        <f t="shared" si="6"/>
        <v>0</v>
      </c>
      <c r="AA12" s="2748">
        <f>+'Phụ lục số 7'!AA12</f>
        <v>300</v>
      </c>
      <c r="AB12" s="2748">
        <v>0</v>
      </c>
      <c r="AC12" s="2748">
        <f t="shared" si="7"/>
        <v>0</v>
      </c>
      <c r="AD12" s="2748">
        <f>+'Phụ lục số 7'!AD12</f>
        <v>100</v>
      </c>
      <c r="AE12" s="2748">
        <v>0</v>
      </c>
      <c r="AF12" s="2748">
        <f t="shared" si="8"/>
        <v>0</v>
      </c>
      <c r="AG12" s="2748">
        <f>+'Phụ lục số 7'!AG12</f>
        <v>200</v>
      </c>
      <c r="AH12" s="2748">
        <v>0</v>
      </c>
      <c r="AI12" s="2748">
        <f t="shared" si="9"/>
        <v>0</v>
      </c>
      <c r="AJ12" s="2748">
        <f>+'Phụ lục số 7'!AJ12</f>
        <v>500</v>
      </c>
      <c r="AK12" s="2748">
        <v>0</v>
      </c>
      <c r="AL12" s="2748">
        <f t="shared" si="10"/>
        <v>0</v>
      </c>
      <c r="AM12" s="46">
        <f>+'Phụ lục số 7'!AM12</f>
        <v>100</v>
      </c>
      <c r="AN12" s="46">
        <v>0</v>
      </c>
      <c r="AO12" s="1645">
        <f t="shared" si="11"/>
        <v>0</v>
      </c>
    </row>
    <row r="13" spans="1:44" s="2750" customFormat="1">
      <c r="A13" s="1926" t="s">
        <v>29</v>
      </c>
      <c r="B13" s="4968" t="s">
        <v>10</v>
      </c>
      <c r="C13" s="2748">
        <f t="shared" si="12"/>
        <v>44350</v>
      </c>
      <c r="D13" s="2748">
        <f t="shared" si="13"/>
        <v>0</v>
      </c>
      <c r="E13" s="2748">
        <f t="shared" si="1"/>
        <v>0</v>
      </c>
      <c r="F13" s="2748">
        <f>+'Phụ lục số 7'!F13</f>
        <v>9900</v>
      </c>
      <c r="G13" s="2748">
        <v>0</v>
      </c>
      <c r="H13" s="2748">
        <f t="shared" si="14"/>
        <v>0</v>
      </c>
      <c r="I13" s="2748">
        <f>+'Phụ lục số 7'!I13</f>
        <v>40</v>
      </c>
      <c r="J13" s="2748">
        <v>0</v>
      </c>
      <c r="K13" s="2748">
        <f t="shared" si="2"/>
        <v>0</v>
      </c>
      <c r="L13" s="2748">
        <f>+'Phụ lục số 7'!L13</f>
        <v>50</v>
      </c>
      <c r="M13" s="2748">
        <v>0</v>
      </c>
      <c r="N13" s="2748">
        <f t="shared" si="3"/>
        <v>0</v>
      </c>
      <c r="O13" s="2748">
        <f>+'Phụ lục số 7'!O13</f>
        <v>500</v>
      </c>
      <c r="P13" s="2748">
        <v>0</v>
      </c>
      <c r="Q13" s="2748">
        <f t="shared" si="15"/>
        <v>0</v>
      </c>
      <c r="R13" s="2748">
        <f>+'Phụ lục số 7'!R13</f>
        <v>300</v>
      </c>
      <c r="S13" s="2748">
        <v>0</v>
      </c>
      <c r="T13" s="2748">
        <f t="shared" si="4"/>
        <v>0</v>
      </c>
      <c r="U13" s="2748">
        <f>+'Phụ lục số 7'!U13</f>
        <v>25200</v>
      </c>
      <c r="V13" s="2748">
        <v>0</v>
      </c>
      <c r="W13" s="5349">
        <f t="shared" si="5"/>
        <v>0</v>
      </c>
      <c r="X13" s="5350">
        <f>+'Phụ lục số 7'!X13</f>
        <v>2600</v>
      </c>
      <c r="Y13" s="2748">
        <v>0</v>
      </c>
      <c r="Z13" s="2748">
        <f t="shared" si="6"/>
        <v>0</v>
      </c>
      <c r="AA13" s="2748">
        <f>+'Phụ lục số 7'!AA13</f>
        <v>550</v>
      </c>
      <c r="AB13" s="2748">
        <v>0</v>
      </c>
      <c r="AC13" s="2748">
        <f t="shared" si="7"/>
        <v>0</v>
      </c>
      <c r="AD13" s="2748">
        <f>+'Phụ lục số 7'!AD13</f>
        <v>3200</v>
      </c>
      <c r="AE13" s="2748">
        <v>0</v>
      </c>
      <c r="AF13" s="2748">
        <f t="shared" si="8"/>
        <v>0</v>
      </c>
      <c r="AG13" s="2748">
        <f>+'Phụ lục số 7'!AG13</f>
        <v>1420</v>
      </c>
      <c r="AH13" s="2748">
        <v>0</v>
      </c>
      <c r="AI13" s="2748">
        <f t="shared" si="9"/>
        <v>0</v>
      </c>
      <c r="AJ13" s="2748">
        <f>+'Phụ lục số 7'!AJ13</f>
        <v>400</v>
      </c>
      <c r="AK13" s="2748">
        <v>0</v>
      </c>
      <c r="AL13" s="2748">
        <f t="shared" si="10"/>
        <v>0</v>
      </c>
      <c r="AM13" s="46">
        <f>+'Phụ lục số 7'!AM13</f>
        <v>190</v>
      </c>
      <c r="AN13" s="46">
        <v>0</v>
      </c>
      <c r="AO13" s="1645">
        <f t="shared" si="11"/>
        <v>0</v>
      </c>
    </row>
    <row r="14" spans="1:44" s="2750" customFormat="1" hidden="1">
      <c r="A14" s="1926" t="s">
        <v>29</v>
      </c>
      <c r="B14" s="4968" t="s">
        <v>789</v>
      </c>
      <c r="C14" s="2748">
        <f t="shared" si="12"/>
        <v>0</v>
      </c>
      <c r="D14" s="2748"/>
      <c r="E14" s="2748">
        <f t="shared" si="1"/>
        <v>0</v>
      </c>
      <c r="F14" s="2748">
        <f>+'Phụ lục số 7'!F14</f>
        <v>0</v>
      </c>
      <c r="G14" s="2748">
        <v>100</v>
      </c>
      <c r="H14" s="2748">
        <f t="shared" si="14"/>
        <v>0</v>
      </c>
      <c r="I14" s="2748">
        <f>+'Phụ lục số 7'!I14</f>
        <v>0</v>
      </c>
      <c r="J14" s="2748"/>
      <c r="K14" s="2748">
        <f t="shared" si="2"/>
        <v>0</v>
      </c>
      <c r="L14" s="2748">
        <f>+'Phụ lục số 7'!L14</f>
        <v>0</v>
      </c>
      <c r="M14" s="2748"/>
      <c r="N14" s="2748">
        <f t="shared" si="3"/>
        <v>0</v>
      </c>
      <c r="O14" s="2748">
        <f>+'Phụ lục số 7'!O14</f>
        <v>0</v>
      </c>
      <c r="P14" s="2748"/>
      <c r="Q14" s="2748">
        <f t="shared" si="15"/>
        <v>0</v>
      </c>
      <c r="R14" s="2748">
        <f>+'Phụ lục số 7'!R14</f>
        <v>0</v>
      </c>
      <c r="S14" s="2748"/>
      <c r="T14" s="2748">
        <f t="shared" si="4"/>
        <v>0</v>
      </c>
      <c r="U14" s="2748">
        <f>+'Phụ lục số 7'!U14</f>
        <v>0</v>
      </c>
      <c r="V14" s="2748"/>
      <c r="W14" s="5349">
        <f t="shared" si="5"/>
        <v>0</v>
      </c>
      <c r="X14" s="5350">
        <f>+'Phụ lục số 7'!X14</f>
        <v>0</v>
      </c>
      <c r="Y14" s="2748"/>
      <c r="Z14" s="2748">
        <f t="shared" si="6"/>
        <v>0</v>
      </c>
      <c r="AA14" s="2748">
        <f>+'Phụ lục số 7'!AA14</f>
        <v>0</v>
      </c>
      <c r="AB14" s="2748"/>
      <c r="AC14" s="2748">
        <f t="shared" si="7"/>
        <v>0</v>
      </c>
      <c r="AD14" s="2748">
        <f>+'Phụ lục số 7'!AD14</f>
        <v>0</v>
      </c>
      <c r="AE14" s="2748"/>
      <c r="AF14" s="2748">
        <f t="shared" si="8"/>
        <v>0</v>
      </c>
      <c r="AG14" s="2748">
        <f>+'Phụ lục số 7'!AG14</f>
        <v>0</v>
      </c>
      <c r="AH14" s="2748"/>
      <c r="AI14" s="2748">
        <f t="shared" si="9"/>
        <v>0</v>
      </c>
      <c r="AJ14" s="2748">
        <f>+'Phụ lục số 7'!AJ14</f>
        <v>0</v>
      </c>
      <c r="AK14" s="2748"/>
      <c r="AL14" s="2748">
        <f t="shared" si="10"/>
        <v>0</v>
      </c>
      <c r="AM14" s="46">
        <f>+'Phụ lục số 7'!AM14</f>
        <v>0</v>
      </c>
      <c r="AN14" s="46"/>
      <c r="AO14" s="1645">
        <f t="shared" si="11"/>
        <v>0</v>
      </c>
    </row>
    <row r="15" spans="1:44" s="2755" customFormat="1" ht="17.399999999999999">
      <c r="A15" s="4971">
        <v>2</v>
      </c>
      <c r="B15" s="4972" t="s">
        <v>20</v>
      </c>
      <c r="C15" s="5346">
        <f>SUM(C16:C17)</f>
        <v>353000</v>
      </c>
      <c r="D15" s="5346">
        <f t="shared" si="13"/>
        <v>100</v>
      </c>
      <c r="E15" s="5346">
        <f>SUM(E16:E17)</f>
        <v>353000</v>
      </c>
      <c r="F15" s="5346">
        <f>SUM(F16:F17)</f>
        <v>11000</v>
      </c>
      <c r="G15" s="5346">
        <v>100</v>
      </c>
      <c r="H15" s="5346">
        <f>SUM(H16:H17)</f>
        <v>11000</v>
      </c>
      <c r="I15" s="5346">
        <f>SUM(I16:I17)</f>
        <v>21000</v>
      </c>
      <c r="J15" s="5346">
        <v>100</v>
      </c>
      <c r="K15" s="5346">
        <f>SUM(K16:K17)</f>
        <v>21000</v>
      </c>
      <c r="L15" s="5346">
        <f>SUM(L16:L17)</f>
        <v>15000</v>
      </c>
      <c r="M15" s="5346">
        <v>100</v>
      </c>
      <c r="N15" s="5346">
        <f>SUM(N16:N17)</f>
        <v>15000</v>
      </c>
      <c r="O15" s="5346">
        <f>SUM(O16:O17)</f>
        <v>18000</v>
      </c>
      <c r="P15" s="5346">
        <v>100</v>
      </c>
      <c r="Q15" s="5346">
        <f>SUM(Q16:Q17)</f>
        <v>18000</v>
      </c>
      <c r="R15" s="5346">
        <f>SUM(R16:R17)</f>
        <v>17000</v>
      </c>
      <c r="S15" s="5346">
        <v>100</v>
      </c>
      <c r="T15" s="5346">
        <f>SUM(T16:T17)</f>
        <v>17000</v>
      </c>
      <c r="U15" s="5346">
        <f>SUM(U16:U17)</f>
        <v>80000</v>
      </c>
      <c r="V15" s="5346">
        <v>100</v>
      </c>
      <c r="W15" s="5347">
        <f>SUM(W16:W17)</f>
        <v>80000</v>
      </c>
      <c r="X15" s="5348">
        <f>SUM(X16:X17)</f>
        <v>32000</v>
      </c>
      <c r="Y15" s="5346">
        <v>100</v>
      </c>
      <c r="Z15" s="5346">
        <f>SUM(Z16:Z17)</f>
        <v>32000</v>
      </c>
      <c r="AA15" s="5346">
        <f>SUM(AA16:AA17)</f>
        <v>32000</v>
      </c>
      <c r="AB15" s="5346">
        <v>100</v>
      </c>
      <c r="AC15" s="5346">
        <f>SUM(AC16:AC17)</f>
        <v>32000</v>
      </c>
      <c r="AD15" s="5346">
        <f>SUM(AD16:AD17)</f>
        <v>27000</v>
      </c>
      <c r="AE15" s="5346">
        <v>100</v>
      </c>
      <c r="AF15" s="5346">
        <f>SUM(AF16:AF17)</f>
        <v>27000</v>
      </c>
      <c r="AG15" s="5346">
        <f>SUM(AG16:AG17)</f>
        <v>28000</v>
      </c>
      <c r="AH15" s="5346">
        <v>100</v>
      </c>
      <c r="AI15" s="5346">
        <f>SUM(AI16:AI17)</f>
        <v>28000</v>
      </c>
      <c r="AJ15" s="5346">
        <f>SUM(AJ16:AJ17)</f>
        <v>50000</v>
      </c>
      <c r="AK15" s="5346">
        <v>100</v>
      </c>
      <c r="AL15" s="5346">
        <f>SUM(AL16:AL17)</f>
        <v>50000</v>
      </c>
      <c r="AM15" s="5346">
        <f>SUM(AM16:AM17)</f>
        <v>22000</v>
      </c>
      <c r="AN15" s="5346">
        <v>100</v>
      </c>
      <c r="AO15" s="4277">
        <f>SUM(AO16:AO17)</f>
        <v>22000</v>
      </c>
    </row>
    <row r="16" spans="1:44" s="2755" customFormat="1" ht="36" hidden="1">
      <c r="A16" s="4480" t="s">
        <v>29</v>
      </c>
      <c r="B16" s="2882" t="s">
        <v>790</v>
      </c>
      <c r="C16" s="2748">
        <f>SUM(F16,L16,O16,R16,U16,X16,AA16,AD16,AG16,AJ16,AM16,I16)</f>
        <v>0</v>
      </c>
      <c r="D16" s="2748" t="str">
        <f>IF(E16=0,"",E16/C16*100)</f>
        <v/>
      </c>
      <c r="E16" s="2748">
        <f t="shared" si="1"/>
        <v>0</v>
      </c>
      <c r="F16" s="2748">
        <f>+'Phụ lục số 7'!F16</f>
        <v>0</v>
      </c>
      <c r="G16" s="5346"/>
      <c r="H16" s="5346"/>
      <c r="I16" s="2748">
        <f>+'Phụ lục số 7'!I16</f>
        <v>0</v>
      </c>
      <c r="J16" s="5346"/>
      <c r="K16" s="5346"/>
      <c r="L16" s="2748">
        <f>+'Phụ lục số 7'!L16</f>
        <v>0</v>
      </c>
      <c r="M16" s="5346"/>
      <c r="N16" s="5346"/>
      <c r="O16" s="2748">
        <f>+'Phụ lục số 7'!O16</f>
        <v>0</v>
      </c>
      <c r="P16" s="5346"/>
      <c r="Q16" s="5346"/>
      <c r="R16" s="2748">
        <f>+'Phụ lục số 7'!R16</f>
        <v>0</v>
      </c>
      <c r="S16" s="5346"/>
      <c r="T16" s="5346"/>
      <c r="U16" s="2748">
        <f>+'Phụ lục số 7'!U16</f>
        <v>0</v>
      </c>
      <c r="V16" s="5346"/>
      <c r="W16" s="5347"/>
      <c r="X16" s="5350">
        <f>+'Phụ lục số 7'!X16</f>
        <v>0</v>
      </c>
      <c r="Y16" s="5346"/>
      <c r="Z16" s="5346"/>
      <c r="AA16" s="2748">
        <f>+'Phụ lục số 7'!AA16</f>
        <v>0</v>
      </c>
      <c r="AB16" s="5346"/>
      <c r="AC16" s="5346"/>
      <c r="AD16" s="2748">
        <f>+'Phụ lục số 7'!AD16</f>
        <v>0</v>
      </c>
      <c r="AE16" s="5346"/>
      <c r="AF16" s="5346"/>
      <c r="AG16" s="2748">
        <f>+'Phụ lục số 7'!AG16</f>
        <v>0</v>
      </c>
      <c r="AH16" s="5346"/>
      <c r="AI16" s="5346"/>
      <c r="AJ16" s="2748">
        <f>+'Phụ lục số 7'!AJ16</f>
        <v>0</v>
      </c>
      <c r="AK16" s="5346"/>
      <c r="AL16" s="5346"/>
      <c r="AM16" s="46">
        <f>+'Phụ lục số 7'!AM16</f>
        <v>0</v>
      </c>
      <c r="AN16" s="2699"/>
      <c r="AO16" s="2700"/>
    </row>
    <row r="17" spans="1:41" s="2750" customFormat="1" ht="36" hidden="1">
      <c r="A17" s="1926" t="s">
        <v>29</v>
      </c>
      <c r="B17" s="2882" t="s">
        <v>791</v>
      </c>
      <c r="C17" s="2748">
        <f>SUM(F17,L17,O17,R17,U17,X17,AA17,AD17,AG17,AJ17,AM17,I17)</f>
        <v>353000</v>
      </c>
      <c r="D17" s="2748">
        <f>IF(E17=0,"",E17/C17*100)</f>
        <v>100</v>
      </c>
      <c r="E17" s="2748">
        <f t="shared" si="1"/>
        <v>353000</v>
      </c>
      <c r="F17" s="2748">
        <f>+'Phụ lục số 7'!F17</f>
        <v>11000</v>
      </c>
      <c r="G17" s="2748">
        <v>100</v>
      </c>
      <c r="H17" s="2748">
        <f>F17/G17*100</f>
        <v>11000</v>
      </c>
      <c r="I17" s="2748">
        <f>+'Phụ lục số 7'!I17</f>
        <v>21000</v>
      </c>
      <c r="J17" s="2748">
        <v>100</v>
      </c>
      <c r="K17" s="2748">
        <f>I17/J17*100</f>
        <v>21000</v>
      </c>
      <c r="L17" s="2748">
        <f>+'Phụ lục số 7'!L17</f>
        <v>15000</v>
      </c>
      <c r="M17" s="2748">
        <v>100</v>
      </c>
      <c r="N17" s="2748">
        <f>L17/M17*100</f>
        <v>15000</v>
      </c>
      <c r="O17" s="2748">
        <f>+'Phụ lục số 7'!O17</f>
        <v>18000</v>
      </c>
      <c r="P17" s="2748">
        <v>100</v>
      </c>
      <c r="Q17" s="2748">
        <f>O17/P17*100</f>
        <v>18000</v>
      </c>
      <c r="R17" s="2748">
        <f>+'Phụ lục số 7'!R17</f>
        <v>17000</v>
      </c>
      <c r="S17" s="2748">
        <v>100</v>
      </c>
      <c r="T17" s="2748">
        <f>R17/S17*100</f>
        <v>17000</v>
      </c>
      <c r="U17" s="2748">
        <f>+'Phụ lục số 7'!U17</f>
        <v>80000</v>
      </c>
      <c r="V17" s="2748">
        <v>100</v>
      </c>
      <c r="W17" s="5349">
        <f>U17/V17*100</f>
        <v>80000</v>
      </c>
      <c r="X17" s="5350">
        <f>+'Phụ lục số 7'!X17</f>
        <v>32000</v>
      </c>
      <c r="Y17" s="2748">
        <v>100</v>
      </c>
      <c r="Z17" s="2748">
        <f>X17/Y17*100</f>
        <v>32000</v>
      </c>
      <c r="AA17" s="2748">
        <f>+'Phụ lục số 7'!AA17</f>
        <v>32000</v>
      </c>
      <c r="AB17" s="2748">
        <v>100</v>
      </c>
      <c r="AC17" s="2748">
        <f>AA17/AB17*100</f>
        <v>32000</v>
      </c>
      <c r="AD17" s="2748">
        <f>+'Phụ lục số 7'!AD17</f>
        <v>27000</v>
      </c>
      <c r="AE17" s="2748">
        <v>100</v>
      </c>
      <c r="AF17" s="2748">
        <f>AD17/AE17*100</f>
        <v>27000</v>
      </c>
      <c r="AG17" s="2748">
        <f>+'Phụ lục số 7'!AG17</f>
        <v>28000</v>
      </c>
      <c r="AH17" s="2748">
        <v>100</v>
      </c>
      <c r="AI17" s="2748">
        <f>AG17/AH17*100</f>
        <v>28000</v>
      </c>
      <c r="AJ17" s="2748">
        <f>+'Phụ lục số 7'!AJ17</f>
        <v>50000</v>
      </c>
      <c r="AK17" s="2748">
        <v>100</v>
      </c>
      <c r="AL17" s="2748">
        <f>AJ17/AK17*100</f>
        <v>50000</v>
      </c>
      <c r="AM17" s="46">
        <f>+'Phụ lục số 7'!AM17</f>
        <v>22000</v>
      </c>
      <c r="AN17" s="46">
        <v>100</v>
      </c>
      <c r="AO17" s="1645">
        <f>AM17/AN17*100</f>
        <v>22000</v>
      </c>
    </row>
    <row r="18" spans="1:41" s="4970" customFormat="1">
      <c r="A18" s="4971">
        <v>3</v>
      </c>
      <c r="B18" s="4972" t="s">
        <v>17</v>
      </c>
      <c r="C18" s="5346">
        <f t="shared" si="12"/>
        <v>330000</v>
      </c>
      <c r="D18" s="5346">
        <f t="shared" si="13"/>
        <v>100</v>
      </c>
      <c r="E18" s="5346">
        <f t="shared" si="1"/>
        <v>330000</v>
      </c>
      <c r="F18" s="5346">
        <f>+'Phụ lục số 7'!F18</f>
        <v>15000</v>
      </c>
      <c r="G18" s="5346">
        <v>100</v>
      </c>
      <c r="H18" s="5346">
        <f t="shared" si="14"/>
        <v>15000</v>
      </c>
      <c r="I18" s="5346">
        <f>+'Phụ lục số 7'!I18</f>
        <v>20000</v>
      </c>
      <c r="J18" s="5346">
        <v>100</v>
      </c>
      <c r="K18" s="5346">
        <f t="shared" si="2"/>
        <v>20000</v>
      </c>
      <c r="L18" s="5346">
        <f>+'Phụ lục số 7'!L18</f>
        <v>13000</v>
      </c>
      <c r="M18" s="5346">
        <v>100</v>
      </c>
      <c r="N18" s="5346">
        <f t="shared" si="3"/>
        <v>13000</v>
      </c>
      <c r="O18" s="5346">
        <f>+'Phụ lục số 7'!O18</f>
        <v>18000</v>
      </c>
      <c r="P18" s="5346">
        <v>100</v>
      </c>
      <c r="Q18" s="5346">
        <f t="shared" si="15"/>
        <v>18000</v>
      </c>
      <c r="R18" s="5346">
        <f>+'Phụ lục số 7'!R18</f>
        <v>20000</v>
      </c>
      <c r="S18" s="5346">
        <v>100</v>
      </c>
      <c r="T18" s="5346">
        <f t="shared" si="4"/>
        <v>20000</v>
      </c>
      <c r="U18" s="5346">
        <f>+'Phụ lục số 7'!U18</f>
        <v>75000</v>
      </c>
      <c r="V18" s="5346">
        <v>100</v>
      </c>
      <c r="W18" s="5347">
        <f t="shared" si="5"/>
        <v>75000</v>
      </c>
      <c r="X18" s="5348">
        <f>+'Phụ lục số 7'!X18</f>
        <v>37000</v>
      </c>
      <c r="Y18" s="5346">
        <v>100</v>
      </c>
      <c r="Z18" s="5346">
        <f t="shared" si="6"/>
        <v>37000</v>
      </c>
      <c r="AA18" s="5346">
        <f>+'Phụ lục số 7'!AA18</f>
        <v>27500</v>
      </c>
      <c r="AB18" s="5346">
        <v>100</v>
      </c>
      <c r="AC18" s="5346">
        <f t="shared" si="7"/>
        <v>27500</v>
      </c>
      <c r="AD18" s="5346">
        <f>+'Phụ lục số 7'!AD18</f>
        <v>26000</v>
      </c>
      <c r="AE18" s="5346">
        <v>100</v>
      </c>
      <c r="AF18" s="5346">
        <f t="shared" si="8"/>
        <v>26000</v>
      </c>
      <c r="AG18" s="5346">
        <f>+'Phụ lục số 7'!AG18</f>
        <v>26500</v>
      </c>
      <c r="AH18" s="5346">
        <v>100</v>
      </c>
      <c r="AI18" s="5346">
        <f t="shared" si="9"/>
        <v>26500</v>
      </c>
      <c r="AJ18" s="5346">
        <f>+'Phụ lục số 7'!AJ18</f>
        <v>30000</v>
      </c>
      <c r="AK18" s="5346">
        <v>100</v>
      </c>
      <c r="AL18" s="5346">
        <f t="shared" si="10"/>
        <v>30000</v>
      </c>
      <c r="AM18" s="2699">
        <f>+'Phụ lục số 7'!AM18</f>
        <v>22000</v>
      </c>
      <c r="AN18" s="2699">
        <v>100</v>
      </c>
      <c r="AO18" s="2700">
        <f t="shared" si="11"/>
        <v>22000</v>
      </c>
    </row>
    <row r="19" spans="1:41" s="4970" customFormat="1">
      <c r="A19" s="4971">
        <v>4</v>
      </c>
      <c r="B19" s="4972" t="s">
        <v>3192</v>
      </c>
      <c r="C19" s="5346">
        <f t="shared" si="12"/>
        <v>0</v>
      </c>
      <c r="D19" s="5346">
        <f t="shared" si="13"/>
        <v>100</v>
      </c>
      <c r="E19" s="5346">
        <f t="shared" si="1"/>
        <v>0</v>
      </c>
      <c r="F19" s="5346">
        <f>+'Phụ lục số 7'!F19</f>
        <v>0</v>
      </c>
      <c r="G19" s="5346">
        <v>100</v>
      </c>
      <c r="H19" s="5346">
        <f t="shared" si="14"/>
        <v>0</v>
      </c>
      <c r="I19" s="5346">
        <f>+'Phụ lục số 7'!I19</f>
        <v>0</v>
      </c>
      <c r="J19" s="5346">
        <v>100</v>
      </c>
      <c r="K19" s="5346">
        <f t="shared" si="2"/>
        <v>0</v>
      </c>
      <c r="L19" s="5346">
        <f>+'Phụ lục số 7'!L19</f>
        <v>0</v>
      </c>
      <c r="M19" s="5346">
        <v>100</v>
      </c>
      <c r="N19" s="5346">
        <f t="shared" si="3"/>
        <v>0</v>
      </c>
      <c r="O19" s="5346">
        <f>+'Phụ lục số 7'!O19</f>
        <v>0</v>
      </c>
      <c r="P19" s="5346">
        <v>100</v>
      </c>
      <c r="Q19" s="5346">
        <f t="shared" si="15"/>
        <v>0</v>
      </c>
      <c r="R19" s="5346">
        <f>+'Phụ lục số 7'!R19</f>
        <v>0</v>
      </c>
      <c r="S19" s="5346">
        <v>100</v>
      </c>
      <c r="T19" s="5346">
        <f t="shared" si="4"/>
        <v>0</v>
      </c>
      <c r="U19" s="5346">
        <f>+'Phụ lục số 7'!U19</f>
        <v>0</v>
      </c>
      <c r="V19" s="5346">
        <v>100</v>
      </c>
      <c r="W19" s="5347">
        <f t="shared" si="5"/>
        <v>0</v>
      </c>
      <c r="X19" s="5348">
        <f>+'Phụ lục số 7'!X19</f>
        <v>0</v>
      </c>
      <c r="Y19" s="5346">
        <v>100</v>
      </c>
      <c r="Z19" s="5346">
        <f t="shared" si="6"/>
        <v>0</v>
      </c>
      <c r="AA19" s="5346">
        <f>+'Phụ lục số 7'!AA19</f>
        <v>0</v>
      </c>
      <c r="AB19" s="5346">
        <v>100</v>
      </c>
      <c r="AC19" s="5346">
        <f t="shared" si="7"/>
        <v>0</v>
      </c>
      <c r="AD19" s="5346">
        <f>+'Phụ lục số 7'!AD19</f>
        <v>0</v>
      </c>
      <c r="AE19" s="5346">
        <v>100</v>
      </c>
      <c r="AF19" s="5346">
        <f t="shared" si="8"/>
        <v>0</v>
      </c>
      <c r="AG19" s="5346">
        <f>+'Phụ lục số 7'!AG19</f>
        <v>0</v>
      </c>
      <c r="AH19" s="5346">
        <v>100</v>
      </c>
      <c r="AI19" s="5346">
        <f t="shared" si="9"/>
        <v>0</v>
      </c>
      <c r="AJ19" s="5346">
        <f>+'Phụ lục số 7'!AJ19</f>
        <v>0</v>
      </c>
      <c r="AK19" s="5346">
        <v>100</v>
      </c>
      <c r="AL19" s="5346">
        <f t="shared" si="10"/>
        <v>0</v>
      </c>
      <c r="AM19" s="2699">
        <f>+'Phụ lục số 7'!AM19</f>
        <v>0</v>
      </c>
      <c r="AN19" s="2699">
        <v>100</v>
      </c>
      <c r="AO19" s="2700">
        <f t="shared" si="11"/>
        <v>0</v>
      </c>
    </row>
    <row r="20" spans="1:41" s="4970" customFormat="1">
      <c r="A20" s="4971">
        <v>5</v>
      </c>
      <c r="B20" s="4972" t="s">
        <v>97</v>
      </c>
      <c r="C20" s="5346">
        <f t="shared" si="12"/>
        <v>17000</v>
      </c>
      <c r="D20" s="5346">
        <f t="shared" si="13"/>
        <v>100</v>
      </c>
      <c r="E20" s="5346">
        <f t="shared" si="1"/>
        <v>17000</v>
      </c>
      <c r="F20" s="5346">
        <f>+'Phụ lục số 7'!F20</f>
        <v>0</v>
      </c>
      <c r="G20" s="5346">
        <v>100</v>
      </c>
      <c r="H20" s="5346">
        <f t="shared" si="14"/>
        <v>0</v>
      </c>
      <c r="I20" s="5346">
        <f>+'Phụ lục số 7'!I20</f>
        <v>250</v>
      </c>
      <c r="J20" s="5346">
        <v>100</v>
      </c>
      <c r="K20" s="5346">
        <f t="shared" si="2"/>
        <v>250</v>
      </c>
      <c r="L20" s="5346">
        <f>+'Phụ lục số 7'!L20</f>
        <v>300</v>
      </c>
      <c r="M20" s="5346">
        <v>100</v>
      </c>
      <c r="N20" s="5346">
        <f t="shared" si="3"/>
        <v>300</v>
      </c>
      <c r="O20" s="5346">
        <f>+'Phụ lục số 7'!O20</f>
        <v>200</v>
      </c>
      <c r="P20" s="5346">
        <v>100</v>
      </c>
      <c r="Q20" s="5346">
        <f t="shared" si="15"/>
        <v>200</v>
      </c>
      <c r="R20" s="5346">
        <f>+'Phụ lục số 7'!R20</f>
        <v>1200</v>
      </c>
      <c r="S20" s="5346">
        <v>100</v>
      </c>
      <c r="T20" s="5346">
        <f t="shared" si="4"/>
        <v>1200</v>
      </c>
      <c r="U20" s="5346">
        <f>+'Phụ lục số 7'!U20</f>
        <v>4300</v>
      </c>
      <c r="V20" s="5346">
        <v>100</v>
      </c>
      <c r="W20" s="5347">
        <f t="shared" si="5"/>
        <v>4300</v>
      </c>
      <c r="X20" s="5348">
        <f>+'Phụ lục số 7'!X20</f>
        <v>2250</v>
      </c>
      <c r="Y20" s="5346">
        <v>100</v>
      </c>
      <c r="Z20" s="5346">
        <f t="shared" si="6"/>
        <v>2250</v>
      </c>
      <c r="AA20" s="5346">
        <f>+'Phụ lục số 7'!AA20</f>
        <v>2500</v>
      </c>
      <c r="AB20" s="5346">
        <v>100</v>
      </c>
      <c r="AC20" s="5346">
        <f t="shared" si="7"/>
        <v>2500</v>
      </c>
      <c r="AD20" s="5346">
        <f>+'Phụ lục số 7'!AD20</f>
        <v>800</v>
      </c>
      <c r="AE20" s="5346">
        <v>100</v>
      </c>
      <c r="AF20" s="5346">
        <f t="shared" si="8"/>
        <v>800</v>
      </c>
      <c r="AG20" s="5346">
        <f>+'Phụ lục số 7'!AG20</f>
        <v>1200</v>
      </c>
      <c r="AH20" s="5346">
        <v>100</v>
      </c>
      <c r="AI20" s="5346">
        <f t="shared" si="9"/>
        <v>1200</v>
      </c>
      <c r="AJ20" s="5346">
        <f>+'Phụ lục số 7'!AJ20</f>
        <v>3000</v>
      </c>
      <c r="AK20" s="5346">
        <v>100</v>
      </c>
      <c r="AL20" s="5346">
        <f t="shared" si="10"/>
        <v>3000</v>
      </c>
      <c r="AM20" s="2699">
        <f>+'Phụ lục số 7'!AM20</f>
        <v>1000</v>
      </c>
      <c r="AN20" s="2699">
        <v>100</v>
      </c>
      <c r="AO20" s="2700">
        <f t="shared" si="11"/>
        <v>1000</v>
      </c>
    </row>
    <row r="21" spans="1:41" s="4970" customFormat="1">
      <c r="A21" s="4971">
        <v>6</v>
      </c>
      <c r="B21" s="4972" t="s">
        <v>793</v>
      </c>
      <c r="C21" s="5346">
        <f>SUM(C22:C24)</f>
        <v>110400</v>
      </c>
      <c r="D21" s="5346"/>
      <c r="E21" s="5346">
        <f>SUM(E22:E24)</f>
        <v>72400</v>
      </c>
      <c r="F21" s="5346">
        <f>SUM(F22:F24)</f>
        <v>7500</v>
      </c>
      <c r="G21" s="5346"/>
      <c r="H21" s="5346">
        <f>SUM(H22:H24)</f>
        <v>4200</v>
      </c>
      <c r="I21" s="5346">
        <f>SUM(I22:I24)</f>
        <v>6000</v>
      </c>
      <c r="J21" s="5346"/>
      <c r="K21" s="5346">
        <f>SUM(K22:K24)</f>
        <v>3000</v>
      </c>
      <c r="L21" s="5346">
        <f>SUM(L22:L24)</f>
        <v>3500</v>
      </c>
      <c r="M21" s="5346"/>
      <c r="N21" s="5346">
        <f>SUM(N22:N24)</f>
        <v>1850</v>
      </c>
      <c r="O21" s="5346">
        <f>SUM(O22:O24)</f>
        <v>4500</v>
      </c>
      <c r="P21" s="5346"/>
      <c r="Q21" s="5346">
        <f>SUM(Q22:Q24)</f>
        <v>2500</v>
      </c>
      <c r="R21" s="5346">
        <f>SUM(R22:R24)</f>
        <v>6000</v>
      </c>
      <c r="S21" s="5346"/>
      <c r="T21" s="5346">
        <f>SUM(T22:T24)</f>
        <v>3600</v>
      </c>
      <c r="U21" s="5346">
        <f>SUM(U22:U24)</f>
        <v>17000</v>
      </c>
      <c r="V21" s="5346"/>
      <c r="W21" s="5347">
        <f>SUM(W22:W24)</f>
        <v>12800</v>
      </c>
      <c r="X21" s="5348">
        <f>SUM(X22:X24)</f>
        <v>10000</v>
      </c>
      <c r="Y21" s="5346"/>
      <c r="Z21" s="5346">
        <f>SUM(Z22:Z24)</f>
        <v>7600</v>
      </c>
      <c r="AA21" s="5346">
        <f>SUM(AA22:AA24)</f>
        <v>10000</v>
      </c>
      <c r="AB21" s="5346"/>
      <c r="AC21" s="5346">
        <f>SUM(AC22:AC24)</f>
        <v>7000</v>
      </c>
      <c r="AD21" s="5346">
        <f>SUM(AD22:AD24)</f>
        <v>15400</v>
      </c>
      <c r="AE21" s="5346"/>
      <c r="AF21" s="5346">
        <f>SUM(AF22:AF24)</f>
        <v>10900</v>
      </c>
      <c r="AG21" s="5346">
        <f>SUM(AG22:AG24)</f>
        <v>8000</v>
      </c>
      <c r="AH21" s="5346"/>
      <c r="AI21" s="5346">
        <f>SUM(AI22:AI24)</f>
        <v>5200</v>
      </c>
      <c r="AJ21" s="5346">
        <f>SUM(AJ22:AJ24)</f>
        <v>15500</v>
      </c>
      <c r="AK21" s="5346"/>
      <c r="AL21" s="5346">
        <f>SUM(AL22:AL24)</f>
        <v>9500</v>
      </c>
      <c r="AM21" s="2699">
        <f>SUM(AM22:AM24)</f>
        <v>7000</v>
      </c>
      <c r="AN21" s="2699"/>
      <c r="AO21" s="2700">
        <f>SUM(AO22:AO24)</f>
        <v>4250</v>
      </c>
    </row>
    <row r="22" spans="1:41" s="2750" customFormat="1" ht="36" hidden="1">
      <c r="A22" s="5351" t="s">
        <v>29</v>
      </c>
      <c r="B22" s="2882" t="s">
        <v>794</v>
      </c>
      <c r="C22" s="2748">
        <f>SUM(F22,L22,O22,R22,U22,X22,AA22,AD22,AG22,AJ22,AM22,I22)</f>
        <v>34800</v>
      </c>
      <c r="D22" s="2748">
        <f t="shared" si="13"/>
        <v>0</v>
      </c>
      <c r="E22" s="2748">
        <f>SUM(H22,N22,Q22,T22,W22,Z22,AC22,AF22,AI22,AL22,AO22,K22)</f>
        <v>0</v>
      </c>
      <c r="F22" s="2748">
        <f>+'Phụ lục số 7'!F22</f>
        <v>2500</v>
      </c>
      <c r="G22" s="2748">
        <v>0</v>
      </c>
      <c r="H22" s="2748">
        <f t="shared" si="14"/>
        <v>0</v>
      </c>
      <c r="I22" s="2748">
        <f>+'Phụ lục số 7'!I22</f>
        <v>3000</v>
      </c>
      <c r="J22" s="2748">
        <v>0</v>
      </c>
      <c r="K22" s="2748">
        <f>I22*J22/100</f>
        <v>0</v>
      </c>
      <c r="L22" s="2748">
        <f>+'Phụ lục số 7'!L22</f>
        <v>1500</v>
      </c>
      <c r="M22" s="2748">
        <v>0</v>
      </c>
      <c r="N22" s="2748">
        <f>L22*M22/100</f>
        <v>0</v>
      </c>
      <c r="O22" s="2748">
        <f>+'Phụ lục số 7'!O22</f>
        <v>2000</v>
      </c>
      <c r="P22" s="2748">
        <v>0</v>
      </c>
      <c r="Q22" s="2748">
        <f>O22*P22/100</f>
        <v>0</v>
      </c>
      <c r="R22" s="2748">
        <f>+'Phụ lục số 7'!R22</f>
        <v>2200</v>
      </c>
      <c r="S22" s="2748">
        <v>0</v>
      </c>
      <c r="T22" s="2748">
        <f>R22*S22/100</f>
        <v>0</v>
      </c>
      <c r="U22" s="2748">
        <f>+'Phụ lục số 7'!U22</f>
        <v>4200</v>
      </c>
      <c r="V22" s="2748">
        <v>0</v>
      </c>
      <c r="W22" s="5349">
        <f>U22*V22/100</f>
        <v>0</v>
      </c>
      <c r="X22" s="5350">
        <f>+'Phụ lục số 7'!X22</f>
        <v>2400</v>
      </c>
      <c r="Y22" s="2748">
        <v>0</v>
      </c>
      <c r="Z22" s="2748">
        <f>X22*Y22/100</f>
        <v>0</v>
      </c>
      <c r="AA22" s="2748">
        <f>+'Phụ lục số 7'!AA22</f>
        <v>3000</v>
      </c>
      <c r="AB22" s="2748">
        <v>0</v>
      </c>
      <c r="AC22" s="2748">
        <f>AA22*AB22/100</f>
        <v>0</v>
      </c>
      <c r="AD22" s="2748">
        <f>+'Phụ lục số 7'!AD22</f>
        <v>4500</v>
      </c>
      <c r="AE22" s="2748">
        <v>0</v>
      </c>
      <c r="AF22" s="2748">
        <f>AD22*AE22/100</f>
        <v>0</v>
      </c>
      <c r="AG22" s="2748">
        <f>+'Phụ lục số 7'!AG22</f>
        <v>2500</v>
      </c>
      <c r="AH22" s="2748">
        <v>0</v>
      </c>
      <c r="AI22" s="2748">
        <f>AG22*AH22/100</f>
        <v>0</v>
      </c>
      <c r="AJ22" s="2748">
        <f>+'Phụ lục số 7'!AJ22</f>
        <v>4500</v>
      </c>
      <c r="AK22" s="2748">
        <v>0</v>
      </c>
      <c r="AL22" s="2748">
        <f>AJ22*AK22/100</f>
        <v>0</v>
      </c>
      <c r="AM22" s="46">
        <f>+'Phụ lục số 7'!AM22</f>
        <v>2500</v>
      </c>
      <c r="AN22" s="46">
        <v>0</v>
      </c>
      <c r="AO22" s="1645">
        <f>AM22*AN22/100</f>
        <v>0</v>
      </c>
    </row>
    <row r="23" spans="1:41" s="2750" customFormat="1" ht="36" hidden="1">
      <c r="A23" s="5351" t="s">
        <v>29</v>
      </c>
      <c r="B23" s="2882" t="s">
        <v>795</v>
      </c>
      <c r="C23" s="2748">
        <f>SUM(F23,L23,O23,R23,U23,X23,AA23,AD23,AG23,AJ23,AM23,I23)</f>
        <v>3200</v>
      </c>
      <c r="D23" s="2748">
        <f t="shared" si="13"/>
        <v>0</v>
      </c>
      <c r="E23" s="2748">
        <f>SUM(H23,N23,Q23,T23,W23,Z23,AC23,AF23,AI23,AL23,AO23,K23)</f>
        <v>0</v>
      </c>
      <c r="F23" s="2748">
        <f>+'Phụ lục số 7'!F23</f>
        <v>800</v>
      </c>
      <c r="G23" s="2748">
        <v>0</v>
      </c>
      <c r="H23" s="2748">
        <f t="shared" si="14"/>
        <v>0</v>
      </c>
      <c r="I23" s="2748">
        <f>+'Phụ lục số 7'!I23</f>
        <v>0</v>
      </c>
      <c r="J23" s="2748">
        <v>0</v>
      </c>
      <c r="K23" s="2748">
        <f>I23*J23/100</f>
        <v>0</v>
      </c>
      <c r="L23" s="2748">
        <f>+'Phụ lục số 7'!L23</f>
        <v>150</v>
      </c>
      <c r="M23" s="2748">
        <v>0</v>
      </c>
      <c r="N23" s="2748">
        <f>L23*M23/100</f>
        <v>0</v>
      </c>
      <c r="O23" s="2748">
        <f>+'Phụ lục số 7'!O23</f>
        <v>0</v>
      </c>
      <c r="P23" s="2748">
        <v>0</v>
      </c>
      <c r="Q23" s="2748">
        <f>O23*P23/100</f>
        <v>0</v>
      </c>
      <c r="R23" s="2748">
        <f>+'Phụ lục số 7'!R23</f>
        <v>200</v>
      </c>
      <c r="S23" s="2748">
        <v>0</v>
      </c>
      <c r="T23" s="2748">
        <f>R23*S23/100</f>
        <v>0</v>
      </c>
      <c r="U23" s="2748">
        <f>+'Phụ lục số 7'!U23</f>
        <v>0</v>
      </c>
      <c r="V23" s="2748">
        <v>0</v>
      </c>
      <c r="W23" s="5349">
        <f>U23*V23/100</f>
        <v>0</v>
      </c>
      <c r="X23" s="5350">
        <f>+'Phụ lục số 7'!X23</f>
        <v>0</v>
      </c>
      <c r="Y23" s="2748">
        <v>0</v>
      </c>
      <c r="Z23" s="2748">
        <f>X23*Y23/100</f>
        <v>0</v>
      </c>
      <c r="AA23" s="2748">
        <f>+'Phụ lục số 7'!AA23</f>
        <v>0</v>
      </c>
      <c r="AB23" s="2748">
        <v>0</v>
      </c>
      <c r="AC23" s="2748">
        <f>AA23*AB23/100</f>
        <v>0</v>
      </c>
      <c r="AD23" s="2748">
        <f>+'Phụ lục số 7'!AD23</f>
        <v>0</v>
      </c>
      <c r="AE23" s="2748">
        <v>0</v>
      </c>
      <c r="AF23" s="2748">
        <f>AD23*AE23/100</f>
        <v>0</v>
      </c>
      <c r="AG23" s="2748">
        <f>+'Phụ lục số 7'!AG23</f>
        <v>300</v>
      </c>
      <c r="AH23" s="2748">
        <v>0</v>
      </c>
      <c r="AI23" s="2748">
        <f>AG23*AH23/100</f>
        <v>0</v>
      </c>
      <c r="AJ23" s="2748">
        <f>+'Phụ lục số 7'!AJ23</f>
        <v>1500.0000000000002</v>
      </c>
      <c r="AK23" s="2748">
        <v>0</v>
      </c>
      <c r="AL23" s="2748">
        <f>AJ23*AK23/100</f>
        <v>0</v>
      </c>
      <c r="AM23" s="46">
        <f>+'Phụ lục số 7'!AM23</f>
        <v>250</v>
      </c>
      <c r="AN23" s="46">
        <v>0</v>
      </c>
      <c r="AO23" s="1645">
        <f>AM23*AN23/100</f>
        <v>0</v>
      </c>
    </row>
    <row r="24" spans="1:41" s="2750" customFormat="1" ht="36" hidden="1">
      <c r="A24" s="5351" t="s">
        <v>29</v>
      </c>
      <c r="B24" s="2882" t="s">
        <v>796</v>
      </c>
      <c r="C24" s="2748">
        <f>SUM(F24,L24,O24,R24,U24,X24,AA24,AD24,AG24,AJ24,AM24,I24)</f>
        <v>72400</v>
      </c>
      <c r="D24" s="2748">
        <f t="shared" si="13"/>
        <v>100</v>
      </c>
      <c r="E24" s="2748">
        <f>SUM(H24,N24,Q24,T24,W24,Z24,AC24,AF24,AI24,AL24,AO24,K24)</f>
        <v>72400</v>
      </c>
      <c r="F24" s="2748">
        <f>+'Phụ lục số 7'!F24</f>
        <v>4200</v>
      </c>
      <c r="G24" s="2748">
        <v>100</v>
      </c>
      <c r="H24" s="2748">
        <f t="shared" si="14"/>
        <v>4200</v>
      </c>
      <c r="I24" s="2748">
        <f>+'Phụ lục số 7'!I24</f>
        <v>3000</v>
      </c>
      <c r="J24" s="2748">
        <v>100</v>
      </c>
      <c r="K24" s="2748">
        <f>I24*J24/100</f>
        <v>3000</v>
      </c>
      <c r="L24" s="2748">
        <f>+'Phụ lục số 7'!L24</f>
        <v>1850</v>
      </c>
      <c r="M24" s="2748">
        <v>100</v>
      </c>
      <c r="N24" s="2748">
        <f>L24*M24/100</f>
        <v>1850</v>
      </c>
      <c r="O24" s="2748">
        <f>+'Phụ lục số 7'!O24</f>
        <v>2500</v>
      </c>
      <c r="P24" s="2748">
        <v>100</v>
      </c>
      <c r="Q24" s="2748">
        <f>O24*P24/100</f>
        <v>2500</v>
      </c>
      <c r="R24" s="2748">
        <f>+'Phụ lục số 7'!R24</f>
        <v>3600</v>
      </c>
      <c r="S24" s="2748">
        <v>100</v>
      </c>
      <c r="T24" s="2748">
        <f>R24*S24/100</f>
        <v>3600</v>
      </c>
      <c r="U24" s="2748">
        <f>+'Phụ lục số 7'!U24</f>
        <v>12800</v>
      </c>
      <c r="V24" s="2748">
        <v>100</v>
      </c>
      <c r="W24" s="5349">
        <f>U24*V24/100</f>
        <v>12800</v>
      </c>
      <c r="X24" s="5350">
        <f>+'Phụ lục số 7'!X24</f>
        <v>7600</v>
      </c>
      <c r="Y24" s="2748">
        <v>100</v>
      </c>
      <c r="Z24" s="2748">
        <f>X24*Y24/100</f>
        <v>7600</v>
      </c>
      <c r="AA24" s="2748">
        <f>+'Phụ lục số 7'!AA24</f>
        <v>7000</v>
      </c>
      <c r="AB24" s="2748">
        <v>100</v>
      </c>
      <c r="AC24" s="2748">
        <f>AA24*AB24/100</f>
        <v>7000</v>
      </c>
      <c r="AD24" s="2748">
        <f>+'Phụ lục số 7'!AD24</f>
        <v>10900</v>
      </c>
      <c r="AE24" s="2748">
        <v>100</v>
      </c>
      <c r="AF24" s="2748">
        <f>AD24*AE24/100</f>
        <v>10900</v>
      </c>
      <c r="AG24" s="2748">
        <f>+'Phụ lục số 7'!AG24</f>
        <v>5200</v>
      </c>
      <c r="AH24" s="2748">
        <v>100</v>
      </c>
      <c r="AI24" s="2748">
        <f>AG24*AH24/100</f>
        <v>5200</v>
      </c>
      <c r="AJ24" s="2748">
        <f>+'Phụ lục số 7'!AJ24</f>
        <v>9500</v>
      </c>
      <c r="AK24" s="2748">
        <v>100</v>
      </c>
      <c r="AL24" s="2748">
        <f>AJ24*AK24/100</f>
        <v>9500</v>
      </c>
      <c r="AM24" s="46">
        <f>+'Phụ lục số 7'!AM24</f>
        <v>4250</v>
      </c>
      <c r="AN24" s="46">
        <v>100</v>
      </c>
      <c r="AO24" s="1645">
        <f>AM24*AN24/100</f>
        <v>4250</v>
      </c>
    </row>
    <row r="25" spans="1:41" s="4970" customFormat="1">
      <c r="A25" s="4971">
        <v>7</v>
      </c>
      <c r="B25" s="4972" t="s">
        <v>24</v>
      </c>
      <c r="C25" s="5346">
        <f>SUM(C26:C27)</f>
        <v>201000</v>
      </c>
      <c r="D25" s="5346"/>
      <c r="E25" s="5346">
        <f>SUM(E26:E27)</f>
        <v>180900</v>
      </c>
      <c r="F25" s="5346">
        <f>SUM(F26:F27)</f>
        <v>2000</v>
      </c>
      <c r="G25" s="5346"/>
      <c r="H25" s="5346">
        <f>SUM(H26:H27)</f>
        <v>1800</v>
      </c>
      <c r="I25" s="5346">
        <f>SUM(I26:I27)</f>
        <v>6000</v>
      </c>
      <c r="J25" s="5346"/>
      <c r="K25" s="5346">
        <f>SUM(K26:K27)</f>
        <v>5400</v>
      </c>
      <c r="L25" s="5346">
        <f>SUM(L26:L27)</f>
        <v>1000</v>
      </c>
      <c r="M25" s="5346"/>
      <c r="N25" s="5346">
        <f>SUM(N26:N27)</f>
        <v>900</v>
      </c>
      <c r="O25" s="5346">
        <f>SUM(O26:O27)</f>
        <v>2000</v>
      </c>
      <c r="P25" s="5346"/>
      <c r="Q25" s="5346">
        <f>SUM(Q26:Q27)</f>
        <v>1800</v>
      </c>
      <c r="R25" s="5346">
        <f>SUM(R26:R27)</f>
        <v>10000</v>
      </c>
      <c r="S25" s="5346"/>
      <c r="T25" s="5346">
        <f>SUM(T26:T27)</f>
        <v>9000</v>
      </c>
      <c r="U25" s="5346">
        <f>SUM(U26:U27)</f>
        <v>145000</v>
      </c>
      <c r="V25" s="5346"/>
      <c r="W25" s="5347">
        <f>SUM(W26:W27)</f>
        <v>130500</v>
      </c>
      <c r="X25" s="5348">
        <f>SUM(X26:X27)</f>
        <v>4500</v>
      </c>
      <c r="Y25" s="5346"/>
      <c r="Z25" s="5346">
        <f>SUM(Z26:Z27)</f>
        <v>4050</v>
      </c>
      <c r="AA25" s="5346">
        <f>SUM(AA26:AA27)</f>
        <v>2500</v>
      </c>
      <c r="AB25" s="5346"/>
      <c r="AC25" s="5346">
        <f>SUM(AC26:AC27)</f>
        <v>2250</v>
      </c>
      <c r="AD25" s="5346">
        <f>SUM(AD26:AD27)</f>
        <v>5000</v>
      </c>
      <c r="AE25" s="5346"/>
      <c r="AF25" s="5346">
        <f>SUM(AF26:AF27)</f>
        <v>4500</v>
      </c>
      <c r="AG25" s="5346">
        <f>SUM(AG26:AG27)</f>
        <v>2000</v>
      </c>
      <c r="AH25" s="5346"/>
      <c r="AI25" s="5346">
        <f>SUM(AI26:AI27)</f>
        <v>1800</v>
      </c>
      <c r="AJ25" s="5346">
        <f>SUM(AJ26:AJ27)</f>
        <v>17000</v>
      </c>
      <c r="AK25" s="5346"/>
      <c r="AL25" s="5346">
        <f>SUM(AL26:AL27)</f>
        <v>15300</v>
      </c>
      <c r="AM25" s="2699">
        <f>SUM(AM26:AM27)</f>
        <v>4000</v>
      </c>
      <c r="AN25" s="2699"/>
      <c r="AO25" s="2700">
        <f>SUM(AO26:AO27)</f>
        <v>3600</v>
      </c>
    </row>
    <row r="26" spans="1:41" s="2750" customFormat="1" ht="36" hidden="1">
      <c r="A26" s="5351" t="s">
        <v>29</v>
      </c>
      <c r="B26" s="2882" t="s">
        <v>790</v>
      </c>
      <c r="C26" s="2748">
        <f>SUM(F26,L26,O26,R26,U26,X26,AA26,AD26,AG26,AJ26,AM26,I26)</f>
        <v>0</v>
      </c>
      <c r="D26" s="2748">
        <f t="shared" si="13"/>
        <v>0</v>
      </c>
      <c r="E26" s="2748">
        <f>SUM(H26,N26,Q26,T26,W26,Z26,AC26,AF26,AI26,AL26,AO26,K26)</f>
        <v>0</v>
      </c>
      <c r="F26" s="2748">
        <f>+'Phụ lục số 7'!F26</f>
        <v>0</v>
      </c>
      <c r="G26" s="2748">
        <v>0</v>
      </c>
      <c r="H26" s="2748">
        <f t="shared" si="14"/>
        <v>0</v>
      </c>
      <c r="I26" s="2748">
        <f>+'Phụ lục số 7'!I26</f>
        <v>0</v>
      </c>
      <c r="J26" s="2748">
        <v>0</v>
      </c>
      <c r="K26" s="2748">
        <f>I26*J26/100</f>
        <v>0</v>
      </c>
      <c r="L26" s="2748">
        <f>+'Phụ lục số 7'!L26</f>
        <v>0</v>
      </c>
      <c r="M26" s="2748">
        <v>0</v>
      </c>
      <c r="N26" s="2748">
        <f>L26*M26/100</f>
        <v>0</v>
      </c>
      <c r="O26" s="2748">
        <f>+'Phụ lục số 7'!O26</f>
        <v>0</v>
      </c>
      <c r="P26" s="2748">
        <v>0</v>
      </c>
      <c r="Q26" s="2748">
        <f>O26*P26/100</f>
        <v>0</v>
      </c>
      <c r="R26" s="2748">
        <f>+'Phụ lục số 7'!R26</f>
        <v>0</v>
      </c>
      <c r="S26" s="2748"/>
      <c r="T26" s="2748"/>
      <c r="U26" s="2748">
        <f>+'Phụ lục số 7'!U26</f>
        <v>0</v>
      </c>
      <c r="V26" s="2748"/>
      <c r="W26" s="5349"/>
      <c r="X26" s="5350">
        <f>+'Phụ lục số 7'!X26</f>
        <v>0</v>
      </c>
      <c r="Y26" s="2748"/>
      <c r="Z26" s="2748"/>
      <c r="AA26" s="2748">
        <f>+'Phụ lục số 7'!AA26</f>
        <v>0</v>
      </c>
      <c r="AB26" s="2748"/>
      <c r="AC26" s="2748"/>
      <c r="AD26" s="2748">
        <f>+'Phụ lục số 7'!AD26</f>
        <v>0</v>
      </c>
      <c r="AE26" s="2748">
        <v>0</v>
      </c>
      <c r="AF26" s="2748">
        <f>AD26*AE26/100</f>
        <v>0</v>
      </c>
      <c r="AG26" s="2748">
        <f>+'Phụ lục số 7'!AG26</f>
        <v>0</v>
      </c>
      <c r="AH26" s="2748">
        <v>0</v>
      </c>
      <c r="AI26" s="2748">
        <f>AG26*AH26/100</f>
        <v>0</v>
      </c>
      <c r="AJ26" s="2748">
        <f>+'Phụ lục số 7'!AJ26</f>
        <v>0</v>
      </c>
      <c r="AK26" s="2748">
        <v>0</v>
      </c>
      <c r="AL26" s="2748">
        <f>AJ26*AK26/100</f>
        <v>0</v>
      </c>
      <c r="AM26" s="46">
        <f>+'Phụ lục số 7'!AM26</f>
        <v>0</v>
      </c>
      <c r="AN26" s="46">
        <v>0</v>
      </c>
      <c r="AO26" s="1645">
        <f>AM26*AN26/100</f>
        <v>0</v>
      </c>
    </row>
    <row r="27" spans="1:41" s="2750" customFormat="1" ht="36" hidden="1">
      <c r="A27" s="5351" t="s">
        <v>29</v>
      </c>
      <c r="B27" s="2882" t="s">
        <v>791</v>
      </c>
      <c r="C27" s="2748">
        <f>SUM(F27,L27,O27,R27,U27,X27,AA27,AD27,AG27,AJ27,AM27,I27)</f>
        <v>201000</v>
      </c>
      <c r="D27" s="2748">
        <f t="shared" si="13"/>
        <v>90</v>
      </c>
      <c r="E27" s="2748">
        <f>SUM(H27,N27,Q27,T27,W27,Z27,AC27,AF27,AI27,AL27,AO27,K27)</f>
        <v>180900</v>
      </c>
      <c r="F27" s="2748">
        <f>+'Phụ lục số 7'!F27</f>
        <v>2000</v>
      </c>
      <c r="G27" s="2748">
        <f>'[28]Phụ lục số 5'!G27</f>
        <v>90</v>
      </c>
      <c r="H27" s="2748">
        <f t="shared" si="14"/>
        <v>1800</v>
      </c>
      <c r="I27" s="2748">
        <f>+'Phụ lục số 7'!I27</f>
        <v>6000</v>
      </c>
      <c r="J27" s="2748">
        <f>G27</f>
        <v>90</v>
      </c>
      <c r="K27" s="2748">
        <f>I27*J27/100</f>
        <v>5400</v>
      </c>
      <c r="L27" s="2748">
        <f>+'Phụ lục số 7'!L27</f>
        <v>1000</v>
      </c>
      <c r="M27" s="2748">
        <f>J27</f>
        <v>90</v>
      </c>
      <c r="N27" s="2748">
        <f>L27*M27/100</f>
        <v>900</v>
      </c>
      <c r="O27" s="2748">
        <f>+'Phụ lục số 7'!O27</f>
        <v>2000</v>
      </c>
      <c r="P27" s="2748">
        <f>M27</f>
        <v>90</v>
      </c>
      <c r="Q27" s="2748">
        <f>O27*P27/100</f>
        <v>1800</v>
      </c>
      <c r="R27" s="2748">
        <f>+'Phụ lục số 7'!R27</f>
        <v>10000</v>
      </c>
      <c r="S27" s="2748">
        <f>P27</f>
        <v>90</v>
      </c>
      <c r="T27" s="2748">
        <f>R27*S27/100</f>
        <v>9000</v>
      </c>
      <c r="U27" s="2748">
        <f>+'Phụ lục số 7'!U27</f>
        <v>145000</v>
      </c>
      <c r="V27" s="2748">
        <f>S27</f>
        <v>90</v>
      </c>
      <c r="W27" s="5349">
        <f>U27*V27/100</f>
        <v>130500</v>
      </c>
      <c r="X27" s="5350">
        <f>+'Phụ lục số 7'!X27</f>
        <v>4500</v>
      </c>
      <c r="Y27" s="2748">
        <f>V27</f>
        <v>90</v>
      </c>
      <c r="Z27" s="2748">
        <f>X27*Y27/100</f>
        <v>4050</v>
      </c>
      <c r="AA27" s="2748">
        <f>+'Phụ lục số 7'!AA27</f>
        <v>2500</v>
      </c>
      <c r="AB27" s="2748">
        <f>Y27</f>
        <v>90</v>
      </c>
      <c r="AC27" s="2748">
        <f>AA27*AB27/100</f>
        <v>2250</v>
      </c>
      <c r="AD27" s="2748">
        <f>+'Phụ lục số 7'!AD27</f>
        <v>5000</v>
      </c>
      <c r="AE27" s="2748">
        <f>AB27</f>
        <v>90</v>
      </c>
      <c r="AF27" s="2748">
        <f>AD27*AE27/100</f>
        <v>4500</v>
      </c>
      <c r="AG27" s="2748">
        <f>+'Phụ lục số 7'!AG27</f>
        <v>2000</v>
      </c>
      <c r="AH27" s="2748">
        <f>AE27</f>
        <v>90</v>
      </c>
      <c r="AI27" s="2748">
        <f>AG27*AH27/100</f>
        <v>1800</v>
      </c>
      <c r="AJ27" s="2748">
        <f>+'Phụ lục số 7'!AJ27</f>
        <v>17000</v>
      </c>
      <c r="AK27" s="2748">
        <f>AH27</f>
        <v>90</v>
      </c>
      <c r="AL27" s="2748">
        <f>AJ27*AK27/100</f>
        <v>15300</v>
      </c>
      <c r="AM27" s="46">
        <f>+'Phụ lục số 7'!AM27</f>
        <v>4000</v>
      </c>
      <c r="AN27" s="46">
        <f>AK27</f>
        <v>90</v>
      </c>
      <c r="AO27" s="1645">
        <f>AM27*AN27/100</f>
        <v>3600</v>
      </c>
    </row>
    <row r="28" spans="1:41" s="4970" customFormat="1">
      <c r="A28" s="4971">
        <v>8</v>
      </c>
      <c r="B28" s="4972" t="s">
        <v>797</v>
      </c>
      <c r="C28" s="5346">
        <f>SUM(C29:C30)</f>
        <v>1600000</v>
      </c>
      <c r="D28" s="5346"/>
      <c r="E28" s="5346">
        <f>SUM(E29:E30)</f>
        <v>1093500</v>
      </c>
      <c r="F28" s="5346">
        <f>SUM(F29:F30)</f>
        <v>60000</v>
      </c>
      <c r="G28" s="5346"/>
      <c r="H28" s="5346">
        <f>SUM(H29:H30)</f>
        <v>54000</v>
      </c>
      <c r="I28" s="5346">
        <f>SUM(I29:I30)</f>
        <v>290000</v>
      </c>
      <c r="J28" s="5346"/>
      <c r="K28" s="5346">
        <f>SUM(K29:K30)</f>
        <v>261000</v>
      </c>
      <c r="L28" s="5346">
        <f>SUM(L29:L30)</f>
        <v>30000</v>
      </c>
      <c r="M28" s="5346"/>
      <c r="N28" s="5346">
        <f>SUM(N29:N30)</f>
        <v>27000</v>
      </c>
      <c r="O28" s="5346">
        <f>SUM(O29:O30)</f>
        <v>60000</v>
      </c>
      <c r="P28" s="5346"/>
      <c r="Q28" s="5346">
        <f>SUM(Q29:Q30)</f>
        <v>54000</v>
      </c>
      <c r="R28" s="5346">
        <f>SUM(R29:R30)</f>
        <v>50000</v>
      </c>
      <c r="S28" s="5346"/>
      <c r="T28" s="5346">
        <f>SUM(T29:T30)</f>
        <v>45000</v>
      </c>
      <c r="U28" s="5346">
        <f>SUM(U29:U30)</f>
        <v>310000</v>
      </c>
      <c r="V28" s="5346"/>
      <c r="W28" s="5347">
        <f>SUM(W29:W30)</f>
        <v>144000</v>
      </c>
      <c r="X28" s="5348">
        <f>SUM(X29:X30)</f>
        <v>75000</v>
      </c>
      <c r="Y28" s="5346"/>
      <c r="Z28" s="5346">
        <f>SUM(Z29:Z30)</f>
        <v>67500</v>
      </c>
      <c r="AA28" s="5346">
        <f>SUM(AA29:AA30)</f>
        <v>100000</v>
      </c>
      <c r="AB28" s="5346"/>
      <c r="AC28" s="5346">
        <f>SUM(AC29:AC30)</f>
        <v>90000</v>
      </c>
      <c r="AD28" s="5346">
        <f>SUM(AD29:AD30)</f>
        <v>60000</v>
      </c>
      <c r="AE28" s="5346"/>
      <c r="AF28" s="5346">
        <f>SUM(AF29:AF30)</f>
        <v>54000</v>
      </c>
      <c r="AG28" s="5346">
        <f>SUM(AG29:AG30)</f>
        <v>70000</v>
      </c>
      <c r="AH28" s="5346"/>
      <c r="AI28" s="5346">
        <f>SUM(AI29:AI30)</f>
        <v>63000</v>
      </c>
      <c r="AJ28" s="5346">
        <f>SUM(AJ29:AJ30)</f>
        <v>395000</v>
      </c>
      <c r="AK28" s="5346"/>
      <c r="AL28" s="5346">
        <f>SUM(AL29:AL30)</f>
        <v>144000</v>
      </c>
      <c r="AM28" s="2699">
        <f>SUM(AM29:AM30)</f>
        <v>100000</v>
      </c>
      <c r="AN28" s="2699"/>
      <c r="AO28" s="2700">
        <f>SUM(AO29:AO30)</f>
        <v>90000</v>
      </c>
    </row>
    <row r="29" spans="1:41" s="2750" customFormat="1" ht="36" hidden="1">
      <c r="A29" s="5351" t="s">
        <v>29</v>
      </c>
      <c r="B29" s="2882" t="s">
        <v>790</v>
      </c>
      <c r="C29" s="2748">
        <f>SUM(F29,L29,O29,R29,U29,X29,AA29,AD29,AG29,AJ29,AM29,I29)</f>
        <v>385000</v>
      </c>
      <c r="D29" s="2748">
        <f t="shared" si="13"/>
        <v>0</v>
      </c>
      <c r="E29" s="2748">
        <f>SUM(H29,N29,Q29,T29,W29,Z29,AC29,AF29,AI29,AL29,AO29,K29)</f>
        <v>0</v>
      </c>
      <c r="F29" s="2748">
        <f>+'Phụ lục số 7'!F29</f>
        <v>0</v>
      </c>
      <c r="G29" s="2748">
        <v>0</v>
      </c>
      <c r="H29" s="2748">
        <f t="shared" si="14"/>
        <v>0</v>
      </c>
      <c r="I29" s="2748">
        <f>+'Phụ lục số 7'!I29</f>
        <v>0</v>
      </c>
      <c r="J29" s="2748">
        <v>0</v>
      </c>
      <c r="K29" s="2748">
        <f>I29*J29/100</f>
        <v>0</v>
      </c>
      <c r="L29" s="2748">
        <f>+'Phụ lục số 7'!L29</f>
        <v>0</v>
      </c>
      <c r="M29" s="2748">
        <v>0</v>
      </c>
      <c r="N29" s="2748">
        <f>L29*M29/100</f>
        <v>0</v>
      </c>
      <c r="O29" s="2748">
        <f>+'Phụ lục số 7'!O29</f>
        <v>0</v>
      </c>
      <c r="P29" s="2748">
        <v>0</v>
      </c>
      <c r="Q29" s="2748">
        <f>O29*P29/100</f>
        <v>0</v>
      </c>
      <c r="R29" s="2748">
        <f>+'Phụ lục số 7'!R29</f>
        <v>0</v>
      </c>
      <c r="S29" s="2748">
        <v>0</v>
      </c>
      <c r="T29" s="2748">
        <f>R29*S29/100</f>
        <v>0</v>
      </c>
      <c r="U29" s="2748">
        <f>+'Phụ lục số 7'!U29</f>
        <v>150000</v>
      </c>
      <c r="V29" s="2748">
        <v>0</v>
      </c>
      <c r="W29" s="5349">
        <f>U29*V29/100</f>
        <v>0</v>
      </c>
      <c r="X29" s="5350">
        <f>+'Phụ lục số 7'!X29</f>
        <v>0</v>
      </c>
      <c r="Y29" s="2748">
        <v>0</v>
      </c>
      <c r="Z29" s="2748">
        <f>X29*Y29/100</f>
        <v>0</v>
      </c>
      <c r="AA29" s="2748">
        <f>+'Phụ lục số 7'!AA29</f>
        <v>0</v>
      </c>
      <c r="AB29" s="2748">
        <v>0</v>
      </c>
      <c r="AC29" s="2748">
        <f>AA29*AB29/100</f>
        <v>0</v>
      </c>
      <c r="AD29" s="2748">
        <f>+'Phụ lục số 7'!AD29</f>
        <v>0</v>
      </c>
      <c r="AE29" s="2748">
        <v>0</v>
      </c>
      <c r="AF29" s="2748">
        <f>AD29*AE29/100</f>
        <v>0</v>
      </c>
      <c r="AG29" s="2748">
        <f>+'Phụ lục số 7'!AG29</f>
        <v>0</v>
      </c>
      <c r="AH29" s="2748">
        <v>0</v>
      </c>
      <c r="AI29" s="2748">
        <f>AG29*AH29/100</f>
        <v>0</v>
      </c>
      <c r="AJ29" s="2748">
        <f>+'Phụ lục số 7'!AJ29</f>
        <v>235000</v>
      </c>
      <c r="AK29" s="2748">
        <v>0</v>
      </c>
      <c r="AL29" s="2748">
        <f>AJ29*AK29/100</f>
        <v>0</v>
      </c>
      <c r="AM29" s="46">
        <f>+'Phụ lục số 7'!AM29</f>
        <v>0</v>
      </c>
      <c r="AN29" s="46">
        <v>0</v>
      </c>
      <c r="AO29" s="1645">
        <f>AM29*AN29/100</f>
        <v>0</v>
      </c>
    </row>
    <row r="30" spans="1:41" s="2750" customFormat="1" ht="36" hidden="1">
      <c r="A30" s="5351" t="s">
        <v>29</v>
      </c>
      <c r="B30" s="2882" t="s">
        <v>791</v>
      </c>
      <c r="C30" s="2748">
        <f>SUM(F30,L30,O30,R30,U30,X30,AA30,AD30,AG30,AJ30,AM30,I30)</f>
        <v>1215000</v>
      </c>
      <c r="D30" s="2748">
        <f t="shared" si="13"/>
        <v>90</v>
      </c>
      <c r="E30" s="2748">
        <f>SUM(H30,N30,Q30,T30,W30,Z30,AC30,AF30,AI30,AL30,AO30,K30)</f>
        <v>1093500</v>
      </c>
      <c r="F30" s="2748">
        <f>+'Phụ lục số 7'!F30</f>
        <v>60000</v>
      </c>
      <c r="G30" s="2748">
        <f>'[28]Phụ lục số 5'!G30</f>
        <v>90</v>
      </c>
      <c r="H30" s="2748">
        <f t="shared" si="14"/>
        <v>54000</v>
      </c>
      <c r="I30" s="2748">
        <f>+'Phụ lục số 7'!I30</f>
        <v>290000</v>
      </c>
      <c r="J30" s="2748">
        <f>G30</f>
        <v>90</v>
      </c>
      <c r="K30" s="2748">
        <f>I30*J30/100</f>
        <v>261000</v>
      </c>
      <c r="L30" s="2748">
        <f>+'Phụ lục số 7'!L30</f>
        <v>30000</v>
      </c>
      <c r="M30" s="2748">
        <f>J30</f>
        <v>90</v>
      </c>
      <c r="N30" s="2748">
        <f>L30*M30/100</f>
        <v>27000</v>
      </c>
      <c r="O30" s="2748">
        <f>+'Phụ lục số 7'!O30</f>
        <v>60000</v>
      </c>
      <c r="P30" s="2748">
        <f>M30</f>
        <v>90</v>
      </c>
      <c r="Q30" s="2748">
        <f>O30*P30/100</f>
        <v>54000</v>
      </c>
      <c r="R30" s="2748">
        <f>+'Phụ lục số 7'!R30</f>
        <v>50000</v>
      </c>
      <c r="S30" s="2748">
        <f>P30</f>
        <v>90</v>
      </c>
      <c r="T30" s="2748">
        <f>R30*S30/100</f>
        <v>45000</v>
      </c>
      <c r="U30" s="2748">
        <f>+'Phụ lục số 7'!U30</f>
        <v>160000</v>
      </c>
      <c r="V30" s="2748">
        <f>S30</f>
        <v>90</v>
      </c>
      <c r="W30" s="5349">
        <f>U30*V30/100</f>
        <v>144000</v>
      </c>
      <c r="X30" s="5350">
        <f>+'Phụ lục số 7'!X30</f>
        <v>75000</v>
      </c>
      <c r="Y30" s="2748">
        <f>V30</f>
        <v>90</v>
      </c>
      <c r="Z30" s="2748">
        <f>X30*Y30/100</f>
        <v>67500</v>
      </c>
      <c r="AA30" s="2748">
        <f>+'Phụ lục số 7'!AA30</f>
        <v>100000</v>
      </c>
      <c r="AB30" s="2748">
        <f>Y30</f>
        <v>90</v>
      </c>
      <c r="AC30" s="2748">
        <f>AA30*AB30/100</f>
        <v>90000</v>
      </c>
      <c r="AD30" s="2748">
        <f>+'Phụ lục số 7'!AD30</f>
        <v>60000</v>
      </c>
      <c r="AE30" s="2748">
        <f>AB30</f>
        <v>90</v>
      </c>
      <c r="AF30" s="2748">
        <f>AD30*AE30/100</f>
        <v>54000</v>
      </c>
      <c r="AG30" s="2748">
        <f>+'Phụ lục số 7'!AG30</f>
        <v>70000</v>
      </c>
      <c r="AH30" s="2748">
        <f>AE30</f>
        <v>90</v>
      </c>
      <c r="AI30" s="2748">
        <f>AG30*AH30/100</f>
        <v>63000</v>
      </c>
      <c r="AJ30" s="2748">
        <f>+'Phụ lục số 7'!AJ30</f>
        <v>160000</v>
      </c>
      <c r="AK30" s="2748">
        <f>AH30</f>
        <v>90</v>
      </c>
      <c r="AL30" s="2748">
        <f>AJ30*AK30/100</f>
        <v>144000</v>
      </c>
      <c r="AM30" s="46">
        <f>+'Phụ lục số 7'!AM30</f>
        <v>100000</v>
      </c>
      <c r="AN30" s="46">
        <f>AK30</f>
        <v>90</v>
      </c>
      <c r="AO30" s="1645">
        <f>AM30*AN30/100</f>
        <v>90000</v>
      </c>
    </row>
    <row r="31" spans="1:41" s="4970" customFormat="1">
      <c r="A31" s="4971">
        <v>9</v>
      </c>
      <c r="B31" s="4972" t="s">
        <v>798</v>
      </c>
      <c r="C31" s="5346">
        <f>SUM(C32:C34)</f>
        <v>330000</v>
      </c>
      <c r="D31" s="5346"/>
      <c r="E31" s="5346">
        <f>SUM(E32:E34)</f>
        <v>206500</v>
      </c>
      <c r="F31" s="5346">
        <f>SUM(F32:F34)</f>
        <v>29000</v>
      </c>
      <c r="G31" s="5346"/>
      <c r="H31" s="5346">
        <f>SUM(H32:H34)</f>
        <v>27000</v>
      </c>
      <c r="I31" s="5346">
        <f>SUM(I32:I34)</f>
        <v>14000</v>
      </c>
      <c r="J31" s="5346"/>
      <c r="K31" s="5346">
        <f>SUM(K32:K34)</f>
        <v>8000</v>
      </c>
      <c r="L31" s="5346">
        <f>SUM(L32:L34)</f>
        <v>10000</v>
      </c>
      <c r="M31" s="5346"/>
      <c r="N31" s="5346">
        <f>SUM(N32:N34)</f>
        <v>9000</v>
      </c>
      <c r="O31" s="5346">
        <f>SUM(O32:O34)</f>
        <v>22000</v>
      </c>
      <c r="P31" s="5346"/>
      <c r="Q31" s="5346">
        <f>SUM(Q32:Q34)</f>
        <v>13000</v>
      </c>
      <c r="R31" s="5346">
        <f>SUM(R32:R34)</f>
        <v>25000</v>
      </c>
      <c r="S31" s="5346"/>
      <c r="T31" s="5346">
        <f>SUM(T32:T34)</f>
        <v>18500</v>
      </c>
      <c r="U31" s="5346">
        <f>SUM(U32:U34)</f>
        <v>90000</v>
      </c>
      <c r="V31" s="5346"/>
      <c r="W31" s="5347">
        <f>SUM(W32:W34)</f>
        <v>25499.999999999989</v>
      </c>
      <c r="X31" s="5348">
        <f>SUM(X32:X34)</f>
        <v>26000</v>
      </c>
      <c r="Y31" s="5346"/>
      <c r="Z31" s="5346">
        <f>SUM(Z32:Z34)</f>
        <v>16000</v>
      </c>
      <c r="AA31" s="5346">
        <f>SUM(AA32:AA34)</f>
        <v>20000</v>
      </c>
      <c r="AB31" s="5346"/>
      <c r="AC31" s="5346">
        <f>SUM(AC32:AC34)</f>
        <v>14500</v>
      </c>
      <c r="AD31" s="5346">
        <f>SUM(AD32:AD34)</f>
        <v>25000</v>
      </c>
      <c r="AE31" s="5346"/>
      <c r="AF31" s="5346">
        <f>SUM(AF32:AF34)</f>
        <v>20000</v>
      </c>
      <c r="AG31" s="5346">
        <f>SUM(AG32:AG34)</f>
        <v>21000</v>
      </c>
      <c r="AH31" s="5346"/>
      <c r="AI31" s="5346">
        <f>SUM(AI32:AI34)</f>
        <v>18000</v>
      </c>
      <c r="AJ31" s="5346">
        <f>SUM(AJ32:AJ34)</f>
        <v>33000</v>
      </c>
      <c r="AK31" s="5346"/>
      <c r="AL31" s="5346">
        <f>SUM(AL32:AL34)</f>
        <v>25000</v>
      </c>
      <c r="AM31" s="2699">
        <f>SUM(AM32:AM34)</f>
        <v>15000</v>
      </c>
      <c r="AN31" s="2699"/>
      <c r="AO31" s="2700">
        <f>SUM(AO32:AO34)</f>
        <v>12000</v>
      </c>
    </row>
    <row r="32" spans="1:41" s="2750" customFormat="1" hidden="1">
      <c r="A32" s="5351" t="s">
        <v>29</v>
      </c>
      <c r="B32" s="2882" t="s">
        <v>799</v>
      </c>
      <c r="C32" s="2748">
        <f t="shared" ref="C32:C39" si="16">SUM(F32,L32,O32,R32,U32,X32,AA32,AD32,AG32,AJ32,AM32,I32)</f>
        <v>89000</v>
      </c>
      <c r="D32" s="2748">
        <f t="shared" si="13"/>
        <v>0</v>
      </c>
      <c r="E32" s="2748">
        <f t="shared" ref="E32:E39" si="17">SUM(H32,N32,Q32,T32,W32,Z32,AC32,AF32,AI32,AL32,AO32,K32)</f>
        <v>0</v>
      </c>
      <c r="F32" s="2748">
        <f>+'Phụ lục số 7'!F32</f>
        <v>2000</v>
      </c>
      <c r="G32" s="2748">
        <v>0</v>
      </c>
      <c r="H32" s="2748">
        <f t="shared" si="14"/>
        <v>0</v>
      </c>
      <c r="I32" s="2748">
        <f>+'Phụ lục số 7'!I32</f>
        <v>3000</v>
      </c>
      <c r="J32" s="2748">
        <v>0</v>
      </c>
      <c r="K32" s="2748">
        <f>I32*J32/100</f>
        <v>0</v>
      </c>
      <c r="L32" s="2748">
        <f>+'Phụ lục số 7'!L32</f>
        <v>500</v>
      </c>
      <c r="M32" s="2748">
        <v>0</v>
      </c>
      <c r="N32" s="2748">
        <f>L32*M32/100</f>
        <v>0</v>
      </c>
      <c r="O32" s="2748">
        <f>+'Phụ lục số 7'!O32</f>
        <v>4000</v>
      </c>
      <c r="P32" s="2748">
        <v>0</v>
      </c>
      <c r="Q32" s="2748">
        <f>O32*P32/100</f>
        <v>0</v>
      </c>
      <c r="R32" s="2748">
        <f>+'Phụ lục số 7'!R32</f>
        <v>3500</v>
      </c>
      <c r="S32" s="2748">
        <v>0</v>
      </c>
      <c r="T32" s="2748">
        <f>R32*S32/100</f>
        <v>0</v>
      </c>
      <c r="U32" s="2748">
        <f>+'Phụ lục số 7'!U32</f>
        <v>55000.000000000007</v>
      </c>
      <c r="V32" s="2748">
        <v>0</v>
      </c>
      <c r="W32" s="5349">
        <f>U32*V32/100</f>
        <v>0</v>
      </c>
      <c r="X32" s="5350">
        <f>+'Phụ lục số 7'!X32</f>
        <v>5500</v>
      </c>
      <c r="Y32" s="2748">
        <v>0</v>
      </c>
      <c r="Z32" s="2748">
        <f>X32*Y32/100</f>
        <v>0</v>
      </c>
      <c r="AA32" s="2748">
        <f>+'Phụ lục số 7'!AA32</f>
        <v>4000</v>
      </c>
      <c r="AB32" s="2748">
        <v>0</v>
      </c>
      <c r="AC32" s="2748">
        <f>AA32*AB32/100</f>
        <v>0</v>
      </c>
      <c r="AD32" s="2748">
        <f>+'Phụ lục số 7'!AD32</f>
        <v>3000</v>
      </c>
      <c r="AE32" s="2748">
        <v>0</v>
      </c>
      <c r="AF32" s="2748">
        <f>AD32*AE32/100</f>
        <v>0</v>
      </c>
      <c r="AG32" s="2748">
        <f>+'Phụ lục số 7'!AG32</f>
        <v>1500</v>
      </c>
      <c r="AH32" s="2748">
        <v>0</v>
      </c>
      <c r="AI32" s="2748">
        <f>AG32*AH32/100</f>
        <v>0</v>
      </c>
      <c r="AJ32" s="2748">
        <f>+'Phụ lục số 7'!AJ32</f>
        <v>5000</v>
      </c>
      <c r="AK32" s="2748">
        <v>0</v>
      </c>
      <c r="AL32" s="2748">
        <f>AJ32*AK32/100</f>
        <v>0</v>
      </c>
      <c r="AM32" s="46">
        <f>+'Phụ lục số 7'!AM32</f>
        <v>2000</v>
      </c>
      <c r="AN32" s="46">
        <v>0</v>
      </c>
      <c r="AO32" s="1645">
        <f>AM32*AN32/100</f>
        <v>0</v>
      </c>
    </row>
    <row r="33" spans="1:41" s="2750" customFormat="1" hidden="1">
      <c r="A33" s="5351" t="s">
        <v>29</v>
      </c>
      <c r="B33" s="2882" t="s">
        <v>800</v>
      </c>
      <c r="C33" s="2748">
        <f t="shared" si="16"/>
        <v>34500</v>
      </c>
      <c r="D33" s="2748">
        <f t="shared" si="13"/>
        <v>0</v>
      </c>
      <c r="E33" s="2748">
        <f t="shared" si="17"/>
        <v>0</v>
      </c>
      <c r="F33" s="2748">
        <f>+'Phụ lục số 7'!F33</f>
        <v>0</v>
      </c>
      <c r="G33" s="2748">
        <v>0</v>
      </c>
      <c r="H33" s="2748">
        <f t="shared" si="14"/>
        <v>0</v>
      </c>
      <c r="I33" s="2748">
        <f>+'Phụ lục số 7'!I33</f>
        <v>3000</v>
      </c>
      <c r="J33" s="2748">
        <v>0</v>
      </c>
      <c r="K33" s="2748">
        <f>I33*J33/100</f>
        <v>0</v>
      </c>
      <c r="L33" s="2748">
        <f>+'Phụ lục số 7'!L33</f>
        <v>500</v>
      </c>
      <c r="M33" s="2748">
        <v>0</v>
      </c>
      <c r="N33" s="2748">
        <f>L33*M33/100</f>
        <v>0</v>
      </c>
      <c r="O33" s="2748">
        <f>+'Phụ lục số 7'!O33</f>
        <v>5000</v>
      </c>
      <c r="P33" s="2748">
        <v>0</v>
      </c>
      <c r="Q33" s="2748">
        <f>O33*P33/100</f>
        <v>0</v>
      </c>
      <c r="R33" s="2748">
        <f>+'Phụ lục số 7'!R33</f>
        <v>3000</v>
      </c>
      <c r="S33" s="2748">
        <v>0</v>
      </c>
      <c r="T33" s="2748">
        <f>R33*S33/100</f>
        <v>0</v>
      </c>
      <c r="U33" s="2748">
        <f>+'Phụ lục số 7'!U33</f>
        <v>9500</v>
      </c>
      <c r="V33" s="2748">
        <v>0</v>
      </c>
      <c r="W33" s="5349">
        <f>U33*V33/100</f>
        <v>0</v>
      </c>
      <c r="X33" s="5350">
        <f>+'Phụ lục số 7'!X33</f>
        <v>4500</v>
      </c>
      <c r="Y33" s="2748">
        <v>0</v>
      </c>
      <c r="Z33" s="2748">
        <f>X33*Y33/100</f>
        <v>0</v>
      </c>
      <c r="AA33" s="2748">
        <f>+'Phụ lục số 7'!AA33</f>
        <v>1500</v>
      </c>
      <c r="AB33" s="2748">
        <v>0</v>
      </c>
      <c r="AC33" s="2748">
        <f>AA33*AB33/100</f>
        <v>0</v>
      </c>
      <c r="AD33" s="2748">
        <f>+'Phụ lục số 7'!AD33</f>
        <v>2000</v>
      </c>
      <c r="AE33" s="2748">
        <v>0</v>
      </c>
      <c r="AF33" s="2748">
        <f>AD33*AE33/100</f>
        <v>0</v>
      </c>
      <c r="AG33" s="2748">
        <f>+'Phụ lục số 7'!AG33</f>
        <v>1500</v>
      </c>
      <c r="AH33" s="2748">
        <v>0</v>
      </c>
      <c r="AI33" s="2748">
        <f>AG33*AH33/100</f>
        <v>0</v>
      </c>
      <c r="AJ33" s="2748">
        <f>+'Phụ lục số 7'!AJ33</f>
        <v>3000</v>
      </c>
      <c r="AK33" s="2748">
        <v>0</v>
      </c>
      <c r="AL33" s="2748">
        <f>AJ33*AK33/100</f>
        <v>0</v>
      </c>
      <c r="AM33" s="46">
        <f>+'Phụ lục số 7'!AM33</f>
        <v>1000</v>
      </c>
      <c r="AN33" s="46">
        <v>0</v>
      </c>
      <c r="AO33" s="1645">
        <f>AM33*AN33/100</f>
        <v>0</v>
      </c>
    </row>
    <row r="34" spans="1:41" s="2750" customFormat="1" hidden="1">
      <c r="A34" s="5351" t="s">
        <v>29</v>
      </c>
      <c r="B34" s="2882" t="s">
        <v>801</v>
      </c>
      <c r="C34" s="2748">
        <f t="shared" si="16"/>
        <v>206500</v>
      </c>
      <c r="D34" s="2748">
        <f t="shared" si="13"/>
        <v>100</v>
      </c>
      <c r="E34" s="2748">
        <f t="shared" si="17"/>
        <v>206500</v>
      </c>
      <c r="F34" s="2748">
        <f>+'Phụ lục số 7'!F34</f>
        <v>27000</v>
      </c>
      <c r="G34" s="2748">
        <v>100</v>
      </c>
      <c r="H34" s="2748">
        <f t="shared" si="14"/>
        <v>27000</v>
      </c>
      <c r="I34" s="2748">
        <f>+'Phụ lục số 7'!I34</f>
        <v>8000</v>
      </c>
      <c r="J34" s="2748">
        <v>100</v>
      </c>
      <c r="K34" s="2748">
        <f>I34*J34/100</f>
        <v>8000</v>
      </c>
      <c r="L34" s="2748">
        <f>+'Phụ lục số 7'!L34</f>
        <v>9000</v>
      </c>
      <c r="M34" s="2748">
        <v>100</v>
      </c>
      <c r="N34" s="2748">
        <f>L34*M34/100</f>
        <v>9000</v>
      </c>
      <c r="O34" s="2748">
        <f>+'Phụ lục số 7'!O34</f>
        <v>13000</v>
      </c>
      <c r="P34" s="2748">
        <v>100</v>
      </c>
      <c r="Q34" s="2748">
        <f>O34*P34/100</f>
        <v>13000</v>
      </c>
      <c r="R34" s="2748">
        <f>+'Phụ lục số 7'!R34</f>
        <v>18500</v>
      </c>
      <c r="S34" s="2748">
        <v>100</v>
      </c>
      <c r="T34" s="2748">
        <f>R34*S34/100</f>
        <v>18500</v>
      </c>
      <c r="U34" s="2748">
        <f>+'Phụ lục số 7'!U34</f>
        <v>25499.999999999993</v>
      </c>
      <c r="V34" s="2748">
        <v>100</v>
      </c>
      <c r="W34" s="5349">
        <f>U34*V34/100</f>
        <v>25499.999999999989</v>
      </c>
      <c r="X34" s="5350">
        <f>+'Phụ lục số 7'!X34</f>
        <v>16000</v>
      </c>
      <c r="Y34" s="2748">
        <v>100</v>
      </c>
      <c r="Z34" s="2748">
        <f>X34*Y34/100</f>
        <v>16000</v>
      </c>
      <c r="AA34" s="2748">
        <f>+'Phụ lục số 7'!AA34</f>
        <v>14500</v>
      </c>
      <c r="AB34" s="2748">
        <v>100</v>
      </c>
      <c r="AC34" s="2748">
        <f>AA34*AB34/100</f>
        <v>14500</v>
      </c>
      <c r="AD34" s="2748">
        <f>+'Phụ lục số 7'!AD34</f>
        <v>20000</v>
      </c>
      <c r="AE34" s="2748">
        <v>100</v>
      </c>
      <c r="AF34" s="2748">
        <f>AD34*AE34/100</f>
        <v>20000</v>
      </c>
      <c r="AG34" s="2748">
        <f>+'Phụ lục số 7'!AG34</f>
        <v>18000</v>
      </c>
      <c r="AH34" s="2748">
        <v>100</v>
      </c>
      <c r="AI34" s="2748">
        <f>AG34*AH34/100</f>
        <v>18000</v>
      </c>
      <c r="AJ34" s="2748">
        <f>+'Phụ lục số 7'!AJ34</f>
        <v>25000</v>
      </c>
      <c r="AK34" s="2748">
        <v>100</v>
      </c>
      <c r="AL34" s="2748">
        <f>AJ34*AK34/100</f>
        <v>25000</v>
      </c>
      <c r="AM34" s="46">
        <f>+'Phụ lục số 7'!AM34</f>
        <v>12000</v>
      </c>
      <c r="AN34" s="46">
        <v>100</v>
      </c>
      <c r="AO34" s="1645">
        <f>AM34*AN34/100</f>
        <v>12000</v>
      </c>
    </row>
    <row r="35" spans="1:41" s="2755" customFormat="1" ht="17.399999999999999">
      <c r="A35" s="4971">
        <v>10</v>
      </c>
      <c r="B35" s="4972" t="s">
        <v>31</v>
      </c>
      <c r="C35" s="5346">
        <f t="shared" si="16"/>
        <v>2000</v>
      </c>
      <c r="D35" s="5346">
        <f t="shared" si="13"/>
        <v>100</v>
      </c>
      <c r="E35" s="5346">
        <f t="shared" si="17"/>
        <v>2000</v>
      </c>
      <c r="F35" s="5352">
        <f>+'Phụ lục số 7'!F35</f>
        <v>150</v>
      </c>
      <c r="G35" s="5346">
        <v>100</v>
      </c>
      <c r="H35" s="5346">
        <f>F35*G35/100</f>
        <v>150</v>
      </c>
      <c r="I35" s="5346">
        <f>+'Phụ lục số 7'!I35</f>
        <v>100</v>
      </c>
      <c r="J35" s="5346">
        <v>100</v>
      </c>
      <c r="K35" s="5346">
        <f>I35*J35/100</f>
        <v>100</v>
      </c>
      <c r="L35" s="5346">
        <f>+'Phụ lục số 7'!L35</f>
        <v>0</v>
      </c>
      <c r="M35" s="5346">
        <v>100</v>
      </c>
      <c r="N35" s="5346">
        <f>L35*M35/100</f>
        <v>0</v>
      </c>
      <c r="O35" s="5346">
        <f>+'Phụ lục số 7'!O35</f>
        <v>0</v>
      </c>
      <c r="P35" s="5346">
        <v>100</v>
      </c>
      <c r="Q35" s="5346">
        <f>O35*P35/100</f>
        <v>0</v>
      </c>
      <c r="R35" s="5346">
        <f>+'Phụ lục số 7'!R35</f>
        <v>0</v>
      </c>
      <c r="S35" s="5346">
        <v>100</v>
      </c>
      <c r="T35" s="5346">
        <f>R35*S35/100</f>
        <v>0</v>
      </c>
      <c r="U35" s="5346">
        <f>+'Phụ lục số 7'!U35</f>
        <v>200</v>
      </c>
      <c r="V35" s="5346">
        <v>100</v>
      </c>
      <c r="W35" s="5347">
        <f>U35*V35/100</f>
        <v>200</v>
      </c>
      <c r="X35" s="5348">
        <f>+'Phụ lục số 7'!X35</f>
        <v>200</v>
      </c>
      <c r="Y35" s="5346">
        <v>100</v>
      </c>
      <c r="Z35" s="5346">
        <f>X35*Y35/100</f>
        <v>200</v>
      </c>
      <c r="AA35" s="5346">
        <f>+'Phụ lục số 7'!AA35</f>
        <v>800</v>
      </c>
      <c r="AB35" s="5346">
        <v>100</v>
      </c>
      <c r="AC35" s="5346">
        <f>AA35*AB35/100</f>
        <v>800</v>
      </c>
      <c r="AD35" s="5346">
        <f>+'Phụ lục số 7'!AD35</f>
        <v>0</v>
      </c>
      <c r="AE35" s="5346">
        <v>100</v>
      </c>
      <c r="AF35" s="5346">
        <f>AD35*AE35/100</f>
        <v>0</v>
      </c>
      <c r="AG35" s="5346">
        <f>+'Phụ lục số 7'!AG35</f>
        <v>0</v>
      </c>
      <c r="AH35" s="5346">
        <v>100</v>
      </c>
      <c r="AI35" s="5346">
        <f>AG35*AH35/100</f>
        <v>0</v>
      </c>
      <c r="AJ35" s="5346">
        <f>+'Phụ lục số 7'!AJ35</f>
        <v>500</v>
      </c>
      <c r="AK35" s="5346">
        <v>100</v>
      </c>
      <c r="AL35" s="5346">
        <f>AJ35*AK35/100</f>
        <v>500</v>
      </c>
      <c r="AM35" s="2699">
        <f>+'Phụ lục số 7'!AM35</f>
        <v>50</v>
      </c>
      <c r="AN35" s="2699">
        <v>100</v>
      </c>
      <c r="AO35" s="2700">
        <f>AM35*AN35/100</f>
        <v>50</v>
      </c>
    </row>
    <row r="36" spans="1:41" s="4970" customFormat="1">
      <c r="A36" s="4971" t="s">
        <v>33</v>
      </c>
      <c r="B36" s="4972" t="s">
        <v>802</v>
      </c>
      <c r="C36" s="5346">
        <f>SUM(F36,L36,O36,R36,U36,X36,AA36,AD36,AG36,AJ36,AM36,I36)</f>
        <v>7078351.9069999997</v>
      </c>
      <c r="D36" s="5346"/>
      <c r="E36" s="5346">
        <f t="shared" si="17"/>
        <v>7078351.9069999997</v>
      </c>
      <c r="F36" s="5346">
        <f>SUM(F37:F39)</f>
        <v>620300.99</v>
      </c>
      <c r="G36" s="5346"/>
      <c r="H36" s="5346">
        <f>F36</f>
        <v>620300.99</v>
      </c>
      <c r="I36" s="5346">
        <f>SUM(I37:I39)</f>
        <v>414420.174</v>
      </c>
      <c r="J36" s="5346"/>
      <c r="K36" s="5346">
        <f>I36</f>
        <v>414420.174</v>
      </c>
      <c r="L36" s="5346">
        <f>SUM(L37:L39)</f>
        <v>578186.21900000004</v>
      </c>
      <c r="M36" s="5346"/>
      <c r="N36" s="5346">
        <f>L36</f>
        <v>578186.21900000004</v>
      </c>
      <c r="O36" s="5346">
        <f>SUM(O37:O39)</f>
        <v>624717.45200000005</v>
      </c>
      <c r="P36" s="5346"/>
      <c r="Q36" s="5346">
        <f>O36</f>
        <v>624717.45200000005</v>
      </c>
      <c r="R36" s="5346">
        <f>SUM(R37:R39)</f>
        <v>751634.22600000002</v>
      </c>
      <c r="S36" s="5346"/>
      <c r="T36" s="5346">
        <f>R36</f>
        <v>751634.22600000002</v>
      </c>
      <c r="U36" s="5346">
        <f>SUM(U37:U39)</f>
        <v>96559.929000000004</v>
      </c>
      <c r="V36" s="5346"/>
      <c r="W36" s="5347">
        <f>U36</f>
        <v>96559.929000000004</v>
      </c>
      <c r="X36" s="5348">
        <f>SUM(X37:X39)</f>
        <v>904084.62100000004</v>
      </c>
      <c r="Y36" s="5346"/>
      <c r="Z36" s="5346">
        <f>X36</f>
        <v>904084.62100000004</v>
      </c>
      <c r="AA36" s="5346">
        <f>SUM(AA37:AA39)</f>
        <v>736843.87899999996</v>
      </c>
      <c r="AB36" s="5346"/>
      <c r="AC36" s="5346">
        <f>AA36</f>
        <v>736843.87899999996</v>
      </c>
      <c r="AD36" s="5346">
        <f>SUM(AD37:AD39)</f>
        <v>750709.82700000005</v>
      </c>
      <c r="AE36" s="5346"/>
      <c r="AF36" s="5346">
        <f>AD36</f>
        <v>750709.82700000005</v>
      </c>
      <c r="AG36" s="5346">
        <f>SUM(AG37:AG39)</f>
        <v>668080.38300000003</v>
      </c>
      <c r="AH36" s="5346"/>
      <c r="AI36" s="5346">
        <f>AG36</f>
        <v>668080.38300000003</v>
      </c>
      <c r="AJ36" s="5346">
        <f>SUM(AJ37:AJ39)</f>
        <v>304362.73499999999</v>
      </c>
      <c r="AK36" s="5346"/>
      <c r="AL36" s="5346">
        <f>AJ36</f>
        <v>304362.73499999999</v>
      </c>
      <c r="AM36" s="2699">
        <f>SUM(AM37:AM39)</f>
        <v>628451.47200000007</v>
      </c>
      <c r="AN36" s="2699"/>
      <c r="AO36" s="2700">
        <f>AM36</f>
        <v>628451.47200000007</v>
      </c>
    </row>
    <row r="37" spans="1:41" s="2750" customFormat="1">
      <c r="A37" s="907">
        <v>1</v>
      </c>
      <c r="B37" s="4968" t="s">
        <v>803</v>
      </c>
      <c r="C37" s="2748">
        <f t="shared" si="16"/>
        <v>4430923</v>
      </c>
      <c r="D37" s="2748"/>
      <c r="E37" s="2748">
        <f t="shared" si="17"/>
        <v>4430923</v>
      </c>
      <c r="F37" s="2748">
        <f>+'Phụ lục số 7'!F37</f>
        <v>413967</v>
      </c>
      <c r="G37" s="2748"/>
      <c r="H37" s="2748">
        <f>F37</f>
        <v>413967</v>
      </c>
      <c r="I37" s="2748">
        <f>+'Phụ lục số 7'!I37</f>
        <v>225665</v>
      </c>
      <c r="J37" s="2748"/>
      <c r="K37" s="2748">
        <f>I37</f>
        <v>225665</v>
      </c>
      <c r="L37" s="2748">
        <f>+'Phụ lục số 7'!L37</f>
        <v>391207</v>
      </c>
      <c r="M37" s="2748"/>
      <c r="N37" s="2748">
        <f>L37</f>
        <v>391207</v>
      </c>
      <c r="O37" s="2748">
        <f>+'Phụ lục số 7'!O37</f>
        <v>388772</v>
      </c>
      <c r="P37" s="2748"/>
      <c r="Q37" s="2748">
        <f>O37</f>
        <v>388772</v>
      </c>
      <c r="R37" s="2748">
        <f>+'Phụ lục số 7'!R37</f>
        <v>449761</v>
      </c>
      <c r="S37" s="2748"/>
      <c r="T37" s="2748">
        <f>R37</f>
        <v>449761</v>
      </c>
      <c r="U37" s="2748">
        <f>+'Phụ lục số 7'!U37</f>
        <v>37354</v>
      </c>
      <c r="V37" s="2748"/>
      <c r="W37" s="5349">
        <f>U37</f>
        <v>37354</v>
      </c>
      <c r="X37" s="5350">
        <f>+'Phụ lục số 7'!X37</f>
        <v>566422</v>
      </c>
      <c r="Y37" s="2748"/>
      <c r="Z37" s="2748">
        <f>X37</f>
        <v>566422</v>
      </c>
      <c r="AA37" s="2748">
        <f>+'Phụ lục số 7'!AA37</f>
        <v>441700</v>
      </c>
      <c r="AB37" s="2748"/>
      <c r="AC37" s="2748">
        <f>AA37</f>
        <v>441700</v>
      </c>
      <c r="AD37" s="2748">
        <f>+'Phụ lục số 7'!AD37</f>
        <v>470689</v>
      </c>
      <c r="AE37" s="2748"/>
      <c r="AF37" s="2748">
        <f>AD37</f>
        <v>470689</v>
      </c>
      <c r="AG37" s="2748">
        <f>+'Phụ lục số 7'!AG37</f>
        <v>440874</v>
      </c>
      <c r="AH37" s="2748"/>
      <c r="AI37" s="2748">
        <f>AG37</f>
        <v>440874</v>
      </c>
      <c r="AJ37" s="2748">
        <f>+'Phụ lục số 7'!AJ37</f>
        <v>224584</v>
      </c>
      <c r="AK37" s="2748"/>
      <c r="AL37" s="2748">
        <f>AJ37</f>
        <v>224584</v>
      </c>
      <c r="AM37" s="46">
        <f>+'Phụ lục số 7'!AM37</f>
        <v>379928</v>
      </c>
      <c r="AN37" s="46"/>
      <c r="AO37" s="1645">
        <f>AM37</f>
        <v>379928</v>
      </c>
    </row>
    <row r="38" spans="1:41" s="2750" customFormat="1" ht="44.25" customHeight="1">
      <c r="A38" s="907">
        <v>2</v>
      </c>
      <c r="B38" s="1927" t="s">
        <v>3136</v>
      </c>
      <c r="C38" s="2748">
        <f t="shared" si="16"/>
        <v>1681469</v>
      </c>
      <c r="D38" s="2748"/>
      <c r="E38" s="2748">
        <f t="shared" si="17"/>
        <v>1681469</v>
      </c>
      <c r="F38" s="2748">
        <f>+'Phụ lục số 7'!F38</f>
        <v>146571</v>
      </c>
      <c r="G38" s="2748"/>
      <c r="H38" s="2748">
        <f>+F38</f>
        <v>146571</v>
      </c>
      <c r="I38" s="2748">
        <f>+'Phụ lục số 7'!I38</f>
        <v>141419</v>
      </c>
      <c r="J38" s="2748"/>
      <c r="K38" s="2748">
        <f t="shared" ref="K38:K39" si="18">I38</f>
        <v>141419</v>
      </c>
      <c r="L38" s="2748">
        <f>+'Phụ lục số 7'!L38</f>
        <v>114393</v>
      </c>
      <c r="M38" s="2748"/>
      <c r="N38" s="2748">
        <f t="shared" ref="N38:N39" si="19">L38</f>
        <v>114393</v>
      </c>
      <c r="O38" s="2748">
        <f>+'Phụ lục số 7'!O38</f>
        <v>152060</v>
      </c>
      <c r="P38" s="2748"/>
      <c r="Q38" s="2748">
        <f t="shared" ref="Q38:Q39" si="20">O38</f>
        <v>152060</v>
      </c>
      <c r="R38" s="2748">
        <f>+'Phụ lục số 7'!R38</f>
        <v>204980</v>
      </c>
      <c r="S38" s="2748"/>
      <c r="T38" s="2748">
        <f t="shared" ref="T38:T39" si="21">R38</f>
        <v>204980</v>
      </c>
      <c r="U38" s="2748">
        <f>+'Phụ lục số 7'!U38</f>
        <v>0</v>
      </c>
      <c r="V38" s="2748"/>
      <c r="W38" s="5349">
        <f t="shared" ref="W38:W39" si="22">U38</f>
        <v>0</v>
      </c>
      <c r="X38" s="5350">
        <f>+'Phụ lục số 7'!X38</f>
        <v>199350</v>
      </c>
      <c r="Y38" s="2748"/>
      <c r="Z38" s="2748">
        <f t="shared" ref="Z38:Z39" si="23">X38</f>
        <v>199350</v>
      </c>
      <c r="AA38" s="2748">
        <f>+'Phụ lục số 7'!AA38</f>
        <v>179744</v>
      </c>
      <c r="AB38" s="2748"/>
      <c r="AC38" s="2748">
        <f>AA38</f>
        <v>179744</v>
      </c>
      <c r="AD38" s="2748">
        <f>+'Phụ lục số 7'!AD38</f>
        <v>201862</v>
      </c>
      <c r="AE38" s="2748"/>
      <c r="AF38" s="2748">
        <f>AD38</f>
        <v>201862</v>
      </c>
      <c r="AG38" s="2748">
        <f>+'Phụ lục số 7'!AG38</f>
        <v>175043</v>
      </c>
      <c r="AH38" s="2748"/>
      <c r="AI38" s="2748">
        <f t="shared" ref="AI38:AI39" si="24">AG38</f>
        <v>175043</v>
      </c>
      <c r="AJ38" s="2748">
        <f>+'Phụ lục số 7'!AJ38</f>
        <v>0</v>
      </c>
      <c r="AK38" s="2748"/>
      <c r="AL38" s="2748">
        <f t="shared" ref="AL38:AL39" si="25">AJ38</f>
        <v>0</v>
      </c>
      <c r="AM38" s="46">
        <f>+'Phụ lục số 7'!AM38</f>
        <v>166047</v>
      </c>
      <c r="AN38" s="46"/>
      <c r="AO38" s="1645">
        <f t="shared" ref="AO38:AO39" si="26">AM38</f>
        <v>166047</v>
      </c>
    </row>
    <row r="39" spans="1:41" s="2750" customFormat="1">
      <c r="A39" s="907">
        <v>3</v>
      </c>
      <c r="B39" s="4968" t="s">
        <v>804</v>
      </c>
      <c r="C39" s="2748">
        <f t="shared" si="16"/>
        <v>965959.90700000001</v>
      </c>
      <c r="D39" s="2748"/>
      <c r="E39" s="2748">
        <f t="shared" si="17"/>
        <v>965959.90700000001</v>
      </c>
      <c r="F39" s="2748">
        <f>+'Phụ lục số 7'!F39</f>
        <v>59762.99</v>
      </c>
      <c r="G39" s="2748"/>
      <c r="H39" s="2748">
        <f>+F39</f>
        <v>59762.99</v>
      </c>
      <c r="I39" s="2748">
        <f>+'Phụ lục số 7'!I39</f>
        <v>47336.173999999999</v>
      </c>
      <c r="J39" s="2748"/>
      <c r="K39" s="2748">
        <f t="shared" si="18"/>
        <v>47336.173999999999</v>
      </c>
      <c r="L39" s="2748">
        <f>+'Phụ lục số 7'!L39</f>
        <v>72586.218999999997</v>
      </c>
      <c r="M39" s="2748"/>
      <c r="N39" s="2748">
        <f t="shared" si="19"/>
        <v>72586.218999999997</v>
      </c>
      <c r="O39" s="2748">
        <f>+'Phụ lục số 7'!O39</f>
        <v>83885.45199999999</v>
      </c>
      <c r="P39" s="2748"/>
      <c r="Q39" s="2748">
        <f t="shared" si="20"/>
        <v>83885.45199999999</v>
      </c>
      <c r="R39" s="2748">
        <f>+'Phụ lục số 7'!R39</f>
        <v>96893.225999999995</v>
      </c>
      <c r="S39" s="2748"/>
      <c r="T39" s="2748">
        <f t="shared" si="21"/>
        <v>96893.225999999995</v>
      </c>
      <c r="U39" s="2748">
        <f>+'Phụ lục số 7'!U39</f>
        <v>59205.928999999996</v>
      </c>
      <c r="V39" s="2748"/>
      <c r="W39" s="5349">
        <f t="shared" si="22"/>
        <v>59205.928999999996</v>
      </c>
      <c r="X39" s="2748">
        <f>+'Phụ lục số 7'!X39</f>
        <v>138312.62099999998</v>
      </c>
      <c r="Y39" s="2748"/>
      <c r="Z39" s="2748">
        <f t="shared" si="23"/>
        <v>138312.62099999998</v>
      </c>
      <c r="AA39" s="2748">
        <f>+'Phụ lục số 7'!AA39</f>
        <v>115399.87899999999</v>
      </c>
      <c r="AB39" s="2748"/>
      <c r="AC39" s="2748">
        <f>AA39</f>
        <v>115399.87899999999</v>
      </c>
      <c r="AD39" s="2748">
        <f>+'Phụ lục số 7'!AD39</f>
        <v>78158.827000000005</v>
      </c>
      <c r="AE39" s="2748"/>
      <c r="AF39" s="2748">
        <f>AD39</f>
        <v>78158.827000000005</v>
      </c>
      <c r="AG39" s="2748">
        <f>+'Phụ lục số 7'!AG39</f>
        <v>52163.383000000002</v>
      </c>
      <c r="AH39" s="2748"/>
      <c r="AI39" s="2748">
        <f t="shared" si="24"/>
        <v>52163.383000000002</v>
      </c>
      <c r="AJ39" s="2748">
        <f>+'Phụ lục số 7'!AJ39</f>
        <v>79778.735000000001</v>
      </c>
      <c r="AK39" s="2748"/>
      <c r="AL39" s="2748">
        <f t="shared" si="25"/>
        <v>79778.735000000001</v>
      </c>
      <c r="AM39" s="2748">
        <f>+'Phụ lục số 7'!AM39</f>
        <v>82476.472000000009</v>
      </c>
      <c r="AN39" s="2748"/>
      <c r="AO39" s="1645">
        <f t="shared" si="26"/>
        <v>82476.472000000009</v>
      </c>
    </row>
    <row r="40" spans="1:41" s="2755" customFormat="1" ht="34.799999999999997">
      <c r="A40" s="5353" t="s">
        <v>182</v>
      </c>
      <c r="B40" s="5354" t="s">
        <v>1721</v>
      </c>
      <c r="C40" s="5346">
        <f>SUM(F40,L40,O40,R40,U40,X40,AA40,AD40,AG40,AJ40,AM40,I40)</f>
        <v>941000</v>
      </c>
      <c r="D40" s="5355"/>
      <c r="E40" s="5346">
        <f>SUM(H40,N40,Q40,T40,W40,Z40,AC40,AF40,AI40,AL40,AO40,K40)</f>
        <v>941000</v>
      </c>
      <c r="F40" s="5355">
        <f>+'Phụ lục số 7'!F40</f>
        <v>45493</v>
      </c>
      <c r="G40" s="5355"/>
      <c r="H40" s="5355">
        <f>+F40</f>
        <v>45493</v>
      </c>
      <c r="I40" s="5355">
        <f>+'Phụ lục số 7'!I40</f>
        <v>0</v>
      </c>
      <c r="J40" s="5355"/>
      <c r="K40" s="5355">
        <f>I40</f>
        <v>0</v>
      </c>
      <c r="L40" s="5355">
        <f>+'Phụ lục số 7'!L40</f>
        <v>36240</v>
      </c>
      <c r="M40" s="5355"/>
      <c r="N40" s="5355">
        <f>L40</f>
        <v>36240</v>
      </c>
      <c r="O40" s="5355">
        <f>+'Phụ lục số 7'!O40</f>
        <v>16410</v>
      </c>
      <c r="P40" s="5355"/>
      <c r="Q40" s="5355">
        <f>O40</f>
        <v>16410</v>
      </c>
      <c r="R40" s="5355">
        <f>+'Phụ lục số 7'!R40</f>
        <v>17902</v>
      </c>
      <c r="S40" s="5355"/>
      <c r="T40" s="5355">
        <f>R40</f>
        <v>17902</v>
      </c>
      <c r="U40" s="5355">
        <f>+'Phụ lục số 7'!U40</f>
        <v>517247</v>
      </c>
      <c r="V40" s="5355"/>
      <c r="W40" s="5356">
        <f>U40</f>
        <v>517247</v>
      </c>
      <c r="X40" s="5357">
        <f>+'Phụ lục số 7'!X40</f>
        <v>45892</v>
      </c>
      <c r="Y40" s="5355"/>
      <c r="Z40" s="5355">
        <f>X40</f>
        <v>45892</v>
      </c>
      <c r="AA40" s="5355">
        <f>+'Phụ lục số 7'!AA40</f>
        <v>20039</v>
      </c>
      <c r="AB40" s="5355"/>
      <c r="AC40" s="5355">
        <f>AA40</f>
        <v>20039</v>
      </c>
      <c r="AD40" s="5355">
        <f>+'Phụ lục số 7'!AD40</f>
        <v>0</v>
      </c>
      <c r="AE40" s="5355"/>
      <c r="AF40" s="5355">
        <f>AD40</f>
        <v>0</v>
      </c>
      <c r="AG40" s="5355">
        <f>+'Phụ lục số 7'!AG40</f>
        <v>16209</v>
      </c>
      <c r="AH40" s="5355"/>
      <c r="AI40" s="5355">
        <f>AG40</f>
        <v>16209</v>
      </c>
      <c r="AJ40" s="5355">
        <f>+'Phụ lục số 7'!AJ40</f>
        <v>203111</v>
      </c>
      <c r="AK40" s="5355"/>
      <c r="AL40" s="5355">
        <f>AJ40</f>
        <v>203111</v>
      </c>
      <c r="AM40" s="5358">
        <f>+'Phụ lục số 7'!AM40</f>
        <v>22457</v>
      </c>
      <c r="AN40" s="5358"/>
      <c r="AO40" s="5359">
        <f>AM40</f>
        <v>22457</v>
      </c>
    </row>
    <row r="41" spans="1:41" s="2750" customFormat="1" ht="23.25" customHeight="1" thickBot="1">
      <c r="A41" s="5360"/>
      <c r="B41" s="5361" t="s">
        <v>809</v>
      </c>
      <c r="C41" s="2749"/>
      <c r="D41" s="2749"/>
      <c r="E41" s="2749">
        <f>SUM(H41,N41,Q41,T41,W41,Z41,AC41,AF41,AI41,AL41,AO41,K41)</f>
        <v>11751651.907</v>
      </c>
      <c r="F41" s="2749"/>
      <c r="G41" s="2749"/>
      <c r="H41" s="2749">
        <f>SUM(H7,H36,H40)</f>
        <v>800543.99</v>
      </c>
      <c r="I41" s="2749"/>
      <c r="J41" s="2749"/>
      <c r="K41" s="2749">
        <f>SUM(K7,K36,K40)</f>
        <v>767830.174</v>
      </c>
      <c r="L41" s="2749"/>
      <c r="M41" s="2749"/>
      <c r="N41" s="2749">
        <f>SUM(N7,N36,N40)</f>
        <v>713376.21900000004</v>
      </c>
      <c r="O41" s="2749"/>
      <c r="P41" s="2749"/>
      <c r="Q41" s="2749">
        <f>SUM(Q7,Q36,Q40)</f>
        <v>778427.45200000005</v>
      </c>
      <c r="R41" s="2749"/>
      <c r="S41" s="2749"/>
      <c r="T41" s="2749">
        <f>SUM(T7,T36,T40)</f>
        <v>950436.22600000002</v>
      </c>
      <c r="U41" s="2749"/>
      <c r="V41" s="2749"/>
      <c r="W41" s="5362">
        <f>SUM(W7,W36,W40)</f>
        <v>1814306.929</v>
      </c>
      <c r="X41" s="5363"/>
      <c r="Y41" s="2749"/>
      <c r="Z41" s="2749">
        <f>SUM(Z7,Z36,Z40)</f>
        <v>1193776.621</v>
      </c>
      <c r="AA41" s="2749"/>
      <c r="AB41" s="2749"/>
      <c r="AC41" s="2749">
        <f>SUM(AC7,AC36,AC40)</f>
        <v>1015582.879</v>
      </c>
      <c r="AD41" s="2749"/>
      <c r="AE41" s="2749"/>
      <c r="AF41" s="2749">
        <f>SUM(AF7,AF36,AF40)</f>
        <v>1007609.827</v>
      </c>
      <c r="AG41" s="2749"/>
      <c r="AH41" s="2749"/>
      <c r="AI41" s="2749">
        <f>SUM(AI7,AI36,AI40)</f>
        <v>891369.38300000003</v>
      </c>
      <c r="AJ41" s="2749"/>
      <c r="AK41" s="2749"/>
      <c r="AL41" s="2749">
        <f>SUM(AL7,AL36,AL40)</f>
        <v>946873.73499999999</v>
      </c>
      <c r="AM41" s="1660"/>
      <c r="AN41" s="1660"/>
      <c r="AO41" s="5364">
        <f>SUM(AO7,AO36,AO40)</f>
        <v>871518.47200000007</v>
      </c>
    </row>
    <row r="42" spans="1:41" s="2750" customFormat="1" ht="18.600000000000001" thickTop="1">
      <c r="A42" s="4965"/>
      <c r="B42" s="4965"/>
      <c r="C42" s="4966"/>
      <c r="D42" s="4966"/>
      <c r="E42" s="4966"/>
      <c r="F42" s="4966"/>
      <c r="G42" s="4966"/>
      <c r="H42" s="4966"/>
      <c r="I42" s="4966"/>
      <c r="J42" s="4966"/>
      <c r="K42" s="4966"/>
      <c r="L42" s="4966"/>
      <c r="M42" s="4966"/>
      <c r="N42" s="4966"/>
      <c r="O42" s="4966"/>
      <c r="P42" s="4966"/>
      <c r="Q42" s="4966"/>
      <c r="R42" s="4966"/>
      <c r="S42" s="4966"/>
      <c r="T42" s="4966"/>
      <c r="U42" s="4966"/>
      <c r="V42" s="4966"/>
      <c r="W42" s="4966"/>
      <c r="X42" s="4966"/>
      <c r="Y42" s="4966"/>
      <c r="Z42" s="4966"/>
      <c r="AA42" s="4966"/>
      <c r="AB42" s="4966"/>
      <c r="AC42" s="4966"/>
      <c r="AD42" s="4966"/>
      <c r="AE42" s="4966"/>
      <c r="AF42" s="4966"/>
      <c r="AG42" s="4966"/>
      <c r="AH42" s="4966"/>
      <c r="AI42" s="4966"/>
      <c r="AJ42" s="4966"/>
      <c r="AK42" s="4966"/>
      <c r="AL42" s="4966"/>
      <c r="AM42" s="4967"/>
      <c r="AN42" s="4967"/>
      <c r="AO42" s="4966"/>
    </row>
    <row r="43" spans="1:41" s="2750" customFormat="1">
      <c r="A43" s="4965"/>
      <c r="B43" s="4965"/>
      <c r="C43" s="4966"/>
      <c r="D43" s="4966"/>
      <c r="E43" s="4966"/>
      <c r="F43" s="4966"/>
      <c r="G43" s="4966"/>
      <c r="H43" s="4966"/>
      <c r="I43" s="4966"/>
      <c r="J43" s="4966"/>
      <c r="K43" s="4966"/>
      <c r="L43" s="4966"/>
      <c r="M43" s="4966"/>
      <c r="N43" s="4966"/>
      <c r="O43" s="4966"/>
      <c r="P43" s="4966"/>
      <c r="Q43" s="4966"/>
      <c r="R43" s="4966"/>
      <c r="S43" s="4966"/>
      <c r="T43" s="4966"/>
      <c r="U43" s="4966"/>
      <c r="V43" s="4966"/>
      <c r="W43" s="4966"/>
      <c r="X43" s="4966"/>
      <c r="Y43" s="4966"/>
      <c r="Z43" s="4966"/>
      <c r="AA43" s="4966"/>
      <c r="AB43" s="4966"/>
      <c r="AC43" s="4966"/>
      <c r="AD43" s="4966"/>
      <c r="AE43" s="4966"/>
      <c r="AF43" s="4966"/>
      <c r="AG43" s="4966"/>
      <c r="AH43" s="4966"/>
      <c r="AI43" s="4966"/>
      <c r="AJ43" s="4966"/>
      <c r="AK43" s="4966"/>
      <c r="AL43" s="4966"/>
      <c r="AM43" s="4967"/>
      <c r="AN43" s="4967"/>
      <c r="AO43" s="4966"/>
    </row>
    <row r="44" spans="1:41">
      <c r="E44" s="2751">
        <f>E7/C7</f>
        <v>0.8306182400854587</v>
      </c>
      <c r="H44" s="2751">
        <f>H7/F7</f>
        <v>0.86295228946525782</v>
      </c>
      <c r="K44" s="2751">
        <f>K7/I7</f>
        <v>0.90075187969924808</v>
      </c>
      <c r="N44" s="2751">
        <f>N7/L7</f>
        <v>0.94417938931297707</v>
      </c>
      <c r="Q44" s="2751">
        <f>Q7/O7</f>
        <v>0.88466494845360821</v>
      </c>
      <c r="T44" s="2751">
        <f>T7/R7</f>
        <v>0.92201834862385323</v>
      </c>
      <c r="W44" s="2751">
        <f>W7/U7</f>
        <v>0.79953379953379955</v>
      </c>
      <c r="Z44" s="2751">
        <f>Z7/X7</f>
        <v>0.91327964038209397</v>
      </c>
      <c r="AC44" s="2751">
        <f>AC7/AA7</f>
        <v>0.92957240388070428</v>
      </c>
      <c r="AF44" s="2751">
        <f>AF7/AD7</f>
        <v>0.93012309920347569</v>
      </c>
      <c r="AI44" s="2751">
        <f>AI7/AG7</f>
        <v>0.93405502931889939</v>
      </c>
      <c r="AL44" s="2751">
        <f>AL7/AJ7</f>
        <v>0.62149929278642146</v>
      </c>
      <c r="AO44" s="2751">
        <f>AO7/AM7</f>
        <v>0.93064754271250794</v>
      </c>
    </row>
    <row r="45" spans="1:41">
      <c r="C45" s="314"/>
    </row>
    <row r="46" spans="1:41">
      <c r="C46" s="314"/>
      <c r="H46" s="314">
        <f>+'Phụ lục số 7'!H7</f>
        <v>134750</v>
      </c>
      <c r="K46" s="314">
        <f>+'Phụ lục số 7'!K7</f>
        <v>353410</v>
      </c>
      <c r="N46" s="314">
        <f>+'Phụ lục số 7'!N7</f>
        <v>98950</v>
      </c>
      <c r="Q46" s="314">
        <f>+'Phụ lục số 7'!Q7</f>
        <v>137300</v>
      </c>
      <c r="T46" s="314">
        <f>+'Phụ lục số 7'!T7</f>
        <v>180900</v>
      </c>
      <c r="W46" s="314">
        <f>+'Phụ lục số 7'!W7</f>
        <v>1200500</v>
      </c>
      <c r="Z46" s="314">
        <f>+'Phụ lục số 7'!Z7</f>
        <v>243800</v>
      </c>
      <c r="AC46" s="314">
        <f>+'Phụ lục số 7'!AC7</f>
        <v>258700</v>
      </c>
      <c r="AF46" s="314">
        <f>+'Phụ lục số 7'!AF7</f>
        <v>256900</v>
      </c>
      <c r="AI46" s="314">
        <f>+'Phụ lục số 7'!AI7</f>
        <v>207080</v>
      </c>
      <c r="AL46" s="314">
        <f>+'Phụ lục số 7'!AL7</f>
        <v>439400</v>
      </c>
      <c r="AO46" s="314">
        <f>+'Phụ lục số 7'!AO7</f>
        <v>220610</v>
      </c>
    </row>
    <row r="47" spans="1:41">
      <c r="C47" s="314"/>
      <c r="H47" s="314">
        <f>+H7-H46</f>
        <v>0</v>
      </c>
      <c r="K47" s="314">
        <f>+K7-K46</f>
        <v>0</v>
      </c>
      <c r="N47" s="314">
        <f>+N7-N46</f>
        <v>0</v>
      </c>
      <c r="Q47" s="314">
        <f>+Q7-Q46</f>
        <v>0</v>
      </c>
      <c r="T47" s="314">
        <f>+T7-T46</f>
        <v>0</v>
      </c>
      <c r="W47" s="314">
        <f>+W7-W46</f>
        <v>0</v>
      </c>
      <c r="Z47" s="314">
        <f>+Z7-Z46</f>
        <v>0</v>
      </c>
      <c r="AC47" s="314">
        <f>+AC7-AC46</f>
        <v>0</v>
      </c>
      <c r="AF47" s="314">
        <f>+AF7-AF46</f>
        <v>0</v>
      </c>
      <c r="AI47" s="314">
        <f>+AI7-AI46</f>
        <v>0</v>
      </c>
      <c r="AL47" s="314">
        <f>+AL7-AL46</f>
        <v>0</v>
      </c>
      <c r="AO47" s="314">
        <f>+AO7-AO46</f>
        <v>0</v>
      </c>
    </row>
    <row r="48" spans="1:41">
      <c r="C48" s="314"/>
      <c r="H48" s="314">
        <f>+'Phụ lục số 7'!H36</f>
        <v>620300.99</v>
      </c>
      <c r="K48" s="314">
        <f>+'Phụ lục số 7'!K36</f>
        <v>414420.174</v>
      </c>
      <c r="N48" s="314">
        <f>+'Phụ lục số 7'!N36</f>
        <v>578186.21900000004</v>
      </c>
      <c r="Q48" s="314">
        <f>+'Phụ lục số 7'!Q36</f>
        <v>624717.45200000005</v>
      </c>
      <c r="T48" s="314">
        <f>+'Phụ lục số 7'!T36</f>
        <v>751634.22600000002</v>
      </c>
      <c r="W48" s="314">
        <f>+'Phụ lục số 7'!W36</f>
        <v>96559.929000000004</v>
      </c>
      <c r="Z48" s="314">
        <f>+'Phụ lục số 7'!Z36</f>
        <v>904084.62100000004</v>
      </c>
      <c r="AC48" s="314">
        <f>+'Phụ lục số 7'!AC36</f>
        <v>736843.87899999996</v>
      </c>
      <c r="AF48" s="314">
        <f>+'Phụ lục số 7'!AF36</f>
        <v>750709.82700000005</v>
      </c>
      <c r="AI48" s="314">
        <f>+'Phụ lục số 7'!AI36</f>
        <v>668080.38300000003</v>
      </c>
      <c r="AL48" s="314">
        <f>+'Phụ lục số 7'!AL36</f>
        <v>304362.73499999999</v>
      </c>
      <c r="AO48" s="314">
        <f>+'Phụ lục số 7'!AO36</f>
        <v>628451.47200000007</v>
      </c>
    </row>
    <row r="49" spans="3:41">
      <c r="C49" s="314"/>
      <c r="H49" s="314">
        <f>+H36-H48</f>
        <v>0</v>
      </c>
      <c r="K49" s="314">
        <f>+K36-K48</f>
        <v>0</v>
      </c>
      <c r="N49" s="314">
        <f>+N36-N48</f>
        <v>0</v>
      </c>
      <c r="Q49" s="314">
        <f>+Q36-Q48</f>
        <v>0</v>
      </c>
      <c r="T49" s="314">
        <f>+T36-T48</f>
        <v>0</v>
      </c>
      <c r="W49" s="314">
        <f>+W36-W48</f>
        <v>0</v>
      </c>
      <c r="Z49" s="314">
        <f>+Z36-Z48</f>
        <v>0</v>
      </c>
      <c r="AC49" s="314">
        <f>+AC36-AC48</f>
        <v>0</v>
      </c>
      <c r="AF49" s="314">
        <f>+AF36-AF48</f>
        <v>0</v>
      </c>
      <c r="AI49" s="314">
        <f>+AI36-AI48</f>
        <v>0</v>
      </c>
      <c r="AL49" s="314">
        <f>+AL36-AL48</f>
        <v>0</v>
      </c>
      <c r="AO49" s="314">
        <f>+AO36-AO48</f>
        <v>0</v>
      </c>
    </row>
    <row r="50" spans="3:41">
      <c r="C50" s="314"/>
      <c r="H50" s="314">
        <f>+'Phụ lục số 7'!H40</f>
        <v>45493</v>
      </c>
      <c r="K50" s="314">
        <f>+'Phụ lục số 7'!K40</f>
        <v>0</v>
      </c>
      <c r="N50" s="314">
        <f>+'Phụ lục số 7'!N40</f>
        <v>36240</v>
      </c>
      <c r="Q50" s="314">
        <f>+'Phụ lục số 7'!Q40</f>
        <v>16410</v>
      </c>
      <c r="T50" s="314">
        <f>+'Phụ lục số 7'!T40</f>
        <v>17902</v>
      </c>
      <c r="W50" s="314">
        <f>+'Phụ lục số 7'!W40</f>
        <v>517247</v>
      </c>
      <c r="Z50" s="314">
        <f>+'Phụ lục số 7'!Z40</f>
        <v>45892</v>
      </c>
      <c r="AC50" s="314">
        <f>+'Phụ lục số 7'!AC40</f>
        <v>20039</v>
      </c>
      <c r="AF50" s="314">
        <f>+'Phụ lục số 7'!AF40</f>
        <v>0</v>
      </c>
      <c r="AI50" s="314">
        <f>+'Phụ lục số 7'!AI40</f>
        <v>16209</v>
      </c>
      <c r="AL50" s="314">
        <f>+'Phụ lục số 7'!AL40</f>
        <v>203111</v>
      </c>
      <c r="AO50" s="314">
        <f>+'Phụ lục số 7'!AO40</f>
        <v>22457</v>
      </c>
    </row>
    <row r="51" spans="3:41">
      <c r="C51" s="314"/>
      <c r="H51" s="679">
        <f>+H40-H50</f>
        <v>0</v>
      </c>
      <c r="K51" s="679">
        <f>+K40-K50</f>
        <v>0</v>
      </c>
      <c r="N51" s="679">
        <f>+N40-N50</f>
        <v>0</v>
      </c>
      <c r="Q51" s="679">
        <f>+Q40-Q50</f>
        <v>0</v>
      </c>
      <c r="T51" s="679">
        <f>+T40-T50</f>
        <v>0</v>
      </c>
      <c r="W51" s="679">
        <f>+W40-W50</f>
        <v>0</v>
      </c>
      <c r="Z51" s="679">
        <f>+Z40-Z50</f>
        <v>0</v>
      </c>
      <c r="AC51" s="679">
        <f>+AC40-AC50</f>
        <v>0</v>
      </c>
      <c r="AF51" s="679">
        <f>+AF40-AF50</f>
        <v>0</v>
      </c>
      <c r="AI51" s="679">
        <f>+AI40-AI50</f>
        <v>0</v>
      </c>
      <c r="AL51" s="679">
        <f>+AL40-AL50</f>
        <v>0</v>
      </c>
      <c r="AO51" s="679">
        <f>+AO40-AO50</f>
        <v>0</v>
      </c>
    </row>
    <row r="52" spans="3:41">
      <c r="H52" s="679">
        <f>+'Phụ lục số 7'!H30</f>
        <v>54000</v>
      </c>
      <c r="K52" s="314">
        <f>+'Phụ lục số 7'!K30</f>
        <v>261000</v>
      </c>
      <c r="N52" s="314">
        <f>+'Phụ lục số 7'!N30</f>
        <v>27000</v>
      </c>
      <c r="Q52" s="314">
        <f>+'Phụ lục số 7'!Q30</f>
        <v>54000</v>
      </c>
      <c r="T52" s="314">
        <f>+'Phụ lục số 7'!T30</f>
        <v>45000</v>
      </c>
      <c r="W52" s="314">
        <f>+'Phụ lục số 7'!W30</f>
        <v>144000</v>
      </c>
      <c r="Z52" s="314">
        <f>+'Phụ lục số 7'!Z30</f>
        <v>67500</v>
      </c>
      <c r="AC52" s="314">
        <f>+'Phụ lục số 7'!AC30</f>
        <v>90000</v>
      </c>
      <c r="AF52" s="314">
        <f>+'Phụ lục số 7'!AF30</f>
        <v>54000</v>
      </c>
      <c r="AI52" s="314">
        <f>+'Phụ lục số 7'!AI30</f>
        <v>63000</v>
      </c>
      <c r="AL52" s="314">
        <f>+'Phụ lục số 7'!AL30</f>
        <v>144000</v>
      </c>
      <c r="AO52" s="314">
        <f>+'Phụ lục số 7'!AO30</f>
        <v>90000</v>
      </c>
    </row>
    <row r="53" spans="3:41">
      <c r="H53" s="679">
        <f>+H30-H52</f>
        <v>0</v>
      </c>
      <c r="K53" s="679">
        <f>+K30-K52</f>
        <v>0</v>
      </c>
      <c r="N53" s="679">
        <f>+N30-N52</f>
        <v>0</v>
      </c>
      <c r="Q53" s="679">
        <f>+Q30-Q52</f>
        <v>0</v>
      </c>
      <c r="T53" s="679">
        <f>+T30-T52</f>
        <v>0</v>
      </c>
      <c r="W53" s="679">
        <f>+W30-W52</f>
        <v>0</v>
      </c>
      <c r="Z53" s="679">
        <f>+Z30-Z52</f>
        <v>0</v>
      </c>
      <c r="AC53" s="679">
        <f>+AC30-AC52</f>
        <v>0</v>
      </c>
      <c r="AF53" s="679">
        <f>+AF30-AF52</f>
        <v>0</v>
      </c>
      <c r="AI53" s="679">
        <f>+AI30-AI52</f>
        <v>0</v>
      </c>
      <c r="AL53" s="679">
        <f>+AL30-AL52</f>
        <v>0</v>
      </c>
      <c r="AO53" s="679">
        <f>+AO30-AO52</f>
        <v>0</v>
      </c>
    </row>
    <row r="55" spans="3:41">
      <c r="AI55" s="314">
        <f>+AI41*1000000</f>
        <v>891369383000</v>
      </c>
      <c r="AL55" s="679">
        <f>+AL41</f>
        <v>946873.73499999999</v>
      </c>
    </row>
    <row r="56" spans="3:41">
      <c r="AI56" s="314">
        <f>+'Phụ lục 8-HĐND'!M6*1000000</f>
        <v>891369383000</v>
      </c>
    </row>
    <row r="57" spans="3:41">
      <c r="AI57" s="679">
        <f>+AI55-AI56</f>
        <v>0</v>
      </c>
    </row>
  </sheetData>
  <mergeCells count="22">
    <mergeCell ref="AG5:AI5"/>
    <mergeCell ref="AJ5:AL5"/>
    <mergeCell ref="AM5:AO5"/>
    <mergeCell ref="O5:Q5"/>
    <mergeCell ref="R5:T5"/>
    <mergeCell ref="U5:W5"/>
    <mergeCell ref="X5:Z5"/>
    <mergeCell ref="AA5:AC5"/>
    <mergeCell ref="AD5:AF5"/>
    <mergeCell ref="C1:W1"/>
    <mergeCell ref="X1:AO1"/>
    <mergeCell ref="C2:W2"/>
    <mergeCell ref="X2:AO2"/>
    <mergeCell ref="T4:W4"/>
    <mergeCell ref="AD4:AF4"/>
    <mergeCell ref="AL4:AO4"/>
    <mergeCell ref="L5:N5"/>
    <mergeCell ref="A5:A6"/>
    <mergeCell ref="B5:B6"/>
    <mergeCell ref="C5:E5"/>
    <mergeCell ref="F5:H5"/>
    <mergeCell ref="I5:K5"/>
  </mergeCells>
  <hyperlinks>
    <hyperlink ref="A5:A6" location="'Danh mục file'!A1" display="STT"/>
  </hyperlinks>
  <printOptions horizontalCentered="1"/>
  <pageMargins left="0" right="0" top="0.19685039370078741"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sheetPr>
  <dimension ref="A1:O35"/>
  <sheetViews>
    <sheetView topLeftCell="A4" workbookViewId="0">
      <selection activeCell="D10" sqref="D10"/>
    </sheetView>
  </sheetViews>
  <sheetFormatPr defaultColWidth="10.33203125" defaultRowHeight="18"/>
  <cols>
    <col min="1" max="1" width="5.109375" style="5373" customWidth="1"/>
    <col min="2" max="2" width="47.88671875" style="679" customWidth="1"/>
    <col min="3" max="15" width="11.5546875" style="679" customWidth="1"/>
    <col min="16" max="16384" width="10.33203125" style="679"/>
  </cols>
  <sheetData>
    <row r="1" spans="1:15">
      <c r="A1" s="6741" t="s">
        <v>3193</v>
      </c>
      <c r="B1" s="6742"/>
      <c r="C1" s="6742"/>
      <c r="D1" s="6742"/>
      <c r="E1" s="6742"/>
      <c r="F1" s="6742"/>
      <c r="G1" s="6742"/>
      <c r="H1" s="6742"/>
      <c r="I1" s="6742"/>
      <c r="J1" s="6742"/>
      <c r="K1" s="6742"/>
      <c r="L1" s="6742"/>
      <c r="M1" s="6742"/>
      <c r="N1" s="6742"/>
      <c r="O1" s="6742"/>
    </row>
    <row r="2" spans="1:15">
      <c r="A2" s="6508" t="str">
        <f>+'Phụ lục 6-HĐND'!A2:E2</f>
        <v>(Kèm theo Nghị quyết số         /NQ-HĐND ngày     /12/2024 của Hội đồng nhân dân Tỉnh)</v>
      </c>
      <c r="B2" s="6508"/>
      <c r="C2" s="6508"/>
      <c r="D2" s="6508"/>
      <c r="E2" s="6508"/>
      <c r="F2" s="6508"/>
      <c r="G2" s="6508"/>
      <c r="H2" s="6508"/>
      <c r="I2" s="6508"/>
      <c r="J2" s="6508"/>
      <c r="K2" s="6508"/>
      <c r="L2" s="6508"/>
      <c r="M2" s="6508"/>
      <c r="N2" s="6508"/>
      <c r="O2" s="6508"/>
    </row>
    <row r="3" spans="1:15">
      <c r="A3" s="2735"/>
      <c r="B3" s="5330"/>
      <c r="C3" s="5330"/>
      <c r="D3" s="5330"/>
      <c r="E3" s="5330"/>
      <c r="F3" s="5330"/>
      <c r="G3" s="5330"/>
      <c r="H3" s="5330"/>
      <c r="I3" s="5330"/>
      <c r="J3" s="5330"/>
      <c r="K3" s="5330"/>
      <c r="L3" s="5330"/>
      <c r="M3" s="5330"/>
      <c r="N3" s="5330"/>
      <c r="O3" s="5330"/>
    </row>
    <row r="4" spans="1:15" ht="18.75" customHeight="1" thickBot="1">
      <c r="L4" s="6737" t="s">
        <v>638</v>
      </c>
      <c r="M4" s="6737"/>
      <c r="N4" s="6737"/>
      <c r="O4" s="6737"/>
    </row>
    <row r="5" spans="1:15" ht="69" customHeight="1" thickTop="1">
      <c r="A5" s="5374" t="s">
        <v>136</v>
      </c>
      <c r="B5" s="4862" t="s">
        <v>810</v>
      </c>
      <c r="C5" s="5375" t="s">
        <v>220</v>
      </c>
      <c r="D5" s="5375" t="s">
        <v>811</v>
      </c>
      <c r="E5" s="5375" t="s">
        <v>252</v>
      </c>
      <c r="F5" s="5375" t="s">
        <v>812</v>
      </c>
      <c r="G5" s="5375" t="s">
        <v>813</v>
      </c>
      <c r="H5" s="5375" t="s">
        <v>814</v>
      </c>
      <c r="I5" s="5375" t="s">
        <v>815</v>
      </c>
      <c r="J5" s="5375" t="s">
        <v>816</v>
      </c>
      <c r="K5" s="5375" t="s">
        <v>817</v>
      </c>
      <c r="L5" s="5375" t="s">
        <v>259</v>
      </c>
      <c r="M5" s="5375" t="s">
        <v>818</v>
      </c>
      <c r="N5" s="5375" t="s">
        <v>819</v>
      </c>
      <c r="O5" s="5376" t="s">
        <v>820</v>
      </c>
    </row>
    <row r="6" spans="1:15" s="2755" customFormat="1" ht="36" customHeight="1">
      <c r="A6" s="5365"/>
      <c r="B6" s="5366" t="s">
        <v>1722</v>
      </c>
      <c r="C6" s="2991">
        <f>SUM(C7,C11,C15,C16,C17)</f>
        <v>11751651.907000002</v>
      </c>
      <c r="D6" s="2991">
        <f>SUM(D7,D11,D15,D16,D17)</f>
        <v>800543.99</v>
      </c>
      <c r="E6" s="2991">
        <f t="shared" ref="E6:O6" si="0">SUM(E7,E11,E15,E16,E17)</f>
        <v>767830.17399999988</v>
      </c>
      <c r="F6" s="2991">
        <f t="shared" si="0"/>
        <v>713376.21900000004</v>
      </c>
      <c r="G6" s="2991">
        <f t="shared" si="0"/>
        <v>778427.45200000005</v>
      </c>
      <c r="H6" s="2991">
        <f t="shared" si="0"/>
        <v>950436.22600000002</v>
      </c>
      <c r="I6" s="2991">
        <f t="shared" si="0"/>
        <v>1814306.929</v>
      </c>
      <c r="J6" s="2991">
        <f t="shared" si="0"/>
        <v>1193776.621</v>
      </c>
      <c r="K6" s="2991">
        <f t="shared" si="0"/>
        <v>1015582.879</v>
      </c>
      <c r="L6" s="2991">
        <f t="shared" si="0"/>
        <v>1007609.827</v>
      </c>
      <c r="M6" s="2991">
        <f t="shared" si="0"/>
        <v>891369.38300000003</v>
      </c>
      <c r="N6" s="2991">
        <f t="shared" si="0"/>
        <v>946873.73499999999</v>
      </c>
      <c r="O6" s="5367">
        <f t="shared" si="0"/>
        <v>871518.47200000007</v>
      </c>
    </row>
    <row r="7" spans="1:15" s="2755" customFormat="1" ht="36" customHeight="1">
      <c r="A7" s="5368" t="s">
        <v>3</v>
      </c>
      <c r="B7" s="2699" t="s">
        <v>208</v>
      </c>
      <c r="C7" s="2284">
        <f>SUM(C9:C10)</f>
        <v>1683500</v>
      </c>
      <c r="D7" s="2284">
        <f>SUM(D9:D10)</f>
        <v>82000</v>
      </c>
      <c r="E7" s="2284">
        <f t="shared" ref="E7:O7" si="1">SUM(E9:E10)</f>
        <v>289000</v>
      </c>
      <c r="F7" s="2284">
        <f t="shared" si="1"/>
        <v>59000</v>
      </c>
      <c r="G7" s="2284">
        <f t="shared" si="1"/>
        <v>84000</v>
      </c>
      <c r="H7" s="2284">
        <f t="shared" si="1"/>
        <v>89000</v>
      </c>
      <c r="I7" s="2284">
        <f t="shared" si="1"/>
        <v>292000</v>
      </c>
      <c r="J7" s="2284">
        <f t="shared" si="1"/>
        <v>114500</v>
      </c>
      <c r="K7" s="2284">
        <f t="shared" si="1"/>
        <v>130000</v>
      </c>
      <c r="L7" s="2284">
        <f t="shared" si="1"/>
        <v>96000</v>
      </c>
      <c r="M7" s="2284">
        <f t="shared" si="1"/>
        <v>98000</v>
      </c>
      <c r="N7" s="2284">
        <f t="shared" si="1"/>
        <v>227000</v>
      </c>
      <c r="O7" s="5369">
        <f t="shared" si="1"/>
        <v>123000</v>
      </c>
    </row>
    <row r="8" spans="1:15" s="5284" customFormat="1" ht="36" customHeight="1">
      <c r="A8" s="5377"/>
      <c r="B8" s="193" t="s">
        <v>822</v>
      </c>
      <c r="C8" s="5370">
        <f t="shared" ref="C8:C20" si="2">SUM(D8:O8)</f>
        <v>0</v>
      </c>
      <c r="D8" s="5370"/>
      <c r="E8" s="5370"/>
      <c r="F8" s="5370"/>
      <c r="G8" s="5370"/>
      <c r="H8" s="5370"/>
      <c r="I8" s="5370"/>
      <c r="J8" s="5370"/>
      <c r="K8" s="5370"/>
      <c r="L8" s="5370"/>
      <c r="M8" s="5370"/>
      <c r="N8" s="5370"/>
      <c r="O8" s="5371"/>
    </row>
    <row r="9" spans="1:15" s="2750" customFormat="1" ht="36" customHeight="1">
      <c r="A9" s="2756">
        <v>1</v>
      </c>
      <c r="B9" s="46" t="str">
        <f>'[28]Phụ lục số 2'!B10</f>
        <v>Chi đầu tư xây dựng cơ bản</v>
      </c>
      <c r="C9" s="2277">
        <f>SUM(D9:O9)</f>
        <v>590000</v>
      </c>
      <c r="D9" s="2277">
        <f>+'Phụ lục số 8'!D8</f>
        <v>28000</v>
      </c>
      <c r="E9" s="2277">
        <f>+'Phụ lục số 8'!E8</f>
        <v>28000</v>
      </c>
      <c r="F9" s="2277">
        <f>+'Phụ lục số 8'!F8</f>
        <v>32000</v>
      </c>
      <c r="G9" s="2277">
        <f>+'Phụ lục số 8'!G8</f>
        <v>30000</v>
      </c>
      <c r="H9" s="2277">
        <f>+'Phụ lục số 8'!H8</f>
        <v>44000</v>
      </c>
      <c r="I9" s="2277">
        <f>+'Phụ lục số 8'!I8</f>
        <v>148000</v>
      </c>
      <c r="J9" s="2277">
        <f>+'Phụ lục số 8'!J8</f>
        <v>47000</v>
      </c>
      <c r="K9" s="2277">
        <f>+'Phụ lục số 8'!K8</f>
        <v>40000</v>
      </c>
      <c r="L9" s="2277">
        <f>+'Phụ lục số 8'!L8</f>
        <v>42000</v>
      </c>
      <c r="M9" s="2277">
        <f>+'Phụ lục số 8'!M8</f>
        <v>35000</v>
      </c>
      <c r="N9" s="2277">
        <f>+'Phụ lục số 8'!N8</f>
        <v>83000</v>
      </c>
      <c r="O9" s="2757">
        <f>+'Phụ lục số 8'!O8</f>
        <v>33000</v>
      </c>
    </row>
    <row r="10" spans="1:15" s="2750" customFormat="1" ht="36" customHeight="1">
      <c r="A10" s="2756">
        <v>2</v>
      </c>
      <c r="B10" s="46" t="str">
        <f>'[28]Phụ lục số 2'!B11</f>
        <v>Chi đầu tư từ nguồn thu tiền sử dụng đất</v>
      </c>
      <c r="C10" s="2277">
        <f>SUM(D10:O10)</f>
        <v>1093500</v>
      </c>
      <c r="D10" s="2277">
        <f>+'Phụ lục số 8'!D9</f>
        <v>54000</v>
      </c>
      <c r="E10" s="2277">
        <f>+'Phụ lục số 8'!E9</f>
        <v>261000</v>
      </c>
      <c r="F10" s="2277">
        <f>+'Phụ lục số 8'!F9</f>
        <v>27000</v>
      </c>
      <c r="G10" s="2277">
        <f>+'Phụ lục số 8'!G9</f>
        <v>54000</v>
      </c>
      <c r="H10" s="2277">
        <f>+'Phụ lục số 8'!H9</f>
        <v>45000</v>
      </c>
      <c r="I10" s="2277">
        <f>+'Phụ lục số 8'!I9</f>
        <v>144000</v>
      </c>
      <c r="J10" s="2277">
        <f>+'Phụ lục số 8'!J9</f>
        <v>67500</v>
      </c>
      <c r="K10" s="2277">
        <f>+'Phụ lục số 8'!K9</f>
        <v>90000</v>
      </c>
      <c r="L10" s="2277">
        <f>+'Phụ lục số 8'!L9</f>
        <v>54000</v>
      </c>
      <c r="M10" s="2277">
        <f>+'Phụ lục số 8'!M9</f>
        <v>63000</v>
      </c>
      <c r="N10" s="2277">
        <f>+'Phụ lục số 8'!N9</f>
        <v>144000</v>
      </c>
      <c r="O10" s="2757">
        <f>+'Phụ lục số 8'!O9</f>
        <v>90000</v>
      </c>
    </row>
    <row r="11" spans="1:15" s="2755" customFormat="1" ht="36" customHeight="1">
      <c r="A11" s="5368" t="s">
        <v>33</v>
      </c>
      <c r="B11" s="2699" t="s">
        <v>823</v>
      </c>
      <c r="C11" s="2284">
        <f>SUM(D11:O11)</f>
        <v>9081425.3570000008</v>
      </c>
      <c r="D11" s="2284">
        <f>+'Phụ lục số 8'!D10</f>
        <v>684403.33196736372</v>
      </c>
      <c r="E11" s="2284">
        <f>+'Phụ lục số 8'!E10</f>
        <v>452281.24502259243</v>
      </c>
      <c r="F11" s="2284">
        <f>+'Phụ lục số 8'!F10</f>
        <v>621134.09320536687</v>
      </c>
      <c r="G11" s="2284">
        <f>+'Phụ lục số 8'!G10</f>
        <v>660673.11116281548</v>
      </c>
      <c r="H11" s="2284">
        <f>+'Phụ lục số 8'!H10</f>
        <v>822292.80711051729</v>
      </c>
      <c r="I11" s="2284">
        <f>+'Phụ lục số 8'!I10</f>
        <v>996810.69394587737</v>
      </c>
      <c r="J11" s="2284">
        <f>+'Phụ lục số 8'!J10</f>
        <v>1019433.2963639069</v>
      </c>
      <c r="K11" s="2284">
        <f>+'Phụ lục số 8'!K10</f>
        <v>838525.81847331277</v>
      </c>
      <c r="L11" s="2284">
        <f>+'Phụ lục số 8'!L10</f>
        <v>865247.91131489223</v>
      </c>
      <c r="M11" s="2284">
        <f>+'Phụ lục số 8'!M10</f>
        <v>758129.46580050304</v>
      </c>
      <c r="N11" s="2284">
        <f>+'Phụ lục số 8'!N10</f>
        <v>650267.61575388303</v>
      </c>
      <c r="O11" s="5369">
        <f>+'Phụ lục số 8'!O10</f>
        <v>712225.96687896887</v>
      </c>
    </row>
    <row r="12" spans="1:15" s="5284" customFormat="1" ht="36" customHeight="1">
      <c r="A12" s="2758"/>
      <c r="B12" s="193" t="s">
        <v>822</v>
      </c>
      <c r="C12" s="5370"/>
      <c r="D12" s="5370"/>
      <c r="E12" s="5370"/>
      <c r="F12" s="5370"/>
      <c r="G12" s="5370"/>
      <c r="H12" s="5370"/>
      <c r="I12" s="5370"/>
      <c r="J12" s="5370"/>
      <c r="K12" s="5370"/>
      <c r="L12" s="5370"/>
      <c r="M12" s="5370"/>
      <c r="N12" s="5370"/>
      <c r="O12" s="5371"/>
    </row>
    <row r="13" spans="1:15" s="2755" customFormat="1" ht="36" customHeight="1">
      <c r="A13" s="2756">
        <v>1</v>
      </c>
      <c r="B13" s="333" t="s">
        <v>824</v>
      </c>
      <c r="C13" s="2277">
        <f>SUM(D13:O13)</f>
        <v>4752863.0000000009</v>
      </c>
      <c r="D13" s="2277">
        <f>+'Phụ lục số 8'!D12</f>
        <v>400128</v>
      </c>
      <c r="E13" s="2277">
        <f>+'Phụ lục số 8'!E12</f>
        <v>232764.4</v>
      </c>
      <c r="F13" s="2277">
        <f>+'Phụ lục số 8'!F12</f>
        <v>354771.20000000001</v>
      </c>
      <c r="G13" s="2277">
        <f>+'Phụ lục số 8'!G12</f>
        <v>331568</v>
      </c>
      <c r="H13" s="2277">
        <f>+'Phụ lục số 8'!H12</f>
        <v>448049</v>
      </c>
      <c r="I13" s="2277">
        <f>+'Phụ lục số 8'!I12</f>
        <v>481230</v>
      </c>
      <c r="J13" s="2277">
        <f>+'Phụ lục số 8'!J12</f>
        <v>538158.5</v>
      </c>
      <c r="K13" s="2277">
        <f>+'Phụ lục số 8'!K12</f>
        <v>455069.2</v>
      </c>
      <c r="L13" s="2277">
        <f>+'Phụ lục số 8'!L12</f>
        <v>451849.5</v>
      </c>
      <c r="M13" s="2277">
        <f>+'Phụ lục số 8'!M12</f>
        <v>415824.2</v>
      </c>
      <c r="N13" s="2277">
        <f>+'Phụ lục số 8'!N12</f>
        <v>283567.59999999998</v>
      </c>
      <c r="O13" s="2757">
        <f>+'Phụ lục số 8'!O12</f>
        <v>359883.4</v>
      </c>
    </row>
    <row r="14" spans="1:15" s="2750" customFormat="1" ht="36" customHeight="1">
      <c r="A14" s="2756">
        <v>2</v>
      </c>
      <c r="B14" s="1927" t="s">
        <v>740</v>
      </c>
      <c r="C14" s="2277">
        <f>SUM(D14:O14)</f>
        <v>4328562.3569999998</v>
      </c>
      <c r="D14" s="2277">
        <f>D11-D13</f>
        <v>284275.33196736372</v>
      </c>
      <c r="E14" s="2277">
        <f t="shared" ref="E14:O14" si="3">E11-E13</f>
        <v>219516.84502259243</v>
      </c>
      <c r="F14" s="2277">
        <f t="shared" si="3"/>
        <v>266362.89320536685</v>
      </c>
      <c r="G14" s="2277">
        <f t="shared" si="3"/>
        <v>329105.11116281548</v>
      </c>
      <c r="H14" s="2277">
        <f t="shared" si="3"/>
        <v>374243.80711051729</v>
      </c>
      <c r="I14" s="2277">
        <f t="shared" si="3"/>
        <v>515580.69394587737</v>
      </c>
      <c r="J14" s="2277">
        <f t="shared" si="3"/>
        <v>481274.79636390693</v>
      </c>
      <c r="K14" s="2277">
        <f t="shared" si="3"/>
        <v>383456.61847331276</v>
      </c>
      <c r="L14" s="2277">
        <f t="shared" si="3"/>
        <v>413398.41131489223</v>
      </c>
      <c r="M14" s="2277">
        <f t="shared" si="3"/>
        <v>342305.26580050302</v>
      </c>
      <c r="N14" s="2277">
        <f t="shared" si="3"/>
        <v>366700.01575388305</v>
      </c>
      <c r="O14" s="2757">
        <f t="shared" si="3"/>
        <v>352342.56687896885</v>
      </c>
    </row>
    <row r="15" spans="1:15" s="2755" customFormat="1" ht="36" customHeight="1">
      <c r="A15" s="5368" t="s">
        <v>182</v>
      </c>
      <c r="B15" s="2699" t="s">
        <v>175</v>
      </c>
      <c r="C15" s="2284">
        <f>SUM(D15:O15)</f>
        <v>212441.54999999996</v>
      </c>
      <c r="D15" s="2284">
        <f>+'Phụ lục số 8'!D14</f>
        <v>14837.9</v>
      </c>
      <c r="E15" s="2284">
        <f>+'Phụ lục số 8'!E14</f>
        <v>14699.4</v>
      </c>
      <c r="F15" s="2284">
        <f>+'Phụ lục số 8'!F14</f>
        <v>12842.4</v>
      </c>
      <c r="G15" s="2284">
        <f>+'Phụ lục số 8'!G14</f>
        <v>13989</v>
      </c>
      <c r="H15" s="2284">
        <f>+'Phụ lục số 8'!H14</f>
        <v>17519</v>
      </c>
      <c r="I15" s="2284">
        <f>+'Phụ lục số 8'!I14</f>
        <v>29340</v>
      </c>
      <c r="J15" s="2284">
        <f>+'Phụ lục số 8'!J14</f>
        <v>21524.6</v>
      </c>
      <c r="K15" s="2284">
        <f>+'Phụ lục số 8'!K14</f>
        <v>18131.05</v>
      </c>
      <c r="L15" s="2284">
        <f>+'Phụ lục số 8'!L14</f>
        <v>18754.400000000001</v>
      </c>
      <c r="M15" s="2284">
        <f>+'Phụ lục số 8'!M14</f>
        <v>16783.400000000001</v>
      </c>
      <c r="N15" s="2284">
        <f>+'Phụ lục số 8'!N14</f>
        <v>17717</v>
      </c>
      <c r="O15" s="5369">
        <f>+'Phụ lục số 8'!O14</f>
        <v>16303.4</v>
      </c>
    </row>
    <row r="16" spans="1:15" s="2733" customFormat="1" ht="36" customHeight="1">
      <c r="A16" s="5372" t="s">
        <v>215</v>
      </c>
      <c r="B16" s="2706" t="s">
        <v>176</v>
      </c>
      <c r="C16" s="5378">
        <f>SUM(D16:O16)</f>
        <v>519900</v>
      </c>
      <c r="D16" s="5378">
        <f>+'Phụ lục số 8'!D15</f>
        <v>0</v>
      </c>
      <c r="E16" s="5378">
        <f>+'Phụ lục số 8'!E15</f>
        <v>0</v>
      </c>
      <c r="F16" s="5378">
        <f>+'Phụ lục số 8'!F15</f>
        <v>0</v>
      </c>
      <c r="G16" s="5378">
        <f>+'Phụ lục số 8'!G15</f>
        <v>0</v>
      </c>
      <c r="H16" s="5378">
        <f>+'Phụ lục số 8'!H15</f>
        <v>0</v>
      </c>
      <c r="I16" s="5378">
        <f>+'Phụ lục số 8'!I15</f>
        <v>479075</v>
      </c>
      <c r="J16" s="5378">
        <f>+'Phụ lục số 8'!J15</f>
        <v>0</v>
      </c>
      <c r="K16" s="5378">
        <f>+'Phụ lục số 8'!K15</f>
        <v>0</v>
      </c>
      <c r="L16" s="5378">
        <f>+'Phụ lục số 8'!L15</f>
        <v>0</v>
      </c>
      <c r="M16" s="5378">
        <f>+'Phụ lục số 8'!M15</f>
        <v>0</v>
      </c>
      <c r="N16" s="5378">
        <f>+'Phụ lục số 8'!N15</f>
        <v>40825</v>
      </c>
      <c r="O16" s="5379">
        <f>+'Phụ lục số 8'!O15</f>
        <v>0</v>
      </c>
    </row>
    <row r="17" spans="1:15" s="2734" customFormat="1" ht="36" customHeight="1">
      <c r="A17" s="5372" t="s">
        <v>718</v>
      </c>
      <c r="B17" s="2706" t="s">
        <v>1723</v>
      </c>
      <c r="C17" s="5790">
        <f>SUM(D17:O17)</f>
        <v>254385.00000000003</v>
      </c>
      <c r="D17" s="5790">
        <f>+D21+D22+D20</f>
        <v>19302.758032636266</v>
      </c>
      <c r="E17" s="5790">
        <f t="shared" ref="E17:O17" si="4">+E21+E22+E20</f>
        <v>11849.528977407539</v>
      </c>
      <c r="F17" s="5790">
        <f t="shared" si="4"/>
        <v>20399.725794633185</v>
      </c>
      <c r="G17" s="5790">
        <f t="shared" si="4"/>
        <v>19765.340837184594</v>
      </c>
      <c r="H17" s="5790">
        <f t="shared" si="4"/>
        <v>21624.418889482789</v>
      </c>
      <c r="I17" s="5790">
        <f t="shared" si="4"/>
        <v>17081.235054122637</v>
      </c>
      <c r="J17" s="5790">
        <f t="shared" si="4"/>
        <v>38318.724636092986</v>
      </c>
      <c r="K17" s="5790">
        <f t="shared" si="4"/>
        <v>28926.010526687096</v>
      </c>
      <c r="L17" s="5790">
        <f t="shared" si="4"/>
        <v>27607.515685107792</v>
      </c>
      <c r="M17" s="5790">
        <f t="shared" si="4"/>
        <v>18456.517199497026</v>
      </c>
      <c r="N17" s="5790">
        <f t="shared" si="4"/>
        <v>11064.119246116901</v>
      </c>
      <c r="O17" s="5791">
        <f t="shared" si="4"/>
        <v>19989.1051210312</v>
      </c>
    </row>
    <row r="18" spans="1:15" s="5384" customFormat="1" ht="18.600000000000001" hidden="1" thickTop="1">
      <c r="A18" s="5380" t="s">
        <v>29</v>
      </c>
      <c r="B18" s="5381" t="str">
        <f>'[28]Phụ lục số 6'!B17</f>
        <v>Chi đầu tư xây dựng cơ bản</v>
      </c>
      <c r="C18" s="5382">
        <f t="shared" si="2"/>
        <v>0</v>
      </c>
      <c r="D18" s="5382">
        <f>+'Phụ lục số 8'!D17</f>
        <v>0</v>
      </c>
      <c r="E18" s="5382">
        <f>+'Phụ lục số 8'!E17</f>
        <v>0</v>
      </c>
      <c r="F18" s="5382">
        <f>+'Phụ lục số 8'!F17</f>
        <v>0</v>
      </c>
      <c r="G18" s="5382">
        <f>+'Phụ lục số 8'!G17</f>
        <v>0</v>
      </c>
      <c r="H18" s="5382">
        <f>+'Phụ lục số 8'!H17</f>
        <v>0</v>
      </c>
      <c r="I18" s="5382">
        <f>+'Phụ lục số 8'!I17</f>
        <v>0</v>
      </c>
      <c r="J18" s="5382">
        <f>+'Phụ lục số 8'!J17</f>
        <v>0</v>
      </c>
      <c r="K18" s="5382">
        <f>+'Phụ lục số 8'!K17</f>
        <v>0</v>
      </c>
      <c r="L18" s="5382">
        <f>+'Phụ lục số 8'!L17</f>
        <v>0</v>
      </c>
      <c r="M18" s="5382">
        <f>+'Phụ lục số 8'!M17</f>
        <v>0</v>
      </c>
      <c r="N18" s="5382">
        <f>+'Phụ lục số 8'!N17</f>
        <v>0</v>
      </c>
      <c r="O18" s="5383">
        <f>+'Phụ lục số 8'!O17</f>
        <v>0</v>
      </c>
    </row>
    <row r="19" spans="1:15" s="5384" customFormat="1" hidden="1">
      <c r="A19" s="5385" t="s">
        <v>29</v>
      </c>
      <c r="B19" s="4281" t="str">
        <f>'[28]Phụ lục số 6'!B18</f>
        <v>Chi đầu tư từ nguồn xổ số kiến thiết</v>
      </c>
      <c r="C19" s="5386">
        <f t="shared" si="2"/>
        <v>0</v>
      </c>
      <c r="D19" s="5386">
        <f>+'Phụ lục số 8'!D18</f>
        <v>0</v>
      </c>
      <c r="E19" s="5386">
        <f>+'Phụ lục số 8'!E18</f>
        <v>0</v>
      </c>
      <c r="F19" s="5386">
        <f>+'Phụ lục số 8'!F18</f>
        <v>0</v>
      </c>
      <c r="G19" s="5386">
        <f>+'Phụ lục số 8'!G18</f>
        <v>0</v>
      </c>
      <c r="H19" s="5386">
        <f>+'Phụ lục số 8'!H18</f>
        <v>0</v>
      </c>
      <c r="I19" s="5386">
        <f>+'Phụ lục số 8'!I18</f>
        <v>0</v>
      </c>
      <c r="J19" s="5386">
        <f>+'Phụ lục số 8'!J18</f>
        <v>0</v>
      </c>
      <c r="K19" s="5386">
        <f>+'Phụ lục số 8'!K18</f>
        <v>0</v>
      </c>
      <c r="L19" s="5386">
        <f>+'Phụ lục số 8'!L18</f>
        <v>0</v>
      </c>
      <c r="M19" s="5386">
        <f>+'Phụ lục số 8'!M18</f>
        <v>0</v>
      </c>
      <c r="N19" s="5386">
        <f>+'Phụ lục số 8'!N18</f>
        <v>0</v>
      </c>
      <c r="O19" s="5387">
        <f>+'Phụ lục số 8'!O18</f>
        <v>0</v>
      </c>
    </row>
    <row r="20" spans="1:15" s="2734" customFormat="1" ht="54">
      <c r="A20" s="5385" t="s">
        <v>29</v>
      </c>
      <c r="B20" s="2780" t="s">
        <v>3253</v>
      </c>
      <c r="C20" s="5388">
        <f t="shared" si="2"/>
        <v>11626</v>
      </c>
      <c r="D20" s="5388">
        <f>+'Phụ lục số 8'!D19</f>
        <v>1229</v>
      </c>
      <c r="E20" s="5388">
        <f>+'Phụ lục số 8'!E19</f>
        <v>722</v>
      </c>
      <c r="F20" s="5388">
        <f>+'Phụ lục số 8'!F19</f>
        <v>964</v>
      </c>
      <c r="G20" s="5388">
        <f>+'Phụ lục số 8'!G19</f>
        <v>964</v>
      </c>
      <c r="H20" s="5388">
        <f>+'Phụ lục số 8'!H19</f>
        <v>1227</v>
      </c>
      <c r="I20" s="5388">
        <f>+'Phụ lục số 8'!I19</f>
        <v>1094</v>
      </c>
      <c r="J20" s="5388">
        <f>+'Phụ lục số 8'!J19</f>
        <v>1123</v>
      </c>
      <c r="K20" s="5388">
        <f>+'Phụ lục số 8'!K19</f>
        <v>1123</v>
      </c>
      <c r="L20" s="5388">
        <f>+'Phụ lục số 8'!L19</f>
        <v>859</v>
      </c>
      <c r="M20" s="5388">
        <f>+'Phụ lục số 8'!M19</f>
        <v>857</v>
      </c>
      <c r="N20" s="5388">
        <f>+'Phụ lục số 8'!N19</f>
        <v>605</v>
      </c>
      <c r="O20" s="5389">
        <f>+'Phụ lục số 8'!O19</f>
        <v>859</v>
      </c>
    </row>
    <row r="21" spans="1:15" s="2734" customFormat="1" ht="54">
      <c r="A21" s="5385" t="s">
        <v>29</v>
      </c>
      <c r="B21" s="2780" t="str">
        <f>+'Phụ lục số 8'!B20</f>
        <v>Chi từ nguồn ngân sách trung ương bổ sung có mục tiêu (kinh phí hỗ trợ địa phương sản xuất lúa năm 2025)</v>
      </c>
      <c r="C21" s="5388">
        <f>SUM(D21:O21)</f>
        <v>84549</v>
      </c>
      <c r="D21" s="5388">
        <f>+'Phụ lục số 8'!D20</f>
        <v>4750</v>
      </c>
      <c r="E21" s="5388">
        <f>+'Phụ lục số 8'!E20</f>
        <v>3750</v>
      </c>
      <c r="F21" s="5388">
        <f>+'Phụ lục số 8'!F20</f>
        <v>9000</v>
      </c>
      <c r="G21" s="5388">
        <f>+'Phụ lục số 8'!G20</f>
        <v>13500</v>
      </c>
      <c r="H21" s="5388">
        <f>+'Phụ lục số 8'!H20</f>
        <v>9549</v>
      </c>
      <c r="I21" s="5388">
        <f>+'Phụ lục số 8'!I20</f>
        <v>1500</v>
      </c>
      <c r="J21" s="5388">
        <f>+'Phụ lục số 8'!J20</f>
        <v>13000</v>
      </c>
      <c r="K21" s="5388">
        <f>+'Phụ lục số 8'!K20</f>
        <v>16500</v>
      </c>
      <c r="L21" s="5388">
        <f>+'Phụ lục số 8'!L20</f>
        <v>3500</v>
      </c>
      <c r="M21" s="5388">
        <f>+'Phụ lục số 8'!M20</f>
        <v>3500</v>
      </c>
      <c r="N21" s="5388">
        <f>+'Phụ lục số 8'!N20</f>
        <v>750</v>
      </c>
      <c r="O21" s="5389">
        <f>+'Phụ lục số 8'!O20</f>
        <v>5250</v>
      </c>
    </row>
    <row r="22" spans="1:15" s="2734" customFormat="1" ht="54.6" thickBot="1">
      <c r="A22" s="5390"/>
      <c r="B22" s="5434" t="s">
        <v>3243</v>
      </c>
      <c r="C22" s="5391">
        <f>SUM(D22:O22)</f>
        <v>158210</v>
      </c>
      <c r="D22" s="5391">
        <f>+'Phụ lục số 8'!D21</f>
        <v>13323.758032636268</v>
      </c>
      <c r="E22" s="5391">
        <f>+'Phụ lục số 8'!E21</f>
        <v>7377.52897740754</v>
      </c>
      <c r="F22" s="5391">
        <f>+'Phụ lục số 8'!F21</f>
        <v>10435.725794633185</v>
      </c>
      <c r="G22" s="5391">
        <f>+'Phụ lục số 8'!G21</f>
        <v>5301.3408371845935</v>
      </c>
      <c r="H22" s="5391">
        <f>+'Phụ lục số 8'!H21</f>
        <v>10848.418889482789</v>
      </c>
      <c r="I22" s="5391">
        <f>+'Phụ lục số 8'!I21</f>
        <v>14487.235054122637</v>
      </c>
      <c r="J22" s="5391">
        <f>+'Phụ lục số 8'!J21</f>
        <v>24195.724636092982</v>
      </c>
      <c r="K22" s="5391">
        <f>+'Phụ lục số 8'!K21</f>
        <v>11303.010526687096</v>
      </c>
      <c r="L22" s="5391">
        <f>+'Phụ lục số 8'!L21</f>
        <v>23248.515685107792</v>
      </c>
      <c r="M22" s="5391">
        <f>+'Phụ lục số 8'!M21</f>
        <v>14099.517199497026</v>
      </c>
      <c r="N22" s="5391">
        <f>+'Phụ lục số 8'!N21</f>
        <v>9709.1192461169012</v>
      </c>
      <c r="O22" s="5392">
        <f>+'Phụ lục số 8'!O21</f>
        <v>13880.105121031198</v>
      </c>
    </row>
    <row r="23" spans="1:15" ht="18.600000000000001" thickTop="1"/>
    <row r="27" spans="1:15">
      <c r="C27" s="679">
        <f>+'Phụ lục 7-HĐND'!E41</f>
        <v>11751651.907</v>
      </c>
    </row>
    <row r="28" spans="1:15">
      <c r="C28" s="679">
        <f>+C27-C6</f>
        <v>0</v>
      </c>
    </row>
    <row r="31" spans="1:15">
      <c r="D31" s="314">
        <f t="shared" ref="D31:H31" si="5">+D17+D15+D11+D7+D16</f>
        <v>800543.99</v>
      </c>
      <c r="E31" s="314">
        <f t="shared" si="5"/>
        <v>767830.17399999988</v>
      </c>
      <c r="F31" s="314">
        <f t="shared" si="5"/>
        <v>713376.21900000004</v>
      </c>
      <c r="G31" s="314">
        <f t="shared" si="5"/>
        <v>778427.45200000005</v>
      </c>
      <c r="H31" s="314">
        <f t="shared" si="5"/>
        <v>950436.22600000002</v>
      </c>
      <c r="I31" s="314">
        <f>+I17+I15+I11+I7+I16</f>
        <v>1814306.929</v>
      </c>
      <c r="J31" s="314">
        <f t="shared" ref="J31:O31" si="6">+J17+J15+J11+J7+J16</f>
        <v>1193776.6209999998</v>
      </c>
      <c r="K31" s="314">
        <f t="shared" si="6"/>
        <v>1015582.8789999998</v>
      </c>
      <c r="L31" s="314">
        <f t="shared" si="6"/>
        <v>1007609.827</v>
      </c>
      <c r="M31" s="314">
        <f t="shared" si="6"/>
        <v>891369.38300000003</v>
      </c>
      <c r="N31" s="314">
        <f t="shared" si="6"/>
        <v>946873.73499999999</v>
      </c>
      <c r="O31" s="314">
        <f t="shared" si="6"/>
        <v>871518.47200000007</v>
      </c>
    </row>
    <row r="32" spans="1:15">
      <c r="D32" s="314">
        <f>+D31*1000000</f>
        <v>800543990000</v>
      </c>
      <c r="E32" s="314">
        <f t="shared" ref="E32:O32" si="7">+E31*1000000</f>
        <v>767830173999.99988</v>
      </c>
      <c r="F32" s="314">
        <f t="shared" si="7"/>
        <v>713376219000</v>
      </c>
      <c r="G32" s="314">
        <f t="shared" si="7"/>
        <v>778427452000</v>
      </c>
      <c r="H32" s="314">
        <f t="shared" si="7"/>
        <v>950436226000</v>
      </c>
      <c r="I32" s="314">
        <f t="shared" si="7"/>
        <v>1814306929000</v>
      </c>
      <c r="J32" s="314">
        <f t="shared" si="7"/>
        <v>1193776620999.9998</v>
      </c>
      <c r="K32" s="314">
        <f t="shared" si="7"/>
        <v>1015582878999.9999</v>
      </c>
      <c r="L32" s="314">
        <f t="shared" si="7"/>
        <v>1007609827000</v>
      </c>
      <c r="M32" s="314">
        <f t="shared" si="7"/>
        <v>891369383000</v>
      </c>
      <c r="N32" s="314">
        <f t="shared" si="7"/>
        <v>946873735000</v>
      </c>
      <c r="O32" s="314">
        <f t="shared" si="7"/>
        <v>871518472000.00012</v>
      </c>
    </row>
    <row r="33" spans="4:15">
      <c r="D33" s="679">
        <f>+'Phụ lục 7-HĐND'!H41</f>
        <v>800543.99</v>
      </c>
      <c r="E33" s="679">
        <f>+'Phụ lục 7-HĐND'!K41</f>
        <v>767830.174</v>
      </c>
      <c r="F33" s="679">
        <f>+'Phụ lục 7-HĐND'!N41</f>
        <v>713376.21900000004</v>
      </c>
      <c r="G33" s="679">
        <f>+'Phụ lục 7-HĐND'!Q41</f>
        <v>778427.45200000005</v>
      </c>
      <c r="H33" s="679">
        <f>+'Phụ lục 7-HĐND'!T41</f>
        <v>950436.22600000002</v>
      </c>
      <c r="I33" s="679">
        <f>+'Phụ lục 7-HĐND'!W41</f>
        <v>1814306.929</v>
      </c>
      <c r="J33" s="679">
        <f>+'Phụ lục 7-HĐND'!Z41</f>
        <v>1193776.621</v>
      </c>
      <c r="K33" s="679">
        <f>+'Phụ lục 7-HĐND'!AC41</f>
        <v>1015582.879</v>
      </c>
      <c r="L33" s="679">
        <f>+'Phụ lục 7-HĐND'!AF41</f>
        <v>1007609.827</v>
      </c>
      <c r="M33" s="679">
        <f>+'Phụ lục 7-HĐND'!AI41</f>
        <v>891369.38300000003</v>
      </c>
      <c r="N33" s="679">
        <f>+'Phụ lục 7-HĐND'!AL41</f>
        <v>946873.73499999999</v>
      </c>
      <c r="O33" s="679">
        <f>+'Phụ lục 7-HĐND'!AO41</f>
        <v>871518.47200000007</v>
      </c>
    </row>
    <row r="34" spans="4:15">
      <c r="D34" s="314">
        <f>+D33*1000000</f>
        <v>800543990000</v>
      </c>
      <c r="E34" s="314">
        <f t="shared" ref="E34:O34" si="8">+E33*1000000</f>
        <v>767830174000</v>
      </c>
      <c r="F34" s="314">
        <f t="shared" si="8"/>
        <v>713376219000</v>
      </c>
      <c r="G34" s="314">
        <f t="shared" si="8"/>
        <v>778427452000</v>
      </c>
      <c r="H34" s="314">
        <f t="shared" si="8"/>
        <v>950436226000</v>
      </c>
      <c r="I34" s="314">
        <f t="shared" si="8"/>
        <v>1814306929000</v>
      </c>
      <c r="J34" s="314">
        <f t="shared" si="8"/>
        <v>1193776621000</v>
      </c>
      <c r="K34" s="314">
        <f t="shared" si="8"/>
        <v>1015582879000</v>
      </c>
      <c r="L34" s="314">
        <f t="shared" si="8"/>
        <v>1007609827000</v>
      </c>
      <c r="M34" s="314">
        <f t="shared" si="8"/>
        <v>891369383000</v>
      </c>
      <c r="N34" s="314">
        <f t="shared" si="8"/>
        <v>946873735000</v>
      </c>
      <c r="O34" s="314">
        <f t="shared" si="8"/>
        <v>871518472000.00012</v>
      </c>
    </row>
    <row r="35" spans="4:15">
      <c r="D35" s="679">
        <f>+D32-D34</f>
        <v>0</v>
      </c>
      <c r="E35" s="679">
        <f t="shared" ref="E35:O35" si="9">+E32-E34</f>
        <v>0</v>
      </c>
      <c r="F35" s="679">
        <f t="shared" si="9"/>
        <v>0</v>
      </c>
      <c r="G35" s="679">
        <f t="shared" si="9"/>
        <v>0</v>
      </c>
      <c r="H35" s="679">
        <f t="shared" si="9"/>
        <v>0</v>
      </c>
      <c r="I35" s="679">
        <f t="shared" si="9"/>
        <v>0</v>
      </c>
      <c r="J35" s="679">
        <f t="shared" si="9"/>
        <v>0</v>
      </c>
      <c r="K35" s="679">
        <f t="shared" si="9"/>
        <v>0</v>
      </c>
      <c r="L35" s="679">
        <f t="shared" si="9"/>
        <v>0</v>
      </c>
      <c r="M35" s="679">
        <f t="shared" si="9"/>
        <v>0</v>
      </c>
      <c r="N35" s="679">
        <f t="shared" si="9"/>
        <v>0</v>
      </c>
      <c r="O35" s="679">
        <f t="shared" si="9"/>
        <v>0</v>
      </c>
    </row>
  </sheetData>
  <mergeCells count="3">
    <mergeCell ref="A1:O1"/>
    <mergeCell ref="A2:O2"/>
    <mergeCell ref="L4:O4"/>
  </mergeCells>
  <hyperlinks>
    <hyperlink ref="A5" location="'Danh mục file'!A1" display="Số TT"/>
  </hyperlinks>
  <printOptions horizontalCentered="1"/>
  <pageMargins left="0" right="0" top="0.59055118110236227" bottom="0.19685039370078741" header="0.39370078740157483" footer="0"/>
  <pageSetup paperSize="9" scale="70" orientation="landscape" r:id="rId1"/>
  <headerFooter>
    <oddHeader>&amp;R&amp;"Times New Roman,Regular"&amp;10&amp;A</oddHeader>
    <oddFooter>&amp;C&amp;"Times New Roman,Regular"&amp;10&amp;P/&amp;N</oddFooter>
  </headerFooter>
  <legacy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V24"/>
  <sheetViews>
    <sheetView zoomScale="70" zoomScaleNormal="70" workbookViewId="0">
      <selection activeCell="A2" sqref="A2:V2"/>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290" t="s">
        <v>3164</v>
      </c>
      <c r="B1" s="6290"/>
      <c r="C1" s="6290"/>
      <c r="D1" s="6290"/>
      <c r="E1" s="6290"/>
      <c r="F1" s="6290"/>
      <c r="G1" s="6290"/>
      <c r="H1" s="6290"/>
      <c r="I1" s="6290"/>
      <c r="J1" s="6290"/>
      <c r="K1" s="6290"/>
      <c r="L1" s="6290"/>
      <c r="M1" s="6290"/>
      <c r="N1" s="6290"/>
      <c r="O1" s="6290"/>
      <c r="P1" s="6290"/>
      <c r="Q1" s="6290"/>
      <c r="R1" s="6290"/>
      <c r="S1" s="6290"/>
      <c r="T1" s="6290"/>
      <c r="U1" s="6290"/>
      <c r="V1" s="6290"/>
    </row>
    <row r="2" spans="1:22">
      <c r="A2" s="6508" t="str">
        <f>+'Phụ lục 8-HĐND'!A2:O2</f>
        <v>(Kèm theo Nghị quyết số         /NQ-HĐND ngày     /12/2024 của Hội đồng nhân dân Tỉnh)</v>
      </c>
      <c r="B2" s="6508"/>
      <c r="C2" s="6508"/>
      <c r="D2" s="6508"/>
      <c r="E2" s="6508"/>
      <c r="F2" s="6508"/>
      <c r="G2" s="6508"/>
      <c r="H2" s="6508"/>
      <c r="I2" s="6508"/>
      <c r="J2" s="6508"/>
      <c r="K2" s="6508"/>
      <c r="L2" s="6508"/>
      <c r="M2" s="6508"/>
      <c r="N2" s="6508"/>
      <c r="O2" s="6508"/>
      <c r="P2" s="6508"/>
      <c r="Q2" s="6508"/>
      <c r="R2" s="6508"/>
      <c r="S2" s="6508"/>
      <c r="T2" s="6508"/>
      <c r="U2" s="6508"/>
      <c r="V2" s="6508"/>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06" t="s">
        <v>638</v>
      </c>
      <c r="T4" s="6506"/>
      <c r="U4" s="6506"/>
      <c r="V4" s="6506"/>
    </row>
    <row r="5" spans="1:22" s="49" customFormat="1" thickTop="1">
      <c r="A5" s="6567" t="s">
        <v>247</v>
      </c>
      <c r="B5" s="6569" t="s">
        <v>1526</v>
      </c>
      <c r="C5" s="6569" t="s">
        <v>3194</v>
      </c>
      <c r="D5" s="6569" t="s">
        <v>1527</v>
      </c>
      <c r="E5" s="6569"/>
      <c r="F5" s="6569"/>
      <c r="G5" s="6569"/>
      <c r="H5" s="6569"/>
      <c r="I5" s="6569"/>
      <c r="J5" s="6569"/>
      <c r="K5" s="6569"/>
      <c r="L5" s="6569"/>
      <c r="M5" s="6569" t="s">
        <v>3169</v>
      </c>
      <c r="N5" s="6078" t="s">
        <v>1724</v>
      </c>
      <c r="O5" s="6078"/>
      <c r="P5" s="6078"/>
      <c r="Q5" s="6078"/>
      <c r="R5" s="6078"/>
      <c r="S5" s="6078"/>
      <c r="T5" s="6078"/>
      <c r="U5" s="6078"/>
      <c r="V5" s="6079"/>
    </row>
    <row r="6" spans="1:22" s="49" customFormat="1" ht="17.399999999999999">
      <c r="A6" s="6568"/>
      <c r="B6" s="6293"/>
      <c r="C6" s="6293"/>
      <c r="D6" s="6293" t="s">
        <v>1528</v>
      </c>
      <c r="E6" s="6293" t="s">
        <v>1529</v>
      </c>
      <c r="F6" s="6293" t="s">
        <v>645</v>
      </c>
      <c r="G6" s="6293"/>
      <c r="H6" s="6293" t="s">
        <v>1530</v>
      </c>
      <c r="I6" s="6293" t="s">
        <v>645</v>
      </c>
      <c r="J6" s="6293"/>
      <c r="K6" s="6293"/>
      <c r="L6" s="6293" t="s">
        <v>1531</v>
      </c>
      <c r="M6" s="6293"/>
      <c r="N6" s="6504" t="s">
        <v>208</v>
      </c>
      <c r="O6" s="6504"/>
      <c r="P6" s="6504"/>
      <c r="Q6" s="6504" t="s">
        <v>209</v>
      </c>
      <c r="R6" s="6504"/>
      <c r="S6" s="6504"/>
      <c r="T6" s="6293" t="s">
        <v>175</v>
      </c>
      <c r="U6" s="6293" t="s">
        <v>176</v>
      </c>
      <c r="V6" s="6566" t="s">
        <v>825</v>
      </c>
    </row>
    <row r="7" spans="1:22" s="49" customFormat="1" ht="18.75" customHeight="1">
      <c r="A7" s="6568"/>
      <c r="B7" s="6293"/>
      <c r="C7" s="6293"/>
      <c r="D7" s="6293"/>
      <c r="E7" s="6293"/>
      <c r="F7" s="6293"/>
      <c r="G7" s="6293"/>
      <c r="H7" s="6293"/>
      <c r="I7" s="6044" t="s">
        <v>205</v>
      </c>
      <c r="J7" s="6044" t="s">
        <v>3163</v>
      </c>
      <c r="K7" s="6044" t="s">
        <v>3167</v>
      </c>
      <c r="L7" s="6293"/>
      <c r="M7" s="6293"/>
      <c r="N7" s="6293" t="s">
        <v>387</v>
      </c>
      <c r="O7" s="6293" t="s">
        <v>645</v>
      </c>
      <c r="P7" s="6293"/>
      <c r="Q7" s="6293" t="s">
        <v>387</v>
      </c>
      <c r="R7" s="6504" t="s">
        <v>645</v>
      </c>
      <c r="S7" s="6504"/>
      <c r="T7" s="6293"/>
      <c r="U7" s="6293"/>
      <c r="V7" s="6566"/>
    </row>
    <row r="8" spans="1:22" s="49" customFormat="1" ht="284.25" customHeight="1">
      <c r="A8" s="6568"/>
      <c r="B8" s="6293"/>
      <c r="C8" s="6293"/>
      <c r="D8" s="6293"/>
      <c r="E8" s="6293"/>
      <c r="F8" s="2247" t="s">
        <v>1533</v>
      </c>
      <c r="G8" s="2247" t="s">
        <v>1534</v>
      </c>
      <c r="H8" s="6293"/>
      <c r="I8" s="6044"/>
      <c r="J8" s="6044"/>
      <c r="K8" s="6044"/>
      <c r="L8" s="6293"/>
      <c r="M8" s="6293"/>
      <c r="N8" s="6293"/>
      <c r="O8" s="2247" t="s">
        <v>143</v>
      </c>
      <c r="P8" s="2247" t="s">
        <v>144</v>
      </c>
      <c r="Q8" s="6293"/>
      <c r="R8" s="2247" t="s">
        <v>824</v>
      </c>
      <c r="S8" s="2247" t="s">
        <v>740</v>
      </c>
      <c r="T8" s="6293"/>
      <c r="U8" s="6293"/>
      <c r="V8" s="6566"/>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5:V5"/>
    <mergeCell ref="V6:V8"/>
    <mergeCell ref="S4:V4"/>
    <mergeCell ref="A1:V1"/>
    <mergeCell ref="A2:V2"/>
    <mergeCell ref="A5:A8"/>
    <mergeCell ref="B5:B8"/>
    <mergeCell ref="C5:C8"/>
    <mergeCell ref="D5:L5"/>
    <mergeCell ref="M5:M8"/>
    <mergeCell ref="D6:D8"/>
    <mergeCell ref="E6:E8"/>
    <mergeCell ref="F6:G7"/>
    <mergeCell ref="H6:H8"/>
    <mergeCell ref="I6:K6"/>
    <mergeCell ref="L6:L8"/>
    <mergeCell ref="Q6:S6"/>
    <mergeCell ref="T6:T8"/>
    <mergeCell ref="U6:U8"/>
    <mergeCell ref="I7:I8"/>
    <mergeCell ref="J7:J8"/>
    <mergeCell ref="N7:N8"/>
    <mergeCell ref="O7:P7"/>
    <mergeCell ref="Q7:Q8"/>
    <mergeCell ref="R7:S7"/>
    <mergeCell ref="N6:P6"/>
    <mergeCell ref="K7:K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sheetPr>
  <dimension ref="A1:R59"/>
  <sheetViews>
    <sheetView workbookViewId="0">
      <selection activeCell="A5" sqref="A5:A9"/>
    </sheetView>
  </sheetViews>
  <sheetFormatPr defaultColWidth="10.109375" defaultRowHeight="15.6"/>
  <cols>
    <col min="1" max="1" width="5.109375" style="1475" customWidth="1"/>
    <col min="2" max="2" width="46.88671875" style="1274" customWidth="1"/>
    <col min="3" max="3" width="15.109375" style="1430" customWidth="1"/>
    <col min="4" max="6" width="15.109375" style="1274" customWidth="1"/>
    <col min="7" max="7" width="15.44140625" style="1274" customWidth="1"/>
    <col min="8" max="8" width="17" style="1274" customWidth="1"/>
    <col min="9" max="9" width="15.109375" style="1430" customWidth="1"/>
    <col min="10" max="12" width="15.109375" style="1274" customWidth="1"/>
    <col min="13" max="13" width="15.44140625" style="1274" customWidth="1"/>
    <col min="14" max="14" width="16.109375" style="1274" customWidth="1"/>
    <col min="15" max="15" width="14.33203125" style="1484" customWidth="1"/>
    <col min="16" max="16" width="17.6640625" style="1274" customWidth="1"/>
    <col min="17" max="17" width="10.109375" style="1274"/>
    <col min="18" max="18" width="12.88671875" style="1274" bestFit="1" customWidth="1"/>
    <col min="19" max="255" width="10.109375" style="1274"/>
    <col min="256" max="256" width="5.109375" style="1274" customWidth="1"/>
    <col min="257" max="257" width="55.5546875" style="1274" customWidth="1"/>
    <col min="258" max="264" width="0" style="1274" hidden="1" customWidth="1"/>
    <col min="265" max="265" width="16.6640625" style="1274" customWidth="1"/>
    <col min="266" max="266" width="12.5546875" style="1274" customWidth="1"/>
    <col min="267" max="267" width="13.5546875" style="1274" customWidth="1"/>
    <col min="268" max="271" width="14.33203125" style="1274" customWidth="1"/>
    <col min="272" max="272" width="17.6640625" style="1274" customWidth="1"/>
    <col min="273" max="273" width="10.109375" style="1274"/>
    <col min="274" max="274" width="12.88671875" style="1274" bestFit="1" customWidth="1"/>
    <col min="275" max="511" width="10.109375" style="1274"/>
    <col min="512" max="512" width="5.109375" style="1274" customWidth="1"/>
    <col min="513" max="513" width="55.5546875" style="1274" customWidth="1"/>
    <col min="514" max="520" width="0" style="1274" hidden="1" customWidth="1"/>
    <col min="521" max="521" width="16.6640625" style="1274" customWidth="1"/>
    <col min="522" max="522" width="12.5546875" style="1274" customWidth="1"/>
    <col min="523" max="523" width="13.5546875" style="1274" customWidth="1"/>
    <col min="524" max="527" width="14.33203125" style="1274" customWidth="1"/>
    <col min="528" max="528" width="17.6640625" style="1274" customWidth="1"/>
    <col min="529" max="529" width="10.109375" style="1274"/>
    <col min="530" max="530" width="12.88671875" style="1274" bestFit="1" customWidth="1"/>
    <col min="531" max="767" width="10.109375" style="1274"/>
    <col min="768" max="768" width="5.109375" style="1274" customWidth="1"/>
    <col min="769" max="769" width="55.5546875" style="1274" customWidth="1"/>
    <col min="770" max="776" width="0" style="1274" hidden="1" customWidth="1"/>
    <col min="777" max="777" width="16.6640625" style="1274" customWidth="1"/>
    <col min="778" max="778" width="12.5546875" style="1274" customWidth="1"/>
    <col min="779" max="779" width="13.5546875" style="1274" customWidth="1"/>
    <col min="780" max="783" width="14.33203125" style="1274" customWidth="1"/>
    <col min="784" max="784" width="17.6640625" style="1274" customWidth="1"/>
    <col min="785" max="785" width="10.109375" style="1274"/>
    <col min="786" max="786" width="12.88671875" style="1274" bestFit="1" customWidth="1"/>
    <col min="787" max="1023" width="10.109375" style="1274"/>
    <col min="1024" max="1024" width="5.109375" style="1274" customWidth="1"/>
    <col min="1025" max="1025" width="55.5546875" style="1274" customWidth="1"/>
    <col min="1026" max="1032" width="0" style="1274" hidden="1" customWidth="1"/>
    <col min="1033" max="1033" width="16.6640625" style="1274" customWidth="1"/>
    <col min="1034" max="1034" width="12.5546875" style="1274" customWidth="1"/>
    <col min="1035" max="1035" width="13.5546875" style="1274" customWidth="1"/>
    <col min="1036" max="1039" width="14.33203125" style="1274" customWidth="1"/>
    <col min="1040" max="1040" width="17.6640625" style="1274" customWidth="1"/>
    <col min="1041" max="1041" width="10.109375" style="1274"/>
    <col min="1042" max="1042" width="12.88671875" style="1274" bestFit="1" customWidth="1"/>
    <col min="1043" max="1279" width="10.109375" style="1274"/>
    <col min="1280" max="1280" width="5.109375" style="1274" customWidth="1"/>
    <col min="1281" max="1281" width="55.5546875" style="1274" customWidth="1"/>
    <col min="1282" max="1288" width="0" style="1274" hidden="1" customWidth="1"/>
    <col min="1289" max="1289" width="16.6640625" style="1274" customWidth="1"/>
    <col min="1290" max="1290" width="12.5546875" style="1274" customWidth="1"/>
    <col min="1291" max="1291" width="13.5546875" style="1274" customWidth="1"/>
    <col min="1292" max="1295" width="14.33203125" style="1274" customWidth="1"/>
    <col min="1296" max="1296" width="17.6640625" style="1274" customWidth="1"/>
    <col min="1297" max="1297" width="10.109375" style="1274"/>
    <col min="1298" max="1298" width="12.88671875" style="1274" bestFit="1" customWidth="1"/>
    <col min="1299" max="1535" width="10.109375" style="1274"/>
    <col min="1536" max="1536" width="5.109375" style="1274" customWidth="1"/>
    <col min="1537" max="1537" width="55.5546875" style="1274" customWidth="1"/>
    <col min="1538" max="1544" width="0" style="1274" hidden="1" customWidth="1"/>
    <col min="1545" max="1545" width="16.6640625" style="1274" customWidth="1"/>
    <col min="1546" max="1546" width="12.5546875" style="1274" customWidth="1"/>
    <col min="1547" max="1547" width="13.5546875" style="1274" customWidth="1"/>
    <col min="1548" max="1551" width="14.33203125" style="1274" customWidth="1"/>
    <col min="1552" max="1552" width="17.6640625" style="1274" customWidth="1"/>
    <col min="1553" max="1553" width="10.109375" style="1274"/>
    <col min="1554" max="1554" width="12.88671875" style="1274" bestFit="1" customWidth="1"/>
    <col min="1555" max="1791" width="10.109375" style="1274"/>
    <col min="1792" max="1792" width="5.109375" style="1274" customWidth="1"/>
    <col min="1793" max="1793" width="55.5546875" style="1274" customWidth="1"/>
    <col min="1794" max="1800" width="0" style="1274" hidden="1" customWidth="1"/>
    <col min="1801" max="1801" width="16.6640625" style="1274" customWidth="1"/>
    <col min="1802" max="1802" width="12.5546875" style="1274" customWidth="1"/>
    <col min="1803" max="1803" width="13.5546875" style="1274" customWidth="1"/>
    <col min="1804" max="1807" width="14.33203125" style="1274" customWidth="1"/>
    <col min="1808" max="1808" width="17.6640625" style="1274" customWidth="1"/>
    <col min="1809" max="1809" width="10.109375" style="1274"/>
    <col min="1810" max="1810" width="12.88671875" style="1274" bestFit="1" customWidth="1"/>
    <col min="1811" max="2047" width="10.109375" style="1274"/>
    <col min="2048" max="2048" width="5.109375" style="1274" customWidth="1"/>
    <col min="2049" max="2049" width="55.5546875" style="1274" customWidth="1"/>
    <col min="2050" max="2056" width="0" style="1274" hidden="1" customWidth="1"/>
    <col min="2057" max="2057" width="16.6640625" style="1274" customWidth="1"/>
    <col min="2058" max="2058" width="12.5546875" style="1274" customWidth="1"/>
    <col min="2059" max="2059" width="13.5546875" style="1274" customWidth="1"/>
    <col min="2060" max="2063" width="14.33203125" style="1274" customWidth="1"/>
    <col min="2064" max="2064" width="17.6640625" style="1274" customWidth="1"/>
    <col min="2065" max="2065" width="10.109375" style="1274"/>
    <col min="2066" max="2066" width="12.88671875" style="1274" bestFit="1" customWidth="1"/>
    <col min="2067" max="2303" width="10.109375" style="1274"/>
    <col min="2304" max="2304" width="5.109375" style="1274" customWidth="1"/>
    <col min="2305" max="2305" width="55.5546875" style="1274" customWidth="1"/>
    <col min="2306" max="2312" width="0" style="1274" hidden="1" customWidth="1"/>
    <col min="2313" max="2313" width="16.6640625" style="1274" customWidth="1"/>
    <col min="2314" max="2314" width="12.5546875" style="1274" customWidth="1"/>
    <col min="2315" max="2315" width="13.5546875" style="1274" customWidth="1"/>
    <col min="2316" max="2319" width="14.33203125" style="1274" customWidth="1"/>
    <col min="2320" max="2320" width="17.6640625" style="1274" customWidth="1"/>
    <col min="2321" max="2321" width="10.109375" style="1274"/>
    <col min="2322" max="2322" width="12.88671875" style="1274" bestFit="1" customWidth="1"/>
    <col min="2323" max="2559" width="10.109375" style="1274"/>
    <col min="2560" max="2560" width="5.109375" style="1274" customWidth="1"/>
    <col min="2561" max="2561" width="55.5546875" style="1274" customWidth="1"/>
    <col min="2562" max="2568" width="0" style="1274" hidden="1" customWidth="1"/>
    <col min="2569" max="2569" width="16.6640625" style="1274" customWidth="1"/>
    <col min="2570" max="2570" width="12.5546875" style="1274" customWidth="1"/>
    <col min="2571" max="2571" width="13.5546875" style="1274" customWidth="1"/>
    <col min="2572" max="2575" width="14.33203125" style="1274" customWidth="1"/>
    <col min="2576" max="2576" width="17.6640625" style="1274" customWidth="1"/>
    <col min="2577" max="2577" width="10.109375" style="1274"/>
    <col min="2578" max="2578" width="12.88671875" style="1274" bestFit="1" customWidth="1"/>
    <col min="2579" max="2815" width="10.109375" style="1274"/>
    <col min="2816" max="2816" width="5.109375" style="1274" customWidth="1"/>
    <col min="2817" max="2817" width="55.5546875" style="1274" customWidth="1"/>
    <col min="2818" max="2824" width="0" style="1274" hidden="1" customWidth="1"/>
    <col min="2825" max="2825" width="16.6640625" style="1274" customWidth="1"/>
    <col min="2826" max="2826" width="12.5546875" style="1274" customWidth="1"/>
    <col min="2827" max="2827" width="13.5546875" style="1274" customWidth="1"/>
    <col min="2828" max="2831" width="14.33203125" style="1274" customWidth="1"/>
    <col min="2832" max="2832" width="17.6640625" style="1274" customWidth="1"/>
    <col min="2833" max="2833" width="10.109375" style="1274"/>
    <col min="2834" max="2834" width="12.88671875" style="1274" bestFit="1" customWidth="1"/>
    <col min="2835" max="3071" width="10.109375" style="1274"/>
    <col min="3072" max="3072" width="5.109375" style="1274" customWidth="1"/>
    <col min="3073" max="3073" width="55.5546875" style="1274" customWidth="1"/>
    <col min="3074" max="3080" width="0" style="1274" hidden="1" customWidth="1"/>
    <col min="3081" max="3081" width="16.6640625" style="1274" customWidth="1"/>
    <col min="3082" max="3082" width="12.5546875" style="1274" customWidth="1"/>
    <col min="3083" max="3083" width="13.5546875" style="1274" customWidth="1"/>
    <col min="3084" max="3087" width="14.33203125" style="1274" customWidth="1"/>
    <col min="3088" max="3088" width="17.6640625" style="1274" customWidth="1"/>
    <col min="3089" max="3089" width="10.109375" style="1274"/>
    <col min="3090" max="3090" width="12.88671875" style="1274" bestFit="1" customWidth="1"/>
    <col min="3091" max="3327" width="10.109375" style="1274"/>
    <col min="3328" max="3328" width="5.109375" style="1274" customWidth="1"/>
    <col min="3329" max="3329" width="55.5546875" style="1274" customWidth="1"/>
    <col min="3330" max="3336" width="0" style="1274" hidden="1" customWidth="1"/>
    <col min="3337" max="3337" width="16.6640625" style="1274" customWidth="1"/>
    <col min="3338" max="3338" width="12.5546875" style="1274" customWidth="1"/>
    <col min="3339" max="3339" width="13.5546875" style="1274" customWidth="1"/>
    <col min="3340" max="3343" width="14.33203125" style="1274" customWidth="1"/>
    <col min="3344" max="3344" width="17.6640625" style="1274" customWidth="1"/>
    <col min="3345" max="3345" width="10.109375" style="1274"/>
    <col min="3346" max="3346" width="12.88671875" style="1274" bestFit="1" customWidth="1"/>
    <col min="3347" max="3583" width="10.109375" style="1274"/>
    <col min="3584" max="3584" width="5.109375" style="1274" customWidth="1"/>
    <col min="3585" max="3585" width="55.5546875" style="1274" customWidth="1"/>
    <col min="3586" max="3592" width="0" style="1274" hidden="1" customWidth="1"/>
    <col min="3593" max="3593" width="16.6640625" style="1274" customWidth="1"/>
    <col min="3594" max="3594" width="12.5546875" style="1274" customWidth="1"/>
    <col min="3595" max="3595" width="13.5546875" style="1274" customWidth="1"/>
    <col min="3596" max="3599" width="14.33203125" style="1274" customWidth="1"/>
    <col min="3600" max="3600" width="17.6640625" style="1274" customWidth="1"/>
    <col min="3601" max="3601" width="10.109375" style="1274"/>
    <col min="3602" max="3602" width="12.88671875" style="1274" bestFit="1" customWidth="1"/>
    <col min="3603" max="3839" width="10.109375" style="1274"/>
    <col min="3840" max="3840" width="5.109375" style="1274" customWidth="1"/>
    <col min="3841" max="3841" width="55.5546875" style="1274" customWidth="1"/>
    <col min="3842" max="3848" width="0" style="1274" hidden="1" customWidth="1"/>
    <col min="3849" max="3849" width="16.6640625" style="1274" customWidth="1"/>
    <col min="3850" max="3850" width="12.5546875" style="1274" customWidth="1"/>
    <col min="3851" max="3851" width="13.5546875" style="1274" customWidth="1"/>
    <col min="3852" max="3855" width="14.33203125" style="1274" customWidth="1"/>
    <col min="3856" max="3856" width="17.6640625" style="1274" customWidth="1"/>
    <col min="3857" max="3857" width="10.109375" style="1274"/>
    <col min="3858" max="3858" width="12.88671875" style="1274" bestFit="1" customWidth="1"/>
    <col min="3859" max="4095" width="10.109375" style="1274"/>
    <col min="4096" max="4096" width="5.109375" style="1274" customWidth="1"/>
    <col min="4097" max="4097" width="55.5546875" style="1274" customWidth="1"/>
    <col min="4098" max="4104" width="0" style="1274" hidden="1" customWidth="1"/>
    <col min="4105" max="4105" width="16.6640625" style="1274" customWidth="1"/>
    <col min="4106" max="4106" width="12.5546875" style="1274" customWidth="1"/>
    <col min="4107" max="4107" width="13.5546875" style="1274" customWidth="1"/>
    <col min="4108" max="4111" width="14.33203125" style="1274" customWidth="1"/>
    <col min="4112" max="4112" width="17.6640625" style="1274" customWidth="1"/>
    <col min="4113" max="4113" width="10.109375" style="1274"/>
    <col min="4114" max="4114" width="12.88671875" style="1274" bestFit="1" customWidth="1"/>
    <col min="4115" max="4351" width="10.109375" style="1274"/>
    <col min="4352" max="4352" width="5.109375" style="1274" customWidth="1"/>
    <col min="4353" max="4353" width="55.5546875" style="1274" customWidth="1"/>
    <col min="4354" max="4360" width="0" style="1274" hidden="1" customWidth="1"/>
    <col min="4361" max="4361" width="16.6640625" style="1274" customWidth="1"/>
    <col min="4362" max="4362" width="12.5546875" style="1274" customWidth="1"/>
    <col min="4363" max="4363" width="13.5546875" style="1274" customWidth="1"/>
    <col min="4364" max="4367" width="14.33203125" style="1274" customWidth="1"/>
    <col min="4368" max="4368" width="17.6640625" style="1274" customWidth="1"/>
    <col min="4369" max="4369" width="10.109375" style="1274"/>
    <col min="4370" max="4370" width="12.88671875" style="1274" bestFit="1" customWidth="1"/>
    <col min="4371" max="4607" width="10.109375" style="1274"/>
    <col min="4608" max="4608" width="5.109375" style="1274" customWidth="1"/>
    <col min="4609" max="4609" width="55.5546875" style="1274" customWidth="1"/>
    <col min="4610" max="4616" width="0" style="1274" hidden="1" customWidth="1"/>
    <col min="4617" max="4617" width="16.6640625" style="1274" customWidth="1"/>
    <col min="4618" max="4618" width="12.5546875" style="1274" customWidth="1"/>
    <col min="4619" max="4619" width="13.5546875" style="1274" customWidth="1"/>
    <col min="4620" max="4623" width="14.33203125" style="1274" customWidth="1"/>
    <col min="4624" max="4624" width="17.6640625" style="1274" customWidth="1"/>
    <col min="4625" max="4625" width="10.109375" style="1274"/>
    <col min="4626" max="4626" width="12.88671875" style="1274" bestFit="1" customWidth="1"/>
    <col min="4627" max="4863" width="10.109375" style="1274"/>
    <col min="4864" max="4864" width="5.109375" style="1274" customWidth="1"/>
    <col min="4865" max="4865" width="55.5546875" style="1274" customWidth="1"/>
    <col min="4866" max="4872" width="0" style="1274" hidden="1" customWidth="1"/>
    <col min="4873" max="4873" width="16.6640625" style="1274" customWidth="1"/>
    <col min="4874" max="4874" width="12.5546875" style="1274" customWidth="1"/>
    <col min="4875" max="4875" width="13.5546875" style="1274" customWidth="1"/>
    <col min="4876" max="4879" width="14.33203125" style="1274" customWidth="1"/>
    <col min="4880" max="4880" width="17.6640625" style="1274" customWidth="1"/>
    <col min="4881" max="4881" width="10.109375" style="1274"/>
    <col min="4882" max="4882" width="12.88671875" style="1274" bestFit="1" customWidth="1"/>
    <col min="4883" max="5119" width="10.109375" style="1274"/>
    <col min="5120" max="5120" width="5.109375" style="1274" customWidth="1"/>
    <col min="5121" max="5121" width="55.5546875" style="1274" customWidth="1"/>
    <col min="5122" max="5128" width="0" style="1274" hidden="1" customWidth="1"/>
    <col min="5129" max="5129" width="16.6640625" style="1274" customWidth="1"/>
    <col min="5130" max="5130" width="12.5546875" style="1274" customWidth="1"/>
    <col min="5131" max="5131" width="13.5546875" style="1274" customWidth="1"/>
    <col min="5132" max="5135" width="14.33203125" style="1274" customWidth="1"/>
    <col min="5136" max="5136" width="17.6640625" style="1274" customWidth="1"/>
    <col min="5137" max="5137" width="10.109375" style="1274"/>
    <col min="5138" max="5138" width="12.88671875" style="1274" bestFit="1" customWidth="1"/>
    <col min="5139" max="5375" width="10.109375" style="1274"/>
    <col min="5376" max="5376" width="5.109375" style="1274" customWidth="1"/>
    <col min="5377" max="5377" width="55.5546875" style="1274" customWidth="1"/>
    <col min="5378" max="5384" width="0" style="1274" hidden="1" customWidth="1"/>
    <col min="5385" max="5385" width="16.6640625" style="1274" customWidth="1"/>
    <col min="5386" max="5386" width="12.5546875" style="1274" customWidth="1"/>
    <col min="5387" max="5387" width="13.5546875" style="1274" customWidth="1"/>
    <col min="5388" max="5391" width="14.33203125" style="1274" customWidth="1"/>
    <col min="5392" max="5392" width="17.6640625" style="1274" customWidth="1"/>
    <col min="5393" max="5393" width="10.109375" style="1274"/>
    <col min="5394" max="5394" width="12.88671875" style="1274" bestFit="1" customWidth="1"/>
    <col min="5395" max="5631" width="10.109375" style="1274"/>
    <col min="5632" max="5632" width="5.109375" style="1274" customWidth="1"/>
    <col min="5633" max="5633" width="55.5546875" style="1274" customWidth="1"/>
    <col min="5634" max="5640" width="0" style="1274" hidden="1" customWidth="1"/>
    <col min="5641" max="5641" width="16.6640625" style="1274" customWidth="1"/>
    <col min="5642" max="5642" width="12.5546875" style="1274" customWidth="1"/>
    <col min="5643" max="5643" width="13.5546875" style="1274" customWidth="1"/>
    <col min="5644" max="5647" width="14.33203125" style="1274" customWidth="1"/>
    <col min="5648" max="5648" width="17.6640625" style="1274" customWidth="1"/>
    <col min="5649" max="5649" width="10.109375" style="1274"/>
    <col min="5650" max="5650" width="12.88671875" style="1274" bestFit="1" customWidth="1"/>
    <col min="5651" max="5887" width="10.109375" style="1274"/>
    <col min="5888" max="5888" width="5.109375" style="1274" customWidth="1"/>
    <col min="5889" max="5889" width="55.5546875" style="1274" customWidth="1"/>
    <col min="5890" max="5896" width="0" style="1274" hidden="1" customWidth="1"/>
    <col min="5897" max="5897" width="16.6640625" style="1274" customWidth="1"/>
    <col min="5898" max="5898" width="12.5546875" style="1274" customWidth="1"/>
    <col min="5899" max="5899" width="13.5546875" style="1274" customWidth="1"/>
    <col min="5900" max="5903" width="14.33203125" style="1274" customWidth="1"/>
    <col min="5904" max="5904" width="17.6640625" style="1274" customWidth="1"/>
    <col min="5905" max="5905" width="10.109375" style="1274"/>
    <col min="5906" max="5906" width="12.88671875" style="1274" bestFit="1" customWidth="1"/>
    <col min="5907" max="6143" width="10.109375" style="1274"/>
    <col min="6144" max="6144" width="5.109375" style="1274" customWidth="1"/>
    <col min="6145" max="6145" width="55.5546875" style="1274" customWidth="1"/>
    <col min="6146" max="6152" width="0" style="1274" hidden="1" customWidth="1"/>
    <col min="6153" max="6153" width="16.6640625" style="1274" customWidth="1"/>
    <col min="6154" max="6154" width="12.5546875" style="1274" customWidth="1"/>
    <col min="6155" max="6155" width="13.5546875" style="1274" customWidth="1"/>
    <col min="6156" max="6159" width="14.33203125" style="1274" customWidth="1"/>
    <col min="6160" max="6160" width="17.6640625" style="1274" customWidth="1"/>
    <col min="6161" max="6161" width="10.109375" style="1274"/>
    <col min="6162" max="6162" width="12.88671875" style="1274" bestFit="1" customWidth="1"/>
    <col min="6163" max="6399" width="10.109375" style="1274"/>
    <col min="6400" max="6400" width="5.109375" style="1274" customWidth="1"/>
    <col min="6401" max="6401" width="55.5546875" style="1274" customWidth="1"/>
    <col min="6402" max="6408" width="0" style="1274" hidden="1" customWidth="1"/>
    <col min="6409" max="6409" width="16.6640625" style="1274" customWidth="1"/>
    <col min="6410" max="6410" width="12.5546875" style="1274" customWidth="1"/>
    <col min="6411" max="6411" width="13.5546875" style="1274" customWidth="1"/>
    <col min="6412" max="6415" width="14.33203125" style="1274" customWidth="1"/>
    <col min="6416" max="6416" width="17.6640625" style="1274" customWidth="1"/>
    <col min="6417" max="6417" width="10.109375" style="1274"/>
    <col min="6418" max="6418" width="12.88671875" style="1274" bestFit="1" customWidth="1"/>
    <col min="6419" max="6655" width="10.109375" style="1274"/>
    <col min="6656" max="6656" width="5.109375" style="1274" customWidth="1"/>
    <col min="6657" max="6657" width="55.5546875" style="1274" customWidth="1"/>
    <col min="6658" max="6664" width="0" style="1274" hidden="1" customWidth="1"/>
    <col min="6665" max="6665" width="16.6640625" style="1274" customWidth="1"/>
    <col min="6666" max="6666" width="12.5546875" style="1274" customWidth="1"/>
    <col min="6667" max="6667" width="13.5546875" style="1274" customWidth="1"/>
    <col min="6668" max="6671" width="14.33203125" style="1274" customWidth="1"/>
    <col min="6672" max="6672" width="17.6640625" style="1274" customWidth="1"/>
    <col min="6673" max="6673" width="10.109375" style="1274"/>
    <col min="6674" max="6674" width="12.88671875" style="1274" bestFit="1" customWidth="1"/>
    <col min="6675" max="6911" width="10.109375" style="1274"/>
    <col min="6912" max="6912" width="5.109375" style="1274" customWidth="1"/>
    <col min="6913" max="6913" width="55.5546875" style="1274" customWidth="1"/>
    <col min="6914" max="6920" width="0" style="1274" hidden="1" customWidth="1"/>
    <col min="6921" max="6921" width="16.6640625" style="1274" customWidth="1"/>
    <col min="6922" max="6922" width="12.5546875" style="1274" customWidth="1"/>
    <col min="6923" max="6923" width="13.5546875" style="1274" customWidth="1"/>
    <col min="6924" max="6927" width="14.33203125" style="1274" customWidth="1"/>
    <col min="6928" max="6928" width="17.6640625" style="1274" customWidth="1"/>
    <col min="6929" max="6929" width="10.109375" style="1274"/>
    <col min="6930" max="6930" width="12.88671875" style="1274" bestFit="1" customWidth="1"/>
    <col min="6931" max="7167" width="10.109375" style="1274"/>
    <col min="7168" max="7168" width="5.109375" style="1274" customWidth="1"/>
    <col min="7169" max="7169" width="55.5546875" style="1274" customWidth="1"/>
    <col min="7170" max="7176" width="0" style="1274" hidden="1" customWidth="1"/>
    <col min="7177" max="7177" width="16.6640625" style="1274" customWidth="1"/>
    <col min="7178" max="7178" width="12.5546875" style="1274" customWidth="1"/>
    <col min="7179" max="7179" width="13.5546875" style="1274" customWidth="1"/>
    <col min="7180" max="7183" width="14.33203125" style="1274" customWidth="1"/>
    <col min="7184" max="7184" width="17.6640625" style="1274" customWidth="1"/>
    <col min="7185" max="7185" width="10.109375" style="1274"/>
    <col min="7186" max="7186" width="12.88671875" style="1274" bestFit="1" customWidth="1"/>
    <col min="7187" max="7423" width="10.109375" style="1274"/>
    <col min="7424" max="7424" width="5.109375" style="1274" customWidth="1"/>
    <col min="7425" max="7425" width="55.5546875" style="1274" customWidth="1"/>
    <col min="7426" max="7432" width="0" style="1274" hidden="1" customWidth="1"/>
    <col min="7433" max="7433" width="16.6640625" style="1274" customWidth="1"/>
    <col min="7434" max="7434" width="12.5546875" style="1274" customWidth="1"/>
    <col min="7435" max="7435" width="13.5546875" style="1274" customWidth="1"/>
    <col min="7436" max="7439" width="14.33203125" style="1274" customWidth="1"/>
    <col min="7440" max="7440" width="17.6640625" style="1274" customWidth="1"/>
    <col min="7441" max="7441" width="10.109375" style="1274"/>
    <col min="7442" max="7442" width="12.88671875" style="1274" bestFit="1" customWidth="1"/>
    <col min="7443" max="7679" width="10.109375" style="1274"/>
    <col min="7680" max="7680" width="5.109375" style="1274" customWidth="1"/>
    <col min="7681" max="7681" width="55.5546875" style="1274" customWidth="1"/>
    <col min="7682" max="7688" width="0" style="1274" hidden="1" customWidth="1"/>
    <col min="7689" max="7689" width="16.6640625" style="1274" customWidth="1"/>
    <col min="7690" max="7690" width="12.5546875" style="1274" customWidth="1"/>
    <col min="7691" max="7691" width="13.5546875" style="1274" customWidth="1"/>
    <col min="7692" max="7695" width="14.33203125" style="1274" customWidth="1"/>
    <col min="7696" max="7696" width="17.6640625" style="1274" customWidth="1"/>
    <col min="7697" max="7697" width="10.109375" style="1274"/>
    <col min="7698" max="7698" width="12.88671875" style="1274" bestFit="1" customWidth="1"/>
    <col min="7699" max="7935" width="10.109375" style="1274"/>
    <col min="7936" max="7936" width="5.109375" style="1274" customWidth="1"/>
    <col min="7937" max="7937" width="55.5546875" style="1274" customWidth="1"/>
    <col min="7938" max="7944" width="0" style="1274" hidden="1" customWidth="1"/>
    <col min="7945" max="7945" width="16.6640625" style="1274" customWidth="1"/>
    <col min="7946" max="7946" width="12.5546875" style="1274" customWidth="1"/>
    <col min="7947" max="7947" width="13.5546875" style="1274" customWidth="1"/>
    <col min="7948" max="7951" width="14.33203125" style="1274" customWidth="1"/>
    <col min="7952" max="7952" width="17.6640625" style="1274" customWidth="1"/>
    <col min="7953" max="7953" width="10.109375" style="1274"/>
    <col min="7954" max="7954" width="12.88671875" style="1274" bestFit="1" customWidth="1"/>
    <col min="7955" max="8191" width="10.109375" style="1274"/>
    <col min="8192" max="8192" width="5.109375" style="1274" customWidth="1"/>
    <col min="8193" max="8193" width="55.5546875" style="1274" customWidth="1"/>
    <col min="8194" max="8200" width="0" style="1274" hidden="1" customWidth="1"/>
    <col min="8201" max="8201" width="16.6640625" style="1274" customWidth="1"/>
    <col min="8202" max="8202" width="12.5546875" style="1274" customWidth="1"/>
    <col min="8203" max="8203" width="13.5546875" style="1274" customWidth="1"/>
    <col min="8204" max="8207" width="14.33203125" style="1274" customWidth="1"/>
    <col min="8208" max="8208" width="17.6640625" style="1274" customWidth="1"/>
    <col min="8209" max="8209" width="10.109375" style="1274"/>
    <col min="8210" max="8210" width="12.88671875" style="1274" bestFit="1" customWidth="1"/>
    <col min="8211" max="8447" width="10.109375" style="1274"/>
    <col min="8448" max="8448" width="5.109375" style="1274" customWidth="1"/>
    <col min="8449" max="8449" width="55.5546875" style="1274" customWidth="1"/>
    <col min="8450" max="8456" width="0" style="1274" hidden="1" customWidth="1"/>
    <col min="8457" max="8457" width="16.6640625" style="1274" customWidth="1"/>
    <col min="8458" max="8458" width="12.5546875" style="1274" customWidth="1"/>
    <col min="8459" max="8459" width="13.5546875" style="1274" customWidth="1"/>
    <col min="8460" max="8463" width="14.33203125" style="1274" customWidth="1"/>
    <col min="8464" max="8464" width="17.6640625" style="1274" customWidth="1"/>
    <col min="8465" max="8465" width="10.109375" style="1274"/>
    <col min="8466" max="8466" width="12.88671875" style="1274" bestFit="1" customWidth="1"/>
    <col min="8467" max="8703" width="10.109375" style="1274"/>
    <col min="8704" max="8704" width="5.109375" style="1274" customWidth="1"/>
    <col min="8705" max="8705" width="55.5546875" style="1274" customWidth="1"/>
    <col min="8706" max="8712" width="0" style="1274" hidden="1" customWidth="1"/>
    <col min="8713" max="8713" width="16.6640625" style="1274" customWidth="1"/>
    <col min="8714" max="8714" width="12.5546875" style="1274" customWidth="1"/>
    <col min="8715" max="8715" width="13.5546875" style="1274" customWidth="1"/>
    <col min="8716" max="8719" width="14.33203125" style="1274" customWidth="1"/>
    <col min="8720" max="8720" width="17.6640625" style="1274" customWidth="1"/>
    <col min="8721" max="8721" width="10.109375" style="1274"/>
    <col min="8722" max="8722" width="12.88671875" style="1274" bestFit="1" customWidth="1"/>
    <col min="8723" max="8959" width="10.109375" style="1274"/>
    <col min="8960" max="8960" width="5.109375" style="1274" customWidth="1"/>
    <col min="8961" max="8961" width="55.5546875" style="1274" customWidth="1"/>
    <col min="8962" max="8968" width="0" style="1274" hidden="1" customWidth="1"/>
    <col min="8969" max="8969" width="16.6640625" style="1274" customWidth="1"/>
    <col min="8970" max="8970" width="12.5546875" style="1274" customWidth="1"/>
    <col min="8971" max="8971" width="13.5546875" style="1274" customWidth="1"/>
    <col min="8972" max="8975" width="14.33203125" style="1274" customWidth="1"/>
    <col min="8976" max="8976" width="17.6640625" style="1274" customWidth="1"/>
    <col min="8977" max="8977" width="10.109375" style="1274"/>
    <col min="8978" max="8978" width="12.88671875" style="1274" bestFit="1" customWidth="1"/>
    <col min="8979" max="9215" width="10.109375" style="1274"/>
    <col min="9216" max="9216" width="5.109375" style="1274" customWidth="1"/>
    <col min="9217" max="9217" width="55.5546875" style="1274" customWidth="1"/>
    <col min="9218" max="9224" width="0" style="1274" hidden="1" customWidth="1"/>
    <col min="9225" max="9225" width="16.6640625" style="1274" customWidth="1"/>
    <col min="9226" max="9226" width="12.5546875" style="1274" customWidth="1"/>
    <col min="9227" max="9227" width="13.5546875" style="1274" customWidth="1"/>
    <col min="9228" max="9231" width="14.33203125" style="1274" customWidth="1"/>
    <col min="9232" max="9232" width="17.6640625" style="1274" customWidth="1"/>
    <col min="9233" max="9233" width="10.109375" style="1274"/>
    <col min="9234" max="9234" width="12.88671875" style="1274" bestFit="1" customWidth="1"/>
    <col min="9235" max="9471" width="10.109375" style="1274"/>
    <col min="9472" max="9472" width="5.109375" style="1274" customWidth="1"/>
    <col min="9473" max="9473" width="55.5546875" style="1274" customWidth="1"/>
    <col min="9474" max="9480" width="0" style="1274" hidden="1" customWidth="1"/>
    <col min="9481" max="9481" width="16.6640625" style="1274" customWidth="1"/>
    <col min="9482" max="9482" width="12.5546875" style="1274" customWidth="1"/>
    <col min="9483" max="9483" width="13.5546875" style="1274" customWidth="1"/>
    <col min="9484" max="9487" width="14.33203125" style="1274" customWidth="1"/>
    <col min="9488" max="9488" width="17.6640625" style="1274" customWidth="1"/>
    <col min="9489" max="9489" width="10.109375" style="1274"/>
    <col min="9490" max="9490" width="12.88671875" style="1274" bestFit="1" customWidth="1"/>
    <col min="9491" max="9727" width="10.109375" style="1274"/>
    <col min="9728" max="9728" width="5.109375" style="1274" customWidth="1"/>
    <col min="9729" max="9729" width="55.5546875" style="1274" customWidth="1"/>
    <col min="9730" max="9736" width="0" style="1274" hidden="1" customWidth="1"/>
    <col min="9737" max="9737" width="16.6640625" style="1274" customWidth="1"/>
    <col min="9738" max="9738" width="12.5546875" style="1274" customWidth="1"/>
    <col min="9739" max="9739" width="13.5546875" style="1274" customWidth="1"/>
    <col min="9740" max="9743" width="14.33203125" style="1274" customWidth="1"/>
    <col min="9744" max="9744" width="17.6640625" style="1274" customWidth="1"/>
    <col min="9745" max="9745" width="10.109375" style="1274"/>
    <col min="9746" max="9746" width="12.88671875" style="1274" bestFit="1" customWidth="1"/>
    <col min="9747" max="9983" width="10.109375" style="1274"/>
    <col min="9984" max="9984" width="5.109375" style="1274" customWidth="1"/>
    <col min="9985" max="9985" width="55.5546875" style="1274" customWidth="1"/>
    <col min="9986" max="9992" width="0" style="1274" hidden="1" customWidth="1"/>
    <col min="9993" max="9993" width="16.6640625" style="1274" customWidth="1"/>
    <col min="9994" max="9994" width="12.5546875" style="1274" customWidth="1"/>
    <col min="9995" max="9995" width="13.5546875" style="1274" customWidth="1"/>
    <col min="9996" max="9999" width="14.33203125" style="1274" customWidth="1"/>
    <col min="10000" max="10000" width="17.6640625" style="1274" customWidth="1"/>
    <col min="10001" max="10001" width="10.109375" style="1274"/>
    <col min="10002" max="10002" width="12.88671875" style="1274" bestFit="1" customWidth="1"/>
    <col min="10003" max="10239" width="10.109375" style="1274"/>
    <col min="10240" max="10240" width="5.109375" style="1274" customWidth="1"/>
    <col min="10241" max="10241" width="55.5546875" style="1274" customWidth="1"/>
    <col min="10242" max="10248" width="0" style="1274" hidden="1" customWidth="1"/>
    <col min="10249" max="10249" width="16.6640625" style="1274" customWidth="1"/>
    <col min="10250" max="10250" width="12.5546875" style="1274" customWidth="1"/>
    <col min="10251" max="10251" width="13.5546875" style="1274" customWidth="1"/>
    <col min="10252" max="10255" width="14.33203125" style="1274" customWidth="1"/>
    <col min="10256" max="10256" width="17.6640625" style="1274" customWidth="1"/>
    <col min="10257" max="10257" width="10.109375" style="1274"/>
    <col min="10258" max="10258" width="12.88671875" style="1274" bestFit="1" customWidth="1"/>
    <col min="10259" max="10495" width="10.109375" style="1274"/>
    <col min="10496" max="10496" width="5.109375" style="1274" customWidth="1"/>
    <col min="10497" max="10497" width="55.5546875" style="1274" customWidth="1"/>
    <col min="10498" max="10504" width="0" style="1274" hidden="1" customWidth="1"/>
    <col min="10505" max="10505" width="16.6640625" style="1274" customWidth="1"/>
    <col min="10506" max="10506" width="12.5546875" style="1274" customWidth="1"/>
    <col min="10507" max="10507" width="13.5546875" style="1274" customWidth="1"/>
    <col min="10508" max="10511" width="14.33203125" style="1274" customWidth="1"/>
    <col min="10512" max="10512" width="17.6640625" style="1274" customWidth="1"/>
    <col min="10513" max="10513" width="10.109375" style="1274"/>
    <col min="10514" max="10514" width="12.88671875" style="1274" bestFit="1" customWidth="1"/>
    <col min="10515" max="10751" width="10.109375" style="1274"/>
    <col min="10752" max="10752" width="5.109375" style="1274" customWidth="1"/>
    <col min="10753" max="10753" width="55.5546875" style="1274" customWidth="1"/>
    <col min="10754" max="10760" width="0" style="1274" hidden="1" customWidth="1"/>
    <col min="10761" max="10761" width="16.6640625" style="1274" customWidth="1"/>
    <col min="10762" max="10762" width="12.5546875" style="1274" customWidth="1"/>
    <col min="10763" max="10763" width="13.5546875" style="1274" customWidth="1"/>
    <col min="10764" max="10767" width="14.33203125" style="1274" customWidth="1"/>
    <col min="10768" max="10768" width="17.6640625" style="1274" customWidth="1"/>
    <col min="10769" max="10769" width="10.109375" style="1274"/>
    <col min="10770" max="10770" width="12.88671875" style="1274" bestFit="1" customWidth="1"/>
    <col min="10771" max="11007" width="10.109375" style="1274"/>
    <col min="11008" max="11008" width="5.109375" style="1274" customWidth="1"/>
    <col min="11009" max="11009" width="55.5546875" style="1274" customWidth="1"/>
    <col min="11010" max="11016" width="0" style="1274" hidden="1" customWidth="1"/>
    <col min="11017" max="11017" width="16.6640625" style="1274" customWidth="1"/>
    <col min="11018" max="11018" width="12.5546875" style="1274" customWidth="1"/>
    <col min="11019" max="11019" width="13.5546875" style="1274" customWidth="1"/>
    <col min="11020" max="11023" width="14.33203125" style="1274" customWidth="1"/>
    <col min="11024" max="11024" width="17.6640625" style="1274" customWidth="1"/>
    <col min="11025" max="11025" width="10.109375" style="1274"/>
    <col min="11026" max="11026" width="12.88671875" style="1274" bestFit="1" customWidth="1"/>
    <col min="11027" max="11263" width="10.109375" style="1274"/>
    <col min="11264" max="11264" width="5.109375" style="1274" customWidth="1"/>
    <col min="11265" max="11265" width="55.5546875" style="1274" customWidth="1"/>
    <col min="11266" max="11272" width="0" style="1274" hidden="1" customWidth="1"/>
    <col min="11273" max="11273" width="16.6640625" style="1274" customWidth="1"/>
    <col min="11274" max="11274" width="12.5546875" style="1274" customWidth="1"/>
    <col min="11275" max="11275" width="13.5546875" style="1274" customWidth="1"/>
    <col min="11276" max="11279" width="14.33203125" style="1274" customWidth="1"/>
    <col min="11280" max="11280" width="17.6640625" style="1274" customWidth="1"/>
    <col min="11281" max="11281" width="10.109375" style="1274"/>
    <col min="11282" max="11282" width="12.88671875" style="1274" bestFit="1" customWidth="1"/>
    <col min="11283" max="11519" width="10.109375" style="1274"/>
    <col min="11520" max="11520" width="5.109375" style="1274" customWidth="1"/>
    <col min="11521" max="11521" width="55.5546875" style="1274" customWidth="1"/>
    <col min="11522" max="11528" width="0" style="1274" hidden="1" customWidth="1"/>
    <col min="11529" max="11529" width="16.6640625" style="1274" customWidth="1"/>
    <col min="11530" max="11530" width="12.5546875" style="1274" customWidth="1"/>
    <col min="11531" max="11531" width="13.5546875" style="1274" customWidth="1"/>
    <col min="11532" max="11535" width="14.33203125" style="1274" customWidth="1"/>
    <col min="11536" max="11536" width="17.6640625" style="1274" customWidth="1"/>
    <col min="11537" max="11537" width="10.109375" style="1274"/>
    <col min="11538" max="11538" width="12.88671875" style="1274" bestFit="1" customWidth="1"/>
    <col min="11539" max="11775" width="10.109375" style="1274"/>
    <col min="11776" max="11776" width="5.109375" style="1274" customWidth="1"/>
    <col min="11777" max="11777" width="55.5546875" style="1274" customWidth="1"/>
    <col min="11778" max="11784" width="0" style="1274" hidden="1" customWidth="1"/>
    <col min="11785" max="11785" width="16.6640625" style="1274" customWidth="1"/>
    <col min="11786" max="11786" width="12.5546875" style="1274" customWidth="1"/>
    <col min="11787" max="11787" width="13.5546875" style="1274" customWidth="1"/>
    <col min="11788" max="11791" width="14.33203125" style="1274" customWidth="1"/>
    <col min="11792" max="11792" width="17.6640625" style="1274" customWidth="1"/>
    <col min="11793" max="11793" width="10.109375" style="1274"/>
    <col min="11794" max="11794" width="12.88671875" style="1274" bestFit="1" customWidth="1"/>
    <col min="11795" max="12031" width="10.109375" style="1274"/>
    <col min="12032" max="12032" width="5.109375" style="1274" customWidth="1"/>
    <col min="12033" max="12033" width="55.5546875" style="1274" customWidth="1"/>
    <col min="12034" max="12040" width="0" style="1274" hidden="1" customWidth="1"/>
    <col min="12041" max="12041" width="16.6640625" style="1274" customWidth="1"/>
    <col min="12042" max="12042" width="12.5546875" style="1274" customWidth="1"/>
    <col min="12043" max="12043" width="13.5546875" style="1274" customWidth="1"/>
    <col min="12044" max="12047" width="14.33203125" style="1274" customWidth="1"/>
    <col min="12048" max="12048" width="17.6640625" style="1274" customWidth="1"/>
    <col min="12049" max="12049" width="10.109375" style="1274"/>
    <col min="12050" max="12050" width="12.88671875" style="1274" bestFit="1" customWidth="1"/>
    <col min="12051" max="12287" width="10.109375" style="1274"/>
    <col min="12288" max="12288" width="5.109375" style="1274" customWidth="1"/>
    <col min="12289" max="12289" width="55.5546875" style="1274" customWidth="1"/>
    <col min="12290" max="12296" width="0" style="1274" hidden="1" customWidth="1"/>
    <col min="12297" max="12297" width="16.6640625" style="1274" customWidth="1"/>
    <col min="12298" max="12298" width="12.5546875" style="1274" customWidth="1"/>
    <col min="12299" max="12299" width="13.5546875" style="1274" customWidth="1"/>
    <col min="12300" max="12303" width="14.33203125" style="1274" customWidth="1"/>
    <col min="12304" max="12304" width="17.6640625" style="1274" customWidth="1"/>
    <col min="12305" max="12305" width="10.109375" style="1274"/>
    <col min="12306" max="12306" width="12.88671875" style="1274" bestFit="1" customWidth="1"/>
    <col min="12307" max="12543" width="10.109375" style="1274"/>
    <col min="12544" max="12544" width="5.109375" style="1274" customWidth="1"/>
    <col min="12545" max="12545" width="55.5546875" style="1274" customWidth="1"/>
    <col min="12546" max="12552" width="0" style="1274" hidden="1" customWidth="1"/>
    <col min="12553" max="12553" width="16.6640625" style="1274" customWidth="1"/>
    <col min="12554" max="12554" width="12.5546875" style="1274" customWidth="1"/>
    <col min="12555" max="12555" width="13.5546875" style="1274" customWidth="1"/>
    <col min="12556" max="12559" width="14.33203125" style="1274" customWidth="1"/>
    <col min="12560" max="12560" width="17.6640625" style="1274" customWidth="1"/>
    <col min="12561" max="12561" width="10.109375" style="1274"/>
    <col min="12562" max="12562" width="12.88671875" style="1274" bestFit="1" customWidth="1"/>
    <col min="12563" max="12799" width="10.109375" style="1274"/>
    <col min="12800" max="12800" width="5.109375" style="1274" customWidth="1"/>
    <col min="12801" max="12801" width="55.5546875" style="1274" customWidth="1"/>
    <col min="12802" max="12808" width="0" style="1274" hidden="1" customWidth="1"/>
    <col min="12809" max="12809" width="16.6640625" style="1274" customWidth="1"/>
    <col min="12810" max="12810" width="12.5546875" style="1274" customWidth="1"/>
    <col min="12811" max="12811" width="13.5546875" style="1274" customWidth="1"/>
    <col min="12812" max="12815" width="14.33203125" style="1274" customWidth="1"/>
    <col min="12816" max="12816" width="17.6640625" style="1274" customWidth="1"/>
    <col min="12817" max="12817" width="10.109375" style="1274"/>
    <col min="12818" max="12818" width="12.88671875" style="1274" bestFit="1" customWidth="1"/>
    <col min="12819" max="13055" width="10.109375" style="1274"/>
    <col min="13056" max="13056" width="5.109375" style="1274" customWidth="1"/>
    <col min="13057" max="13057" width="55.5546875" style="1274" customWidth="1"/>
    <col min="13058" max="13064" width="0" style="1274" hidden="1" customWidth="1"/>
    <col min="13065" max="13065" width="16.6640625" style="1274" customWidth="1"/>
    <col min="13066" max="13066" width="12.5546875" style="1274" customWidth="1"/>
    <col min="13067" max="13067" width="13.5546875" style="1274" customWidth="1"/>
    <col min="13068" max="13071" width="14.33203125" style="1274" customWidth="1"/>
    <col min="13072" max="13072" width="17.6640625" style="1274" customWidth="1"/>
    <col min="13073" max="13073" width="10.109375" style="1274"/>
    <col min="13074" max="13074" width="12.88671875" style="1274" bestFit="1" customWidth="1"/>
    <col min="13075" max="13311" width="10.109375" style="1274"/>
    <col min="13312" max="13312" width="5.109375" style="1274" customWidth="1"/>
    <col min="13313" max="13313" width="55.5546875" style="1274" customWidth="1"/>
    <col min="13314" max="13320" width="0" style="1274" hidden="1" customWidth="1"/>
    <col min="13321" max="13321" width="16.6640625" style="1274" customWidth="1"/>
    <col min="13322" max="13322" width="12.5546875" style="1274" customWidth="1"/>
    <col min="13323" max="13323" width="13.5546875" style="1274" customWidth="1"/>
    <col min="13324" max="13327" width="14.33203125" style="1274" customWidth="1"/>
    <col min="13328" max="13328" width="17.6640625" style="1274" customWidth="1"/>
    <col min="13329" max="13329" width="10.109375" style="1274"/>
    <col min="13330" max="13330" width="12.88671875" style="1274" bestFit="1" customWidth="1"/>
    <col min="13331" max="13567" width="10.109375" style="1274"/>
    <col min="13568" max="13568" width="5.109375" style="1274" customWidth="1"/>
    <col min="13569" max="13569" width="55.5546875" style="1274" customWidth="1"/>
    <col min="13570" max="13576" width="0" style="1274" hidden="1" customWidth="1"/>
    <col min="13577" max="13577" width="16.6640625" style="1274" customWidth="1"/>
    <col min="13578" max="13578" width="12.5546875" style="1274" customWidth="1"/>
    <col min="13579" max="13579" width="13.5546875" style="1274" customWidth="1"/>
    <col min="13580" max="13583" width="14.33203125" style="1274" customWidth="1"/>
    <col min="13584" max="13584" width="17.6640625" style="1274" customWidth="1"/>
    <col min="13585" max="13585" width="10.109375" style="1274"/>
    <col min="13586" max="13586" width="12.88671875" style="1274" bestFit="1" customWidth="1"/>
    <col min="13587" max="13823" width="10.109375" style="1274"/>
    <col min="13824" max="13824" width="5.109375" style="1274" customWidth="1"/>
    <col min="13825" max="13825" width="55.5546875" style="1274" customWidth="1"/>
    <col min="13826" max="13832" width="0" style="1274" hidden="1" customWidth="1"/>
    <col min="13833" max="13833" width="16.6640625" style="1274" customWidth="1"/>
    <col min="13834" max="13834" width="12.5546875" style="1274" customWidth="1"/>
    <col min="13835" max="13835" width="13.5546875" style="1274" customWidth="1"/>
    <col min="13836" max="13839" width="14.33203125" style="1274" customWidth="1"/>
    <col min="13840" max="13840" width="17.6640625" style="1274" customWidth="1"/>
    <col min="13841" max="13841" width="10.109375" style="1274"/>
    <col min="13842" max="13842" width="12.88671875" style="1274" bestFit="1" customWidth="1"/>
    <col min="13843" max="14079" width="10.109375" style="1274"/>
    <col min="14080" max="14080" width="5.109375" style="1274" customWidth="1"/>
    <col min="14081" max="14081" width="55.5546875" style="1274" customWidth="1"/>
    <col min="14082" max="14088" width="0" style="1274" hidden="1" customWidth="1"/>
    <col min="14089" max="14089" width="16.6640625" style="1274" customWidth="1"/>
    <col min="14090" max="14090" width="12.5546875" style="1274" customWidth="1"/>
    <col min="14091" max="14091" width="13.5546875" style="1274" customWidth="1"/>
    <col min="14092" max="14095" width="14.33203125" style="1274" customWidth="1"/>
    <col min="14096" max="14096" width="17.6640625" style="1274" customWidth="1"/>
    <col min="14097" max="14097" width="10.109375" style="1274"/>
    <col min="14098" max="14098" width="12.88671875" style="1274" bestFit="1" customWidth="1"/>
    <col min="14099" max="14335" width="10.109375" style="1274"/>
    <col min="14336" max="14336" width="5.109375" style="1274" customWidth="1"/>
    <col min="14337" max="14337" width="55.5546875" style="1274" customWidth="1"/>
    <col min="14338" max="14344" width="0" style="1274" hidden="1" customWidth="1"/>
    <col min="14345" max="14345" width="16.6640625" style="1274" customWidth="1"/>
    <col min="14346" max="14346" width="12.5546875" style="1274" customWidth="1"/>
    <col min="14347" max="14347" width="13.5546875" style="1274" customWidth="1"/>
    <col min="14348" max="14351" width="14.33203125" style="1274" customWidth="1"/>
    <col min="14352" max="14352" width="17.6640625" style="1274" customWidth="1"/>
    <col min="14353" max="14353" width="10.109375" style="1274"/>
    <col min="14354" max="14354" width="12.88671875" style="1274" bestFit="1" customWidth="1"/>
    <col min="14355" max="14591" width="10.109375" style="1274"/>
    <col min="14592" max="14592" width="5.109375" style="1274" customWidth="1"/>
    <col min="14593" max="14593" width="55.5546875" style="1274" customWidth="1"/>
    <col min="14594" max="14600" width="0" style="1274" hidden="1" customWidth="1"/>
    <col min="14601" max="14601" width="16.6640625" style="1274" customWidth="1"/>
    <col min="14602" max="14602" width="12.5546875" style="1274" customWidth="1"/>
    <col min="14603" max="14603" width="13.5546875" style="1274" customWidth="1"/>
    <col min="14604" max="14607" width="14.33203125" style="1274" customWidth="1"/>
    <col min="14608" max="14608" width="17.6640625" style="1274" customWidth="1"/>
    <col min="14609" max="14609" width="10.109375" style="1274"/>
    <col min="14610" max="14610" width="12.88671875" style="1274" bestFit="1" customWidth="1"/>
    <col min="14611" max="14847" width="10.109375" style="1274"/>
    <col min="14848" max="14848" width="5.109375" style="1274" customWidth="1"/>
    <col min="14849" max="14849" width="55.5546875" style="1274" customWidth="1"/>
    <col min="14850" max="14856" width="0" style="1274" hidden="1" customWidth="1"/>
    <col min="14857" max="14857" width="16.6640625" style="1274" customWidth="1"/>
    <col min="14858" max="14858" width="12.5546875" style="1274" customWidth="1"/>
    <col min="14859" max="14859" width="13.5546875" style="1274" customWidth="1"/>
    <col min="14860" max="14863" width="14.33203125" style="1274" customWidth="1"/>
    <col min="14864" max="14864" width="17.6640625" style="1274" customWidth="1"/>
    <col min="14865" max="14865" width="10.109375" style="1274"/>
    <col min="14866" max="14866" width="12.88671875" style="1274" bestFit="1" customWidth="1"/>
    <col min="14867" max="15103" width="10.109375" style="1274"/>
    <col min="15104" max="15104" width="5.109375" style="1274" customWidth="1"/>
    <col min="15105" max="15105" width="55.5546875" style="1274" customWidth="1"/>
    <col min="15106" max="15112" width="0" style="1274" hidden="1" customWidth="1"/>
    <col min="15113" max="15113" width="16.6640625" style="1274" customWidth="1"/>
    <col min="15114" max="15114" width="12.5546875" style="1274" customWidth="1"/>
    <col min="15115" max="15115" width="13.5546875" style="1274" customWidth="1"/>
    <col min="15116" max="15119" width="14.33203125" style="1274" customWidth="1"/>
    <col min="15120" max="15120" width="17.6640625" style="1274" customWidth="1"/>
    <col min="15121" max="15121" width="10.109375" style="1274"/>
    <col min="15122" max="15122" width="12.88671875" style="1274" bestFit="1" customWidth="1"/>
    <col min="15123" max="15359" width="10.109375" style="1274"/>
    <col min="15360" max="15360" width="5.109375" style="1274" customWidth="1"/>
    <col min="15361" max="15361" width="55.5546875" style="1274" customWidth="1"/>
    <col min="15362" max="15368" width="0" style="1274" hidden="1" customWidth="1"/>
    <col min="15369" max="15369" width="16.6640625" style="1274" customWidth="1"/>
    <col min="15370" max="15370" width="12.5546875" style="1274" customWidth="1"/>
    <col min="15371" max="15371" width="13.5546875" style="1274" customWidth="1"/>
    <col min="15372" max="15375" width="14.33203125" style="1274" customWidth="1"/>
    <col min="15376" max="15376" width="17.6640625" style="1274" customWidth="1"/>
    <col min="15377" max="15377" width="10.109375" style="1274"/>
    <col min="15378" max="15378" width="12.88671875" style="1274" bestFit="1" customWidth="1"/>
    <col min="15379" max="15615" width="10.109375" style="1274"/>
    <col min="15616" max="15616" width="5.109375" style="1274" customWidth="1"/>
    <col min="15617" max="15617" width="55.5546875" style="1274" customWidth="1"/>
    <col min="15618" max="15624" width="0" style="1274" hidden="1" customWidth="1"/>
    <col min="15625" max="15625" width="16.6640625" style="1274" customWidth="1"/>
    <col min="15626" max="15626" width="12.5546875" style="1274" customWidth="1"/>
    <col min="15627" max="15627" width="13.5546875" style="1274" customWidth="1"/>
    <col min="15628" max="15631" width="14.33203125" style="1274" customWidth="1"/>
    <col min="15632" max="15632" width="17.6640625" style="1274" customWidth="1"/>
    <col min="15633" max="15633" width="10.109375" style="1274"/>
    <col min="15634" max="15634" width="12.88671875" style="1274" bestFit="1" customWidth="1"/>
    <col min="15635" max="15871" width="10.109375" style="1274"/>
    <col min="15872" max="15872" width="5.109375" style="1274" customWidth="1"/>
    <col min="15873" max="15873" width="55.5546875" style="1274" customWidth="1"/>
    <col min="15874" max="15880" width="0" style="1274" hidden="1" customWidth="1"/>
    <col min="15881" max="15881" width="16.6640625" style="1274" customWidth="1"/>
    <col min="15882" max="15882" width="12.5546875" style="1274" customWidth="1"/>
    <col min="15883" max="15883" width="13.5546875" style="1274" customWidth="1"/>
    <col min="15884" max="15887" width="14.33203125" style="1274" customWidth="1"/>
    <col min="15888" max="15888" width="17.6640625" style="1274" customWidth="1"/>
    <col min="15889" max="15889" width="10.109375" style="1274"/>
    <col min="15890" max="15890" width="12.88671875" style="1274" bestFit="1" customWidth="1"/>
    <col min="15891" max="16127" width="10.109375" style="1274"/>
    <col min="16128" max="16128" width="5.109375" style="1274" customWidth="1"/>
    <col min="16129" max="16129" width="55.5546875" style="1274" customWidth="1"/>
    <col min="16130" max="16136" width="0" style="1274" hidden="1" customWidth="1"/>
    <col min="16137" max="16137" width="16.6640625" style="1274" customWidth="1"/>
    <col min="16138" max="16138" width="12.5546875" style="1274" customWidth="1"/>
    <col min="16139" max="16139" width="13.5546875" style="1274" customWidth="1"/>
    <col min="16140" max="16143" width="14.33203125" style="1274" customWidth="1"/>
    <col min="16144" max="16144" width="17.6640625" style="1274" customWidth="1"/>
    <col min="16145" max="16145" width="10.109375" style="1274"/>
    <col min="16146" max="16146" width="12.88671875" style="1274" bestFit="1" customWidth="1"/>
    <col min="16147" max="16384" width="10.109375" style="1274"/>
  </cols>
  <sheetData>
    <row r="1" spans="1:18">
      <c r="A1" s="6152" t="str">
        <f>'[4]1d-R'!A1</f>
        <v>ỦY BAN NHÂN DÂN TỈNH ĐỒNG THÁP</v>
      </c>
      <c r="B1" s="6152"/>
      <c r="H1" s="1279"/>
      <c r="M1" s="6148"/>
      <c r="N1" s="6148"/>
      <c r="O1" s="1278"/>
      <c r="P1" s="1302"/>
    </row>
    <row r="2" spans="1:18">
      <c r="A2" s="6146" t="s">
        <v>1304</v>
      </c>
      <c r="B2" s="6146"/>
      <c r="C2" s="6146"/>
      <c r="D2" s="6146"/>
      <c r="E2" s="6146"/>
      <c r="F2" s="6146"/>
      <c r="G2" s="6146"/>
      <c r="H2" s="6146"/>
      <c r="I2" s="6146"/>
      <c r="J2" s="6146"/>
      <c r="K2" s="6146"/>
      <c r="L2" s="6146"/>
      <c r="M2" s="6146"/>
      <c r="N2" s="6146"/>
      <c r="O2" s="1431"/>
      <c r="P2" s="1432"/>
    </row>
    <row r="3" spans="1:18">
      <c r="A3" s="6146"/>
      <c r="B3" s="6146"/>
      <c r="C3" s="6146"/>
      <c r="D3" s="6146"/>
      <c r="E3" s="6146"/>
      <c r="F3" s="6146"/>
      <c r="G3" s="6146"/>
      <c r="H3" s="6146"/>
      <c r="I3" s="6146"/>
      <c r="J3" s="6146"/>
      <c r="K3" s="6146"/>
      <c r="L3" s="6146"/>
      <c r="M3" s="6146"/>
      <c r="N3" s="6146"/>
      <c r="O3" s="1431"/>
      <c r="P3" s="1432"/>
    </row>
    <row r="4" spans="1:18">
      <c r="A4" s="1273"/>
      <c r="B4" s="1273"/>
      <c r="C4" s="1273"/>
      <c r="D4" s="1273"/>
      <c r="E4" s="1273"/>
      <c r="F4" s="1273"/>
      <c r="G4" s="1273"/>
      <c r="H4" s="1273"/>
      <c r="I4" s="1273"/>
      <c r="J4" s="1273"/>
      <c r="K4" s="1273"/>
      <c r="L4" s="1273"/>
      <c r="M4" s="6153" t="s">
        <v>1121</v>
      </c>
      <c r="N4" s="6153"/>
      <c r="O4" s="1431"/>
      <c r="P4" s="1432"/>
    </row>
    <row r="5" spans="1:18">
      <c r="A5" s="6073" t="s">
        <v>247</v>
      </c>
      <c r="B5" s="6145" t="s">
        <v>1305</v>
      </c>
      <c r="C5" s="6154" t="s">
        <v>985</v>
      </c>
      <c r="D5" s="6154"/>
      <c r="E5" s="6154"/>
      <c r="F5" s="6154"/>
      <c r="G5" s="6154"/>
      <c r="H5" s="6154"/>
      <c r="I5" s="6155" t="s">
        <v>1122</v>
      </c>
      <c r="J5" s="6155"/>
      <c r="K5" s="6155"/>
      <c r="L5" s="6155"/>
      <c r="M5" s="6155"/>
      <c r="N5" s="6155"/>
      <c r="O5" s="1433"/>
      <c r="P5" s="1434"/>
    </row>
    <row r="6" spans="1:18" ht="16.5" customHeight="1">
      <c r="A6" s="6073"/>
      <c r="B6" s="6145"/>
      <c r="C6" s="6132" t="s">
        <v>1306</v>
      </c>
      <c r="D6" s="6132"/>
      <c r="E6" s="6132" t="s">
        <v>1307</v>
      </c>
      <c r="F6" s="6132"/>
      <c r="G6" s="6145" t="s">
        <v>996</v>
      </c>
      <c r="H6" s="6145" t="s">
        <v>1125</v>
      </c>
      <c r="I6" s="6132" t="s">
        <v>1308</v>
      </c>
      <c r="J6" s="6132"/>
      <c r="K6" s="6132" t="s">
        <v>1309</v>
      </c>
      <c r="L6" s="6132"/>
      <c r="M6" s="6145" t="s">
        <v>1165</v>
      </c>
      <c r="N6" s="6145" t="s">
        <v>1125</v>
      </c>
      <c r="O6" s="1433"/>
      <c r="P6" s="1434"/>
    </row>
    <row r="7" spans="1:18">
      <c r="A7" s="6073"/>
      <c r="B7" s="6145"/>
      <c r="C7" s="6132"/>
      <c r="D7" s="6132"/>
      <c r="E7" s="6132"/>
      <c r="F7" s="6132"/>
      <c r="G7" s="6145"/>
      <c r="H7" s="6145"/>
      <c r="I7" s="6132"/>
      <c r="J7" s="6132"/>
      <c r="K7" s="6132"/>
      <c r="L7" s="6132"/>
      <c r="M7" s="6145"/>
      <c r="N7" s="6145"/>
      <c r="O7" s="1433"/>
      <c r="P7" s="1434"/>
    </row>
    <row r="8" spans="1:18">
      <c r="A8" s="6073"/>
      <c r="B8" s="6145"/>
      <c r="C8" s="6151" t="s">
        <v>1310</v>
      </c>
      <c r="D8" s="6145" t="s">
        <v>1311</v>
      </c>
      <c r="E8" s="6151" t="s">
        <v>1310</v>
      </c>
      <c r="F8" s="6145" t="s">
        <v>1311</v>
      </c>
      <c r="G8" s="6145"/>
      <c r="H8" s="6145"/>
      <c r="I8" s="6151" t="s">
        <v>1310</v>
      </c>
      <c r="J8" s="6145" t="s">
        <v>1311</v>
      </c>
      <c r="K8" s="6151" t="s">
        <v>1310</v>
      </c>
      <c r="L8" s="6145" t="s">
        <v>1311</v>
      </c>
      <c r="M8" s="6145"/>
      <c r="N8" s="6145"/>
      <c r="O8" s="1431"/>
      <c r="P8" s="1432"/>
    </row>
    <row r="9" spans="1:18">
      <c r="A9" s="6073"/>
      <c r="B9" s="6145"/>
      <c r="C9" s="6151"/>
      <c r="D9" s="6145"/>
      <c r="E9" s="6151"/>
      <c r="F9" s="6145"/>
      <c r="G9" s="6145"/>
      <c r="H9" s="6145"/>
      <c r="I9" s="6151"/>
      <c r="J9" s="6145"/>
      <c r="K9" s="6151"/>
      <c r="L9" s="6145"/>
      <c r="M9" s="6145"/>
      <c r="N9" s="6145"/>
      <c r="O9" s="1431"/>
      <c r="P9" s="1432"/>
    </row>
    <row r="10" spans="1:18" s="1277" customFormat="1">
      <c r="A10" s="1435" t="s">
        <v>1</v>
      </c>
      <c r="B10" s="1436" t="s">
        <v>37</v>
      </c>
      <c r="C10" s="1437" t="s">
        <v>1312</v>
      </c>
      <c r="D10" s="1436" t="s">
        <v>1313</v>
      </c>
      <c r="E10" s="1436" t="s">
        <v>1314</v>
      </c>
      <c r="F10" s="1436" t="s">
        <v>1315</v>
      </c>
      <c r="G10" s="1436" t="s">
        <v>1316</v>
      </c>
      <c r="H10" s="1438" t="s">
        <v>1317</v>
      </c>
      <c r="I10" s="1437" t="s">
        <v>1312</v>
      </c>
      <c r="J10" s="1436" t="s">
        <v>1313</v>
      </c>
      <c r="K10" s="1436" t="s">
        <v>1314</v>
      </c>
      <c r="L10" s="1436" t="s">
        <v>1315</v>
      </c>
      <c r="M10" s="1436" t="s">
        <v>1316</v>
      </c>
      <c r="N10" s="1438" t="s">
        <v>1317</v>
      </c>
      <c r="O10" s="1439"/>
      <c r="P10" s="1440"/>
    </row>
    <row r="11" spans="1:18" s="1232" customFormat="1">
      <c r="A11" s="1441"/>
      <c r="B11" s="1442" t="s">
        <v>387</v>
      </c>
      <c r="C11" s="1443">
        <f>C12+C23</f>
        <v>546811</v>
      </c>
      <c r="D11" s="1443">
        <f t="shared" ref="D11:N11" si="0">D12+D23</f>
        <v>211048.38820000004</v>
      </c>
      <c r="E11" s="1443">
        <f t="shared" si="0"/>
        <v>267531</v>
      </c>
      <c r="F11" s="1443">
        <f t="shared" si="0"/>
        <v>160126.13918</v>
      </c>
      <c r="G11" s="1443">
        <f t="shared" si="0"/>
        <v>318516.59969999996</v>
      </c>
      <c r="H11" s="1443">
        <f t="shared" si="0"/>
        <v>52657.927680000037</v>
      </c>
      <c r="I11" s="1443">
        <f t="shared" si="0"/>
        <v>728715</v>
      </c>
      <c r="J11" s="1443">
        <f t="shared" si="0"/>
        <v>242755.49910999998</v>
      </c>
      <c r="K11" s="1443">
        <f t="shared" si="0"/>
        <v>699889</v>
      </c>
      <c r="L11" s="1443">
        <f t="shared" si="0"/>
        <v>216348.97585399999</v>
      </c>
      <c r="M11" s="1443">
        <f t="shared" si="0"/>
        <v>318516.59969999996</v>
      </c>
      <c r="N11" s="1443">
        <f t="shared" si="0"/>
        <v>140587.875264</v>
      </c>
      <c r="O11" s="1444"/>
      <c r="P11" s="1445"/>
      <c r="R11" s="1446"/>
    </row>
    <row r="12" spans="1:18" s="1232" customFormat="1">
      <c r="A12" s="1441" t="s">
        <v>3</v>
      </c>
      <c r="B12" s="1447" t="s">
        <v>1318</v>
      </c>
      <c r="C12" s="1267">
        <f>SUM(C13,C14,C17,C18,C19,C20,C21,C22)</f>
        <v>244741</v>
      </c>
      <c r="D12" s="1267">
        <f t="shared" ref="D12:N12" si="1">SUM(D13,D14,D17,D18,D19,D20,D21,D22)</f>
        <v>118829.83150000001</v>
      </c>
      <c r="E12" s="1267">
        <f t="shared" si="1"/>
        <v>250809</v>
      </c>
      <c r="F12" s="1267">
        <f t="shared" si="1"/>
        <v>158292.59315</v>
      </c>
      <c r="G12" s="1267">
        <f t="shared" si="1"/>
        <v>217478.55239999996</v>
      </c>
      <c r="H12" s="1267">
        <f t="shared" si="1"/>
        <v>59643.872250000022</v>
      </c>
      <c r="I12" s="1267">
        <f t="shared" si="1"/>
        <v>407378</v>
      </c>
      <c r="J12" s="1267">
        <f t="shared" si="1"/>
        <v>160787.88764999999</v>
      </c>
      <c r="K12" s="1267">
        <f t="shared" si="1"/>
        <v>418108</v>
      </c>
      <c r="L12" s="1267">
        <f t="shared" si="1"/>
        <v>165095.18414999999</v>
      </c>
      <c r="M12" s="1267">
        <f t="shared" si="1"/>
        <v>217478.55239999996</v>
      </c>
      <c r="N12" s="1267">
        <f t="shared" si="1"/>
        <v>108404.51939999999</v>
      </c>
      <c r="O12" s="1444"/>
      <c r="P12" s="1445"/>
      <c r="R12" s="1446"/>
    </row>
    <row r="13" spans="1:18" ht="62.4">
      <c r="A13" s="1448" t="s">
        <v>1312</v>
      </c>
      <c r="B13" s="1449" t="s">
        <v>1319</v>
      </c>
      <c r="C13" s="1252">
        <f>251+1292+16229</f>
        <v>17772</v>
      </c>
      <c r="D13" s="1393">
        <f>(60.993+60.993)/4*3+313.956+313.956+3943.647+3953.647</f>
        <v>8616.6954999999998</v>
      </c>
      <c r="E13" s="1252">
        <f>251+1292+16229</f>
        <v>17772</v>
      </c>
      <c r="F13" s="1393">
        <f>(79.2909+79.2909)/4*3+408.1428*2+5126.7411*2</f>
        <v>11188.70415</v>
      </c>
      <c r="G13" s="1393">
        <v>33723.199800000002</v>
      </c>
      <c r="H13" s="1450">
        <f>F13+D13-G13</f>
        <v>-13917.800150000003</v>
      </c>
      <c r="I13" s="1252">
        <f>251+1292+16229</f>
        <v>17772</v>
      </c>
      <c r="J13" s="1393">
        <f>(79.2909+79.2909)/4*3+408.1428*2+5126.7411*2</f>
        <v>11188.70415</v>
      </c>
      <c r="K13" s="1252">
        <f>251+1292+16229</f>
        <v>17772</v>
      </c>
      <c r="L13" s="1393">
        <f>(79.2909+79.2909)/4*3+408.1428*2+5126.7411*2</f>
        <v>11188.70415</v>
      </c>
      <c r="M13" s="1393">
        <v>33723.199800000002</v>
      </c>
      <c r="N13" s="1393">
        <f>J13+L13-M13</f>
        <v>-11345.791500000003</v>
      </c>
      <c r="O13" s="1451"/>
      <c r="P13" s="1452"/>
      <c r="R13" s="1275"/>
    </row>
    <row r="14" spans="1:18">
      <c r="A14" s="1448" t="s">
        <v>1313</v>
      </c>
      <c r="B14" s="1453" t="s">
        <v>1320</v>
      </c>
      <c r="C14" s="1252">
        <f>C15</f>
        <v>145408.5</v>
      </c>
      <c r="D14" s="1252">
        <f t="shared" ref="D14:N14" si="2">D15</f>
        <v>70668.531000000003</v>
      </c>
      <c r="E14" s="1252">
        <f t="shared" si="2"/>
        <v>148331.5</v>
      </c>
      <c r="F14" s="1252">
        <f t="shared" si="2"/>
        <v>93715.841700000004</v>
      </c>
      <c r="G14" s="1252">
        <f t="shared" si="2"/>
        <v>121685.2902</v>
      </c>
      <c r="H14" s="1252">
        <f t="shared" si="2"/>
        <v>42699.082500000004</v>
      </c>
      <c r="I14" s="1252">
        <f t="shared" si="2"/>
        <v>299630</v>
      </c>
      <c r="J14" s="1252">
        <f t="shared" si="2"/>
        <v>94653.116999999998</v>
      </c>
      <c r="K14" s="1252">
        <f t="shared" si="2"/>
        <v>305656</v>
      </c>
      <c r="L14" s="1252">
        <f t="shared" si="2"/>
        <v>96556.7304</v>
      </c>
      <c r="M14" s="1252">
        <f t="shared" si="2"/>
        <v>121685.2902</v>
      </c>
      <c r="N14" s="1252">
        <f t="shared" si="2"/>
        <v>69524.557199999996</v>
      </c>
      <c r="O14" s="1451"/>
      <c r="P14" s="1452"/>
      <c r="R14" s="1275"/>
    </row>
    <row r="15" spans="1:18" s="1276" customFormat="1">
      <c r="A15" s="1454"/>
      <c r="B15" s="1455" t="s">
        <v>1321</v>
      </c>
      <c r="C15" s="1456">
        <f>(144685+146132)/2</f>
        <v>145408.5</v>
      </c>
      <c r="D15" s="1457">
        <f>35158.455+35510.076</f>
        <v>70668.531000000003</v>
      </c>
      <c r="E15" s="1457">
        <f>(147594+149069)/2</f>
        <v>148331.5</v>
      </c>
      <c r="F15" s="1457">
        <f>46624.9446+47090.8971</f>
        <v>93715.841700000004</v>
      </c>
      <c r="G15" s="1457">
        <v>121685.2902</v>
      </c>
      <c r="H15" s="1458">
        <f>F15+D15-G15</f>
        <v>42699.082500000004</v>
      </c>
      <c r="I15" s="1456">
        <f>149069+150561</f>
        <v>299630</v>
      </c>
      <c r="J15" s="1457">
        <f>47090.8971+47562.2199</f>
        <v>94653.116999999998</v>
      </c>
      <c r="K15" s="1457">
        <f>152067+153589</f>
        <v>305656</v>
      </c>
      <c r="L15" s="1457">
        <f>48037.9653+48518.7651</f>
        <v>96556.7304</v>
      </c>
      <c r="M15" s="1457">
        <v>121685.2902</v>
      </c>
      <c r="N15" s="1457">
        <f>J15+L15-M15</f>
        <v>69524.557199999996</v>
      </c>
      <c r="O15" s="1433"/>
      <c r="P15" s="1459"/>
    </row>
    <row r="16" spans="1:18" s="1276" customFormat="1" ht="62.4">
      <c r="A16" s="1454"/>
      <c r="B16" s="1460" t="s">
        <v>1322</v>
      </c>
      <c r="C16" s="1456"/>
      <c r="D16" s="1457"/>
      <c r="E16" s="1457"/>
      <c r="F16" s="1457"/>
      <c r="G16" s="1461"/>
      <c r="H16" s="1462">
        <f t="shared" ref="H16" si="3">F16-G16</f>
        <v>0</v>
      </c>
      <c r="I16" s="1456"/>
      <c r="J16" s="1457"/>
      <c r="K16" s="1457"/>
      <c r="L16" s="1457"/>
      <c r="M16" s="1461"/>
      <c r="N16" s="1461"/>
      <c r="O16" s="1433"/>
      <c r="P16" s="1459"/>
    </row>
    <row r="17" spans="1:16" ht="31.2">
      <c r="A17" s="1448" t="s">
        <v>1314</v>
      </c>
      <c r="B17" s="1453" t="s">
        <v>1323</v>
      </c>
      <c r="C17" s="1252">
        <f>(1163+1163+1+1+9*2+7*2+1630+1631+1346+1345+11954+11918)/2</f>
        <v>16092</v>
      </c>
      <c r="D17" s="1393">
        <f>282.609+282.609+0.243+0.243+2.187+2.187+1.701+1.701+349.677+348.948+327.078+326.835+2904.822+2896.074</f>
        <v>7726.9140000000007</v>
      </c>
      <c r="E17" s="1393">
        <f>(1160+1156+1*2+9*2+7*2+1632+1633+1340+1334+11871+11813)/2</f>
        <v>15986.5</v>
      </c>
      <c r="F17" s="1393">
        <f>366.444+365.1804+0.3159+0.3159+2.8431+2.8431+2.2113+2.2113+452.3688+450.1575+423.306+421.4106+3750.0489+3731.7267</f>
        <v>9971.3834999999999</v>
      </c>
      <c r="G17" s="1393">
        <v>13641.188399999999</v>
      </c>
      <c r="H17" s="1450">
        <f>F17+D17-G17</f>
        <v>4057.1091000000015</v>
      </c>
      <c r="I17" s="1252">
        <f>(11833+11797+1331+1331+1630+1631+7*2+9*2+1*2+1138+1138)/2</f>
        <v>15931.5</v>
      </c>
      <c r="J17" s="1393">
        <f>3738.0447+3726.6723+420.4629*2+450.1575+449.2098+2.2113+2.2113+2.8431+2.8431+0.3159+0.3159+359.4942*2</f>
        <v>9934.7391000000025</v>
      </c>
      <c r="K17" s="1393">
        <f>(11750+11692+1326+1320+1632+1633+7*2+9*2+1*2+1135+1131)/2</f>
        <v>15826.5</v>
      </c>
      <c r="L17" s="1393">
        <f>3711.825+3693.5028+418.8834+416.988+447.9462+445.7349+2.2113*2+2.8431*2+0.3159*2+358.5465+357.2829</f>
        <v>9861.4502999999986</v>
      </c>
      <c r="M17" s="1393">
        <v>13641.188399999999</v>
      </c>
      <c r="N17" s="1393">
        <f>J17+L17-M17</f>
        <v>6155.0010000000038</v>
      </c>
      <c r="O17" s="1451"/>
      <c r="P17" s="1463"/>
    </row>
    <row r="18" spans="1:16">
      <c r="A18" s="1448" t="s">
        <v>1315</v>
      </c>
      <c r="B18" s="1453" t="s">
        <v>1324</v>
      </c>
      <c r="C18" s="1252">
        <f>(28330+29179+34617+35309)/2</f>
        <v>63717.5</v>
      </c>
      <c r="D18" s="1393">
        <f>6884.19+7090.497+8411.931+8580.087</f>
        <v>30966.705000000002</v>
      </c>
      <c r="E18" s="1393">
        <f>(30055+30656+35838+36555)/2</f>
        <v>66552</v>
      </c>
      <c r="F18" s="1393">
        <f>9494.3745+9684.23+11321.2242+11547.7245</f>
        <v>42047.553200000002</v>
      </c>
      <c r="G18" s="1457">
        <v>48395.080799999996</v>
      </c>
      <c r="H18" s="1450">
        <f>(D18+F18)-G18</f>
        <v>24619.177400000015</v>
      </c>
      <c r="I18" s="1252">
        <f>(30656+31575+36555+37285)/2</f>
        <v>68035.5</v>
      </c>
      <c r="J18" s="1393">
        <f>9684.2304+9974.5425+11547.7245+11778.3315</f>
        <v>42984.8289</v>
      </c>
      <c r="K18" s="1393">
        <f>(32522+33172+37843+38598)/2</f>
        <v>71067.5</v>
      </c>
      <c r="L18" s="1393">
        <f>10273.6998+10479.0348+11954.6037+12193.1082</f>
        <v>44900.446499999998</v>
      </c>
      <c r="M18" s="1457">
        <v>48395.080799999996</v>
      </c>
      <c r="N18" s="1393">
        <f>J18+L18-M18</f>
        <v>39490.194600000003</v>
      </c>
      <c r="O18" s="1451"/>
      <c r="P18" s="1452"/>
    </row>
    <row r="19" spans="1:16">
      <c r="A19" s="1448" t="s">
        <v>1316</v>
      </c>
      <c r="B19" s="1453" t="s">
        <v>1325</v>
      </c>
      <c r="C19" s="1252">
        <f>(62+63)/2</f>
        <v>62.5</v>
      </c>
      <c r="D19" s="1450">
        <f>15.066+15.309</f>
        <v>30.375</v>
      </c>
      <c r="E19" s="1450">
        <f>(64+65)/2</f>
        <v>64.5</v>
      </c>
      <c r="F19" s="1450">
        <f>20.2176+20.5335</f>
        <v>40.751100000000001</v>
      </c>
      <c r="G19" s="1457">
        <v>33.793199999999999</v>
      </c>
      <c r="H19" s="1450">
        <f>(D19+F19)-G19</f>
        <v>37.332900000000009</v>
      </c>
      <c r="I19" s="1252">
        <f>65+66</f>
        <v>131</v>
      </c>
      <c r="J19" s="1450">
        <f>20.5335+20.8494</f>
        <v>41.382899999999999</v>
      </c>
      <c r="K19" s="1450">
        <f>67+68</f>
        <v>135</v>
      </c>
      <c r="L19" s="1450">
        <f>21.1653+21.4812</f>
        <v>42.646500000000003</v>
      </c>
      <c r="M19" s="1457">
        <v>33.793199999999999</v>
      </c>
      <c r="N19" s="1393">
        <f>J19+L19-M19</f>
        <v>50.236200000000011</v>
      </c>
      <c r="O19" s="1451"/>
      <c r="P19" s="1452"/>
    </row>
    <row r="20" spans="1:16" ht="62.4">
      <c r="A20" s="1448" t="s">
        <v>1326</v>
      </c>
      <c r="B20" s="1453" t="s">
        <v>1327</v>
      </c>
      <c r="C20" s="1252"/>
      <c r="D20" s="1450"/>
      <c r="E20" s="1450"/>
      <c r="F20" s="1450"/>
      <c r="G20" s="1457"/>
      <c r="H20" s="1464">
        <f>(D20+F20)-G20</f>
        <v>0</v>
      </c>
      <c r="I20" s="1252"/>
      <c r="J20" s="1450"/>
      <c r="K20" s="1450"/>
      <c r="L20" s="1450"/>
      <c r="M20" s="1457"/>
      <c r="N20" s="1393"/>
      <c r="O20" s="1451"/>
      <c r="P20" s="1452"/>
    </row>
    <row r="21" spans="1:16">
      <c r="A21" s="1448" t="s">
        <v>1328</v>
      </c>
      <c r="B21" s="1453" t="s">
        <v>1329</v>
      </c>
      <c r="C21" s="1252">
        <f>(1193+1372)/2</f>
        <v>1282.5</v>
      </c>
      <c r="D21" s="1450">
        <f>289.899+333.396</f>
        <v>623.29500000000007</v>
      </c>
      <c r="E21" s="1450">
        <f>(1578+1815)/2</f>
        <v>1696.5</v>
      </c>
      <c r="F21" s="1450">
        <f>498.4902+573.3585</f>
        <v>1071.8487</v>
      </c>
      <c r="G21" s="1457"/>
      <c r="H21" s="1450">
        <f>(D21+F21)-G21</f>
        <v>1695.1437000000001</v>
      </c>
      <c r="I21" s="1252">
        <f>2543+2929</f>
        <v>5472</v>
      </c>
      <c r="J21" s="1450">
        <f>803.3337+925.2711</f>
        <v>1728.6048000000001</v>
      </c>
      <c r="K21" s="1450">
        <f>3369+3876</f>
        <v>7245</v>
      </c>
      <c r="L21" s="1450">
        <f>1064.2671+1224.4284</f>
        <v>2288.6954999999998</v>
      </c>
      <c r="M21" s="1457"/>
      <c r="N21" s="1393">
        <f>J21+L21-M21</f>
        <v>4017.3002999999999</v>
      </c>
      <c r="O21" s="1451"/>
      <c r="P21" s="1452"/>
    </row>
    <row r="22" spans="1:16" ht="31.2">
      <c r="A22" s="1448" t="s">
        <v>1330</v>
      </c>
      <c r="B22" s="1105" t="s">
        <v>1331</v>
      </c>
      <c r="C22" s="1252">
        <f>406</f>
        <v>406</v>
      </c>
      <c r="D22" s="1450">
        <f>98.658+98.658</f>
        <v>197.316</v>
      </c>
      <c r="E22" s="1450">
        <v>406</v>
      </c>
      <c r="F22" s="1450">
        <f>128.2554+128.2554</f>
        <v>256.51080000000002</v>
      </c>
      <c r="G22" s="1457"/>
      <c r="H22" s="1450">
        <f>D22+F22-G22</f>
        <v>453.82680000000005</v>
      </c>
      <c r="I22" s="1450">
        <v>406</v>
      </c>
      <c r="J22" s="1450">
        <f>128.2554+128.2554</f>
        <v>256.51080000000002</v>
      </c>
      <c r="K22" s="1450">
        <v>406</v>
      </c>
      <c r="L22" s="1450">
        <f>128.2554+128.2554</f>
        <v>256.51080000000002</v>
      </c>
      <c r="M22" s="1457"/>
      <c r="N22" s="1393">
        <f>J22+L22-M22</f>
        <v>513.02160000000003</v>
      </c>
      <c r="O22" s="1451"/>
      <c r="P22" s="1452"/>
    </row>
    <row r="23" spans="1:16" s="1232" customFormat="1">
      <c r="A23" s="1465" t="s">
        <v>33</v>
      </c>
      <c r="B23" s="1447" t="s">
        <v>1332</v>
      </c>
      <c r="C23" s="1267">
        <f>SUM(C24,C27,C28,C29)</f>
        <v>302070</v>
      </c>
      <c r="D23" s="1267">
        <f t="shared" ref="D23:N23" si="4">SUM(D24,D27,D28,D29)</f>
        <v>92218.556700000016</v>
      </c>
      <c r="E23" s="1267">
        <f t="shared" si="4"/>
        <v>16722</v>
      </c>
      <c r="F23" s="1267">
        <f t="shared" si="4"/>
        <v>1833.5460300000002</v>
      </c>
      <c r="G23" s="1267">
        <f t="shared" si="4"/>
        <v>101038.04729999999</v>
      </c>
      <c r="H23" s="1267">
        <f t="shared" si="4"/>
        <v>-6985.9445699999824</v>
      </c>
      <c r="I23" s="1267">
        <f t="shared" si="4"/>
        <v>321337</v>
      </c>
      <c r="J23" s="1267">
        <f t="shared" si="4"/>
        <v>81967.61146</v>
      </c>
      <c r="K23" s="1267">
        <f t="shared" si="4"/>
        <v>281781</v>
      </c>
      <c r="L23" s="1267">
        <f t="shared" si="4"/>
        <v>51253.791704000003</v>
      </c>
      <c r="M23" s="1267">
        <f t="shared" si="4"/>
        <v>101038.04729999999</v>
      </c>
      <c r="N23" s="1267">
        <f t="shared" si="4"/>
        <v>32183.355864000012</v>
      </c>
      <c r="O23" s="1451"/>
      <c r="P23" s="1445"/>
    </row>
    <row r="24" spans="1:16">
      <c r="A24" s="1448" t="s">
        <v>1312</v>
      </c>
      <c r="B24" s="1453" t="s">
        <v>1333</v>
      </c>
      <c r="C24" s="1252">
        <f>C25+C26</f>
        <v>29607</v>
      </c>
      <c r="D24" s="1252">
        <f t="shared" ref="D24:N24" si="5">D25+D26</f>
        <v>19590.303599999999</v>
      </c>
      <c r="E24" s="1252">
        <f t="shared" si="5"/>
        <v>732</v>
      </c>
      <c r="F24" s="1252">
        <f t="shared" si="5"/>
        <v>269.77859999999998</v>
      </c>
      <c r="G24" s="1252">
        <f t="shared" si="5"/>
        <v>37792.625219999994</v>
      </c>
      <c r="H24" s="1252">
        <f t="shared" si="5"/>
        <v>-17932.543019999994</v>
      </c>
      <c r="I24" s="1252">
        <f t="shared" si="5"/>
        <v>33070</v>
      </c>
      <c r="J24" s="1252">
        <f t="shared" si="5"/>
        <v>28445.86836</v>
      </c>
      <c r="K24" s="1252">
        <f t="shared" si="5"/>
        <v>820</v>
      </c>
      <c r="L24" s="1252">
        <f t="shared" si="5"/>
        <v>302.21100000000001</v>
      </c>
      <c r="M24" s="1252">
        <f t="shared" si="5"/>
        <v>37792.625219999994</v>
      </c>
      <c r="N24" s="1252">
        <f t="shared" si="5"/>
        <v>-9044.5458599999947</v>
      </c>
      <c r="O24" s="1451"/>
      <c r="P24" s="1452"/>
    </row>
    <row r="25" spans="1:16" s="1277" customFormat="1">
      <c r="A25" s="1454"/>
      <c r="B25" s="1466" t="s">
        <v>1334</v>
      </c>
      <c r="C25" s="1456"/>
      <c r="D25" s="1457"/>
      <c r="E25" s="1457"/>
      <c r="F25" s="1457"/>
      <c r="G25" s="1457"/>
      <c r="H25" s="1464">
        <f t="shared" ref="H25:H29" si="6">(D25+F25)-G25</f>
        <v>0</v>
      </c>
      <c r="I25" s="1456"/>
      <c r="J25" s="1457"/>
      <c r="K25" s="1457"/>
      <c r="L25" s="1457"/>
      <c r="M25" s="1457"/>
      <c r="N25" s="1457"/>
      <c r="O25" s="1451"/>
      <c r="P25" s="1467"/>
    </row>
    <row r="26" spans="1:16" s="1277" customFormat="1">
      <c r="A26" s="1454"/>
      <c r="B26" s="1466" t="s">
        <v>1335</v>
      </c>
      <c r="C26" s="1456">
        <f>27163+2444</f>
        <v>29607</v>
      </c>
      <c r="D26" s="1457">
        <f>(23762.1924+1425.3408)/9*7</f>
        <v>19590.303599999999</v>
      </c>
      <c r="E26" s="1457">
        <v>732</v>
      </c>
      <c r="F26" s="1457">
        <f>346.8582/9*7</f>
        <v>269.77859999999998</v>
      </c>
      <c r="G26" s="1457">
        <v>37792.625219999994</v>
      </c>
      <c r="H26" s="1450">
        <f t="shared" si="6"/>
        <v>-17932.543019999994</v>
      </c>
      <c r="I26" s="1456">
        <f>30339+2731</f>
        <v>33070</v>
      </c>
      <c r="J26" s="1457">
        <f>(34502.72436+2070.53496)/9*7</f>
        <v>28445.86836</v>
      </c>
      <c r="K26" s="1457">
        <v>820</v>
      </c>
      <c r="L26" s="1457">
        <f>388.557/9*7</f>
        <v>302.21100000000001</v>
      </c>
      <c r="M26" s="1457">
        <v>37792.625219999994</v>
      </c>
      <c r="N26" s="1457">
        <f>J26+L26-M26</f>
        <v>-9044.5458599999947</v>
      </c>
      <c r="O26" s="1451"/>
      <c r="P26" s="1467"/>
    </row>
    <row r="27" spans="1:16">
      <c r="A27" s="1448" t="s">
        <v>1313</v>
      </c>
      <c r="B27" s="1453" t="s">
        <v>1336</v>
      </c>
      <c r="C27" s="1252">
        <f>242856+10928+10170+1017</f>
        <v>264971</v>
      </c>
      <c r="D27" s="1450">
        <f>90488.1456+2832.5376+1691.28+126.846-E55-E57-E58-E59</f>
        <v>70745.975100000011</v>
      </c>
      <c r="E27" s="1450">
        <f>2185+12348+152+1119</f>
        <v>15804</v>
      </c>
      <c r="F27" s="1450">
        <f>460.161+1560.29228+13.689+60.46326-H54-H56-H57</f>
        <v>1546.14021</v>
      </c>
      <c r="G27" s="1393">
        <v>62088.246359999997</v>
      </c>
      <c r="H27" s="1450">
        <f t="shared" si="6"/>
        <v>10203.868950000011</v>
      </c>
      <c r="I27" s="1252">
        <f>268317+12458</f>
        <v>280775</v>
      </c>
      <c r="J27" s="1450">
        <f>(101713.60836+119.04416)/2</f>
        <v>50916.326260000002</v>
      </c>
      <c r="K27" s="1252">
        <f>268317+12458</f>
        <v>280775</v>
      </c>
      <c r="L27" s="1450">
        <f>(101713.60836+119.04416)/2</f>
        <v>50916.326260000002</v>
      </c>
      <c r="M27" s="1393">
        <v>62088.246359999997</v>
      </c>
      <c r="N27" s="1393">
        <f>J27+L27-M27</f>
        <v>39744.406160000006</v>
      </c>
      <c r="O27" s="1451">
        <f>I27*1.49*12*4.5%*30%</f>
        <v>67773.469499999992</v>
      </c>
      <c r="P27" s="1452"/>
    </row>
    <row r="28" spans="1:16" ht="31.2">
      <c r="A28" s="1448" t="s">
        <v>1314</v>
      </c>
      <c r="B28" s="1453" t="s">
        <v>1337</v>
      </c>
      <c r="C28" s="1252">
        <f>6873+619</f>
        <v>7492</v>
      </c>
      <c r="D28" s="1450">
        <f>1837.1529+45.1251</f>
        <v>1882.278</v>
      </c>
      <c r="E28" s="1450">
        <f>186</f>
        <v>186</v>
      </c>
      <c r="F28" s="1450">
        <v>17.627220000000001</v>
      </c>
      <c r="G28" s="1393">
        <v>1157.17572</v>
      </c>
      <c r="H28" s="1450">
        <f t="shared" si="6"/>
        <v>742.72950000000014</v>
      </c>
      <c r="I28" s="1252">
        <f>6873+619</f>
        <v>7492</v>
      </c>
      <c r="J28" s="1450">
        <f>2605.41684</f>
        <v>2605.4168399999999</v>
      </c>
      <c r="K28" s="1450">
        <f>186</f>
        <v>186</v>
      </c>
      <c r="L28" s="1450">
        <v>35.254443999999999</v>
      </c>
      <c r="M28" s="1393">
        <v>1157.17572</v>
      </c>
      <c r="N28" s="1393">
        <f>J28+L28-M28</f>
        <v>1483.4955640000001</v>
      </c>
      <c r="O28" s="1451"/>
      <c r="P28" s="1452"/>
    </row>
    <row r="29" spans="1:16" ht="62.4">
      <c r="A29" s="1448" t="s">
        <v>1315</v>
      </c>
      <c r="B29" s="1468" t="s">
        <v>1084</v>
      </c>
      <c r="C29" s="1252"/>
      <c r="D29" s="1450"/>
      <c r="E29" s="1450"/>
      <c r="F29" s="1450"/>
      <c r="G29" s="1393"/>
      <c r="H29" s="1464">
        <f t="shared" si="6"/>
        <v>0</v>
      </c>
      <c r="I29" s="1252"/>
      <c r="J29" s="1450"/>
      <c r="K29" s="1450"/>
      <c r="L29" s="1450"/>
      <c r="M29" s="1393"/>
      <c r="N29" s="1393"/>
      <c r="O29" s="1451"/>
      <c r="P29" s="1452"/>
    </row>
    <row r="30" spans="1:16">
      <c r="A30" s="1448"/>
      <c r="B30" s="1469" t="s">
        <v>1111</v>
      </c>
      <c r="C30" s="1252"/>
      <c r="D30" s="1450"/>
      <c r="E30" s="1450"/>
      <c r="F30" s="1450"/>
      <c r="G30" s="1393"/>
      <c r="H30" s="1393"/>
      <c r="I30" s="1252"/>
      <c r="J30" s="1450"/>
      <c r="K30" s="1450"/>
      <c r="L30" s="1450"/>
      <c r="M30" s="1393"/>
      <c r="N30" s="1393"/>
      <c r="O30" s="1451"/>
      <c r="P30" s="1452"/>
    </row>
    <row r="31" spans="1:16">
      <c r="A31" s="1470"/>
      <c r="B31" s="1471"/>
      <c r="C31" s="1472"/>
      <c r="D31" s="1473"/>
      <c r="E31" s="1473"/>
      <c r="F31" s="1473"/>
      <c r="G31" s="1473"/>
      <c r="H31" s="1473"/>
      <c r="I31" s="1472"/>
      <c r="J31" s="1473"/>
      <c r="K31" s="1473"/>
      <c r="L31" s="1473"/>
      <c r="M31" s="1473"/>
      <c r="N31" s="1473"/>
      <c r="O31" s="1451"/>
      <c r="P31" s="1474"/>
    </row>
    <row r="32" spans="1:16">
      <c r="B32" s="1475"/>
      <c r="O32" s="1451"/>
    </row>
    <row r="33" spans="1:16" s="1232" customFormat="1" hidden="1">
      <c r="A33" s="6146" t="s">
        <v>1338</v>
      </c>
      <c r="B33" s="6148"/>
      <c r="C33" s="6146" t="s">
        <v>1339</v>
      </c>
      <c r="D33" s="6146"/>
      <c r="E33" s="1432"/>
      <c r="F33" s="1432"/>
      <c r="G33" s="6146" t="s">
        <v>1340</v>
      </c>
      <c r="H33" s="6146"/>
      <c r="I33" s="6146" t="s">
        <v>1339</v>
      </c>
      <c r="J33" s="6146"/>
      <c r="K33" s="1432"/>
      <c r="L33" s="1432"/>
      <c r="M33" s="6146" t="s">
        <v>1340</v>
      </c>
      <c r="N33" s="6146"/>
      <c r="O33" s="1451"/>
      <c r="P33" s="1432"/>
    </row>
    <row r="34" spans="1:16" s="1232" customFormat="1" hidden="1">
      <c r="A34" s="6148"/>
      <c r="B34" s="6148"/>
      <c r="C34" s="6148"/>
      <c r="D34" s="6148"/>
      <c r="E34" s="6148"/>
      <c r="F34" s="6148"/>
      <c r="G34" s="6148"/>
      <c r="H34" s="6148"/>
      <c r="I34" s="6148"/>
      <c r="J34" s="6148"/>
      <c r="K34" s="6148"/>
      <c r="L34" s="6148"/>
      <c r="M34" s="6148"/>
      <c r="N34" s="6148"/>
      <c r="O34" s="1451"/>
      <c r="P34" s="1279"/>
    </row>
    <row r="35" spans="1:16" s="1232" customFormat="1" hidden="1">
      <c r="A35" s="1279"/>
      <c r="B35" s="1279"/>
      <c r="C35" s="1476"/>
      <c r="D35" s="1445"/>
      <c r="E35" s="1445"/>
      <c r="F35" s="1445"/>
      <c r="G35" s="1445"/>
      <c r="H35" s="1445"/>
      <c r="I35" s="1476"/>
      <c r="J35" s="1445"/>
      <c r="K35" s="1445"/>
      <c r="L35" s="1445"/>
      <c r="M35" s="1445"/>
      <c r="N35" s="1445"/>
      <c r="O35" s="1477"/>
      <c r="P35" s="1445"/>
    </row>
    <row r="36" spans="1:16" s="1232" customFormat="1" hidden="1">
      <c r="A36" s="1279"/>
      <c r="B36" s="1279"/>
      <c r="C36" s="1476"/>
      <c r="D36" s="1445"/>
      <c r="E36" s="1445"/>
      <c r="F36" s="1445"/>
      <c r="G36" s="1445"/>
      <c r="H36" s="1445"/>
      <c r="I36" s="1476"/>
      <c r="J36" s="1445"/>
      <c r="K36" s="1445"/>
      <c r="L36" s="1445"/>
      <c r="M36" s="1445"/>
      <c r="N36" s="1445"/>
      <c r="O36" s="1477"/>
      <c r="P36" s="1445"/>
    </row>
    <row r="37" spans="1:16" s="1232" customFormat="1" hidden="1">
      <c r="A37" s="6148"/>
      <c r="B37" s="6148"/>
      <c r="C37" s="1478"/>
      <c r="D37" s="1279"/>
      <c r="E37" s="1279"/>
      <c r="F37" s="1279"/>
      <c r="G37" s="1279"/>
      <c r="H37" s="1279"/>
      <c r="I37" s="1478"/>
      <c r="J37" s="1279"/>
      <c r="K37" s="1279"/>
      <c r="L37" s="1279"/>
      <c r="M37" s="1279"/>
      <c r="N37" s="1279"/>
      <c r="O37" s="1278"/>
      <c r="P37" s="1279"/>
    </row>
    <row r="38" spans="1:16" s="1232" customFormat="1" hidden="1">
      <c r="A38" s="1279"/>
      <c r="B38" s="1279"/>
      <c r="C38" s="1479"/>
      <c r="I38" s="1479"/>
      <c r="O38" s="1477"/>
    </row>
    <row r="39" spans="1:16" hidden="1">
      <c r="G39" s="6150"/>
      <c r="H39" s="6150"/>
      <c r="M39" s="6150"/>
      <c r="N39" s="6150"/>
      <c r="O39" s="1480"/>
    </row>
    <row r="40" spans="1:16" hidden="1">
      <c r="G40" s="6148"/>
      <c r="H40" s="6148"/>
      <c r="M40" s="6148"/>
      <c r="N40" s="6148"/>
      <c r="O40" s="1278"/>
    </row>
    <row r="41" spans="1:16" hidden="1">
      <c r="G41" s="6148"/>
      <c r="H41" s="6148"/>
      <c r="M41" s="6148"/>
      <c r="N41" s="6148"/>
      <c r="O41" s="1278"/>
    </row>
    <row r="42" spans="1:16" hidden="1"/>
    <row r="43" spans="1:16" hidden="1">
      <c r="A43" s="1315"/>
      <c r="B43" s="6149" t="s">
        <v>1341</v>
      </c>
      <c r="C43" s="6149"/>
      <c r="D43" s="6149"/>
      <c r="E43" s="6149"/>
      <c r="F43" s="6149"/>
      <c r="G43" s="6149"/>
      <c r="H43" s="6149"/>
      <c r="I43" s="6149"/>
      <c r="J43" s="6149"/>
      <c r="K43" s="1481"/>
      <c r="L43" s="1481"/>
      <c r="M43" s="6148" t="s">
        <v>1342</v>
      </c>
      <c r="N43" s="6148"/>
      <c r="O43" s="1482"/>
    </row>
    <row r="44" spans="1:16" hidden="1">
      <c r="B44" s="6147" t="s">
        <v>1343</v>
      </c>
      <c r="C44" s="6147"/>
      <c r="D44" s="6147"/>
      <c r="E44" s="6147"/>
      <c r="F44" s="6147"/>
      <c r="G44" s="6147"/>
      <c r="H44" s="6147"/>
      <c r="I44" s="6147"/>
      <c r="J44" s="6147"/>
      <c r="K44" s="1483"/>
      <c r="L44" s="1483"/>
      <c r="M44" s="6148" t="s">
        <v>1344</v>
      </c>
      <c r="N44" s="6148"/>
      <c r="O44" s="1278"/>
    </row>
    <row r="45" spans="1:16" hidden="1">
      <c r="G45" s="6148" t="s">
        <v>1345</v>
      </c>
      <c r="H45" s="6148"/>
      <c r="M45" s="6148" t="s">
        <v>1345</v>
      </c>
      <c r="N45" s="6148"/>
      <c r="O45" s="1278"/>
    </row>
    <row r="46" spans="1:16" hidden="1"/>
    <row r="47" spans="1:16" hidden="1"/>
    <row r="48" spans="1:16" hidden="1">
      <c r="C48" s="6148"/>
      <c r="D48" s="6148"/>
      <c r="E48" s="1279"/>
      <c r="F48" s="1279"/>
      <c r="G48" s="6148" t="s">
        <v>1346</v>
      </c>
      <c r="H48" s="6148"/>
      <c r="I48" s="6148"/>
      <c r="J48" s="6148"/>
      <c r="K48" s="1279"/>
      <c r="L48" s="1279"/>
      <c r="M48" s="6148" t="s">
        <v>1346</v>
      </c>
      <c r="N48" s="6148"/>
      <c r="O48" s="1278"/>
    </row>
    <row r="49" spans="1:14" hidden="1">
      <c r="A49" s="1279" t="s">
        <v>1112</v>
      </c>
      <c r="B49" s="1232" t="s">
        <v>1347</v>
      </c>
    </row>
    <row r="50" spans="1:14">
      <c r="E50" s="6128"/>
      <c r="F50" s="6128"/>
      <c r="G50" s="6128"/>
      <c r="H50" s="6128"/>
      <c r="K50" s="6128"/>
      <c r="L50" s="6128"/>
      <c r="M50" s="6128"/>
      <c r="N50" s="6128"/>
    </row>
    <row r="51" spans="1:14">
      <c r="E51" s="6121"/>
      <c r="F51" s="6121"/>
      <c r="G51" s="6121"/>
      <c r="H51" s="6121"/>
      <c r="K51" s="6121"/>
      <c r="L51" s="6121"/>
      <c r="M51" s="6121"/>
      <c r="N51" s="6121"/>
    </row>
    <row r="52" spans="1:14">
      <c r="E52" s="6121"/>
      <c r="F52" s="6121"/>
      <c r="G52" s="6121"/>
      <c r="H52" s="6121"/>
      <c r="K52" s="6121"/>
      <c r="L52" s="6121"/>
      <c r="M52" s="6121"/>
      <c r="N52" s="6121"/>
    </row>
    <row r="53" spans="1:14">
      <c r="E53" s="6127"/>
      <c r="F53" s="6127"/>
      <c r="G53" s="6127"/>
      <c r="H53" s="6127"/>
      <c r="K53" s="6127"/>
      <c r="L53" s="6127"/>
      <c r="M53" s="6127"/>
      <c r="N53" s="6127"/>
    </row>
    <row r="54" spans="1:14">
      <c r="D54" s="1485">
        <f>90488.1456+2832.5376</f>
        <v>93320.683199999999</v>
      </c>
      <c r="E54" s="1486"/>
      <c r="F54" s="1485">
        <f>460.161+1560.29228</f>
        <v>2020.4532799999999</v>
      </c>
      <c r="G54" s="1486">
        <f>F54/4*3</f>
        <v>1515.33996</v>
      </c>
      <c r="H54" s="1485">
        <f>F54-G54</f>
        <v>505.11331999999993</v>
      </c>
      <c r="I54" s="1487"/>
    </row>
    <row r="55" spans="1:14">
      <c r="D55" s="1486">
        <f>D54/4*3</f>
        <v>69990.512400000007</v>
      </c>
      <c r="E55" s="1485">
        <f>D54-D55</f>
        <v>23330.170799999993</v>
      </c>
      <c r="F55" s="1486"/>
      <c r="G55" s="1486"/>
      <c r="H55" s="1486"/>
      <c r="I55" s="1487"/>
    </row>
    <row r="56" spans="1:14">
      <c r="D56" s="1486">
        <f>1691.28+126.846</f>
        <v>1818.126</v>
      </c>
      <c r="E56" s="1486"/>
      <c r="F56" s="1486">
        <f>13.689+60.46326</f>
        <v>74.152259999999998</v>
      </c>
      <c r="G56" s="1486">
        <f>F56-H56</f>
        <v>41.067</v>
      </c>
      <c r="H56" s="1486">
        <f>6.1074+26.97786</f>
        <v>33.085259999999998</v>
      </c>
      <c r="I56" s="1487"/>
    </row>
    <row r="57" spans="1:14">
      <c r="D57" s="1486">
        <f>1691.28</f>
        <v>1691.28</v>
      </c>
      <c r="E57" s="1486">
        <f>754.272</f>
        <v>754.27200000000005</v>
      </c>
      <c r="F57" s="1486">
        <f>D57-E57</f>
        <v>937.00799999999992</v>
      </c>
      <c r="G57" s="1486">
        <f>G56/4*3</f>
        <v>30.800249999999998</v>
      </c>
      <c r="H57" s="1486">
        <f>G56-G57</f>
        <v>10.266750000000002</v>
      </c>
      <c r="I57" s="1487"/>
    </row>
    <row r="58" spans="1:14">
      <c r="D58" s="1486">
        <v>126.846</v>
      </c>
      <c r="E58" s="1486">
        <v>56.570399999999999</v>
      </c>
      <c r="F58" s="1486">
        <f>D58-E58</f>
        <v>70.275599999999997</v>
      </c>
      <c r="G58" s="1486"/>
      <c r="H58" s="1486"/>
      <c r="I58" s="1487"/>
    </row>
    <row r="59" spans="1:14">
      <c r="D59" s="1486"/>
      <c r="E59" s="1486">
        <f>F59/4*1</f>
        <v>251.82089999999999</v>
      </c>
      <c r="F59" s="1486">
        <f>F57+F58</f>
        <v>1007.2836</v>
      </c>
      <c r="G59" s="1486"/>
      <c r="H59" s="1486"/>
      <c r="I59" s="1487"/>
    </row>
  </sheetData>
  <mergeCells count="58">
    <mergeCell ref="A1:B1"/>
    <mergeCell ref="M1:N1"/>
    <mergeCell ref="A2:N2"/>
    <mergeCell ref="M4:N4"/>
    <mergeCell ref="C5:H5"/>
    <mergeCell ref="I5:N5"/>
    <mergeCell ref="I6:J7"/>
    <mergeCell ref="K6:L7"/>
    <mergeCell ref="M6:M9"/>
    <mergeCell ref="N6:N9"/>
    <mergeCell ref="C8:C9"/>
    <mergeCell ref="D8:D9"/>
    <mergeCell ref="E8:E9"/>
    <mergeCell ref="F8:F9"/>
    <mergeCell ref="I8:I9"/>
    <mergeCell ref="J8:J9"/>
    <mergeCell ref="C6:D7"/>
    <mergeCell ref="E6:F7"/>
    <mergeCell ref="G6:G9"/>
    <mergeCell ref="H6:H9"/>
    <mergeCell ref="G39:H39"/>
    <mergeCell ref="M39:N39"/>
    <mergeCell ref="K8:K9"/>
    <mergeCell ref="L8:L9"/>
    <mergeCell ref="A33:B33"/>
    <mergeCell ref="C33:D33"/>
    <mergeCell ref="G33:H33"/>
    <mergeCell ref="I33:J33"/>
    <mergeCell ref="M33:N33"/>
    <mergeCell ref="A34:B34"/>
    <mergeCell ref="C34:H34"/>
    <mergeCell ref="I34:N34"/>
    <mergeCell ref="A37:B37"/>
    <mergeCell ref="G48:H48"/>
    <mergeCell ref="I48:J48"/>
    <mergeCell ref="M48:N48"/>
    <mergeCell ref="G40:H40"/>
    <mergeCell ref="M40:N40"/>
    <mergeCell ref="G41:H41"/>
    <mergeCell ref="M41:N41"/>
    <mergeCell ref="B43:J43"/>
    <mergeCell ref="M43:N43"/>
    <mergeCell ref="E53:H53"/>
    <mergeCell ref="K53:N53"/>
    <mergeCell ref="B5:B9"/>
    <mergeCell ref="A5:A9"/>
    <mergeCell ref="A3:N3"/>
    <mergeCell ref="E50:H50"/>
    <mergeCell ref="K50:N50"/>
    <mergeCell ref="E51:H51"/>
    <mergeCell ref="K51:N51"/>
    <mergeCell ref="E52:H52"/>
    <mergeCell ref="K52:N52"/>
    <mergeCell ref="B44:J44"/>
    <mergeCell ref="M44:N44"/>
    <mergeCell ref="G45:H45"/>
    <mergeCell ref="M45:N45"/>
    <mergeCell ref="C48:D48"/>
  </mergeCells>
  <hyperlinks>
    <hyperlink ref="A5:A9"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M21"/>
  <sheetViews>
    <sheetView topLeftCell="A10" workbookViewId="0">
      <selection activeCell="K24" sqref="K24"/>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080" t="s">
        <v>3172</v>
      </c>
      <c r="B1" s="6080"/>
      <c r="C1" s="6080"/>
      <c r="D1" s="6080"/>
      <c r="E1" s="6080"/>
      <c r="F1" s="6080"/>
      <c r="G1" s="6080"/>
      <c r="H1" s="6080"/>
      <c r="I1" s="6080"/>
      <c r="J1" s="6080"/>
      <c r="K1" s="6080"/>
    </row>
    <row r="2" spans="1:13">
      <c r="A2" s="6522" t="str">
        <f>+'Phụ lục 9-HĐND'!A2:V2</f>
        <v>(Kèm theo Nghị quyết số         /NQ-HĐND ngày     /12/2024 của Hội đồng nhân dân Tỉnh)</v>
      </c>
      <c r="B2" s="6258"/>
      <c r="C2" s="6258"/>
      <c r="D2" s="6258"/>
      <c r="E2" s="6258"/>
      <c r="F2" s="6258"/>
      <c r="G2" s="6258"/>
      <c r="H2" s="6258"/>
      <c r="I2" s="6258"/>
      <c r="J2" s="6258"/>
      <c r="K2" s="6258"/>
    </row>
    <row r="4" spans="1:13" ht="18.600000000000001" thickBot="1">
      <c r="J4" s="6572" t="s">
        <v>638</v>
      </c>
      <c r="K4" s="6572"/>
    </row>
    <row r="5" spans="1:13" ht="18.600000000000001" thickTop="1">
      <c r="A5" s="6561" t="s">
        <v>136</v>
      </c>
      <c r="B5" s="6569" t="s">
        <v>3137</v>
      </c>
      <c r="C5" s="6085" t="s">
        <v>54</v>
      </c>
      <c r="D5" s="6503" t="s">
        <v>186</v>
      </c>
      <c r="E5" s="6503"/>
      <c r="F5" s="6503"/>
      <c r="G5" s="6503"/>
      <c r="H5" s="6503"/>
      <c r="I5" s="6503"/>
      <c r="J5" s="6503"/>
      <c r="K5" s="6573"/>
    </row>
    <row r="6" spans="1:13" ht="305.25" customHeight="1">
      <c r="A6" s="6562"/>
      <c r="B6" s="6293"/>
      <c r="C6" s="6086"/>
      <c r="D6" s="4852" t="s">
        <v>805</v>
      </c>
      <c r="E6" s="5871" t="str">
        <f>+'Phụ lục số 10'!E6</f>
        <v>Kinh phí hỗ trợ địa phương sản xuất lúa</v>
      </c>
      <c r="F6" s="4853" t="s">
        <v>807</v>
      </c>
      <c r="G6" s="4853" t="s">
        <v>3254</v>
      </c>
      <c r="H6" s="2762" t="s">
        <v>3156</v>
      </c>
      <c r="I6" s="2762" t="s">
        <v>3155</v>
      </c>
      <c r="J6" s="5152" t="s">
        <v>3223</v>
      </c>
      <c r="K6" s="5170" t="s">
        <v>3234</v>
      </c>
    </row>
    <row r="7" spans="1:13">
      <c r="A7" s="4854">
        <v>1</v>
      </c>
      <c r="B7" s="2738">
        <v>2</v>
      </c>
      <c r="C7" s="2738" t="s">
        <v>3255</v>
      </c>
      <c r="D7" s="2738">
        <v>4</v>
      </c>
      <c r="E7" s="2738">
        <v>5</v>
      </c>
      <c r="F7" s="2738">
        <v>6</v>
      </c>
      <c r="G7" s="2738">
        <v>7</v>
      </c>
      <c r="H7" s="2738">
        <v>8</v>
      </c>
      <c r="I7" s="2738">
        <v>9</v>
      </c>
      <c r="J7" s="2738">
        <v>10</v>
      </c>
      <c r="K7" s="2739">
        <v>11</v>
      </c>
    </row>
    <row r="8" spans="1:13" ht="36" customHeight="1">
      <c r="A8" s="4855">
        <v>1</v>
      </c>
      <c r="B8" s="388" t="s">
        <v>811</v>
      </c>
      <c r="C8" s="4856">
        <f>SUM(D8:K8)</f>
        <v>59762.99</v>
      </c>
      <c r="D8" s="4856">
        <f>+'Phụ lục số 10'!D8</f>
        <v>14893.36</v>
      </c>
      <c r="E8" s="4856">
        <f>+'Phụ lục số 10'!E8</f>
        <v>15250</v>
      </c>
      <c r="F8" s="4856">
        <f>+'Phụ lục số 10'!F8</f>
        <v>24715</v>
      </c>
      <c r="G8" s="4856">
        <f>+'Phụ lục số 10'!G8</f>
        <v>1229</v>
      </c>
      <c r="H8" s="4856">
        <f>+'Phụ lục số 10'!H8</f>
        <v>986.43</v>
      </c>
      <c r="I8" s="4856">
        <f>+'Phụ lục số 10'!I8</f>
        <v>0</v>
      </c>
      <c r="J8" s="4857">
        <f>+'Phụ lục số 10'!J8</f>
        <v>0</v>
      </c>
      <c r="K8" s="5188">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58">
        <f t="shared" si="0"/>
        <v>82476.471999999994</v>
      </c>
      <c r="D19" s="4858">
        <f>+'Phụ lục số 10'!D19</f>
        <v>12728.220000000001</v>
      </c>
      <c r="E19" s="4858">
        <f>+'Phụ lục số 10'!E19</f>
        <v>16750</v>
      </c>
      <c r="F19" s="4858">
        <f>+'Phụ lục số 10'!F19</f>
        <v>25747</v>
      </c>
      <c r="G19" s="4858">
        <f>+'Phụ lục số 10'!G19</f>
        <v>859</v>
      </c>
      <c r="H19" s="4858">
        <f>+'Phụ lục số 10'!H19</f>
        <v>948.78</v>
      </c>
      <c r="I19" s="4858">
        <f>+'Phụ lục số 10'!I19</f>
        <v>22450</v>
      </c>
      <c r="J19" s="4859">
        <f>+'Phụ lục số 10'!J19</f>
        <v>0</v>
      </c>
      <c r="K19" s="5189">
        <f>+'Phụ lục số 10'!K19</f>
        <v>2993.4720000000002</v>
      </c>
    </row>
    <row r="20" spans="1:11" ht="36" customHeight="1" thickBot="1">
      <c r="A20" s="6570" t="s">
        <v>1538</v>
      </c>
      <c r="B20" s="6571"/>
      <c r="C20" s="5393">
        <f>SUM(C8:C19)</f>
        <v>965959.90700000001</v>
      </c>
      <c r="D20" s="5393">
        <f t="shared" ref="D20:H20" si="1">SUM(D8:D19)</f>
        <v>211211.59</v>
      </c>
      <c r="E20" s="5393">
        <f t="shared" si="1"/>
        <v>265647</v>
      </c>
      <c r="F20" s="5394">
        <f>SUM(F8:F19)</f>
        <v>293472.76800000004</v>
      </c>
      <c r="G20" s="5394">
        <f>SUM(G8:G19)</f>
        <v>11626</v>
      </c>
      <c r="H20" s="5394">
        <f t="shared" si="1"/>
        <v>11295</v>
      </c>
      <c r="I20" s="5393">
        <f>SUM(I8:I19)</f>
        <v>129670</v>
      </c>
      <c r="J20" s="5393">
        <f>SUM(J8:J19)</f>
        <v>852</v>
      </c>
      <c r="K20" s="5395">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dimension ref="A1:H143"/>
  <sheetViews>
    <sheetView topLeftCell="A123" workbookViewId="0">
      <selection activeCell="E137" sqref="E137"/>
    </sheetView>
  </sheetViews>
  <sheetFormatPr defaultColWidth="10" defaultRowHeight="18"/>
  <cols>
    <col min="1" max="1" width="6.5546875" style="381" customWidth="1"/>
    <col min="2" max="2" width="113.6640625" style="381" customWidth="1"/>
    <col min="3" max="3" width="29.44140625" style="381" customWidth="1"/>
    <col min="4" max="4" width="10" style="381"/>
    <col min="5" max="5" width="11.44140625" style="381" bestFit="1" customWidth="1"/>
    <col min="6" max="6" width="25.44140625" style="381" bestFit="1" customWidth="1"/>
    <col min="7" max="8" width="22.109375" style="381" bestFit="1" customWidth="1"/>
    <col min="9" max="16384" width="10" style="381"/>
  </cols>
  <sheetData>
    <row r="1" spans="1:3">
      <c r="A1" s="6281" t="s">
        <v>1807</v>
      </c>
      <c r="B1" s="6281"/>
      <c r="C1" s="6281"/>
    </row>
    <row r="2" spans="1:3">
      <c r="A2" s="6281" t="s">
        <v>3202</v>
      </c>
      <c r="B2" s="6281"/>
      <c r="C2" s="6281"/>
    </row>
    <row r="3" spans="1:3">
      <c r="A3" s="6281" t="s">
        <v>1808</v>
      </c>
      <c r="B3" s="6281"/>
      <c r="C3" s="6281"/>
    </row>
    <row r="4" spans="1:3">
      <c r="A4" s="6498" t="s">
        <v>3200</v>
      </c>
      <c r="B4" s="6498"/>
      <c r="C4" s="6498"/>
    </row>
    <row r="5" spans="1:3">
      <c r="A5" s="2891"/>
      <c r="B5" s="2891"/>
    </row>
    <row r="6" spans="1:3" ht="18.600000000000001" thickBot="1">
      <c r="A6" s="2891"/>
      <c r="B6" s="2891"/>
      <c r="C6" s="681" t="s">
        <v>638</v>
      </c>
    </row>
    <row r="7" spans="1:3" s="380" customFormat="1" thickTop="1">
      <c r="A7" s="3043" t="s">
        <v>247</v>
      </c>
      <c r="B7" s="2618" t="s">
        <v>137</v>
      </c>
      <c r="C7" s="2619" t="s">
        <v>1455</v>
      </c>
    </row>
    <row r="8" spans="1:3">
      <c r="A8" s="5023" t="s">
        <v>3</v>
      </c>
      <c r="B8" s="694" t="s">
        <v>783</v>
      </c>
      <c r="C8" s="5024">
        <f>C10+C16+C19+C20+C21+C22+C26+C29+C32+C36</f>
        <v>4493400</v>
      </c>
    </row>
    <row r="9" spans="1:3">
      <c r="A9" s="5025"/>
      <c r="B9" s="697" t="s">
        <v>784</v>
      </c>
      <c r="C9" s="5026">
        <f>C8-C29</f>
        <v>2893400</v>
      </c>
    </row>
    <row r="10" spans="1:3">
      <c r="A10" s="5027">
        <v>1</v>
      </c>
      <c r="B10" s="701" t="s">
        <v>1477</v>
      </c>
      <c r="C10" s="5028">
        <f>SUM(C11:C15)</f>
        <v>1550000</v>
      </c>
    </row>
    <row r="11" spans="1:3">
      <c r="A11" s="5029" t="s">
        <v>29</v>
      </c>
      <c r="B11" s="704" t="s">
        <v>786</v>
      </c>
      <c r="C11" s="5032">
        <f>+'H. HỒNG NGỰ'!C11+'TP.  HỒNG NGỰ'!C11+'H. TÂN HỒNG'!C11+'H. TAM NÔNG'!C11+'H. THANH BÌNH'!C11+'TP. CAO LÃNH'!C11+'H. CAO LÃNH'!C11+'H. THÁP MƯỜI'!C11+'H. LẤP VÒ'!C11+'H. LAI VUNG'!C11+'TP. SA ĐÉC'!C11+'H. CHÂU THÀNH'!C11</f>
        <v>757000</v>
      </c>
    </row>
    <row r="12" spans="1:3">
      <c r="A12" s="5029" t="s">
        <v>29</v>
      </c>
      <c r="B12" s="704" t="s">
        <v>787</v>
      </c>
      <c r="C12" s="5032">
        <f>+'H. HỒNG NGỰ'!C12+'TP.  HỒNG NGỰ'!C12+'H. TÂN HỒNG'!C12+'H. TAM NÔNG'!C12+'H. THANH BÌNH'!C12+'TP. CAO LÃNH'!C12+'H. CAO LÃNH'!C12+'H. THÁP MƯỜI'!C12+'H. LẤP VÒ'!C12+'H. LAI VUNG'!C12+'TP. SA ĐÉC'!C12+'H. CHÂU THÀNH'!C12</f>
        <v>720000</v>
      </c>
    </row>
    <row r="13" spans="1:3">
      <c r="A13" s="5029" t="s">
        <v>29</v>
      </c>
      <c r="B13" s="704" t="s">
        <v>788</v>
      </c>
      <c r="C13" s="5032">
        <f>+'H. HỒNG NGỰ'!C13+'TP.  HỒNG NGỰ'!C13+'H. TÂN HỒNG'!C13+'H. TAM NÔNG'!C13+'H. THANH BÌNH'!C13+'TP. CAO LÃNH'!C13+'H. CAO LÃNH'!C13+'H. THÁP MƯỜI'!C13+'H. LẤP VÒ'!C13+'H. LAI VUNG'!C13+'TP. SA ĐÉC'!C13+'H. CHÂU THÀNH'!C13</f>
        <v>28650</v>
      </c>
    </row>
    <row r="14" spans="1:3">
      <c r="A14" s="5029" t="s">
        <v>29</v>
      </c>
      <c r="B14" s="704" t="s">
        <v>10</v>
      </c>
      <c r="C14" s="5032">
        <f>+'H. HỒNG NGỰ'!C14+'TP.  HỒNG NGỰ'!C14+'H. TÂN HỒNG'!C14+'H. TAM NÔNG'!C14+'H. THANH BÌNH'!C14+'TP. CAO LÃNH'!C14+'H. CAO LÃNH'!C14+'H. THÁP MƯỜI'!C14+'H. LẤP VÒ'!C14+'H. LAI VUNG'!C14+'TP. SA ĐÉC'!C14+'H. CHÂU THÀNH'!C14</f>
        <v>44350</v>
      </c>
    </row>
    <row r="15" spans="1:3">
      <c r="A15" s="5029" t="s">
        <v>29</v>
      </c>
      <c r="B15" s="704" t="s">
        <v>789</v>
      </c>
      <c r="C15" s="5032">
        <f>+'H. HỒNG NGỰ'!C15+'TP.  HỒNG NGỰ'!C15+'H. TÂN HỒNG'!C15+'H. TAM NÔNG'!C15+'H. THANH BÌNH'!C15+'TP. CAO LÃNH'!C15+'H. CAO LÃNH'!C15+'H. THÁP MƯỜI'!C15+'H. LẤP VÒ'!C15+'H. LAI VUNG'!C15+'TP. SA ĐÉC'!C15+'H. CHÂU THÀNH'!C15</f>
        <v>0</v>
      </c>
    </row>
    <row r="16" spans="1:3">
      <c r="A16" s="5027">
        <v>2</v>
      </c>
      <c r="B16" s="701" t="s">
        <v>20</v>
      </c>
      <c r="C16" s="5028">
        <f>SUM(C17:C18)</f>
        <v>353000</v>
      </c>
    </row>
    <row r="17" spans="1:5" hidden="1">
      <c r="A17" s="5031" t="s">
        <v>29</v>
      </c>
      <c r="B17" s="43" t="s">
        <v>790</v>
      </c>
      <c r="C17" s="5032">
        <f>+'H. HỒNG NGỰ'!C17+'TP.  HỒNG NGỰ'!C17+'H. TÂN HỒNG'!C17+'H. TAM NÔNG'!C17+'H. THANH BÌNH'!C17+'TP. CAO LÃNH'!C17+'H. CAO LÃNH'!C17+'H. THÁP MƯỜI'!C17+'H. LẤP VÒ'!C17+'H. LAI VUNG'!C17+'TP. SA ĐÉC'!C17+'H. CHÂU THÀNH'!C17</f>
        <v>0</v>
      </c>
    </row>
    <row r="18" spans="1:5" hidden="1">
      <c r="A18" s="5033" t="s">
        <v>29</v>
      </c>
      <c r="B18" s="711" t="s">
        <v>791</v>
      </c>
      <c r="C18" s="5032">
        <f>+'H. HỒNG NGỰ'!C18+'TP.  HỒNG NGỰ'!C18+'H. TÂN HỒNG'!C18+'H. TAM NÔNG'!C18+'H. THANH BÌNH'!C18+'TP. CAO LÃNH'!C18+'H. CAO LÃNH'!C18+'H. THÁP MƯỜI'!C18+'H. LẤP VÒ'!C18+'H. LAI VUNG'!C18+'TP. SA ĐÉC'!C18+'H. CHÂU THÀNH'!C18</f>
        <v>353000</v>
      </c>
    </row>
    <row r="19" spans="1:5" s="588" customFormat="1" ht="17.399999999999999">
      <c r="A19" s="5027">
        <v>3</v>
      </c>
      <c r="B19" s="701" t="s">
        <v>17</v>
      </c>
      <c r="C19" s="5028">
        <f>+'H. HỒNG NGỰ'!C19+'TP.  HỒNG NGỰ'!C19+'H. TÂN HỒNG'!C19+'H. TAM NÔNG'!C19+'H. THANH BÌNH'!C19+'TP. CAO LÃNH'!C19+'H. CAO LÃNH'!C19+'H. THÁP MƯỜI'!C19+'H. LẤP VÒ'!C19+'H. LAI VUNG'!C19+'TP. SA ĐÉC'!C19+'H. CHÂU THÀNH'!C19</f>
        <v>330000</v>
      </c>
    </row>
    <row r="20" spans="1:5" s="588" customFormat="1" ht="17.399999999999999">
      <c r="A20" s="5027">
        <v>4</v>
      </c>
      <c r="B20" s="701" t="s">
        <v>792</v>
      </c>
      <c r="C20" s="5028">
        <f>+'H. HỒNG NGỰ'!C20+'TP.  HỒNG NGỰ'!C20+'H. TÂN HỒNG'!C20+'H. TAM NÔNG'!C20+'H. THANH BÌNH'!C20+'TP. CAO LÃNH'!C20+'H. CAO LÃNH'!C20+'H. THÁP MƯỜI'!C20+'H. LẤP VÒ'!C20+'H. LAI VUNG'!C20+'TP. SA ĐÉC'!C20+'H. CHÂU THÀNH'!C20</f>
        <v>0</v>
      </c>
    </row>
    <row r="21" spans="1:5" s="588" customFormat="1" ht="17.399999999999999">
      <c r="A21" s="5027">
        <v>4</v>
      </c>
      <c r="B21" s="701" t="s">
        <v>97</v>
      </c>
      <c r="C21" s="5028">
        <f>+'H. HỒNG NGỰ'!C21+'TP.  HỒNG NGỰ'!C21+'H. TÂN HỒNG'!C21+'H. TAM NÔNG'!C21+'H. THANH BÌNH'!C21+'TP. CAO LÃNH'!C21+'H. CAO LÃNH'!C21+'H. THÁP MƯỜI'!C21+'H. LẤP VÒ'!C21+'H. LAI VUNG'!C21+'TP. SA ĐÉC'!C21+'H. CHÂU THÀNH'!C21</f>
        <v>17000</v>
      </c>
    </row>
    <row r="22" spans="1:5">
      <c r="A22" s="5027">
        <v>5</v>
      </c>
      <c r="B22" s="701" t="s">
        <v>793</v>
      </c>
      <c r="C22" s="5028">
        <f>SUM(C23:C25)</f>
        <v>110400</v>
      </c>
    </row>
    <row r="23" spans="1:5">
      <c r="A23" s="5034" t="s">
        <v>29</v>
      </c>
      <c r="B23" s="43" t="s">
        <v>794</v>
      </c>
      <c r="C23" s="5032">
        <f>+'H. HỒNG NGỰ'!C23+'TP.  HỒNG NGỰ'!C23+'H. TÂN HỒNG'!C23+'H. TAM NÔNG'!C23+'H. THANH BÌNH'!C23+'TP. CAO LÃNH'!C23+'H. CAO LÃNH'!C23+'H. THÁP MƯỜI'!C23+'H. LẤP VÒ'!C23+'H. LAI VUNG'!C23+'TP. SA ĐÉC'!C23+'H. CHÂU THÀNH'!C23</f>
        <v>34800</v>
      </c>
    </row>
    <row r="24" spans="1:5">
      <c r="A24" s="5034" t="s">
        <v>29</v>
      </c>
      <c r="B24" s="43" t="s">
        <v>795</v>
      </c>
      <c r="C24" s="5032">
        <f>+'H. HỒNG NGỰ'!C24+'TP.  HỒNG NGỰ'!C24+'H. TÂN HỒNG'!C24+'H. TAM NÔNG'!C24+'H. THANH BÌNH'!C24+'TP. CAO LÃNH'!C24+'H. CAO LÃNH'!C24+'H. THÁP MƯỜI'!C24+'H. LẤP VÒ'!C24+'H. LAI VUNG'!C24+'TP. SA ĐÉC'!C24+'H. CHÂU THÀNH'!C24</f>
        <v>3200</v>
      </c>
    </row>
    <row r="25" spans="1:5">
      <c r="A25" s="5034" t="s">
        <v>29</v>
      </c>
      <c r="B25" s="43" t="s">
        <v>796</v>
      </c>
      <c r="C25" s="5032">
        <f>+'H. HỒNG NGỰ'!C25+'TP.  HỒNG NGỰ'!C25+'H. TÂN HỒNG'!C25+'H. TAM NÔNG'!C25+'H. THANH BÌNH'!C25+'TP. CAO LÃNH'!C25+'H. CAO LÃNH'!C25+'H. THÁP MƯỜI'!C25+'H. LẤP VÒ'!C25+'H. LAI VUNG'!C25+'TP. SA ĐÉC'!C25+'H. CHÂU THÀNH'!C25</f>
        <v>72400</v>
      </c>
    </row>
    <row r="26" spans="1:5">
      <c r="A26" s="5027">
        <v>6</v>
      </c>
      <c r="B26" s="701" t="s">
        <v>24</v>
      </c>
      <c r="C26" s="5028">
        <f>SUM(C27:C28)</f>
        <v>201000</v>
      </c>
    </row>
    <row r="27" spans="1:5">
      <c r="A27" s="5034" t="s">
        <v>29</v>
      </c>
      <c r="B27" s="43" t="s">
        <v>790</v>
      </c>
      <c r="C27" s="5032">
        <f>+'H. HỒNG NGỰ'!C27+'TP.  HỒNG NGỰ'!C27+'H. TÂN HỒNG'!C27+'H. TAM NÔNG'!C27+'H. THANH BÌNH'!C27+'TP. CAO LÃNH'!C27+'H. CAO LÃNH'!C27+'H. THÁP MƯỜI'!C27+'H. LẤP VÒ'!C27+'H. LAI VUNG'!C27+'TP. SA ĐÉC'!C27+'H. CHÂU THÀNH'!C27</f>
        <v>0</v>
      </c>
    </row>
    <row r="28" spans="1:5">
      <c r="A28" s="5035" t="s">
        <v>29</v>
      </c>
      <c r="B28" s="711" t="s">
        <v>1809</v>
      </c>
      <c r="C28" s="5032">
        <f>+'H. HỒNG NGỰ'!C28+'TP.  HỒNG NGỰ'!C28+'H. TÂN HỒNG'!C28+'H. TAM NÔNG'!C28+'H. THANH BÌNH'!C28+'TP. CAO LÃNH'!C28+'H. CAO LÃNH'!C28+'H. THÁP MƯỜI'!C28+'H. LẤP VÒ'!C28+'H. LAI VUNG'!C28+'TP. SA ĐÉC'!C28+'H. CHÂU THÀNH'!C28</f>
        <v>201000</v>
      </c>
    </row>
    <row r="29" spans="1:5">
      <c r="A29" s="5027">
        <v>7</v>
      </c>
      <c r="B29" s="701" t="s">
        <v>242</v>
      </c>
      <c r="C29" s="5028">
        <f>SUM(C30:C31)</f>
        <v>1600000</v>
      </c>
    </row>
    <row r="30" spans="1:5">
      <c r="A30" s="5034" t="s">
        <v>29</v>
      </c>
      <c r="B30" s="43" t="s">
        <v>790</v>
      </c>
      <c r="C30" s="5032">
        <f>+'H. HỒNG NGỰ'!C30+'TP.  HỒNG NGỰ'!C30+'H. TÂN HỒNG'!C30+'H. TAM NÔNG'!C30+'H. THANH BÌNH'!C30+'TP. CAO LÃNH'!C30+'H. CAO LÃNH'!C30+'H. THÁP MƯỜI'!C30+'H. LẤP VÒ'!C30+'H. LAI VUNG'!C30+'TP. SA ĐÉC'!C30+'H. CHÂU THÀNH'!C30</f>
        <v>385000</v>
      </c>
    </row>
    <row r="31" spans="1:5">
      <c r="A31" s="5035" t="s">
        <v>29</v>
      </c>
      <c r="B31" s="711" t="s">
        <v>1810</v>
      </c>
      <c r="C31" s="5032">
        <f>+'H. HỒNG NGỰ'!C31+'TP.  HỒNG NGỰ'!C31+'H. TÂN HỒNG'!C31+'H. TAM NÔNG'!C31+'H. THANH BÌNH'!C31+'TP. CAO LÃNH'!C31+'H. CAO LÃNH'!C31+'H. THÁP MƯỜI'!C31+'H. LẤP VÒ'!C31+'H. LAI VUNG'!C31+'TP. SA ĐÉC'!C31+'H. CHÂU THÀNH'!C31</f>
        <v>1215000</v>
      </c>
      <c r="E31" s="381">
        <f>C31*90%</f>
        <v>1093500</v>
      </c>
    </row>
    <row r="32" spans="1:5">
      <c r="A32" s="5027">
        <v>8</v>
      </c>
      <c r="B32" s="701" t="s">
        <v>798</v>
      </c>
      <c r="C32" s="5028">
        <f>SUM(C33:C35)</f>
        <v>330000</v>
      </c>
    </row>
    <row r="33" spans="1:8" ht="19.2" customHeight="1">
      <c r="A33" s="5034" t="s">
        <v>29</v>
      </c>
      <c r="B33" s="43" t="s">
        <v>799</v>
      </c>
      <c r="C33" s="5032">
        <f>+'H. HỒNG NGỰ'!C33+'TP.  HỒNG NGỰ'!C33+'H. TÂN HỒNG'!C33+'H. TAM NÔNG'!C33+'H. THANH BÌNH'!C33+'TP. CAO LÃNH'!C33+'H. CAO LÃNH'!C33+'H. THÁP MƯỜI'!C33+'H. LẤP VÒ'!C33+'H. LAI VUNG'!C33+'TP. SA ĐÉC'!C33+'H. CHÂU THÀNH'!C33</f>
        <v>89000</v>
      </c>
    </row>
    <row r="34" spans="1:8" ht="19.2" customHeight="1">
      <c r="A34" s="5034" t="s">
        <v>29</v>
      </c>
      <c r="B34" s="43" t="s">
        <v>800</v>
      </c>
      <c r="C34" s="5032">
        <f>+'H. HỒNG NGỰ'!C34+'TP.  HỒNG NGỰ'!C34+'H. TÂN HỒNG'!C34+'H. TAM NÔNG'!C34+'H. THANH BÌNH'!C34+'TP. CAO LÃNH'!C34+'H. CAO LÃNH'!C34+'H. THÁP MƯỜI'!C34+'H. LẤP VÒ'!C34+'H. LAI VUNG'!C34+'TP. SA ĐÉC'!C34+'H. CHÂU THÀNH'!C34</f>
        <v>34500</v>
      </c>
    </row>
    <row r="35" spans="1:8" ht="19.2" customHeight="1">
      <c r="A35" s="5034" t="s">
        <v>29</v>
      </c>
      <c r="B35" s="43" t="s">
        <v>801</v>
      </c>
      <c r="C35" s="5032">
        <f>+'H. HỒNG NGỰ'!C35+'TP.  HỒNG NGỰ'!C35+'H. TÂN HỒNG'!C35+'H. TAM NÔNG'!C35+'H. THANH BÌNH'!C35+'TP. CAO LÃNH'!C35+'H. CAO LÃNH'!C35+'H. THÁP MƯỜI'!C35+'H. LẤP VÒ'!C35+'H. LAI VUNG'!C35+'TP. SA ĐÉC'!C35+'H. CHÂU THÀNH'!C35</f>
        <v>206500</v>
      </c>
    </row>
    <row r="36" spans="1:8" ht="19.2" customHeight="1">
      <c r="A36" s="5027">
        <v>9</v>
      </c>
      <c r="B36" s="5036" t="s">
        <v>1811</v>
      </c>
      <c r="C36" s="5054">
        <f>+'H. HỒNG NGỰ'!C36+'TP.  HỒNG NGỰ'!C36+'H. TÂN HỒNG'!C36+'H. TAM NÔNG'!C36+'H. THANH BÌNH'!C36+'TP. CAO LÃNH'!C36+'H. CAO LÃNH'!C36+'H. THÁP MƯỜI'!C36+'H. LẤP VÒ'!C36+'H. LAI VUNG'!C36+'TP. SA ĐÉC'!C36+'H. CHÂU THÀNH'!C36</f>
        <v>2000</v>
      </c>
    </row>
    <row r="37" spans="1:8" ht="19.2" customHeight="1">
      <c r="A37" s="5027" t="s">
        <v>33</v>
      </c>
      <c r="B37" s="701" t="s">
        <v>1812</v>
      </c>
      <c r="C37" s="5037"/>
    </row>
    <row r="38" spans="1:8" ht="19.2" customHeight="1">
      <c r="A38" s="5027"/>
      <c r="B38" s="704" t="s">
        <v>1813</v>
      </c>
      <c r="C38" s="5038">
        <v>1</v>
      </c>
    </row>
    <row r="39" spans="1:8" s="596" customFormat="1" ht="19.2" customHeight="1">
      <c r="A39" s="4971" t="s">
        <v>182</v>
      </c>
      <c r="B39" s="4972" t="s">
        <v>802</v>
      </c>
      <c r="C39" s="613">
        <f>SUM(C40:C42)</f>
        <v>7078351.9069999997</v>
      </c>
      <c r="F39" s="602"/>
      <c r="G39" s="602"/>
      <c r="H39" s="602"/>
    </row>
    <row r="40" spans="1:8" s="596" customFormat="1" ht="19.2" customHeight="1">
      <c r="A40" s="1926">
        <v>1</v>
      </c>
      <c r="B40" s="4968" t="s">
        <v>803</v>
      </c>
      <c r="C40" s="5032">
        <f>+'H. HỒNG NGỰ'!C40+'TP.  HỒNG NGỰ'!C40+'H. TÂN HỒNG'!C40+'H. TAM NÔNG'!C40+'H. THANH BÌNH'!C40+'TP. CAO LÃNH'!C40+'H. CAO LÃNH'!C40+'H. THÁP MƯỜI'!C40+'H. LẤP VÒ'!C40+'H. LAI VUNG'!C40+'TP. SA ĐÉC'!C40+'H. CHÂU THÀNH'!C40</f>
        <v>4430923</v>
      </c>
      <c r="F40" s="2812"/>
      <c r="G40" s="602"/>
      <c r="H40" s="602"/>
    </row>
    <row r="41" spans="1:8" s="596" customFormat="1" ht="19.2" customHeight="1">
      <c r="A41" s="1926">
        <v>2</v>
      </c>
      <c r="B41" s="1927" t="s">
        <v>3136</v>
      </c>
      <c r="C41" s="5032">
        <f>+'H. HỒNG NGỰ'!C41+'TP.  HỒNG NGỰ'!C41+'H. TÂN HỒNG'!C41+'H. TAM NÔNG'!C41+'H. THANH BÌNH'!C41+'TP. CAO LÃNH'!C41+'H. CAO LÃNH'!C41+'H. THÁP MƯỜI'!C41+'H. LẤP VÒ'!C41+'H. LAI VUNG'!C41+'TP. SA ĐÉC'!C41+'H. CHÂU THÀNH'!C41</f>
        <v>1681469</v>
      </c>
      <c r="F41" s="2812"/>
      <c r="G41" s="602"/>
      <c r="H41" s="602"/>
    </row>
    <row r="42" spans="1:8" s="596" customFormat="1" ht="19.2" customHeight="1">
      <c r="A42" s="1926">
        <v>3</v>
      </c>
      <c r="B42" s="4968" t="s">
        <v>3206</v>
      </c>
      <c r="C42" s="5032">
        <f>+'H. HỒNG NGỰ'!C42+'TP.  HỒNG NGỰ'!C42+'H. TÂN HỒNG'!C42+'H. TAM NÔNG'!C42+'H. THANH BÌNH'!C42+'TP. CAO LÃNH'!C42+'H. CAO LÃNH'!C42+'H. THÁP MƯỜI'!C42+'H. LẤP VÒ'!C42+'H. LAI VUNG'!C42+'TP. SA ĐÉC'!C42+'H. CHÂU THÀNH'!C42</f>
        <v>965959.90700000012</v>
      </c>
      <c r="F42" s="2812"/>
      <c r="G42" s="602"/>
      <c r="H42" s="602"/>
    </row>
    <row r="43" spans="1:8" s="2273" customFormat="1" ht="18.600000000000001" thickBot="1">
      <c r="A43" s="4539" t="s">
        <v>215</v>
      </c>
      <c r="B43" s="5042" t="s">
        <v>1721</v>
      </c>
      <c r="C43" s="5060">
        <f>+'H. HỒNG NGỰ'!C43+'TP.  HỒNG NGỰ'!C43+'H. TÂN HỒNG'!C43+'H. TAM NÔNG'!C43+'H. THANH BÌNH'!C43+'TP. CAO LÃNH'!C43+'H. CAO LÃNH'!C43+'H. THÁP MƯỜI'!C43+'H. LẤP VÒ'!C43+'H. LAI VUNG'!C43+'TP. SA ĐÉC'!C43+'H. CHÂU THÀNH'!C43</f>
        <v>941000</v>
      </c>
    </row>
    <row r="44" spans="1:8" ht="19.2" thickTop="1" thickBot="1">
      <c r="A44" s="2896"/>
      <c r="B44" s="2897" t="s">
        <v>809</v>
      </c>
      <c r="C44" s="2898"/>
    </row>
    <row r="46" spans="1:8">
      <c r="A46" s="6744" t="s">
        <v>1717</v>
      </c>
      <c r="B46" s="6744"/>
      <c r="C46" s="6744"/>
    </row>
    <row r="47" spans="1:8" s="47" customFormat="1" ht="39.9" customHeight="1">
      <c r="A47" s="6743" t="s">
        <v>3204</v>
      </c>
      <c r="B47" s="6743"/>
      <c r="C47" s="6743"/>
    </row>
    <row r="48" spans="1:8" s="47" customFormat="1" ht="105" customHeight="1">
      <c r="A48" s="6743" t="s">
        <v>1814</v>
      </c>
      <c r="B48" s="6743"/>
      <c r="C48" s="6743"/>
    </row>
    <row r="49" spans="1:3" s="47" customFormat="1">
      <c r="A49" s="6743" t="s">
        <v>1815</v>
      </c>
      <c r="B49" s="6743"/>
      <c r="C49" s="6743"/>
    </row>
    <row r="50" spans="1:3" s="47" customFormat="1">
      <c r="A50" s="6747" t="s">
        <v>3205</v>
      </c>
      <c r="B50" s="6747"/>
      <c r="C50" s="6747"/>
    </row>
    <row r="51" spans="1:3" s="47" customFormat="1">
      <c r="A51" s="2931"/>
      <c r="B51" s="2931"/>
      <c r="C51" s="2931"/>
    </row>
    <row r="52" spans="1:3" s="47" customFormat="1">
      <c r="A52" s="2931"/>
      <c r="B52" s="2931"/>
      <c r="C52" s="2931"/>
    </row>
    <row r="53" spans="1:3" s="47" customFormat="1">
      <c r="A53" s="2931"/>
      <c r="B53" s="2931"/>
      <c r="C53" s="2931"/>
    </row>
    <row r="54" spans="1:3" s="47" customFormat="1">
      <c r="A54" s="2931"/>
      <c r="B54" s="2931"/>
      <c r="C54" s="2931"/>
    </row>
    <row r="55" spans="1:3" s="47" customFormat="1">
      <c r="A55" s="2931"/>
      <c r="B55" s="2931"/>
      <c r="C55" s="2931"/>
    </row>
    <row r="56" spans="1:3" s="47" customFormat="1">
      <c r="A56" s="2931"/>
      <c r="B56" s="2931"/>
      <c r="C56" s="2931"/>
    </row>
    <row r="57" spans="1:3" s="47" customFormat="1">
      <c r="A57" s="2931"/>
      <c r="B57" s="2931"/>
      <c r="C57" s="2931"/>
    </row>
    <row r="58" spans="1:3" s="47" customFormat="1">
      <c r="A58" s="2931"/>
      <c r="B58" s="2931"/>
      <c r="C58" s="2931"/>
    </row>
    <row r="59" spans="1:3" s="47" customFormat="1">
      <c r="A59" s="2931"/>
      <c r="B59" s="2931"/>
      <c r="C59" s="2931"/>
    </row>
    <row r="60" spans="1:3" s="47" customFormat="1">
      <c r="A60" s="2931"/>
      <c r="B60" s="2931"/>
      <c r="C60" s="2931"/>
    </row>
    <row r="61" spans="1:3" s="47" customFormat="1">
      <c r="A61" s="2931"/>
      <c r="B61" s="2931"/>
      <c r="C61" s="2931"/>
    </row>
    <row r="62" spans="1:3" s="47" customFormat="1">
      <c r="A62" s="2931"/>
      <c r="B62" s="2931"/>
      <c r="C62" s="2931"/>
    </row>
    <row r="63" spans="1:3" s="47" customFormat="1">
      <c r="A63" s="2931"/>
      <c r="B63" s="2931"/>
      <c r="C63" s="2931"/>
    </row>
    <row r="64" spans="1:3" s="47" customFormat="1">
      <c r="A64" s="6080" t="s">
        <v>1816</v>
      </c>
      <c r="B64" s="6080"/>
      <c r="C64" s="6080"/>
    </row>
    <row r="65" spans="1:3" s="47" customFormat="1">
      <c r="A65" s="6080" t="s">
        <v>3201</v>
      </c>
      <c r="B65" s="6080"/>
      <c r="C65" s="6080"/>
    </row>
    <row r="66" spans="1:3" s="47" customFormat="1">
      <c r="A66" s="6080" t="str">
        <f>A3</f>
        <v>12 HUYỆN, THÀNH PHỐ</v>
      </c>
      <c r="B66" s="6080"/>
      <c r="C66" s="6080"/>
    </row>
    <row r="67" spans="1:3" s="47" customFormat="1">
      <c r="A67" s="6736" t="str">
        <f>A4</f>
        <v>(Kèm theo Quyết định số        /QĐ-UBND-HC ngày      /12/2024 của Uỷ ban nhân dân tỉnh Đồng Tháp)</v>
      </c>
      <c r="B67" s="6736"/>
      <c r="C67" s="6736"/>
    </row>
    <row r="68" spans="1:3" s="47" customFormat="1">
      <c r="A68" s="2899"/>
      <c r="B68" s="2899"/>
      <c r="C68" s="2899"/>
    </row>
    <row r="69" spans="1:3" s="47" customFormat="1" ht="18.600000000000001" thickBot="1">
      <c r="A69" s="2899"/>
      <c r="B69" s="2899"/>
      <c r="C69" s="2883" t="str">
        <f>C6</f>
        <v>Đơn vị tính: Triệu đồng</v>
      </c>
    </row>
    <row r="70" spans="1:3" s="1638" customFormat="1" ht="35.4" thickTop="1">
      <c r="A70" s="5014" t="s">
        <v>136</v>
      </c>
      <c r="B70" s="4862" t="s">
        <v>137</v>
      </c>
      <c r="C70" s="4861" t="str">
        <f>C7</f>
        <v>Dự toán năm 2025</v>
      </c>
    </row>
    <row r="71" spans="1:3" s="47" customFormat="1">
      <c r="A71" s="5061"/>
      <c r="B71" s="2753" t="s">
        <v>1722</v>
      </c>
      <c r="C71" s="5062">
        <f>C72+C76+C80+C81+C82</f>
        <v>11751651.907000002</v>
      </c>
    </row>
    <row r="72" spans="1:3" s="47" customFormat="1">
      <c r="A72" s="5063" t="s">
        <v>3</v>
      </c>
      <c r="B72" s="2741" t="s">
        <v>1668</v>
      </c>
      <c r="C72" s="5064">
        <f>SUM(C74:C75)</f>
        <v>1683500</v>
      </c>
    </row>
    <row r="73" spans="1:3" s="47" customFormat="1">
      <c r="A73" s="5065"/>
      <c r="B73" s="2900" t="s">
        <v>822</v>
      </c>
      <c r="C73" s="5066"/>
    </row>
    <row r="74" spans="1:3" s="47" customFormat="1">
      <c r="A74" s="5067">
        <v>1</v>
      </c>
      <c r="B74" s="297" t="s">
        <v>143</v>
      </c>
      <c r="C74" s="1656">
        <f>+'H. HỒNG NGỰ'!C76+'TP.  HỒNG NGỰ'!C71+'H. TÂN HỒNG'!C74+'H. TAM NÔNG'!C75+'H. THANH BÌNH'!C76+'TP. CAO LÃNH'!C75+'H. CAO LÃNH'!C76+'H. THÁP MƯỜI'!C75+'H. LẤP VÒ'!C74+'H. LAI VUNG'!C74+'TP. SA ĐÉC'!C74+'H. CHÂU THÀNH'!C72</f>
        <v>590000</v>
      </c>
    </row>
    <row r="75" spans="1:3" s="47" customFormat="1">
      <c r="A75" s="5067">
        <v>2</v>
      </c>
      <c r="B75" s="297" t="s">
        <v>144</v>
      </c>
      <c r="C75" s="1656">
        <f>+'H. HỒNG NGỰ'!C77+'TP.  HỒNG NGỰ'!C72+'H. TÂN HỒNG'!C75+'H. TAM NÔNG'!C76+'H. THANH BÌNH'!C77+'TP. CAO LÃNH'!C76+'H. CAO LÃNH'!C77+'H. THÁP MƯỜI'!C76+'H. LẤP VÒ'!C75+'H. LAI VUNG'!C75+'TP. SA ĐÉC'!C75+'H. CHÂU THÀNH'!C73</f>
        <v>1093500</v>
      </c>
    </row>
    <row r="76" spans="1:3" s="47" customFormat="1">
      <c r="A76" s="5063" t="s">
        <v>33</v>
      </c>
      <c r="B76" s="2741" t="s">
        <v>1817</v>
      </c>
      <c r="C76" s="2628">
        <f>+'H. HỒNG NGỰ'!C78+'TP.  HỒNG NGỰ'!C73+'H. TÂN HỒNG'!C76+'H. TAM NÔNG'!C77+'H. THANH BÌNH'!C78+'TP. CAO LÃNH'!C77+'H. CAO LÃNH'!C78+'H. THÁP MƯỜI'!C77+'H. LẤP VÒ'!C76+'H. LAI VUNG'!C76+'TP. SA ĐÉC'!C76+'H. CHÂU THÀNH'!C74</f>
        <v>9081425.3570000008</v>
      </c>
    </row>
    <row r="77" spans="1:3" s="47" customFormat="1">
      <c r="A77" s="5068"/>
      <c r="B77" s="2900" t="s">
        <v>822</v>
      </c>
      <c r="C77" s="5066"/>
    </row>
    <row r="78" spans="1:3" s="47" customFormat="1">
      <c r="A78" s="5067">
        <v>1</v>
      </c>
      <c r="B78" s="924" t="s">
        <v>1818</v>
      </c>
      <c r="C78" s="1656">
        <f>+'H. HỒNG NGỰ'!C80+'TP.  HỒNG NGỰ'!C75+'H. TÂN HỒNG'!C78+'H. TAM NÔNG'!C79+'H. THANH BÌNH'!C80+'TP. CAO LÃNH'!C79+'H. CAO LÃNH'!C80+'H. THÁP MƯỜI'!C79+'H. LẤP VÒ'!C78+'H. LAI VUNG'!C78+'TP. SA ĐÉC'!C78+'H. CHÂU THÀNH'!C76</f>
        <v>4752863.0000000009</v>
      </c>
    </row>
    <row r="79" spans="1:3" s="47" customFormat="1">
      <c r="A79" s="5067">
        <v>2</v>
      </c>
      <c r="B79" s="924" t="s">
        <v>740</v>
      </c>
      <c r="C79" s="1656">
        <f>+'H. HỒNG NGỰ'!C81+'TP.  HỒNG NGỰ'!C76+'H. TÂN HỒNG'!C79+'H. TAM NÔNG'!C80+'H. THANH BÌNH'!C81+'TP. CAO LÃNH'!C80+'H. CAO LÃNH'!C81+'H. THÁP MƯỜI'!C80+'H. LẤP VÒ'!C79+'H. LAI VUNG'!C79+'TP. SA ĐÉC'!C79+'H. CHÂU THÀNH'!C77</f>
        <v>4328562.3569999998</v>
      </c>
    </row>
    <row r="80" spans="1:3" s="47" customFormat="1">
      <c r="A80" s="5063" t="s">
        <v>182</v>
      </c>
      <c r="B80" s="2741" t="s">
        <v>175</v>
      </c>
      <c r="C80" s="2628">
        <f>+'H. HỒNG NGỰ'!C82+'TP.  HỒNG NGỰ'!C77+'H. TÂN HỒNG'!C80+'H. TAM NÔNG'!C81+'H. THANH BÌNH'!C82+'TP. CAO LÃNH'!C81+'H. CAO LÃNH'!C82+'H. THÁP MƯỜI'!C81+'H. LẤP VÒ'!C80+'H. LAI VUNG'!C80+'TP. SA ĐÉC'!C80+'H. CHÂU THÀNH'!C78</f>
        <v>212441.54999999996</v>
      </c>
    </row>
    <row r="81" spans="1:3" s="47" customFormat="1">
      <c r="A81" s="5063" t="s">
        <v>215</v>
      </c>
      <c r="B81" s="2741" t="s">
        <v>176</v>
      </c>
      <c r="C81" s="2628">
        <f>+'H. HỒNG NGỰ'!C83+'TP.  HỒNG NGỰ'!C78+'H. TÂN HỒNG'!C81+'H. TAM NÔNG'!C82+'H. THANH BÌNH'!C83+'TP. CAO LÃNH'!C82+'H. CAO LÃNH'!C83+'H. THÁP MƯỜI'!C82+'H. LẤP VÒ'!C81+'H. LAI VUNG'!C81+'TP. SA ĐÉC'!C81+'H. CHÂU THÀNH'!C79</f>
        <v>519900</v>
      </c>
    </row>
    <row r="82" spans="1:3" s="47" customFormat="1">
      <c r="A82" s="5890" t="s">
        <v>718</v>
      </c>
      <c r="B82" s="2741" t="s">
        <v>1723</v>
      </c>
      <c r="C82" s="5064">
        <f>SUM(C83:C87)</f>
        <v>254385</v>
      </c>
    </row>
    <row r="83" spans="1:3" hidden="1">
      <c r="A83" s="5055" t="s">
        <v>29</v>
      </c>
      <c r="B83" s="704" t="str">
        <f>'[2]Phụ lục 6-HĐND'!B18</f>
        <v>Chi đầu tư xây dựng cơ bản</v>
      </c>
      <c r="C83" s="1656">
        <f>+'H. HỒNG NGỰ'!C85+'TP.  HỒNG NGỰ'!C80+'H. TÂN HỒNG'!C83+'H. TAM NÔNG'!C84+'H. THANH BÌNH'!C85+'TP. CAO LÃNH'!C84+'H. CAO LÃNH'!C85+'H. THÁP MƯỜI'!C84+'H. LẤP VÒ'!C83+'H. LAI VUNG'!C83+'TP. SA ĐÉC'!C83+'H. CHÂU THÀNH'!C81</f>
        <v>0</v>
      </c>
    </row>
    <row r="84" spans="1:3" hidden="1">
      <c r="A84" s="5055" t="s">
        <v>29</v>
      </c>
      <c r="B84" s="704" t="str">
        <f>'[2]Phụ lục 6-HĐND'!B19</f>
        <v>Chi đầu tư từ nguồn xổ số kiến thiết</v>
      </c>
      <c r="C84" s="1656">
        <f>+'H. HỒNG NGỰ'!C86+'TP.  HỒNG NGỰ'!C81+'H. TÂN HỒNG'!C84+'H. TAM NÔNG'!C85+'H. THANH BÌNH'!C86+'TP. CAO LÃNH'!C85+'H. CAO LÃNH'!C86+'H. THÁP MƯỜI'!C85+'H. LẤP VÒ'!C84+'H. LAI VUNG'!C84+'TP. SA ĐÉC'!C84+'H. CHÂU THÀNH'!C82</f>
        <v>0</v>
      </c>
    </row>
    <row r="85" spans="1:3">
      <c r="A85" s="5385" t="s">
        <v>29</v>
      </c>
      <c r="B85" s="2780" t="s">
        <v>3253</v>
      </c>
      <c r="C85" s="1656">
        <f>+'H. HỒNG NGỰ'!C87+'TP.  HỒNG NGỰ'!C82+'H. TÂN HỒNG'!C85+'H. TAM NÔNG'!C86+'H. THANH BÌNH'!C87+'TP. CAO LÃNH'!C86+'H. CAO LÃNH'!C87+'H. THÁP MƯỜI'!C86+'H. LẤP VÒ'!C85+'H. LAI VUNG'!C85+'TP. SA ĐÉC'!C85+'H. CHÂU THÀNH'!C83</f>
        <v>11626</v>
      </c>
    </row>
    <row r="86" spans="1:3" ht="36">
      <c r="A86" s="5385" t="s">
        <v>29</v>
      </c>
      <c r="B86" s="2780" t="s">
        <v>3271</v>
      </c>
      <c r="C86" s="1656">
        <f>+'H. HỒNG NGỰ'!C88+'TP.  HỒNG NGỰ'!C83+'H. TÂN HỒNG'!C86+'H. TAM NÔNG'!C87+'H. THANH BÌNH'!C88+'TP. CAO LÃNH'!C87+'H. CAO LÃNH'!C88+'H. THÁP MƯỜI'!C87+'H. LẤP VÒ'!C86+'H. LAI VUNG'!C86+'TP. SA ĐÉC'!C86+'H. CHÂU THÀNH'!C84</f>
        <v>84549</v>
      </c>
    </row>
    <row r="87" spans="1:3" ht="18.600000000000001" thickBot="1">
      <c r="A87" s="5390"/>
      <c r="B87" s="5434" t="s">
        <v>3243</v>
      </c>
      <c r="C87" s="4915">
        <f>+'H. HỒNG NGỰ'!C89+'TP.  HỒNG NGỰ'!C84+'H. TÂN HỒNG'!C87+'H. TAM NÔNG'!C88+'H. THANH BÌNH'!C89+'TP. CAO LÃNH'!C88+'H. CAO LÃNH'!C89+'H. THÁP MƯỜI'!C88+'H. LẤP VÒ'!C87+'H. LAI VUNG'!C87+'TP. SA ĐÉC'!C87+'H. CHÂU THÀNH'!C85</f>
        <v>158210</v>
      </c>
    </row>
    <row r="88" spans="1:3" ht="18.600000000000001" thickTop="1"/>
    <row r="89" spans="1:3">
      <c r="A89" s="588" t="s">
        <v>1717</v>
      </c>
      <c r="B89" s="2903"/>
    </row>
    <row r="90" spans="1:3" s="47" customFormat="1">
      <c r="A90" s="6748" t="s">
        <v>1819</v>
      </c>
      <c r="B90" s="6749"/>
      <c r="C90" s="6749"/>
    </row>
    <row r="91" spans="1:3" s="47" customFormat="1" ht="60" customHeight="1">
      <c r="A91" s="6745" t="s">
        <v>1820</v>
      </c>
      <c r="B91" s="6746"/>
      <c r="C91" s="6746"/>
    </row>
    <row r="92" spans="1:3" s="47" customFormat="1">
      <c r="A92" s="6750" t="s">
        <v>1821</v>
      </c>
      <c r="B92" s="6750"/>
      <c r="C92" s="6750"/>
    </row>
    <row r="93" spans="1:3" s="47" customFormat="1">
      <c r="A93" s="6751" t="s">
        <v>1822</v>
      </c>
      <c r="B93" s="6751"/>
      <c r="C93" s="6751"/>
    </row>
    <row r="94" spans="1:3" s="2770" customFormat="1" ht="60" customHeight="1">
      <c r="A94" s="6745" t="s">
        <v>3225</v>
      </c>
      <c r="B94" s="6746"/>
      <c r="C94" s="6746"/>
    </row>
    <row r="95" spans="1:3" s="47" customFormat="1" ht="39.9" customHeight="1">
      <c r="A95" s="6746" t="s">
        <v>1823</v>
      </c>
      <c r="B95" s="6746"/>
      <c r="C95" s="6746"/>
    </row>
    <row r="96" spans="1:3" s="47" customFormat="1" ht="20.100000000000001" customHeight="1">
      <c r="A96" s="6752" t="s">
        <v>3226</v>
      </c>
      <c r="B96" s="6753"/>
      <c r="C96" s="5075" t="s">
        <v>3273</v>
      </c>
    </row>
    <row r="97" spans="1:3" s="47" customFormat="1">
      <c r="A97" s="6754" t="s">
        <v>1824</v>
      </c>
      <c r="B97" s="6754"/>
      <c r="C97" s="6754"/>
    </row>
    <row r="98" spans="1:3" s="47" customFormat="1" ht="60" customHeight="1">
      <c r="A98" s="6755" t="s">
        <v>1825</v>
      </c>
      <c r="B98" s="6756"/>
      <c r="C98" s="6756"/>
    </row>
    <row r="99" spans="1:3">
      <c r="C99" s="433"/>
    </row>
    <row r="123" spans="1:3">
      <c r="A123" s="6281" t="s">
        <v>1826</v>
      </c>
      <c r="B123" s="6281"/>
      <c r="C123" s="6281"/>
    </row>
    <row r="124" spans="1:3">
      <c r="A124" s="6281" t="s">
        <v>3203</v>
      </c>
      <c r="B124" s="6281"/>
      <c r="C124" s="6281"/>
    </row>
    <row r="125" spans="1:3">
      <c r="A125" s="6281" t="str">
        <f>A66</f>
        <v>12 HUYỆN, THÀNH PHỐ</v>
      </c>
      <c r="B125" s="6281"/>
      <c r="C125" s="6281"/>
    </row>
    <row r="126" spans="1:3">
      <c r="A126" s="6496" t="str">
        <f>A67</f>
        <v>(Kèm theo Quyết định số        /QĐ-UBND-HC ngày      /12/2024 của Uỷ ban nhân dân tỉnh Đồng Tháp)</v>
      </c>
      <c r="B126" s="6496"/>
      <c r="C126" s="6496"/>
    </row>
    <row r="128" spans="1:3" ht="18.600000000000001" thickBot="1">
      <c r="A128" s="2899"/>
      <c r="B128" s="2899"/>
      <c r="C128" s="2883" t="str">
        <f>C69</f>
        <v>Đơn vị tính: Triệu đồng</v>
      </c>
    </row>
    <row r="129" spans="1:7" ht="35.4" thickTop="1">
      <c r="A129" s="5014" t="s">
        <v>136</v>
      </c>
      <c r="B129" s="4862" t="s">
        <v>137</v>
      </c>
      <c r="C129" s="4861" t="str">
        <f>C70</f>
        <v>Dự toán năm 2025</v>
      </c>
    </row>
    <row r="130" spans="1:7" s="596" customFormat="1">
      <c r="A130" s="5015"/>
      <c r="B130" s="682" t="s">
        <v>3196</v>
      </c>
      <c r="C130" s="5016">
        <f>SUM(C131:C142)</f>
        <v>965960.30699999991</v>
      </c>
      <c r="E130" s="602">
        <f>+C42-C130</f>
        <v>-0.39999999979045242</v>
      </c>
    </row>
    <row r="131" spans="1:7" s="596" customFormat="1" ht="36">
      <c r="A131" s="593">
        <v>1</v>
      </c>
      <c r="B131" s="5022" t="s">
        <v>805</v>
      </c>
      <c r="C131" s="4538">
        <f>+'H. HỒNG NGỰ'!C134+'TP.  HỒNG NGỰ'!C126+'H. TÂN HỒNG'!C135+'H. TAM NÔNG'!C131+'H. THANH BÌNH'!C137+'TP. CAO LÃNH'!C133+'H. CAO LÃNH'!C131+'H. THÁP MƯỜI'!C133+'H. LẤP VÒ'!C130+'H. LAI VUNG'!C129+'TP. SA ĐÉC'!C129+'H. CHÂU THÀNH'!C129</f>
        <v>211211.59</v>
      </c>
      <c r="E131" s="602"/>
      <c r="F131" s="596">
        <v>215162</v>
      </c>
      <c r="G131" s="602">
        <f>+F131-C131</f>
        <v>3950.4100000000035</v>
      </c>
    </row>
    <row r="132" spans="1:7" s="596" customFormat="1">
      <c r="A132" s="593">
        <v>2</v>
      </c>
      <c r="B132" s="5022" t="s">
        <v>1535</v>
      </c>
      <c r="C132" s="4538">
        <f>+'H. HỒNG NGỰ'!C135+'TP.  HỒNG NGỰ'!C127+'H. TÂN HỒNG'!C136+'H. TAM NÔNG'!C132+'H. THANH BÌNH'!C138+'TP. CAO LÃNH'!C134+'H. CAO LÃNH'!C132+'H. THÁP MƯỜI'!C134+'H. LẤP VÒ'!C131+'H. LAI VUNG'!C130+'TP. SA ĐÉC'!C130+'H. CHÂU THÀNH'!C130</f>
        <v>265647</v>
      </c>
      <c r="E132" s="602"/>
      <c r="F132" s="596">
        <v>26181</v>
      </c>
      <c r="G132" s="602">
        <f>+F132+C132</f>
        <v>291828</v>
      </c>
    </row>
    <row r="133" spans="1:7" s="596" customFormat="1">
      <c r="A133" s="593">
        <v>3</v>
      </c>
      <c r="B133" s="5022" t="s">
        <v>3254</v>
      </c>
      <c r="C133" s="4538">
        <f>+'H. HỒNG NGỰ'!C136+'TP.  HỒNG NGỰ'!C128+'H. TÂN HỒNG'!C137+'H. TAM NÔNG'!C133+'H. THANH BÌNH'!C139+'TP. CAO LÃNH'!C135+'H. CAO LÃNH'!C133+'H. THÁP MƯỜI'!C135+'H. LẤP VÒ'!C132+'H. LAI VUNG'!C131+'TP. SA ĐÉC'!C131+'H. CHÂU THÀNH'!C131</f>
        <v>11626</v>
      </c>
      <c r="E133" s="602"/>
      <c r="G133" s="602"/>
    </row>
    <row r="134" spans="1:7" s="380" customFormat="1" ht="36">
      <c r="A134" s="593">
        <v>4</v>
      </c>
      <c r="B134" s="2525" t="s">
        <v>1608</v>
      </c>
      <c r="C134" s="4538">
        <f>+'H. HỒNG NGỰ'!C137+'TP.  HỒNG NGỰ'!C129+'H. TÂN HỒNG'!C138+'H. TAM NÔNG'!C134+'H. THANH BÌNH'!C140+'TP. CAO LÃNH'!C136+'H. CAO LÃNH'!C134+'H. THÁP MƯỜI'!C136+'H. LẤP VÒ'!C133+'H. LAI VUNG'!C132+'TP. SA ĐÉC'!C132+'H. CHÂU THÀNH'!C132</f>
        <v>2932.68</v>
      </c>
    </row>
    <row r="135" spans="1:7" s="596" customFormat="1">
      <c r="A135" s="593">
        <v>5</v>
      </c>
      <c r="B135" s="2525" t="s">
        <v>3197</v>
      </c>
      <c r="C135" s="4538">
        <f>+'H. HỒNG NGỰ'!C138+'TP.  HỒNG NGỰ'!C130+'H. TÂN HỒNG'!C139+'H. TAM NÔNG'!C135+'H. THANH BÌNH'!C141+'TP. CAO LÃNH'!C137+'H. CAO LÃNH'!C135+'H. THÁP MƯỜI'!C137+'H. LẤP VÒ'!C134+'H. LAI VUNG'!C133+'TP. SA ĐÉC'!C133+'H. CHÂU THÀNH'!C133</f>
        <v>256.2</v>
      </c>
    </row>
    <row r="136" spans="1:7" s="596" customFormat="1" ht="36">
      <c r="A136" s="593">
        <v>6</v>
      </c>
      <c r="B136" s="2525" t="s">
        <v>3198</v>
      </c>
      <c r="C136" s="4538">
        <f>+'H. HỒNG NGỰ'!C139+'TP.  HỒNG NGỰ'!C131+'H. TÂN HỒNG'!C140+'H. TAM NÔNG'!C136+'H. THANH BÌNH'!C142+'TP. CAO LÃNH'!C138+'H. CAO LÃNH'!C136+'H. THÁP MƯỜI'!C138+'H. LẤP VÒ'!C135+'H. LAI VUNG'!C134+'TP. SA ĐÉC'!C134+'H. CHÂU THÀNH'!C134</f>
        <v>1345.0880000000002</v>
      </c>
    </row>
    <row r="137" spans="1:7" s="596" customFormat="1" ht="36">
      <c r="A137" s="593">
        <v>7</v>
      </c>
      <c r="B137" s="2525" t="s">
        <v>3199</v>
      </c>
      <c r="C137" s="4538">
        <f>+'H. HỒNG NGỰ'!C140+'TP.  HỒNG NGỰ'!C132+'H. TÂN HỒNG'!C141+'H. TAM NÔNG'!C137+'H. THANH BÌNH'!C143+'TP. CAO LÃNH'!C139+'H. CAO LÃNH'!C137+'H. THÁP MƯỜI'!C139+'H. LẤP VÒ'!C136+'H. LAI VUNG'!C135+'TP. SA ĐÉC'!C135+'H. CHÂU THÀNH'!C135</f>
        <v>287676.2</v>
      </c>
    </row>
    <row r="138" spans="1:7" s="596" customFormat="1" ht="36">
      <c r="A138" s="593">
        <v>8</v>
      </c>
      <c r="B138" s="2525" t="s">
        <v>1093</v>
      </c>
      <c r="C138" s="4538">
        <f>+'H. HỒNG NGỰ'!C141+'TP.  HỒNG NGỰ'!C133+'H. TÂN HỒNG'!C142+'H. TAM NÔNG'!C138+'H. THANH BÌNH'!C144+'TP. CAO LÃNH'!C140+'H. CAO LÃNH'!C138+'H. THÁP MƯỜI'!C140+'H. LẤP VÒ'!C137+'H. LAI VUNG'!C136+'TP. SA ĐÉC'!C136+'H. CHÂU THÀNH'!C136</f>
        <v>1263</v>
      </c>
    </row>
    <row r="139" spans="1:7" s="596" customFormat="1" ht="36">
      <c r="A139" s="593">
        <v>9</v>
      </c>
      <c r="B139" s="5012" t="s">
        <v>3156</v>
      </c>
      <c r="C139" s="4538">
        <f>+'H. HỒNG NGỰ'!C142+'TP.  HỒNG NGỰ'!C134+'H. TÂN HỒNG'!C143+'H. TAM NÔNG'!C139+'H. THANH BÌNH'!C145+'TP. CAO LÃNH'!C141+'H. CAO LÃNH'!C139+'H. THÁP MƯỜI'!C141+'H. LẤP VÒ'!C138+'H. LAI VUNG'!C137+'TP. SA ĐÉC'!C137+'H. CHÂU THÀNH'!C137</f>
        <v>11295</v>
      </c>
    </row>
    <row r="140" spans="1:7" s="596" customFormat="1">
      <c r="A140" s="593">
        <v>10</v>
      </c>
      <c r="B140" s="5013" t="s">
        <v>1510</v>
      </c>
      <c r="C140" s="4538">
        <f>+'H. HỒNG NGỰ'!C143+'TP.  HỒNG NGỰ'!C135+'H. TÂN HỒNG'!C144+'H. TAM NÔNG'!C140+'H. THANH BÌNH'!C146+'TP. CAO LÃNH'!C142+'H. CAO LÃNH'!C140+'H. THÁP MƯỜI'!C142+'H. LẤP VÒ'!C139+'H. LAI VUNG'!C138+'TP. SA ĐÉC'!C138+'H. CHÂU THÀNH'!C138</f>
        <v>129670</v>
      </c>
    </row>
    <row r="141" spans="1:7" s="596" customFormat="1">
      <c r="A141" s="593">
        <v>11</v>
      </c>
      <c r="B141" s="5153" t="s">
        <v>3223</v>
      </c>
      <c r="C141" s="4538">
        <f>+'H. HỒNG NGỰ'!C144+'TP.  HỒNG NGỰ'!C136+'H. TÂN HỒNG'!C145+'H. TAM NÔNG'!C141+'H. THANH BÌNH'!C147+'TP. CAO LÃNH'!C143+'H. CAO LÃNH'!C141+'H. THÁP MƯỜI'!C143+'H. LẤP VÒ'!C140+'H. LAI VUNG'!C139+'TP. SA ĐÉC'!C139+'H. CHÂU THÀNH'!C139</f>
        <v>852</v>
      </c>
    </row>
    <row r="142" spans="1:7" s="596" customFormat="1" ht="18.600000000000001" thickBot="1">
      <c r="A142" s="5019">
        <v>12</v>
      </c>
      <c r="B142" s="5190" t="s">
        <v>3234</v>
      </c>
      <c r="C142" s="5090">
        <f>+'H. HỒNG NGỰ'!C145+'TP.  HỒNG NGỰ'!C137+'H. TÂN HỒNG'!C146+'H. TAM NÔNG'!C142+'H. THANH BÌNH'!C148+'TP. CAO LÃNH'!C144+'H. CAO LÃNH'!C142+'H. THÁP MƯỜI'!C144+'H. LẤP VÒ'!C141+'H. LAI VUNG'!C140+'TP. SA ĐÉC'!C140+'H. CHÂU THÀNH'!C140</f>
        <v>42185.549000000006</v>
      </c>
    </row>
    <row r="143" spans="1:7" ht="18.600000000000001" thickTop="1"/>
  </sheetData>
  <mergeCells count="26">
    <mergeCell ref="A125:C125"/>
    <mergeCell ref="A126:C126"/>
    <mergeCell ref="A95:C95"/>
    <mergeCell ref="A96:B96"/>
    <mergeCell ref="A97:C97"/>
    <mergeCell ref="A98:C98"/>
    <mergeCell ref="A123:C123"/>
    <mergeCell ref="A124:C124"/>
    <mergeCell ref="A94:C94"/>
    <mergeCell ref="A48:C48"/>
    <mergeCell ref="A49:C49"/>
    <mergeCell ref="A50:C50"/>
    <mergeCell ref="A64:C64"/>
    <mergeCell ref="A65:C65"/>
    <mergeCell ref="A66:C66"/>
    <mergeCell ref="A67:C67"/>
    <mergeCell ref="A90:C90"/>
    <mergeCell ref="A91:C91"/>
    <mergeCell ref="A92:C92"/>
    <mergeCell ref="A93:C93"/>
    <mergeCell ref="A47:C47"/>
    <mergeCell ref="A1:C1"/>
    <mergeCell ref="A2:C2"/>
    <mergeCell ref="A3:C3"/>
    <mergeCell ref="A4:C4"/>
    <mergeCell ref="A46:C46"/>
  </mergeCells>
  <hyperlinks>
    <hyperlink ref="A70"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E148"/>
  <sheetViews>
    <sheetView topLeftCell="A73" workbookViewId="0">
      <selection activeCell="C77" sqref="C77"/>
    </sheetView>
  </sheetViews>
  <sheetFormatPr defaultColWidth="10" defaultRowHeight="18"/>
  <cols>
    <col min="1" max="1" width="6.5546875" style="381" customWidth="1"/>
    <col min="2" max="2" width="111.6640625" style="381" customWidth="1"/>
    <col min="3" max="3" width="29.44140625" style="381" customWidth="1"/>
    <col min="4" max="16384" width="10" style="381"/>
  </cols>
  <sheetData>
    <row r="1" spans="1:3">
      <c r="A1" s="6281" t="str">
        <f>+'TỔNG CỘNG'!A1:C1</f>
        <v>PHỤ LỤC I</v>
      </c>
      <c r="B1" s="6281"/>
      <c r="C1" s="6281"/>
    </row>
    <row r="2" spans="1:3">
      <c r="A2" s="6281" t="str">
        <f>+'TỔNG CỘNG'!A2:C2</f>
        <v>NHIỆM VỤ THU NGÂN SÁCH NHÀ NƯỚC NĂM 2025</v>
      </c>
      <c r="B2" s="6281"/>
      <c r="C2" s="6281"/>
    </row>
    <row r="3" spans="1:3">
      <c r="A3" s="6281" t="s">
        <v>1487</v>
      </c>
      <c r="B3" s="6281"/>
      <c r="C3" s="6281"/>
    </row>
    <row r="4" spans="1:3">
      <c r="A4" s="6498" t="str">
        <f>+'TỔNG CỘNG'!A4:C4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156150</v>
      </c>
    </row>
    <row r="9" spans="1:3">
      <c r="A9" s="5025"/>
      <c r="B9" s="697" t="s">
        <v>784</v>
      </c>
      <c r="C9" s="5026">
        <f>C8-C29</f>
        <v>96150</v>
      </c>
    </row>
    <row r="10" spans="1:3">
      <c r="A10" s="5027">
        <v>1</v>
      </c>
      <c r="B10" s="701" t="s">
        <v>1477</v>
      </c>
      <c r="C10" s="5028">
        <f>SUM(C11:C15)</f>
        <v>31500</v>
      </c>
    </row>
    <row r="11" spans="1:3">
      <c r="A11" s="5029" t="s">
        <v>29</v>
      </c>
      <c r="B11" s="704" t="s">
        <v>786</v>
      </c>
      <c r="C11" s="5030">
        <f>'Phụ lục 7-HĐND'!F10</f>
        <v>17000</v>
      </c>
    </row>
    <row r="12" spans="1:3">
      <c r="A12" s="5029" t="s">
        <v>29</v>
      </c>
      <c r="B12" s="704" t="s">
        <v>787</v>
      </c>
      <c r="C12" s="5030">
        <f>'Phụ lục 7-HĐND'!F11</f>
        <v>4600</v>
      </c>
    </row>
    <row r="13" spans="1:3">
      <c r="A13" s="5029" t="s">
        <v>29</v>
      </c>
      <c r="B13" s="704" t="s">
        <v>788</v>
      </c>
      <c r="C13" s="5030">
        <f>'Phụ lục 7-HĐND'!F12</f>
        <v>0</v>
      </c>
    </row>
    <row r="14" spans="1:3">
      <c r="A14" s="5029" t="s">
        <v>29</v>
      </c>
      <c r="B14" s="704" t="s">
        <v>10</v>
      </c>
      <c r="C14" s="5030">
        <f>'Phụ lục 7-HĐND'!F13</f>
        <v>9900</v>
      </c>
    </row>
    <row r="15" spans="1:3">
      <c r="A15" s="5029" t="s">
        <v>29</v>
      </c>
      <c r="B15" s="704" t="s">
        <v>789</v>
      </c>
      <c r="C15" s="5030">
        <f>'Phụ lục 7-HĐND'!F14</f>
        <v>0</v>
      </c>
    </row>
    <row r="16" spans="1:3">
      <c r="A16" s="5027">
        <v>2</v>
      </c>
      <c r="B16" s="701" t="s">
        <v>20</v>
      </c>
      <c r="C16" s="5028">
        <f>SUM(C17:C18)</f>
        <v>11000</v>
      </c>
    </row>
    <row r="17" spans="1:3" hidden="1">
      <c r="A17" s="5031" t="s">
        <v>29</v>
      </c>
      <c r="B17" s="43" t="s">
        <v>790</v>
      </c>
      <c r="C17" s="5032">
        <f>'Phụ lục 7-HĐND'!F16</f>
        <v>0</v>
      </c>
    </row>
    <row r="18" spans="1:3" hidden="1">
      <c r="A18" s="5033" t="s">
        <v>29</v>
      </c>
      <c r="B18" s="711" t="s">
        <v>791</v>
      </c>
      <c r="C18" s="5032">
        <f>'Phụ lục 7-HĐND'!F17</f>
        <v>11000</v>
      </c>
    </row>
    <row r="19" spans="1:3" s="386" customFormat="1" ht="17.399999999999999">
      <c r="A19" s="5027">
        <v>3</v>
      </c>
      <c r="B19" s="701" t="s">
        <v>17</v>
      </c>
      <c r="C19" s="5028">
        <f>'Phụ lục 7-HĐND'!F18</f>
        <v>15000</v>
      </c>
    </row>
    <row r="20" spans="1:3" s="386" customFormat="1" ht="17.399999999999999">
      <c r="A20" s="5027">
        <v>4</v>
      </c>
      <c r="B20" s="701" t="s">
        <v>792</v>
      </c>
      <c r="C20" s="5028">
        <f>'Phụ lục 7-HĐND'!F19</f>
        <v>0</v>
      </c>
    </row>
    <row r="21" spans="1:3" s="386" customFormat="1" ht="17.399999999999999">
      <c r="A21" s="5027">
        <v>4</v>
      </c>
      <c r="B21" s="701" t="s">
        <v>97</v>
      </c>
      <c r="C21" s="5028">
        <f>'Phụ lục 7-HĐND'!F20</f>
        <v>0</v>
      </c>
    </row>
    <row r="22" spans="1:3">
      <c r="A22" s="5027">
        <v>5</v>
      </c>
      <c r="B22" s="701" t="s">
        <v>793</v>
      </c>
      <c r="C22" s="5028">
        <f>SUM(C23:C25)</f>
        <v>7500</v>
      </c>
    </row>
    <row r="23" spans="1:3">
      <c r="A23" s="5034" t="s">
        <v>29</v>
      </c>
      <c r="B23" s="43" t="s">
        <v>794</v>
      </c>
      <c r="C23" s="5032">
        <f>'Phụ lục 7-HĐND'!F22</f>
        <v>2500</v>
      </c>
    </row>
    <row r="24" spans="1:3">
      <c r="A24" s="5034" t="s">
        <v>29</v>
      </c>
      <c r="B24" s="43" t="s">
        <v>795</v>
      </c>
      <c r="C24" s="5032">
        <f>'Phụ lục 7-HĐND'!F23</f>
        <v>800</v>
      </c>
    </row>
    <row r="25" spans="1:3">
      <c r="A25" s="5034" t="s">
        <v>29</v>
      </c>
      <c r="B25" s="43" t="s">
        <v>796</v>
      </c>
      <c r="C25" s="5032">
        <f>'Phụ lục 7-HĐND'!F24</f>
        <v>4200</v>
      </c>
    </row>
    <row r="26" spans="1:3">
      <c r="A26" s="5027">
        <v>6</v>
      </c>
      <c r="B26" s="701" t="s">
        <v>24</v>
      </c>
      <c r="C26" s="5028">
        <f>SUM(C27:C28)</f>
        <v>2000</v>
      </c>
    </row>
    <row r="27" spans="1:3">
      <c r="A27" s="5034" t="s">
        <v>29</v>
      </c>
      <c r="B27" s="43" t="s">
        <v>790</v>
      </c>
      <c r="C27" s="5032">
        <f>'Phụ lục 7-HĐND'!F26</f>
        <v>0</v>
      </c>
    </row>
    <row r="28" spans="1:3">
      <c r="A28" s="5035" t="s">
        <v>29</v>
      </c>
      <c r="B28" s="711" t="s">
        <v>1809</v>
      </c>
      <c r="C28" s="5032">
        <f>'Phụ lục 7-HĐND'!F27</f>
        <v>2000</v>
      </c>
    </row>
    <row r="29" spans="1:3">
      <c r="A29" s="5027">
        <v>7</v>
      </c>
      <c r="B29" s="701" t="s">
        <v>242</v>
      </c>
      <c r="C29" s="5028">
        <f>SUM(C30:C31)</f>
        <v>60000</v>
      </c>
    </row>
    <row r="30" spans="1:3">
      <c r="A30" s="5034" t="s">
        <v>29</v>
      </c>
      <c r="B30" s="43" t="s">
        <v>790</v>
      </c>
      <c r="C30" s="5032">
        <f>'Phụ lục 7-HĐND'!F29</f>
        <v>0</v>
      </c>
    </row>
    <row r="31" spans="1:3">
      <c r="A31" s="5035" t="s">
        <v>29</v>
      </c>
      <c r="B31" s="711" t="s">
        <v>1810</v>
      </c>
      <c r="C31" s="5032">
        <f>'Phụ lục 7-HĐND'!F30</f>
        <v>60000</v>
      </c>
    </row>
    <row r="32" spans="1:3">
      <c r="A32" s="5027">
        <v>8</v>
      </c>
      <c r="B32" s="701" t="s">
        <v>798</v>
      </c>
      <c r="C32" s="5028">
        <f>SUM(C33:C35)</f>
        <v>29000</v>
      </c>
    </row>
    <row r="33" spans="1:3">
      <c r="A33" s="5034" t="s">
        <v>29</v>
      </c>
      <c r="B33" s="43" t="s">
        <v>799</v>
      </c>
      <c r="C33" s="5032">
        <f>'Phụ lục 7-HĐND'!F32</f>
        <v>2000</v>
      </c>
    </row>
    <row r="34" spans="1:3">
      <c r="A34" s="5034" t="s">
        <v>29</v>
      </c>
      <c r="B34" s="43" t="s">
        <v>800</v>
      </c>
      <c r="C34" s="5032">
        <f>'Phụ lục 7-HĐND'!F33</f>
        <v>0</v>
      </c>
    </row>
    <row r="35" spans="1:3">
      <c r="A35" s="5034" t="s">
        <v>29</v>
      </c>
      <c r="B35" s="43" t="s">
        <v>801</v>
      </c>
      <c r="C35" s="5032">
        <f>'Phụ lục 7-HĐND'!F34</f>
        <v>27000</v>
      </c>
    </row>
    <row r="36" spans="1:3">
      <c r="A36" s="5027">
        <v>9</v>
      </c>
      <c r="B36" s="5036" t="s">
        <v>1811</v>
      </c>
      <c r="C36" s="5028">
        <f>'Phụ lục 7-HĐND'!F35</f>
        <v>150</v>
      </c>
    </row>
    <row r="37" spans="1:3">
      <c r="A37" s="5027" t="s">
        <v>33</v>
      </c>
      <c r="B37" s="701" t="s">
        <v>1812</v>
      </c>
      <c r="C37" s="5037"/>
    </row>
    <row r="38" spans="1:3">
      <c r="A38" s="5027"/>
      <c r="B38" s="704" t="s">
        <v>1827</v>
      </c>
      <c r="C38" s="5038">
        <v>1</v>
      </c>
    </row>
    <row r="39" spans="1:3">
      <c r="A39" s="4971" t="s">
        <v>182</v>
      </c>
      <c r="B39" s="4972" t="s">
        <v>802</v>
      </c>
      <c r="C39" s="613">
        <f>SUM(C40:C42)</f>
        <v>620300.99</v>
      </c>
    </row>
    <row r="40" spans="1:3">
      <c r="A40" s="1926">
        <v>1</v>
      </c>
      <c r="B40" s="4968" t="s">
        <v>803</v>
      </c>
      <c r="C40" s="2608">
        <f>'Phụ lục 7-HĐND'!F37</f>
        <v>413967</v>
      </c>
    </row>
    <row r="41" spans="1:3">
      <c r="A41" s="1926">
        <v>2</v>
      </c>
      <c r="B41" s="1927" t="s">
        <v>3136</v>
      </c>
      <c r="C41" s="2608">
        <f>'Phụ lục 7-HĐND'!F38</f>
        <v>146571</v>
      </c>
    </row>
    <row r="42" spans="1:3">
      <c r="A42" s="1926">
        <v>3</v>
      </c>
      <c r="B42" s="4968" t="s">
        <v>3206</v>
      </c>
      <c r="C42" s="5045">
        <f>'Phụ lục 7-HĐND'!F39</f>
        <v>59762.99</v>
      </c>
    </row>
    <row r="43" spans="1:3" ht="18.600000000000001" thickBot="1">
      <c r="A43" s="4539" t="s">
        <v>215</v>
      </c>
      <c r="B43" s="5042" t="s">
        <v>1721</v>
      </c>
      <c r="C43" s="5043">
        <f>'Phụ lục 7-HĐND'!F40</f>
        <v>45493</v>
      </c>
    </row>
    <row r="44" spans="1:3" ht="19.2" hidden="1" thickTop="1" thickBot="1">
      <c r="A44" s="5039"/>
      <c r="B44" s="5040" t="s">
        <v>809</v>
      </c>
      <c r="C44" s="5041"/>
    </row>
    <row r="45" spans="1:3" ht="18.600000000000001" thickTop="1"/>
    <row r="46" spans="1:3">
      <c r="A46" s="6744" t="s">
        <v>1717</v>
      </c>
      <c r="B46" s="6744"/>
      <c r="C46" s="6744"/>
    </row>
    <row r="47" spans="1:3" ht="39" customHeight="1">
      <c r="A47" s="6757" t="str">
        <f>+'TỔNG CỘNG'!A47:C47</f>
        <v xml:space="preserve">(1): Dự toán thu ngân sách nhà nước năm 2025 không bao gồm các khoản huy động nhân dân đóng góp, các khoản ghi thu, ghi chi vào ngân sách nhà nước theo chế độ quy định.
</v>
      </c>
      <c r="B47" s="6757"/>
      <c r="C47" s="6757"/>
    </row>
    <row r="48" spans="1:3" ht="96.75" customHeight="1">
      <c r="A48" s="6759" t="str">
        <f>+'TỔNG CỘNG'!A48:C48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+'TỔNG CỘNG'!A49:C49</f>
        <v>(4): Các khoản thu phân chia theo tỷ lệ (%) giữa ngân sách cấp Tỉnh và ngân sách cấp huyện</v>
      </c>
    </row>
    <row r="50" spans="1:3">
      <c r="A50" s="6760" t="str">
        <f>+'TỔNG CỘNG'!A50:C50</f>
        <v>(5): Chi tiết thu bổ sung có mục tiêu theo Phụ lục số III</v>
      </c>
      <c r="B50" s="6760"/>
      <c r="C50" s="6760"/>
    </row>
    <row r="66" spans="1:3">
      <c r="A66" s="6281" t="str">
        <f>+'TỔNG CỘNG'!A64:C64</f>
        <v>PHỤ LỤC II</v>
      </c>
      <c r="B66" s="6281"/>
      <c r="C66" s="6281"/>
    </row>
    <row r="67" spans="1:3">
      <c r="A67" s="6281" t="str">
        <f>+'TỔNG CỘNG'!A65:C65</f>
        <v>NHIỆM VỤ CHI NGÂN SÁCH HUYỆN, THÀNH PHỐ NĂM 2025</v>
      </c>
      <c r="B67" s="6281"/>
      <c r="C67" s="6281"/>
    </row>
    <row r="68" spans="1:3">
      <c r="A68" s="6281" t="str">
        <f>A3</f>
        <v>HUYỆN HỒNG NGỰ</v>
      </c>
      <c r="B68" s="6281"/>
      <c r="C68" s="6281"/>
    </row>
    <row r="69" spans="1:3">
      <c r="A69" s="6498" t="str">
        <f>A4</f>
        <v>(Kèm theo Quyết định số        /QĐ-UBND-HC ngày      /12/2024 của Uỷ ban nhân dân tỉnh Đồng Tháp)</v>
      </c>
      <c r="B69" s="6498"/>
      <c r="C69" s="6498"/>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c r="A73" s="5071"/>
      <c r="B73" s="5069" t="str">
        <f>'[2]TỔNG CỘNG'!B65</f>
        <v>Tổng chi (I+II+III+IV)</v>
      </c>
      <c r="C73" s="5072">
        <f>C74+C78+C82+C83+C84</f>
        <v>800543.99</v>
      </c>
    </row>
    <row r="74" spans="1:3">
      <c r="A74" s="5050" t="s">
        <v>3</v>
      </c>
      <c r="B74" s="5070" t="str">
        <f>'[2]TỔNG CỘNG'!B66</f>
        <v>Chi đầu tư phát triển (1)</v>
      </c>
      <c r="C74" s="5028">
        <f>SUM(C76:C77)</f>
        <v>82000</v>
      </c>
    </row>
    <row r="75" spans="1:3">
      <c r="A75" s="5051"/>
      <c r="B75" s="2907" t="str">
        <f>'[2]TỔNG CỘNG'!B67</f>
        <v>Bao gồm:</v>
      </c>
      <c r="C75" s="5032"/>
    </row>
    <row r="76" spans="1:3">
      <c r="A76" s="5052">
        <v>1</v>
      </c>
      <c r="B76" s="2909" t="str">
        <f>'[2]TỔNG CỘNG'!B68</f>
        <v>Chi đầu tư xây dựng cơ bản</v>
      </c>
      <c r="C76" s="5032">
        <f>'Phụ lục 8-HĐND'!D9</f>
        <v>28000</v>
      </c>
    </row>
    <row r="77" spans="1:3">
      <c r="A77" s="5052">
        <v>2</v>
      </c>
      <c r="B77" s="2909" t="str">
        <f>'[2]TỔNG CỘNG'!B69</f>
        <v>Chi đầu tư từ nguồn thu tiền sử dụng đất</v>
      </c>
      <c r="C77" s="5032">
        <f>'Phụ lục 8-HĐND'!D10</f>
        <v>54000</v>
      </c>
    </row>
    <row r="78" spans="1:3">
      <c r="A78" s="5050" t="s">
        <v>33</v>
      </c>
      <c r="B78" s="2910" t="str">
        <f>'[2]TỔNG CỘNG'!B70</f>
        <v>Chi thường xuyên (2)</v>
      </c>
      <c r="C78" s="5028">
        <f>'Phụ lục 8-HĐND'!D11</f>
        <v>684403.33196736372</v>
      </c>
    </row>
    <row r="79" spans="1:3">
      <c r="A79" s="5053"/>
      <c r="B79" s="2907" t="str">
        <f>'[2]TỔNG CỘNG'!B71</f>
        <v>Bao gồm:</v>
      </c>
      <c r="C79" s="5032"/>
    </row>
    <row r="80" spans="1:3">
      <c r="A80" s="5052">
        <v>1</v>
      </c>
      <c r="B80" s="2909" t="str">
        <f>'[2]TỔNG CỘNG'!B72</f>
        <v>Sự nghiệp giáo dục - đào tạo (3)</v>
      </c>
      <c r="C80" s="5032">
        <f>'Phụ lục 8-HĐND'!D13</f>
        <v>400128</v>
      </c>
    </row>
    <row r="81" spans="1:3">
      <c r="A81" s="5052">
        <v>2</v>
      </c>
      <c r="B81" s="2909" t="str">
        <f>'[2]TỔNG CỘNG'!B73</f>
        <v>Các khoản chi thường xuyên còn lại</v>
      </c>
      <c r="C81" s="5032">
        <f>'Phụ lục 8-HĐND'!D14</f>
        <v>284275.33196736372</v>
      </c>
    </row>
    <row r="82" spans="1:3">
      <c r="A82" s="5050" t="s">
        <v>182</v>
      </c>
      <c r="B82" s="2910" t="str">
        <f>'[2]TỔNG CỘNG'!B74</f>
        <v>Dự phòng ngân sách</v>
      </c>
      <c r="C82" s="5028">
        <f>'Phụ lục 8-HĐND'!D15</f>
        <v>14837.9</v>
      </c>
    </row>
    <row r="83" spans="1:3">
      <c r="A83" s="5050" t="s">
        <v>215</v>
      </c>
      <c r="B83" s="2910" t="str">
        <f>'[2]TỔNG CỘNG'!B75</f>
        <v>Chi tạo nguồn cải cách tiền lương</v>
      </c>
      <c r="C83" s="5028">
        <f>'Phụ lục 8-HĐND'!D16</f>
        <v>0</v>
      </c>
    </row>
    <row r="84" spans="1:3">
      <c r="A84" s="5073" t="s">
        <v>718</v>
      </c>
      <c r="B84" s="701" t="str">
        <f>'[2]TỔNG CỘNG'!B76</f>
        <v>Chi từ nguồn ngân sách cấp Tỉnh bổ sung có mục tiêu</v>
      </c>
      <c r="C84" s="5028">
        <f>SUM(C85:C89)</f>
        <v>19302.758032636266</v>
      </c>
    </row>
    <row r="85" spans="1:3">
      <c r="A85" s="5055" t="s">
        <v>29</v>
      </c>
      <c r="B85" s="704" t="str">
        <f>'[2]TỔNG CỘNG'!B77</f>
        <v>Chi đầu tư xây dựng cơ bản</v>
      </c>
      <c r="C85" s="5032">
        <f>'Phụ lục 8-HĐND'!D18</f>
        <v>0</v>
      </c>
    </row>
    <row r="86" spans="1:3">
      <c r="A86" s="5055" t="s">
        <v>29</v>
      </c>
      <c r="B86" s="704" t="str">
        <f>'[2]TỔNG CỘNG'!B78</f>
        <v>Chi đầu tư từ nguồn xổ số kiến thiết</v>
      </c>
      <c r="C86" s="5032">
        <f>'Phụ lục 8-HĐND'!D19</f>
        <v>0</v>
      </c>
    </row>
    <row r="87" spans="1:3">
      <c r="A87" s="5385" t="s">
        <v>29</v>
      </c>
      <c r="B87" s="2780" t="s">
        <v>3253</v>
      </c>
      <c r="C87" s="5032">
        <f>'Phụ lục 8-HĐND'!D20</f>
        <v>1229</v>
      </c>
    </row>
    <row r="88" spans="1:3" ht="36">
      <c r="A88" s="5385" t="s">
        <v>29</v>
      </c>
      <c r="B88" s="2780" t="s">
        <v>3271</v>
      </c>
      <c r="C88" s="5032">
        <f>'Phụ lục 8-HĐND'!D21</f>
        <v>4750</v>
      </c>
    </row>
    <row r="89" spans="1:3" ht="18.600000000000001" thickBot="1">
      <c r="A89" s="5390"/>
      <c r="B89" s="5434" t="s">
        <v>3243</v>
      </c>
      <c r="C89" s="5059">
        <f>'Phụ lục 8-HĐND'!D22</f>
        <v>13323.758032636268</v>
      </c>
    </row>
    <row r="90" spans="1:3" ht="18.600000000000001" thickTop="1"/>
    <row r="91" spans="1:3">
      <c r="A91" s="588" t="s">
        <v>1717</v>
      </c>
      <c r="B91" s="2903"/>
    </row>
    <row r="92" spans="1:3">
      <c r="A92" s="6761" t="s">
        <v>1828</v>
      </c>
      <c r="B92" s="6762"/>
      <c r="C92" s="6762"/>
    </row>
    <row r="93" spans="1:3" s="2705" customFormat="1">
      <c r="A93" s="6763" t="str">
        <f>+'TỔNG CỘNG'!A91:C91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63"/>
      <c r="C93" s="6763"/>
    </row>
    <row r="94" spans="1:3" s="2705" customFormat="1">
      <c r="A94" s="6763" t="str">
        <f>+'TỔNG CỘNG'!A92:C92</f>
        <v>- Chưa bao gồm chi đầu tư từ nguồn vốn do ngân sách cấp tỉnh quản lý và phân bổ bổ sung có mục tiêu cho ngân sách huyện, thành phố</v>
      </c>
      <c r="B94" s="6763"/>
      <c r="C94" s="6763"/>
    </row>
    <row r="95" spans="1:3">
      <c r="A95" s="6764" t="s">
        <v>1829</v>
      </c>
      <c r="B95" s="6764"/>
      <c r="C95" s="6764"/>
    </row>
    <row r="96" spans="1:3" ht="60.75" customHeight="1">
      <c r="A96" s="6763" t="str">
        <f>+'TỔNG CỘNG'!A94:C94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63"/>
      <c r="C96" s="6763"/>
    </row>
    <row r="97" spans="1:3" s="596" customFormat="1" ht="40.5" customHeight="1">
      <c r="A97" s="6758" t="str">
        <f>+'TỔNG CỘNG'!A95:C95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58"/>
      <c r="C97" s="6758"/>
    </row>
    <row r="98" spans="1:3">
      <c r="A98" s="6760" t="str">
        <f>+'TỔNG CỘNG'!A96:B96</f>
        <v xml:space="preserve">- Bao gồm 10% tiết kiệm tăng thêm năm 2025 so với năm 2024 để thực hiện cải cách tiền lương năm 2025 là: </v>
      </c>
      <c r="B98" s="6760"/>
      <c r="C98" s="2912" t="s">
        <v>3272</v>
      </c>
    </row>
    <row r="99" spans="1:3" s="2704" customFormat="1" ht="17.399999999999999">
      <c r="A99" s="6765" t="str">
        <f>'[2]TỔNG CỘNG'!A91:C91</f>
        <v>(3): Trong đó:</v>
      </c>
      <c r="B99" s="6765"/>
      <c r="C99" s="6765"/>
    </row>
    <row r="100" spans="1:3" s="2705" customFormat="1" ht="63.75" customHeight="1">
      <c r="A100" s="6763" t="str">
        <f>+'TỔNG CỘNG'!A98:C98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63"/>
      <c r="C100" s="6763"/>
    </row>
    <row r="126" spans="1:3" s="386" customFormat="1" ht="17.399999999999999">
      <c r="A126" s="6281" t="str">
        <f>+'TỔNG CỘNG'!A123:C123</f>
        <v>PHỤ LỤC III</v>
      </c>
      <c r="B126" s="6281"/>
      <c r="C126" s="6281"/>
    </row>
    <row r="127" spans="1:3" s="386" customFormat="1" ht="17.399999999999999">
      <c r="A127" s="6281" t="str">
        <f>+'TỔNG CỘNG'!A124:C124</f>
        <v>CHI TỪ NGUỒN NGÂN SÁCH CẤP TỈNH BỔ SUNG CÓ MỤC TIÊU NĂM 2025</v>
      </c>
      <c r="B127" s="6281"/>
      <c r="C127" s="6281"/>
    </row>
    <row r="128" spans="1:3" s="386" customFormat="1" ht="17.399999999999999">
      <c r="A128" s="6281" t="str">
        <f>A68</f>
        <v>HUYỆN HỒNG NGỰ</v>
      </c>
      <c r="B128" s="6281"/>
      <c r="C128" s="6281"/>
    </row>
    <row r="129" spans="1:5" s="386" customFormat="1">
      <c r="A129" s="6496" t="str">
        <f>+A69</f>
        <v>(Kèm theo Quyết định số        /QĐ-UBND-HC ngày      /12/2024 của Uỷ ban nhân dân tỉnh Đồng Tháp)</v>
      </c>
      <c r="B129" s="6496"/>
      <c r="C129" s="6496"/>
    </row>
    <row r="131" spans="1:5" ht="18.600000000000001" thickBot="1">
      <c r="A131" s="2899"/>
      <c r="B131" s="2899"/>
      <c r="C131" s="2883" t="str">
        <f>C71</f>
        <v>Đơn vị tính: Triệu đồng</v>
      </c>
    </row>
    <row r="132" spans="1:5" ht="35.4" thickTop="1">
      <c r="A132" s="5014" t="s">
        <v>136</v>
      </c>
      <c r="B132" s="4862" t="s">
        <v>137</v>
      </c>
      <c r="C132" s="4861" t="str">
        <f>C72</f>
        <v>Dự toán năm 2025</v>
      </c>
    </row>
    <row r="133" spans="1:5" s="596" customFormat="1">
      <c r="A133" s="5015"/>
      <c r="B133" s="682" t="s">
        <v>3196</v>
      </c>
      <c r="C133" s="5046">
        <f>SUM(C134:C145)</f>
        <v>59762.99</v>
      </c>
      <c r="E133" s="597">
        <f>+C42-C133</f>
        <v>0</v>
      </c>
    </row>
    <row r="134" spans="1:5" s="380" customFormat="1" ht="36">
      <c r="A134" s="593">
        <v>1</v>
      </c>
      <c r="B134" s="5022" t="s">
        <v>805</v>
      </c>
      <c r="C134" s="5047">
        <f>'Phụ lục số 8.1'!P14</f>
        <v>14893.36</v>
      </c>
    </row>
    <row r="135" spans="1:5" s="596" customFormat="1">
      <c r="A135" s="593">
        <v>2</v>
      </c>
      <c r="B135" s="5022" t="str">
        <f>+'TỔNG CỘNG'!B132</f>
        <v>Kinh phí hỗ trợ địa phương sản xuất lúa</v>
      </c>
      <c r="C135" s="5047">
        <f>'Phụ lục số 8.1'!P15</f>
        <v>15250</v>
      </c>
    </row>
    <row r="136" spans="1:5" s="596" customFormat="1">
      <c r="A136" s="593">
        <v>3</v>
      </c>
      <c r="B136" s="5022" t="str">
        <f>+'TỔNG CỘNG'!B133</f>
        <v>Kinh phí biên chế giáo viên tăng thêm</v>
      </c>
      <c r="C136" s="5047">
        <f>+'Phụ lục số 8.1'!P18</f>
        <v>1229</v>
      </c>
    </row>
    <row r="137" spans="1:5" s="596" customFormat="1" ht="36">
      <c r="A137" s="593">
        <v>4</v>
      </c>
      <c r="B137" s="2525" t="s">
        <v>1608</v>
      </c>
      <c r="C137" s="5047">
        <f>'Phụ lục số 8.3-CĐCS'!AC13+'Phụ lục số 8.3-CĐCS'!AC14</f>
        <v>221</v>
      </c>
    </row>
    <row r="138" spans="1:5" s="596" customFormat="1">
      <c r="A138" s="593">
        <v>5</v>
      </c>
      <c r="B138" s="2525" t="s">
        <v>3197</v>
      </c>
      <c r="C138" s="5047"/>
    </row>
    <row r="139" spans="1:5" s="380" customFormat="1" ht="36">
      <c r="A139" s="593">
        <v>6</v>
      </c>
      <c r="B139" s="2525" t="s">
        <v>3198</v>
      </c>
      <c r="C139" s="5047">
        <f>'Phụ lục số 8.3-CĐCS'!AC15</f>
        <v>201</v>
      </c>
    </row>
    <row r="140" spans="1:5" s="596" customFormat="1" ht="36">
      <c r="A140" s="593">
        <v>7</v>
      </c>
      <c r="B140" s="2525" t="s">
        <v>3199</v>
      </c>
      <c r="C140" s="5047">
        <f>'Phụ lục số 8.3-CĐCS'!AC17+'Phụ lục số 8.3-CĐCS'!AC18</f>
        <v>24293</v>
      </c>
    </row>
    <row r="141" spans="1:5" s="596" customFormat="1" ht="36">
      <c r="A141" s="593">
        <v>8</v>
      </c>
      <c r="B141" s="2525" t="s">
        <v>1093</v>
      </c>
      <c r="C141" s="5047"/>
    </row>
    <row r="142" spans="1:5" ht="36">
      <c r="A142" s="593">
        <v>9</v>
      </c>
      <c r="B142" s="5012" t="s">
        <v>3156</v>
      </c>
      <c r="C142" s="5047">
        <f>'Phụ lục số 8.1'!P20</f>
        <v>986.43</v>
      </c>
    </row>
    <row r="143" spans="1:5">
      <c r="A143" s="593">
        <v>10</v>
      </c>
      <c r="B143" s="5013" t="s">
        <v>1510</v>
      </c>
      <c r="C143" s="5047">
        <f>'Phụ lục số 8.1'!P21</f>
        <v>0</v>
      </c>
    </row>
    <row r="144" spans="1:5">
      <c r="A144" s="593">
        <v>11</v>
      </c>
      <c r="B144" s="5013" t="str">
        <f>+'TỔNG CỘNG'!B141</f>
        <v>Kinh phí thực hiện hỗ trợ đào tạo nghề trình độ sơ cấp và đào tạo dưới 03 tháng năm 2025</v>
      </c>
      <c r="C144" s="5047"/>
    </row>
    <row r="145" spans="1:3" ht="18.600000000000001" thickBot="1">
      <c r="A145" s="5019">
        <v>12</v>
      </c>
      <c r="B145" s="5191" t="str">
        <f>+'TỔNG CỘNG'!B142</f>
        <v>Kinh phí tổ chức đại hội Đảng nhiệm kỳ 2025 - 2030</v>
      </c>
      <c r="C145" s="5048">
        <f>+'Phụ lục số 8.1'!P16</f>
        <v>2689.2</v>
      </c>
    </row>
    <row r="146" spans="1:3" ht="18.600000000000001" thickTop="1"/>
    <row r="147" spans="1:3">
      <c r="C147" s="667">
        <f>C42</f>
        <v>59762.99</v>
      </c>
    </row>
    <row r="148" spans="1:3">
      <c r="C148" s="5044">
        <f>C147-C133</f>
        <v>0</v>
      </c>
    </row>
  </sheetData>
  <mergeCells count="25">
    <mergeCell ref="A129:C129"/>
    <mergeCell ref="A98:B98"/>
    <mergeCell ref="A99:C99"/>
    <mergeCell ref="A100:C100"/>
    <mergeCell ref="A126:C126"/>
    <mergeCell ref="A127:C127"/>
    <mergeCell ref="A128:C128"/>
    <mergeCell ref="A97:C97"/>
    <mergeCell ref="A48:C48"/>
    <mergeCell ref="A50:C50"/>
    <mergeCell ref="A66:C66"/>
    <mergeCell ref="A67:C67"/>
    <mergeCell ref="A68:C68"/>
    <mergeCell ref="A69:C69"/>
    <mergeCell ref="A92:C92"/>
    <mergeCell ref="A93:C93"/>
    <mergeCell ref="A94:C94"/>
    <mergeCell ref="A95:C95"/>
    <mergeCell ref="A96:C96"/>
    <mergeCell ref="A47:C47"/>
    <mergeCell ref="A1:C1"/>
    <mergeCell ref="A2:C2"/>
    <mergeCell ref="A3:C3"/>
    <mergeCell ref="A4:C4"/>
    <mergeCell ref="A46:C46"/>
  </mergeCells>
  <hyperlinks>
    <hyperlink ref="A72" location="'List danh mục'!A1" display="Số TT"/>
    <hyperlink ref="A7" location="'Danh mục file'!A1" display="STT"/>
    <hyperlink ref="A132"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E138"/>
  <sheetViews>
    <sheetView topLeftCell="A78" workbookViewId="0">
      <selection activeCell="B84" sqref="B84"/>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HỒNG NGỰ'!A1:C1</f>
        <v>PHỤ LỤC I</v>
      </c>
      <c r="B1" s="6281"/>
      <c r="C1" s="6281"/>
    </row>
    <row r="2" spans="1:3">
      <c r="A2" s="6281" t="str" cm="1">
        <f t="array" ref="A2">'H. HỒNG NGỰ'!A2:C2</f>
        <v>NHIỆM VỤ THU NGÂN SÁCH NHÀ NƯỚC NĂM 2025</v>
      </c>
      <c r="B2" s="6281"/>
      <c r="C2" s="6281"/>
    </row>
    <row r="3" spans="1:3">
      <c r="A3" s="6281" t="s">
        <v>1488</v>
      </c>
      <c r="B3" s="6281"/>
      <c r="C3" s="6281"/>
    </row>
    <row r="4" spans="1:3">
      <c r="A4" s="6498" t="str">
        <f>+'H. HỒNG NGỰ'!A4:C4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392350</v>
      </c>
    </row>
    <row r="9" spans="1:3">
      <c r="A9" s="5025"/>
      <c r="B9" s="697" t="s">
        <v>784</v>
      </c>
      <c r="C9" s="5026">
        <f>C8-C29</f>
        <v>102350</v>
      </c>
    </row>
    <row r="10" spans="1:3">
      <c r="A10" s="5027">
        <v>1</v>
      </c>
      <c r="B10" s="701" t="s">
        <v>1477</v>
      </c>
      <c r="C10" s="5028">
        <f>SUM(C11:C15)</f>
        <v>35000</v>
      </c>
    </row>
    <row r="11" spans="1:3">
      <c r="A11" s="5029" t="s">
        <v>29</v>
      </c>
      <c r="B11" s="704" t="s">
        <v>786</v>
      </c>
      <c r="C11" s="5032">
        <f>'Phụ lục 7-HĐND'!I10</f>
        <v>23660</v>
      </c>
    </row>
    <row r="12" spans="1:3">
      <c r="A12" s="5029" t="s">
        <v>29</v>
      </c>
      <c r="B12" s="704" t="s">
        <v>787</v>
      </c>
      <c r="C12" s="5032">
        <f>'Phụ lục 7-HĐND'!I11</f>
        <v>11000</v>
      </c>
    </row>
    <row r="13" spans="1:3">
      <c r="A13" s="5029" t="s">
        <v>29</v>
      </c>
      <c r="B13" s="704" t="s">
        <v>788</v>
      </c>
      <c r="C13" s="5032">
        <f>'Phụ lục 7-HĐND'!I12</f>
        <v>300</v>
      </c>
    </row>
    <row r="14" spans="1:3">
      <c r="A14" s="5029" t="s">
        <v>29</v>
      </c>
      <c r="B14" s="704" t="s">
        <v>10</v>
      </c>
      <c r="C14" s="5032">
        <f>'Phụ lục 7-HĐND'!I13</f>
        <v>40</v>
      </c>
    </row>
    <row r="15" spans="1:3">
      <c r="A15" s="5029" t="s">
        <v>29</v>
      </c>
      <c r="B15" s="704" t="s">
        <v>789</v>
      </c>
      <c r="C15" s="5032">
        <f>'Phụ lục 7-HĐND'!I14</f>
        <v>0</v>
      </c>
    </row>
    <row r="16" spans="1:3">
      <c r="A16" s="5027">
        <v>2</v>
      </c>
      <c r="B16" s="701" t="s">
        <v>20</v>
      </c>
      <c r="C16" s="5028">
        <f>SUM(C17:C18)</f>
        <v>21000</v>
      </c>
    </row>
    <row r="17" spans="1:3" hidden="1">
      <c r="A17" s="5031" t="s">
        <v>29</v>
      </c>
      <c r="B17" s="43" t="s">
        <v>790</v>
      </c>
      <c r="C17" s="5032">
        <f>'Phụ lục 7-HĐND'!I16</f>
        <v>0</v>
      </c>
    </row>
    <row r="18" spans="1:3" hidden="1">
      <c r="A18" s="5033" t="s">
        <v>29</v>
      </c>
      <c r="B18" s="711" t="s">
        <v>791</v>
      </c>
      <c r="C18" s="5032">
        <f>'Phụ lục 7-HĐND'!I17</f>
        <v>21000</v>
      </c>
    </row>
    <row r="19" spans="1:3">
      <c r="A19" s="5027">
        <v>3</v>
      </c>
      <c r="B19" s="701" t="s">
        <v>17</v>
      </c>
      <c r="C19" s="5028">
        <f>'Phụ lục 7-HĐND'!I18</f>
        <v>20000</v>
      </c>
    </row>
    <row r="20" spans="1:3">
      <c r="A20" s="5027">
        <v>4</v>
      </c>
      <c r="B20" s="701" t="s">
        <v>792</v>
      </c>
      <c r="C20" s="5028">
        <f>'Phụ lục 7-HĐND'!I19</f>
        <v>0</v>
      </c>
    </row>
    <row r="21" spans="1:3">
      <c r="A21" s="5027">
        <v>4</v>
      </c>
      <c r="B21" s="701" t="s">
        <v>97</v>
      </c>
      <c r="C21" s="5028">
        <f>'Phụ lục 7-HĐND'!I20</f>
        <v>250</v>
      </c>
    </row>
    <row r="22" spans="1:3">
      <c r="A22" s="5027">
        <v>5</v>
      </c>
      <c r="B22" s="701" t="s">
        <v>793</v>
      </c>
      <c r="C22" s="5028">
        <f>SUM(C23:C25)</f>
        <v>6000</v>
      </c>
    </row>
    <row r="23" spans="1:3">
      <c r="A23" s="5034" t="s">
        <v>29</v>
      </c>
      <c r="B23" s="43" t="s">
        <v>794</v>
      </c>
      <c r="C23" s="5032">
        <f>'Phụ lục 7-HĐND'!I22</f>
        <v>3000</v>
      </c>
    </row>
    <row r="24" spans="1:3">
      <c r="A24" s="5034" t="s">
        <v>29</v>
      </c>
      <c r="B24" s="43" t="s">
        <v>795</v>
      </c>
      <c r="C24" s="5032">
        <f>'Phụ lục 7-HĐND'!I23</f>
        <v>0</v>
      </c>
    </row>
    <row r="25" spans="1:3">
      <c r="A25" s="5034" t="s">
        <v>29</v>
      </c>
      <c r="B25" s="43" t="s">
        <v>796</v>
      </c>
      <c r="C25" s="5032">
        <f>'Phụ lục 7-HĐND'!I24</f>
        <v>3000</v>
      </c>
    </row>
    <row r="26" spans="1:3">
      <c r="A26" s="5027">
        <v>6</v>
      </c>
      <c r="B26" s="701" t="s">
        <v>24</v>
      </c>
      <c r="C26" s="5028">
        <f>SUM(C27:C28)</f>
        <v>6000</v>
      </c>
    </row>
    <row r="27" spans="1:3">
      <c r="A27" s="5034" t="s">
        <v>29</v>
      </c>
      <c r="B27" s="43" t="s">
        <v>790</v>
      </c>
      <c r="C27" s="5032">
        <f>'Phụ lục 7-HĐND'!I26</f>
        <v>0</v>
      </c>
    </row>
    <row r="28" spans="1:3">
      <c r="A28" s="5035" t="s">
        <v>29</v>
      </c>
      <c r="B28" s="711" t="s">
        <v>1809</v>
      </c>
      <c r="C28" s="5032">
        <f>'Phụ lục 7-HĐND'!I27</f>
        <v>6000</v>
      </c>
    </row>
    <row r="29" spans="1:3">
      <c r="A29" s="5027">
        <v>7</v>
      </c>
      <c r="B29" s="701" t="s">
        <v>242</v>
      </c>
      <c r="C29" s="5028">
        <f>SUM(C30:C31)</f>
        <v>290000</v>
      </c>
    </row>
    <row r="30" spans="1:3">
      <c r="A30" s="5034" t="s">
        <v>29</v>
      </c>
      <c r="B30" s="43" t="s">
        <v>790</v>
      </c>
      <c r="C30" s="5032">
        <f>'Phụ lục 7-HĐND'!I29</f>
        <v>0</v>
      </c>
    </row>
    <row r="31" spans="1:3">
      <c r="A31" s="5035" t="s">
        <v>29</v>
      </c>
      <c r="B31" s="711" t="s">
        <v>1810</v>
      </c>
      <c r="C31" s="5032">
        <f>'Phụ lục 7-HĐND'!I30</f>
        <v>290000</v>
      </c>
    </row>
    <row r="32" spans="1:3">
      <c r="A32" s="5027">
        <v>8</v>
      </c>
      <c r="B32" s="701" t="s">
        <v>798</v>
      </c>
      <c r="C32" s="5028">
        <f>SUM(C33:C35)</f>
        <v>14000</v>
      </c>
    </row>
    <row r="33" spans="1:3">
      <c r="A33" s="5034" t="s">
        <v>29</v>
      </c>
      <c r="B33" s="43" t="s">
        <v>799</v>
      </c>
      <c r="C33" s="5032">
        <f>'Phụ lục 7-HĐND'!I32</f>
        <v>3000</v>
      </c>
    </row>
    <row r="34" spans="1:3">
      <c r="A34" s="5034" t="s">
        <v>29</v>
      </c>
      <c r="B34" s="43" t="s">
        <v>800</v>
      </c>
      <c r="C34" s="5032">
        <f>'Phụ lục 7-HĐND'!I33</f>
        <v>3000</v>
      </c>
    </row>
    <row r="35" spans="1:3">
      <c r="A35" s="5034" t="s">
        <v>29</v>
      </c>
      <c r="B35" s="43" t="s">
        <v>801</v>
      </c>
      <c r="C35" s="5032">
        <f>'Phụ lục 7-HĐND'!I34</f>
        <v>8000</v>
      </c>
    </row>
    <row r="36" spans="1:3">
      <c r="A36" s="5027">
        <v>9</v>
      </c>
      <c r="B36" s="2895" t="s">
        <v>1811</v>
      </c>
      <c r="C36" s="5028">
        <f>'Phụ lục 7-HĐND'!I35</f>
        <v>100</v>
      </c>
    </row>
    <row r="37" spans="1:3">
      <c r="A37" s="5027" t="s">
        <v>33</v>
      </c>
      <c r="B37" s="701" t="s">
        <v>1812</v>
      </c>
      <c r="C37" s="5037"/>
    </row>
    <row r="38" spans="1:3">
      <c r="A38" s="5027"/>
      <c r="B38" s="704" t="s">
        <v>1827</v>
      </c>
      <c r="C38" s="5038">
        <v>1</v>
      </c>
    </row>
    <row r="39" spans="1:3" s="596" customFormat="1">
      <c r="A39" s="4971" t="s">
        <v>182</v>
      </c>
      <c r="B39" s="4972" t="s">
        <v>802</v>
      </c>
      <c r="C39" s="613">
        <f>SUM(C40:C42)</f>
        <v>414420.174</v>
      </c>
    </row>
    <row r="40" spans="1:3" s="596" customFormat="1">
      <c r="A40" s="1926">
        <v>1</v>
      </c>
      <c r="B40" s="4968" t="s">
        <v>803</v>
      </c>
      <c r="C40" s="2608">
        <f>'Phụ lục 7-HĐND'!I37</f>
        <v>225665</v>
      </c>
    </row>
    <row r="41" spans="1:3" s="596" customFormat="1">
      <c r="A41" s="1926">
        <v>2</v>
      </c>
      <c r="B41" s="1927" t="s">
        <v>3136</v>
      </c>
      <c r="C41" s="2608">
        <f>'Phụ lục 7-HĐND'!I38</f>
        <v>141419</v>
      </c>
    </row>
    <row r="42" spans="1:3" s="596" customFormat="1">
      <c r="A42" s="1926">
        <v>3</v>
      </c>
      <c r="B42" s="4968" t="s">
        <v>3206</v>
      </c>
      <c r="C42" s="2608">
        <f>'Phụ lục 7-HĐND'!I39</f>
        <v>47336.173999999999</v>
      </c>
    </row>
    <row r="43" spans="1:3" s="596" customFormat="1" ht="18.600000000000001" thickBot="1">
      <c r="A43" s="4539" t="s">
        <v>215</v>
      </c>
      <c r="B43" s="5042" t="s">
        <v>1721</v>
      </c>
      <c r="C43" s="5043">
        <f>'Phụ lục 7-HĐND'!I40</f>
        <v>0</v>
      </c>
    </row>
    <row r="44" spans="1:3" ht="18.600000000000001" thickTop="1">
      <c r="A44" s="2914"/>
      <c r="B44" s="2914" t="s">
        <v>809</v>
      </c>
      <c r="C44" s="2915"/>
    </row>
    <row r="46" spans="1:3">
      <c r="A46" s="6744" t="s">
        <v>1717</v>
      </c>
      <c r="B46" s="6744"/>
      <c r="C46" s="6744"/>
    </row>
    <row r="47" spans="1:3" ht="40.5" customHeight="1">
      <c r="A47" s="6757" t="str">
        <f>+'H. HỒNG NGỰ'!A47:C47</f>
        <v xml:space="preserve">(1): Dự toán thu ngân sách nhà nước năm 2025 không bao gồm các khoản huy động nhân dân đóng góp, các khoản ghi thu, ghi chi vào ngân sách nhà nước theo chế độ quy định.
</v>
      </c>
      <c r="B47" s="6757"/>
      <c r="C47" s="6757"/>
    </row>
    <row r="48" spans="1:3" ht="97.5" customHeight="1">
      <c r="A48" s="6759" t="str">
        <f>+'H.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HỒNG NGỰ'!A49</f>
        <v>(4): Các khoản thu phân chia theo tỷ lệ (%) giữa ngân sách cấp Tỉnh và ngân sách cấp huyện</v>
      </c>
    </row>
    <row r="50" spans="1:3">
      <c r="A50" s="381" t="str">
        <f>+'H. HỒNG NGỰ'!A50:C50</f>
        <v>(5): Chi tiết thu bổ sung có mục tiêu theo Phụ lục số III</v>
      </c>
    </row>
    <row r="61" spans="1:3">
      <c r="A61" s="6281" t="str">
        <f>+'H. HỒNG NGỰ'!A66:C66</f>
        <v>PHỤ LỤC II</v>
      </c>
      <c r="B61" s="6281"/>
      <c r="C61" s="6281"/>
    </row>
    <row r="62" spans="1:3">
      <c r="A62" s="6281" t="str">
        <f>+'H. HỒNG NGỰ'!A67:C67</f>
        <v>NHIỆM VỤ CHI NGÂN SÁCH HUYỆN, THÀNH PHỐ NĂM 2025</v>
      </c>
      <c r="B62" s="6281"/>
      <c r="C62" s="6281"/>
    </row>
    <row r="63" spans="1:3">
      <c r="A63" s="6281" t="str">
        <f>A3</f>
        <v>THÀNH PHỐ HỒNG NGỰ</v>
      </c>
      <c r="B63" s="6281"/>
      <c r="C63" s="6281"/>
    </row>
    <row r="64" spans="1:3">
      <c r="A64" s="6498" t="str">
        <f>A4</f>
        <v>(Kèm theo Quyết định số        /QĐ-UBND-HC ngày      /12/2024 của Uỷ ban nhân dân tỉnh Đồng Tháp)</v>
      </c>
      <c r="B64" s="6498"/>
      <c r="C64" s="6498"/>
    </row>
    <row r="65" spans="1:3">
      <c r="A65" s="2891"/>
      <c r="B65" s="2891"/>
      <c r="C65" s="2891"/>
    </row>
    <row r="66" spans="1:3" ht="18.600000000000001" thickBot="1">
      <c r="A66" s="2891"/>
      <c r="B66" s="2891"/>
      <c r="C66" s="431" t="str">
        <f>C6</f>
        <v>Đơn vị tính: Triệu đồng</v>
      </c>
    </row>
    <row r="67" spans="1:3" s="382" customFormat="1" ht="35.4" thickTop="1">
      <c r="A67" s="2752" t="s">
        <v>136</v>
      </c>
      <c r="B67" s="4850" t="str">
        <f>'[2]H. HỒNG NGỰ'!B64</f>
        <v>Nội dung</v>
      </c>
      <c r="C67" s="4543" t="str">
        <f>C7</f>
        <v>Dự toán năm 2025</v>
      </c>
    </row>
    <row r="68" spans="1:3">
      <c r="A68" s="5049"/>
      <c r="B68" s="693" t="str">
        <f>'[2]H. HỒNG NGỰ'!B65</f>
        <v>Tổng chi (I+II+III+IV)</v>
      </c>
      <c r="C68" s="5024">
        <f>C69+C73+C77+C78+C79</f>
        <v>767830.17399999988</v>
      </c>
    </row>
    <row r="69" spans="1:3">
      <c r="A69" s="5050" t="s">
        <v>3</v>
      </c>
      <c r="B69" s="2910" t="str">
        <f>'[2]H. HỒNG NGỰ'!B66</f>
        <v>Chi đầu tư phát triển (1)</v>
      </c>
      <c r="C69" s="5028">
        <f>SUM(C71:C72)</f>
        <v>289000</v>
      </c>
    </row>
    <row r="70" spans="1:3">
      <c r="A70" s="5051"/>
      <c r="B70" s="2916" t="str">
        <f>'[2]H. HỒNG NGỰ'!B67</f>
        <v>Bao gồm:</v>
      </c>
      <c r="C70" s="5032"/>
    </row>
    <row r="71" spans="1:3">
      <c r="A71" s="5052">
        <v>1</v>
      </c>
      <c r="B71" s="2917" t="str">
        <f>'[2]H. HỒNG NGỰ'!B68</f>
        <v>Chi đầu tư xây dựng cơ bản</v>
      </c>
      <c r="C71" s="5032">
        <f>'Phụ lục 8-HĐND'!E9</f>
        <v>28000</v>
      </c>
    </row>
    <row r="72" spans="1:3">
      <c r="A72" s="5052">
        <v>2</v>
      </c>
      <c r="B72" s="2917" t="str">
        <f>'[2]H. HỒNG NGỰ'!B69</f>
        <v>Chi đầu tư từ nguồn thu tiền sử dụng đất</v>
      </c>
      <c r="C72" s="5032">
        <f>'Phụ lục 8-HĐND'!E10</f>
        <v>261000</v>
      </c>
    </row>
    <row r="73" spans="1:3">
      <c r="A73" s="5050" t="s">
        <v>33</v>
      </c>
      <c r="B73" s="2910" t="str">
        <f>'[2]H. HỒNG NGỰ'!B70</f>
        <v>Chi thường xuyên (2)</v>
      </c>
      <c r="C73" s="5028">
        <f>'Phụ lục 8-HĐND'!E11</f>
        <v>452281.24502259243</v>
      </c>
    </row>
    <row r="74" spans="1:3">
      <c r="A74" s="5053"/>
      <c r="B74" s="2907" t="str">
        <f>'[2]H. HỒNG NGỰ'!B71</f>
        <v>Bao gồm:</v>
      </c>
      <c r="C74" s="5032"/>
    </row>
    <row r="75" spans="1:3">
      <c r="A75" s="5052">
        <v>1</v>
      </c>
      <c r="B75" s="2909" t="str">
        <f>'[2]H. HỒNG NGỰ'!B72</f>
        <v>Sự nghiệp giáo dục - đào tạo (3)</v>
      </c>
      <c r="C75" s="5032">
        <f>'Phụ lục 8-HĐND'!E13</f>
        <v>232764.4</v>
      </c>
    </row>
    <row r="76" spans="1:3">
      <c r="A76" s="5052">
        <v>2</v>
      </c>
      <c r="B76" s="2909" t="str">
        <f>'[2]H. HỒNG NGỰ'!B73</f>
        <v>Các khoản chi thường xuyên còn lại</v>
      </c>
      <c r="C76" s="5032">
        <f>'Phụ lục 8-HĐND'!E14</f>
        <v>219516.84502259243</v>
      </c>
    </row>
    <row r="77" spans="1:3">
      <c r="A77" s="5050" t="s">
        <v>182</v>
      </c>
      <c r="B77" s="2910" t="str">
        <f>'[2]H. HỒNG NGỰ'!B74</f>
        <v>Dự phòng ngân sách</v>
      </c>
      <c r="C77" s="5054">
        <f>'Phụ lục 8-HĐND'!E15</f>
        <v>14699.4</v>
      </c>
    </row>
    <row r="78" spans="1:3">
      <c r="A78" s="5050" t="s">
        <v>215</v>
      </c>
      <c r="B78" s="2910" t="str">
        <f>'[2]H. HỒNG NGỰ'!B75</f>
        <v>Chi tạo nguồn cải cách tiền lương</v>
      </c>
      <c r="C78" s="5028">
        <f>'Phụ lục 8-HĐND'!E16</f>
        <v>0</v>
      </c>
    </row>
    <row r="79" spans="1:3">
      <c r="A79" s="5073" t="s">
        <v>718</v>
      </c>
      <c r="B79" s="701" t="str">
        <f>'[2]H. HỒNG NGỰ'!B76</f>
        <v>Chi từ nguồn ngân sách cấp Tỉnh bổ sung có mục tiêu</v>
      </c>
      <c r="C79" s="5028">
        <f>SUM(C80:C84)</f>
        <v>11849.528977407539</v>
      </c>
    </row>
    <row r="80" spans="1:3">
      <c r="A80" s="5055" t="s">
        <v>29</v>
      </c>
      <c r="B80" s="704" t="str">
        <f>+'H. HỒNG NGỰ'!B85</f>
        <v>Chi đầu tư xây dựng cơ bản</v>
      </c>
      <c r="C80" s="5032">
        <f>'Phụ lục 8-HĐND'!E18</f>
        <v>0</v>
      </c>
    </row>
    <row r="81" spans="1:3">
      <c r="A81" s="5055" t="s">
        <v>29</v>
      </c>
      <c r="B81" s="704" t="str">
        <f>+'H. HỒNG NGỰ'!B86</f>
        <v>Chi đầu tư từ nguồn xổ số kiến thiết</v>
      </c>
      <c r="C81" s="5032">
        <f>'Phụ lục 8-HĐND'!E19</f>
        <v>0</v>
      </c>
    </row>
    <row r="82" spans="1:3">
      <c r="A82" s="5055" t="s">
        <v>29</v>
      </c>
      <c r="B82" s="704" t="str">
        <f>+'H. HỒNG NGỰ'!B87</f>
        <v>Chi từ nguồn ngân sách trung ương bổ sung có mục tiêu (kinh phí biên chế giáo viên tăng thêm)</v>
      </c>
      <c r="C82" s="5032">
        <f>'Phụ lục 8-HĐND'!E20</f>
        <v>722</v>
      </c>
    </row>
    <row r="83" spans="1:3">
      <c r="A83" s="5056" t="s">
        <v>29</v>
      </c>
      <c r="B83" s="2901" t="str">
        <f>+'H. HỒNG NGỰ'!B88</f>
        <v>Chi từ nguồn ngân sách trung ương bổ sung có mục tiêu (kinh phí hỗ trợ địa phương sản xuất lúa năm 2025)</v>
      </c>
      <c r="C83" s="5032">
        <f>'Phụ lục 8-HĐND'!E21</f>
        <v>3750</v>
      </c>
    </row>
    <row r="84" spans="1:3" ht="18.600000000000001" thickBot="1">
      <c r="A84" s="5057"/>
      <c r="B84" s="5891" t="str">
        <f>+'H. HỒNG NGỰ'!B89</f>
        <v>Chi từ nguồn ngân sách trung ương bổ sung có mục tiêu (chính sách an sinh xã hội năm 2025)</v>
      </c>
      <c r="C84" s="5059">
        <f>'Phụ lục 8-HĐND'!E22</f>
        <v>7377.52897740754</v>
      </c>
    </row>
    <row r="85" spans="1:3" ht="18.600000000000001" thickTop="1"/>
    <row r="86" spans="1:3">
      <c r="A86" s="588" t="s">
        <v>1717</v>
      </c>
      <c r="B86" s="2903"/>
    </row>
    <row r="87" spans="1:3" s="2705" customFormat="1">
      <c r="A87" s="6767" t="s">
        <v>1831</v>
      </c>
      <c r="B87" s="6768"/>
      <c r="C87" s="6768"/>
    </row>
    <row r="88" spans="1:3" s="2705" customFormat="1">
      <c r="A88" s="6769" t="str">
        <f>+'H. HỒNG NGỰ'!A93:C93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8" s="6769"/>
      <c r="C88" s="6769"/>
    </row>
    <row r="89" spans="1:3" s="2705" customFormat="1">
      <c r="A89" s="6769" t="str">
        <f>+'H. HỒNG NGỰ'!A94:C94</f>
        <v>- Chưa bao gồm chi đầu tư từ nguồn vốn do ngân sách cấp tỉnh quản lý và phân bổ bổ sung có mục tiêu cho ngân sách huyện, thành phố</v>
      </c>
      <c r="B89" s="6769"/>
      <c r="C89" s="6769"/>
    </row>
    <row r="90" spans="1:3">
      <c r="A90" s="6764" t="s">
        <v>1829</v>
      </c>
      <c r="B90" s="6764"/>
      <c r="C90" s="6764"/>
    </row>
    <row r="91" spans="1:3" ht="60.75" customHeight="1">
      <c r="A91" s="6769" t="str">
        <f>+'H. HỒNG NGỰ'!A96:C96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1" s="6769"/>
      <c r="C91" s="6769"/>
    </row>
    <row r="92" spans="1:3" s="596" customFormat="1" ht="40.5" customHeight="1">
      <c r="A92" s="6770" t="str">
        <f>+'H. HỒNG NGỰ'!A97:C97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2" s="6770"/>
      <c r="C92" s="6770"/>
    </row>
    <row r="93" spans="1:3">
      <c r="A93" s="381" t="str">
        <f>+'H. HỒNG NGỰ'!A98:B98</f>
        <v xml:space="preserve">- Bao gồm 10% tiết kiệm tăng thêm năm 2025 so với năm 2024 để thực hiện cải cách tiền lương năm 2025 là: </v>
      </c>
      <c r="C93" s="2912" t="s">
        <v>1830</v>
      </c>
    </row>
    <row r="94" spans="1:3" s="2704" customFormat="1" ht="17.399999999999999">
      <c r="A94" s="6766" t="str">
        <f>'[2]H. HỒNG NGỰ'!A91:C91</f>
        <v>(3): Trong đó:</v>
      </c>
      <c r="B94" s="6766"/>
      <c r="C94" s="6766"/>
    </row>
    <row r="95" spans="1:3" s="2705" customFormat="1" ht="63" customHeight="1">
      <c r="A95" s="6769" t="str">
        <f>+'H. HỒNG NGỰ'!A100:C100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5" s="6769"/>
      <c r="C95" s="6769"/>
    </row>
    <row r="118" spans="1:5">
      <c r="A118" s="6281" t="str">
        <f>+'H. HỒNG NGỰ'!A126:C126</f>
        <v>PHỤ LỤC III</v>
      </c>
      <c r="B118" s="6281"/>
      <c r="C118" s="6281"/>
    </row>
    <row r="119" spans="1:5">
      <c r="A119" s="6281" t="str">
        <f>+'H. HỒNG NGỰ'!A127:C127</f>
        <v>CHI TỪ NGUỒN NGÂN SÁCH CẤP TỈNH BỔ SUNG CÓ MỤC TIÊU NĂM 2025</v>
      </c>
      <c r="B119" s="6281"/>
      <c r="C119" s="6281"/>
    </row>
    <row r="120" spans="1:5">
      <c r="A120" s="6281" t="str">
        <f>A63</f>
        <v>THÀNH PHỐ HỒNG NGỰ</v>
      </c>
      <c r="B120" s="6281"/>
      <c r="C120" s="6281"/>
    </row>
    <row r="121" spans="1:5">
      <c r="A121" s="6496" t="str">
        <f>+A64</f>
        <v>(Kèm theo Quyết định số        /QĐ-UBND-HC ngày      /12/2024 của Uỷ ban nhân dân tỉnh Đồng Tháp)</v>
      </c>
      <c r="B121" s="6496"/>
      <c r="C121" s="6496"/>
    </row>
    <row r="123" spans="1:5" ht="18.600000000000001" thickBot="1">
      <c r="A123" s="2899"/>
      <c r="B123" s="2899"/>
      <c r="C123" s="2883" t="str">
        <f>C66</f>
        <v>Đơn vị tính: Triệu đồng</v>
      </c>
    </row>
    <row r="124" spans="1:5" ht="35.4" thickTop="1">
      <c r="A124" s="5014" t="s">
        <v>136</v>
      </c>
      <c r="B124" s="4862" t="s">
        <v>137</v>
      </c>
      <c r="C124" s="4861" t="str">
        <f>C67</f>
        <v>Dự toán năm 2025</v>
      </c>
    </row>
    <row r="125" spans="1:5">
      <c r="A125" s="5015"/>
      <c r="B125" s="682" t="s">
        <v>3196</v>
      </c>
      <c r="C125" s="5046">
        <f>SUM(C126:C137)</f>
        <v>47336.173999999999</v>
      </c>
      <c r="E125" s="667">
        <f>+C42-C125</f>
        <v>0</v>
      </c>
    </row>
    <row r="126" spans="1:5" ht="36">
      <c r="A126" s="593">
        <v>1</v>
      </c>
      <c r="B126" s="5022" t="s">
        <v>805</v>
      </c>
      <c r="C126" s="4538">
        <f>'Phụ lục số 8.1'!X14</f>
        <v>7094.85</v>
      </c>
    </row>
    <row r="127" spans="1:5">
      <c r="A127" s="593">
        <v>2</v>
      </c>
      <c r="B127" s="5022" t="str">
        <f>+'H. HỒNG NGỰ'!B135</f>
        <v>Kinh phí hỗ trợ địa phương sản xuất lúa</v>
      </c>
      <c r="C127" s="4538">
        <f>'Phụ lục số 8.1'!X15</f>
        <v>12250</v>
      </c>
    </row>
    <row r="128" spans="1:5">
      <c r="A128" s="593">
        <v>3</v>
      </c>
      <c r="B128" s="5022" t="str">
        <f>+'H. HỒNG NGỰ'!B136</f>
        <v>Kinh phí biên chế giáo viên tăng thêm</v>
      </c>
      <c r="C128" s="4538">
        <f>+'Phụ lục số 8.1'!X18</f>
        <v>722</v>
      </c>
    </row>
    <row r="129" spans="1:3" ht="36">
      <c r="A129" s="593">
        <v>4</v>
      </c>
      <c r="B129" s="2525" t="s">
        <v>1608</v>
      </c>
      <c r="C129" s="4538">
        <f>'Phụ lục số 8.3-CĐCS'!AQ13</f>
        <v>300</v>
      </c>
    </row>
    <row r="130" spans="1:3">
      <c r="A130" s="593">
        <v>5</v>
      </c>
      <c r="B130" s="2525" t="s">
        <v>3197</v>
      </c>
      <c r="C130" s="4538">
        <f>'Phụ lục số 8.3-CĐCS'!AQ14</f>
        <v>52</v>
      </c>
    </row>
    <row r="131" spans="1:3" ht="36">
      <c r="A131" s="593">
        <v>6</v>
      </c>
      <c r="B131" s="2525" t="s">
        <v>3198</v>
      </c>
      <c r="C131" s="4538">
        <f>'Phụ lục số 8.3-CĐCS'!AQ15</f>
        <v>6</v>
      </c>
    </row>
    <row r="132" spans="1:3" ht="36">
      <c r="A132" s="593">
        <v>7</v>
      </c>
      <c r="B132" s="2525" t="s">
        <v>3199</v>
      </c>
      <c r="C132" s="5018">
        <f>'Phụ lục số 8.3-CĐCS'!AQ17+'Phụ lục số 8.3-CĐCS'!AQ18</f>
        <v>13327</v>
      </c>
    </row>
    <row r="133" spans="1:3" ht="36">
      <c r="A133" s="593">
        <v>8</v>
      </c>
      <c r="B133" s="2525" t="s">
        <v>1093</v>
      </c>
      <c r="C133" s="5017">
        <f>0</f>
        <v>0</v>
      </c>
    </row>
    <row r="134" spans="1:3" ht="36">
      <c r="A134" s="593">
        <v>9</v>
      </c>
      <c r="B134" s="5012" t="s">
        <v>3156</v>
      </c>
      <c r="C134" s="5018">
        <f>'Phụ lục số 8.1'!X20</f>
        <v>542.16</v>
      </c>
    </row>
    <row r="135" spans="1:3">
      <c r="A135" s="593">
        <v>10</v>
      </c>
      <c r="B135" s="5013" t="s">
        <v>1510</v>
      </c>
      <c r="C135" s="5018">
        <f>'Phụ lục số 8.1'!X22</f>
        <v>10860</v>
      </c>
    </row>
    <row r="136" spans="1:3">
      <c r="A136" s="593">
        <v>11</v>
      </c>
      <c r="B136" s="5013" t="str">
        <f>+'H. HỒNG NGỰ'!B144</f>
        <v>Kinh phí thực hiện hỗ trợ đào tạo nghề trình độ sơ cấp và đào tạo dưới 03 tháng năm 2025</v>
      </c>
      <c r="C136" s="5018"/>
    </row>
    <row r="137" spans="1:3" ht="18.600000000000001" thickBot="1">
      <c r="A137" s="5019">
        <v>12</v>
      </c>
      <c r="B137" s="5192" t="str">
        <f>+'H. HỒNG NGỰ'!B145</f>
        <v>Kinh phí tổ chức đại hội Đảng nhiệm kỳ 2025 - 2030</v>
      </c>
      <c r="C137" s="5021">
        <f>+'Phụ lục số 8.1'!X16</f>
        <v>2182.1640000000002</v>
      </c>
    </row>
    <row r="138" spans="1:3" ht="18.600000000000001" thickTop="1"/>
  </sheetData>
  <mergeCells count="23">
    <mergeCell ref="A95:C95"/>
    <mergeCell ref="A118:C118"/>
    <mergeCell ref="A119:C119"/>
    <mergeCell ref="A120:C120"/>
    <mergeCell ref="A121:C121"/>
    <mergeCell ref="A94:C94"/>
    <mergeCell ref="A48:C48"/>
    <mergeCell ref="A61:C61"/>
    <mergeCell ref="A62:C62"/>
    <mergeCell ref="A63:C63"/>
    <mergeCell ref="A64:C64"/>
    <mergeCell ref="A87:C87"/>
    <mergeCell ref="A88:C88"/>
    <mergeCell ref="A89:C89"/>
    <mergeCell ref="A90:C90"/>
    <mergeCell ref="A91:C91"/>
    <mergeCell ref="A92:C92"/>
    <mergeCell ref="A47:C47"/>
    <mergeCell ref="A1:C1"/>
    <mergeCell ref="A2:C2"/>
    <mergeCell ref="A3:C3"/>
    <mergeCell ref="A4:C4"/>
    <mergeCell ref="A46:C46"/>
  </mergeCells>
  <hyperlinks>
    <hyperlink ref="A67" location="'List danh mục'!A1" display="Số TT"/>
    <hyperlink ref="A7" location="'Danh mục file'!A1" display="STT"/>
    <hyperlink ref="A124" location="'List danh mục'!A1" display="Số TT"/>
  </hyperlinks>
  <printOptions horizontalCentered="1"/>
  <pageMargins left="0" right="0" top="0.39370078740157483" bottom="0.74803149606299213" header="0" footer="0"/>
  <pageSetup paperSize="9" scale="65" orientation="portrait" verticalDpi="0" r:id="rId1"/>
  <headerFooter>
    <oddHeader>&amp;R&amp;"Times New Roman,Regular"&amp;12&amp;A</oddHeader>
    <oddFooter>&amp;C&amp;"Times New Roman,Regular"&amp;10&amp;P/&amp;N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E147"/>
  <sheetViews>
    <sheetView topLeftCell="A81" workbookViewId="0">
      <selection activeCell="B138" sqref="B13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+'TP.  HỒNG NGỰ'!A1:C1</f>
        <v>PHỤ LỤC I</v>
      </c>
      <c r="B1" s="6281"/>
      <c r="C1" s="6281"/>
    </row>
    <row r="2" spans="1:3">
      <c r="A2" s="6281" t="str">
        <f>+'TP.  HỒNG NGỰ'!A2:C2</f>
        <v>NHIỆM VỤ THU NGÂN SÁCH NHÀ NƯỚC NĂM 2025</v>
      </c>
      <c r="B2" s="6281"/>
      <c r="C2" s="6281"/>
    </row>
    <row r="3" spans="1:3">
      <c r="A3" s="6281" t="s">
        <v>1489</v>
      </c>
      <c r="B3" s="6281"/>
      <c r="C3" s="6281"/>
    </row>
    <row r="4" spans="1:3">
      <c r="A4" s="6498" t="str">
        <f>+'TP.  HỒNG NGỰ'!A4:C4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104800</v>
      </c>
    </row>
    <row r="9" spans="1:3">
      <c r="A9" s="5025"/>
      <c r="B9" s="697" t="s">
        <v>784</v>
      </c>
      <c r="C9" s="5026">
        <f>C8-C29</f>
        <v>74800</v>
      </c>
    </row>
    <row r="10" spans="1:3">
      <c r="A10" s="5027">
        <v>1</v>
      </c>
      <c r="B10" s="701" t="s">
        <v>1477</v>
      </c>
      <c r="C10" s="5028">
        <f>SUM(C11:C15)</f>
        <v>32000</v>
      </c>
    </row>
    <row r="11" spans="1:3">
      <c r="A11" s="5029" t="s">
        <v>29</v>
      </c>
      <c r="B11" s="704" t="s">
        <v>786</v>
      </c>
      <c r="C11" s="5032">
        <f>+'Phụ lục 7-HĐND'!L10</f>
        <v>30500</v>
      </c>
    </row>
    <row r="12" spans="1:3">
      <c r="A12" s="5029" t="s">
        <v>29</v>
      </c>
      <c r="B12" s="704" t="s">
        <v>787</v>
      </c>
      <c r="C12" s="5032">
        <f>+'Phụ lục 7-HĐND'!L11</f>
        <v>1400</v>
      </c>
    </row>
    <row r="13" spans="1:3">
      <c r="A13" s="5029" t="s">
        <v>29</v>
      </c>
      <c r="B13" s="704" t="s">
        <v>788</v>
      </c>
      <c r="C13" s="5032">
        <f>+'Phụ lục 7-HĐND'!L12</f>
        <v>50</v>
      </c>
    </row>
    <row r="14" spans="1:3">
      <c r="A14" s="5029" t="s">
        <v>29</v>
      </c>
      <c r="B14" s="704" t="s">
        <v>10</v>
      </c>
      <c r="C14" s="5032">
        <f>+'Phụ lục 7-HĐND'!L13</f>
        <v>50</v>
      </c>
    </row>
    <row r="15" spans="1:3">
      <c r="A15" s="5029" t="s">
        <v>29</v>
      </c>
      <c r="B15" s="704" t="s">
        <v>789</v>
      </c>
      <c r="C15" s="5032">
        <f>+'Phụ lục 7-HĐND'!L14</f>
        <v>0</v>
      </c>
    </row>
    <row r="16" spans="1:3">
      <c r="A16" s="5027">
        <v>2</v>
      </c>
      <c r="B16" s="701" t="s">
        <v>20</v>
      </c>
      <c r="C16" s="5028">
        <f>SUM(C17:C18)</f>
        <v>15000</v>
      </c>
    </row>
    <row r="17" spans="1:3" hidden="1">
      <c r="A17" s="5031" t="s">
        <v>29</v>
      </c>
      <c r="B17" s="43" t="s">
        <v>790</v>
      </c>
      <c r="C17" s="5032">
        <f>+'Phụ lục 7-HĐND'!L16</f>
        <v>0</v>
      </c>
    </row>
    <row r="18" spans="1:3" hidden="1">
      <c r="A18" s="5033" t="s">
        <v>29</v>
      </c>
      <c r="B18" s="711" t="s">
        <v>791</v>
      </c>
      <c r="C18" s="5032">
        <f>+'Phụ lục 7-HĐND'!L17</f>
        <v>15000</v>
      </c>
    </row>
    <row r="19" spans="1:3" s="588" customFormat="1" ht="17.399999999999999">
      <c r="A19" s="5027">
        <v>3</v>
      </c>
      <c r="B19" s="701" t="s">
        <v>17</v>
      </c>
      <c r="C19" s="5028">
        <f>+'Phụ lục 7-HĐND'!L18</f>
        <v>13000</v>
      </c>
    </row>
    <row r="20" spans="1:3" s="588" customFormat="1" ht="17.399999999999999">
      <c r="A20" s="5027">
        <v>4</v>
      </c>
      <c r="B20" s="701" t="s">
        <v>792</v>
      </c>
      <c r="C20" s="5028">
        <f>+'Phụ lục 7-HĐND'!L19</f>
        <v>0</v>
      </c>
    </row>
    <row r="21" spans="1:3" s="588" customFormat="1" ht="17.399999999999999">
      <c r="A21" s="5027">
        <v>4</v>
      </c>
      <c r="B21" s="701" t="s">
        <v>97</v>
      </c>
      <c r="C21" s="5028">
        <f>+'Phụ lục 7-HĐND'!L20</f>
        <v>300</v>
      </c>
    </row>
    <row r="22" spans="1:3">
      <c r="A22" s="5027">
        <v>5</v>
      </c>
      <c r="B22" s="701" t="s">
        <v>793</v>
      </c>
      <c r="C22" s="5028">
        <f>SUM(C23:C25)</f>
        <v>3500</v>
      </c>
    </row>
    <row r="23" spans="1:3">
      <c r="A23" s="5034" t="s">
        <v>29</v>
      </c>
      <c r="B23" s="43" t="s">
        <v>794</v>
      </c>
      <c r="C23" s="5032">
        <f>+'Phụ lục 7-HĐND'!L22</f>
        <v>1500</v>
      </c>
    </row>
    <row r="24" spans="1:3">
      <c r="A24" s="5034" t="s">
        <v>29</v>
      </c>
      <c r="B24" s="43" t="s">
        <v>795</v>
      </c>
      <c r="C24" s="5032">
        <f>+'Phụ lục 7-HĐND'!L23</f>
        <v>150</v>
      </c>
    </row>
    <row r="25" spans="1:3">
      <c r="A25" s="5034" t="s">
        <v>29</v>
      </c>
      <c r="B25" s="43" t="s">
        <v>796</v>
      </c>
      <c r="C25" s="5032">
        <f>+'Phụ lục 7-HĐND'!L24</f>
        <v>1850</v>
      </c>
    </row>
    <row r="26" spans="1:3">
      <c r="A26" s="5027">
        <v>6</v>
      </c>
      <c r="B26" s="701" t="s">
        <v>24</v>
      </c>
      <c r="C26" s="5028">
        <f>SUM(C27:C28)</f>
        <v>1000</v>
      </c>
    </row>
    <row r="27" spans="1:3">
      <c r="A27" s="5034" t="s">
        <v>29</v>
      </c>
      <c r="B27" s="43" t="s">
        <v>790</v>
      </c>
      <c r="C27" s="5032">
        <f>+'Phụ lục 7-HĐND'!L26</f>
        <v>0</v>
      </c>
    </row>
    <row r="28" spans="1:3">
      <c r="A28" s="5035" t="s">
        <v>29</v>
      </c>
      <c r="B28" s="711" t="s">
        <v>1809</v>
      </c>
      <c r="C28" s="5032">
        <f>+'Phụ lục 7-HĐND'!L27</f>
        <v>1000</v>
      </c>
    </row>
    <row r="29" spans="1:3">
      <c r="A29" s="5027">
        <v>7</v>
      </c>
      <c r="B29" s="701" t="s">
        <v>242</v>
      </c>
      <c r="C29" s="5028">
        <f>SUM(C30:C31)</f>
        <v>30000</v>
      </c>
    </row>
    <row r="30" spans="1:3">
      <c r="A30" s="5034" t="s">
        <v>29</v>
      </c>
      <c r="B30" s="43" t="s">
        <v>790</v>
      </c>
      <c r="C30" s="5032">
        <f>+'Phụ lục 7-HĐND'!L29</f>
        <v>0</v>
      </c>
    </row>
    <row r="31" spans="1:3">
      <c r="A31" s="5035" t="s">
        <v>29</v>
      </c>
      <c r="B31" s="711" t="s">
        <v>1810</v>
      </c>
      <c r="C31" s="5032">
        <f>+'Phụ lục 7-HĐND'!L30</f>
        <v>30000</v>
      </c>
    </row>
    <row r="32" spans="1:3">
      <c r="A32" s="5027">
        <v>8</v>
      </c>
      <c r="B32" s="701" t="s">
        <v>798</v>
      </c>
      <c r="C32" s="5028">
        <f>SUM(C33:C35)</f>
        <v>10000</v>
      </c>
    </row>
    <row r="33" spans="1:3">
      <c r="A33" s="5034" t="s">
        <v>29</v>
      </c>
      <c r="B33" s="43" t="s">
        <v>799</v>
      </c>
      <c r="C33" s="5032">
        <f>+'Phụ lục 7-HĐND'!L32</f>
        <v>500</v>
      </c>
    </row>
    <row r="34" spans="1:3">
      <c r="A34" s="5034" t="s">
        <v>29</v>
      </c>
      <c r="B34" s="43" t="s">
        <v>800</v>
      </c>
      <c r="C34" s="5032">
        <f>+'Phụ lục 7-HĐND'!L33</f>
        <v>500</v>
      </c>
    </row>
    <row r="35" spans="1:3">
      <c r="A35" s="5034" t="s">
        <v>29</v>
      </c>
      <c r="B35" s="43" t="s">
        <v>801</v>
      </c>
      <c r="C35" s="5032">
        <f>+'Phụ lục 7-HĐND'!L34</f>
        <v>9000</v>
      </c>
    </row>
    <row r="36" spans="1:3">
      <c r="A36" s="5027">
        <v>9</v>
      </c>
      <c r="B36" s="5036" t="s">
        <v>1811</v>
      </c>
      <c r="C36" s="5028">
        <f>+'Phụ lục 7-HĐND'!L35</f>
        <v>0</v>
      </c>
    </row>
    <row r="37" spans="1:3">
      <c r="A37" s="5027" t="s">
        <v>33</v>
      </c>
      <c r="B37" s="701" t="s">
        <v>1812</v>
      </c>
      <c r="C37" s="5037"/>
    </row>
    <row r="38" spans="1:3">
      <c r="A38" s="5027"/>
      <c r="B38" s="704" t="s">
        <v>1813</v>
      </c>
      <c r="C38" s="5038">
        <v>1</v>
      </c>
    </row>
    <row r="39" spans="1:3" s="596" customFormat="1">
      <c r="A39" s="4971" t="s">
        <v>182</v>
      </c>
      <c r="B39" s="4972" t="s">
        <v>802</v>
      </c>
      <c r="C39" s="613">
        <f>SUM(C40:C42)</f>
        <v>578186.21900000004</v>
      </c>
    </row>
    <row r="40" spans="1:3" s="596" customFormat="1">
      <c r="A40" s="1926">
        <v>1</v>
      </c>
      <c r="B40" s="4968" t="s">
        <v>803</v>
      </c>
      <c r="C40" s="2608">
        <f>+'Phụ lục 7-HĐND'!L37</f>
        <v>391207</v>
      </c>
    </row>
    <row r="41" spans="1:3" s="596" customFormat="1">
      <c r="A41" s="1926">
        <v>2</v>
      </c>
      <c r="B41" s="1927" t="s">
        <v>3136</v>
      </c>
      <c r="C41" s="2608">
        <f>+'Phụ lục 7-HĐND'!L38</f>
        <v>114393</v>
      </c>
    </row>
    <row r="42" spans="1:3" s="596" customFormat="1">
      <c r="A42" s="1926">
        <v>3</v>
      </c>
      <c r="B42" s="4968" t="s">
        <v>3206</v>
      </c>
      <c r="C42" s="2608">
        <f>+'Phụ lục 7-HĐND'!L39</f>
        <v>72586.218999999997</v>
      </c>
    </row>
    <row r="43" spans="1:3" ht="18.600000000000001" thickBot="1">
      <c r="A43" s="4539" t="s">
        <v>215</v>
      </c>
      <c r="B43" s="5042" t="s">
        <v>1721</v>
      </c>
      <c r="C43" s="5060">
        <f>+'Phụ lục 7-HĐND'!L40</f>
        <v>36240</v>
      </c>
    </row>
    <row r="44" spans="1:3" ht="18.600000000000001" thickTop="1">
      <c r="A44" s="2914"/>
      <c r="B44" s="2914" t="s">
        <v>809</v>
      </c>
      <c r="C44" s="2915"/>
    </row>
    <row r="46" spans="1:3">
      <c r="A46" s="6744" t="s">
        <v>1717</v>
      </c>
      <c r="B46" s="6744"/>
      <c r="C46" s="6744"/>
    </row>
    <row r="47" spans="1:3" ht="41.25" customHeight="1">
      <c r="A47" s="6757" t="str">
        <f>+'TP.  HỒNG NGỰ'!A47:C47</f>
        <v xml:space="preserve">(1): Dự toán thu ngân sách nhà nước năm 2025 không bao gồm các khoản huy động nhân dân đóng góp, các khoản ghi thu, ghi chi vào ngân sách nhà nước theo chế độ quy định.
</v>
      </c>
      <c r="B47" s="6757"/>
      <c r="C47" s="6757"/>
    </row>
    <row r="48" spans="1:3" ht="114.75" customHeight="1">
      <c r="A48" s="6759" t="str">
        <f>+'TP.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+'TP.  HỒNG NGỰ'!49:49</f>
        <v>(4): Các khoản thu phân chia theo tỷ lệ (%) giữa ngân sách cấp Tỉnh và ngân sách cấp huyện</v>
      </c>
    </row>
    <row r="50" spans="1:3">
      <c r="A50" s="381" t="str">
        <f>+'TP.  HỒNG NGỰ'!A50</f>
        <v>(5): Chi tiết thu bổ sung có mục tiêu theo Phụ lục số III</v>
      </c>
    </row>
    <row r="64" spans="1:3">
      <c r="A64" s="6281" t="str">
        <f>+'TP.  HỒNG NGỰ'!A61:C61</f>
        <v>PHỤ LỤC II</v>
      </c>
      <c r="B64" s="6281"/>
      <c r="C64" s="6281"/>
    </row>
    <row r="65" spans="1:3">
      <c r="A65" s="6281" t="str">
        <f>+'TP.  HỒNG NGỰ'!A62:C62</f>
        <v>NHIỆM VỤ CHI NGÂN SÁCH HUYỆN, THÀNH PHỐ NĂM 2025</v>
      </c>
      <c r="B65" s="6281"/>
      <c r="C65" s="6281"/>
    </row>
    <row r="66" spans="1:3">
      <c r="A66" s="6281" t="str">
        <f>A3</f>
        <v>HUYỆN TÂN HỒNG</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'[2]TP. HỒNG NGỰ'!B64</f>
        <v>Nội dung</v>
      </c>
      <c r="C70" s="4543" t="str">
        <f>+C7</f>
        <v>Dự toán năm 2025</v>
      </c>
    </row>
    <row r="71" spans="1:3">
      <c r="A71" s="5049"/>
      <c r="B71" s="693" t="str">
        <f>'[2]TP. HỒNG NGỰ'!B65</f>
        <v>Tổng chi (I+II+III+IV)</v>
      </c>
      <c r="C71" s="5024">
        <f>C72+C76+C80+C81+C82</f>
        <v>713376.21900000004</v>
      </c>
    </row>
    <row r="72" spans="1:3">
      <c r="A72" s="5050" t="s">
        <v>3</v>
      </c>
      <c r="B72" s="2910" t="str">
        <f>'[2]TP. HỒNG NGỰ'!B66</f>
        <v>Chi đầu tư phát triển (1)</v>
      </c>
      <c r="C72" s="5028">
        <f>SUM(C74:C75)</f>
        <v>59000</v>
      </c>
    </row>
    <row r="73" spans="1:3">
      <c r="A73" s="5051"/>
      <c r="B73" s="2916" t="str">
        <f>'[2]TP. HỒNG NGỰ'!B67</f>
        <v>Bao gồm:</v>
      </c>
      <c r="C73" s="5032"/>
    </row>
    <row r="74" spans="1:3">
      <c r="A74" s="5052">
        <v>1</v>
      </c>
      <c r="B74" s="2917" t="str">
        <f>'[2]TP. HỒNG NGỰ'!B68</f>
        <v>Chi đầu tư xây dựng cơ bản</v>
      </c>
      <c r="C74" s="5032">
        <f>+'Phụ lục 8-HĐND'!F9</f>
        <v>32000</v>
      </c>
    </row>
    <row r="75" spans="1:3">
      <c r="A75" s="5052">
        <v>2</v>
      </c>
      <c r="B75" s="2917" t="str">
        <f>'[2]TP. HỒNG NGỰ'!B69</f>
        <v>Chi đầu tư từ nguồn thu tiền sử dụng đất</v>
      </c>
      <c r="C75" s="5032">
        <f>+'Phụ lục 8-HĐND'!F10</f>
        <v>27000</v>
      </c>
    </row>
    <row r="76" spans="1:3" s="386" customFormat="1" ht="17.399999999999999">
      <c r="A76" s="5050" t="s">
        <v>33</v>
      </c>
      <c r="B76" s="2910" t="str">
        <f>'[2]TP. HỒNG NGỰ'!B70</f>
        <v>Chi thường xuyên (2)</v>
      </c>
      <c r="C76" s="5028">
        <f>+'Phụ lục 8-HĐND'!F11</f>
        <v>621134.09320536687</v>
      </c>
    </row>
    <row r="77" spans="1:3">
      <c r="A77" s="5053"/>
      <c r="B77" s="2907" t="str">
        <f>'[2]TP. HỒNG NGỰ'!B71</f>
        <v>Bao gồm:</v>
      </c>
      <c r="C77" s="5032"/>
    </row>
    <row r="78" spans="1:3">
      <c r="A78" s="5052">
        <v>1</v>
      </c>
      <c r="B78" s="2909" t="str">
        <f>'[2]TP. HỒNG NGỰ'!B72</f>
        <v>Sự nghiệp giáo dục - đào tạo (3)</v>
      </c>
      <c r="C78" s="5032">
        <f>+'Phụ lục 8-HĐND'!F13</f>
        <v>354771.20000000001</v>
      </c>
    </row>
    <row r="79" spans="1:3">
      <c r="A79" s="5052">
        <v>2</v>
      </c>
      <c r="B79" s="2909" t="str">
        <f>'[2]TP. HỒNG NGỰ'!B73</f>
        <v>Các khoản chi thường xuyên còn lại</v>
      </c>
      <c r="C79" s="5032">
        <f>+'Phụ lục 8-HĐND'!F14</f>
        <v>266362.89320536685</v>
      </c>
    </row>
    <row r="80" spans="1:3" s="386" customFormat="1" ht="17.399999999999999">
      <c r="A80" s="5050" t="s">
        <v>182</v>
      </c>
      <c r="B80" s="2910" t="str">
        <f>'[2]TP. HỒNG NGỰ'!B74</f>
        <v>Dự phòng ngân sách</v>
      </c>
      <c r="C80" s="5028">
        <f>+'Phụ lục 8-HĐND'!F15</f>
        <v>12842.4</v>
      </c>
    </row>
    <row r="81" spans="1:3" s="386" customFormat="1" ht="17.399999999999999">
      <c r="A81" s="5050" t="s">
        <v>215</v>
      </c>
      <c r="B81" s="2910" t="str">
        <f>'[2]TP. HỒNG NGỰ'!B75</f>
        <v>Chi tạo nguồn cải cách tiền lương</v>
      </c>
      <c r="C81" s="5028">
        <f>+'Phụ lục 8-HĐND'!F16</f>
        <v>0</v>
      </c>
    </row>
    <row r="82" spans="1:3" s="386" customFormat="1" ht="17.399999999999999">
      <c r="A82" s="5073" t="s">
        <v>718</v>
      </c>
      <c r="B82" s="701" t="str">
        <f>'[2]TP. HỒNG NGỰ'!B76</f>
        <v>Chi từ nguồn ngân sách cấp Tỉnh bổ sung có mục tiêu</v>
      </c>
      <c r="C82" s="5028">
        <f>SUM(C83:C87)</f>
        <v>20399.725794633185</v>
      </c>
    </row>
    <row r="83" spans="1:3">
      <c r="A83" s="5055" t="s">
        <v>29</v>
      </c>
      <c r="B83" s="704" t="str">
        <f>+'TP.  HỒNG NGỰ'!B80</f>
        <v>Chi đầu tư xây dựng cơ bản</v>
      </c>
      <c r="C83" s="5032">
        <f>+'Phụ lục 8-HĐND'!F18</f>
        <v>0</v>
      </c>
    </row>
    <row r="84" spans="1:3">
      <c r="A84" s="5055" t="s">
        <v>29</v>
      </c>
      <c r="B84" s="704" t="str">
        <f>+'TP.  HỒNG NGỰ'!B81</f>
        <v>Chi đầu tư từ nguồn xổ số kiến thiết</v>
      </c>
      <c r="C84" s="5032">
        <f>+'Phụ lục 8-HĐND'!F19</f>
        <v>0</v>
      </c>
    </row>
    <row r="85" spans="1:3">
      <c r="A85" s="5055" t="s">
        <v>29</v>
      </c>
      <c r="B85" s="704" t="str">
        <f>+'TP.  HỒNG NGỰ'!B82</f>
        <v>Chi từ nguồn ngân sách trung ương bổ sung có mục tiêu (kinh phí biên chế giáo viên tăng thêm)</v>
      </c>
      <c r="C85" s="5032">
        <f>+'Phụ lục 8-HĐND'!F20</f>
        <v>964</v>
      </c>
    </row>
    <row r="86" spans="1:3">
      <c r="A86" s="5056" t="s">
        <v>29</v>
      </c>
      <c r="B86" s="704" t="str">
        <f>+'TP.  HỒNG NGỰ'!B83</f>
        <v>Chi từ nguồn ngân sách trung ương bổ sung có mục tiêu (kinh phí hỗ trợ địa phương sản xuất lúa năm 2025)</v>
      </c>
      <c r="C86" s="5032">
        <f>+'Phụ lục 8-HĐND'!F21</f>
        <v>9000</v>
      </c>
    </row>
    <row r="87" spans="1:3" ht="18.600000000000001" thickBot="1">
      <c r="A87" s="5057"/>
      <c r="B87" s="5058" t="str">
        <f>+'TP.  HỒNG NGỰ'!B84</f>
        <v>Chi từ nguồn ngân sách trung ương bổ sung có mục tiêu (chính sách an sinh xã hội năm 2025)</v>
      </c>
      <c r="C87" s="5059">
        <f>+'Phụ lục 8-HĐND'!F22</f>
        <v>10435.725794633185</v>
      </c>
    </row>
    <row r="88" spans="1:3" ht="18.600000000000001" thickTop="1"/>
    <row r="89" spans="1:3">
      <c r="A89" s="588" t="s">
        <v>1717</v>
      </c>
      <c r="B89" s="2903"/>
    </row>
    <row r="90" spans="1:3" s="2705" customFormat="1">
      <c r="A90" s="6767" t="s">
        <v>1831</v>
      </c>
      <c r="B90" s="6768"/>
      <c r="C90" s="6768"/>
    </row>
    <row r="91" spans="1:3" s="2705" customFormat="1">
      <c r="A91" s="6772" t="str">
        <f>+'TP.  HỒNG NGỰ'!A88:C88</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s="2705" customFormat="1">
      <c r="A92" s="6769" t="str">
        <f>+'TP.  HỒNG NGỰ'!A89:C89</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60" customHeight="1">
      <c r="A94" s="6769" t="str">
        <f>+'TP.  HỒNG NGỰ'!A91:C91</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s="596" customFormat="1" ht="38.25" customHeight="1">
      <c r="A95" s="6770" t="str">
        <f>+'TP.  HỒNG NGỰ'!A92:C92</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c r="A96" s="381" t="str">
        <f>+'TP.  HỒNG NGỰ'!A93</f>
        <v xml:space="preserve">- Bao gồm 10% tiết kiệm tăng thêm năm 2025 so với năm 2024 để thực hiện cải cách tiền lương năm 2025 là: </v>
      </c>
      <c r="B96" s="2919"/>
      <c r="C96" s="2912" t="s">
        <v>1830</v>
      </c>
    </row>
    <row r="97" spans="1:3" s="2920" customFormat="1" ht="17.399999999999999">
      <c r="A97" s="6771" t="str">
        <f>'[2]TP. HỒNG NGỰ'!A91:C91</f>
        <v>(3): Trong đó:</v>
      </c>
      <c r="B97" s="6771"/>
      <c r="C97" s="6771"/>
    </row>
    <row r="98" spans="1:3" s="2921" customFormat="1">
      <c r="A98" s="6769" t="str">
        <f>+'TP.  HỒNG NGỰ'!A95:C95</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7" spans="1:3">
      <c r="A127" s="6281" t="str">
        <f>+'TP.  HỒNG NGỰ'!A118:C118</f>
        <v>PHỤ LỤC III</v>
      </c>
      <c r="B127" s="6281"/>
      <c r="C127" s="6281"/>
    </row>
    <row r="128" spans="1:3">
      <c r="A128" s="6281" t="str">
        <f>+'TP.  HỒNG NGỰ'!A119:C119</f>
        <v>CHI TỪ NGUỒN NGÂN SÁCH CẤP TỈNH BỔ SUNG CÓ MỤC TIÊU NĂM 2025</v>
      </c>
      <c r="B128" s="6281"/>
      <c r="C128" s="6281"/>
    </row>
    <row r="129" spans="1:5">
      <c r="A129" s="6281" t="str">
        <f>A66</f>
        <v>HUYỆN TÂN HỒNG</v>
      </c>
      <c r="B129" s="6281"/>
      <c r="C129" s="6281"/>
    </row>
    <row r="130" spans="1:5">
      <c r="A130" s="6496" t="str">
        <f>+A4</f>
        <v>(Kèm theo Quyết định số        /QĐ-UBND-HC ngày      /12/2024 của Uỷ ban nhân dân tỉnh Đồng Tháp)</v>
      </c>
      <c r="B130" s="6496"/>
      <c r="C130" s="6496"/>
    </row>
    <row r="132" spans="1:5" ht="18.600000000000001" thickBot="1">
      <c r="A132" s="2899"/>
      <c r="B132" s="2899"/>
      <c r="C132" s="2883" t="str">
        <f>C69</f>
        <v>Đơn vị tính: Triệu đồng</v>
      </c>
    </row>
    <row r="133" spans="1:5" ht="35.4" thickTop="1">
      <c r="A133" s="5014" t="s">
        <v>136</v>
      </c>
      <c r="B133" s="4862" t="s">
        <v>137</v>
      </c>
      <c r="C133" s="4861" t="str">
        <f>+C70</f>
        <v>Dự toán năm 2025</v>
      </c>
    </row>
    <row r="134" spans="1:5">
      <c r="A134" s="5015"/>
      <c r="B134" s="682" t="s">
        <v>3196</v>
      </c>
      <c r="C134" s="5016">
        <f>SUM(C135:C146)</f>
        <v>72586.219000000012</v>
      </c>
      <c r="E134" s="667">
        <f>+C42-C134</f>
        <v>0</v>
      </c>
    </row>
    <row r="135" spans="1:5" ht="36">
      <c r="A135" s="593">
        <v>1</v>
      </c>
      <c r="B135" s="5022" t="s">
        <v>805</v>
      </c>
      <c r="C135" s="4538">
        <f>+'Phụ lục số 8.1'!AF14</f>
        <v>21220.17</v>
      </c>
    </row>
    <row r="136" spans="1:5">
      <c r="A136" s="593">
        <v>2</v>
      </c>
      <c r="B136" s="5022" t="str">
        <f>+'TP.  HỒNG NGỰ'!B127</f>
        <v>Kinh phí hỗ trợ địa phương sản xuất lúa</v>
      </c>
      <c r="C136" s="4538">
        <f>+'Phụ lục số 8.1'!AF15</f>
        <v>28000</v>
      </c>
    </row>
    <row r="137" spans="1:5">
      <c r="A137" s="593">
        <v>3</v>
      </c>
      <c r="B137" s="5022" t="str">
        <f>+'TP.  HỒNG NGỰ'!B128</f>
        <v>Kinh phí biên chế giáo viên tăng thêm</v>
      </c>
      <c r="C137" s="4538">
        <f>+'Phụ lục số 8.1'!AF18</f>
        <v>964</v>
      </c>
    </row>
    <row r="138" spans="1:5" ht="36">
      <c r="A138" s="593">
        <v>4</v>
      </c>
      <c r="B138" s="2525" t="s">
        <v>1608</v>
      </c>
      <c r="C138" s="4538">
        <f>+'Phụ lục số 8.3-CĐCS'!BE13</f>
        <v>1482</v>
      </c>
    </row>
    <row r="139" spans="1:5">
      <c r="A139" s="593">
        <v>5</v>
      </c>
      <c r="B139" s="2525" t="s">
        <v>3197</v>
      </c>
      <c r="C139" s="4538">
        <f>+'Phụ lục số 8.3-CĐCS'!BE14</f>
        <v>204.2</v>
      </c>
    </row>
    <row r="140" spans="1:5" ht="36">
      <c r="A140" s="593">
        <v>6</v>
      </c>
      <c r="B140" s="2525" t="s">
        <v>3198</v>
      </c>
      <c r="C140" s="4538">
        <f>+'Phụ lục số 8.3-CĐCS'!BE15</f>
        <v>675.62400000000002</v>
      </c>
    </row>
    <row r="141" spans="1:5" ht="36">
      <c r="A141" s="593">
        <v>7</v>
      </c>
      <c r="B141" s="2525" t="s">
        <v>3199</v>
      </c>
      <c r="C141" s="5018">
        <f>+'Phụ lục số 8.3-CĐCS'!BE17+'Phụ lục số 8.3-CĐCS'!BE18</f>
        <v>16996</v>
      </c>
    </row>
    <row r="142" spans="1:5" ht="36">
      <c r="A142" s="593">
        <v>8</v>
      </c>
      <c r="B142" s="2525" t="s">
        <v>1093</v>
      </c>
      <c r="C142" s="5017">
        <v>0</v>
      </c>
    </row>
    <row r="143" spans="1:5" ht="36">
      <c r="A143" s="593">
        <v>9</v>
      </c>
      <c r="B143" s="5012" t="s">
        <v>3156</v>
      </c>
      <c r="C143" s="5018">
        <f>+'Phụ lục số 8.1'!AF20</f>
        <v>617.46</v>
      </c>
    </row>
    <row r="144" spans="1:5">
      <c r="A144" s="593">
        <v>10</v>
      </c>
      <c r="B144" s="5013" t="s">
        <v>1510</v>
      </c>
      <c r="C144" s="5018">
        <f>+'Phụ lục số 8.1'!AF22</f>
        <v>0</v>
      </c>
    </row>
    <row r="145" spans="1:3">
      <c r="A145" s="593">
        <v>11</v>
      </c>
      <c r="B145" s="5013" t="str">
        <f>+'TP.  HỒNG NGỰ'!B136</f>
        <v>Kinh phí thực hiện hỗ trợ đào tạo nghề trình độ sơ cấp và đào tạo dưới 03 tháng năm 2025</v>
      </c>
      <c r="C145" s="5018"/>
    </row>
    <row r="146" spans="1:3" ht="18.600000000000001" thickBot="1">
      <c r="A146" s="5019">
        <v>12</v>
      </c>
      <c r="B146" s="5192" t="str">
        <f>+'TP.  HỒNG NGỰ'!B137</f>
        <v>Kinh phí tổ chức đại hội Đảng nhiệm kỳ 2025 - 2030</v>
      </c>
      <c r="C146" s="5021">
        <f>+'Phụ lục số 8.1'!AF16</f>
        <v>2426.7649999999999</v>
      </c>
    </row>
    <row r="147" spans="1:3" ht="18.600000000000001" thickTop="1"/>
  </sheetData>
  <mergeCells count="23">
    <mergeCell ref="A98:C98"/>
    <mergeCell ref="A127:C127"/>
    <mergeCell ref="A128:C128"/>
    <mergeCell ref="A129:C129"/>
    <mergeCell ref="A130:C130"/>
    <mergeCell ref="A97:C97"/>
    <mergeCell ref="A48:C48"/>
    <mergeCell ref="A64:C64"/>
    <mergeCell ref="A65:C65"/>
    <mergeCell ref="A66:C66"/>
    <mergeCell ref="A67:C67"/>
    <mergeCell ref="A90:C90"/>
    <mergeCell ref="A91:C91"/>
    <mergeCell ref="A92:C92"/>
    <mergeCell ref="A93:C93"/>
    <mergeCell ref="A94:C94"/>
    <mergeCell ref="A95:C95"/>
    <mergeCell ref="A47:C47"/>
    <mergeCell ref="A1:C1"/>
    <mergeCell ref="A2:C2"/>
    <mergeCell ref="A3:C3"/>
    <mergeCell ref="A4:C4"/>
    <mergeCell ref="A46:C46"/>
  </mergeCells>
  <hyperlinks>
    <hyperlink ref="A70" location="'List danh mục'!A1" display="Số TT"/>
    <hyperlink ref="A7" location="'Danh mục file'!A1" display="STT"/>
    <hyperlink ref="A133"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&amp;C&amp;P/&amp;N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E143"/>
  <sheetViews>
    <sheetView topLeftCell="A81" workbookViewId="0">
      <selection activeCell="A95" sqref="A95:C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TÂN HỒNG'!A1:C1</f>
        <v>PHỤ LỤC I</v>
      </c>
      <c r="B1" s="6281"/>
      <c r="C1" s="6281"/>
    </row>
    <row r="2" spans="1:3">
      <c r="A2" s="6281" t="str">
        <f>+'H. TÂN HỒNG'!A2:C2</f>
        <v>NHIỆM VỤ THU NGÂN SÁCH NHÀ NƯỚC NĂM 2025</v>
      </c>
      <c r="B2" s="6281"/>
      <c r="C2" s="6281"/>
    </row>
    <row r="3" spans="1:3">
      <c r="A3" s="6281" t="s">
        <v>1490</v>
      </c>
      <c r="B3" s="6281"/>
      <c r="C3" s="6281"/>
    </row>
    <row r="4" spans="1:3">
      <c r="A4" s="6498" t="str">
        <f>+'H. TÂN HỒNG'!A4:C4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155200</v>
      </c>
    </row>
    <row r="9" spans="1:3">
      <c r="A9" s="5025"/>
      <c r="B9" s="697" t="s">
        <v>784</v>
      </c>
      <c r="C9" s="5026">
        <f>C8-C29</f>
        <v>95200</v>
      </c>
    </row>
    <row r="10" spans="1:3">
      <c r="A10" s="5027">
        <v>1</v>
      </c>
      <c r="B10" s="701" t="s">
        <v>1477</v>
      </c>
      <c r="C10" s="5028">
        <f>SUM(C11:C15)</f>
        <v>30500</v>
      </c>
    </row>
    <row r="11" spans="1:3">
      <c r="A11" s="5029" t="s">
        <v>29</v>
      </c>
      <c r="B11" s="704" t="s">
        <v>786</v>
      </c>
      <c r="C11" s="5032">
        <f>+'Phụ lục 7-HĐND'!O10</f>
        <v>21800</v>
      </c>
    </row>
    <row r="12" spans="1:3">
      <c r="A12" s="5029" t="s">
        <v>29</v>
      </c>
      <c r="B12" s="704" t="s">
        <v>787</v>
      </c>
      <c r="C12" s="5032">
        <f>+'Phụ lục 7-HĐND'!O11</f>
        <v>8000</v>
      </c>
    </row>
    <row r="13" spans="1:3">
      <c r="A13" s="5029" t="s">
        <v>29</v>
      </c>
      <c r="B13" s="704" t="s">
        <v>788</v>
      </c>
      <c r="C13" s="5032">
        <f>+'Phụ lục 7-HĐND'!O12</f>
        <v>200</v>
      </c>
    </row>
    <row r="14" spans="1:3">
      <c r="A14" s="5029" t="s">
        <v>29</v>
      </c>
      <c r="B14" s="704" t="s">
        <v>10</v>
      </c>
      <c r="C14" s="5032">
        <f>+'Phụ lục 7-HĐND'!O13</f>
        <v>500</v>
      </c>
    </row>
    <row r="15" spans="1:3">
      <c r="A15" s="5029" t="s">
        <v>29</v>
      </c>
      <c r="B15" s="704" t="s">
        <v>789</v>
      </c>
      <c r="C15" s="5032">
        <f>+'Phụ lục 7-HĐND'!O14</f>
        <v>0</v>
      </c>
    </row>
    <row r="16" spans="1:3">
      <c r="A16" s="5027">
        <v>2</v>
      </c>
      <c r="B16" s="701" t="s">
        <v>20</v>
      </c>
      <c r="C16" s="5028">
        <f>SUM(C17:C18)</f>
        <v>18000</v>
      </c>
    </row>
    <row r="17" spans="1:3" hidden="1">
      <c r="A17" s="5031" t="s">
        <v>29</v>
      </c>
      <c r="B17" s="43" t="s">
        <v>790</v>
      </c>
      <c r="C17" s="5032">
        <f>+'Phụ lục 7-HĐND'!O16</f>
        <v>0</v>
      </c>
    </row>
    <row r="18" spans="1:3" hidden="1">
      <c r="A18" s="5033" t="s">
        <v>29</v>
      </c>
      <c r="B18" s="711" t="s">
        <v>791</v>
      </c>
      <c r="C18" s="5032">
        <f>+'Phụ lục 7-HĐND'!O17</f>
        <v>18000</v>
      </c>
    </row>
    <row r="19" spans="1:3">
      <c r="A19" s="5027">
        <v>3</v>
      </c>
      <c r="B19" s="701" t="s">
        <v>17</v>
      </c>
      <c r="C19" s="5028">
        <f>+'Phụ lục 7-HĐND'!O18</f>
        <v>18000</v>
      </c>
    </row>
    <row r="20" spans="1:3">
      <c r="A20" s="5027">
        <v>4</v>
      </c>
      <c r="B20" s="701" t="s">
        <v>792</v>
      </c>
      <c r="C20" s="5028">
        <f>+'Phụ lục 7-HĐND'!O19</f>
        <v>0</v>
      </c>
    </row>
    <row r="21" spans="1:3">
      <c r="A21" s="5027">
        <v>4</v>
      </c>
      <c r="B21" s="701" t="s">
        <v>97</v>
      </c>
      <c r="C21" s="5028">
        <f>+'Phụ lục 7-HĐND'!O20</f>
        <v>200</v>
      </c>
    </row>
    <row r="22" spans="1:3">
      <c r="A22" s="5027">
        <v>5</v>
      </c>
      <c r="B22" s="701" t="s">
        <v>793</v>
      </c>
      <c r="C22" s="5028">
        <f>SUM(C23:C25)</f>
        <v>4500</v>
      </c>
    </row>
    <row r="23" spans="1:3">
      <c r="A23" s="5034" t="s">
        <v>29</v>
      </c>
      <c r="B23" s="43" t="s">
        <v>794</v>
      </c>
      <c r="C23" s="5032">
        <f>+'Phụ lục 7-HĐND'!O22</f>
        <v>2000</v>
      </c>
    </row>
    <row r="24" spans="1:3">
      <c r="A24" s="5034" t="s">
        <v>29</v>
      </c>
      <c r="B24" s="43" t="s">
        <v>795</v>
      </c>
      <c r="C24" s="5032">
        <f>+'Phụ lục 7-HĐND'!O23</f>
        <v>0</v>
      </c>
    </row>
    <row r="25" spans="1:3">
      <c r="A25" s="5034" t="s">
        <v>29</v>
      </c>
      <c r="B25" s="43" t="s">
        <v>796</v>
      </c>
      <c r="C25" s="5032">
        <f>+'Phụ lục 7-HĐND'!O24</f>
        <v>2500</v>
      </c>
    </row>
    <row r="26" spans="1:3">
      <c r="A26" s="5027">
        <v>6</v>
      </c>
      <c r="B26" s="701" t="s">
        <v>24</v>
      </c>
      <c r="C26" s="5028">
        <f>SUM(C27:C28)</f>
        <v>2000</v>
      </c>
    </row>
    <row r="27" spans="1:3">
      <c r="A27" s="5034" t="s">
        <v>29</v>
      </c>
      <c r="B27" s="43" t="s">
        <v>790</v>
      </c>
      <c r="C27" s="5032">
        <f>+'Phụ lục 7-HĐND'!O26</f>
        <v>0</v>
      </c>
    </row>
    <row r="28" spans="1:3">
      <c r="A28" s="5035" t="s">
        <v>29</v>
      </c>
      <c r="B28" s="711" t="s">
        <v>1809</v>
      </c>
      <c r="C28" s="5032">
        <f>+'Phụ lục 7-HĐND'!O27</f>
        <v>2000</v>
      </c>
    </row>
    <row r="29" spans="1:3">
      <c r="A29" s="5027">
        <v>7</v>
      </c>
      <c r="B29" s="701" t="s">
        <v>242</v>
      </c>
      <c r="C29" s="5028">
        <f>SUM(C30:C31)</f>
        <v>60000</v>
      </c>
    </row>
    <row r="30" spans="1:3">
      <c r="A30" s="5034" t="s">
        <v>29</v>
      </c>
      <c r="B30" s="43" t="s">
        <v>790</v>
      </c>
      <c r="C30" s="5032">
        <f>+'Phụ lục 7-HĐND'!O29</f>
        <v>0</v>
      </c>
    </row>
    <row r="31" spans="1:3">
      <c r="A31" s="5035" t="s">
        <v>29</v>
      </c>
      <c r="B31" s="711" t="s">
        <v>1810</v>
      </c>
      <c r="C31" s="5032">
        <f>+'Phụ lục 7-HĐND'!O30</f>
        <v>60000</v>
      </c>
    </row>
    <row r="32" spans="1:3">
      <c r="A32" s="5027">
        <v>8</v>
      </c>
      <c r="B32" s="701" t="s">
        <v>798</v>
      </c>
      <c r="C32" s="5028">
        <f>SUM(C33:C35)</f>
        <v>22000</v>
      </c>
    </row>
    <row r="33" spans="1:3">
      <c r="A33" s="5034" t="s">
        <v>29</v>
      </c>
      <c r="B33" s="43" t="s">
        <v>799</v>
      </c>
      <c r="C33" s="5032">
        <f>+'Phụ lục 7-HĐND'!O32</f>
        <v>4000</v>
      </c>
    </row>
    <row r="34" spans="1:3">
      <c r="A34" s="5034" t="s">
        <v>29</v>
      </c>
      <c r="B34" s="43" t="s">
        <v>800</v>
      </c>
      <c r="C34" s="5032">
        <f>+'Phụ lục 7-HĐND'!O33</f>
        <v>5000</v>
      </c>
    </row>
    <row r="35" spans="1:3">
      <c r="A35" s="5034" t="s">
        <v>29</v>
      </c>
      <c r="B35" s="43" t="s">
        <v>801</v>
      </c>
      <c r="C35" s="5032">
        <f>+'Phụ lục 7-HĐND'!O34</f>
        <v>13000</v>
      </c>
    </row>
    <row r="36" spans="1:3">
      <c r="A36" s="5027">
        <v>9</v>
      </c>
      <c r="B36" s="5036" t="s">
        <v>1811</v>
      </c>
      <c r="C36" s="5028">
        <f>+'Phụ lục 7-HĐND'!O35</f>
        <v>0</v>
      </c>
    </row>
    <row r="37" spans="1:3">
      <c r="A37" s="5027" t="s">
        <v>33</v>
      </c>
      <c r="B37" s="701" t="s">
        <v>1812</v>
      </c>
      <c r="C37" s="5037"/>
    </row>
    <row r="38" spans="1:3">
      <c r="A38" s="5027"/>
      <c r="B38" s="704" t="s">
        <v>1813</v>
      </c>
      <c r="C38" s="5038">
        <v>1</v>
      </c>
    </row>
    <row r="39" spans="1:3" s="596" customFormat="1">
      <c r="A39" s="4971" t="s">
        <v>182</v>
      </c>
      <c r="B39" s="4972" t="s">
        <v>802</v>
      </c>
      <c r="C39" s="613">
        <f>SUM(C40:C42)</f>
        <v>624717.45200000005</v>
      </c>
    </row>
    <row r="40" spans="1:3" s="596" customFormat="1">
      <c r="A40" s="1926">
        <v>1</v>
      </c>
      <c r="B40" s="4968" t="s">
        <v>803</v>
      </c>
      <c r="C40" s="2608">
        <f>+'Phụ lục 7-HĐND'!O37</f>
        <v>388772</v>
      </c>
    </row>
    <row r="41" spans="1:3" s="596" customFormat="1">
      <c r="A41" s="1926">
        <v>2</v>
      </c>
      <c r="B41" s="1927" t="s">
        <v>3136</v>
      </c>
      <c r="C41" s="2608">
        <f>+'Phụ lục 7-HĐND'!O38</f>
        <v>152060</v>
      </c>
    </row>
    <row r="42" spans="1:3" s="596" customFormat="1">
      <c r="A42" s="1926">
        <v>3</v>
      </c>
      <c r="B42" s="4968" t="s">
        <v>3206</v>
      </c>
      <c r="C42" s="2608">
        <f>+'Phụ lục 7-HĐND'!O39</f>
        <v>83885.45199999999</v>
      </c>
    </row>
    <row r="43" spans="1:3" s="596" customFormat="1" ht="18.600000000000001" thickBot="1">
      <c r="A43" s="4539" t="s">
        <v>215</v>
      </c>
      <c r="B43" s="5042" t="s">
        <v>1721</v>
      </c>
      <c r="C43" s="5060">
        <f>+'Phụ lục 7-HĐND'!O40</f>
        <v>16410</v>
      </c>
    </row>
    <row r="44" spans="1:3" ht="18.600000000000001" thickTop="1">
      <c r="A44" s="2914"/>
      <c r="B44" s="2914" t="s">
        <v>809</v>
      </c>
      <c r="C44" s="2915"/>
    </row>
    <row r="46" spans="1:3">
      <c r="A46" s="6744" t="s">
        <v>1717</v>
      </c>
      <c r="B46" s="6744"/>
      <c r="C46" s="6744"/>
    </row>
    <row r="47" spans="1:3" ht="40.5" customHeight="1">
      <c r="A47" s="6773" t="str">
        <f>+'H. TÂN HỒNG'!A47:C47</f>
        <v xml:space="preserve">(1): Dự toán thu ngân sách nhà nước năm 2025 không bao gồm các khoản huy động nhân dân đóng góp, các khoản ghi thu, ghi chi vào ngân sách nhà nước theo chế độ quy định.
</v>
      </c>
      <c r="B47" s="6773"/>
      <c r="C47" s="6773"/>
    </row>
    <row r="48" spans="1:3" ht="102.75" customHeight="1">
      <c r="A48" s="6775" t="str">
        <f>+'H. TÂN HỒNG'!A48:C48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75"/>
      <c r="C48" s="6775"/>
    </row>
    <row r="49" spans="1:3">
      <c r="A49" s="433" t="str">
        <f>+'H. TÂN HỒNG'!A49</f>
        <v>(4): Các khoản thu phân chia theo tỷ lệ (%) giữa ngân sách cấp Tỉnh và ngân sách cấp huyện</v>
      </c>
      <c r="B49" s="433"/>
      <c r="C49" s="433"/>
    </row>
    <row r="50" spans="1:3">
      <c r="A50" s="433" t="str">
        <f>+'H. TÂN HỒNG'!A50</f>
        <v>(5): Chi tiết thu bổ sung có mục tiêu theo Phụ lục số III</v>
      </c>
      <c r="B50" s="433"/>
      <c r="C50" s="433"/>
    </row>
    <row r="65" spans="1:3">
      <c r="A65" s="6281" t="str">
        <f>+'H. TÂN HỒNG'!A64:C64</f>
        <v>PHỤ LỤC II</v>
      </c>
      <c r="B65" s="6281"/>
      <c r="C65" s="6281"/>
    </row>
    <row r="66" spans="1:3">
      <c r="A66" s="6281" t="str">
        <f>+'H. TÂN HỒNG'!A65:C65</f>
        <v>NHIỆM VỤ CHI NGÂN SÁCH HUYỆN, THÀNH PHỐ NĂM 2025</v>
      </c>
      <c r="B66" s="6281"/>
      <c r="C66" s="6281"/>
    </row>
    <row r="67" spans="1:3">
      <c r="A67" s="6281" t="str">
        <f>A3</f>
        <v>HUYỆN TAM NÔNG</v>
      </c>
      <c r="B67" s="6281"/>
      <c r="C67" s="6281"/>
    </row>
    <row r="68" spans="1:3">
      <c r="A68" s="6498" t="str">
        <f>A4</f>
        <v>(Kèm theo Quyết định số        /QĐ-UBND-HC ngày      /12/2024 của Uỷ ban nhân dân tỉnh Đồng Tháp)</v>
      </c>
      <c r="B68" s="6498"/>
      <c r="C68" s="6498"/>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TÂN HỒNG'!B64</f>
        <v>Nội dung</v>
      </c>
      <c r="C71" s="4543" t="str">
        <f>C7</f>
        <v>Dự toán năm 2025</v>
      </c>
    </row>
    <row r="72" spans="1:3" s="588" customFormat="1" ht="17.399999999999999">
      <c r="A72" s="5049"/>
      <c r="B72" s="693" t="str">
        <f>'[2]H. TÂN HỒNG'!B65</f>
        <v>Tổng chi (I+II+III+IV)</v>
      </c>
      <c r="C72" s="5024">
        <f>C73+C77+C81+C82+C83</f>
        <v>778427.45200000005</v>
      </c>
    </row>
    <row r="73" spans="1:3" s="588" customFormat="1" ht="17.399999999999999">
      <c r="A73" s="5050" t="s">
        <v>3</v>
      </c>
      <c r="B73" s="2910" t="str">
        <f>'[2]H. TÂN HỒNG'!B66</f>
        <v>Chi đầu tư phát triển (1)</v>
      </c>
      <c r="C73" s="5028">
        <f>C75+C76</f>
        <v>84000</v>
      </c>
    </row>
    <row r="74" spans="1:3">
      <c r="A74" s="5051"/>
      <c r="B74" s="2916" t="str">
        <f>'[2]H. TÂN HỒNG'!B67</f>
        <v>Bao gồm:</v>
      </c>
      <c r="C74" s="5032"/>
    </row>
    <row r="75" spans="1:3">
      <c r="A75" s="5052">
        <v>1</v>
      </c>
      <c r="B75" s="2917" t="str">
        <f>'[2]H. TÂN HỒNG'!B68</f>
        <v>Chi đầu tư xây dựng cơ bản</v>
      </c>
      <c r="C75" s="5032">
        <f>+'Phụ lục 8-HĐND'!G9</f>
        <v>30000</v>
      </c>
    </row>
    <row r="76" spans="1:3">
      <c r="A76" s="5052">
        <v>2</v>
      </c>
      <c r="B76" s="2917" t="str">
        <f>'[2]H. TÂN HỒNG'!B69</f>
        <v>Chi đầu tư từ nguồn thu tiền sử dụng đất</v>
      </c>
      <c r="C76" s="5032">
        <f>+'Phụ lục 8-HĐND'!G10</f>
        <v>54000</v>
      </c>
    </row>
    <row r="77" spans="1:3" s="588" customFormat="1" ht="17.399999999999999">
      <c r="A77" s="5050" t="s">
        <v>33</v>
      </c>
      <c r="B77" s="2910" t="str">
        <f>'[2]H. TÂN HỒNG'!B70</f>
        <v>Chi thường xuyên (2)</v>
      </c>
      <c r="C77" s="5028">
        <f>+'Phụ lục 8-HĐND'!G11</f>
        <v>660673.11116281548</v>
      </c>
    </row>
    <row r="78" spans="1:3">
      <c r="A78" s="5053"/>
      <c r="B78" s="2907" t="str">
        <f>'[2]H. TÂN HỒNG'!B71</f>
        <v>Bao gồm:</v>
      </c>
      <c r="C78" s="5032"/>
    </row>
    <row r="79" spans="1:3">
      <c r="A79" s="5052">
        <v>1</v>
      </c>
      <c r="B79" s="2909" t="str">
        <f>'[2]H. TÂN HỒNG'!B72</f>
        <v>Sự nghiệp giáo dục - đào tạo (3)</v>
      </c>
      <c r="C79" s="5032">
        <f>+'Phụ lục 8-HĐND'!G13</f>
        <v>331568</v>
      </c>
    </row>
    <row r="80" spans="1:3">
      <c r="A80" s="5052">
        <v>2</v>
      </c>
      <c r="B80" s="2909" t="str">
        <f>'[2]H. TÂN HỒNG'!B73</f>
        <v>Các khoản chi thường xuyên còn lại</v>
      </c>
      <c r="C80" s="5032">
        <f>+'Phụ lục 8-HĐND'!G14</f>
        <v>329105.11116281548</v>
      </c>
    </row>
    <row r="81" spans="1:3" s="588" customFormat="1" ht="17.399999999999999">
      <c r="A81" s="5050" t="s">
        <v>182</v>
      </c>
      <c r="B81" s="2910" t="str">
        <f>'[2]H. TÂN HỒNG'!B74</f>
        <v>Dự phòng ngân sách</v>
      </c>
      <c r="C81" s="5028">
        <f>+'Phụ lục 8-HĐND'!G15</f>
        <v>13989</v>
      </c>
    </row>
    <row r="82" spans="1:3" s="588" customFormat="1" ht="17.399999999999999">
      <c r="A82" s="5050" t="s">
        <v>215</v>
      </c>
      <c r="B82" s="2910" t="str">
        <f>'[2]H. TÂN HỒNG'!B75</f>
        <v>Chi tạo nguồn cải cách tiền lương</v>
      </c>
      <c r="C82" s="5028">
        <f>+'Phụ lục 8-HĐND'!G16</f>
        <v>0</v>
      </c>
    </row>
    <row r="83" spans="1:3">
      <c r="A83" s="5073" t="s">
        <v>718</v>
      </c>
      <c r="B83" s="701" t="str">
        <f>'[2]H. TÂN HỒNG'!B76</f>
        <v>Chi từ nguồn ngân sách cấp Tỉnh bổ sung có mục tiêu</v>
      </c>
      <c r="C83" s="5028">
        <f>SUM(C84:C88)</f>
        <v>19765.340837184594</v>
      </c>
    </row>
    <row r="84" spans="1:3">
      <c r="A84" s="5055" t="s">
        <v>29</v>
      </c>
      <c r="B84" s="704" t="str">
        <f>+'H. TÂN HỒNG'!B83</f>
        <v>Chi đầu tư xây dựng cơ bản</v>
      </c>
      <c r="C84" s="5032">
        <f>+'Phụ lục 8-HĐND'!G18</f>
        <v>0</v>
      </c>
    </row>
    <row r="85" spans="1:3">
      <c r="A85" s="5055" t="s">
        <v>29</v>
      </c>
      <c r="B85" s="704" t="str">
        <f>+'H. TÂN HỒNG'!B84</f>
        <v>Chi đầu tư từ nguồn xổ số kiến thiết</v>
      </c>
      <c r="C85" s="5032">
        <f>+'Phụ lục 8-HĐND'!G19</f>
        <v>0</v>
      </c>
    </row>
    <row r="86" spans="1:3">
      <c r="A86" s="5055" t="s">
        <v>29</v>
      </c>
      <c r="B86" s="2901" t="str">
        <f>+'H. TÂN HỒNG'!B85</f>
        <v>Chi từ nguồn ngân sách trung ương bổ sung có mục tiêu (kinh phí biên chế giáo viên tăng thêm)</v>
      </c>
      <c r="C86" s="5032">
        <f>+'Phụ lục 8-HĐND'!G20</f>
        <v>964</v>
      </c>
    </row>
    <row r="87" spans="1:3">
      <c r="A87" s="5056" t="s">
        <v>29</v>
      </c>
      <c r="B87" s="2901" t="str">
        <f>+'H. TÂN HỒNG'!B86</f>
        <v>Chi từ nguồn ngân sách trung ương bổ sung có mục tiêu (kinh phí hỗ trợ địa phương sản xuất lúa năm 2025)</v>
      </c>
      <c r="C87" s="5032">
        <f>+'Phụ lục 8-HĐND'!G21</f>
        <v>13500</v>
      </c>
    </row>
    <row r="88" spans="1:3" ht="18.600000000000001" thickBot="1">
      <c r="A88" s="5057"/>
      <c r="B88" s="5891" t="str">
        <f>+'H. TÂN HỒNG'!B87</f>
        <v>Chi từ nguồn ngân sách trung ương bổ sung có mục tiêu (chính sách an sinh xã hội năm 2025)</v>
      </c>
      <c r="C88" s="5059">
        <f>+'Phụ lục 8-HĐND'!G22</f>
        <v>5301.3408371845935</v>
      </c>
    </row>
    <row r="89" spans="1:3" ht="18.600000000000001" thickTop="1"/>
    <row r="90" spans="1:3">
      <c r="A90" s="588" t="s">
        <v>1717</v>
      </c>
      <c r="B90" s="2903"/>
    </row>
    <row r="91" spans="1:3" s="2705" customFormat="1">
      <c r="A91" s="6767" t="s">
        <v>1831</v>
      </c>
      <c r="B91" s="6768"/>
      <c r="C91" s="6768"/>
    </row>
    <row r="92" spans="1:3" s="2705" customFormat="1" ht="57.75" customHeight="1">
      <c r="A92" s="6776" t="str">
        <f>+'H. TÂN HỒNG'!A91:C91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70"/>
      <c r="C92" s="6770"/>
    </row>
    <row r="93" spans="1:3" s="2705" customFormat="1" ht="36.75" customHeight="1">
      <c r="A93" s="6770" t="str">
        <f>+'H. TÂN HỒNG'!A92:C92</f>
        <v>- Chưa bao gồm chi đầu tư từ nguồn vốn do ngân sách cấp tỉnh quản lý và phân bổ bổ sung có mục tiêu cho ngân sách huyện, thành phố</v>
      </c>
      <c r="B93" s="6770"/>
      <c r="C93" s="6770"/>
    </row>
    <row r="94" spans="1:3">
      <c r="A94" s="6777" t="s">
        <v>3207</v>
      </c>
      <c r="B94" s="6777"/>
      <c r="C94" s="6777"/>
    </row>
    <row r="95" spans="1:3" ht="55.5" customHeight="1">
      <c r="A95" s="6770" t="str">
        <f>+'H. TÂN HỒNG'!A94:C94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70"/>
      <c r="C95" s="6770"/>
    </row>
    <row r="96" spans="1:3" ht="37.5" customHeight="1">
      <c r="A96" s="6770" t="str">
        <f>+'H. TÂN HỒNG'!A95:C95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0"/>
      <c r="C96" s="6770"/>
    </row>
    <row r="97" spans="1:3" ht="21" customHeight="1">
      <c r="A97" s="433" t="str">
        <f>+'H. TÂN HỒNG'!A96</f>
        <v xml:space="preserve">- Bao gồm 10% tiết kiệm tăng thêm năm 2025 so với năm 2024 để thực hiện cải cách tiền lương năm 2025 là: </v>
      </c>
      <c r="B97" s="5074"/>
      <c r="C97" s="5075" t="s">
        <v>1830</v>
      </c>
    </row>
    <row r="98" spans="1:3" s="2704" customFormat="1" ht="17.399999999999999">
      <c r="A98" s="6774" t="str">
        <f>'[2]H. TÂN HỒNG'!A91:C91</f>
        <v>(3): Trong đó:</v>
      </c>
      <c r="B98" s="6774"/>
      <c r="C98" s="6774"/>
    </row>
    <row r="99" spans="1:3" s="2705" customFormat="1" ht="55.5" customHeight="1">
      <c r="A99" s="6770" t="str">
        <f>+'H. TÂN HỒNG'!A98:C98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70"/>
      <c r="C99" s="6770"/>
    </row>
    <row r="123" spans="1:3">
      <c r="A123" s="6281" t="str">
        <f>+'H. TÂN HỒNG'!A127:C127</f>
        <v>PHỤ LỤC III</v>
      </c>
      <c r="B123" s="6281"/>
      <c r="C123" s="6281"/>
    </row>
    <row r="124" spans="1:3">
      <c r="A124" s="6281" t="str">
        <f>+'H. TÂN HỒNG'!A128:C128</f>
        <v>CHI TỪ NGUỒN NGÂN SÁCH CẤP TỈNH BỔ SUNG CÓ MỤC TIÊU NĂM 2025</v>
      </c>
      <c r="B124" s="6281"/>
      <c r="C124" s="6281"/>
    </row>
    <row r="125" spans="1:3">
      <c r="A125" s="6281" t="str">
        <f>A67</f>
        <v>HUYỆN TAM NÔNG</v>
      </c>
      <c r="B125" s="6281"/>
      <c r="C125" s="6281"/>
    </row>
    <row r="126" spans="1:3">
      <c r="A126" s="6496" t="str">
        <f>+A68</f>
        <v>(Kèm theo Quyết định số        /QĐ-UBND-HC ngày      /12/2024 của Uỷ ban nhân dân tỉnh Đồng Tháp)</v>
      </c>
      <c r="B126" s="6496"/>
      <c r="C126" s="6496"/>
    </row>
    <row r="128" spans="1:3" ht="18.600000000000001" thickBot="1">
      <c r="A128" s="2899"/>
      <c r="B128" s="2899"/>
      <c r="C128" s="2883" t="str">
        <f>C70</f>
        <v>Đơn vị tính: Triệu đồng</v>
      </c>
    </row>
    <row r="129" spans="1:5" ht="35.4" thickTop="1">
      <c r="A129" s="5014" t="s">
        <v>136</v>
      </c>
      <c r="B129" s="4862" t="s">
        <v>137</v>
      </c>
      <c r="C129" s="4861" t="str">
        <f>+C71</f>
        <v>Dự toán năm 2025</v>
      </c>
    </row>
    <row r="130" spans="1:5">
      <c r="A130" s="5015"/>
      <c r="B130" s="682" t="s">
        <v>3196</v>
      </c>
      <c r="C130" s="5016">
        <f>SUM(C131:C142)</f>
        <v>83885.851999999999</v>
      </c>
      <c r="E130" s="667">
        <f>+C42-C130</f>
        <v>-0.40000000000873115</v>
      </c>
    </row>
    <row r="131" spans="1:5" ht="36">
      <c r="A131" s="593">
        <v>1</v>
      </c>
      <c r="B131" s="5022" t="s">
        <v>805</v>
      </c>
      <c r="C131" s="4538">
        <f>+'Phụ lục số 8.1'!AN14</f>
        <v>25274.37</v>
      </c>
    </row>
    <row r="132" spans="1:5">
      <c r="A132" s="593">
        <v>2</v>
      </c>
      <c r="B132" s="5022" t="str">
        <f>+'H. TÂN HỒNG'!B136</f>
        <v>Kinh phí hỗ trợ địa phương sản xuất lúa</v>
      </c>
      <c r="C132" s="4538">
        <f>+'Phụ lục số 8.1'!AN15</f>
        <v>41500</v>
      </c>
    </row>
    <row r="133" spans="1:5">
      <c r="A133" s="593">
        <v>3</v>
      </c>
      <c r="B133" s="5022" t="str">
        <f>+'H. TÂN HỒNG'!B137</f>
        <v>Kinh phí biên chế giáo viên tăng thêm</v>
      </c>
      <c r="C133" s="4538">
        <f>+'Phụ lục số 8.1'!AN18</f>
        <v>964</v>
      </c>
    </row>
    <row r="134" spans="1:5" ht="36">
      <c r="A134" s="593">
        <v>4</v>
      </c>
      <c r="B134" s="2525" t="s">
        <v>1608</v>
      </c>
      <c r="C134" s="4538">
        <f>+'Phụ lục số 8.3-CĐCS'!BS13-173</f>
        <v>31</v>
      </c>
    </row>
    <row r="135" spans="1:5">
      <c r="A135" s="593">
        <v>5</v>
      </c>
      <c r="B135" s="2525" t="s">
        <v>3197</v>
      </c>
      <c r="C135" s="5018">
        <f>'[2]H. HỒNG NGỰ'!C101+'[2]TP. HỒNG NGỰ'!C101+'[2]H. TÂN HỒNG'!C101+'[2]H. TAM NÔNG'!C101+'[2]H. THANH BÌNH'!C101+'[2]TP. CAO LÃNH'!C101+'[2]H. CAO LÃNH'!C101+'[2]H. THÁP MƯỜI'!C101+'[2]H. LẤP VÒ'!C101+'[2]H. LAI VUNG'!C101+'[2]TP. SA ĐÉC'!C101+'[2]H. CHÂU THÀNH'!C101</f>
        <v>0</v>
      </c>
    </row>
    <row r="136" spans="1:5" ht="36">
      <c r="A136" s="593">
        <v>6</v>
      </c>
      <c r="B136" s="2525" t="s">
        <v>3198</v>
      </c>
      <c r="C136" s="5018">
        <f>+'Phụ lục số 8.3-CĐCS'!BS15-100</f>
        <v>12.160000000000025</v>
      </c>
    </row>
    <row r="137" spans="1:5" ht="36">
      <c r="A137" s="593">
        <v>7</v>
      </c>
      <c r="B137" s="2525" t="s">
        <v>3199</v>
      </c>
      <c r="C137" s="5018">
        <f>+'Phụ lục số 8.3-CĐCS'!BS17</f>
        <v>9781</v>
      </c>
    </row>
    <row r="138" spans="1:5" ht="36">
      <c r="A138" s="593">
        <v>8</v>
      </c>
      <c r="B138" s="2525" t="s">
        <v>1093</v>
      </c>
      <c r="C138" s="4538">
        <f>+'Phụ lục số 8.3-CĐCS'!BS18</f>
        <v>10</v>
      </c>
    </row>
    <row r="139" spans="1:5" ht="36">
      <c r="A139" s="593">
        <v>9</v>
      </c>
      <c r="B139" s="5012" t="s">
        <v>3156</v>
      </c>
      <c r="C139" s="5018">
        <f>+'Phụ lục số 8.1'!AN20</f>
        <v>707.82</v>
      </c>
    </row>
    <row r="140" spans="1:5">
      <c r="A140" s="593">
        <v>10</v>
      </c>
      <c r="B140" s="5013" t="s">
        <v>1510</v>
      </c>
      <c r="C140" s="5018">
        <f>+'Phụ lục số 8.1'!AN22</f>
        <v>1820</v>
      </c>
    </row>
    <row r="141" spans="1:5">
      <c r="A141" s="593">
        <v>11</v>
      </c>
      <c r="B141" s="5013" t="str">
        <f>+'H. TÂN HỒNG'!B145</f>
        <v>Kinh phí thực hiện hỗ trợ đào tạo nghề trình độ sơ cấp và đào tạo dưới 03 tháng năm 2025</v>
      </c>
      <c r="C141" s="5018">
        <f>+'Phụ lục số 8.1'!AN21</f>
        <v>235</v>
      </c>
    </row>
    <row r="142" spans="1:5" ht="18.600000000000001" thickBot="1">
      <c r="A142" s="5019">
        <v>12</v>
      </c>
      <c r="B142" s="5192" t="str">
        <f>+'H. TÂN HỒNG'!B146</f>
        <v>Kinh phí tổ chức đại hội Đảng nhiệm kỳ 2025 - 2030</v>
      </c>
      <c r="C142" s="5021">
        <f>+'Phụ lục số 8.1'!AN16</f>
        <v>3550.502</v>
      </c>
    </row>
    <row r="143" spans="1:5" ht="18.600000000000001" thickTop="1"/>
  </sheetData>
  <mergeCells count="23">
    <mergeCell ref="A99:C99"/>
    <mergeCell ref="A123:C123"/>
    <mergeCell ref="A124:C124"/>
    <mergeCell ref="A125:C125"/>
    <mergeCell ref="A126:C126"/>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E149"/>
  <sheetViews>
    <sheetView topLeftCell="A82" workbookViewId="0">
      <selection activeCell="D141" sqref="D14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TAM NÔNG'!A1:C1</f>
        <v>PHỤ LỤC I</v>
      </c>
      <c r="B1" s="6281"/>
      <c r="C1" s="6281"/>
    </row>
    <row r="2" spans="1:3">
      <c r="A2" s="6281" t="str">
        <f>+'H. TAM NÔNG'!A2:C2</f>
        <v>NHIỆM VỤ THU NGÂN SÁCH NHÀ NƯỚC NĂM 2025</v>
      </c>
      <c r="B2" s="6281"/>
      <c r="C2" s="6281"/>
    </row>
    <row r="3" spans="1:3">
      <c r="A3" s="6281" t="s">
        <v>1491</v>
      </c>
      <c r="B3" s="6281"/>
      <c r="C3" s="6281"/>
    </row>
    <row r="4" spans="1:3">
      <c r="A4" s="6498" t="str">
        <f>+'H. TAM NÔNG'!A4:C4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196200</v>
      </c>
    </row>
    <row r="9" spans="1:3">
      <c r="A9" s="5025"/>
      <c r="B9" s="697" t="s">
        <v>784</v>
      </c>
      <c r="C9" s="5026">
        <f>C8-C29</f>
        <v>146200</v>
      </c>
    </row>
    <row r="10" spans="1:3">
      <c r="A10" s="5027">
        <v>1</v>
      </c>
      <c r="B10" s="701" t="s">
        <v>1477</v>
      </c>
      <c r="C10" s="5028">
        <f>SUM(C11:C15)</f>
        <v>67000</v>
      </c>
    </row>
    <row r="11" spans="1:3">
      <c r="A11" s="5029" t="s">
        <v>29</v>
      </c>
      <c r="B11" s="704" t="s">
        <v>786</v>
      </c>
      <c r="C11" s="5032">
        <f>+'Phụ lục 7-HĐND'!R10</f>
        <v>19700</v>
      </c>
    </row>
    <row r="12" spans="1:3">
      <c r="A12" s="5029" t="s">
        <v>29</v>
      </c>
      <c r="B12" s="704" t="s">
        <v>787</v>
      </c>
      <c r="C12" s="5032">
        <f>+'Phụ lục 7-HĐND'!R11</f>
        <v>46900</v>
      </c>
    </row>
    <row r="13" spans="1:3">
      <c r="A13" s="5029" t="s">
        <v>29</v>
      </c>
      <c r="B13" s="704" t="s">
        <v>788</v>
      </c>
      <c r="C13" s="5032">
        <f>+'Phụ lục 7-HĐND'!R12</f>
        <v>100</v>
      </c>
    </row>
    <row r="14" spans="1:3">
      <c r="A14" s="5029" t="s">
        <v>29</v>
      </c>
      <c r="B14" s="704" t="s">
        <v>10</v>
      </c>
      <c r="C14" s="5032">
        <f>+'Phụ lục 7-HĐND'!R13</f>
        <v>300</v>
      </c>
    </row>
    <row r="15" spans="1:3">
      <c r="A15" s="5029" t="s">
        <v>29</v>
      </c>
      <c r="B15" s="704" t="s">
        <v>789</v>
      </c>
      <c r="C15" s="5032">
        <f>+'Phụ lục 7-HĐND'!R14</f>
        <v>0</v>
      </c>
    </row>
    <row r="16" spans="1:3">
      <c r="A16" s="5027">
        <v>2</v>
      </c>
      <c r="B16" s="701" t="s">
        <v>20</v>
      </c>
      <c r="C16" s="5028">
        <f>SUM(C17:C18)</f>
        <v>17000</v>
      </c>
    </row>
    <row r="17" spans="1:3" hidden="1">
      <c r="A17" s="5031" t="s">
        <v>29</v>
      </c>
      <c r="B17" s="43" t="s">
        <v>790</v>
      </c>
      <c r="C17" s="5032">
        <f>+'Phụ lục 7-HĐND'!R16</f>
        <v>0</v>
      </c>
    </row>
    <row r="18" spans="1:3" hidden="1">
      <c r="A18" s="5033" t="s">
        <v>29</v>
      </c>
      <c r="B18" s="711" t="s">
        <v>791</v>
      </c>
      <c r="C18" s="5032">
        <f>+'Phụ lục 7-HĐND'!R17</f>
        <v>17000</v>
      </c>
    </row>
    <row r="19" spans="1:3" s="386" customFormat="1" ht="17.399999999999999">
      <c r="A19" s="5027">
        <v>3</v>
      </c>
      <c r="B19" s="701" t="s">
        <v>17</v>
      </c>
      <c r="C19" s="5028">
        <f>+'Phụ lục 7-HĐND'!R18</f>
        <v>20000</v>
      </c>
    </row>
    <row r="20" spans="1:3" s="386" customFormat="1" ht="17.399999999999999">
      <c r="A20" s="5027">
        <v>4</v>
      </c>
      <c r="B20" s="701" t="s">
        <v>792</v>
      </c>
      <c r="C20" s="5028">
        <f>+'Phụ lục 7-HĐND'!R19</f>
        <v>0</v>
      </c>
    </row>
    <row r="21" spans="1:3" s="386" customFormat="1" ht="17.399999999999999">
      <c r="A21" s="5027">
        <v>4</v>
      </c>
      <c r="B21" s="701" t="s">
        <v>97</v>
      </c>
      <c r="C21" s="5028">
        <f>+'Phụ lục 7-HĐND'!R20</f>
        <v>1200</v>
      </c>
    </row>
    <row r="22" spans="1:3">
      <c r="A22" s="5027">
        <v>5</v>
      </c>
      <c r="B22" s="701" t="s">
        <v>793</v>
      </c>
      <c r="C22" s="5028">
        <f>SUM(C23:C25)</f>
        <v>6000</v>
      </c>
    </row>
    <row r="23" spans="1:3">
      <c r="A23" s="5034" t="s">
        <v>29</v>
      </c>
      <c r="B23" s="43" t="s">
        <v>794</v>
      </c>
      <c r="C23" s="5032">
        <f>+'Phụ lục 7-HĐND'!R22</f>
        <v>2200</v>
      </c>
    </row>
    <row r="24" spans="1:3">
      <c r="A24" s="5034" t="s">
        <v>29</v>
      </c>
      <c r="B24" s="43" t="s">
        <v>795</v>
      </c>
      <c r="C24" s="5032">
        <f>+'Phụ lục 7-HĐND'!R23</f>
        <v>200</v>
      </c>
    </row>
    <row r="25" spans="1:3">
      <c r="A25" s="5034" t="s">
        <v>29</v>
      </c>
      <c r="B25" s="43" t="s">
        <v>796</v>
      </c>
      <c r="C25" s="5032">
        <f>+'Phụ lục 7-HĐND'!R24</f>
        <v>3600</v>
      </c>
    </row>
    <row r="26" spans="1:3">
      <c r="A26" s="5027">
        <v>6</v>
      </c>
      <c r="B26" s="701" t="s">
        <v>24</v>
      </c>
      <c r="C26" s="5028">
        <f>SUM(C27:C28)</f>
        <v>10000</v>
      </c>
    </row>
    <row r="27" spans="1:3">
      <c r="A27" s="5034" t="s">
        <v>29</v>
      </c>
      <c r="B27" s="43" t="s">
        <v>790</v>
      </c>
      <c r="C27" s="5032">
        <f>+'Phụ lục 7-HĐND'!R26</f>
        <v>0</v>
      </c>
    </row>
    <row r="28" spans="1:3">
      <c r="A28" s="5035" t="s">
        <v>29</v>
      </c>
      <c r="B28" s="711" t="s">
        <v>1809</v>
      </c>
      <c r="C28" s="5032">
        <f>+'Phụ lục 7-HĐND'!R27</f>
        <v>10000</v>
      </c>
    </row>
    <row r="29" spans="1:3">
      <c r="A29" s="5027">
        <v>7</v>
      </c>
      <c r="B29" s="701" t="s">
        <v>242</v>
      </c>
      <c r="C29" s="5028">
        <f>SUM(C30:C31)</f>
        <v>50000</v>
      </c>
    </row>
    <row r="30" spans="1:3">
      <c r="A30" s="5034" t="s">
        <v>29</v>
      </c>
      <c r="B30" s="43" t="s">
        <v>790</v>
      </c>
      <c r="C30" s="5032">
        <f>+'Phụ lục 7-HĐND'!R29</f>
        <v>0</v>
      </c>
    </row>
    <row r="31" spans="1:3">
      <c r="A31" s="5035" t="s">
        <v>29</v>
      </c>
      <c r="B31" s="711" t="s">
        <v>1810</v>
      </c>
      <c r="C31" s="5032">
        <f>+'Phụ lục 7-HĐND'!R30</f>
        <v>50000</v>
      </c>
    </row>
    <row r="32" spans="1:3">
      <c r="A32" s="5027">
        <v>8</v>
      </c>
      <c r="B32" s="701" t="s">
        <v>798</v>
      </c>
      <c r="C32" s="5028">
        <f>SUM(C33:C35)</f>
        <v>25000</v>
      </c>
    </row>
    <row r="33" spans="1:3">
      <c r="A33" s="5034" t="s">
        <v>29</v>
      </c>
      <c r="B33" s="43" t="s">
        <v>799</v>
      </c>
      <c r="C33" s="5032">
        <f>+'Phụ lục 7-HĐND'!R32</f>
        <v>3500</v>
      </c>
    </row>
    <row r="34" spans="1:3">
      <c r="A34" s="5034" t="s">
        <v>29</v>
      </c>
      <c r="B34" s="43" t="s">
        <v>800</v>
      </c>
      <c r="C34" s="5032">
        <f>+'Phụ lục 7-HĐND'!R33</f>
        <v>3000</v>
      </c>
    </row>
    <row r="35" spans="1:3">
      <c r="A35" s="5034" t="s">
        <v>29</v>
      </c>
      <c r="B35" s="43" t="s">
        <v>801</v>
      </c>
      <c r="C35" s="5032">
        <f>+'Phụ lục 7-HĐND'!R34</f>
        <v>18500</v>
      </c>
    </row>
    <row r="36" spans="1:3">
      <c r="A36" s="5027">
        <v>9</v>
      </c>
      <c r="B36" s="5036" t="s">
        <v>1811</v>
      </c>
      <c r="C36" s="5028">
        <f>+'Phụ lục 7-HĐND'!R35</f>
        <v>0</v>
      </c>
    </row>
    <row r="37" spans="1:3">
      <c r="A37" s="5027" t="s">
        <v>33</v>
      </c>
      <c r="B37" s="701" t="s">
        <v>1812</v>
      </c>
      <c r="C37" s="5037"/>
    </row>
    <row r="38" spans="1:3">
      <c r="A38" s="5027"/>
      <c r="B38" s="704" t="s">
        <v>1813</v>
      </c>
      <c r="C38" s="5038">
        <v>1</v>
      </c>
    </row>
    <row r="39" spans="1:3" s="386" customFormat="1" ht="17.399999999999999">
      <c r="A39" s="4971" t="s">
        <v>182</v>
      </c>
      <c r="B39" s="4972" t="s">
        <v>802</v>
      </c>
      <c r="C39" s="613">
        <f>SUM(C40:C42)</f>
        <v>751634.22600000002</v>
      </c>
    </row>
    <row r="40" spans="1:3">
      <c r="A40" s="1926">
        <v>1</v>
      </c>
      <c r="B40" s="4968" t="s">
        <v>803</v>
      </c>
      <c r="C40" s="2608">
        <f>+'Phụ lục 7-HĐND'!R37</f>
        <v>449761</v>
      </c>
    </row>
    <row r="41" spans="1:3">
      <c r="A41" s="1926">
        <v>2</v>
      </c>
      <c r="B41" s="1927" t="s">
        <v>3136</v>
      </c>
      <c r="C41" s="2608">
        <f>+'Phụ lục 7-HĐND'!R38</f>
        <v>204980</v>
      </c>
    </row>
    <row r="42" spans="1:3">
      <c r="A42" s="1926">
        <v>3</v>
      </c>
      <c r="B42" s="4968" t="s">
        <v>3206</v>
      </c>
      <c r="C42" s="2608">
        <f>+'Phụ lục 7-HĐND'!R39</f>
        <v>96893.225999999995</v>
      </c>
    </row>
    <row r="43" spans="1:3" s="386" customFormat="1" thickBot="1">
      <c r="A43" s="4539" t="s">
        <v>215</v>
      </c>
      <c r="B43" s="5042" t="s">
        <v>1721</v>
      </c>
      <c r="C43" s="5043">
        <f>+'Phụ lục 7-HĐND'!R40</f>
        <v>17902</v>
      </c>
    </row>
    <row r="44" spans="1:3" ht="18.600000000000001" thickTop="1">
      <c r="A44" s="2914"/>
      <c r="B44" s="2914" t="s">
        <v>809</v>
      </c>
      <c r="C44" s="2915"/>
    </row>
    <row r="46" spans="1:3">
      <c r="A46" s="6744" t="s">
        <v>1717</v>
      </c>
      <c r="B46" s="6744"/>
      <c r="C46" s="6744"/>
    </row>
    <row r="47" spans="1:3" ht="36.75" customHeight="1">
      <c r="A47" s="6759" t="str">
        <f>+'H. TAM NÔNG'!A47:C47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5" customHeight="1">
      <c r="A48" s="6759" t="str">
        <f>+'H. TAM NÔNG'!A48:C48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6778" t="str">
        <f>+'H. TAM NÔNG'!A49</f>
        <v>(4): Các khoản thu phân chia theo tỷ lệ (%) giữa ngân sách cấp Tỉnh và ngân sách cấp huyện</v>
      </c>
      <c r="B49" s="6778"/>
      <c r="C49" s="6778"/>
    </row>
    <row r="50" spans="1:3">
      <c r="A50" s="6778" t="str">
        <f>+'H. TAM NÔNG'!A50</f>
        <v>(5): Chi tiết thu bổ sung có mục tiêu theo Phụ lục số III</v>
      </c>
      <c r="B50" s="6778"/>
      <c r="C50" s="6778"/>
    </row>
    <row r="51" spans="1:3">
      <c r="A51" s="2922"/>
      <c r="B51" s="2922"/>
      <c r="C51" s="2922"/>
    </row>
    <row r="66" spans="1:3">
      <c r="A66" s="6281" t="str">
        <f>+'H. TAM NÔNG'!A65:C65</f>
        <v>PHỤ LỤC II</v>
      </c>
      <c r="B66" s="6281"/>
      <c r="C66" s="6281"/>
    </row>
    <row r="67" spans="1:3">
      <c r="A67" s="6281" t="str">
        <f>+'H. TAM NÔNG'!A66:C66</f>
        <v>NHIỆM VỤ CHI NGÂN SÁCH HUYỆN, THÀNH PHỐ NĂM 2025</v>
      </c>
      <c r="B67" s="6281"/>
      <c r="C67" s="6281"/>
    </row>
    <row r="68" spans="1:3">
      <c r="A68" s="6281" t="str">
        <f>A3</f>
        <v>HUYỆN THANH BÌNH</v>
      </c>
      <c r="B68" s="6281"/>
      <c r="C68" s="6281"/>
    </row>
    <row r="69" spans="1:3">
      <c r="A69" s="6498" t="str">
        <f>A4</f>
        <v>(Kèm theo Quyết định số        /QĐ-UBND-HC ngày      /12/2024 của Uỷ ban nhân dân tỉnh Đồng Tháp)</v>
      </c>
      <c r="B69" s="6498"/>
      <c r="C69" s="6498"/>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s="2923" customFormat="1" ht="17.399999999999999">
      <c r="A73" s="5061"/>
      <c r="B73" s="2753" t="str">
        <f>'[2]H. TAM NÔNG'!B65</f>
        <v>Tổng chi (I+II+III+IV)</v>
      </c>
      <c r="C73" s="5062">
        <f>C74+C78+C82+C83+C84</f>
        <v>950436.22600000002</v>
      </c>
    </row>
    <row r="74" spans="1:3" s="2923" customFormat="1" ht="17.399999999999999">
      <c r="A74" s="5063" t="s">
        <v>3</v>
      </c>
      <c r="B74" s="2741" t="str">
        <f>'[2]H. TAM NÔNG'!B66</f>
        <v>Chi đầu tư phát triển (1)</v>
      </c>
      <c r="C74" s="5064">
        <f>C76+C77</f>
        <v>89000</v>
      </c>
    </row>
    <row r="75" spans="1:3" s="47" customFormat="1">
      <c r="A75" s="5065"/>
      <c r="B75" s="2924" t="str">
        <f>'[2]H. TAM NÔNG'!B67</f>
        <v>Bao gồm:</v>
      </c>
      <c r="C75" s="5076"/>
    </row>
    <row r="76" spans="1:3" s="47" customFormat="1">
      <c r="A76" s="5067">
        <v>1</v>
      </c>
      <c r="B76" s="328" t="str">
        <f>'[2]H. TAM NÔNG'!B68</f>
        <v>Chi đầu tư xây dựng cơ bản</v>
      </c>
      <c r="C76" s="5076">
        <f>+'Phụ lục 8-HĐND'!H9</f>
        <v>44000</v>
      </c>
    </row>
    <row r="77" spans="1:3" s="47" customFormat="1">
      <c r="A77" s="5067">
        <v>2</v>
      </c>
      <c r="B77" s="328" t="str">
        <f>'[2]H. TAM NÔNG'!B69</f>
        <v>Chi đầu tư từ nguồn thu tiền sử dụng đất</v>
      </c>
      <c r="C77" s="5076">
        <f>+'Phụ lục 8-HĐND'!H10</f>
        <v>45000</v>
      </c>
    </row>
    <row r="78" spans="1:3" s="2923" customFormat="1" ht="17.399999999999999">
      <c r="A78" s="5063" t="s">
        <v>33</v>
      </c>
      <c r="B78" s="2741" t="str">
        <f>'[2]H. TAM NÔNG'!B70</f>
        <v>Chi thường xuyên (2)</v>
      </c>
      <c r="C78" s="5064">
        <f>+'Phụ lục 8-HĐND'!H11</f>
        <v>822292.80711051729</v>
      </c>
    </row>
    <row r="79" spans="1:3" s="47" customFormat="1">
      <c r="A79" s="5068"/>
      <c r="B79" s="2900" t="str">
        <f>'[2]H. TAM NÔNG'!B71</f>
        <v>Bao gồm:</v>
      </c>
      <c r="C79" s="5076"/>
    </row>
    <row r="80" spans="1:3" s="47" customFormat="1">
      <c r="A80" s="5067">
        <v>1</v>
      </c>
      <c r="B80" s="924" t="str">
        <f>'[2]H. TAM NÔNG'!B72</f>
        <v>Sự nghiệp giáo dục - đào tạo (3)</v>
      </c>
      <c r="C80" s="5076">
        <f>+'Phụ lục 8-HĐND'!H13</f>
        <v>448049</v>
      </c>
    </row>
    <row r="81" spans="1:3" s="47" customFormat="1">
      <c r="A81" s="5067">
        <v>2</v>
      </c>
      <c r="B81" s="924" t="str">
        <f>'[2]H. TAM NÔNG'!B73</f>
        <v>Các khoản chi thường xuyên còn lại</v>
      </c>
      <c r="C81" s="5076">
        <f>+'Phụ lục 8-HĐND'!H14</f>
        <v>374243.80711051729</v>
      </c>
    </row>
    <row r="82" spans="1:3" s="2923" customFormat="1" ht="17.399999999999999">
      <c r="A82" s="5063" t="s">
        <v>182</v>
      </c>
      <c r="B82" s="2741" t="str">
        <f>'[2]H. TAM NÔNG'!B74</f>
        <v>Dự phòng ngân sách</v>
      </c>
      <c r="C82" s="5064">
        <f>+'Phụ lục 8-HĐND'!H15</f>
        <v>17519</v>
      </c>
    </row>
    <row r="83" spans="1:3" s="2923" customFormat="1" ht="17.399999999999999">
      <c r="A83" s="5063" t="s">
        <v>215</v>
      </c>
      <c r="B83" s="2741" t="str">
        <f>'[2]H. TAM NÔNG'!B75</f>
        <v>Chi tạo nguồn cải cách tiền lương</v>
      </c>
      <c r="C83" s="5064">
        <f>+'Phụ lục 8-HĐND'!H16</f>
        <v>0</v>
      </c>
    </row>
    <row r="84" spans="1:3" s="2923" customFormat="1" ht="17.399999999999999">
      <c r="A84" s="5890" t="s">
        <v>718</v>
      </c>
      <c r="B84" s="2741" t="str">
        <f>'[2]H. TAM NÔNG'!B76</f>
        <v>Chi từ nguồn ngân sách cấp Tỉnh bổ sung có mục tiêu</v>
      </c>
      <c r="C84" s="5064">
        <f>SUM(C85:C89)</f>
        <v>21624.418889482789</v>
      </c>
    </row>
    <row r="85" spans="1:3">
      <c r="A85" s="5055" t="s">
        <v>29</v>
      </c>
      <c r="B85" s="704" t="str">
        <f>+'H. TAM NÔNG'!B84</f>
        <v>Chi đầu tư xây dựng cơ bản</v>
      </c>
      <c r="C85" s="5032">
        <f>+'Phụ lục 8-HĐND'!H18</f>
        <v>0</v>
      </c>
    </row>
    <row r="86" spans="1:3">
      <c r="A86" s="5055" t="s">
        <v>29</v>
      </c>
      <c r="B86" s="704" t="str">
        <f>+'H. TAM NÔNG'!B85</f>
        <v>Chi đầu tư từ nguồn xổ số kiến thiết</v>
      </c>
      <c r="C86" s="5032">
        <f>+'Phụ lục 8-HĐND'!H19</f>
        <v>0</v>
      </c>
    </row>
    <row r="87" spans="1:3">
      <c r="A87" s="5055" t="s">
        <v>29</v>
      </c>
      <c r="B87" s="2901" t="str">
        <f>+'H. TAM NÔNG'!B86</f>
        <v>Chi từ nguồn ngân sách trung ương bổ sung có mục tiêu (kinh phí biên chế giáo viên tăng thêm)</v>
      </c>
      <c r="C87" s="5032">
        <f>+'Phụ lục 8-HĐND'!H20</f>
        <v>1227</v>
      </c>
    </row>
    <row r="88" spans="1:3">
      <c r="A88" s="5056" t="s">
        <v>29</v>
      </c>
      <c r="B88" s="2901" t="str">
        <f>+'H. TAM NÔNG'!B87</f>
        <v>Chi từ nguồn ngân sách trung ương bổ sung có mục tiêu (kinh phí hỗ trợ địa phương sản xuất lúa năm 2025)</v>
      </c>
      <c r="C88" s="5032">
        <f>+'Phụ lục 8-HĐND'!H21</f>
        <v>9549</v>
      </c>
    </row>
    <row r="89" spans="1:3" ht="18.600000000000001" thickBot="1">
      <c r="A89" s="5057"/>
      <c r="B89" s="5891" t="str">
        <f>+'H. TAM NÔNG'!B88</f>
        <v>Chi từ nguồn ngân sách trung ương bổ sung có mục tiêu (chính sách an sinh xã hội năm 2025)</v>
      </c>
      <c r="C89" s="5059">
        <f>+'Phụ lục 8-HĐND'!H22</f>
        <v>10848.418889482789</v>
      </c>
    </row>
    <row r="90" spans="1:3" ht="18.600000000000001" thickTop="1"/>
    <row r="91" spans="1:3">
      <c r="A91" s="588" t="s">
        <v>1717</v>
      </c>
      <c r="B91" s="2903"/>
    </row>
    <row r="92" spans="1:3">
      <c r="A92" s="6761" t="s">
        <v>1828</v>
      </c>
      <c r="B92" s="6762"/>
      <c r="C92" s="6762"/>
    </row>
    <row r="93" spans="1:3">
      <c r="A93" s="6772" t="str">
        <f>+'H. TAM NÔNG'!A92:C92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69"/>
      <c r="C93" s="6769"/>
    </row>
    <row r="94" spans="1:3" ht="39.75" customHeight="1">
      <c r="A94" s="6769" t="str">
        <f>+'H. TAM NÔNG'!A93:C93</f>
        <v>- Chưa bao gồm chi đầu tư từ nguồn vốn do ngân sách cấp tỉnh quản lý và phân bổ bổ sung có mục tiêu cho ngân sách huyện, thành phố</v>
      </c>
      <c r="B94" s="6769"/>
      <c r="C94" s="6769"/>
    </row>
    <row r="95" spans="1:3">
      <c r="A95" s="6764" t="s">
        <v>1829</v>
      </c>
      <c r="B95" s="6764"/>
      <c r="C95" s="6764"/>
    </row>
    <row r="96" spans="1:3" ht="57.75" customHeight="1">
      <c r="A96" s="6769" t="str">
        <f>+'H. TAM NÔNG'!A95:C95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69"/>
      <c r="C96" s="6769"/>
    </row>
    <row r="97" spans="1:3" ht="39.75" customHeight="1">
      <c r="A97" s="6779" t="str">
        <f>+'H. TAM NÔNG'!A96:C96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79"/>
      <c r="C97" s="6779"/>
    </row>
    <row r="98" spans="1:3">
      <c r="A98" s="381" t="str">
        <f>+'H. TAM NÔNG'!A97</f>
        <v xml:space="preserve">- Bao gồm 10% tiết kiệm tăng thêm năm 2025 so với năm 2024 để thực hiện cải cách tiền lương năm 2025 là: </v>
      </c>
      <c r="C98" s="2912" t="s">
        <v>432</v>
      </c>
    </row>
    <row r="99" spans="1:3" s="2704" customFormat="1" ht="17.399999999999999">
      <c r="A99" s="2704" t="str">
        <f>'[2]H. TAM NÔNG'!A91:C91</f>
        <v>(3): Trong đó:</v>
      </c>
    </row>
    <row r="100" spans="1:3" s="2705" customFormat="1">
      <c r="A100" s="6769" t="str">
        <f>+'H. TAM NÔNG'!A99:C99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69"/>
      <c r="C100" s="6769"/>
    </row>
    <row r="129" spans="1:5">
      <c r="A129" s="6281" t="str">
        <f>+'H. TAM NÔNG'!A123:C123</f>
        <v>PHỤ LỤC III</v>
      </c>
      <c r="B129" s="6281"/>
      <c r="C129" s="6281"/>
    </row>
    <row r="130" spans="1:5">
      <c r="A130" s="6281" t="str">
        <f>+'H. TAM NÔNG'!A124:C124</f>
        <v>CHI TỪ NGUỒN NGÂN SÁCH CẤP TỈNH BỔ SUNG CÓ MỤC TIÊU NĂM 2025</v>
      </c>
      <c r="B130" s="6281"/>
      <c r="C130" s="6281"/>
    </row>
    <row r="131" spans="1:5">
      <c r="A131" s="6281" t="str">
        <f>A68</f>
        <v>HUYỆN THANH BÌNH</v>
      </c>
      <c r="B131" s="6281"/>
      <c r="C131" s="6281"/>
    </row>
    <row r="132" spans="1:5">
      <c r="A132" s="6496" t="str">
        <f>+A69</f>
        <v>(Kèm theo Quyết định số        /QĐ-UBND-HC ngày      /12/2024 của Uỷ ban nhân dân tỉnh Đồng Tháp)</v>
      </c>
      <c r="B132" s="6496"/>
      <c r="C132" s="6496"/>
    </row>
    <row r="134" spans="1:5" ht="18.600000000000001" thickBot="1">
      <c r="A134" s="2899"/>
      <c r="B134" s="2899"/>
      <c r="C134" s="2883" t="str">
        <f>C71</f>
        <v>Đơn vị tính: Triệu đồng</v>
      </c>
    </row>
    <row r="135" spans="1:5" ht="35.4" thickTop="1">
      <c r="A135" s="5014" t="s">
        <v>136</v>
      </c>
      <c r="B135" s="4862" t="s">
        <v>137</v>
      </c>
      <c r="C135" s="4861" t="str">
        <f>+C72</f>
        <v>Dự toán năm 2025</v>
      </c>
    </row>
    <row r="136" spans="1:5">
      <c r="A136" s="5015"/>
      <c r="B136" s="682" t="s">
        <v>3196</v>
      </c>
      <c r="C136" s="5016">
        <f>SUM(C137:C148)</f>
        <v>96893.225999999995</v>
      </c>
      <c r="E136" s="667">
        <f>+C42-C136</f>
        <v>0</v>
      </c>
    </row>
    <row r="137" spans="1:5" ht="36">
      <c r="A137" s="593">
        <v>1</v>
      </c>
      <c r="B137" s="5022" t="s">
        <v>805</v>
      </c>
      <c r="C137" s="4538">
        <f>+'Phụ lục số 8.1'!AV14</f>
        <v>18981.66</v>
      </c>
    </row>
    <row r="138" spans="1:5">
      <c r="A138" s="593">
        <v>2</v>
      </c>
      <c r="B138" s="5022" t="str">
        <f>+'H. TAM NÔNG'!B132</f>
        <v>Kinh phí hỗ trợ địa phương sản xuất lúa</v>
      </c>
      <c r="C138" s="4538">
        <f>+'Phụ lục số 8.1'!AV15</f>
        <v>29647</v>
      </c>
    </row>
    <row r="139" spans="1:5">
      <c r="A139" s="593">
        <v>3</v>
      </c>
      <c r="B139" s="5022" t="str">
        <f>+'H. TAM NÔNG'!B133</f>
        <v>Kinh phí biên chế giáo viên tăng thêm</v>
      </c>
      <c r="C139" s="4538">
        <f>+'Phụ lục số 8.1'!AV18</f>
        <v>1227</v>
      </c>
    </row>
    <row r="140" spans="1:5" ht="36">
      <c r="A140" s="593">
        <v>4</v>
      </c>
      <c r="B140" s="2525" t="s">
        <v>1608</v>
      </c>
      <c r="C140" s="4538">
        <f>+'Phụ lục số 8.3-CĐCS'!CG13+'Phụ lục số 8.3-CĐCS'!CG14</f>
        <v>168.07999999999998</v>
      </c>
    </row>
    <row r="141" spans="1:5">
      <c r="A141" s="593">
        <v>5</v>
      </c>
      <c r="B141" s="2525" t="s">
        <v>3197</v>
      </c>
      <c r="C141" s="5018">
        <f>'[2]H. HỒNG NGỰ'!C101+'[2]TP. HỒNG NGỰ'!C101+'[2]H. TÂN HỒNG'!C101+'[2]H. TAM NÔNG'!C101+'[2]H. THANH BÌNH'!C101+'[2]TP. CAO LÃNH'!C101+'[2]H. CAO LÃNH'!C101+'[2]H. THÁP MƯỜI'!C101+'[2]H. LẤP VÒ'!C101+'[2]H. LAI VUNG'!C101+'[2]TP. SA ĐÉC'!C101+'[2]H. CHÂU THÀNH'!C101</f>
        <v>0</v>
      </c>
    </row>
    <row r="142" spans="1:5" ht="36">
      <c r="A142" s="593">
        <v>6</v>
      </c>
      <c r="B142" s="2525" t="s">
        <v>3198</v>
      </c>
      <c r="C142" s="5018">
        <f>+'Phụ lục số 8.3-CĐCS'!CG15</f>
        <v>42.271999999999998</v>
      </c>
    </row>
    <row r="143" spans="1:5" ht="36">
      <c r="A143" s="593">
        <v>7</v>
      </c>
      <c r="B143" s="2525" t="s">
        <v>3199</v>
      </c>
      <c r="C143" s="5018">
        <f>+'Phụ lục số 8.3-CĐCS'!CG17+'Phụ lục số 8.3-CĐCS'!CG18</f>
        <v>19913</v>
      </c>
    </row>
    <row r="144" spans="1:5" ht="36">
      <c r="A144" s="593">
        <v>8</v>
      </c>
      <c r="B144" s="2525" t="s">
        <v>1093</v>
      </c>
      <c r="C144" s="4538">
        <v>0</v>
      </c>
    </row>
    <row r="145" spans="1:3" ht="36">
      <c r="A145" s="593">
        <v>9</v>
      </c>
      <c r="B145" s="5012" t="s">
        <v>3156</v>
      </c>
      <c r="C145" s="5018">
        <f>+'Phụ lục số 8.1'!AV20</f>
        <v>1144.56</v>
      </c>
    </row>
    <row r="146" spans="1:3">
      <c r="A146" s="593">
        <v>10</v>
      </c>
      <c r="B146" s="5013" t="s">
        <v>1510</v>
      </c>
      <c r="C146" s="5018">
        <f>+'Phụ lục số 8.1'!AV22</f>
        <v>21475</v>
      </c>
    </row>
    <row r="147" spans="1:3">
      <c r="A147" s="593">
        <v>11</v>
      </c>
      <c r="B147" s="5013" t="str">
        <f>+'H. TAM NÔNG'!B141</f>
        <v>Kinh phí thực hiện hỗ trợ đào tạo nghề trình độ sơ cấp và đào tạo dưới 03 tháng năm 2025</v>
      </c>
      <c r="C147" s="5018">
        <f>+'Phụ lục số 8.1'!AV21</f>
        <v>142</v>
      </c>
    </row>
    <row r="148" spans="1:3" ht="18.600000000000001" thickBot="1">
      <c r="A148" s="5019">
        <v>12</v>
      </c>
      <c r="B148" s="5192" t="str">
        <f>+'H. TAM NÔNG'!B142</f>
        <v>Kinh phí tổ chức đại hội Đảng nhiệm kỳ 2025 - 2030</v>
      </c>
      <c r="C148" s="5021">
        <f>+'Phụ lục số 8.1'!AV16</f>
        <v>4152.6540000000005</v>
      </c>
    </row>
    <row r="149" spans="1:3" ht="18.600000000000001" thickTop="1"/>
  </sheetData>
  <mergeCells count="24">
    <mergeCell ref="A132:C132"/>
    <mergeCell ref="A69:C69"/>
    <mergeCell ref="A92:C92"/>
    <mergeCell ref="A93:C93"/>
    <mergeCell ref="A94:C94"/>
    <mergeCell ref="A95:C95"/>
    <mergeCell ref="A96:C96"/>
    <mergeCell ref="A97:C97"/>
    <mergeCell ref="A100:C100"/>
    <mergeCell ref="A129:C129"/>
    <mergeCell ref="A130:C130"/>
    <mergeCell ref="A131:C131"/>
    <mergeCell ref="A68:C68"/>
    <mergeCell ref="A1:C1"/>
    <mergeCell ref="A2:C2"/>
    <mergeCell ref="A3:C3"/>
    <mergeCell ref="A4:C4"/>
    <mergeCell ref="A46:C46"/>
    <mergeCell ref="A47:C47"/>
    <mergeCell ref="A48:C48"/>
    <mergeCell ref="A49:C49"/>
    <mergeCell ref="A50:C50"/>
    <mergeCell ref="A66:C66"/>
    <mergeCell ref="A67:C67"/>
  </mergeCells>
  <hyperlinks>
    <hyperlink ref="A72" location="'List danh mục'!A1" display="Số TT"/>
    <hyperlink ref="A7" location="'Danh mục file'!A1" display="STT"/>
    <hyperlink ref="A135" location="'List danh mục'!A1" display="Số TT"/>
  </hyperlinks>
  <printOptions horizontalCentered="1"/>
  <pageMargins left="0" right="0" top="0"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E145"/>
  <sheetViews>
    <sheetView topLeftCell="A83" workbookViewId="0">
      <selection activeCell="E96" sqref="E96"/>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THANH BÌNH'!A1:C1</f>
        <v>PHỤ LỤC I</v>
      </c>
      <c r="B1" s="6281"/>
      <c r="C1" s="6281"/>
    </row>
    <row r="2" spans="1:3">
      <c r="A2" s="6281" t="str">
        <f>+'H. THANH BÌNH'!A2:C2</f>
        <v>NHIỆM VỤ THU NGÂN SÁCH NHÀ NƯỚC NĂM 2025</v>
      </c>
      <c r="B2" s="6281"/>
      <c r="C2" s="6281"/>
    </row>
    <row r="3" spans="1:3">
      <c r="A3" s="6281" t="s">
        <v>1492</v>
      </c>
      <c r="B3" s="6281"/>
      <c r="C3" s="6281"/>
    </row>
    <row r="4" spans="1:3">
      <c r="A4" s="6498" t="str">
        <f>+'H. THANH BÌNH'!A4:C4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1501500</v>
      </c>
    </row>
    <row r="9" spans="1:3">
      <c r="A9" s="5025"/>
      <c r="B9" s="697" t="s">
        <v>784</v>
      </c>
      <c r="C9" s="5026">
        <f>C8-C29</f>
        <v>1191500</v>
      </c>
    </row>
    <row r="10" spans="1:3" s="386" customFormat="1" ht="17.399999999999999">
      <c r="A10" s="5027">
        <v>1</v>
      </c>
      <c r="B10" s="701" t="s">
        <v>1477</v>
      </c>
      <c r="C10" s="5028">
        <f>SUM(C11:C15)</f>
        <v>780000</v>
      </c>
    </row>
    <row r="11" spans="1:3">
      <c r="A11" s="5029" t="s">
        <v>29</v>
      </c>
      <c r="B11" s="704" t="s">
        <v>786</v>
      </c>
      <c r="C11" s="5032">
        <f>+'Phụ lục 7-HĐND'!U10</f>
        <v>306200</v>
      </c>
    </row>
    <row r="12" spans="1:3">
      <c r="A12" s="5029" t="s">
        <v>29</v>
      </c>
      <c r="B12" s="704" t="s">
        <v>787</v>
      </c>
      <c r="C12" s="5032">
        <f>+'Phụ lục 7-HĐND'!U11</f>
        <v>422000</v>
      </c>
    </row>
    <row r="13" spans="1:3">
      <c r="A13" s="5029" t="s">
        <v>29</v>
      </c>
      <c r="B13" s="704" t="s">
        <v>788</v>
      </c>
      <c r="C13" s="5032">
        <f>+'Phụ lục 7-HĐND'!U12</f>
        <v>26600</v>
      </c>
    </row>
    <row r="14" spans="1:3">
      <c r="A14" s="5029" t="s">
        <v>29</v>
      </c>
      <c r="B14" s="704" t="s">
        <v>10</v>
      </c>
      <c r="C14" s="5032">
        <f>+'Phụ lục 7-HĐND'!U13</f>
        <v>25200</v>
      </c>
    </row>
    <row r="15" spans="1:3">
      <c r="A15" s="5029" t="s">
        <v>29</v>
      </c>
      <c r="B15" s="704" t="s">
        <v>789</v>
      </c>
      <c r="C15" s="5032">
        <f>+'Phụ lục 7-HĐND'!U14</f>
        <v>0</v>
      </c>
    </row>
    <row r="16" spans="1:3" s="386" customFormat="1" ht="17.399999999999999">
      <c r="A16" s="5027">
        <v>2</v>
      </c>
      <c r="B16" s="701" t="s">
        <v>20</v>
      </c>
      <c r="C16" s="5028">
        <f>SUM(C17:C18)</f>
        <v>80000</v>
      </c>
    </row>
    <row r="17" spans="1:3" hidden="1">
      <c r="A17" s="5031" t="s">
        <v>29</v>
      </c>
      <c r="B17" s="43" t="s">
        <v>790</v>
      </c>
      <c r="C17" s="5032">
        <f>+'Phụ lục 7-HĐND'!U16</f>
        <v>0</v>
      </c>
    </row>
    <row r="18" spans="1:3" hidden="1">
      <c r="A18" s="5033" t="s">
        <v>29</v>
      </c>
      <c r="B18" s="711" t="s">
        <v>791</v>
      </c>
      <c r="C18" s="5032">
        <f>+'Phụ lục 7-HĐND'!U17</f>
        <v>80000</v>
      </c>
    </row>
    <row r="19" spans="1:3" s="588" customFormat="1" ht="17.399999999999999">
      <c r="A19" s="5027">
        <v>3</v>
      </c>
      <c r="B19" s="701" t="s">
        <v>17</v>
      </c>
      <c r="C19" s="5028">
        <f>+'Phụ lục 7-HĐND'!U18</f>
        <v>75000</v>
      </c>
    </row>
    <row r="20" spans="1:3" s="588" customFormat="1" ht="17.399999999999999">
      <c r="A20" s="5027">
        <v>4</v>
      </c>
      <c r="B20" s="701" t="s">
        <v>792</v>
      </c>
      <c r="C20" s="5028">
        <f>+'Phụ lục 7-HĐND'!U19</f>
        <v>0</v>
      </c>
    </row>
    <row r="21" spans="1:3" s="588" customFormat="1" ht="17.399999999999999">
      <c r="A21" s="5027">
        <v>4</v>
      </c>
      <c r="B21" s="701" t="s">
        <v>97</v>
      </c>
      <c r="C21" s="5028">
        <f>+'Phụ lục 7-HĐND'!U20</f>
        <v>4300</v>
      </c>
    </row>
    <row r="22" spans="1:3">
      <c r="A22" s="5027">
        <v>5</v>
      </c>
      <c r="B22" s="701" t="s">
        <v>793</v>
      </c>
      <c r="C22" s="5028">
        <f>SUM(C23:C25)</f>
        <v>17000</v>
      </c>
    </row>
    <row r="23" spans="1:3">
      <c r="A23" s="5034" t="s">
        <v>29</v>
      </c>
      <c r="B23" s="43" t="s">
        <v>794</v>
      </c>
      <c r="C23" s="5032">
        <f>+'Phụ lục 7-HĐND'!U22</f>
        <v>4200</v>
      </c>
    </row>
    <row r="24" spans="1:3">
      <c r="A24" s="5034" t="s">
        <v>29</v>
      </c>
      <c r="B24" s="43" t="s">
        <v>795</v>
      </c>
      <c r="C24" s="5032">
        <f>+'Phụ lục 7-HĐND'!U23</f>
        <v>0</v>
      </c>
    </row>
    <row r="25" spans="1:3">
      <c r="A25" s="5034" t="s">
        <v>29</v>
      </c>
      <c r="B25" s="43" t="s">
        <v>796</v>
      </c>
      <c r="C25" s="5032">
        <f>+'Phụ lục 7-HĐND'!U24</f>
        <v>12800</v>
      </c>
    </row>
    <row r="26" spans="1:3">
      <c r="A26" s="5027">
        <v>6</v>
      </c>
      <c r="B26" s="701" t="s">
        <v>24</v>
      </c>
      <c r="C26" s="5028">
        <f>SUM(C27:C28)</f>
        <v>145000</v>
      </c>
    </row>
    <row r="27" spans="1:3">
      <c r="A27" s="5034" t="s">
        <v>29</v>
      </c>
      <c r="B27" s="43" t="s">
        <v>790</v>
      </c>
      <c r="C27" s="5032">
        <f>+'Phụ lục 7-HĐND'!U26</f>
        <v>0</v>
      </c>
    </row>
    <row r="28" spans="1:3">
      <c r="A28" s="5035" t="s">
        <v>29</v>
      </c>
      <c r="B28" s="711" t="s">
        <v>1809</v>
      </c>
      <c r="C28" s="5032">
        <f>+'Phụ lục 7-HĐND'!U27</f>
        <v>145000</v>
      </c>
    </row>
    <row r="29" spans="1:3">
      <c r="A29" s="5027">
        <v>7</v>
      </c>
      <c r="B29" s="701" t="s">
        <v>242</v>
      </c>
      <c r="C29" s="5028">
        <f>SUM(C30:C31)</f>
        <v>310000</v>
      </c>
    </row>
    <row r="30" spans="1:3">
      <c r="A30" s="5034" t="s">
        <v>29</v>
      </c>
      <c r="B30" s="43" t="s">
        <v>790</v>
      </c>
      <c r="C30" s="5032">
        <f>+'Phụ lục 7-HĐND'!U29</f>
        <v>150000</v>
      </c>
    </row>
    <row r="31" spans="1:3">
      <c r="A31" s="5035" t="s">
        <v>29</v>
      </c>
      <c r="B31" s="711" t="s">
        <v>1810</v>
      </c>
      <c r="C31" s="5032">
        <f>+'Phụ lục 7-HĐND'!U30</f>
        <v>160000</v>
      </c>
    </row>
    <row r="32" spans="1:3">
      <c r="A32" s="5027">
        <v>8</v>
      </c>
      <c r="B32" s="701" t="s">
        <v>798</v>
      </c>
      <c r="C32" s="5028">
        <f>SUM(C33:C35)</f>
        <v>90000</v>
      </c>
    </row>
    <row r="33" spans="1:3">
      <c r="A33" s="5034" t="s">
        <v>29</v>
      </c>
      <c r="B33" s="43" t="s">
        <v>799</v>
      </c>
      <c r="C33" s="5032">
        <f>+'Phụ lục 7-HĐND'!U32</f>
        <v>55000.000000000007</v>
      </c>
    </row>
    <row r="34" spans="1:3">
      <c r="A34" s="5034" t="s">
        <v>29</v>
      </c>
      <c r="B34" s="43" t="s">
        <v>800</v>
      </c>
      <c r="C34" s="5032">
        <f>+'Phụ lục 7-HĐND'!U33</f>
        <v>9500</v>
      </c>
    </row>
    <row r="35" spans="1:3">
      <c r="A35" s="5034" t="s">
        <v>29</v>
      </c>
      <c r="B35" s="43" t="s">
        <v>801</v>
      </c>
      <c r="C35" s="5032">
        <f>+'Phụ lục 7-HĐND'!U34</f>
        <v>25499.999999999993</v>
      </c>
    </row>
    <row r="36" spans="1:3">
      <c r="A36" s="5027">
        <v>9</v>
      </c>
      <c r="B36" s="5036" t="s">
        <v>1811</v>
      </c>
      <c r="C36" s="5028">
        <f>+'Phụ lục 7-HĐND'!U35</f>
        <v>200</v>
      </c>
    </row>
    <row r="37" spans="1:3">
      <c r="A37" s="5027" t="s">
        <v>33</v>
      </c>
      <c r="B37" s="701" t="s">
        <v>1812</v>
      </c>
      <c r="C37" s="5037"/>
    </row>
    <row r="38" spans="1:3">
      <c r="A38" s="5027"/>
      <c r="B38" s="704" t="s">
        <v>1813</v>
      </c>
      <c r="C38" s="5038">
        <v>1</v>
      </c>
    </row>
    <row r="39" spans="1:3" s="386" customFormat="1" ht="17.399999999999999">
      <c r="A39" s="4971" t="s">
        <v>182</v>
      </c>
      <c r="B39" s="4972" t="s">
        <v>802</v>
      </c>
      <c r="C39" s="626">
        <f>SUM(C40:C42)</f>
        <v>96559.929000000004</v>
      </c>
    </row>
    <row r="40" spans="1:3">
      <c r="A40" s="1926">
        <v>1</v>
      </c>
      <c r="B40" s="4968" t="s">
        <v>803</v>
      </c>
      <c r="C40" s="2608">
        <f>+'Phụ lục 7-HĐND'!U37</f>
        <v>37354</v>
      </c>
    </row>
    <row r="41" spans="1:3">
      <c r="A41" s="1926">
        <v>2</v>
      </c>
      <c r="B41" s="1927" t="s">
        <v>3136</v>
      </c>
      <c r="C41" s="2608">
        <f>+'Phụ lục 7-HĐND'!U38</f>
        <v>0</v>
      </c>
    </row>
    <row r="42" spans="1:3">
      <c r="A42" s="1926">
        <v>3</v>
      </c>
      <c r="B42" s="4968" t="s">
        <v>3206</v>
      </c>
      <c r="C42" s="2608">
        <f>+'Phụ lục 7-HĐND'!U39</f>
        <v>59205.928999999996</v>
      </c>
    </row>
    <row r="43" spans="1:3" ht="18.600000000000001" thickBot="1">
      <c r="A43" s="4539" t="s">
        <v>215</v>
      </c>
      <c r="B43" s="5042" t="s">
        <v>1721</v>
      </c>
      <c r="C43" s="5077">
        <f>+'Phụ lục 7-HĐND'!U40</f>
        <v>517247</v>
      </c>
    </row>
    <row r="44" spans="1:3" ht="18.600000000000001" thickTop="1">
      <c r="A44" s="2914"/>
      <c r="B44" s="2914" t="s">
        <v>809</v>
      </c>
      <c r="C44" s="2915"/>
    </row>
    <row r="46" spans="1:3">
      <c r="A46" s="6744" t="s">
        <v>1717</v>
      </c>
      <c r="B46" s="6744"/>
      <c r="C46" s="6744"/>
    </row>
    <row r="47" spans="1:3" ht="42.75" customHeight="1">
      <c r="A47" s="6759" t="str">
        <f>+'H. THANH BÌNH'!A47:C47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97.5" customHeight="1">
      <c r="A48" s="6759" t="str">
        <f>+'H. THANH BÌNH'!A48:C48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1">
      <c r="A49" s="381" t="str">
        <f>+'H. THANH BÌNH'!A49:C49</f>
        <v>(4): Các khoản thu phân chia theo tỷ lệ (%) giữa ngân sách cấp Tỉnh và ngân sách cấp huyện</v>
      </c>
    </row>
    <row r="50" spans="1:1">
      <c r="A50" s="381" t="str">
        <f>+'H. THANH BÌNH'!A50:C50</f>
        <v>(5): Chi tiết thu bổ sung có mục tiêu theo Phụ lục số III</v>
      </c>
    </row>
    <row r="65" spans="1:3">
      <c r="A65" s="6281" t="str">
        <f>+'H. THANH BÌNH'!A66:C66</f>
        <v>PHỤ LỤC II</v>
      </c>
      <c r="B65" s="6281"/>
      <c r="C65" s="6281"/>
    </row>
    <row r="66" spans="1:3">
      <c r="A66" s="6281" t="str">
        <f>+'H. THANH BÌNH'!A67:C67</f>
        <v>NHIỆM VỤ CHI NGÂN SÁCH HUYỆN, THÀNH PHỐ NĂM 2025</v>
      </c>
      <c r="B66" s="6281"/>
      <c r="C66" s="6281"/>
    </row>
    <row r="67" spans="1:3">
      <c r="A67" s="6281" t="str">
        <f>A3</f>
        <v>THÀNH PHỐ CAO LÃNH</v>
      </c>
      <c r="B67" s="6281"/>
      <c r="C67" s="6281"/>
    </row>
    <row r="68" spans="1:3">
      <c r="A68" s="6498" t="str">
        <f>A4</f>
        <v>(Kèm theo Quyết định số        /QĐ-UBND-HC ngày      /12/2024 của Uỷ ban nhân dân tỉnh Đồng Tháp)</v>
      </c>
      <c r="B68" s="6498"/>
      <c r="C68" s="6498"/>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THANH BÌNH'!B64</f>
        <v>Nội dung</v>
      </c>
      <c r="C71" s="4543" t="str">
        <f>C7</f>
        <v>Dự toán năm 2025</v>
      </c>
    </row>
    <row r="72" spans="1:3" s="588" customFormat="1" ht="17.399999999999999">
      <c r="A72" s="5049"/>
      <c r="B72" s="693" t="str">
        <f>'[2]H. THANH BÌNH'!B65</f>
        <v>Tổng chi (I+II+III+IV)</v>
      </c>
      <c r="C72" s="5024">
        <f>C73+C77+C81+C82+C83</f>
        <v>1814306.929</v>
      </c>
    </row>
    <row r="73" spans="1:3" s="588" customFormat="1" ht="17.399999999999999">
      <c r="A73" s="5050" t="s">
        <v>3</v>
      </c>
      <c r="B73" s="2910" t="str">
        <f>'[2]H. THANH BÌNH'!B66</f>
        <v>Chi đầu tư phát triển (1)</v>
      </c>
      <c r="C73" s="5028">
        <f>C75+C76</f>
        <v>292000</v>
      </c>
    </row>
    <row r="74" spans="1:3">
      <c r="A74" s="5051"/>
      <c r="B74" s="2916" t="str">
        <f>'[2]H. THANH BÌNH'!B67</f>
        <v>Bao gồm:</v>
      </c>
      <c r="C74" s="5032"/>
    </row>
    <row r="75" spans="1:3">
      <c r="A75" s="5052">
        <v>1</v>
      </c>
      <c r="B75" s="2917" t="str">
        <f>'[2]H. THANH BÌNH'!B68</f>
        <v>Chi đầu tư xây dựng cơ bản</v>
      </c>
      <c r="C75" s="5032">
        <f>+'Phụ lục 8-HĐND'!I9</f>
        <v>148000</v>
      </c>
    </row>
    <row r="76" spans="1:3">
      <c r="A76" s="5052">
        <v>2</v>
      </c>
      <c r="B76" s="2917" t="str">
        <f>'[2]H. THANH BÌNH'!B69</f>
        <v>Chi đầu tư từ nguồn thu tiền sử dụng đất</v>
      </c>
      <c r="C76" s="5032">
        <f>+'Phụ lục 8-HĐND'!I10</f>
        <v>144000</v>
      </c>
    </row>
    <row r="77" spans="1:3" s="588" customFormat="1" ht="17.399999999999999">
      <c r="A77" s="5050" t="s">
        <v>33</v>
      </c>
      <c r="B77" s="2910" t="str">
        <f>'[2]H. THANH BÌNH'!B70</f>
        <v>Chi thường xuyên (2)</v>
      </c>
      <c r="C77" s="5028">
        <f>+'Phụ lục 8-HĐND'!I11</f>
        <v>996810.69394587737</v>
      </c>
    </row>
    <row r="78" spans="1:3">
      <c r="A78" s="5053"/>
      <c r="B78" s="2907" t="str">
        <f>'[2]H. THANH BÌNH'!B71</f>
        <v>Bao gồm:</v>
      </c>
      <c r="C78" s="5032"/>
    </row>
    <row r="79" spans="1:3">
      <c r="A79" s="5052">
        <v>1</v>
      </c>
      <c r="B79" s="2909" t="str">
        <f>'[2]H. THANH BÌNH'!B72</f>
        <v>Sự nghiệp giáo dục - đào tạo (3)</v>
      </c>
      <c r="C79" s="5032">
        <f>+'Phụ lục 8-HĐND'!I13</f>
        <v>481230</v>
      </c>
    </row>
    <row r="80" spans="1:3">
      <c r="A80" s="5052">
        <v>2</v>
      </c>
      <c r="B80" s="2909" t="str">
        <f>'[2]H. THANH BÌNH'!B73</f>
        <v>Các khoản chi thường xuyên còn lại</v>
      </c>
      <c r="C80" s="5032">
        <f>+'Phụ lục 8-HĐND'!I14</f>
        <v>515580.69394587737</v>
      </c>
    </row>
    <row r="81" spans="1:3" s="588" customFormat="1" ht="17.399999999999999">
      <c r="A81" s="5050" t="s">
        <v>182</v>
      </c>
      <c r="B81" s="2910" t="str">
        <f>'[2]H. THANH BÌNH'!B74</f>
        <v>Dự phòng ngân sách</v>
      </c>
      <c r="C81" s="5028">
        <f>+'Phụ lục 8-HĐND'!I15</f>
        <v>29340</v>
      </c>
    </row>
    <row r="82" spans="1:3" s="588" customFormat="1" ht="17.399999999999999">
      <c r="A82" s="5050" t="s">
        <v>215</v>
      </c>
      <c r="B82" s="2910" t="str">
        <f>'[2]H. THANH BÌNH'!B75</f>
        <v>Chi tạo nguồn cải cách tiền lương</v>
      </c>
      <c r="C82" s="5028">
        <f>+'Phụ lục 8-HĐND'!I16</f>
        <v>479075</v>
      </c>
    </row>
    <row r="83" spans="1:3" s="588" customFormat="1" ht="17.399999999999999">
      <c r="A83" s="5073" t="s">
        <v>718</v>
      </c>
      <c r="B83" s="701" t="str">
        <f>'[2]H. THANH BÌNH'!B76</f>
        <v>Chi từ nguồn ngân sách cấp Tỉnh bổ sung có mục tiêu</v>
      </c>
      <c r="C83" s="5028">
        <f>SUM(C84:C88)</f>
        <v>17081.235054122637</v>
      </c>
    </row>
    <row r="84" spans="1:3">
      <c r="A84" s="5055" t="s">
        <v>29</v>
      </c>
      <c r="B84" s="704" t="str">
        <f>+'H. THANH BÌNH'!B85</f>
        <v>Chi đầu tư xây dựng cơ bản</v>
      </c>
      <c r="C84" s="5032">
        <f>+'Phụ lục 8-HĐND'!I18</f>
        <v>0</v>
      </c>
    </row>
    <row r="85" spans="1:3">
      <c r="A85" s="5055" t="s">
        <v>29</v>
      </c>
      <c r="B85" s="704" t="str">
        <f>+'H. THANH BÌNH'!B86</f>
        <v>Chi đầu tư từ nguồn xổ số kiến thiết</v>
      </c>
      <c r="C85" s="5032">
        <f>+'Phụ lục 8-HĐND'!I19</f>
        <v>0</v>
      </c>
    </row>
    <row r="86" spans="1:3">
      <c r="A86" s="5055" t="s">
        <v>29</v>
      </c>
      <c r="B86" s="2901" t="str">
        <f>+'H. THANH BÌNH'!B87</f>
        <v>Chi từ nguồn ngân sách trung ương bổ sung có mục tiêu (kinh phí biên chế giáo viên tăng thêm)</v>
      </c>
      <c r="C86" s="5032">
        <f>+'Phụ lục 8-HĐND'!I20</f>
        <v>1094</v>
      </c>
    </row>
    <row r="87" spans="1:3">
      <c r="A87" s="5056" t="s">
        <v>29</v>
      </c>
      <c r="B87" s="2901" t="str">
        <f>+'H. THANH BÌNH'!B88</f>
        <v>Chi từ nguồn ngân sách trung ương bổ sung có mục tiêu (kinh phí hỗ trợ địa phương sản xuất lúa năm 2025)</v>
      </c>
      <c r="C87" s="5032">
        <f>+'Phụ lục 8-HĐND'!I21</f>
        <v>1500</v>
      </c>
    </row>
    <row r="88" spans="1:3" ht="18.600000000000001" thickBot="1">
      <c r="A88" s="5057"/>
      <c r="B88" s="5891" t="str">
        <f>+'H. THANH BÌNH'!B89</f>
        <v>Chi từ nguồn ngân sách trung ương bổ sung có mục tiêu (chính sách an sinh xã hội năm 2025)</v>
      </c>
      <c r="C88" s="5059">
        <f>+'Phụ lục 8-HĐND'!I22</f>
        <v>14487.235054122637</v>
      </c>
    </row>
    <row r="89" spans="1:3" ht="18.600000000000001" thickTop="1"/>
    <row r="90" spans="1:3">
      <c r="A90" s="588" t="s">
        <v>1717</v>
      </c>
      <c r="B90" s="2903"/>
    </row>
    <row r="91" spans="1:3">
      <c r="A91" s="6761" t="s">
        <v>1828</v>
      </c>
      <c r="B91" s="6762"/>
      <c r="C91" s="6762"/>
    </row>
    <row r="92" spans="1:3">
      <c r="A92" s="6772" t="str">
        <f>+'H. THANH BÌNH'!A93:C93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69"/>
      <c r="C92" s="6769"/>
    </row>
    <row r="93" spans="1:3">
      <c r="A93" s="6769" t="str">
        <f>+'H. THANH BÌNH'!A94:C94</f>
        <v>- Chưa bao gồm chi đầu tư từ nguồn vốn do ngân sách cấp tỉnh quản lý và phân bổ bổ sung có mục tiêu cho ngân sách huyện, thành phố</v>
      </c>
      <c r="B93" s="6769"/>
      <c r="C93" s="6769"/>
    </row>
    <row r="94" spans="1:3">
      <c r="A94" s="6764" t="s">
        <v>1829</v>
      </c>
      <c r="B94" s="6764"/>
      <c r="C94" s="6764"/>
    </row>
    <row r="95" spans="1:3" ht="65.25" customHeight="1">
      <c r="A95" s="6769" t="str">
        <f>+'H. THANH BÌNH'!A96:C96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69"/>
      <c r="C95" s="6769"/>
    </row>
    <row r="96" spans="1:3" ht="41.25" customHeight="1">
      <c r="A96" s="6770" t="str">
        <f>+'H. THANH BÌNH'!A97:C97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0"/>
      <c r="C96" s="6770"/>
    </row>
    <row r="97" spans="1:3">
      <c r="A97" s="381" t="str">
        <f>+'H. THANH BÌNH'!A98</f>
        <v xml:space="preserve">- Bao gồm 10% tiết kiệm tăng thêm năm 2025 so với năm 2024 để thực hiện cải cách tiền lương năm 2025 là: </v>
      </c>
      <c r="C97" s="2912" t="s">
        <v>3274</v>
      </c>
    </row>
    <row r="98" spans="1:3">
      <c r="A98" s="6780" t="str">
        <f>'[2]H. THANH BÌNH'!A91</f>
        <v>(3): Trong đó:</v>
      </c>
      <c r="B98" s="6780"/>
      <c r="C98" s="6780"/>
    </row>
    <row r="99" spans="1:3" ht="63" customHeight="1">
      <c r="A99" s="6769" t="str">
        <f>+'H. THANH BÌNH'!A100:C100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69"/>
      <c r="C99" s="6769"/>
    </row>
    <row r="125" spans="1:3">
      <c r="A125" s="6281" t="str">
        <f>+'H. THANH BÌNH'!A129:C129</f>
        <v>PHỤ LỤC III</v>
      </c>
      <c r="B125" s="6281"/>
      <c r="C125" s="6281"/>
    </row>
    <row r="126" spans="1:3">
      <c r="A126" s="6281" t="str">
        <f>+'H. THANH BÌNH'!A130:C130</f>
        <v>CHI TỪ NGUỒN NGÂN SÁCH CẤP TỈNH BỔ SUNG CÓ MỤC TIÊU NĂM 2025</v>
      </c>
      <c r="B126" s="6281"/>
      <c r="C126" s="6281"/>
    </row>
    <row r="127" spans="1:3">
      <c r="A127" s="6281" t="str">
        <f>A67</f>
        <v>THÀNH PHỐ CAO LÃNH</v>
      </c>
      <c r="B127" s="6281"/>
      <c r="C127" s="6281"/>
    </row>
    <row r="128" spans="1:3">
      <c r="A128" s="6496" t="str">
        <f>+A68</f>
        <v>(Kèm theo Quyết định số        /QĐ-UBND-HC ngày      /12/2024 của Uỷ ban nhân dân tỉnh Đồng Tháp)</v>
      </c>
      <c r="B128" s="6496"/>
      <c r="C128" s="6496"/>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59205.929000000004</v>
      </c>
      <c r="E132" s="667">
        <f>+C42-C132</f>
        <v>0</v>
      </c>
    </row>
    <row r="133" spans="1:5" ht="36">
      <c r="A133" s="593">
        <v>1</v>
      </c>
      <c r="B133" s="5022" t="s">
        <v>805</v>
      </c>
      <c r="C133" s="4538">
        <f>+'Phụ lục số 8.1'!BD14</f>
        <v>20149.2</v>
      </c>
    </row>
    <row r="134" spans="1:5">
      <c r="A134" s="593">
        <v>2</v>
      </c>
      <c r="B134" s="5022" t="str">
        <f>+'H. THANH BÌNH'!B138</f>
        <v>Kinh phí hỗ trợ địa phương sản xuất lúa</v>
      </c>
      <c r="C134" s="4538">
        <f>+'Phụ lục số 8.1'!BD15</f>
        <v>5500</v>
      </c>
    </row>
    <row r="135" spans="1:5">
      <c r="A135" s="593">
        <v>3</v>
      </c>
      <c r="B135" s="5022" t="str">
        <f>+'H. THANH BÌNH'!B139</f>
        <v>Kinh phí biên chế giáo viên tăng thêm</v>
      </c>
      <c r="C135" s="4538">
        <f>+'Phụ lục số 8.1'!BD18</f>
        <v>1094</v>
      </c>
    </row>
    <row r="136" spans="1:5" ht="36">
      <c r="A136" s="593">
        <v>4</v>
      </c>
      <c r="B136" s="2525" t="s">
        <v>1608</v>
      </c>
      <c r="C136" s="4538">
        <f>+'Phụ lục số 8.3-CĐCS'!CU13</f>
        <v>61</v>
      </c>
    </row>
    <row r="137" spans="1:5">
      <c r="A137" s="593">
        <v>5</v>
      </c>
      <c r="B137" s="5154" t="s">
        <v>3197</v>
      </c>
      <c r="C137" s="5018">
        <v>0</v>
      </c>
    </row>
    <row r="138" spans="1:5" ht="36">
      <c r="A138" s="593">
        <v>6</v>
      </c>
      <c r="B138" s="2525" t="s">
        <v>3198</v>
      </c>
      <c r="C138" s="5018">
        <v>0</v>
      </c>
    </row>
    <row r="139" spans="1:5" ht="36">
      <c r="A139" s="593">
        <v>7</v>
      </c>
      <c r="B139" s="2525" t="s">
        <v>3199</v>
      </c>
      <c r="C139" s="5018">
        <f>+'Phụ lục số 8.3-CĐCS'!CU17+'Phụ lục số 8.3-CĐCS'!CU14+'Phụ lục số 8.3-CĐCS'!CU18</f>
        <v>26812.2</v>
      </c>
    </row>
    <row r="140" spans="1:5" ht="36">
      <c r="A140" s="593">
        <v>8</v>
      </c>
      <c r="B140" s="2525" t="s">
        <v>1093</v>
      </c>
      <c r="C140" s="5017">
        <v>0</v>
      </c>
    </row>
    <row r="141" spans="1:5" ht="36">
      <c r="A141" s="593">
        <v>9</v>
      </c>
      <c r="B141" s="5012" t="s">
        <v>3156</v>
      </c>
      <c r="C141" s="5018">
        <f>+'Phụ lục số 8.1'!BD20</f>
        <v>993.96</v>
      </c>
    </row>
    <row r="142" spans="1:5">
      <c r="A142" s="593">
        <v>10</v>
      </c>
      <c r="B142" s="5013" t="s">
        <v>1510</v>
      </c>
      <c r="C142" s="5018">
        <f>+'Phụ lục số 8.1'!BD21</f>
        <v>0</v>
      </c>
    </row>
    <row r="143" spans="1:5">
      <c r="A143" s="593">
        <v>11</v>
      </c>
      <c r="B143" s="5013" t="str">
        <f>+'H. THANH BÌNH'!B147</f>
        <v>Kinh phí thực hiện hỗ trợ đào tạo nghề trình độ sơ cấp và đào tạo dưới 03 tháng năm 2025</v>
      </c>
      <c r="C143" s="5018"/>
    </row>
    <row r="144" spans="1:5" ht="18.600000000000001" thickBot="1">
      <c r="A144" s="5019">
        <v>12</v>
      </c>
      <c r="B144" s="5192" t="str">
        <f>+'H. THANH BÌNH'!B148</f>
        <v>Kinh phí tổ chức đại hội Đảng nhiệm kỳ 2025 - 2030</v>
      </c>
      <c r="C144" s="5021">
        <f>+'Phụ lục số 8.1'!BD16</f>
        <v>4595.5690000000004</v>
      </c>
    </row>
    <row r="145" ht="18.600000000000001" thickTop="1"/>
  </sheetData>
  <mergeCells count="23">
    <mergeCell ref="A99:C99"/>
    <mergeCell ref="A125:C125"/>
    <mergeCell ref="A126:C126"/>
    <mergeCell ref="A127:C127"/>
    <mergeCell ref="A128:C128"/>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E143"/>
  <sheetViews>
    <sheetView topLeftCell="A83" workbookViewId="0">
      <selection activeCell="E98" sqref="E9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+'TP. CAO LÃNH'!A1:C1</f>
        <v>PHỤ LỤC I</v>
      </c>
      <c r="B1" s="6281"/>
      <c r="C1" s="6281"/>
    </row>
    <row r="2" spans="1:3">
      <c r="A2" s="6281" t="str">
        <f>+'TP. CAO LÃNH'!A2:C2</f>
        <v>NHIỆM VỤ THU NGÂN SÁCH NHÀ NƯỚC NĂM 2025</v>
      </c>
      <c r="B2" s="6281"/>
      <c r="C2" s="6281"/>
    </row>
    <row r="3" spans="1:3">
      <c r="A3" s="6281" t="s">
        <v>1493</v>
      </c>
      <c r="B3" s="6281"/>
      <c r="C3" s="6281"/>
    </row>
    <row r="4" spans="1:3">
      <c r="A4" s="6498" t="str">
        <f>+'TP. CAO LÃNH'!A4:C4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266950</v>
      </c>
    </row>
    <row r="9" spans="1:3" s="873" customFormat="1">
      <c r="A9" s="5025"/>
      <c r="B9" s="697" t="s">
        <v>784</v>
      </c>
      <c r="C9" s="5078">
        <f>C8-C29</f>
        <v>191950</v>
      </c>
    </row>
    <row r="10" spans="1:3">
      <c r="A10" s="5027">
        <v>1</v>
      </c>
      <c r="B10" s="701" t="s">
        <v>1477</v>
      </c>
      <c r="C10" s="5028">
        <f>SUM(C11:C15)</f>
        <v>80000</v>
      </c>
    </row>
    <row r="11" spans="1:3">
      <c r="A11" s="5029" t="s">
        <v>29</v>
      </c>
      <c r="B11" s="704" t="s">
        <v>786</v>
      </c>
      <c r="C11" s="5032">
        <f>+'Phụ lục 7-HĐND'!X10</f>
        <v>49200</v>
      </c>
    </row>
    <row r="12" spans="1:3">
      <c r="A12" s="5029" t="s">
        <v>29</v>
      </c>
      <c r="B12" s="704" t="s">
        <v>787</v>
      </c>
      <c r="C12" s="5032">
        <f>+'Phụ lục 7-HĐND'!X11</f>
        <v>28000</v>
      </c>
    </row>
    <row r="13" spans="1:3">
      <c r="A13" s="5029" t="s">
        <v>29</v>
      </c>
      <c r="B13" s="704" t="s">
        <v>788</v>
      </c>
      <c r="C13" s="5032">
        <f>+'Phụ lục 7-HĐND'!X12</f>
        <v>200</v>
      </c>
    </row>
    <row r="14" spans="1:3">
      <c r="A14" s="5029" t="s">
        <v>29</v>
      </c>
      <c r="B14" s="704" t="s">
        <v>10</v>
      </c>
      <c r="C14" s="5032">
        <f>+'Phụ lục 7-HĐND'!X13</f>
        <v>2600</v>
      </c>
    </row>
    <row r="15" spans="1:3">
      <c r="A15" s="5029" t="s">
        <v>29</v>
      </c>
      <c r="B15" s="704" t="s">
        <v>789</v>
      </c>
      <c r="C15" s="5032">
        <f>+'Phụ lục 7-HĐND'!X14</f>
        <v>0</v>
      </c>
    </row>
    <row r="16" spans="1:3" s="386" customFormat="1" ht="17.399999999999999">
      <c r="A16" s="5027">
        <v>2</v>
      </c>
      <c r="B16" s="701" t="s">
        <v>20</v>
      </c>
      <c r="C16" s="5028">
        <f>SUM(C17:C18)</f>
        <v>32000</v>
      </c>
    </row>
    <row r="17" spans="1:3" hidden="1">
      <c r="A17" s="5031" t="s">
        <v>29</v>
      </c>
      <c r="B17" s="43" t="s">
        <v>790</v>
      </c>
      <c r="C17" s="5032">
        <f>+'Phụ lục 7-HĐND'!X16</f>
        <v>0</v>
      </c>
    </row>
    <row r="18" spans="1:3" hidden="1">
      <c r="A18" s="5033" t="s">
        <v>29</v>
      </c>
      <c r="B18" s="711" t="s">
        <v>791</v>
      </c>
      <c r="C18" s="5032">
        <f>+'Phụ lục 7-HĐND'!X17</f>
        <v>32000</v>
      </c>
    </row>
    <row r="19" spans="1:3" s="386" customFormat="1" ht="17.399999999999999">
      <c r="A19" s="5027">
        <v>3</v>
      </c>
      <c r="B19" s="701" t="s">
        <v>17</v>
      </c>
      <c r="C19" s="5028">
        <f>+'Phụ lục 7-HĐND'!X18</f>
        <v>37000</v>
      </c>
    </row>
    <row r="20" spans="1:3" s="386" customFormat="1" ht="17.399999999999999">
      <c r="A20" s="5027">
        <v>4</v>
      </c>
      <c r="B20" s="701" t="s">
        <v>792</v>
      </c>
      <c r="C20" s="5028">
        <f>+'Phụ lục 7-HĐND'!X19</f>
        <v>0</v>
      </c>
    </row>
    <row r="21" spans="1:3" s="386" customFormat="1" ht="17.399999999999999">
      <c r="A21" s="5027">
        <v>4</v>
      </c>
      <c r="B21" s="701" t="s">
        <v>97</v>
      </c>
      <c r="C21" s="5028">
        <f>+'Phụ lục 7-HĐND'!X20</f>
        <v>2250</v>
      </c>
    </row>
    <row r="22" spans="1:3">
      <c r="A22" s="5027">
        <v>5</v>
      </c>
      <c r="B22" s="701" t="s">
        <v>793</v>
      </c>
      <c r="C22" s="5028">
        <f>SUM(C23:C25)</f>
        <v>10000</v>
      </c>
    </row>
    <row r="23" spans="1:3">
      <c r="A23" s="5034" t="s">
        <v>29</v>
      </c>
      <c r="B23" s="43" t="s">
        <v>794</v>
      </c>
      <c r="C23" s="5032">
        <f>+'Phụ lục 7-HĐND'!X22</f>
        <v>2400</v>
      </c>
    </row>
    <row r="24" spans="1:3">
      <c r="A24" s="5034" t="s">
        <v>29</v>
      </c>
      <c r="B24" s="43" t="s">
        <v>795</v>
      </c>
      <c r="C24" s="5032">
        <f>+'Phụ lục 7-HĐND'!X23</f>
        <v>0</v>
      </c>
    </row>
    <row r="25" spans="1:3">
      <c r="A25" s="5034" t="s">
        <v>29</v>
      </c>
      <c r="B25" s="43" t="s">
        <v>796</v>
      </c>
      <c r="C25" s="5032">
        <f>+'Phụ lục 7-HĐND'!X24</f>
        <v>7600</v>
      </c>
    </row>
    <row r="26" spans="1:3">
      <c r="A26" s="5027">
        <v>6</v>
      </c>
      <c r="B26" s="701" t="s">
        <v>24</v>
      </c>
      <c r="C26" s="5028">
        <f>SUM(C27:C28)</f>
        <v>4500</v>
      </c>
    </row>
    <row r="27" spans="1:3">
      <c r="A27" s="5034" t="s">
        <v>29</v>
      </c>
      <c r="B27" s="43" t="s">
        <v>790</v>
      </c>
      <c r="C27" s="5032">
        <f>+'Phụ lục 7-HĐND'!X26</f>
        <v>0</v>
      </c>
    </row>
    <row r="28" spans="1:3">
      <c r="A28" s="5035" t="s">
        <v>29</v>
      </c>
      <c r="B28" s="711" t="s">
        <v>1809</v>
      </c>
      <c r="C28" s="5032">
        <f>+'Phụ lục 7-HĐND'!X27</f>
        <v>4500</v>
      </c>
    </row>
    <row r="29" spans="1:3">
      <c r="A29" s="5027">
        <v>7</v>
      </c>
      <c r="B29" s="701" t="s">
        <v>242</v>
      </c>
      <c r="C29" s="5028">
        <f>SUM(C30:C31)</f>
        <v>75000</v>
      </c>
    </row>
    <row r="30" spans="1:3">
      <c r="A30" s="5034" t="s">
        <v>29</v>
      </c>
      <c r="B30" s="43" t="s">
        <v>790</v>
      </c>
      <c r="C30" s="5032">
        <f>+'Phụ lục 7-HĐND'!X29</f>
        <v>0</v>
      </c>
    </row>
    <row r="31" spans="1:3">
      <c r="A31" s="5035" t="s">
        <v>29</v>
      </c>
      <c r="B31" s="711" t="s">
        <v>1810</v>
      </c>
      <c r="C31" s="5032">
        <f>+'Phụ lục 7-HĐND'!X30</f>
        <v>75000</v>
      </c>
    </row>
    <row r="32" spans="1:3">
      <c r="A32" s="5027">
        <v>8</v>
      </c>
      <c r="B32" s="701" t="s">
        <v>798</v>
      </c>
      <c r="C32" s="5028">
        <f>SUM(C33:C35)</f>
        <v>26000</v>
      </c>
    </row>
    <row r="33" spans="1:3">
      <c r="A33" s="5034" t="s">
        <v>29</v>
      </c>
      <c r="B33" s="43" t="s">
        <v>799</v>
      </c>
      <c r="C33" s="5032">
        <f>+'Phụ lục 7-HĐND'!X32</f>
        <v>5500</v>
      </c>
    </row>
    <row r="34" spans="1:3">
      <c r="A34" s="5034" t="s">
        <v>29</v>
      </c>
      <c r="B34" s="43" t="s">
        <v>800</v>
      </c>
      <c r="C34" s="5032">
        <f>+'Phụ lục 7-HĐND'!X33</f>
        <v>4500</v>
      </c>
    </row>
    <row r="35" spans="1:3">
      <c r="A35" s="5034" t="s">
        <v>29</v>
      </c>
      <c r="B35" s="43" t="s">
        <v>801</v>
      </c>
      <c r="C35" s="5032">
        <f>+'Phụ lục 7-HĐND'!X34</f>
        <v>16000</v>
      </c>
    </row>
    <row r="36" spans="1:3">
      <c r="A36" s="5027">
        <v>9</v>
      </c>
      <c r="B36" s="5036" t="s">
        <v>1811</v>
      </c>
      <c r="C36" s="5028">
        <f>+'Phụ lục 7-HĐND'!X35</f>
        <v>200</v>
      </c>
    </row>
    <row r="37" spans="1:3">
      <c r="A37" s="5027" t="s">
        <v>33</v>
      </c>
      <c r="B37" s="701" t="s">
        <v>1812</v>
      </c>
      <c r="C37" s="5037"/>
    </row>
    <row r="38" spans="1:3">
      <c r="A38" s="5027"/>
      <c r="B38" s="704" t="s">
        <v>1813</v>
      </c>
      <c r="C38" s="5038">
        <v>1</v>
      </c>
    </row>
    <row r="39" spans="1:3">
      <c r="A39" s="4971" t="s">
        <v>182</v>
      </c>
      <c r="B39" s="4972" t="s">
        <v>802</v>
      </c>
      <c r="C39" s="613">
        <f>SUM(C40:C42)</f>
        <v>904084.62100000004</v>
      </c>
    </row>
    <row r="40" spans="1:3">
      <c r="A40" s="1926">
        <v>1</v>
      </c>
      <c r="B40" s="4968" t="s">
        <v>803</v>
      </c>
      <c r="C40" s="2608">
        <f>+'Phụ lục 7-HĐND'!X37</f>
        <v>566422</v>
      </c>
    </row>
    <row r="41" spans="1:3">
      <c r="A41" s="1926">
        <v>2</v>
      </c>
      <c r="B41" s="1927" t="s">
        <v>3136</v>
      </c>
      <c r="C41" s="2608">
        <f>+'Phụ lục 7-HĐND'!X38</f>
        <v>199350</v>
      </c>
    </row>
    <row r="42" spans="1:3">
      <c r="A42" s="1926">
        <v>3</v>
      </c>
      <c r="B42" s="4968" t="s">
        <v>3206</v>
      </c>
      <c r="C42" s="2608">
        <f>+'Phụ lục 7-HĐND'!X39</f>
        <v>138312.62099999998</v>
      </c>
    </row>
    <row r="43" spans="1:3" ht="18.600000000000001" thickBot="1">
      <c r="A43" s="4539" t="s">
        <v>215</v>
      </c>
      <c r="B43" s="5042" t="s">
        <v>1721</v>
      </c>
      <c r="C43" s="5043">
        <f>+'Phụ lục 7-HĐND'!X40</f>
        <v>45892</v>
      </c>
    </row>
    <row r="44" spans="1:3" ht="18.600000000000001" thickTop="1">
      <c r="A44" s="2914"/>
      <c r="B44" s="2914" t="s">
        <v>809</v>
      </c>
      <c r="C44" s="2915"/>
    </row>
    <row r="46" spans="1:3">
      <c r="A46" s="6744" t="s">
        <v>1717</v>
      </c>
      <c r="B46" s="6744"/>
      <c r="C46" s="6744"/>
    </row>
    <row r="47" spans="1:3">
      <c r="A47" s="6759" t="str">
        <f>+'TP. CAO LÃNH'!A47:C47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6.5" customHeight="1">
      <c r="A48" s="6759" t="str">
        <f>+'TP.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1">
      <c r="A49" s="381" t="str">
        <f>+'TP. CAO LÃNH'!A49</f>
        <v>(4): Các khoản thu phân chia theo tỷ lệ (%) giữa ngân sách cấp Tỉnh và ngân sách cấp huyện</v>
      </c>
    </row>
    <row r="50" spans="1:1">
      <c r="A50" s="381" t="str">
        <f>+'TP. CAO LÃNH'!A50</f>
        <v>(5): Chi tiết thu bổ sung có mục tiêu theo Phụ lục số III</v>
      </c>
    </row>
    <row r="66" spans="1:3">
      <c r="A66" s="6281" t="str">
        <f>+'TP. CAO LÃNH'!A65:C65</f>
        <v>PHỤ LỤC II</v>
      </c>
      <c r="B66" s="6281"/>
      <c r="C66" s="6281"/>
    </row>
    <row r="67" spans="1:3">
      <c r="A67" s="6281" t="str">
        <f>+'TP. CAO LÃNH'!A66:C66</f>
        <v>NHIỆM VỤ CHI NGÂN SÁCH HUYỆN, THÀNH PHỐ NĂM 2025</v>
      </c>
      <c r="B67" s="6281"/>
      <c r="C67" s="6281"/>
    </row>
    <row r="68" spans="1:3">
      <c r="A68" s="6281" t="str">
        <f>A3</f>
        <v>HUYỆN CAO LÃNH</v>
      </c>
      <c r="B68" s="6281"/>
      <c r="C68" s="6281"/>
    </row>
    <row r="69" spans="1:3">
      <c r="A69" s="6498" t="str">
        <f>A4</f>
        <v>(Kèm theo Quyết định số        /QĐ-UBND-HC ngày      /12/2024 của Uỷ ban nhân dân tỉnh Đồng Tháp)</v>
      </c>
      <c r="B69" s="6498"/>
      <c r="C69" s="6498"/>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tr">
        <f>'[2]TP. CAO LÃNH'!B64</f>
        <v>Nội dung</v>
      </c>
      <c r="C72" s="4543" t="str">
        <f>C7</f>
        <v>Dự toán năm 2025</v>
      </c>
    </row>
    <row r="73" spans="1:3">
      <c r="A73" s="5049"/>
      <c r="B73" s="693" t="str">
        <f>'[2]TP. CAO LÃNH'!B65</f>
        <v>Tổng chi (I+II+III+IV)</v>
      </c>
      <c r="C73" s="5024">
        <f>C74+C78+C82+C83+C84</f>
        <v>1193776.621</v>
      </c>
    </row>
    <row r="74" spans="1:3" s="588" customFormat="1" ht="17.399999999999999">
      <c r="A74" s="5050" t="s">
        <v>3</v>
      </c>
      <c r="B74" s="2910" t="str">
        <f>'[2]TP. CAO LÃNH'!B66</f>
        <v>Chi đầu tư phát triển (1)</v>
      </c>
      <c r="C74" s="5028">
        <f>C76+C77</f>
        <v>114500</v>
      </c>
    </row>
    <row r="75" spans="1:3">
      <c r="A75" s="5051"/>
      <c r="B75" s="2916" t="str">
        <f>'[2]TP. CAO LÃNH'!B67</f>
        <v>Bao gồm:</v>
      </c>
      <c r="C75" s="5032"/>
    </row>
    <row r="76" spans="1:3">
      <c r="A76" s="5052">
        <v>1</v>
      </c>
      <c r="B76" s="2917" t="str">
        <f>'[2]TP. CAO LÃNH'!B68</f>
        <v>Chi đầu tư xây dựng cơ bản</v>
      </c>
      <c r="C76" s="5032">
        <f>+'Phụ lục 8-HĐND'!J9</f>
        <v>47000</v>
      </c>
    </row>
    <row r="77" spans="1:3">
      <c r="A77" s="5052">
        <v>2</v>
      </c>
      <c r="B77" s="2917" t="str">
        <f>'[2]TP. CAO LÃNH'!B69</f>
        <v>Chi đầu tư từ nguồn thu tiền sử dụng đất</v>
      </c>
      <c r="C77" s="5032">
        <f>+'Phụ lục 8-HĐND'!J10</f>
        <v>67500</v>
      </c>
    </row>
    <row r="78" spans="1:3">
      <c r="A78" s="5050" t="s">
        <v>33</v>
      </c>
      <c r="B78" s="2910" t="str">
        <f>'[2]TP. CAO LÃNH'!B70</f>
        <v>Chi thường xuyên (2)</v>
      </c>
      <c r="C78" s="5028">
        <f>+'Phụ lục 8-HĐND'!J11</f>
        <v>1019433.2963639069</v>
      </c>
    </row>
    <row r="79" spans="1:3">
      <c r="A79" s="5053"/>
      <c r="B79" s="2907" t="str">
        <f>'[2]TP. CAO LÃNH'!B71</f>
        <v>Bao gồm:</v>
      </c>
      <c r="C79" s="5032"/>
    </row>
    <row r="80" spans="1:3">
      <c r="A80" s="5052">
        <v>1</v>
      </c>
      <c r="B80" s="2909" t="str">
        <f>'[2]TP. CAO LÃNH'!B72</f>
        <v>Sự nghiệp giáo dục - đào tạo (3)</v>
      </c>
      <c r="C80" s="5032">
        <f>+'Phụ lục 8-HĐND'!J13</f>
        <v>538158.5</v>
      </c>
    </row>
    <row r="81" spans="1:3">
      <c r="A81" s="5052">
        <v>2</v>
      </c>
      <c r="B81" s="2909" t="str">
        <f>'[2]TP. CAO LÃNH'!B73</f>
        <v>Các khoản chi thường xuyên còn lại</v>
      </c>
      <c r="C81" s="5032">
        <f>+'Phụ lục 8-HĐND'!J14</f>
        <v>481274.79636390693</v>
      </c>
    </row>
    <row r="82" spans="1:3" s="386" customFormat="1" ht="17.399999999999999">
      <c r="A82" s="5050" t="s">
        <v>182</v>
      </c>
      <c r="B82" s="2910" t="str">
        <f>'[2]TP. CAO LÃNH'!B74</f>
        <v>Dự phòng ngân sách</v>
      </c>
      <c r="C82" s="5028">
        <f>+'Phụ lục 8-HĐND'!J15</f>
        <v>21524.6</v>
      </c>
    </row>
    <row r="83" spans="1:3" s="386" customFormat="1" ht="17.399999999999999">
      <c r="A83" s="5050" t="s">
        <v>215</v>
      </c>
      <c r="B83" s="2910" t="str">
        <f>'[2]TP. CAO LÃNH'!B75</f>
        <v>Chi tạo nguồn cải cách tiền lương</v>
      </c>
      <c r="C83" s="5028">
        <f>+'Phụ lục 8-HĐND'!J16</f>
        <v>0</v>
      </c>
    </row>
    <row r="84" spans="1:3" s="386" customFormat="1" ht="17.399999999999999">
      <c r="A84" s="5073" t="s">
        <v>718</v>
      </c>
      <c r="B84" s="701" t="str">
        <f>'[2]TP. CAO LÃNH'!B76</f>
        <v>Chi từ nguồn ngân sách cấp Tỉnh bổ sung có mục tiêu</v>
      </c>
      <c r="C84" s="5028">
        <f>SUM(C85:C89)</f>
        <v>38318.724636092986</v>
      </c>
    </row>
    <row r="85" spans="1:3">
      <c r="A85" s="5055" t="s">
        <v>29</v>
      </c>
      <c r="B85" s="704" t="str">
        <f>+'TP. CAO LÃNH'!B84</f>
        <v>Chi đầu tư xây dựng cơ bản</v>
      </c>
      <c r="C85" s="5032">
        <f>+'Phụ lục 8-HĐND'!J18</f>
        <v>0</v>
      </c>
    </row>
    <row r="86" spans="1:3">
      <c r="A86" s="5055" t="s">
        <v>29</v>
      </c>
      <c r="B86" s="2901" t="str">
        <f>+'TP. CAO LÃNH'!B85</f>
        <v>Chi đầu tư từ nguồn xổ số kiến thiết</v>
      </c>
      <c r="C86" s="5032">
        <f>+'Phụ lục 8-HĐND'!J19</f>
        <v>0</v>
      </c>
    </row>
    <row r="87" spans="1:3">
      <c r="A87" s="5055" t="s">
        <v>29</v>
      </c>
      <c r="B87" s="2901" t="str">
        <f>+'TP. CAO LÃNH'!B86</f>
        <v>Chi từ nguồn ngân sách trung ương bổ sung có mục tiêu (kinh phí biên chế giáo viên tăng thêm)</v>
      </c>
      <c r="C87" s="5032">
        <f>+'Phụ lục 8-HĐND'!J20</f>
        <v>1123</v>
      </c>
    </row>
    <row r="88" spans="1:3">
      <c r="A88" s="5056" t="s">
        <v>29</v>
      </c>
      <c r="B88" s="2901" t="str">
        <f>+'TP. CAO LÃNH'!B87</f>
        <v>Chi từ nguồn ngân sách trung ương bổ sung có mục tiêu (kinh phí hỗ trợ địa phương sản xuất lúa năm 2025)</v>
      </c>
      <c r="C88" s="5032">
        <f>+'Phụ lục 8-HĐND'!J21</f>
        <v>13000</v>
      </c>
    </row>
    <row r="89" spans="1:3" ht="18.600000000000001" thickBot="1">
      <c r="A89" s="5057"/>
      <c r="B89" s="5891" t="str">
        <f>+'TP. CAO LÃNH'!B88</f>
        <v>Chi từ nguồn ngân sách trung ương bổ sung có mục tiêu (chính sách an sinh xã hội năm 2025)</v>
      </c>
      <c r="C89" s="5059">
        <f>+'Phụ lục 8-HĐND'!J22</f>
        <v>24195.724636092982</v>
      </c>
    </row>
    <row r="90" spans="1:3" ht="18.600000000000001" thickTop="1"/>
    <row r="91" spans="1:3">
      <c r="A91" s="588" t="s">
        <v>1717</v>
      </c>
      <c r="B91" s="2903"/>
    </row>
    <row r="92" spans="1:3" s="2705" customFormat="1">
      <c r="A92" s="6767" t="s">
        <v>1831</v>
      </c>
      <c r="B92" s="6768"/>
      <c r="C92" s="6768"/>
    </row>
    <row r="93" spans="1:3" s="2705" customFormat="1" ht="56.25" customHeight="1">
      <c r="A93" s="6772" t="str">
        <f>+'TP. CAO LÃNH'!A92:C92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69"/>
      <c r="C93" s="6769"/>
    </row>
    <row r="94" spans="1:3" s="2705" customFormat="1" ht="47.25" customHeight="1">
      <c r="A94" s="6781" t="str">
        <f>+'TP. CAO LÃNH'!A93:C93</f>
        <v>- Chưa bao gồm chi đầu tư từ nguồn vốn do ngân sách cấp tỉnh quản lý và phân bổ bổ sung có mục tiêu cho ngân sách huyện, thành phố</v>
      </c>
      <c r="B94" s="6767"/>
      <c r="C94" s="6767"/>
    </row>
    <row r="95" spans="1:3">
      <c r="A95" s="6764" t="s">
        <v>1829</v>
      </c>
      <c r="B95" s="6764"/>
      <c r="C95" s="6764"/>
    </row>
    <row r="96" spans="1:3" ht="55.5" customHeight="1">
      <c r="A96" s="6772" t="str">
        <f>+'TP. CAO LÃNH'!A95:C95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69"/>
      <c r="C96" s="6769"/>
    </row>
    <row r="97" spans="1:3" ht="42" customHeight="1">
      <c r="A97" s="6782" t="str">
        <f>+'TP. CAO LÃNH'!A96:C96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79"/>
      <c r="C97" s="6779"/>
    </row>
    <row r="98" spans="1:3">
      <c r="A98" s="381" t="str">
        <f>+'TP. CAO LÃNH'!A97</f>
        <v xml:space="preserve">- Bao gồm 10% tiết kiệm tăng thêm năm 2025 so với năm 2024 để thực hiện cải cách tiền lương năm 2025 là: </v>
      </c>
      <c r="C98" s="2912" t="s">
        <v>1830</v>
      </c>
    </row>
    <row r="99" spans="1:3" s="386" customFormat="1" ht="17.399999999999999">
      <c r="A99" s="2704" t="str">
        <f>'[2]TP. CAO LÃNH'!A91:C91</f>
        <v>(3): Trong đó:</v>
      </c>
      <c r="B99" s="2704"/>
      <c r="C99" s="2704"/>
    </row>
    <row r="100" spans="1:3" ht="60.75" customHeight="1">
      <c r="A100" s="6769" t="str">
        <f>+'TP. CAO LÃNH'!A99:C99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69"/>
      <c r="C100" s="6769"/>
    </row>
    <row r="123" spans="1:3">
      <c r="A123" s="6281" t="str">
        <f>+'TP. CAO LÃNH'!A125:C125</f>
        <v>PHỤ LỤC III</v>
      </c>
      <c r="B123" s="6281"/>
      <c r="C123" s="6281"/>
    </row>
    <row r="124" spans="1:3">
      <c r="A124" s="6281" t="str">
        <f>+'TP. CAO LÃNH'!A126:C126</f>
        <v>CHI TỪ NGUỒN NGÂN SÁCH CẤP TỈNH BỔ SUNG CÓ MỤC TIÊU NĂM 2025</v>
      </c>
      <c r="B124" s="6281"/>
      <c r="C124" s="6281"/>
    </row>
    <row r="125" spans="1:3">
      <c r="A125" s="6281" t="str">
        <f>A68</f>
        <v>HUYỆN CAO LÃNH</v>
      </c>
      <c r="B125" s="6281"/>
      <c r="C125" s="6281"/>
    </row>
    <row r="126" spans="1:3">
      <c r="A126" s="6496" t="str">
        <f>+A69</f>
        <v>(Kèm theo Quyết định số        /QĐ-UBND-HC ngày      /12/2024 của Uỷ ban nhân dân tỉnh Đồng Tháp)</v>
      </c>
      <c r="B126" s="6496"/>
      <c r="C126" s="6496"/>
    </row>
    <row r="128" spans="1:3" ht="18.600000000000001" thickBot="1">
      <c r="A128" s="2899"/>
      <c r="B128" s="2899"/>
      <c r="C128" s="2883" t="str">
        <f>C71</f>
        <v>Đơn vị tính: Triệu đồng</v>
      </c>
    </row>
    <row r="129" spans="1:5" ht="35.4" thickTop="1">
      <c r="A129" s="5014" t="s">
        <v>136</v>
      </c>
      <c r="B129" s="4862" t="s">
        <v>137</v>
      </c>
      <c r="C129" s="4861" t="str">
        <f>+C72</f>
        <v>Dự toán năm 2025</v>
      </c>
    </row>
    <row r="130" spans="1:5">
      <c r="A130" s="5015"/>
      <c r="B130" s="682" t="s">
        <v>3196</v>
      </c>
      <c r="C130" s="5016">
        <f>SUM(C131:C142)</f>
        <v>138312.62099999998</v>
      </c>
      <c r="E130" s="667">
        <f>+C42-C130</f>
        <v>0</v>
      </c>
    </row>
    <row r="131" spans="1:5" ht="36">
      <c r="A131" s="593">
        <v>1</v>
      </c>
      <c r="B131" s="5022" t="s">
        <v>805</v>
      </c>
      <c r="C131" s="4538">
        <f>+'Phụ lục số 8.1'!BL14</f>
        <v>31386.989999999998</v>
      </c>
    </row>
    <row r="132" spans="1:5">
      <c r="A132" s="593">
        <v>2</v>
      </c>
      <c r="B132" s="5022" t="str">
        <f>+'TP. CAO LÃNH'!B134</f>
        <v>Kinh phí hỗ trợ địa phương sản xuất lúa</v>
      </c>
      <c r="C132" s="4538">
        <f>+'Phụ lục số 8.1'!BL15</f>
        <v>40000</v>
      </c>
    </row>
    <row r="133" spans="1:5">
      <c r="A133" s="593">
        <v>3</v>
      </c>
      <c r="B133" s="5022" t="str">
        <f>+'TP. CAO LÃNH'!B135</f>
        <v>Kinh phí biên chế giáo viên tăng thêm</v>
      </c>
      <c r="C133" s="4538">
        <f>+'Phụ lục số 8.1'!BL18</f>
        <v>1123</v>
      </c>
    </row>
    <row r="134" spans="1:5" ht="36">
      <c r="A134" s="593">
        <v>4</v>
      </c>
      <c r="B134" s="2525" t="s">
        <v>1608</v>
      </c>
      <c r="C134" s="5017">
        <v>0</v>
      </c>
    </row>
    <row r="135" spans="1:5">
      <c r="A135" s="593">
        <v>5</v>
      </c>
      <c r="B135" s="2525" t="s">
        <v>3197</v>
      </c>
      <c r="C135" s="5018">
        <v>0</v>
      </c>
    </row>
    <row r="136" spans="1:5" ht="36">
      <c r="A136" s="593">
        <v>6</v>
      </c>
      <c r="B136" s="2525" t="s">
        <v>3198</v>
      </c>
      <c r="C136" s="5018">
        <f>+'Phụ lục số 8.3-CĐCS'!DI15</f>
        <v>38.032000000000039</v>
      </c>
    </row>
    <row r="137" spans="1:5" ht="36">
      <c r="A137" s="593">
        <v>7</v>
      </c>
      <c r="B137" s="2525" t="s">
        <v>3199</v>
      </c>
      <c r="C137" s="5018">
        <f>+'Phụ lục số 8.3-CĐCS'!DI17+'Phụ lục số 8.3-CĐCS'!DI13+'Phụ lục số 8.3-CĐCS'!DI14+'Phụ lục số 8.3-CĐCS'!DI18</f>
        <v>44844</v>
      </c>
    </row>
    <row r="138" spans="1:5" ht="36">
      <c r="A138" s="593">
        <v>8</v>
      </c>
      <c r="B138" s="2525" t="s">
        <v>1093</v>
      </c>
      <c r="C138" s="5017">
        <v>0</v>
      </c>
    </row>
    <row r="139" spans="1:5" ht="36">
      <c r="A139" s="593">
        <v>9</v>
      </c>
      <c r="B139" s="5012" t="s">
        <v>3156</v>
      </c>
      <c r="C139" s="5018">
        <f>+'Phụ lục số 8.1'!BL20</f>
        <v>1490.94</v>
      </c>
    </row>
    <row r="140" spans="1:5">
      <c r="A140" s="593">
        <v>10</v>
      </c>
      <c r="B140" s="5013" t="s">
        <v>1510</v>
      </c>
      <c r="C140" s="5018">
        <f>+'Phụ lục số 8.1'!BL22</f>
        <v>14395</v>
      </c>
    </row>
    <row r="141" spans="1:5">
      <c r="A141" s="593">
        <v>11</v>
      </c>
      <c r="B141" s="5013" t="str">
        <f>+'TP. CAO LÃNH'!B143</f>
        <v>Kinh phí thực hiện hỗ trợ đào tạo nghề trình độ sơ cấp và đào tạo dưới 03 tháng năm 2025</v>
      </c>
      <c r="C141" s="5018"/>
    </row>
    <row r="142" spans="1:5" ht="18.600000000000001" thickBot="1">
      <c r="A142" s="5019">
        <v>12</v>
      </c>
      <c r="B142" s="5192" t="str">
        <f>+'TP. CAO LÃNH'!B144</f>
        <v>Kinh phí tổ chức đại hội Đảng nhiệm kỳ 2025 - 2030</v>
      </c>
      <c r="C142" s="5021">
        <f>+'Phụ lục số 8.1'!BL16</f>
        <v>5034.6589999999997</v>
      </c>
    </row>
    <row r="143" spans="1:5" ht="18.600000000000001" thickTop="1"/>
  </sheetData>
  <mergeCells count="22">
    <mergeCell ref="A123:C123"/>
    <mergeCell ref="A124:C124"/>
    <mergeCell ref="A125:C125"/>
    <mergeCell ref="A126:C126"/>
    <mergeCell ref="A93:C93"/>
    <mergeCell ref="A94:C94"/>
    <mergeCell ref="A95:C95"/>
    <mergeCell ref="A96:C96"/>
    <mergeCell ref="A97:C97"/>
    <mergeCell ref="A100:C100"/>
    <mergeCell ref="A92:C92"/>
    <mergeCell ref="A1:C1"/>
    <mergeCell ref="A2:C2"/>
    <mergeCell ref="A3:C3"/>
    <mergeCell ref="A4:C4"/>
    <mergeCell ref="A46:C46"/>
    <mergeCell ref="A47:C47"/>
    <mergeCell ref="A48:C48"/>
    <mergeCell ref="A66:C66"/>
    <mergeCell ref="A67:C67"/>
    <mergeCell ref="A68:C68"/>
    <mergeCell ref="A69:C69"/>
  </mergeCells>
  <hyperlinks>
    <hyperlink ref="A72"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E145"/>
  <sheetViews>
    <sheetView topLeftCell="A81" workbookViewId="0">
      <selection activeCell="B87" sqref="B87"/>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CAO LÃNH'!A1:C1</f>
        <v>PHỤ LỤC I</v>
      </c>
      <c r="B1" s="6281"/>
      <c r="C1" s="6281"/>
    </row>
    <row r="2" spans="1:3">
      <c r="A2" s="6281" t="str">
        <f>+'H. CAO LÃNH'!A2:C2</f>
        <v>NHIỆM VỤ THU NGÂN SÁCH NHÀ NƯỚC NĂM 2025</v>
      </c>
      <c r="B2" s="6281"/>
      <c r="C2" s="6281"/>
    </row>
    <row r="3" spans="1:3">
      <c r="A3" s="6281" t="s">
        <v>1494</v>
      </c>
      <c r="B3" s="6281"/>
      <c r="C3" s="6281"/>
    </row>
    <row r="4" spans="1:3">
      <c r="A4" s="6498" t="str">
        <f>+'H. CAO LÃNH'!A4:C4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278300</v>
      </c>
    </row>
    <row r="9" spans="1:3">
      <c r="A9" s="5025"/>
      <c r="B9" s="697" t="s">
        <v>784</v>
      </c>
      <c r="C9" s="5078">
        <f>C8-C29</f>
        <v>178300</v>
      </c>
    </row>
    <row r="10" spans="1:3">
      <c r="A10" s="5027">
        <v>1</v>
      </c>
      <c r="B10" s="701" t="s">
        <v>1477</v>
      </c>
      <c r="C10" s="5028">
        <f>SUM(C11:C15)</f>
        <v>83000</v>
      </c>
    </row>
    <row r="11" spans="1:3">
      <c r="A11" s="5029" t="s">
        <v>29</v>
      </c>
      <c r="B11" s="704" t="s">
        <v>786</v>
      </c>
      <c r="C11" s="5032">
        <f>+'Phụ lục 7-HĐND'!AA10</f>
        <v>68650</v>
      </c>
    </row>
    <row r="12" spans="1:3">
      <c r="A12" s="5029" t="s">
        <v>29</v>
      </c>
      <c r="B12" s="704" t="s">
        <v>787</v>
      </c>
      <c r="C12" s="5032">
        <f>+'Phụ lục 7-HĐND'!AA11</f>
        <v>13500</v>
      </c>
    </row>
    <row r="13" spans="1:3">
      <c r="A13" s="5029" t="s">
        <v>29</v>
      </c>
      <c r="B13" s="704" t="s">
        <v>788</v>
      </c>
      <c r="C13" s="5032">
        <f>+'Phụ lục 7-HĐND'!AA12</f>
        <v>300</v>
      </c>
    </row>
    <row r="14" spans="1:3">
      <c r="A14" s="5029" t="s">
        <v>29</v>
      </c>
      <c r="B14" s="704" t="s">
        <v>10</v>
      </c>
      <c r="C14" s="5032">
        <f>+'Phụ lục 7-HĐND'!AA13</f>
        <v>550</v>
      </c>
    </row>
    <row r="15" spans="1:3">
      <c r="A15" s="5029" t="s">
        <v>29</v>
      </c>
      <c r="B15" s="704" t="s">
        <v>789</v>
      </c>
      <c r="C15" s="5032">
        <f>+'Phụ lục 7-HĐND'!AA14</f>
        <v>0</v>
      </c>
    </row>
    <row r="16" spans="1:3">
      <c r="A16" s="5027">
        <v>2</v>
      </c>
      <c r="B16" s="701" t="s">
        <v>20</v>
      </c>
      <c r="C16" s="5028">
        <f>SUM(C17:C18)</f>
        <v>32000</v>
      </c>
    </row>
    <row r="17" spans="1:3" hidden="1">
      <c r="A17" s="5031" t="s">
        <v>29</v>
      </c>
      <c r="B17" s="43" t="s">
        <v>790</v>
      </c>
      <c r="C17" s="5032">
        <f>+'Phụ lục 7-HĐND'!AA16</f>
        <v>0</v>
      </c>
    </row>
    <row r="18" spans="1:3" hidden="1">
      <c r="A18" s="5033" t="s">
        <v>29</v>
      </c>
      <c r="B18" s="711" t="s">
        <v>791</v>
      </c>
      <c r="C18" s="5032">
        <f>+'Phụ lục 7-HĐND'!AA17</f>
        <v>32000</v>
      </c>
    </row>
    <row r="19" spans="1:3">
      <c r="A19" s="5027">
        <v>3</v>
      </c>
      <c r="B19" s="701" t="s">
        <v>17</v>
      </c>
      <c r="C19" s="5028">
        <f>+'Phụ lục 7-HĐND'!AA18</f>
        <v>27500</v>
      </c>
    </row>
    <row r="20" spans="1:3">
      <c r="A20" s="5027">
        <v>4</v>
      </c>
      <c r="B20" s="701" t="s">
        <v>792</v>
      </c>
      <c r="C20" s="5028">
        <f>+'Phụ lục 7-HĐND'!AA19</f>
        <v>0</v>
      </c>
    </row>
    <row r="21" spans="1:3">
      <c r="A21" s="5027">
        <v>4</v>
      </c>
      <c r="B21" s="701" t="s">
        <v>97</v>
      </c>
      <c r="C21" s="5028">
        <f>+'Phụ lục 7-HĐND'!AA20</f>
        <v>2500</v>
      </c>
    </row>
    <row r="22" spans="1:3">
      <c r="A22" s="5027">
        <v>5</v>
      </c>
      <c r="B22" s="701" t="s">
        <v>793</v>
      </c>
      <c r="C22" s="5028">
        <f>SUM(C23:C25)</f>
        <v>10000</v>
      </c>
    </row>
    <row r="23" spans="1:3">
      <c r="A23" s="5034" t="s">
        <v>29</v>
      </c>
      <c r="B23" s="43" t="s">
        <v>794</v>
      </c>
      <c r="C23" s="5032">
        <f>+'Phụ lục 7-HĐND'!AA22</f>
        <v>3000</v>
      </c>
    </row>
    <row r="24" spans="1:3">
      <c r="A24" s="5034" t="s">
        <v>29</v>
      </c>
      <c r="B24" s="43" t="s">
        <v>795</v>
      </c>
      <c r="C24" s="5032">
        <f>+'Phụ lục 7-HĐND'!AA23</f>
        <v>0</v>
      </c>
    </row>
    <row r="25" spans="1:3">
      <c r="A25" s="5034" t="s">
        <v>29</v>
      </c>
      <c r="B25" s="43" t="s">
        <v>796</v>
      </c>
      <c r="C25" s="5032">
        <f>+'Phụ lục 7-HĐND'!AA24</f>
        <v>7000</v>
      </c>
    </row>
    <row r="26" spans="1:3">
      <c r="A26" s="5027">
        <v>6</v>
      </c>
      <c r="B26" s="701" t="s">
        <v>24</v>
      </c>
      <c r="C26" s="5028">
        <f>SUM(C27:C28)</f>
        <v>2500</v>
      </c>
    </row>
    <row r="27" spans="1:3">
      <c r="A27" s="5034" t="s">
        <v>29</v>
      </c>
      <c r="B27" s="43" t="s">
        <v>790</v>
      </c>
      <c r="C27" s="5032">
        <f>+'Phụ lục 7-HĐND'!AA26</f>
        <v>0</v>
      </c>
    </row>
    <row r="28" spans="1:3">
      <c r="A28" s="5035" t="s">
        <v>29</v>
      </c>
      <c r="B28" s="711" t="s">
        <v>1809</v>
      </c>
      <c r="C28" s="5032">
        <f>+'Phụ lục 7-HĐND'!AA27</f>
        <v>2500</v>
      </c>
    </row>
    <row r="29" spans="1:3">
      <c r="A29" s="5027">
        <v>7</v>
      </c>
      <c r="B29" s="701" t="s">
        <v>242</v>
      </c>
      <c r="C29" s="5028">
        <f>SUM(C30:C31)</f>
        <v>100000</v>
      </c>
    </row>
    <row r="30" spans="1:3">
      <c r="A30" s="5034" t="s">
        <v>29</v>
      </c>
      <c r="B30" s="43" t="s">
        <v>790</v>
      </c>
      <c r="C30" s="5032">
        <f>+'Phụ lục 7-HĐND'!AA29</f>
        <v>0</v>
      </c>
    </row>
    <row r="31" spans="1:3">
      <c r="A31" s="5035" t="s">
        <v>29</v>
      </c>
      <c r="B31" s="711" t="s">
        <v>1810</v>
      </c>
      <c r="C31" s="5032">
        <f>+'Phụ lục 7-HĐND'!AA30</f>
        <v>100000</v>
      </c>
    </row>
    <row r="32" spans="1:3">
      <c r="A32" s="5027">
        <v>8</v>
      </c>
      <c r="B32" s="701" t="s">
        <v>798</v>
      </c>
      <c r="C32" s="5028">
        <f>SUM(C33:C35)</f>
        <v>20000</v>
      </c>
    </row>
    <row r="33" spans="1:3">
      <c r="A33" s="5034" t="s">
        <v>29</v>
      </c>
      <c r="B33" s="43" t="s">
        <v>799</v>
      </c>
      <c r="C33" s="5032">
        <f>+'Phụ lục 7-HĐND'!AA32</f>
        <v>4000</v>
      </c>
    </row>
    <row r="34" spans="1:3">
      <c r="A34" s="5034" t="s">
        <v>29</v>
      </c>
      <c r="B34" s="43" t="s">
        <v>800</v>
      </c>
      <c r="C34" s="5032">
        <f>+'Phụ lục 7-HĐND'!AA33</f>
        <v>1500</v>
      </c>
    </row>
    <row r="35" spans="1:3">
      <c r="A35" s="5034" t="s">
        <v>29</v>
      </c>
      <c r="B35" s="43" t="s">
        <v>801</v>
      </c>
      <c r="C35" s="5032">
        <f>+'Phụ lục 7-HĐND'!AA34</f>
        <v>14500</v>
      </c>
    </row>
    <row r="36" spans="1:3">
      <c r="A36" s="5027">
        <v>9</v>
      </c>
      <c r="B36" s="5036" t="s">
        <v>1811</v>
      </c>
      <c r="C36" s="5028">
        <f>+'Phụ lục 7-HĐND'!AA35</f>
        <v>800</v>
      </c>
    </row>
    <row r="37" spans="1:3">
      <c r="A37" s="5027" t="s">
        <v>33</v>
      </c>
      <c r="B37" s="701" t="s">
        <v>1812</v>
      </c>
      <c r="C37" s="5037"/>
    </row>
    <row r="38" spans="1:3">
      <c r="A38" s="5027"/>
      <c r="B38" s="704" t="s">
        <v>1813</v>
      </c>
      <c r="C38" s="5038">
        <v>1</v>
      </c>
    </row>
    <row r="39" spans="1:3" s="386" customFormat="1" ht="17.399999999999999">
      <c r="A39" s="4971" t="s">
        <v>182</v>
      </c>
      <c r="B39" s="4972" t="s">
        <v>802</v>
      </c>
      <c r="C39" s="5028">
        <f>SUM(C40:C42)</f>
        <v>736843.87899999996</v>
      </c>
    </row>
    <row r="40" spans="1:3">
      <c r="A40" s="1926">
        <v>1</v>
      </c>
      <c r="B40" s="4968" t="s">
        <v>803</v>
      </c>
      <c r="C40" s="5032">
        <f>+'Phụ lục 7-HĐND'!AA37</f>
        <v>441700</v>
      </c>
    </row>
    <row r="41" spans="1:3">
      <c r="A41" s="1926">
        <v>2</v>
      </c>
      <c r="B41" s="1927" t="s">
        <v>3136</v>
      </c>
      <c r="C41" s="5032">
        <f>+'Phụ lục 7-HĐND'!AA38</f>
        <v>179744</v>
      </c>
    </row>
    <row r="42" spans="1:3">
      <c r="A42" s="1926">
        <v>3</v>
      </c>
      <c r="B42" s="4968" t="s">
        <v>3206</v>
      </c>
      <c r="C42" s="5032">
        <f>+'Phụ lục 7-HĐND'!AA39</f>
        <v>115399.87899999999</v>
      </c>
    </row>
    <row r="43" spans="1:3" s="380" customFormat="1" thickBot="1">
      <c r="A43" s="4539" t="s">
        <v>215</v>
      </c>
      <c r="B43" s="5042" t="s">
        <v>1721</v>
      </c>
      <c r="C43" s="5043">
        <f>+'Phụ lục 7-HĐND'!AA40</f>
        <v>20039</v>
      </c>
    </row>
    <row r="44" spans="1:3" ht="18.600000000000001" thickTop="1">
      <c r="A44" s="2914"/>
      <c r="B44" s="2914" t="s">
        <v>809</v>
      </c>
      <c r="C44" s="2915"/>
    </row>
    <row r="46" spans="1:3">
      <c r="A46" s="6744" t="s">
        <v>1717</v>
      </c>
      <c r="B46" s="6744"/>
      <c r="C46" s="6744"/>
    </row>
    <row r="47" spans="1:3" ht="39.75" customHeight="1">
      <c r="A47" s="6759" t="str">
        <f>+'H. CAO LÃNH'!A47:C47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1.25" customHeight="1">
      <c r="A48" s="6759" t="str">
        <f>+'H.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1">
      <c r="A49" s="381" t="str">
        <f>+'H. CAO LÃNH'!A49</f>
        <v>(4): Các khoản thu phân chia theo tỷ lệ (%) giữa ngân sách cấp Tỉnh và ngân sách cấp huyện</v>
      </c>
    </row>
    <row r="50" spans="1:1">
      <c r="A50" s="381" t="str">
        <f>+'H. CAO LÃNH'!A50</f>
        <v>(5): Chi tiết thu bổ sung có mục tiêu theo Phụ lục số III</v>
      </c>
    </row>
    <row r="65" spans="1:3">
      <c r="A65" s="6281" t="str">
        <f>+'H. CAO LÃNH'!A66:C66</f>
        <v>PHỤ LỤC II</v>
      </c>
      <c r="B65" s="6281"/>
      <c r="C65" s="6281"/>
    </row>
    <row r="66" spans="1:3">
      <c r="A66" s="6281" t="str">
        <f>+'H. CAO LÃNH'!A67:C67</f>
        <v>NHIỆM VỤ CHI NGÂN SÁCH HUYỆN, THÀNH PHỐ NĂM 2025</v>
      </c>
      <c r="B66" s="6281"/>
      <c r="C66" s="6281"/>
    </row>
    <row r="67" spans="1:3">
      <c r="A67" s="6281" t="str">
        <f>A3</f>
        <v>HUYỆN THÁP MƯỜI</v>
      </c>
      <c r="B67" s="6281"/>
      <c r="C67" s="6281"/>
    </row>
    <row r="68" spans="1:3">
      <c r="A68" s="6498" t="str">
        <f>A4</f>
        <v>(Kèm theo Quyết định số        /QĐ-UBND-HC ngày      /12/2024 của Uỷ ban nhân dân tỉnh Đồng Tháp)</v>
      </c>
      <c r="B68" s="6498"/>
      <c r="C68" s="6498"/>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CAO LÃNH'!B64</f>
        <v>Nội dung</v>
      </c>
      <c r="C71" s="4543" t="str">
        <f>C7</f>
        <v>Dự toán năm 2025</v>
      </c>
    </row>
    <row r="72" spans="1:3" s="386" customFormat="1" ht="17.399999999999999">
      <c r="A72" s="5049"/>
      <c r="B72" s="693" t="str">
        <f>'[2]H. CAO LÃNH'!B65</f>
        <v>Tổng chi (I+II+III+IV)</v>
      </c>
      <c r="C72" s="5080">
        <f>C73+C77+C81+C82+C83</f>
        <v>1015582.879</v>
      </c>
    </row>
    <row r="73" spans="1:3" s="386" customFormat="1" ht="17.399999999999999">
      <c r="A73" s="5050" t="s">
        <v>3</v>
      </c>
      <c r="B73" s="2910" t="str">
        <f>'[2]H. CAO LÃNH'!B66</f>
        <v>Chi đầu tư phát triển (1)</v>
      </c>
      <c r="C73" s="5054">
        <f>SUM(C75:C76)</f>
        <v>130000</v>
      </c>
    </row>
    <row r="74" spans="1:3">
      <c r="A74" s="5051"/>
      <c r="B74" s="2916" t="str">
        <f>'[2]H. CAO LÃNH'!B67</f>
        <v>Bao gồm:</v>
      </c>
      <c r="C74" s="5032"/>
    </row>
    <row r="75" spans="1:3">
      <c r="A75" s="5052">
        <v>1</v>
      </c>
      <c r="B75" s="2917" t="str">
        <f>'[2]H. CAO LÃNH'!B68</f>
        <v>Chi đầu tư xây dựng cơ bản</v>
      </c>
      <c r="C75" s="5032">
        <f>+'Phụ lục 8-HĐND'!K9</f>
        <v>40000</v>
      </c>
    </row>
    <row r="76" spans="1:3">
      <c r="A76" s="5052">
        <v>2</v>
      </c>
      <c r="B76" s="2917" t="str">
        <f>'[2]H. CAO LÃNH'!B69</f>
        <v>Chi đầu tư từ nguồn thu tiền sử dụng đất</v>
      </c>
      <c r="C76" s="5032">
        <f>+'Phụ lục 8-HĐND'!K10</f>
        <v>90000</v>
      </c>
    </row>
    <row r="77" spans="1:3" s="386" customFormat="1" ht="17.399999999999999">
      <c r="A77" s="5050" t="s">
        <v>33</v>
      </c>
      <c r="B77" s="2910" t="str">
        <f>'[2]H. CAO LÃNH'!B70</f>
        <v>Chi thường xuyên (2)</v>
      </c>
      <c r="C77" s="5054">
        <f>+'Phụ lục 8-HĐND'!K11</f>
        <v>838525.81847331277</v>
      </c>
    </row>
    <row r="78" spans="1:3">
      <c r="A78" s="5053"/>
      <c r="B78" s="2907" t="str">
        <f>'[2]H. CAO LÃNH'!B71</f>
        <v>Bao gồm:</v>
      </c>
      <c r="C78" s="5032"/>
    </row>
    <row r="79" spans="1:3">
      <c r="A79" s="5052">
        <v>1</v>
      </c>
      <c r="B79" s="2909" t="str">
        <f>'[2]H. CAO LÃNH'!B72</f>
        <v>Sự nghiệp giáo dục - đào tạo (3)</v>
      </c>
      <c r="C79" s="5032">
        <f>+'Phụ lục 8-HĐND'!K13</f>
        <v>455069.2</v>
      </c>
    </row>
    <row r="80" spans="1:3">
      <c r="A80" s="5052">
        <v>2</v>
      </c>
      <c r="B80" s="2909" t="str">
        <f>'[2]H. CAO LÃNH'!B73</f>
        <v>Các khoản chi thường xuyên còn lại</v>
      </c>
      <c r="C80" s="5032">
        <f>+'Phụ lục 8-HĐND'!K14</f>
        <v>383456.61847331276</v>
      </c>
    </row>
    <row r="81" spans="1:3" s="386" customFormat="1" ht="17.399999999999999">
      <c r="A81" s="5050" t="s">
        <v>182</v>
      </c>
      <c r="B81" s="2910" t="str">
        <f>'[2]H. CAO LÃNH'!B74</f>
        <v>Dự phòng ngân sách</v>
      </c>
      <c r="C81" s="5054">
        <f>+'Phụ lục 8-HĐND'!K15</f>
        <v>18131.05</v>
      </c>
    </row>
    <row r="82" spans="1:3" s="386" customFormat="1" ht="17.399999999999999">
      <c r="A82" s="5050" t="s">
        <v>215</v>
      </c>
      <c r="B82" s="2910" t="str">
        <f>'[2]H. CAO LÃNH'!B75</f>
        <v>Chi tạo nguồn cải cách tiền lương</v>
      </c>
      <c r="C82" s="5054">
        <f>+'Phụ lục 8-HĐND'!K16</f>
        <v>0</v>
      </c>
    </row>
    <row r="83" spans="1:3" s="386" customFormat="1" ht="17.399999999999999">
      <c r="A83" s="5073" t="s">
        <v>718</v>
      </c>
      <c r="B83" s="701" t="str">
        <f>'[2]H. CAO LÃNH'!B76</f>
        <v>Chi từ nguồn ngân sách cấp Tỉnh bổ sung có mục tiêu</v>
      </c>
      <c r="C83" s="5054">
        <f>SUM(C84:C88)</f>
        <v>28926.010526687096</v>
      </c>
    </row>
    <row r="84" spans="1:3">
      <c r="A84" s="5055" t="s">
        <v>29</v>
      </c>
      <c r="B84" s="704" t="str">
        <f>+'H. CAO LÃNH'!B85</f>
        <v>Chi đầu tư xây dựng cơ bản</v>
      </c>
      <c r="C84" s="5032">
        <f>+'Phụ lục 8-HĐND'!K18</f>
        <v>0</v>
      </c>
    </row>
    <row r="85" spans="1:3">
      <c r="A85" s="5055" t="s">
        <v>29</v>
      </c>
      <c r="B85" s="704" t="str">
        <f>+'H. CAO LÃNH'!B86</f>
        <v>Chi đầu tư từ nguồn xổ số kiến thiết</v>
      </c>
      <c r="C85" s="5032">
        <f>+'Phụ lục 8-HĐND'!K19</f>
        <v>0</v>
      </c>
    </row>
    <row r="86" spans="1:3">
      <c r="A86" s="5055" t="s">
        <v>29</v>
      </c>
      <c r="B86" s="2901" t="str">
        <f>+'H. CAO LÃNH'!B87</f>
        <v>Chi từ nguồn ngân sách trung ương bổ sung có mục tiêu (kinh phí biên chế giáo viên tăng thêm)</v>
      </c>
      <c r="C86" s="5032">
        <f>+'Phụ lục 8-HĐND'!K20</f>
        <v>1123</v>
      </c>
    </row>
    <row r="87" spans="1:3">
      <c r="A87" s="5056" t="s">
        <v>29</v>
      </c>
      <c r="B87" s="2901" t="str">
        <f>+'H. CAO LÃNH'!B88</f>
        <v>Chi từ nguồn ngân sách trung ương bổ sung có mục tiêu (kinh phí hỗ trợ địa phương sản xuất lúa năm 2025)</v>
      </c>
      <c r="C87" s="5032">
        <f>+'Phụ lục 8-HĐND'!K21</f>
        <v>16500</v>
      </c>
    </row>
    <row r="88" spans="1:3" ht="18.600000000000001" thickBot="1">
      <c r="A88" s="5057"/>
      <c r="B88" s="5891" t="str">
        <f>+'H. CAO LÃNH'!B89</f>
        <v>Chi từ nguồn ngân sách trung ương bổ sung có mục tiêu (chính sách an sinh xã hội năm 2025)</v>
      </c>
      <c r="C88" s="5059">
        <f>+'Phụ lục 8-HĐND'!K22</f>
        <v>11303.010526687096</v>
      </c>
    </row>
    <row r="89" spans="1:3" ht="18.600000000000001" thickTop="1"/>
    <row r="90" spans="1:3">
      <c r="A90" s="588" t="s">
        <v>1717</v>
      </c>
      <c r="B90" s="2903"/>
    </row>
    <row r="91" spans="1:3">
      <c r="A91" s="6761" t="s">
        <v>1828</v>
      </c>
      <c r="B91" s="6762"/>
      <c r="C91" s="6762"/>
    </row>
    <row r="92" spans="1:3" ht="57" customHeight="1">
      <c r="A92" s="6772" t="str">
        <f>+'H. CAO LÃNH'!A93:C93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69"/>
      <c r="C92" s="6769"/>
    </row>
    <row r="93" spans="1:3" ht="35.25" customHeight="1">
      <c r="A93" s="6769" t="str">
        <f>+'H. CAO LÃNH'!A94:C94</f>
        <v>- Chưa bao gồm chi đầu tư từ nguồn vốn do ngân sách cấp tỉnh quản lý và phân bổ bổ sung có mục tiêu cho ngân sách huyện, thành phố</v>
      </c>
      <c r="B93" s="6769"/>
      <c r="C93" s="6769"/>
    </row>
    <row r="94" spans="1:3">
      <c r="A94" s="6764" t="s">
        <v>1829</v>
      </c>
      <c r="B94" s="6764"/>
      <c r="C94" s="6764"/>
    </row>
    <row r="95" spans="1:3">
      <c r="A95" s="6769" t="str">
        <f>+'H. CAO LÃNH'!A96:C96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69"/>
      <c r="C95" s="6769"/>
    </row>
    <row r="96" spans="1:3" s="433" customFormat="1" ht="39.75" customHeight="1">
      <c r="A96" s="6770" t="str">
        <f>+'H. CAO LÃNH'!A97:C97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0"/>
      <c r="C96" s="6770"/>
    </row>
    <row r="97" spans="1:3">
      <c r="A97" s="381" t="str">
        <f>+'H. CAO LÃNH'!A98</f>
        <v xml:space="preserve">- Bao gồm 10% tiết kiệm tăng thêm năm 2025 so với năm 2024 để thực hiện cải cách tiền lương năm 2025 là: </v>
      </c>
      <c r="C97" s="2912" t="s">
        <v>3275</v>
      </c>
    </row>
    <row r="98" spans="1:3" s="2704" customFormat="1" ht="17.399999999999999">
      <c r="A98" s="2704" t="str">
        <f>'[2]H. CAO LÃNH'!A91</f>
        <v>(3): Trong đó:</v>
      </c>
    </row>
    <row r="99" spans="1:3" s="2705" customFormat="1" ht="61.5" customHeight="1">
      <c r="A99" s="6769" t="str">
        <f>+'H. CAO LÃNH'!A100:C100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69"/>
      <c r="C99" s="6769"/>
    </row>
    <row r="125" spans="1:3">
      <c r="A125" s="6281" t="str">
        <f>+'H. CAO LÃNH'!A123:C123</f>
        <v>PHỤ LỤC III</v>
      </c>
      <c r="B125" s="6281"/>
      <c r="C125" s="6281"/>
    </row>
    <row r="126" spans="1:3">
      <c r="A126" s="6281" t="str">
        <f>+'H. CAO LÃNH'!A124:C124</f>
        <v>CHI TỪ NGUỒN NGÂN SÁCH CẤP TỈNH BỔ SUNG CÓ MỤC TIÊU NĂM 2025</v>
      </c>
      <c r="B126" s="6281"/>
      <c r="C126" s="6281"/>
    </row>
    <row r="127" spans="1:3">
      <c r="A127" s="6281" t="str">
        <f>A67</f>
        <v>HUYỆN THÁP MƯỜI</v>
      </c>
      <c r="B127" s="6281"/>
      <c r="C127" s="6281"/>
    </row>
    <row r="128" spans="1:3">
      <c r="A128" s="6496" t="str">
        <f>+A68</f>
        <v>(Kèm theo Quyết định số        /QĐ-UBND-HC ngày      /12/2024 của Uỷ ban nhân dân tỉnh Đồng Tháp)</v>
      </c>
      <c r="B128" s="6496"/>
      <c r="C128" s="6496"/>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115399.879</v>
      </c>
      <c r="E132" s="667">
        <f>+C42-C132</f>
        <v>0</v>
      </c>
    </row>
    <row r="133" spans="1:5" ht="36">
      <c r="A133" s="593">
        <v>1</v>
      </c>
      <c r="B133" s="5022" t="s">
        <v>805</v>
      </c>
      <c r="C133" s="4538">
        <f>+'Phụ lục số 8.1'!BT14</f>
        <v>38241.72</v>
      </c>
    </row>
    <row r="134" spans="1:5">
      <c r="A134" s="593">
        <v>2</v>
      </c>
      <c r="B134" s="5022" t="str">
        <f>+'H. CAO LÃNH'!B132</f>
        <v>Kinh phí hỗ trợ địa phương sản xuất lúa</v>
      </c>
      <c r="C134" s="4538">
        <f>+'Phụ lục số 8.1'!BT15</f>
        <v>50500</v>
      </c>
    </row>
    <row r="135" spans="1:5">
      <c r="A135" s="593">
        <v>3</v>
      </c>
      <c r="B135" s="5022" t="str">
        <f>+'H. CAO LÃNH'!B133</f>
        <v>Kinh phí biên chế giáo viên tăng thêm</v>
      </c>
      <c r="C135" s="4538">
        <f>+'Phụ lục số 8.1'!BT18</f>
        <v>1123</v>
      </c>
    </row>
    <row r="136" spans="1:5" ht="36">
      <c r="A136" s="593">
        <v>4</v>
      </c>
      <c r="B136" s="2525" t="s">
        <v>1608</v>
      </c>
      <c r="C136" s="4538">
        <f>+'Phụ lục số 8.3-CĐCS'!DW13+'Phụ lục số 8.3-CĐCS'!DW14</f>
        <v>113.6</v>
      </c>
    </row>
    <row r="137" spans="1:5">
      <c r="A137" s="593">
        <v>5</v>
      </c>
      <c r="B137" s="2525" t="s">
        <v>3197</v>
      </c>
      <c r="C137" s="5018">
        <v>0</v>
      </c>
    </row>
    <row r="138" spans="1:5" ht="36">
      <c r="A138" s="593">
        <v>6</v>
      </c>
      <c r="B138" s="2525" t="s">
        <v>3198</v>
      </c>
      <c r="C138" s="5018">
        <v>0</v>
      </c>
    </row>
    <row r="139" spans="1:5" ht="36">
      <c r="A139" s="593">
        <v>7</v>
      </c>
      <c r="B139" s="2525" t="s">
        <v>3199</v>
      </c>
      <c r="C139" s="5018">
        <f>+'Phụ lục số 8.3-CĐCS'!DW17+'Phụ lục số 8.3-CĐCS'!DW18</f>
        <v>20853</v>
      </c>
    </row>
    <row r="140" spans="1:5" ht="36">
      <c r="A140" s="593">
        <v>8</v>
      </c>
      <c r="B140" s="2525" t="s">
        <v>1093</v>
      </c>
      <c r="C140" s="5017">
        <v>0</v>
      </c>
    </row>
    <row r="141" spans="1:5" ht="36">
      <c r="A141" s="593">
        <v>9</v>
      </c>
      <c r="B141" s="5012" t="s">
        <v>3156</v>
      </c>
      <c r="C141" s="5018">
        <f>+'Phụ lục số 8.1'!BT20</f>
        <v>956.31</v>
      </c>
    </row>
    <row r="142" spans="1:5">
      <c r="A142" s="593">
        <v>10</v>
      </c>
      <c r="B142" s="5013" t="s">
        <v>1510</v>
      </c>
      <c r="C142" s="5018"/>
    </row>
    <row r="143" spans="1:5">
      <c r="A143" s="593">
        <v>11</v>
      </c>
      <c r="B143" s="5013" t="str">
        <f>+'H. CAO LÃNH'!B141</f>
        <v>Kinh phí thực hiện hỗ trợ đào tạo nghề trình độ sơ cấp và đào tạo dưới 03 tháng năm 2025</v>
      </c>
      <c r="C143" s="5018"/>
    </row>
    <row r="144" spans="1:5" ht="18.600000000000001" thickBot="1">
      <c r="A144" s="5019">
        <v>12</v>
      </c>
      <c r="B144" s="5020" t="str">
        <f>+'H. CAO LÃNH'!B142</f>
        <v>Kinh phí tổ chức đại hội Đảng nhiệm kỳ 2025 - 2030</v>
      </c>
      <c r="C144" s="5021">
        <f>+'Phụ lục số 8.1'!BT16</f>
        <v>3612.2489999999998</v>
      </c>
    </row>
    <row r="145" ht="18.600000000000001" thickTop="1"/>
  </sheetData>
  <mergeCells count="22">
    <mergeCell ref="A125:C125"/>
    <mergeCell ref="A126:C126"/>
    <mergeCell ref="A127:C127"/>
    <mergeCell ref="A128:C128"/>
    <mergeCell ref="A92:C92"/>
    <mergeCell ref="A93:C93"/>
    <mergeCell ref="A94:C94"/>
    <mergeCell ref="A95:C95"/>
    <mergeCell ref="A96:C96"/>
    <mergeCell ref="A99:C99"/>
    <mergeCell ref="A91:C91"/>
    <mergeCell ref="A1:C1"/>
    <mergeCell ref="A2:C2"/>
    <mergeCell ref="A3:C3"/>
    <mergeCell ref="A4:C4"/>
    <mergeCell ref="A46:C46"/>
    <mergeCell ref="A47:C47"/>
    <mergeCell ref="A48:C48"/>
    <mergeCell ref="A65:C65"/>
    <mergeCell ref="A66:C66"/>
    <mergeCell ref="A67:C67"/>
    <mergeCell ref="A68:C68"/>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&amp;C&amp;"Times New Roman,Regular"&amp;10&amp;P/&amp;N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sheetPr>
  <dimension ref="A1:W87"/>
  <sheetViews>
    <sheetView workbookViewId="0">
      <selection activeCell="A5" sqref="A5:A9"/>
    </sheetView>
  </sheetViews>
  <sheetFormatPr defaultColWidth="10.33203125" defaultRowHeight="15.6"/>
  <cols>
    <col min="1" max="1" width="4.44140625" style="1271" customWidth="1"/>
    <col min="2" max="2" width="66" style="1235" customWidth="1"/>
    <col min="3" max="3" width="8.6640625" style="1233" customWidth="1"/>
    <col min="4" max="4" width="8.6640625" style="1234" customWidth="1"/>
    <col min="5" max="7" width="8.6640625" style="1235" customWidth="1"/>
    <col min="8" max="8" width="8.6640625" style="1272" customWidth="1"/>
    <col min="9" max="13" width="8.6640625" style="1235" customWidth="1"/>
    <col min="14" max="14" width="8.6640625" style="1233" customWidth="1"/>
    <col min="15" max="15" width="8.6640625" style="1234" customWidth="1"/>
    <col min="16" max="18" width="8.6640625" style="1235" customWidth="1"/>
    <col min="19" max="19" width="14.33203125" style="1235" hidden="1" customWidth="1"/>
    <col min="20" max="20" width="13.5546875" style="1235" hidden="1" customWidth="1"/>
    <col min="21" max="21" width="31.33203125" style="1235" hidden="1" customWidth="1"/>
    <col min="22" max="22" width="29.6640625" style="1235" hidden="1" customWidth="1"/>
    <col min="23" max="23" width="26.5546875" style="1235" customWidth="1"/>
    <col min="24" max="16384" width="10.33203125" style="1235"/>
  </cols>
  <sheetData>
    <row r="1" spans="1:23">
      <c r="A1" s="6152" t="str">
        <f>'[4]1k'!A1:B1</f>
        <v>ỦY BAN NHÂN DÂN TỈNH ĐỒNG THÁP</v>
      </c>
      <c r="B1" s="6152"/>
      <c r="C1" s="1232"/>
      <c r="D1" s="1232"/>
      <c r="E1" s="1232"/>
      <c r="F1" s="1232"/>
      <c r="G1" s="1232"/>
      <c r="H1" s="1232"/>
      <c r="I1" s="1232"/>
      <c r="J1" s="1232"/>
      <c r="K1" s="1232"/>
      <c r="L1" s="1232"/>
      <c r="M1" s="1232"/>
      <c r="Q1" s="6167"/>
      <c r="R1" s="6167"/>
      <c r="S1" s="6168"/>
      <c r="T1" s="6168"/>
      <c r="U1" s="6168"/>
    </row>
    <row r="2" spans="1:23">
      <c r="A2" s="6168" t="s">
        <v>1375</v>
      </c>
      <c r="B2" s="6168"/>
      <c r="C2" s="6168"/>
      <c r="D2" s="6168"/>
      <c r="E2" s="6168"/>
      <c r="F2" s="6168"/>
      <c r="G2" s="6168"/>
      <c r="H2" s="6168"/>
      <c r="I2" s="6168"/>
      <c r="J2" s="6168"/>
      <c r="K2" s="6168"/>
      <c r="L2" s="6168"/>
      <c r="M2" s="6168"/>
      <c r="N2" s="6168"/>
      <c r="O2" s="6168"/>
      <c r="P2" s="6168"/>
      <c r="Q2" s="6168"/>
      <c r="R2" s="6168"/>
      <c r="S2" s="6168"/>
      <c r="T2" s="6168"/>
      <c r="U2" s="1236"/>
    </row>
    <row r="3" spans="1:23">
      <c r="A3" s="6170"/>
      <c r="B3" s="6170"/>
      <c r="C3" s="6170"/>
      <c r="D3" s="6170"/>
      <c r="E3" s="6170"/>
      <c r="F3" s="6170"/>
      <c r="G3" s="6170"/>
      <c r="H3" s="6170"/>
      <c r="I3" s="6170"/>
      <c r="J3" s="6170"/>
      <c r="K3" s="6170"/>
      <c r="L3" s="6170"/>
      <c r="M3" s="6170"/>
      <c r="N3" s="6170"/>
      <c r="O3" s="6170"/>
      <c r="P3" s="6170"/>
      <c r="Q3" s="6170"/>
      <c r="R3" s="6170"/>
      <c r="S3" s="1236"/>
      <c r="T3" s="1236"/>
      <c r="U3" s="1236"/>
    </row>
    <row r="4" spans="1:23" ht="18.75" customHeight="1">
      <c r="A4" s="6169" t="s">
        <v>1121</v>
      </c>
      <c r="B4" s="6169"/>
      <c r="C4" s="6169"/>
      <c r="D4" s="6169"/>
      <c r="E4" s="6169"/>
      <c r="F4" s="6169"/>
      <c r="G4" s="6169"/>
      <c r="H4" s="6169"/>
      <c r="I4" s="6169"/>
      <c r="J4" s="6169"/>
      <c r="K4" s="6169"/>
      <c r="L4" s="6169"/>
      <c r="M4" s="6169"/>
      <c r="N4" s="6169"/>
      <c r="O4" s="6169"/>
      <c r="P4" s="6169"/>
      <c r="Q4" s="6169"/>
      <c r="R4" s="6169"/>
      <c r="S4" s="6169"/>
      <c r="T4" s="6169"/>
      <c r="U4" s="1236"/>
    </row>
    <row r="5" spans="1:23" ht="21" customHeight="1">
      <c r="A5" s="6156" t="s">
        <v>247</v>
      </c>
      <c r="B5" s="6157" t="s">
        <v>1201</v>
      </c>
      <c r="C5" s="6164" t="s">
        <v>1202</v>
      </c>
      <c r="D5" s="6164"/>
      <c r="E5" s="6164"/>
      <c r="F5" s="6164"/>
      <c r="G5" s="6164"/>
      <c r="H5" s="6164"/>
      <c r="I5" s="6164"/>
      <c r="J5" s="6164"/>
      <c r="K5" s="6164"/>
      <c r="L5" s="6164"/>
      <c r="M5" s="6164"/>
      <c r="N5" s="6158" t="s">
        <v>1122</v>
      </c>
      <c r="O5" s="6159"/>
      <c r="P5" s="6159"/>
      <c r="Q5" s="6159"/>
      <c r="R5" s="6160"/>
      <c r="S5" s="1369"/>
      <c r="T5" s="1369"/>
      <c r="U5" s="1237"/>
    </row>
    <row r="6" spans="1:23" ht="45" customHeight="1">
      <c r="A6" s="6156"/>
      <c r="B6" s="6157"/>
      <c r="C6" s="6161" t="s">
        <v>1203</v>
      </c>
      <c r="D6" s="6162" t="s">
        <v>1204</v>
      </c>
      <c r="E6" s="6163" t="s">
        <v>1205</v>
      </c>
      <c r="F6" s="6163"/>
      <c r="G6" s="6163"/>
      <c r="H6" s="6163" t="s">
        <v>978</v>
      </c>
      <c r="I6" s="6163"/>
      <c r="J6" s="6163"/>
      <c r="K6" s="6161" t="s">
        <v>1124</v>
      </c>
      <c r="L6" s="6132" t="s">
        <v>996</v>
      </c>
      <c r="M6" s="6132" t="s">
        <v>1125</v>
      </c>
      <c r="N6" s="6161" t="s">
        <v>1203</v>
      </c>
      <c r="O6" s="6163" t="s">
        <v>1206</v>
      </c>
      <c r="P6" s="6163"/>
      <c r="Q6" s="6163"/>
      <c r="R6" s="6161" t="s">
        <v>1124</v>
      </c>
      <c r="S6" s="6132" t="s">
        <v>1165</v>
      </c>
      <c r="T6" s="6132" t="s">
        <v>1125</v>
      </c>
      <c r="U6" s="6165" t="s">
        <v>861</v>
      </c>
    </row>
    <row r="7" spans="1:23" ht="15.75" customHeight="1">
      <c r="A7" s="6156"/>
      <c r="B7" s="6157"/>
      <c r="C7" s="6161"/>
      <c r="D7" s="6162"/>
      <c r="E7" s="6161" t="s">
        <v>1207</v>
      </c>
      <c r="F7" s="6161" t="s">
        <v>1208</v>
      </c>
      <c r="G7" s="6161" t="s">
        <v>1209</v>
      </c>
      <c r="H7" s="6166" t="s">
        <v>1207</v>
      </c>
      <c r="I7" s="6161" t="s">
        <v>1208</v>
      </c>
      <c r="J7" s="6161" t="s">
        <v>1209</v>
      </c>
      <c r="K7" s="6161"/>
      <c r="L7" s="6132"/>
      <c r="M7" s="6132"/>
      <c r="N7" s="6161"/>
      <c r="O7" s="6162" t="s">
        <v>1204</v>
      </c>
      <c r="P7" s="6161" t="s">
        <v>1207</v>
      </c>
      <c r="Q7" s="6161" t="s">
        <v>1208</v>
      </c>
      <c r="R7" s="6161"/>
      <c r="S7" s="6132"/>
      <c r="T7" s="6132"/>
      <c r="U7" s="6165"/>
    </row>
    <row r="8" spans="1:23" ht="12.75" customHeight="1">
      <c r="A8" s="6156"/>
      <c r="B8" s="6157"/>
      <c r="C8" s="6161"/>
      <c r="D8" s="6162"/>
      <c r="E8" s="6161"/>
      <c r="F8" s="6161"/>
      <c r="G8" s="6161"/>
      <c r="H8" s="6166"/>
      <c r="I8" s="6161"/>
      <c r="J8" s="6161"/>
      <c r="K8" s="6161"/>
      <c r="L8" s="6132"/>
      <c r="M8" s="6132"/>
      <c r="N8" s="6161"/>
      <c r="O8" s="6162"/>
      <c r="P8" s="6161"/>
      <c r="Q8" s="6161"/>
      <c r="R8" s="6161"/>
      <c r="S8" s="6132"/>
      <c r="T8" s="6132"/>
      <c r="U8" s="6165"/>
    </row>
    <row r="9" spans="1:23" s="1238" customFormat="1" ht="87" customHeight="1">
      <c r="A9" s="6156"/>
      <c r="B9" s="6157"/>
      <c r="C9" s="6161"/>
      <c r="D9" s="6162"/>
      <c r="E9" s="6161"/>
      <c r="F9" s="6161"/>
      <c r="G9" s="6161"/>
      <c r="H9" s="6166"/>
      <c r="I9" s="6161"/>
      <c r="J9" s="6161"/>
      <c r="K9" s="6161"/>
      <c r="L9" s="6132"/>
      <c r="M9" s="6132"/>
      <c r="N9" s="6161"/>
      <c r="O9" s="6162"/>
      <c r="P9" s="6161"/>
      <c r="Q9" s="6161"/>
      <c r="R9" s="6161"/>
      <c r="S9" s="6132"/>
      <c r="T9" s="6132"/>
      <c r="U9" s="6165"/>
    </row>
    <row r="10" spans="1:23" s="1236" customFormat="1" ht="16.5" customHeight="1">
      <c r="A10" s="1360" t="s">
        <v>1</v>
      </c>
      <c r="B10" s="1360" t="s">
        <v>37</v>
      </c>
      <c r="C10" s="1361">
        <v>1</v>
      </c>
      <c r="D10" s="1361">
        <v>2</v>
      </c>
      <c r="E10" s="1362">
        <v>3</v>
      </c>
      <c r="F10" s="1362" t="s">
        <v>1210</v>
      </c>
      <c r="G10" s="1368" t="s">
        <v>1211</v>
      </c>
      <c r="H10" s="1362">
        <v>6</v>
      </c>
      <c r="I10" s="1362" t="s">
        <v>1212</v>
      </c>
      <c r="J10" s="1368" t="s">
        <v>1213</v>
      </c>
      <c r="K10" s="1362" t="s">
        <v>1214</v>
      </c>
      <c r="L10" s="1363">
        <v>10</v>
      </c>
      <c r="M10" s="1363" t="s">
        <v>1195</v>
      </c>
      <c r="N10" s="1361">
        <v>1</v>
      </c>
      <c r="O10" s="1361">
        <v>2</v>
      </c>
      <c r="P10" s="1362">
        <v>3</v>
      </c>
      <c r="Q10" s="1362">
        <v>4</v>
      </c>
      <c r="R10" s="1364" t="s">
        <v>1215</v>
      </c>
      <c r="S10" s="1363">
        <v>6</v>
      </c>
      <c r="T10" s="1365" t="s">
        <v>1216</v>
      </c>
      <c r="U10" s="1366"/>
      <c r="W10" s="1367"/>
    </row>
    <row r="11" spans="1:23" s="1238" customFormat="1">
      <c r="A11" s="1239"/>
      <c r="B11" s="1239" t="s">
        <v>1217</v>
      </c>
      <c r="C11" s="1370">
        <f>C12+C82</f>
        <v>88257</v>
      </c>
      <c r="D11" s="1370"/>
      <c r="E11" s="1370"/>
      <c r="F11" s="1370"/>
      <c r="G11" s="1370">
        <f>G12+G82</f>
        <v>292076.12</v>
      </c>
      <c r="H11" s="1370"/>
      <c r="I11" s="1370"/>
      <c r="J11" s="1370">
        <f>J12+J82</f>
        <v>405958.5</v>
      </c>
      <c r="K11" s="1370">
        <f>G11+J11</f>
        <v>698034.62</v>
      </c>
      <c r="L11" s="1371">
        <v>507981.60000000003</v>
      </c>
      <c r="M11" s="1370">
        <f>K11-L11</f>
        <v>190053.01999999996</v>
      </c>
      <c r="N11" s="1370">
        <f>N12+N82</f>
        <v>88257</v>
      </c>
      <c r="O11" s="1370"/>
      <c r="P11" s="1370"/>
      <c r="Q11" s="1370"/>
      <c r="R11" s="1370">
        <f>R12+R82</f>
        <v>772923</v>
      </c>
      <c r="S11" s="1240"/>
      <c r="T11" s="1241"/>
      <c r="U11" s="1242"/>
      <c r="V11" s="1243"/>
      <c r="W11" s="1244"/>
    </row>
    <row r="12" spans="1:23" s="1238" customFormat="1">
      <c r="A12" s="1245"/>
      <c r="B12" s="1245" t="s">
        <v>1218</v>
      </c>
      <c r="C12" s="1372">
        <f t="shared" ref="C12:J12" si="0">C13+C47+C67</f>
        <v>84417</v>
      </c>
      <c r="D12" s="1372">
        <f t="shared" si="0"/>
        <v>0</v>
      </c>
      <c r="E12" s="1372">
        <f t="shared" si="0"/>
        <v>0</v>
      </c>
      <c r="F12" s="1372">
        <f t="shared" si="0"/>
        <v>0</v>
      </c>
      <c r="G12" s="1372">
        <f t="shared" si="0"/>
        <v>264428.12</v>
      </c>
      <c r="H12" s="1372">
        <f t="shared" si="0"/>
        <v>0</v>
      </c>
      <c r="I12" s="1372">
        <f t="shared" si="0"/>
        <v>0</v>
      </c>
      <c r="J12" s="1372">
        <f t="shared" si="0"/>
        <v>367558.5</v>
      </c>
      <c r="K12" s="1372">
        <f t="shared" ref="K12:K72" si="1">G12+J12</f>
        <v>631986.62</v>
      </c>
      <c r="L12" s="1372"/>
      <c r="M12" s="1372"/>
      <c r="N12" s="1372">
        <f>N13+N47+N67</f>
        <v>84417</v>
      </c>
      <c r="O12" s="1372">
        <f>O13+O47+O67</f>
        <v>0</v>
      </c>
      <c r="P12" s="1372">
        <f>P13+P47+P67</f>
        <v>0</v>
      </c>
      <c r="Q12" s="1372">
        <f>Q13+Q47+Q67</f>
        <v>0</v>
      </c>
      <c r="R12" s="1372">
        <f>R13+R47+R67</f>
        <v>734523</v>
      </c>
      <c r="S12" s="1246"/>
      <c r="T12" s="1246"/>
      <c r="U12" s="1247"/>
      <c r="W12" s="1248"/>
    </row>
    <row r="13" spans="1:23" s="1238" customFormat="1">
      <c r="A13" s="1245" t="s">
        <v>3</v>
      </c>
      <c r="B13" s="1249" t="s">
        <v>1219</v>
      </c>
      <c r="C13" s="1372">
        <f>C14+C17+C19+C23+C30+C37+C46</f>
        <v>80978</v>
      </c>
      <c r="D13" s="1372"/>
      <c r="E13" s="1372"/>
      <c r="F13" s="1372"/>
      <c r="G13" s="1372">
        <f>G14+G17+G19+G23+G30+G37+G46</f>
        <v>255641.24</v>
      </c>
      <c r="H13" s="1372"/>
      <c r="I13" s="1372"/>
      <c r="J13" s="1372">
        <f t="shared" ref="J13" si="2">J14+J17+J19+J23+J30+J37+J46</f>
        <v>355354.5</v>
      </c>
      <c r="K13" s="1372">
        <f t="shared" si="1"/>
        <v>610995.74</v>
      </c>
      <c r="L13" s="1372"/>
      <c r="M13" s="1372"/>
      <c r="N13" s="1372">
        <f>SUM(N14,N17,N19,N23,N30,N37,N46)</f>
        <v>80978</v>
      </c>
      <c r="O13" s="1372"/>
      <c r="P13" s="1372"/>
      <c r="Q13" s="1372"/>
      <c r="R13" s="1372">
        <f>SUM(R14,R17,R19,R23,R30,R37,R46)</f>
        <v>710115</v>
      </c>
      <c r="S13" s="1246">
        <f>SUM(S14,S17,S19,S23,S30,S37,S46)</f>
        <v>0</v>
      </c>
      <c r="T13" s="1246">
        <f>SUM(T14,T17,T19,T23,T30,T37,T46)</f>
        <v>0</v>
      </c>
      <c r="U13" s="1247"/>
    </row>
    <row r="14" spans="1:23" s="1238" customFormat="1">
      <c r="A14" s="1245">
        <v>1</v>
      </c>
      <c r="B14" s="1249" t="s">
        <v>1220</v>
      </c>
      <c r="C14" s="1372">
        <f>C15+C16</f>
        <v>352</v>
      </c>
      <c r="D14" s="1372"/>
      <c r="E14" s="1372"/>
      <c r="F14" s="1372"/>
      <c r="G14" s="1372">
        <f t="shared" ref="G14:J14" si="3">G15+G16</f>
        <v>1181.52</v>
      </c>
      <c r="H14" s="1372"/>
      <c r="I14" s="1372"/>
      <c r="J14" s="1372">
        <f t="shared" si="3"/>
        <v>1641</v>
      </c>
      <c r="K14" s="1372">
        <f t="shared" si="1"/>
        <v>2822.52</v>
      </c>
      <c r="L14" s="1514"/>
      <c r="M14" s="1514"/>
      <c r="N14" s="1372">
        <f t="shared" ref="N14:R14" si="4">N15+N16</f>
        <v>352</v>
      </c>
      <c r="O14" s="1372"/>
      <c r="P14" s="1372"/>
      <c r="Q14" s="1372"/>
      <c r="R14" s="1372">
        <f t="shared" si="4"/>
        <v>3282</v>
      </c>
      <c r="S14" s="1250"/>
      <c r="T14" s="1250"/>
      <c r="U14" s="1250"/>
      <c r="V14" s="1238" t="s">
        <v>1221</v>
      </c>
    </row>
    <row r="15" spans="1:23" s="1238" customFormat="1">
      <c r="A15" s="1245"/>
      <c r="B15" s="1251" t="s">
        <v>1222</v>
      </c>
      <c r="C15" s="1373">
        <v>19</v>
      </c>
      <c r="D15" s="1373">
        <v>2.5</v>
      </c>
      <c r="E15" s="1373">
        <v>360</v>
      </c>
      <c r="F15" s="1373">
        <f>D15*E15/1000*6</f>
        <v>5.4</v>
      </c>
      <c r="G15" s="1373">
        <f>C15*F15</f>
        <v>102.60000000000001</v>
      </c>
      <c r="H15" s="1373">
        <v>500</v>
      </c>
      <c r="I15" s="1373">
        <f>D15*H15/1000*6</f>
        <v>7.5</v>
      </c>
      <c r="J15" s="1373">
        <f>C15*I15</f>
        <v>142.5</v>
      </c>
      <c r="K15" s="1372">
        <f t="shared" si="1"/>
        <v>245.10000000000002</v>
      </c>
      <c r="L15" s="1514"/>
      <c r="M15" s="1514"/>
      <c r="N15" s="1373">
        <v>19</v>
      </c>
      <c r="O15" s="1373">
        <v>2.5</v>
      </c>
      <c r="P15" s="1373">
        <v>500</v>
      </c>
      <c r="Q15" s="1373">
        <f>O15*P15/1000*12</f>
        <v>15</v>
      </c>
      <c r="R15" s="1373">
        <f t="shared" ref="R15:R78" si="5">N15*Q15</f>
        <v>285</v>
      </c>
      <c r="S15" s="1253"/>
      <c r="T15" s="1253"/>
      <c r="U15" s="1250"/>
    </row>
    <row r="16" spans="1:23">
      <c r="A16" s="1254"/>
      <c r="B16" s="1251" t="s">
        <v>1223</v>
      </c>
      <c r="C16" s="1373">
        <v>333</v>
      </c>
      <c r="D16" s="1373">
        <v>1.5</v>
      </c>
      <c r="E16" s="1373">
        <f>E15</f>
        <v>360</v>
      </c>
      <c r="F16" s="1373">
        <f>D16*E16/1000*6</f>
        <v>3.24</v>
      </c>
      <c r="G16" s="1373">
        <f>C16*F16</f>
        <v>1078.92</v>
      </c>
      <c r="H16" s="1373">
        <f>$H$15</f>
        <v>500</v>
      </c>
      <c r="I16" s="1373">
        <f>D16*H16/1000*6</f>
        <v>4.5</v>
      </c>
      <c r="J16" s="1373">
        <f>C16*I16</f>
        <v>1498.5</v>
      </c>
      <c r="K16" s="1372">
        <f t="shared" si="1"/>
        <v>2577.42</v>
      </c>
      <c r="L16" s="1514"/>
      <c r="M16" s="1514"/>
      <c r="N16" s="1373">
        <v>333</v>
      </c>
      <c r="O16" s="1373">
        <v>1.5</v>
      </c>
      <c r="P16" s="1373">
        <f>P15</f>
        <v>500</v>
      </c>
      <c r="Q16" s="1373">
        <f>O16*P16/1000*12</f>
        <v>9</v>
      </c>
      <c r="R16" s="1373">
        <f t="shared" si="5"/>
        <v>2997</v>
      </c>
      <c r="S16" s="1253"/>
      <c r="T16" s="1253"/>
      <c r="U16" s="1250"/>
    </row>
    <row r="17" spans="1:23" ht="46.8">
      <c r="A17" s="1245">
        <v>2</v>
      </c>
      <c r="B17" s="1249" t="s">
        <v>1224</v>
      </c>
      <c r="C17" s="1372">
        <f>C18</f>
        <v>59</v>
      </c>
      <c r="D17" s="1372"/>
      <c r="E17" s="1372"/>
      <c r="F17" s="1372"/>
      <c r="G17" s="1372">
        <f t="shared" ref="G17:J17" si="6">G18</f>
        <v>191.16000000000003</v>
      </c>
      <c r="H17" s="1372"/>
      <c r="I17" s="1372"/>
      <c r="J17" s="1372">
        <f t="shared" si="6"/>
        <v>265.5</v>
      </c>
      <c r="K17" s="1372">
        <f t="shared" si="1"/>
        <v>456.66</v>
      </c>
      <c r="L17" s="1514"/>
      <c r="M17" s="1514"/>
      <c r="N17" s="1372">
        <v>59</v>
      </c>
      <c r="O17" s="1373">
        <v>1.5</v>
      </c>
      <c r="P17" s="1373">
        <f>P15</f>
        <v>500</v>
      </c>
      <c r="Q17" s="1373">
        <f>O17*P17/1000*12</f>
        <v>9</v>
      </c>
      <c r="R17" s="1372">
        <f t="shared" si="5"/>
        <v>531</v>
      </c>
      <c r="S17" s="1253"/>
      <c r="T17" s="1253"/>
      <c r="U17" s="1250"/>
      <c r="V17" s="1238" t="s">
        <v>1225</v>
      </c>
      <c r="W17" s="1380"/>
    </row>
    <row r="18" spans="1:23">
      <c r="A18" s="1245"/>
      <c r="B18" s="1251" t="s">
        <v>1226</v>
      </c>
      <c r="C18" s="1373">
        <v>59</v>
      </c>
      <c r="D18" s="1373">
        <v>1.5</v>
      </c>
      <c r="E18" s="1373">
        <f>E16</f>
        <v>360</v>
      </c>
      <c r="F18" s="1373">
        <f>D18*E18/1000*6</f>
        <v>3.24</v>
      </c>
      <c r="G18" s="1373">
        <f>C18*F18</f>
        <v>191.16000000000003</v>
      </c>
      <c r="H18" s="1373">
        <v>500</v>
      </c>
      <c r="I18" s="1373">
        <f>D18*H18/1000*6</f>
        <v>4.5</v>
      </c>
      <c r="J18" s="1373">
        <f>C18*I18</f>
        <v>265.5</v>
      </c>
      <c r="K18" s="1372">
        <f t="shared" si="1"/>
        <v>456.66</v>
      </c>
      <c r="L18" s="1514"/>
      <c r="M18" s="1514"/>
      <c r="N18" s="1373"/>
      <c r="O18" s="1373">
        <v>1.5</v>
      </c>
      <c r="P18" s="1373">
        <f>P16</f>
        <v>500</v>
      </c>
      <c r="Q18" s="1373"/>
      <c r="R18" s="1373">
        <f t="shared" si="5"/>
        <v>0</v>
      </c>
      <c r="S18" s="1253"/>
      <c r="T18" s="1253"/>
      <c r="U18" s="1250"/>
    </row>
    <row r="19" spans="1:23" s="1238" customFormat="1" ht="62.4">
      <c r="A19" s="1245">
        <v>3</v>
      </c>
      <c r="B19" s="1249" t="s">
        <v>1227</v>
      </c>
      <c r="C19" s="1372">
        <f>C20+C21+C22</f>
        <v>99</v>
      </c>
      <c r="D19" s="1372"/>
      <c r="E19" s="1372"/>
      <c r="F19" s="1372"/>
      <c r="G19" s="1372">
        <f t="shared" ref="G19:J19" si="7">G20+G21+G22</f>
        <v>333.72</v>
      </c>
      <c r="H19" s="1372"/>
      <c r="I19" s="1372"/>
      <c r="J19" s="1372">
        <f t="shared" si="7"/>
        <v>463.5</v>
      </c>
      <c r="K19" s="1372">
        <f t="shared" si="1"/>
        <v>797.22</v>
      </c>
      <c r="L19" s="1514"/>
      <c r="M19" s="1514"/>
      <c r="N19" s="1372">
        <f t="shared" ref="N19:R19" si="8">N20+N21+N22</f>
        <v>99</v>
      </c>
      <c r="O19" s="1372"/>
      <c r="P19" s="1372"/>
      <c r="Q19" s="1372"/>
      <c r="R19" s="1372">
        <f t="shared" si="8"/>
        <v>927</v>
      </c>
      <c r="S19" s="1253"/>
      <c r="T19" s="1253"/>
      <c r="U19" s="1250"/>
      <c r="V19" s="1238" t="s">
        <v>1228</v>
      </c>
    </row>
    <row r="20" spans="1:23">
      <c r="A20" s="1254"/>
      <c r="B20" s="1251" t="s">
        <v>1222</v>
      </c>
      <c r="C20" s="1373">
        <v>1</v>
      </c>
      <c r="D20" s="1373">
        <v>2.5</v>
      </c>
      <c r="E20" s="1373">
        <f>$E$18</f>
        <v>360</v>
      </c>
      <c r="F20" s="1373">
        <f>D20*E20/1000*6</f>
        <v>5.4</v>
      </c>
      <c r="G20" s="1373">
        <f>C20*F20</f>
        <v>5.4</v>
      </c>
      <c r="H20" s="1373">
        <f t="shared" ref="H20:H22" si="9">$H$15</f>
        <v>500</v>
      </c>
      <c r="I20" s="1373">
        <f>D20*H20/1000*6</f>
        <v>7.5</v>
      </c>
      <c r="J20" s="1373">
        <f>C20*I20</f>
        <v>7.5</v>
      </c>
      <c r="K20" s="1372">
        <f t="shared" si="1"/>
        <v>12.9</v>
      </c>
      <c r="L20" s="1514"/>
      <c r="M20" s="1514"/>
      <c r="N20" s="1373">
        <v>1</v>
      </c>
      <c r="O20" s="1373">
        <v>2.5</v>
      </c>
      <c r="P20" s="1373">
        <f>$P$18</f>
        <v>500</v>
      </c>
      <c r="Q20" s="1373">
        <f>O20*P20/1000*12</f>
        <v>15</v>
      </c>
      <c r="R20" s="1373">
        <f t="shared" si="5"/>
        <v>15</v>
      </c>
      <c r="S20" s="1253"/>
      <c r="T20" s="1253"/>
      <c r="U20" s="1250"/>
    </row>
    <row r="21" spans="1:23">
      <c r="A21" s="1254"/>
      <c r="B21" s="1251" t="s">
        <v>1229</v>
      </c>
      <c r="C21" s="1373">
        <v>10</v>
      </c>
      <c r="D21" s="1373">
        <v>2</v>
      </c>
      <c r="E21" s="1373">
        <f>$E$18</f>
        <v>360</v>
      </c>
      <c r="F21" s="1373">
        <f>D21*E21/1000*6</f>
        <v>4.32</v>
      </c>
      <c r="G21" s="1373">
        <f>C21*F21</f>
        <v>43.2</v>
      </c>
      <c r="H21" s="1373">
        <f t="shared" si="9"/>
        <v>500</v>
      </c>
      <c r="I21" s="1373">
        <f>D21*H21/1000*6</f>
        <v>6</v>
      </c>
      <c r="J21" s="1373">
        <f>C21*I21</f>
        <v>60</v>
      </c>
      <c r="K21" s="1372">
        <f t="shared" si="1"/>
        <v>103.2</v>
      </c>
      <c r="L21" s="1514"/>
      <c r="M21" s="1514"/>
      <c r="N21" s="1373">
        <v>10</v>
      </c>
      <c r="O21" s="1373">
        <v>2</v>
      </c>
      <c r="P21" s="1373">
        <f>$P$18</f>
        <v>500</v>
      </c>
      <c r="Q21" s="1373">
        <f>O21*P21/1000*12</f>
        <v>12</v>
      </c>
      <c r="R21" s="1373">
        <f t="shared" si="5"/>
        <v>120</v>
      </c>
      <c r="S21" s="1253"/>
      <c r="T21" s="1253"/>
      <c r="U21" s="1250"/>
    </row>
    <row r="22" spans="1:23" s="1238" customFormat="1">
      <c r="A22" s="1254"/>
      <c r="B22" s="1251" t="s">
        <v>1230</v>
      </c>
      <c r="C22" s="1373">
        <v>88</v>
      </c>
      <c r="D22" s="1373">
        <v>1.5</v>
      </c>
      <c r="E22" s="1373">
        <f>$E$18</f>
        <v>360</v>
      </c>
      <c r="F22" s="1373">
        <f>D22*E22/1000*6</f>
        <v>3.24</v>
      </c>
      <c r="G22" s="1373">
        <f>C22*F22</f>
        <v>285.12</v>
      </c>
      <c r="H22" s="1373">
        <f t="shared" si="9"/>
        <v>500</v>
      </c>
      <c r="I22" s="1373">
        <f>D22*H22/1000*6</f>
        <v>4.5</v>
      </c>
      <c r="J22" s="1373">
        <f>C22*I22</f>
        <v>396</v>
      </c>
      <c r="K22" s="1372">
        <f t="shared" si="1"/>
        <v>681.12</v>
      </c>
      <c r="L22" s="1514"/>
      <c r="M22" s="1514"/>
      <c r="N22" s="1373">
        <v>88</v>
      </c>
      <c r="O22" s="1373">
        <v>1.5</v>
      </c>
      <c r="P22" s="1373">
        <f>$P$18</f>
        <v>500</v>
      </c>
      <c r="Q22" s="1373">
        <f>O22*P22/1000*12</f>
        <v>9</v>
      </c>
      <c r="R22" s="1373">
        <f t="shared" si="5"/>
        <v>792</v>
      </c>
      <c r="S22" s="1253"/>
      <c r="T22" s="1253"/>
      <c r="U22" s="1250"/>
      <c r="V22" s="1238" t="s">
        <v>1231</v>
      </c>
    </row>
    <row r="23" spans="1:23" ht="62.4">
      <c r="A23" s="1245">
        <v>4</v>
      </c>
      <c r="B23" s="1249" t="s">
        <v>1232</v>
      </c>
      <c r="C23" s="1372">
        <f>C24+C25+C26+C27+C28+C29</f>
        <v>468</v>
      </c>
      <c r="D23" s="1372"/>
      <c r="E23" s="1372"/>
      <c r="F23" s="1372"/>
      <c r="G23" s="1372">
        <f t="shared" ref="G23:J23" si="10">G24+G25+G26+G27+G28+G29</f>
        <v>1546.5600000000002</v>
      </c>
      <c r="H23" s="1372"/>
      <c r="I23" s="1372"/>
      <c r="J23" s="1372">
        <f t="shared" si="10"/>
        <v>2148</v>
      </c>
      <c r="K23" s="1372">
        <f t="shared" si="1"/>
        <v>3694.5600000000004</v>
      </c>
      <c r="L23" s="1514"/>
      <c r="M23" s="1514"/>
      <c r="N23" s="1372">
        <f t="shared" ref="N23:R23" si="11">N24+N25+N26+N27+N28+N29</f>
        <v>468</v>
      </c>
      <c r="O23" s="1372"/>
      <c r="P23" s="1372"/>
      <c r="Q23" s="1372"/>
      <c r="R23" s="1372">
        <f t="shared" si="11"/>
        <v>4296</v>
      </c>
      <c r="S23" s="1253"/>
      <c r="T23" s="1253"/>
      <c r="U23" s="1250"/>
      <c r="V23" s="1238" t="s">
        <v>1233</v>
      </c>
      <c r="W23" s="1380" t="s">
        <v>1234</v>
      </c>
    </row>
    <row r="24" spans="1:23">
      <c r="A24" s="1254"/>
      <c r="B24" s="1251" t="s">
        <v>1235</v>
      </c>
      <c r="C24" s="1373">
        <v>238</v>
      </c>
      <c r="D24" s="1373">
        <v>1</v>
      </c>
      <c r="E24" s="1373">
        <f t="shared" ref="E24:E29" si="12">$E$18</f>
        <v>360</v>
      </c>
      <c r="F24" s="1373">
        <f t="shared" ref="F24:F29" si="13">D24*E24/1000*6</f>
        <v>2.16</v>
      </c>
      <c r="G24" s="1373">
        <f t="shared" ref="G24:G29" si="14">C24*F24</f>
        <v>514.08000000000004</v>
      </c>
      <c r="H24" s="1373">
        <f t="shared" ref="H24:H25" si="15">$H$15</f>
        <v>500</v>
      </c>
      <c r="I24" s="1373">
        <f t="shared" ref="I24:I29" si="16">D24*H24/1000*6</f>
        <v>3</v>
      </c>
      <c r="J24" s="1373">
        <f t="shared" ref="J24:J29" si="17">C24*I24</f>
        <v>714</v>
      </c>
      <c r="K24" s="1372">
        <f t="shared" si="1"/>
        <v>1228.08</v>
      </c>
      <c r="L24" s="1514"/>
      <c r="M24" s="1514"/>
      <c r="N24" s="1373">
        <v>238</v>
      </c>
      <c r="O24" s="1373">
        <v>1</v>
      </c>
      <c r="P24" s="1373">
        <f t="shared" ref="P24:P29" si="18">$P$18</f>
        <v>500</v>
      </c>
      <c r="Q24" s="1373">
        <f>O24*P24/1000*12</f>
        <v>6</v>
      </c>
      <c r="R24" s="1373">
        <f>N24*Q24</f>
        <v>1428</v>
      </c>
      <c r="S24" s="1253"/>
      <c r="T24" s="1253"/>
      <c r="U24" s="1250"/>
    </row>
    <row r="25" spans="1:23">
      <c r="A25" s="1254"/>
      <c r="B25" s="1251" t="s">
        <v>1236</v>
      </c>
      <c r="C25" s="1373">
        <v>220</v>
      </c>
      <c r="D25" s="1373">
        <v>2</v>
      </c>
      <c r="E25" s="1373">
        <f t="shared" si="12"/>
        <v>360</v>
      </c>
      <c r="F25" s="1373">
        <f t="shared" si="13"/>
        <v>4.32</v>
      </c>
      <c r="G25" s="1373">
        <f t="shared" si="14"/>
        <v>950.40000000000009</v>
      </c>
      <c r="H25" s="1373">
        <f t="shared" si="15"/>
        <v>500</v>
      </c>
      <c r="I25" s="1373">
        <f t="shared" si="16"/>
        <v>6</v>
      </c>
      <c r="J25" s="1373">
        <f t="shared" si="17"/>
        <v>1320</v>
      </c>
      <c r="K25" s="1372">
        <f t="shared" si="1"/>
        <v>2270.4</v>
      </c>
      <c r="L25" s="1514"/>
      <c r="M25" s="1514"/>
      <c r="N25" s="1373">
        <v>220</v>
      </c>
      <c r="O25" s="1373">
        <v>2</v>
      </c>
      <c r="P25" s="1373">
        <f t="shared" si="18"/>
        <v>500</v>
      </c>
      <c r="Q25" s="1373">
        <f>O25*P25/1000*12</f>
        <v>12</v>
      </c>
      <c r="R25" s="1373">
        <f t="shared" si="5"/>
        <v>2640</v>
      </c>
      <c r="S25" s="1253"/>
      <c r="T25" s="1253"/>
      <c r="U25" s="1250"/>
    </row>
    <row r="26" spans="1:23" s="1258" customFormat="1">
      <c r="A26" s="1255"/>
      <c r="B26" s="1251" t="s">
        <v>1237</v>
      </c>
      <c r="C26" s="1373">
        <v>6</v>
      </c>
      <c r="D26" s="1373">
        <v>3</v>
      </c>
      <c r="E26" s="1373">
        <f t="shared" si="12"/>
        <v>360</v>
      </c>
      <c r="F26" s="1373">
        <f t="shared" si="13"/>
        <v>6.48</v>
      </c>
      <c r="G26" s="1373">
        <f t="shared" si="14"/>
        <v>38.880000000000003</v>
      </c>
      <c r="H26" s="1373">
        <v>500</v>
      </c>
      <c r="I26" s="1373">
        <f t="shared" si="16"/>
        <v>9</v>
      </c>
      <c r="J26" s="1373">
        <f t="shared" si="17"/>
        <v>54</v>
      </c>
      <c r="K26" s="1372">
        <f t="shared" si="1"/>
        <v>92.88</v>
      </c>
      <c r="L26" s="1515"/>
      <c r="M26" s="1515"/>
      <c r="N26" s="1373">
        <v>6</v>
      </c>
      <c r="O26" s="1373">
        <v>3</v>
      </c>
      <c r="P26" s="1373">
        <f t="shared" si="18"/>
        <v>500</v>
      </c>
      <c r="Q26" s="1373">
        <f>O26*P26/1000*12</f>
        <v>18</v>
      </c>
      <c r="R26" s="1373">
        <f>N26*Q26</f>
        <v>108</v>
      </c>
      <c r="S26" s="1256"/>
      <c r="T26" s="1256"/>
      <c r="U26" s="1257"/>
    </row>
    <row r="27" spans="1:23" s="1258" customFormat="1">
      <c r="A27" s="1255"/>
      <c r="B27" s="1251" t="s">
        <v>1238</v>
      </c>
      <c r="C27" s="1372">
        <v>1</v>
      </c>
      <c r="D27" s="1373">
        <v>4</v>
      </c>
      <c r="E27" s="1373">
        <f t="shared" si="12"/>
        <v>360</v>
      </c>
      <c r="F27" s="1373">
        <f t="shared" si="13"/>
        <v>8.64</v>
      </c>
      <c r="G27" s="1373">
        <f t="shared" si="14"/>
        <v>8.64</v>
      </c>
      <c r="H27" s="1373">
        <v>500</v>
      </c>
      <c r="I27" s="1373">
        <f t="shared" si="16"/>
        <v>12</v>
      </c>
      <c r="J27" s="1373">
        <f t="shared" si="17"/>
        <v>12</v>
      </c>
      <c r="K27" s="1372">
        <f t="shared" si="1"/>
        <v>20.64</v>
      </c>
      <c r="L27" s="1514"/>
      <c r="M27" s="1514"/>
      <c r="N27" s="1373">
        <v>1</v>
      </c>
      <c r="O27" s="1373">
        <v>4</v>
      </c>
      <c r="P27" s="1373">
        <f t="shared" si="18"/>
        <v>500</v>
      </c>
      <c r="Q27" s="1373">
        <f>O27*P27/1000*12</f>
        <v>24</v>
      </c>
      <c r="R27" s="1373">
        <f>N27*Q27</f>
        <v>24</v>
      </c>
      <c r="S27" s="1256"/>
      <c r="T27" s="1256"/>
      <c r="U27" s="1257"/>
    </row>
    <row r="28" spans="1:23" s="1258" customFormat="1">
      <c r="A28" s="1255"/>
      <c r="B28" s="1251" t="s">
        <v>1239</v>
      </c>
      <c r="C28" s="1372">
        <v>2</v>
      </c>
      <c r="D28" s="1373">
        <f>2.5/0.5</f>
        <v>5</v>
      </c>
      <c r="E28" s="1373">
        <f t="shared" si="12"/>
        <v>360</v>
      </c>
      <c r="F28" s="1373">
        <f t="shared" si="13"/>
        <v>10.8</v>
      </c>
      <c r="G28" s="1373">
        <f t="shared" si="14"/>
        <v>21.6</v>
      </c>
      <c r="H28" s="1373">
        <v>500</v>
      </c>
      <c r="I28" s="1373">
        <f t="shared" si="16"/>
        <v>15</v>
      </c>
      <c r="J28" s="1373">
        <f t="shared" si="17"/>
        <v>30</v>
      </c>
      <c r="K28" s="1372">
        <f t="shared" si="1"/>
        <v>51.6</v>
      </c>
      <c r="L28" s="1514"/>
      <c r="M28" s="1514"/>
      <c r="N28" s="1373">
        <v>2</v>
      </c>
      <c r="O28" s="1373">
        <f>2.5/0.5</f>
        <v>5</v>
      </c>
      <c r="P28" s="1373">
        <f t="shared" si="18"/>
        <v>500</v>
      </c>
      <c r="Q28" s="1373">
        <f t="shared" ref="Q28:Q29" si="19">O28*P28/1000*12</f>
        <v>30</v>
      </c>
      <c r="R28" s="1373">
        <f>N28*Q28</f>
        <v>60</v>
      </c>
      <c r="S28" s="1256"/>
      <c r="T28" s="1256"/>
      <c r="U28" s="1257"/>
    </row>
    <row r="29" spans="1:23" s="1258" customFormat="1">
      <c r="A29" s="1255"/>
      <c r="B29" s="1251" t="s">
        <v>1240</v>
      </c>
      <c r="C29" s="1373">
        <v>1</v>
      </c>
      <c r="D29" s="1373">
        <f>3/0.5</f>
        <v>6</v>
      </c>
      <c r="E29" s="1373">
        <f t="shared" si="12"/>
        <v>360</v>
      </c>
      <c r="F29" s="1373">
        <f t="shared" si="13"/>
        <v>12.96</v>
      </c>
      <c r="G29" s="1373">
        <f t="shared" si="14"/>
        <v>12.96</v>
      </c>
      <c r="H29" s="1373">
        <f t="shared" ref="H29:H33" si="20">$H$15</f>
        <v>500</v>
      </c>
      <c r="I29" s="1373">
        <f t="shared" si="16"/>
        <v>18</v>
      </c>
      <c r="J29" s="1373">
        <f t="shared" si="17"/>
        <v>18</v>
      </c>
      <c r="K29" s="1372">
        <f t="shared" si="1"/>
        <v>30.96</v>
      </c>
      <c r="L29" s="1514"/>
      <c r="M29" s="1514"/>
      <c r="N29" s="1373">
        <v>1</v>
      </c>
      <c r="O29" s="1373">
        <f>3/0.5</f>
        <v>6</v>
      </c>
      <c r="P29" s="1373">
        <f t="shared" si="18"/>
        <v>500</v>
      </c>
      <c r="Q29" s="1373">
        <f t="shared" si="19"/>
        <v>36</v>
      </c>
      <c r="R29" s="1373">
        <f>N29*Q29</f>
        <v>36</v>
      </c>
      <c r="S29" s="1256"/>
      <c r="T29" s="1256"/>
      <c r="U29" s="1257"/>
    </row>
    <row r="30" spans="1:23">
      <c r="A30" s="1245">
        <v>5</v>
      </c>
      <c r="B30" s="1249" t="s">
        <v>1241</v>
      </c>
      <c r="C30" s="1373">
        <f>C31+C34+C35+C36</f>
        <v>30231</v>
      </c>
      <c r="D30" s="1373"/>
      <c r="E30" s="1373"/>
      <c r="F30" s="1373"/>
      <c r="G30" s="1373">
        <f t="shared" ref="G30:J30" si="21">G31+G34+G35+G36</f>
        <v>67390.92</v>
      </c>
      <c r="H30" s="1373"/>
      <c r="I30" s="1373"/>
      <c r="J30" s="1373">
        <f t="shared" si="21"/>
        <v>93598.5</v>
      </c>
      <c r="K30" s="1372">
        <f t="shared" si="1"/>
        <v>160989.41999999998</v>
      </c>
      <c r="L30" s="1514"/>
      <c r="M30" s="1514"/>
      <c r="N30" s="1372">
        <f t="shared" ref="N30:R30" si="22">N31+N34+N35+N36</f>
        <v>30231</v>
      </c>
      <c r="O30" s="1372"/>
      <c r="P30" s="1372"/>
      <c r="Q30" s="1372"/>
      <c r="R30" s="1372">
        <f t="shared" si="22"/>
        <v>187197</v>
      </c>
      <c r="S30" s="1253"/>
      <c r="T30" s="1253"/>
      <c r="U30" s="1250"/>
      <c r="V30" s="1238" t="s">
        <v>1242</v>
      </c>
    </row>
    <row r="31" spans="1:23" s="1238" customFormat="1" ht="46.8">
      <c r="A31" s="1245" t="s">
        <v>1243</v>
      </c>
      <c r="B31" s="1249" t="s">
        <v>1244</v>
      </c>
      <c r="C31" s="1372">
        <f>C32+C33</f>
        <v>1092</v>
      </c>
      <c r="D31" s="1372"/>
      <c r="E31" s="1372"/>
      <c r="F31" s="1372"/>
      <c r="G31" s="1372">
        <f t="shared" ref="G31:J31" si="23">G32+G33</f>
        <v>4001.4000000000005</v>
      </c>
      <c r="H31" s="1372"/>
      <c r="I31" s="1372"/>
      <c r="J31" s="1372">
        <f t="shared" si="23"/>
        <v>5557.5</v>
      </c>
      <c r="K31" s="1372">
        <f t="shared" si="1"/>
        <v>9558.9000000000015</v>
      </c>
      <c r="L31" s="1514"/>
      <c r="M31" s="1514"/>
      <c r="N31" s="1372">
        <f t="shared" ref="N31:R31" si="24">N32+N33</f>
        <v>1092</v>
      </c>
      <c r="O31" s="1372"/>
      <c r="P31" s="1372"/>
      <c r="Q31" s="1372"/>
      <c r="R31" s="1372">
        <f t="shared" si="24"/>
        <v>11115</v>
      </c>
      <c r="S31" s="1253"/>
      <c r="T31" s="1253"/>
      <c r="U31" s="1250"/>
      <c r="V31" s="1238" t="s">
        <v>1245</v>
      </c>
    </row>
    <row r="32" spans="1:23">
      <c r="A32" s="1254"/>
      <c r="B32" s="1251" t="s">
        <v>1246</v>
      </c>
      <c r="C32" s="1373">
        <v>663</v>
      </c>
      <c r="D32" s="1373">
        <v>1.5</v>
      </c>
      <c r="E32" s="1373">
        <f>$E$18</f>
        <v>360</v>
      </c>
      <c r="F32" s="1373">
        <f>D32*E32/1000*6</f>
        <v>3.24</v>
      </c>
      <c r="G32" s="1373">
        <f>C32*F32</f>
        <v>2148.1200000000003</v>
      </c>
      <c r="H32" s="1373">
        <f t="shared" si="20"/>
        <v>500</v>
      </c>
      <c r="I32" s="1373">
        <f>D32*H32/1000*6</f>
        <v>4.5</v>
      </c>
      <c r="J32" s="1373">
        <f>C32*I32</f>
        <v>2983.5</v>
      </c>
      <c r="K32" s="1372">
        <f t="shared" si="1"/>
        <v>5131.6200000000008</v>
      </c>
      <c r="L32" s="1514"/>
      <c r="M32" s="1514"/>
      <c r="N32" s="1373">
        <v>663</v>
      </c>
      <c r="O32" s="1373">
        <v>1.5</v>
      </c>
      <c r="P32" s="1373">
        <f>$P$18</f>
        <v>500</v>
      </c>
      <c r="Q32" s="1373">
        <f>O32*P32/1000*12</f>
        <v>9</v>
      </c>
      <c r="R32" s="1373">
        <f t="shared" si="5"/>
        <v>5967</v>
      </c>
      <c r="S32" s="1253"/>
      <c r="T32" s="1253"/>
      <c r="U32" s="1250"/>
      <c r="V32" s="1235" t="s">
        <v>117</v>
      </c>
    </row>
    <row r="33" spans="1:22">
      <c r="A33" s="1254"/>
      <c r="B33" s="1251" t="s">
        <v>1247</v>
      </c>
      <c r="C33" s="1373">
        <v>429</v>
      </c>
      <c r="D33" s="1373">
        <v>2</v>
      </c>
      <c r="E33" s="1373">
        <f>$E$18</f>
        <v>360</v>
      </c>
      <c r="F33" s="1373">
        <f>D33*E33/1000*6</f>
        <v>4.32</v>
      </c>
      <c r="G33" s="1373">
        <f>C33*F33</f>
        <v>1853.2800000000002</v>
      </c>
      <c r="H33" s="1373">
        <f t="shared" si="20"/>
        <v>500</v>
      </c>
      <c r="I33" s="1373">
        <f>D33*H33/1000*6</f>
        <v>6</v>
      </c>
      <c r="J33" s="1373">
        <f>C33*I33</f>
        <v>2574</v>
      </c>
      <c r="K33" s="1372">
        <f t="shared" si="1"/>
        <v>4427.2800000000007</v>
      </c>
      <c r="L33" s="1514"/>
      <c r="M33" s="1514"/>
      <c r="N33" s="1373">
        <v>429</v>
      </c>
      <c r="O33" s="1373">
        <v>2</v>
      </c>
      <c r="P33" s="1373">
        <f>$P$18</f>
        <v>500</v>
      </c>
      <c r="Q33" s="1373">
        <f>O33*P33/1000*12</f>
        <v>12</v>
      </c>
      <c r="R33" s="1373">
        <f t="shared" si="5"/>
        <v>5148</v>
      </c>
      <c r="S33" s="1253"/>
      <c r="T33" s="1253"/>
      <c r="U33" s="1250"/>
    </row>
    <row r="34" spans="1:22" ht="46.8">
      <c r="A34" s="1245" t="s">
        <v>1248</v>
      </c>
      <c r="B34" s="1249" t="s">
        <v>1249</v>
      </c>
      <c r="C34" s="1372">
        <v>29035</v>
      </c>
      <c r="D34" s="1373">
        <v>1</v>
      </c>
      <c r="E34" s="1373">
        <f>$E$18</f>
        <v>360</v>
      </c>
      <c r="F34" s="1373">
        <f>D34*E34/1000*6</f>
        <v>2.16</v>
      </c>
      <c r="G34" s="1373">
        <f>C34*F34</f>
        <v>62715.600000000006</v>
      </c>
      <c r="H34" s="1373">
        <v>500</v>
      </c>
      <c r="I34" s="1373">
        <f>D34*H34/1000*6</f>
        <v>3</v>
      </c>
      <c r="J34" s="1373">
        <f>C34*I34</f>
        <v>87105</v>
      </c>
      <c r="K34" s="1372">
        <f t="shared" si="1"/>
        <v>149820.6</v>
      </c>
      <c r="L34" s="1514"/>
      <c r="M34" s="1514"/>
      <c r="N34" s="1373">
        <v>29035</v>
      </c>
      <c r="O34" s="1373">
        <v>1</v>
      </c>
      <c r="P34" s="1373">
        <f>$P$18</f>
        <v>500</v>
      </c>
      <c r="Q34" s="1373">
        <f>O34*P34/1000*12</f>
        <v>6</v>
      </c>
      <c r="R34" s="1373">
        <f t="shared" si="5"/>
        <v>174210</v>
      </c>
      <c r="S34" s="1253"/>
      <c r="T34" s="1253"/>
      <c r="U34" s="1250"/>
    </row>
    <row r="35" spans="1:22" ht="46.8">
      <c r="A35" s="1245" t="s">
        <v>1250</v>
      </c>
      <c r="B35" s="1249" t="s">
        <v>1251</v>
      </c>
      <c r="C35" s="1372"/>
      <c r="D35" s="1373">
        <v>1</v>
      </c>
      <c r="E35" s="1373">
        <v>360</v>
      </c>
      <c r="F35" s="1373">
        <f>D35*E35/1000*6</f>
        <v>2.16</v>
      </c>
      <c r="G35" s="1373">
        <f>C35*F35</f>
        <v>0</v>
      </c>
      <c r="H35" s="1373">
        <v>500</v>
      </c>
      <c r="I35" s="1373">
        <f>D35*H35/1000*6</f>
        <v>3</v>
      </c>
      <c r="J35" s="1373">
        <f>C35*I35</f>
        <v>0</v>
      </c>
      <c r="K35" s="1372">
        <f t="shared" si="1"/>
        <v>0</v>
      </c>
      <c r="L35" s="1514"/>
      <c r="M35" s="1514"/>
      <c r="N35" s="1372"/>
      <c r="O35" s="1373">
        <v>1</v>
      </c>
      <c r="P35" s="1373">
        <f>$P$18</f>
        <v>500</v>
      </c>
      <c r="Q35" s="1373">
        <f>O35*P35/1000*12</f>
        <v>6</v>
      </c>
      <c r="R35" s="1373">
        <f t="shared" si="5"/>
        <v>0</v>
      </c>
      <c r="S35" s="1253"/>
      <c r="T35" s="1253"/>
      <c r="U35" s="1250"/>
    </row>
    <row r="36" spans="1:22" ht="62.4">
      <c r="A36" s="1245" t="s">
        <v>1252</v>
      </c>
      <c r="B36" s="1249" t="s">
        <v>1253</v>
      </c>
      <c r="C36" s="1373">
        <v>104</v>
      </c>
      <c r="D36" s="1373">
        <v>3</v>
      </c>
      <c r="E36" s="1373">
        <v>360</v>
      </c>
      <c r="F36" s="1373">
        <f>D36*E36/1000*6</f>
        <v>6.48</v>
      </c>
      <c r="G36" s="1373">
        <f>C36*F36</f>
        <v>673.92000000000007</v>
      </c>
      <c r="H36" s="1373">
        <v>500</v>
      </c>
      <c r="I36" s="1373">
        <f>D36*H36/1000*6</f>
        <v>9</v>
      </c>
      <c r="J36" s="1373">
        <f>C36*I36</f>
        <v>936</v>
      </c>
      <c r="K36" s="1372">
        <f t="shared" si="1"/>
        <v>1609.92</v>
      </c>
      <c r="L36" s="1514"/>
      <c r="M36" s="1514"/>
      <c r="N36" s="1372">
        <v>104</v>
      </c>
      <c r="O36" s="1373">
        <v>3</v>
      </c>
      <c r="P36" s="1373">
        <f>$P$18</f>
        <v>500</v>
      </c>
      <c r="Q36" s="1373">
        <f>O36*P36/1000*12</f>
        <v>18</v>
      </c>
      <c r="R36" s="1373">
        <f t="shared" si="5"/>
        <v>1872</v>
      </c>
      <c r="S36" s="1253"/>
      <c r="T36" s="1253"/>
      <c r="U36" s="1250"/>
    </row>
    <row r="37" spans="1:22" s="1238" customFormat="1" ht="31.2">
      <c r="A37" s="1245">
        <v>6</v>
      </c>
      <c r="B37" s="1249" t="s">
        <v>1254</v>
      </c>
      <c r="C37" s="1372">
        <f>C38+C42</f>
        <v>40887</v>
      </c>
      <c r="D37" s="1372">
        <f t="shared" ref="D37:J37" si="25">D38+D42</f>
        <v>0</v>
      </c>
      <c r="E37" s="1372">
        <f t="shared" si="25"/>
        <v>0</v>
      </c>
      <c r="F37" s="1372">
        <f t="shared" si="25"/>
        <v>0</v>
      </c>
      <c r="G37" s="1372">
        <f t="shared" si="25"/>
        <v>164367.35999999999</v>
      </c>
      <c r="H37" s="1372">
        <f t="shared" si="25"/>
        <v>0</v>
      </c>
      <c r="I37" s="1372">
        <f t="shared" si="25"/>
        <v>0</v>
      </c>
      <c r="J37" s="1372">
        <f t="shared" si="25"/>
        <v>228288</v>
      </c>
      <c r="K37" s="1372">
        <f t="shared" si="1"/>
        <v>392655.35999999999</v>
      </c>
      <c r="L37" s="1514"/>
      <c r="M37" s="1514"/>
      <c r="N37" s="1372">
        <f t="shared" ref="N37:R37" si="26">N38+N42</f>
        <v>40887</v>
      </c>
      <c r="O37" s="1372">
        <f t="shared" si="26"/>
        <v>0</v>
      </c>
      <c r="P37" s="1372">
        <f t="shared" si="26"/>
        <v>0</v>
      </c>
      <c r="Q37" s="1372">
        <f t="shared" si="26"/>
        <v>0</v>
      </c>
      <c r="R37" s="1372">
        <f t="shared" si="26"/>
        <v>456576</v>
      </c>
      <c r="S37" s="1253"/>
      <c r="T37" s="1253"/>
      <c r="U37" s="1250"/>
      <c r="V37" s="1238" t="s">
        <v>1255</v>
      </c>
    </row>
    <row r="38" spans="1:22" s="1238" customFormat="1">
      <c r="A38" s="1259" t="s">
        <v>1256</v>
      </c>
      <c r="B38" s="1260" t="s">
        <v>1257</v>
      </c>
      <c r="C38" s="1372">
        <f>C39+C40+C41</f>
        <v>9352</v>
      </c>
      <c r="D38" s="1372"/>
      <c r="E38" s="1372"/>
      <c r="F38" s="1372"/>
      <c r="G38" s="1372">
        <f t="shared" ref="G38:J38" si="27">G39+G40+G41</f>
        <v>45882.720000000001</v>
      </c>
      <c r="H38" s="1372"/>
      <c r="I38" s="1372"/>
      <c r="J38" s="1372">
        <f t="shared" si="27"/>
        <v>63726</v>
      </c>
      <c r="K38" s="1372">
        <f t="shared" si="1"/>
        <v>109608.72</v>
      </c>
      <c r="L38" s="1516"/>
      <c r="M38" s="1516"/>
      <c r="N38" s="1372">
        <f t="shared" ref="N38:R38" si="28">N39+N40+N41</f>
        <v>9352</v>
      </c>
      <c r="O38" s="1372"/>
      <c r="P38" s="1372"/>
      <c r="Q38" s="1372"/>
      <c r="R38" s="1372">
        <f t="shared" si="28"/>
        <v>127452</v>
      </c>
      <c r="S38" s="1261"/>
      <c r="T38" s="1261"/>
      <c r="U38" s="1247"/>
    </row>
    <row r="39" spans="1:22">
      <c r="A39" s="1262"/>
      <c r="B39" s="1263" t="s">
        <v>1258</v>
      </c>
      <c r="C39" s="1373">
        <v>1061</v>
      </c>
      <c r="D39" s="1373">
        <v>2.5</v>
      </c>
      <c r="E39" s="1373">
        <f>$E$18</f>
        <v>360</v>
      </c>
      <c r="F39" s="1373">
        <f>D39*E39/1000*6</f>
        <v>5.4</v>
      </c>
      <c r="G39" s="1373">
        <f>C39*F39</f>
        <v>5729.4000000000005</v>
      </c>
      <c r="H39" s="1373">
        <f t="shared" ref="H39:H41" si="29">$H$15</f>
        <v>500</v>
      </c>
      <c r="I39" s="1373">
        <f>D39*H39/1000*6</f>
        <v>7.5</v>
      </c>
      <c r="J39" s="1373">
        <f>C39*I39</f>
        <v>7957.5</v>
      </c>
      <c r="K39" s="1372">
        <f t="shared" si="1"/>
        <v>13686.900000000001</v>
      </c>
      <c r="L39" s="1514"/>
      <c r="M39" s="1514"/>
      <c r="N39" s="1373">
        <v>1061</v>
      </c>
      <c r="O39" s="1373">
        <v>2.5</v>
      </c>
      <c r="P39" s="1373">
        <f>$P$18</f>
        <v>500</v>
      </c>
      <c r="Q39" s="1373">
        <f>O39*P39/1000*12</f>
        <v>15</v>
      </c>
      <c r="R39" s="1373">
        <f t="shared" si="5"/>
        <v>15915</v>
      </c>
      <c r="S39" s="1253"/>
      <c r="T39" s="1253"/>
      <c r="U39" s="1250"/>
    </row>
    <row r="40" spans="1:22">
      <c r="A40" s="1262"/>
      <c r="B40" s="1264" t="s">
        <v>1259</v>
      </c>
      <c r="C40" s="1373">
        <v>4276</v>
      </c>
      <c r="D40" s="1373">
        <v>2</v>
      </c>
      <c r="E40" s="1373">
        <f>$E$18</f>
        <v>360</v>
      </c>
      <c r="F40" s="1373">
        <f>D40*E40/1000*6</f>
        <v>4.32</v>
      </c>
      <c r="G40" s="1373">
        <f>C40*F40</f>
        <v>18472.32</v>
      </c>
      <c r="H40" s="1373">
        <f t="shared" si="29"/>
        <v>500</v>
      </c>
      <c r="I40" s="1373">
        <f>D40*H40/1000*6</f>
        <v>6</v>
      </c>
      <c r="J40" s="1373">
        <f>C40*I40</f>
        <v>25656</v>
      </c>
      <c r="K40" s="1372">
        <f t="shared" si="1"/>
        <v>44128.32</v>
      </c>
      <c r="L40" s="1514"/>
      <c r="M40" s="1514"/>
      <c r="N40" s="1373">
        <v>4276</v>
      </c>
      <c r="O40" s="1373">
        <v>2</v>
      </c>
      <c r="P40" s="1373">
        <f>$P$18</f>
        <v>500</v>
      </c>
      <c r="Q40" s="1373">
        <f>O40*P40/1000*12</f>
        <v>12</v>
      </c>
      <c r="R40" s="1373">
        <f t="shared" si="5"/>
        <v>51312</v>
      </c>
      <c r="S40" s="1253"/>
      <c r="T40" s="1253"/>
      <c r="U40" s="1250"/>
    </row>
    <row r="41" spans="1:22">
      <c r="A41" s="1262"/>
      <c r="B41" s="1263" t="s">
        <v>1260</v>
      </c>
      <c r="C41" s="1373">
        <v>4015</v>
      </c>
      <c r="D41" s="1373">
        <v>2.5</v>
      </c>
      <c r="E41" s="1373">
        <f>$E$18</f>
        <v>360</v>
      </c>
      <c r="F41" s="1373">
        <f>D41*E41/1000*6</f>
        <v>5.4</v>
      </c>
      <c r="G41" s="1373">
        <f>C41*F41</f>
        <v>21681</v>
      </c>
      <c r="H41" s="1373">
        <f t="shared" si="29"/>
        <v>500</v>
      </c>
      <c r="I41" s="1373">
        <f>D41*H41/1000*6</f>
        <v>7.5</v>
      </c>
      <c r="J41" s="1373">
        <f>C41*I41</f>
        <v>30112.5</v>
      </c>
      <c r="K41" s="1372">
        <f t="shared" si="1"/>
        <v>51793.5</v>
      </c>
      <c r="L41" s="1514"/>
      <c r="M41" s="1514"/>
      <c r="N41" s="1373">
        <v>4015</v>
      </c>
      <c r="O41" s="1373">
        <v>2.5</v>
      </c>
      <c r="P41" s="1373">
        <f>$P$18</f>
        <v>500</v>
      </c>
      <c r="Q41" s="1373">
        <f>O41*P41/1000*12</f>
        <v>15</v>
      </c>
      <c r="R41" s="1373">
        <f t="shared" si="5"/>
        <v>60225</v>
      </c>
      <c r="S41" s="1253"/>
      <c r="T41" s="1253"/>
      <c r="U41" s="1250"/>
    </row>
    <row r="42" spans="1:22" s="1238" customFormat="1">
      <c r="A42" s="1259" t="s">
        <v>1261</v>
      </c>
      <c r="B42" s="1260" t="s">
        <v>1262</v>
      </c>
      <c r="C42" s="1372">
        <f>C43+C44+C45</f>
        <v>31535</v>
      </c>
      <c r="D42" s="1372"/>
      <c r="E42" s="1372"/>
      <c r="F42" s="1372"/>
      <c r="G42" s="1372">
        <f t="shared" ref="G42:J42" si="30">G43+G44+G45</f>
        <v>118484.64</v>
      </c>
      <c r="H42" s="1372"/>
      <c r="I42" s="1372"/>
      <c r="J42" s="1372">
        <f t="shared" si="30"/>
        <v>164562</v>
      </c>
      <c r="K42" s="1372">
        <f t="shared" si="1"/>
        <v>283046.64</v>
      </c>
      <c r="L42" s="1516"/>
      <c r="M42" s="1516"/>
      <c r="N42" s="1372">
        <f t="shared" ref="N42:R42" si="31">N43+N44+N45</f>
        <v>31535</v>
      </c>
      <c r="O42" s="1372"/>
      <c r="P42" s="1372"/>
      <c r="Q42" s="1372"/>
      <c r="R42" s="1372">
        <f t="shared" si="31"/>
        <v>329124</v>
      </c>
      <c r="S42" s="1261"/>
      <c r="T42" s="1261"/>
      <c r="U42" s="1247"/>
    </row>
    <row r="43" spans="1:22">
      <c r="A43" s="1262"/>
      <c r="B43" s="1263" t="s">
        <v>1258</v>
      </c>
      <c r="C43" s="1373">
        <v>3082</v>
      </c>
      <c r="D43" s="1373">
        <v>2</v>
      </c>
      <c r="E43" s="1373">
        <f>$E$18</f>
        <v>360</v>
      </c>
      <c r="F43" s="1373">
        <f>D43*E43/1000*6</f>
        <v>4.32</v>
      </c>
      <c r="G43" s="1373">
        <f>C43*F43</f>
        <v>13314.240000000002</v>
      </c>
      <c r="H43" s="1373">
        <f t="shared" ref="H43:H46" si="32">$H$15</f>
        <v>500</v>
      </c>
      <c r="I43" s="1373">
        <f>D43*H43/1000*6</f>
        <v>6</v>
      </c>
      <c r="J43" s="1373">
        <f>C43*I43</f>
        <v>18492</v>
      </c>
      <c r="K43" s="1372">
        <f t="shared" si="1"/>
        <v>31806.240000000002</v>
      </c>
      <c r="L43" s="1516"/>
      <c r="M43" s="1516"/>
      <c r="N43" s="1373">
        <v>3082</v>
      </c>
      <c r="O43" s="1373">
        <v>2</v>
      </c>
      <c r="P43" s="1373">
        <f>$P$18</f>
        <v>500</v>
      </c>
      <c r="Q43" s="1373">
        <f>O43*P43/1000*12</f>
        <v>12</v>
      </c>
      <c r="R43" s="1373">
        <f t="shared" si="5"/>
        <v>36984</v>
      </c>
      <c r="S43" s="1253"/>
      <c r="T43" s="1253"/>
      <c r="U43" s="1250"/>
    </row>
    <row r="44" spans="1:22">
      <c r="A44" s="1262"/>
      <c r="B44" s="1263" t="s">
        <v>1259</v>
      </c>
      <c r="C44" s="1373">
        <v>16432</v>
      </c>
      <c r="D44" s="1373">
        <v>1.5</v>
      </c>
      <c r="E44" s="1373">
        <f>$E$18</f>
        <v>360</v>
      </c>
      <c r="F44" s="1373">
        <f>D44*E44/1000*6</f>
        <v>3.24</v>
      </c>
      <c r="G44" s="1373">
        <f>C44*F44</f>
        <v>53239.68</v>
      </c>
      <c r="H44" s="1373">
        <f t="shared" si="32"/>
        <v>500</v>
      </c>
      <c r="I44" s="1373">
        <f>D44*H44/1000*6</f>
        <v>4.5</v>
      </c>
      <c r="J44" s="1373">
        <f>C44*I44</f>
        <v>73944</v>
      </c>
      <c r="K44" s="1372">
        <f t="shared" si="1"/>
        <v>127183.67999999999</v>
      </c>
      <c r="L44" s="1516"/>
      <c r="M44" s="1516"/>
      <c r="N44" s="1373">
        <v>16432</v>
      </c>
      <c r="O44" s="1373">
        <v>1.5</v>
      </c>
      <c r="P44" s="1373">
        <f>$P$18</f>
        <v>500</v>
      </c>
      <c r="Q44" s="1373">
        <f>O44*P44/1000*12</f>
        <v>9</v>
      </c>
      <c r="R44" s="1373">
        <f t="shared" si="5"/>
        <v>147888</v>
      </c>
      <c r="S44" s="1253"/>
      <c r="T44" s="1253"/>
      <c r="U44" s="1250"/>
    </row>
    <row r="45" spans="1:22">
      <c r="A45" s="1262"/>
      <c r="B45" s="1263" t="s">
        <v>1260</v>
      </c>
      <c r="C45" s="1373">
        <v>12021</v>
      </c>
      <c r="D45" s="1373">
        <v>2</v>
      </c>
      <c r="E45" s="1373">
        <f>$E$18</f>
        <v>360</v>
      </c>
      <c r="F45" s="1373">
        <f>D45*E45/1000*6</f>
        <v>4.32</v>
      </c>
      <c r="G45" s="1373">
        <f>C45*F45</f>
        <v>51930.720000000001</v>
      </c>
      <c r="H45" s="1373">
        <f t="shared" si="32"/>
        <v>500</v>
      </c>
      <c r="I45" s="1373">
        <f>D45*H45/1000*6</f>
        <v>6</v>
      </c>
      <c r="J45" s="1373">
        <f>C45*I45</f>
        <v>72126</v>
      </c>
      <c r="K45" s="1372">
        <f t="shared" si="1"/>
        <v>124056.72</v>
      </c>
      <c r="L45" s="1516"/>
      <c r="M45" s="1516"/>
      <c r="N45" s="1373">
        <v>12021</v>
      </c>
      <c r="O45" s="1373">
        <v>2</v>
      </c>
      <c r="P45" s="1373">
        <f>$P$18</f>
        <v>500</v>
      </c>
      <c r="Q45" s="1373">
        <f>O45*P45/1000*12</f>
        <v>12</v>
      </c>
      <c r="R45" s="1373">
        <f t="shared" si="5"/>
        <v>144252</v>
      </c>
      <c r="S45" s="1253"/>
      <c r="T45" s="1253"/>
      <c r="U45" s="1250"/>
    </row>
    <row r="46" spans="1:22" s="1238" customFormat="1" ht="46.8">
      <c r="A46" s="1245" t="s">
        <v>1263</v>
      </c>
      <c r="B46" s="1249" t="s">
        <v>1264</v>
      </c>
      <c r="C46" s="1373">
        <v>8882</v>
      </c>
      <c r="D46" s="1373">
        <v>1.5</v>
      </c>
      <c r="E46" s="1373">
        <f>E45</f>
        <v>360</v>
      </c>
      <c r="F46" s="1373">
        <f>D46*E46/1000*6</f>
        <v>3.24</v>
      </c>
      <c r="G46" s="1517">
        <v>20630</v>
      </c>
      <c r="H46" s="1373">
        <f t="shared" si="32"/>
        <v>500</v>
      </c>
      <c r="I46" s="1373">
        <f>D46*H46/1000*6</f>
        <v>4.5</v>
      </c>
      <c r="J46" s="1373">
        <v>28950</v>
      </c>
      <c r="K46" s="1372">
        <f t="shared" si="1"/>
        <v>49580</v>
      </c>
      <c r="L46" s="1514"/>
      <c r="M46" s="1514"/>
      <c r="N46" s="1372">
        <v>8882</v>
      </c>
      <c r="O46" s="1373">
        <v>1.5</v>
      </c>
      <c r="P46" s="1373">
        <v>360</v>
      </c>
      <c r="Q46" s="1372"/>
      <c r="R46" s="1373">
        <v>57306</v>
      </c>
      <c r="S46" s="1261"/>
      <c r="T46" s="1261"/>
      <c r="U46" s="1250" t="s">
        <v>1265</v>
      </c>
      <c r="V46" s="1238" t="s">
        <v>1266</v>
      </c>
    </row>
    <row r="47" spans="1:22" s="1238" customFormat="1">
      <c r="A47" s="1245" t="s">
        <v>33</v>
      </c>
      <c r="B47" s="1249" t="s">
        <v>1267</v>
      </c>
      <c r="C47" s="1372">
        <f>C48+C54+C55</f>
        <v>3239</v>
      </c>
      <c r="D47" s="1372"/>
      <c r="E47" s="1372"/>
      <c r="F47" s="1372"/>
      <c r="G47" s="1372">
        <f t="shared" ref="G47:J47" si="33">G48+G54+G55</f>
        <v>6996.2400000000007</v>
      </c>
      <c r="H47" s="1372"/>
      <c r="I47" s="1372"/>
      <c r="J47" s="1372">
        <f t="shared" si="33"/>
        <v>9717</v>
      </c>
      <c r="K47" s="1372">
        <f t="shared" si="1"/>
        <v>16713.240000000002</v>
      </c>
      <c r="L47" s="1514"/>
      <c r="M47" s="1514"/>
      <c r="N47" s="1372">
        <f t="shared" ref="N47:R47" si="34">SUM(N48,N54,N55)</f>
        <v>3239</v>
      </c>
      <c r="O47" s="1372"/>
      <c r="P47" s="1372"/>
      <c r="Q47" s="1372"/>
      <c r="R47" s="1372">
        <f t="shared" si="34"/>
        <v>19434</v>
      </c>
      <c r="S47" s="1261"/>
      <c r="T47" s="1261"/>
      <c r="U47" s="1247"/>
    </row>
    <row r="48" spans="1:22" s="1238" customFormat="1" ht="46.8">
      <c r="A48" s="1265">
        <v>1</v>
      </c>
      <c r="B48" s="1249" t="s">
        <v>1268</v>
      </c>
      <c r="C48" s="1373"/>
      <c r="D48" s="1373"/>
      <c r="E48" s="1373"/>
      <c r="F48" s="1373"/>
      <c r="G48" s="1373"/>
      <c r="H48" s="1373"/>
      <c r="I48" s="1373"/>
      <c r="J48" s="1373"/>
      <c r="K48" s="1372">
        <f t="shared" si="1"/>
        <v>0</v>
      </c>
      <c r="L48" s="1515"/>
      <c r="M48" s="1515"/>
      <c r="N48" s="1372">
        <f t="shared" ref="N48:R48" si="35">SUM(N49,N50)</f>
        <v>0</v>
      </c>
      <c r="O48" s="1372"/>
      <c r="P48" s="1372"/>
      <c r="Q48" s="1372"/>
      <c r="R48" s="1372">
        <f t="shared" si="35"/>
        <v>0</v>
      </c>
      <c r="S48" s="1261"/>
      <c r="T48" s="1261"/>
      <c r="U48" s="1247"/>
      <c r="V48" s="1238" t="s">
        <v>1269</v>
      </c>
    </row>
    <row r="49" spans="1:23">
      <c r="A49" s="1245" t="s">
        <v>1011</v>
      </c>
      <c r="B49" s="1249" t="s">
        <v>1270</v>
      </c>
      <c r="C49" s="1373"/>
      <c r="D49" s="1373">
        <v>2.5</v>
      </c>
      <c r="E49" s="1373">
        <v>360</v>
      </c>
      <c r="F49" s="1373">
        <f>D49*E49/1000*6</f>
        <v>5.4</v>
      </c>
      <c r="G49" s="1373">
        <f>C49*F49</f>
        <v>0</v>
      </c>
      <c r="H49" s="1373">
        <v>500</v>
      </c>
      <c r="I49" s="1373">
        <f>D49*H49/1000*6</f>
        <v>7.5</v>
      </c>
      <c r="J49" s="1373">
        <f>C49*I49</f>
        <v>0</v>
      </c>
      <c r="K49" s="1372">
        <f t="shared" si="1"/>
        <v>0</v>
      </c>
      <c r="L49" s="1515"/>
      <c r="M49" s="1515"/>
      <c r="N49" s="1373"/>
      <c r="O49" s="1373">
        <v>2.5</v>
      </c>
      <c r="P49" s="1373">
        <f>$P$18</f>
        <v>500</v>
      </c>
      <c r="Q49" s="1373"/>
      <c r="R49" s="1373">
        <f t="shared" si="5"/>
        <v>0</v>
      </c>
      <c r="S49" s="1253"/>
      <c r="T49" s="1253"/>
      <c r="U49" s="1250"/>
    </row>
    <row r="50" spans="1:23" ht="31.2">
      <c r="A50" s="1245" t="s">
        <v>1019</v>
      </c>
      <c r="B50" s="1249" t="s">
        <v>1271</v>
      </c>
      <c r="C50" s="1373"/>
      <c r="D50" s="1373"/>
      <c r="E50" s="1373"/>
      <c r="F50" s="1373"/>
      <c r="G50" s="1373"/>
      <c r="H50" s="1373"/>
      <c r="I50" s="1373"/>
      <c r="J50" s="1373"/>
      <c r="K50" s="1372">
        <f t="shared" si="1"/>
        <v>0</v>
      </c>
      <c r="L50" s="1515"/>
      <c r="M50" s="1515"/>
      <c r="N50" s="1373">
        <f t="shared" ref="N50:R50" si="36">SUM(N51,N52,N53)</f>
        <v>0</v>
      </c>
      <c r="O50" s="1373"/>
      <c r="P50" s="1373"/>
      <c r="Q50" s="1373"/>
      <c r="R50" s="1373">
        <f t="shared" si="36"/>
        <v>0</v>
      </c>
      <c r="S50" s="1253"/>
      <c r="T50" s="1253"/>
      <c r="U50" s="1250"/>
      <c r="W50" s="1235" t="s">
        <v>1272</v>
      </c>
    </row>
    <row r="51" spans="1:23" s="1258" customFormat="1">
      <c r="A51" s="1266"/>
      <c r="B51" s="1251" t="s">
        <v>1273</v>
      </c>
      <c r="C51" s="1372"/>
      <c r="D51" s="1373">
        <v>1.5</v>
      </c>
      <c r="E51" s="1373">
        <f>$E$18</f>
        <v>360</v>
      </c>
      <c r="F51" s="1373">
        <f>D51*E51/1000*6</f>
        <v>3.24</v>
      </c>
      <c r="G51" s="1373">
        <f>C51*F51</f>
        <v>0</v>
      </c>
      <c r="H51" s="1373">
        <f t="shared" ref="H51:H52" si="37">$H$15</f>
        <v>500</v>
      </c>
      <c r="I51" s="1373">
        <f>D51*H51/1000*6</f>
        <v>4.5</v>
      </c>
      <c r="J51" s="1373">
        <f>C51*I51</f>
        <v>0</v>
      </c>
      <c r="K51" s="1372">
        <f t="shared" si="1"/>
        <v>0</v>
      </c>
      <c r="L51" s="1516"/>
      <c r="M51" s="1516"/>
      <c r="N51" s="1373"/>
      <c r="O51" s="1373">
        <v>1.5</v>
      </c>
      <c r="P51" s="1373">
        <f>$P$18</f>
        <v>500</v>
      </c>
      <c r="Q51" s="1373"/>
      <c r="R51" s="1373">
        <f t="shared" si="5"/>
        <v>0</v>
      </c>
      <c r="S51" s="1256"/>
      <c r="T51" s="1256"/>
      <c r="U51" s="1257"/>
    </row>
    <row r="52" spans="1:23" s="1258" customFormat="1">
      <c r="A52" s="1266"/>
      <c r="B52" s="1251" t="s">
        <v>1274</v>
      </c>
      <c r="C52" s="1372"/>
      <c r="D52" s="1373">
        <v>3</v>
      </c>
      <c r="E52" s="1373">
        <f>$E$18</f>
        <v>360</v>
      </c>
      <c r="F52" s="1373">
        <f>D52*E52/1000*6</f>
        <v>6.48</v>
      </c>
      <c r="G52" s="1373">
        <f>C52*F52</f>
        <v>0</v>
      </c>
      <c r="H52" s="1373">
        <f t="shared" si="37"/>
        <v>500</v>
      </c>
      <c r="I52" s="1373">
        <f>D52*H52/1000*6</f>
        <v>9</v>
      </c>
      <c r="J52" s="1373">
        <f>C52*I52</f>
        <v>0</v>
      </c>
      <c r="K52" s="1372">
        <f t="shared" si="1"/>
        <v>0</v>
      </c>
      <c r="L52" s="1514"/>
      <c r="M52" s="1514"/>
      <c r="N52" s="1373"/>
      <c r="O52" s="1373">
        <v>3</v>
      </c>
      <c r="P52" s="1373">
        <f>$P$18</f>
        <v>500</v>
      </c>
      <c r="Q52" s="1373"/>
      <c r="R52" s="1373">
        <f t="shared" si="5"/>
        <v>0</v>
      </c>
      <c r="S52" s="1256"/>
      <c r="T52" s="1256"/>
      <c r="U52" s="1257"/>
    </row>
    <row r="53" spans="1:23" s="1258" customFormat="1">
      <c r="A53" s="1266"/>
      <c r="B53" s="1251" t="s">
        <v>1111</v>
      </c>
      <c r="C53" s="1372"/>
      <c r="D53" s="1373"/>
      <c r="E53" s="1373"/>
      <c r="F53" s="1373"/>
      <c r="G53" s="1373"/>
      <c r="H53" s="1373"/>
      <c r="I53" s="1373"/>
      <c r="J53" s="1373"/>
      <c r="K53" s="1372">
        <f t="shared" si="1"/>
        <v>0</v>
      </c>
      <c r="L53" s="1514"/>
      <c r="M53" s="1514"/>
      <c r="N53" s="1373"/>
      <c r="O53" s="1373"/>
      <c r="P53" s="1373"/>
      <c r="Q53" s="1373"/>
      <c r="R53" s="1373">
        <f t="shared" si="5"/>
        <v>0</v>
      </c>
      <c r="S53" s="1256"/>
      <c r="T53" s="1256"/>
      <c r="U53" s="1257"/>
    </row>
    <row r="54" spans="1:23" s="1238" customFormat="1" ht="46.8">
      <c r="A54" s="1265">
        <v>2</v>
      </c>
      <c r="B54" s="1249" t="s">
        <v>1275</v>
      </c>
      <c r="C54" s="1373"/>
      <c r="D54" s="1373">
        <v>1.5</v>
      </c>
      <c r="E54" s="1373">
        <f>$E$18</f>
        <v>360</v>
      </c>
      <c r="F54" s="1373">
        <f>D54*E54/1000*6</f>
        <v>3.24</v>
      </c>
      <c r="G54" s="1373">
        <f>C54*F54</f>
        <v>0</v>
      </c>
      <c r="H54" s="1373">
        <f t="shared" ref="H54" si="38">$H$15</f>
        <v>500</v>
      </c>
      <c r="I54" s="1373">
        <f>D54*H54/1000*6</f>
        <v>4.5</v>
      </c>
      <c r="J54" s="1373">
        <f>C54*I54</f>
        <v>0</v>
      </c>
      <c r="K54" s="1372">
        <f t="shared" si="1"/>
        <v>0</v>
      </c>
      <c r="L54" s="1514"/>
      <c r="M54" s="1514"/>
      <c r="N54" s="1372"/>
      <c r="O54" s="1372">
        <v>1.5</v>
      </c>
      <c r="P54" s="1372">
        <f>$P$18</f>
        <v>500</v>
      </c>
      <c r="Q54" s="1372"/>
      <c r="R54" s="1373">
        <f t="shared" si="5"/>
        <v>0</v>
      </c>
      <c r="S54" s="1261"/>
      <c r="T54" s="1261"/>
      <c r="U54" s="1247"/>
    </row>
    <row r="55" spans="1:23" ht="31.2">
      <c r="A55" s="1265">
        <v>3</v>
      </c>
      <c r="B55" s="1249" t="s">
        <v>1276</v>
      </c>
      <c r="C55" s="1373">
        <f t="shared" ref="C55:J55" si="39">C56+C59+C62</f>
        <v>3239</v>
      </c>
      <c r="D55" s="1373">
        <f t="shared" si="39"/>
        <v>0</v>
      </c>
      <c r="E55" s="1373">
        <f t="shared" si="39"/>
        <v>0</v>
      </c>
      <c r="F55" s="1373">
        <f t="shared" si="39"/>
        <v>0</v>
      </c>
      <c r="G55" s="1373">
        <f t="shared" si="39"/>
        <v>6996.2400000000007</v>
      </c>
      <c r="H55" s="1373">
        <f t="shared" si="39"/>
        <v>0</v>
      </c>
      <c r="I55" s="1373">
        <f t="shared" si="39"/>
        <v>0</v>
      </c>
      <c r="J55" s="1373">
        <f t="shared" si="39"/>
        <v>9717</v>
      </c>
      <c r="K55" s="1372">
        <f t="shared" si="1"/>
        <v>16713.240000000002</v>
      </c>
      <c r="L55" s="1514"/>
      <c r="M55" s="1514"/>
      <c r="N55" s="1372">
        <f>SUM(N56,N59,N62)</f>
        <v>3239</v>
      </c>
      <c r="O55" s="1372">
        <f>SUM(O56,O59,O62)</f>
        <v>0</v>
      </c>
      <c r="P55" s="1372">
        <f>SUM(P56,P59,P62)</f>
        <v>0</v>
      </c>
      <c r="Q55" s="1372">
        <f>SUM(Q56,Q59,Q62)</f>
        <v>0</v>
      </c>
      <c r="R55" s="1372">
        <f>SUM(R56,R59,R62)</f>
        <v>19434</v>
      </c>
      <c r="S55" s="1253"/>
      <c r="T55" s="1253"/>
      <c r="U55" s="1250"/>
    </row>
    <row r="56" spans="1:23">
      <c r="A56" s="1245" t="s">
        <v>1088</v>
      </c>
      <c r="B56" s="1249" t="s">
        <v>1277</v>
      </c>
      <c r="C56" s="1372"/>
      <c r="D56" s="1373"/>
      <c r="E56" s="1373"/>
      <c r="F56" s="1373"/>
      <c r="G56" s="1373"/>
      <c r="H56" s="1373"/>
      <c r="I56" s="1373"/>
      <c r="J56" s="1373"/>
      <c r="K56" s="1372">
        <f t="shared" si="1"/>
        <v>0</v>
      </c>
      <c r="L56" s="1514"/>
      <c r="M56" s="1514"/>
      <c r="N56" s="1372"/>
      <c r="O56" s="1373"/>
      <c r="P56" s="1373"/>
      <c r="Q56" s="1373"/>
      <c r="R56" s="1373">
        <f t="shared" si="5"/>
        <v>0</v>
      </c>
      <c r="S56" s="1253"/>
      <c r="T56" s="1253"/>
      <c r="U56" s="1250"/>
    </row>
    <row r="57" spans="1:23" s="1238" customFormat="1" ht="31.2">
      <c r="A57" s="1254"/>
      <c r="B57" s="1251" t="s">
        <v>1278</v>
      </c>
      <c r="C57" s="1373"/>
      <c r="D57" s="1373">
        <v>1</v>
      </c>
      <c r="E57" s="1373">
        <f>$E$18</f>
        <v>360</v>
      </c>
      <c r="F57" s="1373">
        <f>D57*E57/1000*6</f>
        <v>2.16</v>
      </c>
      <c r="G57" s="1373">
        <f>C57*F57</f>
        <v>0</v>
      </c>
      <c r="H57" s="1373">
        <f t="shared" ref="H57:H58" si="40">$H$15</f>
        <v>500</v>
      </c>
      <c r="I57" s="1373">
        <f>D57*H57/1000*6</f>
        <v>3</v>
      </c>
      <c r="J57" s="1373">
        <f>C57*I57</f>
        <v>0</v>
      </c>
      <c r="K57" s="1372">
        <f t="shared" si="1"/>
        <v>0</v>
      </c>
      <c r="L57" s="1514"/>
      <c r="M57" s="1514"/>
      <c r="N57" s="1373"/>
      <c r="O57" s="1373">
        <v>1.5</v>
      </c>
      <c r="P57" s="1373">
        <f>$P$18</f>
        <v>500</v>
      </c>
      <c r="Q57" s="1373"/>
      <c r="R57" s="1373">
        <f t="shared" si="5"/>
        <v>0</v>
      </c>
      <c r="S57" s="1253"/>
      <c r="T57" s="1253"/>
      <c r="U57" s="1250"/>
    </row>
    <row r="58" spans="1:23" ht="31.2">
      <c r="A58" s="1254"/>
      <c r="B58" s="1251" t="s">
        <v>1279</v>
      </c>
      <c r="C58" s="1373"/>
      <c r="D58" s="1373">
        <v>2</v>
      </c>
      <c r="E58" s="1373">
        <f>$E$18</f>
        <v>360</v>
      </c>
      <c r="F58" s="1373">
        <f>D58*E58/1000*6</f>
        <v>4.32</v>
      </c>
      <c r="G58" s="1373">
        <f>C58*F58</f>
        <v>0</v>
      </c>
      <c r="H58" s="1373">
        <f t="shared" si="40"/>
        <v>500</v>
      </c>
      <c r="I58" s="1373">
        <f>D58*H58/1000*6</f>
        <v>6</v>
      </c>
      <c r="J58" s="1373">
        <f>C58*I58</f>
        <v>0</v>
      </c>
      <c r="K58" s="1372">
        <f t="shared" si="1"/>
        <v>0</v>
      </c>
      <c r="L58" s="1514"/>
      <c r="M58" s="1514"/>
      <c r="N58" s="1373"/>
      <c r="O58" s="1373">
        <v>2</v>
      </c>
      <c r="P58" s="1373">
        <f>$P$18</f>
        <v>500</v>
      </c>
      <c r="Q58" s="1373"/>
      <c r="R58" s="1373">
        <f t="shared" si="5"/>
        <v>0</v>
      </c>
      <c r="S58" s="1253"/>
      <c r="T58" s="1253"/>
      <c r="U58" s="1250"/>
    </row>
    <row r="59" spans="1:23" ht="31.2">
      <c r="A59" s="1245" t="s">
        <v>1092</v>
      </c>
      <c r="B59" s="1249" t="s">
        <v>1280</v>
      </c>
      <c r="C59" s="1372">
        <f>C60+C61</f>
        <v>3239</v>
      </c>
      <c r="D59" s="1372"/>
      <c r="E59" s="1372"/>
      <c r="F59" s="1372"/>
      <c r="G59" s="1372">
        <f t="shared" ref="G59:L59" si="41">G60+G61</f>
        <v>6996.2400000000007</v>
      </c>
      <c r="H59" s="1372"/>
      <c r="I59" s="1372"/>
      <c r="J59" s="1372">
        <f t="shared" si="41"/>
        <v>9717</v>
      </c>
      <c r="K59" s="1372">
        <f t="shared" si="1"/>
        <v>16713.240000000002</v>
      </c>
      <c r="L59" s="1372">
        <f t="shared" si="41"/>
        <v>0</v>
      </c>
      <c r="M59" s="1514"/>
      <c r="N59" s="1372">
        <f>N60+N61</f>
        <v>3239</v>
      </c>
      <c r="O59" s="1372"/>
      <c r="P59" s="1372"/>
      <c r="Q59" s="1372"/>
      <c r="R59" s="1372">
        <f t="shared" ref="R59" si="42">R60+R61</f>
        <v>19434</v>
      </c>
      <c r="S59" s="1253"/>
      <c r="T59" s="1253"/>
      <c r="U59" s="1250"/>
    </row>
    <row r="60" spans="1:23" s="1238" customFormat="1">
      <c r="A60" s="1254"/>
      <c r="B60" s="1251" t="s">
        <v>1281</v>
      </c>
      <c r="C60" s="1372">
        <v>3239</v>
      </c>
      <c r="D60" s="1373">
        <v>1</v>
      </c>
      <c r="E60" s="1373">
        <v>360</v>
      </c>
      <c r="F60" s="1373">
        <f>D60*E60/1000*6</f>
        <v>2.16</v>
      </c>
      <c r="G60" s="1373">
        <f>C60*F60</f>
        <v>6996.2400000000007</v>
      </c>
      <c r="H60" s="1373">
        <v>500</v>
      </c>
      <c r="I60" s="1373">
        <f>D60*H60/1000*6</f>
        <v>3</v>
      </c>
      <c r="J60" s="1373">
        <f>C60*I60</f>
        <v>9717</v>
      </c>
      <c r="K60" s="1372">
        <f t="shared" si="1"/>
        <v>16713.240000000002</v>
      </c>
      <c r="L60" s="1514"/>
      <c r="M60" s="1514"/>
      <c r="N60" s="1373">
        <v>3239</v>
      </c>
      <c r="O60" s="1373">
        <v>1</v>
      </c>
      <c r="P60" s="1373">
        <f>$P$18</f>
        <v>500</v>
      </c>
      <c r="Q60" s="1373">
        <f>O60*P60*12/1000</f>
        <v>6</v>
      </c>
      <c r="R60" s="1373">
        <f t="shared" si="5"/>
        <v>19434</v>
      </c>
      <c r="S60" s="1253"/>
      <c r="T60" s="1253"/>
      <c r="U60" s="1250"/>
      <c r="W60" s="1380" t="s">
        <v>1282</v>
      </c>
    </row>
    <row r="61" spans="1:23" s="1238" customFormat="1">
      <c r="A61" s="1254"/>
      <c r="B61" s="1251" t="s">
        <v>1283</v>
      </c>
      <c r="C61" s="1373"/>
      <c r="D61" s="1373">
        <v>2</v>
      </c>
      <c r="E61" s="1373">
        <v>360</v>
      </c>
      <c r="F61" s="1373">
        <f>D61*E61/1000*6</f>
        <v>4.32</v>
      </c>
      <c r="G61" s="1373">
        <f>C61*F61</f>
        <v>0</v>
      </c>
      <c r="H61" s="1373">
        <f t="shared" ref="H61" si="43">$H$15</f>
        <v>500</v>
      </c>
      <c r="I61" s="1373">
        <f>D61*H61/1000*6</f>
        <v>6</v>
      </c>
      <c r="J61" s="1373">
        <f>C61*I61</f>
        <v>0</v>
      </c>
      <c r="K61" s="1372">
        <f t="shared" si="1"/>
        <v>0</v>
      </c>
      <c r="L61" s="1514"/>
      <c r="M61" s="1514"/>
      <c r="N61" s="1373"/>
      <c r="O61" s="1373">
        <v>2</v>
      </c>
      <c r="P61" s="1373">
        <f>$P$18</f>
        <v>500</v>
      </c>
      <c r="Q61" s="1373"/>
      <c r="R61" s="1373">
        <f t="shared" si="5"/>
        <v>0</v>
      </c>
      <c r="S61" s="1253"/>
      <c r="T61" s="1253"/>
      <c r="U61" s="1250"/>
    </row>
    <row r="62" spans="1:23" ht="31.2">
      <c r="A62" s="1245" t="s">
        <v>1098</v>
      </c>
      <c r="B62" s="1249" t="s">
        <v>1284</v>
      </c>
      <c r="C62" s="1373"/>
      <c r="D62" s="1373"/>
      <c r="E62" s="1373"/>
      <c r="F62" s="1373"/>
      <c r="G62" s="1373"/>
      <c r="H62" s="1373"/>
      <c r="I62" s="1373"/>
      <c r="J62" s="1373"/>
      <c r="K62" s="1372">
        <f t="shared" si="1"/>
        <v>0</v>
      </c>
      <c r="L62" s="1514"/>
      <c r="M62" s="1514"/>
      <c r="N62" s="1372"/>
      <c r="O62" s="1373"/>
      <c r="P62" s="1373"/>
      <c r="Q62" s="1373"/>
      <c r="R62" s="1373">
        <f t="shared" si="5"/>
        <v>0</v>
      </c>
      <c r="S62" s="1253"/>
      <c r="T62" s="1253"/>
      <c r="U62" s="1250"/>
      <c r="V62" s="1238" t="s">
        <v>1285</v>
      </c>
    </row>
    <row r="63" spans="1:23">
      <c r="A63" s="1254"/>
      <c r="B63" s="1381" t="s">
        <v>1286</v>
      </c>
      <c r="C63" s="1373"/>
      <c r="D63" s="1373">
        <v>1.5</v>
      </c>
      <c r="E63" s="1373">
        <f>$E$18</f>
        <v>360</v>
      </c>
      <c r="F63" s="1373">
        <f>D63*E63/1000*6</f>
        <v>3.24</v>
      </c>
      <c r="G63" s="1373">
        <f>C63*F63</f>
        <v>0</v>
      </c>
      <c r="H63" s="1373">
        <f t="shared" ref="H63:H64" si="44">$H$15</f>
        <v>500</v>
      </c>
      <c r="I63" s="1373">
        <f>D63*H63/1000*6</f>
        <v>4.5</v>
      </c>
      <c r="J63" s="1373">
        <f>C63*I63</f>
        <v>0</v>
      </c>
      <c r="K63" s="1372">
        <f t="shared" si="1"/>
        <v>0</v>
      </c>
      <c r="L63" s="1514"/>
      <c r="M63" s="1514"/>
      <c r="N63" s="1373"/>
      <c r="O63" s="1373">
        <v>1.5</v>
      </c>
      <c r="P63" s="1373">
        <f>$P$18</f>
        <v>500</v>
      </c>
      <c r="Q63" s="1373"/>
      <c r="R63" s="1373">
        <f t="shared" si="5"/>
        <v>0</v>
      </c>
      <c r="S63" s="1253"/>
      <c r="T63" s="1253"/>
      <c r="U63" s="1250"/>
      <c r="W63" s="1380" t="s">
        <v>1287</v>
      </c>
    </row>
    <row r="64" spans="1:23">
      <c r="A64" s="1254"/>
      <c r="B64" s="1381" t="s">
        <v>1288</v>
      </c>
      <c r="C64" s="1373"/>
      <c r="D64" s="1373">
        <v>3</v>
      </c>
      <c r="E64" s="1373">
        <f>$E$18</f>
        <v>360</v>
      </c>
      <c r="F64" s="1373">
        <f>D64*E64/1000*6</f>
        <v>6.48</v>
      </c>
      <c r="G64" s="1373">
        <f>C64*F64</f>
        <v>0</v>
      </c>
      <c r="H64" s="1373">
        <f t="shared" si="44"/>
        <v>500</v>
      </c>
      <c r="I64" s="1373">
        <f>D64*H64/1000*6</f>
        <v>9</v>
      </c>
      <c r="J64" s="1373">
        <f>C64*I64</f>
        <v>0</v>
      </c>
      <c r="K64" s="1372">
        <f t="shared" si="1"/>
        <v>0</v>
      </c>
      <c r="L64" s="1514"/>
      <c r="M64" s="1514"/>
      <c r="N64" s="1373"/>
      <c r="O64" s="1373">
        <v>3</v>
      </c>
      <c r="P64" s="1373">
        <f>$P$18</f>
        <v>500</v>
      </c>
      <c r="Q64" s="1373"/>
      <c r="R64" s="1373">
        <f t="shared" si="5"/>
        <v>0</v>
      </c>
      <c r="S64" s="1253"/>
      <c r="T64" s="1253"/>
      <c r="U64" s="1250"/>
    </row>
    <row r="65" spans="1:23">
      <c r="A65" s="1254"/>
      <c r="B65" s="1381" t="s">
        <v>1289</v>
      </c>
      <c r="C65" s="1372"/>
      <c r="D65" s="1373">
        <v>2.5</v>
      </c>
      <c r="E65" s="1373">
        <f>$E$18</f>
        <v>360</v>
      </c>
      <c r="F65" s="1373">
        <f>D65*E65/1000*6</f>
        <v>5.4</v>
      </c>
      <c r="G65" s="1373">
        <f>C65*F65</f>
        <v>0</v>
      </c>
      <c r="H65" s="1373">
        <v>500</v>
      </c>
      <c r="I65" s="1373">
        <f>D65*H65/1000*6</f>
        <v>7.5</v>
      </c>
      <c r="J65" s="1373">
        <f>C65*I65</f>
        <v>0</v>
      </c>
      <c r="K65" s="1372">
        <f t="shared" si="1"/>
        <v>0</v>
      </c>
      <c r="L65" s="1516"/>
      <c r="M65" s="1516"/>
      <c r="N65" s="1373"/>
      <c r="O65" s="1373">
        <v>2.5</v>
      </c>
      <c r="P65" s="1373">
        <f>$P$18</f>
        <v>500</v>
      </c>
      <c r="Q65" s="1373"/>
      <c r="R65" s="1373">
        <f t="shared" si="5"/>
        <v>0</v>
      </c>
      <c r="S65" s="1253"/>
      <c r="T65" s="1253"/>
      <c r="U65" s="1250"/>
      <c r="W65" s="1380" t="s">
        <v>1290</v>
      </c>
    </row>
    <row r="66" spans="1:23">
      <c r="A66" s="1254"/>
      <c r="B66" s="1381" t="s">
        <v>1291</v>
      </c>
      <c r="C66" s="1372"/>
      <c r="D66" s="1373">
        <v>5</v>
      </c>
      <c r="E66" s="1373">
        <f>$E$18</f>
        <v>360</v>
      </c>
      <c r="F66" s="1373">
        <f>D66*E66/1000*6</f>
        <v>10.8</v>
      </c>
      <c r="G66" s="1373">
        <f>C66*F66</f>
        <v>0</v>
      </c>
      <c r="H66" s="1373">
        <v>500</v>
      </c>
      <c r="I66" s="1373">
        <f>D66*H66/1000*6</f>
        <v>15</v>
      </c>
      <c r="J66" s="1373">
        <f>C66*I66</f>
        <v>0</v>
      </c>
      <c r="K66" s="1372">
        <f t="shared" si="1"/>
        <v>0</v>
      </c>
      <c r="L66" s="1514"/>
      <c r="M66" s="1514"/>
      <c r="N66" s="1373"/>
      <c r="O66" s="1373">
        <v>5</v>
      </c>
      <c r="P66" s="1373">
        <f>$P$18</f>
        <v>500</v>
      </c>
      <c r="Q66" s="1373"/>
      <c r="R66" s="1373">
        <f t="shared" si="5"/>
        <v>0</v>
      </c>
      <c r="S66" s="1253"/>
      <c r="T66" s="1253"/>
      <c r="U66" s="1250"/>
    </row>
    <row r="67" spans="1:23" s="1238" customFormat="1" ht="46.8">
      <c r="A67" s="1245" t="s">
        <v>182</v>
      </c>
      <c r="B67" s="1249" t="s">
        <v>1292</v>
      </c>
      <c r="C67" s="1372">
        <f>C68+C75+C76</f>
        <v>200</v>
      </c>
      <c r="D67" s="1372"/>
      <c r="E67" s="1372"/>
      <c r="F67" s="1372"/>
      <c r="G67" s="1372">
        <f t="shared" ref="G67:J67" si="45">G68+G75+G76</f>
        <v>1790.64</v>
      </c>
      <c r="H67" s="1372"/>
      <c r="I67" s="1372"/>
      <c r="J67" s="1372">
        <f t="shared" si="45"/>
        <v>2487</v>
      </c>
      <c r="K67" s="1372">
        <f t="shared" si="1"/>
        <v>4277.6400000000003</v>
      </c>
      <c r="L67" s="1514"/>
      <c r="M67" s="1514"/>
      <c r="N67" s="1372">
        <f t="shared" ref="N67:R67" si="46">SUM(N68,N75,N76)</f>
        <v>200</v>
      </c>
      <c r="O67" s="1372"/>
      <c r="P67" s="1372"/>
      <c r="Q67" s="1372"/>
      <c r="R67" s="1372">
        <f t="shared" si="46"/>
        <v>4974</v>
      </c>
      <c r="S67" s="1261"/>
      <c r="T67" s="1261"/>
      <c r="U67" s="1247"/>
      <c r="V67" s="1238" t="s">
        <v>1293</v>
      </c>
    </row>
    <row r="68" spans="1:23" ht="31.2">
      <c r="A68" s="1245">
        <v>1</v>
      </c>
      <c r="B68" s="1249" t="s">
        <v>1294</v>
      </c>
      <c r="C68" s="1372">
        <f>C69+C72</f>
        <v>148</v>
      </c>
      <c r="D68" s="1372">
        <f t="shared" ref="D68:J68" si="47">D69+D72</f>
        <v>0</v>
      </c>
      <c r="E68" s="1372">
        <f t="shared" si="47"/>
        <v>0</v>
      </c>
      <c r="F68" s="1372">
        <f t="shared" si="47"/>
        <v>0</v>
      </c>
      <c r="G68" s="1372">
        <f t="shared" si="47"/>
        <v>1341.3600000000001</v>
      </c>
      <c r="H68" s="1372">
        <f t="shared" si="47"/>
        <v>0</v>
      </c>
      <c r="I68" s="1372">
        <f t="shared" si="47"/>
        <v>0</v>
      </c>
      <c r="J68" s="1372">
        <f t="shared" si="47"/>
        <v>1863</v>
      </c>
      <c r="K68" s="1372">
        <f t="shared" si="1"/>
        <v>3204.36</v>
      </c>
      <c r="L68" s="1514"/>
      <c r="M68" s="1514"/>
      <c r="N68" s="1372">
        <f t="shared" ref="N68:R68" si="48">SUM(N69,N72)</f>
        <v>148</v>
      </c>
      <c r="O68" s="1372">
        <f t="shared" si="48"/>
        <v>0</v>
      </c>
      <c r="P68" s="1372">
        <f t="shared" si="48"/>
        <v>0</v>
      </c>
      <c r="Q68" s="1372">
        <f t="shared" si="48"/>
        <v>0</v>
      </c>
      <c r="R68" s="1372">
        <f t="shared" si="48"/>
        <v>3726</v>
      </c>
      <c r="S68" s="1253"/>
      <c r="T68" s="1253"/>
      <c r="U68" s="1250"/>
    </row>
    <row r="69" spans="1:23">
      <c r="A69" s="1245" t="s">
        <v>1011</v>
      </c>
      <c r="B69" s="1249" t="s">
        <v>1295</v>
      </c>
      <c r="C69" s="1372">
        <f>C70+C71</f>
        <v>148</v>
      </c>
      <c r="D69" s="1372"/>
      <c r="E69" s="1372"/>
      <c r="F69" s="1372"/>
      <c r="G69" s="1372">
        <f t="shared" ref="G69:J69" si="49">G70+G71</f>
        <v>1341.3600000000001</v>
      </c>
      <c r="H69" s="1372"/>
      <c r="I69" s="1372"/>
      <c r="J69" s="1372">
        <f t="shared" si="49"/>
        <v>1863</v>
      </c>
      <c r="K69" s="1372">
        <f t="shared" si="1"/>
        <v>3204.36</v>
      </c>
      <c r="L69" s="1514"/>
      <c r="M69" s="1514"/>
      <c r="N69" s="1372">
        <f t="shared" ref="N69:R69" si="50">SUM(N70,N71)</f>
        <v>148</v>
      </c>
      <c r="O69" s="1372"/>
      <c r="P69" s="1372"/>
      <c r="Q69" s="1372"/>
      <c r="R69" s="1372">
        <f t="shared" si="50"/>
        <v>3726</v>
      </c>
      <c r="S69" s="1253"/>
      <c r="T69" s="1253"/>
      <c r="U69" s="1250"/>
    </row>
    <row r="70" spans="1:23">
      <c r="A70" s="1245"/>
      <c r="B70" s="1251" t="s">
        <v>1222</v>
      </c>
      <c r="C70" s="1373">
        <v>29</v>
      </c>
      <c r="D70" s="1373">
        <v>5</v>
      </c>
      <c r="E70" s="1373">
        <v>360</v>
      </c>
      <c r="F70" s="1373">
        <f>D70*E70/1000*6</f>
        <v>10.8</v>
      </c>
      <c r="G70" s="1373">
        <f>C70*F70</f>
        <v>313.20000000000005</v>
      </c>
      <c r="H70" s="1373">
        <f t="shared" ref="H70:H71" si="51">$H$15</f>
        <v>500</v>
      </c>
      <c r="I70" s="1373">
        <f>D70*H70/1000*6</f>
        <v>15</v>
      </c>
      <c r="J70" s="1373">
        <f>C70*I70</f>
        <v>435</v>
      </c>
      <c r="K70" s="1372">
        <f t="shared" si="1"/>
        <v>748.2</v>
      </c>
      <c r="L70" s="1514"/>
      <c r="M70" s="1514"/>
      <c r="N70" s="1373">
        <v>29</v>
      </c>
      <c r="O70" s="1373">
        <v>5</v>
      </c>
      <c r="P70" s="1373">
        <f>$P$18</f>
        <v>500</v>
      </c>
      <c r="Q70" s="1373">
        <f>O70*P70/1000*12</f>
        <v>30</v>
      </c>
      <c r="R70" s="1373">
        <f t="shared" si="5"/>
        <v>870</v>
      </c>
      <c r="S70" s="1253"/>
      <c r="T70" s="1253"/>
      <c r="U70" s="1250"/>
    </row>
    <row r="71" spans="1:23">
      <c r="A71" s="1245"/>
      <c r="B71" s="1251" t="s">
        <v>1223</v>
      </c>
      <c r="C71" s="1373">
        <v>119</v>
      </c>
      <c r="D71" s="1373">
        <v>4</v>
      </c>
      <c r="E71" s="1373">
        <v>360</v>
      </c>
      <c r="F71" s="1373">
        <f>D71*E71/1000*6</f>
        <v>8.64</v>
      </c>
      <c r="G71" s="1373">
        <f>C71*F71</f>
        <v>1028.1600000000001</v>
      </c>
      <c r="H71" s="1373">
        <f t="shared" si="51"/>
        <v>500</v>
      </c>
      <c r="I71" s="1373">
        <f>D71*H71/1000*6</f>
        <v>12</v>
      </c>
      <c r="J71" s="1373">
        <f>C71*I71</f>
        <v>1428</v>
      </c>
      <c r="K71" s="1372">
        <f t="shared" si="1"/>
        <v>2456.16</v>
      </c>
      <c r="L71" s="1514"/>
      <c r="M71" s="1514"/>
      <c r="N71" s="1373">
        <v>119</v>
      </c>
      <c r="O71" s="1373">
        <v>4</v>
      </c>
      <c r="P71" s="1373">
        <f>$P$18</f>
        <v>500</v>
      </c>
      <c r="Q71" s="1373">
        <f>O71*P71/1000*12</f>
        <v>24</v>
      </c>
      <c r="R71" s="1373">
        <f t="shared" si="5"/>
        <v>2856</v>
      </c>
      <c r="S71" s="1253"/>
      <c r="T71" s="1253"/>
      <c r="U71" s="1250"/>
    </row>
    <row r="72" spans="1:23">
      <c r="A72" s="1245" t="s">
        <v>1019</v>
      </c>
      <c r="B72" s="1249" t="s">
        <v>1296</v>
      </c>
      <c r="C72" s="1372">
        <f>C73+C74</f>
        <v>0</v>
      </c>
      <c r="D72" s="1372"/>
      <c r="E72" s="1372"/>
      <c r="F72" s="1372"/>
      <c r="G72" s="1372">
        <f t="shared" ref="G72:J72" si="52">G73+G74</f>
        <v>0</v>
      </c>
      <c r="H72" s="1372"/>
      <c r="I72" s="1372"/>
      <c r="J72" s="1372">
        <f t="shared" si="52"/>
        <v>0</v>
      </c>
      <c r="K72" s="1372">
        <f t="shared" si="1"/>
        <v>0</v>
      </c>
      <c r="L72" s="1514"/>
      <c r="M72" s="1514"/>
      <c r="N72" s="1372">
        <f t="shared" ref="N72:R72" si="53">SUM(N73,N74)</f>
        <v>0</v>
      </c>
      <c r="O72" s="1372"/>
      <c r="P72" s="1372"/>
      <c r="Q72" s="1372"/>
      <c r="R72" s="1372">
        <f t="shared" si="53"/>
        <v>0</v>
      </c>
      <c r="S72" s="1253"/>
      <c r="T72" s="1253"/>
      <c r="U72" s="1250"/>
    </row>
    <row r="73" spans="1:23">
      <c r="A73" s="1245"/>
      <c r="B73" s="1251" t="s">
        <v>1222</v>
      </c>
      <c r="C73" s="1372"/>
      <c r="D73" s="1373">
        <v>5</v>
      </c>
      <c r="E73" s="1373">
        <v>360</v>
      </c>
      <c r="F73" s="1373">
        <f>D73*E73/1000*6</f>
        <v>10.8</v>
      </c>
      <c r="G73" s="1373">
        <f>C73*F73</f>
        <v>0</v>
      </c>
      <c r="H73" s="1373">
        <v>500</v>
      </c>
      <c r="I73" s="1373">
        <f>D73*H73/1000*6</f>
        <v>15</v>
      </c>
      <c r="J73" s="1373">
        <f>C73*I73</f>
        <v>0</v>
      </c>
      <c r="K73" s="1372">
        <f t="shared" ref="K73:K82" si="54">G73+J73</f>
        <v>0</v>
      </c>
      <c r="L73" s="1514"/>
      <c r="M73" s="1514"/>
      <c r="N73" s="1373"/>
      <c r="O73" s="1373">
        <v>5</v>
      </c>
      <c r="P73" s="1373">
        <f>$P$18</f>
        <v>500</v>
      </c>
      <c r="Q73" s="1373"/>
      <c r="R73" s="1373">
        <f t="shared" si="5"/>
        <v>0</v>
      </c>
      <c r="S73" s="1253"/>
      <c r="T73" s="1253"/>
      <c r="U73" s="1250"/>
    </row>
    <row r="74" spans="1:23">
      <c r="A74" s="1245"/>
      <c r="B74" s="1251" t="s">
        <v>1223</v>
      </c>
      <c r="C74" s="1372"/>
      <c r="D74" s="1373">
        <v>4</v>
      </c>
      <c r="E74" s="1373">
        <v>360</v>
      </c>
      <c r="F74" s="1373">
        <f>D74*E74/1000*6</f>
        <v>8.64</v>
      </c>
      <c r="G74" s="1373">
        <f>C74*F74</f>
        <v>0</v>
      </c>
      <c r="H74" s="1373">
        <f t="shared" ref="H74:H79" si="55">$H$15</f>
        <v>500</v>
      </c>
      <c r="I74" s="1373">
        <f>D74*H74/1000*6</f>
        <v>12</v>
      </c>
      <c r="J74" s="1373">
        <f>C74*I74</f>
        <v>0</v>
      </c>
      <c r="K74" s="1372">
        <f t="shared" si="54"/>
        <v>0</v>
      </c>
      <c r="L74" s="1514"/>
      <c r="M74" s="1514"/>
      <c r="N74" s="1373"/>
      <c r="O74" s="1373">
        <v>4</v>
      </c>
      <c r="P74" s="1373">
        <f>$P$18</f>
        <v>500</v>
      </c>
      <c r="Q74" s="1373"/>
      <c r="R74" s="1373">
        <f t="shared" si="5"/>
        <v>0</v>
      </c>
      <c r="S74" s="1253"/>
      <c r="T74" s="1253"/>
      <c r="U74" s="1250"/>
    </row>
    <row r="75" spans="1:23">
      <c r="A75" s="1245">
        <v>2</v>
      </c>
      <c r="B75" s="1249" t="s">
        <v>1297</v>
      </c>
      <c r="C75" s="1372">
        <v>52</v>
      </c>
      <c r="D75" s="1372">
        <v>4</v>
      </c>
      <c r="E75" s="1372">
        <v>360</v>
      </c>
      <c r="F75" s="1372">
        <f>D75*E75/1000*6</f>
        <v>8.64</v>
      </c>
      <c r="G75" s="1372">
        <f>C75*F75</f>
        <v>449.28000000000003</v>
      </c>
      <c r="H75" s="1372">
        <f t="shared" si="55"/>
        <v>500</v>
      </c>
      <c r="I75" s="1372">
        <f>D75*H75/1000*6</f>
        <v>12</v>
      </c>
      <c r="J75" s="1372">
        <f>C75*I75</f>
        <v>624</v>
      </c>
      <c r="K75" s="1372">
        <f t="shared" si="54"/>
        <v>1073.28</v>
      </c>
      <c r="L75" s="1514"/>
      <c r="M75" s="1514"/>
      <c r="N75" s="1372">
        <v>52</v>
      </c>
      <c r="O75" s="1373">
        <v>4</v>
      </c>
      <c r="P75" s="1373">
        <f>$P$18</f>
        <v>500</v>
      </c>
      <c r="Q75" s="1373">
        <f>O75*P75/1000*12</f>
        <v>24</v>
      </c>
      <c r="R75" s="1373">
        <f t="shared" si="5"/>
        <v>1248</v>
      </c>
      <c r="S75" s="1253"/>
      <c r="T75" s="1253"/>
      <c r="U75" s="1250"/>
    </row>
    <row r="76" spans="1:23">
      <c r="A76" s="1245">
        <v>3</v>
      </c>
      <c r="B76" s="1249" t="s">
        <v>1298</v>
      </c>
      <c r="C76" s="1372"/>
      <c r="D76" s="1373"/>
      <c r="E76" s="1373"/>
      <c r="F76" s="1373"/>
      <c r="G76" s="1373"/>
      <c r="H76" s="1373"/>
      <c r="I76" s="1373"/>
      <c r="J76" s="1373"/>
      <c r="K76" s="1372">
        <f t="shared" si="54"/>
        <v>0</v>
      </c>
      <c r="L76" s="1514"/>
      <c r="M76" s="1514"/>
      <c r="N76" s="1372">
        <f t="shared" ref="N76:R76" si="56">SUM(N77,N78)</f>
        <v>0</v>
      </c>
      <c r="O76" s="1372"/>
      <c r="P76" s="1372"/>
      <c r="Q76" s="1372"/>
      <c r="R76" s="1372">
        <f t="shared" si="56"/>
        <v>0</v>
      </c>
      <c r="S76" s="1253"/>
      <c r="T76" s="1253"/>
      <c r="U76" s="1250"/>
    </row>
    <row r="77" spans="1:23">
      <c r="A77" s="1245"/>
      <c r="B77" s="1251" t="s">
        <v>1222</v>
      </c>
      <c r="C77" s="1372"/>
      <c r="D77" s="1373">
        <v>5</v>
      </c>
      <c r="E77" s="1373">
        <v>360</v>
      </c>
      <c r="F77" s="1373">
        <f>D77*E77/1000*6</f>
        <v>10.8</v>
      </c>
      <c r="G77" s="1373">
        <f>C77*F77</f>
        <v>0</v>
      </c>
      <c r="H77" s="1373">
        <f t="shared" si="55"/>
        <v>500</v>
      </c>
      <c r="I77" s="1373">
        <f>D77*H77/1000*6</f>
        <v>15</v>
      </c>
      <c r="J77" s="1373">
        <f>C77*I77</f>
        <v>0</v>
      </c>
      <c r="K77" s="1372">
        <f t="shared" si="54"/>
        <v>0</v>
      </c>
      <c r="L77" s="1514"/>
      <c r="M77" s="1514"/>
      <c r="N77" s="1372"/>
      <c r="O77" s="1373">
        <v>5</v>
      </c>
      <c r="P77" s="1373">
        <f>$P$18</f>
        <v>500</v>
      </c>
      <c r="Q77" s="1373"/>
      <c r="R77" s="1373">
        <f t="shared" si="5"/>
        <v>0</v>
      </c>
      <c r="S77" s="1253"/>
      <c r="T77" s="1253"/>
      <c r="U77" s="1250"/>
    </row>
    <row r="78" spans="1:23">
      <c r="A78" s="1254"/>
      <c r="B78" s="1251" t="s">
        <v>1299</v>
      </c>
      <c r="C78" s="1372"/>
      <c r="D78" s="1373">
        <v>4</v>
      </c>
      <c r="E78" s="1373">
        <v>360</v>
      </c>
      <c r="F78" s="1373">
        <f>D78*E78/1000*6</f>
        <v>8.64</v>
      </c>
      <c r="G78" s="1373">
        <f>C78*F78</f>
        <v>0</v>
      </c>
      <c r="H78" s="1373">
        <f t="shared" si="55"/>
        <v>500</v>
      </c>
      <c r="I78" s="1373">
        <f>D78*H78/1000*6</f>
        <v>12</v>
      </c>
      <c r="J78" s="1373">
        <f>C78*I78</f>
        <v>0</v>
      </c>
      <c r="K78" s="1372">
        <f t="shared" si="54"/>
        <v>0</v>
      </c>
      <c r="L78" s="1514"/>
      <c r="M78" s="1514"/>
      <c r="N78" s="1373"/>
      <c r="O78" s="1373">
        <v>4</v>
      </c>
      <c r="P78" s="1373">
        <f>$P$18</f>
        <v>500</v>
      </c>
      <c r="Q78" s="1373"/>
      <c r="R78" s="1373">
        <f t="shared" si="5"/>
        <v>0</v>
      </c>
      <c r="S78" s="1253"/>
      <c r="T78" s="1253"/>
      <c r="U78" s="1250"/>
    </row>
    <row r="79" spans="1:23" ht="46.8">
      <c r="A79" s="1245">
        <v>2</v>
      </c>
      <c r="B79" s="1249" t="s">
        <v>1300</v>
      </c>
      <c r="C79" s="1372"/>
      <c r="D79" s="1372"/>
      <c r="E79" s="1372"/>
      <c r="F79" s="1372"/>
      <c r="G79" s="1372"/>
      <c r="H79" s="1372">
        <f t="shared" si="55"/>
        <v>500</v>
      </c>
      <c r="I79" s="1372"/>
      <c r="J79" s="1372"/>
      <c r="K79" s="1372">
        <f t="shared" si="54"/>
        <v>0</v>
      </c>
      <c r="L79" s="1516"/>
      <c r="M79" s="1516"/>
      <c r="N79" s="1372"/>
      <c r="O79" s="1373"/>
      <c r="P79" s="1373"/>
      <c r="Q79" s="1373"/>
      <c r="R79" s="1373">
        <f t="shared" ref="R79:R82" si="57">N79*Q79</f>
        <v>0</v>
      </c>
      <c r="S79" s="1253"/>
      <c r="T79" s="1253"/>
      <c r="U79" s="1250"/>
    </row>
    <row r="80" spans="1:23" s="1238" customFormat="1">
      <c r="A80" s="1245" t="s">
        <v>37</v>
      </c>
      <c r="B80" s="1249" t="s">
        <v>1301</v>
      </c>
      <c r="C80" s="1372"/>
      <c r="D80" s="1372"/>
      <c r="E80" s="1372"/>
      <c r="F80" s="1372"/>
      <c r="G80" s="1372"/>
      <c r="H80" s="1372"/>
      <c r="I80" s="1372"/>
      <c r="J80" s="1372"/>
      <c r="K80" s="1372">
        <f t="shared" si="54"/>
        <v>0</v>
      </c>
      <c r="L80" s="1516"/>
      <c r="M80" s="1516"/>
      <c r="N80" s="1372"/>
      <c r="O80" s="1372"/>
      <c r="P80" s="1372"/>
      <c r="Q80" s="1372"/>
      <c r="R80" s="1372">
        <f t="shared" si="57"/>
        <v>0</v>
      </c>
      <c r="S80" s="1261"/>
      <c r="T80" s="1261"/>
      <c r="U80" s="1247"/>
    </row>
    <row r="81" spans="1:21" s="1238" customFormat="1">
      <c r="A81" s="1245"/>
      <c r="B81" s="1249" t="s">
        <v>1302</v>
      </c>
      <c r="C81" s="1372"/>
      <c r="D81" s="1372"/>
      <c r="E81" s="1372"/>
      <c r="F81" s="1516"/>
      <c r="G81" s="1516"/>
      <c r="H81" s="1372"/>
      <c r="I81" s="1516"/>
      <c r="J81" s="1516"/>
      <c r="K81" s="1372">
        <f t="shared" si="54"/>
        <v>0</v>
      </c>
      <c r="L81" s="1516"/>
      <c r="M81" s="1516"/>
      <c r="N81" s="1372"/>
      <c r="O81" s="1372">
        <v>4.4999999999999998E-2</v>
      </c>
      <c r="P81" s="1372"/>
      <c r="Q81" s="1372"/>
      <c r="R81" s="1372">
        <f t="shared" si="57"/>
        <v>0</v>
      </c>
      <c r="S81" s="1261"/>
      <c r="T81" s="1261"/>
      <c r="U81" s="1247"/>
    </row>
    <row r="82" spans="1:21" s="1238" customFormat="1">
      <c r="A82" s="1245" t="s">
        <v>37</v>
      </c>
      <c r="B82" s="1249" t="s">
        <v>1303</v>
      </c>
      <c r="C82" s="1372">
        <v>3840</v>
      </c>
      <c r="D82" s="1372">
        <v>20</v>
      </c>
      <c r="E82" s="1372">
        <v>360</v>
      </c>
      <c r="F82" s="1372">
        <f>D82*E82/1000</f>
        <v>7.2</v>
      </c>
      <c r="G82" s="1372">
        <f>C82*F82</f>
        <v>27648</v>
      </c>
      <c r="H82" s="1372">
        <v>500</v>
      </c>
      <c r="I82" s="1372">
        <f>D82*H82/1000</f>
        <v>10</v>
      </c>
      <c r="J82" s="1372">
        <f>C82*I82</f>
        <v>38400</v>
      </c>
      <c r="K82" s="1372">
        <f t="shared" si="54"/>
        <v>66048</v>
      </c>
      <c r="L82" s="1518"/>
      <c r="M82" s="1518"/>
      <c r="N82" s="1372">
        <v>3840</v>
      </c>
      <c r="O82" s="1372">
        <v>20</v>
      </c>
      <c r="P82" s="1372">
        <v>500</v>
      </c>
      <c r="Q82" s="1372">
        <f>O82*P82/1000</f>
        <v>10</v>
      </c>
      <c r="R82" s="1372">
        <f t="shared" si="57"/>
        <v>38400</v>
      </c>
      <c r="S82" s="1261"/>
      <c r="T82" s="1261"/>
      <c r="U82" s="1261"/>
    </row>
    <row r="83" spans="1:21">
      <c r="A83" s="1268"/>
      <c r="B83" s="1269"/>
      <c r="C83" s="1374"/>
      <c r="D83" s="1375"/>
      <c r="E83" s="1376"/>
      <c r="F83" s="1376"/>
      <c r="G83" s="1376"/>
      <c r="H83" s="1376"/>
      <c r="I83" s="1376"/>
      <c r="J83" s="1376"/>
      <c r="K83" s="1376"/>
      <c r="L83" s="1376"/>
      <c r="M83" s="1376"/>
      <c r="N83" s="1377"/>
      <c r="O83" s="1378"/>
      <c r="P83" s="1378"/>
      <c r="Q83" s="1379"/>
      <c r="R83" s="1379"/>
      <c r="S83" s="1270"/>
      <c r="T83" s="1270"/>
      <c r="U83" s="1270"/>
    </row>
    <row r="84" spans="1:21">
      <c r="E84" s="6127"/>
      <c r="F84" s="6127"/>
      <c r="G84" s="6127"/>
      <c r="H84" s="6127"/>
      <c r="I84" s="6127"/>
      <c r="J84" s="6127"/>
      <c r="K84" s="6127"/>
      <c r="L84" s="6127"/>
      <c r="M84" s="6127"/>
      <c r="P84" s="6128"/>
      <c r="Q84" s="6128"/>
      <c r="R84" s="6128"/>
      <c r="S84" s="6128"/>
      <c r="T84" s="6128"/>
    </row>
    <row r="85" spans="1:21">
      <c r="P85" s="6121"/>
      <c r="Q85" s="6121"/>
      <c r="R85" s="6121"/>
      <c r="S85" s="6121"/>
      <c r="T85" s="6121"/>
    </row>
    <row r="86" spans="1:21">
      <c r="P86" s="6121"/>
      <c r="Q86" s="6121"/>
      <c r="R86" s="6121"/>
      <c r="S86" s="6121"/>
      <c r="T86" s="6121"/>
    </row>
    <row r="87" spans="1:21">
      <c r="P87" s="6127"/>
      <c r="Q87" s="6127"/>
      <c r="R87" s="6127"/>
      <c r="S87" s="6127"/>
      <c r="T87" s="6127"/>
    </row>
  </sheetData>
  <mergeCells count="37">
    <mergeCell ref="A1:B1"/>
    <mergeCell ref="Q1:R1"/>
    <mergeCell ref="S1:U1"/>
    <mergeCell ref="A2:T2"/>
    <mergeCell ref="A4:T4"/>
    <mergeCell ref="A3:R3"/>
    <mergeCell ref="C5:M5"/>
    <mergeCell ref="C6:C9"/>
    <mergeCell ref="E84:M84"/>
    <mergeCell ref="P84:T84"/>
    <mergeCell ref="U6:U9"/>
    <mergeCell ref="D6:D9"/>
    <mergeCell ref="E6:G6"/>
    <mergeCell ref="H6:J6"/>
    <mergeCell ref="K6:K9"/>
    <mergeCell ref="L6:L9"/>
    <mergeCell ref="M6:M9"/>
    <mergeCell ref="E7:E9"/>
    <mergeCell ref="F7:F9"/>
    <mergeCell ref="G7:G9"/>
    <mergeCell ref="H7:H9"/>
    <mergeCell ref="P85:T85"/>
    <mergeCell ref="P86:T86"/>
    <mergeCell ref="A5:A9"/>
    <mergeCell ref="B5:B9"/>
    <mergeCell ref="P87:T87"/>
    <mergeCell ref="N5:R5"/>
    <mergeCell ref="I7:I9"/>
    <mergeCell ref="J7:J9"/>
    <mergeCell ref="O7:O9"/>
    <mergeCell ref="P7:P9"/>
    <mergeCell ref="Q7:Q9"/>
    <mergeCell ref="N6:N9"/>
    <mergeCell ref="O6:Q6"/>
    <mergeCell ref="R6:R9"/>
    <mergeCell ref="S6:S9"/>
    <mergeCell ref="T6:T9"/>
  </mergeCells>
  <hyperlinks>
    <hyperlink ref="A5:A9" location="'Danh mục file'!A1" display="STT"/>
  </hyperlinks>
  <printOptions horizontalCentered="1"/>
  <pageMargins left="0" right="0" top="0.39370078740157483" bottom="0.39370078740157483" header="0" footer="0"/>
  <pageSetup paperSize="9" scale="65" orientation="landscape" r:id="rId1"/>
  <headerFooter>
    <oddHeader>&amp;R&amp;A</oddHeader>
    <oddFooter>&amp;C&amp;P/&amp;N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E142"/>
  <sheetViews>
    <sheetView topLeftCell="A80" workbookViewId="0">
      <selection activeCell="G95" sqref="G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THÁP MƯỜI'!A1:C1</f>
        <v>PHỤ LỤC I</v>
      </c>
      <c r="B1" s="6281"/>
      <c r="C1" s="6281"/>
    </row>
    <row r="2" spans="1:3">
      <c r="A2" s="6281" t="str">
        <f>+'H. THÁP MƯỜI'!A2:C2</f>
        <v>NHIỆM VỤ THU NGÂN SÁCH NHÀ NƯỚC NĂM 2025</v>
      </c>
      <c r="B2" s="6281"/>
      <c r="C2" s="6281"/>
    </row>
    <row r="3" spans="1:3">
      <c r="A3" s="6281" t="s">
        <v>1495</v>
      </c>
      <c r="B3" s="6281"/>
      <c r="C3" s="6281"/>
    </row>
    <row r="4" spans="1:3">
      <c r="A4" s="6498" t="str">
        <f>+'H. THÁP MƯỜI'!A4:C4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SUM(C10,C16,C19,C20,C21,C22,C26,C29,C32,C36)</f>
        <v>276200</v>
      </c>
    </row>
    <row r="9" spans="1:3" s="2642" customFormat="1">
      <c r="A9" s="5025"/>
      <c r="B9" s="697" t="s">
        <v>784</v>
      </c>
      <c r="C9" s="5026">
        <f>C8-C29</f>
        <v>216200</v>
      </c>
    </row>
    <row r="10" spans="1:3">
      <c r="A10" s="5027">
        <v>1</v>
      </c>
      <c r="B10" s="701" t="s">
        <v>1477</v>
      </c>
      <c r="C10" s="5028">
        <f>SUM(C11:C15)</f>
        <v>117000</v>
      </c>
    </row>
    <row r="11" spans="1:3">
      <c r="A11" s="5029" t="s">
        <v>29</v>
      </c>
      <c r="B11" s="704" t="s">
        <v>786</v>
      </c>
      <c r="C11" s="5032">
        <f>+'Phụ lục 7-HĐND'!AD10</f>
        <v>37700</v>
      </c>
    </row>
    <row r="12" spans="1:3">
      <c r="A12" s="5029" t="s">
        <v>29</v>
      </c>
      <c r="B12" s="704" t="s">
        <v>787</v>
      </c>
      <c r="C12" s="5032">
        <f>+'Phụ lục 7-HĐND'!AD11</f>
        <v>76000</v>
      </c>
    </row>
    <row r="13" spans="1:3">
      <c r="A13" s="5029" t="s">
        <v>29</v>
      </c>
      <c r="B13" s="704" t="s">
        <v>788</v>
      </c>
      <c r="C13" s="5032">
        <f>+'Phụ lục 7-HĐND'!AD12</f>
        <v>100</v>
      </c>
    </row>
    <row r="14" spans="1:3">
      <c r="A14" s="5029" t="s">
        <v>29</v>
      </c>
      <c r="B14" s="704" t="s">
        <v>10</v>
      </c>
      <c r="C14" s="5032">
        <f>+'Phụ lục 7-HĐND'!AD13</f>
        <v>3200</v>
      </c>
    </row>
    <row r="15" spans="1:3">
      <c r="A15" s="5029" t="s">
        <v>29</v>
      </c>
      <c r="B15" s="704" t="s">
        <v>789</v>
      </c>
      <c r="C15" s="5032">
        <f>+'Phụ lục 7-HĐND'!AD14</f>
        <v>0</v>
      </c>
    </row>
    <row r="16" spans="1:3">
      <c r="A16" s="5027">
        <v>2</v>
      </c>
      <c r="B16" s="701" t="s">
        <v>20</v>
      </c>
      <c r="C16" s="5028">
        <f>SUM(C17:C18)</f>
        <v>27000</v>
      </c>
    </row>
    <row r="17" spans="1:3" hidden="1">
      <c r="A17" s="5031" t="s">
        <v>29</v>
      </c>
      <c r="B17" s="43" t="s">
        <v>790</v>
      </c>
      <c r="C17" s="5032">
        <f>+'Phụ lục 7-HĐND'!AD16</f>
        <v>0</v>
      </c>
    </row>
    <row r="18" spans="1:3" hidden="1">
      <c r="A18" s="5033" t="s">
        <v>29</v>
      </c>
      <c r="B18" s="711" t="s">
        <v>791</v>
      </c>
      <c r="C18" s="5032">
        <f>+'Phụ lục 7-HĐND'!AD17</f>
        <v>27000</v>
      </c>
    </row>
    <row r="19" spans="1:3" s="386" customFormat="1" ht="17.399999999999999">
      <c r="A19" s="5027">
        <v>3</v>
      </c>
      <c r="B19" s="701" t="s">
        <v>17</v>
      </c>
      <c r="C19" s="5028">
        <f>+'Phụ lục 7-HĐND'!AD18</f>
        <v>26000</v>
      </c>
    </row>
    <row r="20" spans="1:3" s="386" customFormat="1" ht="17.399999999999999">
      <c r="A20" s="5027">
        <v>4</v>
      </c>
      <c r="B20" s="701" t="s">
        <v>792</v>
      </c>
      <c r="C20" s="5028">
        <f>+'Phụ lục 7-HĐND'!AD19</f>
        <v>0</v>
      </c>
    </row>
    <row r="21" spans="1:3" s="386" customFormat="1" ht="17.399999999999999">
      <c r="A21" s="5027">
        <v>4</v>
      </c>
      <c r="B21" s="701" t="s">
        <v>97</v>
      </c>
      <c r="C21" s="5028">
        <f>+'Phụ lục 7-HĐND'!AD20</f>
        <v>800</v>
      </c>
    </row>
    <row r="22" spans="1:3" s="386" customFormat="1" ht="17.399999999999999">
      <c r="A22" s="5027">
        <v>5</v>
      </c>
      <c r="B22" s="701" t="s">
        <v>793</v>
      </c>
      <c r="C22" s="5028">
        <f>SUM(C23:C25)</f>
        <v>15400</v>
      </c>
    </row>
    <row r="23" spans="1:3">
      <c r="A23" s="5034" t="s">
        <v>29</v>
      </c>
      <c r="B23" s="43" t="s">
        <v>794</v>
      </c>
      <c r="C23" s="5032">
        <f>+'Phụ lục 7-HĐND'!AD22</f>
        <v>4500</v>
      </c>
    </row>
    <row r="24" spans="1:3">
      <c r="A24" s="5034" t="s">
        <v>29</v>
      </c>
      <c r="B24" s="43" t="s">
        <v>795</v>
      </c>
      <c r="C24" s="5032">
        <f>+'Phụ lục 7-HĐND'!AD23</f>
        <v>0</v>
      </c>
    </row>
    <row r="25" spans="1:3">
      <c r="A25" s="5034" t="s">
        <v>29</v>
      </c>
      <c r="B25" s="43" t="s">
        <v>796</v>
      </c>
      <c r="C25" s="5032">
        <f>+'Phụ lục 7-HĐND'!AD24</f>
        <v>10900</v>
      </c>
    </row>
    <row r="26" spans="1:3" s="386" customFormat="1" ht="17.399999999999999">
      <c r="A26" s="5027">
        <v>6</v>
      </c>
      <c r="B26" s="701" t="s">
        <v>24</v>
      </c>
      <c r="C26" s="5028">
        <f>SUM(C27:C28)</f>
        <v>5000</v>
      </c>
    </row>
    <row r="27" spans="1:3">
      <c r="A27" s="5034" t="s">
        <v>29</v>
      </c>
      <c r="B27" s="43" t="s">
        <v>790</v>
      </c>
      <c r="C27" s="5032">
        <f>+'Phụ lục 7-HĐND'!AD26</f>
        <v>0</v>
      </c>
    </row>
    <row r="28" spans="1:3">
      <c r="A28" s="5035" t="s">
        <v>29</v>
      </c>
      <c r="B28" s="711" t="s">
        <v>1809</v>
      </c>
      <c r="C28" s="5032">
        <f>+'Phụ lục 7-HĐND'!AD27</f>
        <v>5000</v>
      </c>
    </row>
    <row r="29" spans="1:3" s="386" customFormat="1" ht="17.399999999999999">
      <c r="A29" s="5027">
        <v>7</v>
      </c>
      <c r="B29" s="701" t="s">
        <v>242</v>
      </c>
      <c r="C29" s="5028">
        <f>SUM(C30:C31)</f>
        <v>60000</v>
      </c>
    </row>
    <row r="30" spans="1:3">
      <c r="A30" s="5034" t="s">
        <v>29</v>
      </c>
      <c r="B30" s="43" t="s">
        <v>790</v>
      </c>
      <c r="C30" s="5032">
        <f>+'Phụ lục 7-HĐND'!AD29</f>
        <v>0</v>
      </c>
    </row>
    <row r="31" spans="1:3">
      <c r="A31" s="5035" t="s">
        <v>29</v>
      </c>
      <c r="B31" s="711" t="s">
        <v>1810</v>
      </c>
      <c r="C31" s="5032">
        <f>+'Phụ lục 7-HĐND'!AD30</f>
        <v>60000</v>
      </c>
    </row>
    <row r="32" spans="1:3" s="386" customFormat="1" ht="17.399999999999999">
      <c r="A32" s="5027">
        <v>8</v>
      </c>
      <c r="B32" s="701" t="s">
        <v>798</v>
      </c>
      <c r="C32" s="5028">
        <f>SUM(C33:C35)</f>
        <v>25000</v>
      </c>
    </row>
    <row r="33" spans="1:3">
      <c r="A33" s="5034" t="s">
        <v>29</v>
      </c>
      <c r="B33" s="43" t="s">
        <v>799</v>
      </c>
      <c r="C33" s="5032">
        <f>+'Phụ lục 7-HĐND'!AD32</f>
        <v>3000</v>
      </c>
    </row>
    <row r="34" spans="1:3">
      <c r="A34" s="5034" t="s">
        <v>29</v>
      </c>
      <c r="B34" s="43" t="s">
        <v>800</v>
      </c>
      <c r="C34" s="5032">
        <f>+'Phụ lục 7-HĐND'!AD33</f>
        <v>2000</v>
      </c>
    </row>
    <row r="35" spans="1:3">
      <c r="A35" s="5034" t="s">
        <v>29</v>
      </c>
      <c r="B35" s="43" t="s">
        <v>801</v>
      </c>
      <c r="C35" s="5032">
        <f>+'Phụ lục 7-HĐND'!AD34</f>
        <v>20000</v>
      </c>
    </row>
    <row r="36" spans="1:3" s="386" customFormat="1" ht="17.399999999999999">
      <c r="A36" s="5027">
        <v>9</v>
      </c>
      <c r="B36" s="5036" t="s">
        <v>1811</v>
      </c>
      <c r="C36" s="5028">
        <f>+'Phụ lục 7-HĐND'!AD35</f>
        <v>0</v>
      </c>
    </row>
    <row r="37" spans="1:3">
      <c r="A37" s="5027" t="s">
        <v>33</v>
      </c>
      <c r="B37" s="701" t="s">
        <v>1812</v>
      </c>
      <c r="C37" s="5037"/>
    </row>
    <row r="38" spans="1:3">
      <c r="A38" s="5027"/>
      <c r="B38" s="704" t="s">
        <v>1813</v>
      </c>
      <c r="C38" s="5038">
        <v>1</v>
      </c>
    </row>
    <row r="39" spans="1:3" s="596" customFormat="1">
      <c r="A39" s="4971" t="s">
        <v>182</v>
      </c>
      <c r="B39" s="4972" t="s">
        <v>802</v>
      </c>
      <c r="C39" s="613">
        <f>SUM(C40:C42)</f>
        <v>750709.82700000005</v>
      </c>
    </row>
    <row r="40" spans="1:3" s="596" customFormat="1">
      <c r="A40" s="1926">
        <v>1</v>
      </c>
      <c r="B40" s="4968" t="s">
        <v>803</v>
      </c>
      <c r="C40" s="2608">
        <f>+'Phụ lục 7-HĐND'!AD37</f>
        <v>470689</v>
      </c>
    </row>
    <row r="41" spans="1:3" s="596" customFormat="1">
      <c r="A41" s="1926">
        <v>2</v>
      </c>
      <c r="B41" s="1927" t="s">
        <v>3136</v>
      </c>
      <c r="C41" s="2608">
        <f>+'Phụ lục 7-HĐND'!AD38</f>
        <v>201862</v>
      </c>
    </row>
    <row r="42" spans="1:3" s="596" customFormat="1">
      <c r="A42" s="1926">
        <v>3</v>
      </c>
      <c r="B42" s="4968" t="s">
        <v>3206</v>
      </c>
      <c r="C42" s="2608">
        <f>+'Phụ lục 7-HĐND'!AD39</f>
        <v>78158.827000000005</v>
      </c>
    </row>
    <row r="43" spans="1:3" s="596" customFormat="1" ht="18.600000000000001" thickBot="1">
      <c r="A43" s="4539" t="s">
        <v>215</v>
      </c>
      <c r="B43" s="5042" t="s">
        <v>1721</v>
      </c>
      <c r="C43" s="5077">
        <f>+'Phụ lục 7-HĐND'!AD40</f>
        <v>0</v>
      </c>
    </row>
    <row r="44" spans="1:3" ht="18.600000000000001" thickTop="1">
      <c r="A44" s="2914"/>
      <c r="B44" s="2914" t="s">
        <v>809</v>
      </c>
      <c r="C44" s="2915"/>
    </row>
    <row r="46" spans="1:3">
      <c r="A46" s="6744" t="s">
        <v>1717</v>
      </c>
      <c r="B46" s="6744"/>
      <c r="C46" s="6744"/>
    </row>
    <row r="47" spans="1:3" ht="43.5" customHeight="1">
      <c r="A47" s="6759" t="str">
        <f>+'H. THÁP MƯỜI'!A47:C47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1.25" customHeight="1">
      <c r="A48" s="6759" t="str">
        <f>+'H. THÁP MƯỜI'!A48:C48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THÁP MƯỜI'!A49</f>
        <v>(4): Các khoản thu phân chia theo tỷ lệ (%) giữa ngân sách cấp Tỉnh và ngân sách cấp huyện</v>
      </c>
    </row>
    <row r="50" spans="1:3">
      <c r="A50" s="381" t="str">
        <f>+'H. THÁP MƯỜI'!A50</f>
        <v>(5): Chi tiết thu bổ sung có mục tiêu theo Phụ lục số III</v>
      </c>
    </row>
    <row r="64" spans="1:3">
      <c r="A64" s="6281" t="str">
        <f>+'H. THÁP MƯỜI'!A65:C65</f>
        <v>PHỤ LỤC II</v>
      </c>
      <c r="B64" s="6281"/>
      <c r="C64" s="6281"/>
    </row>
    <row r="65" spans="1:3">
      <c r="A65" s="6281" t="str">
        <f>+'H. THÁP MƯỜI'!A66:C66</f>
        <v>NHIỆM VỤ CHI NGÂN SÁCH HUYỆN, THÀNH PHỐ NĂM 2025</v>
      </c>
      <c r="B65" s="6281"/>
      <c r="C65" s="6281"/>
    </row>
    <row r="66" spans="1:3">
      <c r="A66" s="6281" t="str">
        <f>A3</f>
        <v>HUYỆN LẤP VÒ</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THÁP MƯỜI'!B64</f>
        <v>Nội dung</v>
      </c>
      <c r="C70" s="4543" t="str">
        <f>C7</f>
        <v>Dự toán năm 2025</v>
      </c>
    </row>
    <row r="71" spans="1:3">
      <c r="A71" s="5049"/>
      <c r="B71" s="693" t="str">
        <f>'[2]H. THÁP MƯỜI'!B65</f>
        <v>Tổng chi (I+II+III+IV)</v>
      </c>
      <c r="C71" s="5024">
        <f>C72+C76+C80+C81+C82</f>
        <v>1007609.827</v>
      </c>
    </row>
    <row r="72" spans="1:3">
      <c r="A72" s="5050" t="s">
        <v>3</v>
      </c>
      <c r="B72" s="2910" t="str">
        <f>'[2]H. THÁP MƯỜI'!B66</f>
        <v>Chi đầu tư phát triển (1)</v>
      </c>
      <c r="C72" s="5028">
        <f>SUM(C74:C75)</f>
        <v>96000</v>
      </c>
    </row>
    <row r="73" spans="1:3">
      <c r="A73" s="5051"/>
      <c r="B73" s="2916" t="str">
        <f>'[2]H. THÁP MƯỜI'!B67</f>
        <v>Bao gồm:</v>
      </c>
      <c r="C73" s="5032"/>
    </row>
    <row r="74" spans="1:3">
      <c r="A74" s="5052">
        <v>1</v>
      </c>
      <c r="B74" s="2917" t="str">
        <f>'[2]H. THÁP MƯỜI'!B68</f>
        <v>Chi đầu tư xây dựng cơ bản</v>
      </c>
      <c r="C74" s="5032">
        <f>+'Phụ lục 8-HĐND'!L9</f>
        <v>42000</v>
      </c>
    </row>
    <row r="75" spans="1:3">
      <c r="A75" s="5052">
        <v>2</v>
      </c>
      <c r="B75" s="2917" t="str">
        <f>'[2]H. THÁP MƯỜI'!B69</f>
        <v>Chi đầu tư từ nguồn thu tiền sử dụng đất</v>
      </c>
      <c r="C75" s="5032">
        <f>+'Phụ lục 8-HĐND'!L10</f>
        <v>54000</v>
      </c>
    </row>
    <row r="76" spans="1:3">
      <c r="A76" s="5050" t="s">
        <v>33</v>
      </c>
      <c r="B76" s="2910" t="str">
        <f>'[2]H. THÁP MƯỜI'!B70</f>
        <v>Chi thường xuyên (2)</v>
      </c>
      <c r="C76" s="5028">
        <f>+'Phụ lục 8-HĐND'!L11</f>
        <v>865247.91131489223</v>
      </c>
    </row>
    <row r="77" spans="1:3">
      <c r="A77" s="5053"/>
      <c r="B77" s="2907" t="str">
        <f>'[2]H. THÁP MƯỜI'!B71</f>
        <v>Bao gồm:</v>
      </c>
      <c r="C77" s="5032"/>
    </row>
    <row r="78" spans="1:3">
      <c r="A78" s="5052">
        <v>1</v>
      </c>
      <c r="B78" s="2909" t="str">
        <f>'[2]H. THÁP MƯỜI'!B72</f>
        <v>Sự nghiệp giáo dục - đào tạo (3)</v>
      </c>
      <c r="C78" s="5032">
        <f>+'Phụ lục 8-HĐND'!L13</f>
        <v>451849.5</v>
      </c>
    </row>
    <row r="79" spans="1:3">
      <c r="A79" s="5052">
        <v>2</v>
      </c>
      <c r="B79" s="2909" t="str">
        <f>'[2]H. THÁP MƯỜI'!B73</f>
        <v>Các khoản chi thường xuyên còn lại</v>
      </c>
      <c r="C79" s="5032">
        <f>+'Phụ lục 8-HĐND'!L14</f>
        <v>413398.41131489223</v>
      </c>
    </row>
    <row r="80" spans="1:3">
      <c r="A80" s="5050" t="s">
        <v>182</v>
      </c>
      <c r="B80" s="2910" t="str">
        <f>'[2]H. THÁP MƯỜI'!B74</f>
        <v>Dự phòng ngân sách</v>
      </c>
      <c r="C80" s="5028">
        <f>+'Phụ lục 8-HĐND'!L15</f>
        <v>18754.400000000001</v>
      </c>
    </row>
    <row r="81" spans="1:3">
      <c r="A81" s="5050" t="s">
        <v>215</v>
      </c>
      <c r="B81" s="2910" t="str">
        <f>'[2]H. THÁP MƯỜI'!B75</f>
        <v>Chi tạo nguồn cải cách tiền lương</v>
      </c>
      <c r="C81" s="5028">
        <f>+'Phụ lục 8-HĐND'!L16</f>
        <v>0</v>
      </c>
    </row>
    <row r="82" spans="1:3">
      <c r="A82" s="5073" t="s">
        <v>718</v>
      </c>
      <c r="B82" s="701" t="str">
        <f>'[2]H. THÁP MƯỜI'!B76</f>
        <v>Chi từ nguồn ngân sách cấp Tỉnh bổ sung có mục tiêu</v>
      </c>
      <c r="C82" s="5028">
        <f>SUM(C83:C87)</f>
        <v>27607.515685107792</v>
      </c>
    </row>
    <row r="83" spans="1:3">
      <c r="A83" s="5055" t="s">
        <v>29</v>
      </c>
      <c r="B83" s="704" t="str">
        <f>+'H. THÁP MƯỜI'!B84</f>
        <v>Chi đầu tư xây dựng cơ bản</v>
      </c>
      <c r="C83" s="5032">
        <f>+'Phụ lục 8-HĐND'!L18</f>
        <v>0</v>
      </c>
    </row>
    <row r="84" spans="1:3">
      <c r="A84" s="5055" t="s">
        <v>29</v>
      </c>
      <c r="B84" s="704" t="str">
        <f>+'H. THÁP MƯỜI'!B85</f>
        <v>Chi đầu tư từ nguồn xổ số kiến thiết</v>
      </c>
      <c r="C84" s="5032">
        <f>+'Phụ lục 8-HĐND'!L19</f>
        <v>0</v>
      </c>
    </row>
    <row r="85" spans="1:3">
      <c r="A85" s="5055" t="s">
        <v>29</v>
      </c>
      <c r="B85" s="704" t="str">
        <f>+'H. THÁP MƯỜI'!B86</f>
        <v>Chi từ nguồn ngân sách trung ương bổ sung có mục tiêu (kinh phí biên chế giáo viên tăng thêm)</v>
      </c>
      <c r="C85" s="5032">
        <f>+'Phụ lục 8-HĐND'!L20</f>
        <v>859</v>
      </c>
    </row>
    <row r="86" spans="1:3">
      <c r="A86" s="5056" t="s">
        <v>29</v>
      </c>
      <c r="B86" s="704" t="str">
        <f>+'H. THÁP MƯỜI'!B87</f>
        <v>Chi từ nguồn ngân sách trung ương bổ sung có mục tiêu (kinh phí hỗ trợ địa phương sản xuất lúa năm 2025)</v>
      </c>
      <c r="C86" s="5032">
        <f>+'Phụ lục 8-HĐND'!L21</f>
        <v>3500</v>
      </c>
    </row>
    <row r="87" spans="1:3" ht="18.600000000000001" thickBot="1">
      <c r="A87" s="5057"/>
      <c r="B87" s="5058" t="str">
        <f>+'H. THÁP MƯỜI'!B88</f>
        <v>Chi từ nguồn ngân sách trung ương bổ sung có mục tiêu (chính sách an sinh xã hội năm 2025)</v>
      </c>
      <c r="C87" s="5059">
        <f>+'Phụ lục 8-HĐND'!L22</f>
        <v>23248.515685107792</v>
      </c>
    </row>
    <row r="88" spans="1:3" ht="18.600000000000001" thickTop="1"/>
    <row r="89" spans="1:3">
      <c r="A89" s="588" t="s">
        <v>1717</v>
      </c>
      <c r="B89" s="2903"/>
    </row>
    <row r="90" spans="1:3">
      <c r="A90" s="6761" t="s">
        <v>1828</v>
      </c>
      <c r="B90" s="6762"/>
      <c r="C90" s="6762"/>
    </row>
    <row r="91" spans="1:3" ht="61.5" customHeight="1">
      <c r="A91" s="6772" t="str">
        <f>+'H. THÁP MƯỜI'!A92:C92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c r="A92" s="6769" t="str">
        <f>+'H. THÁP MƯỜI'!A93:C93</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65.25" customHeight="1">
      <c r="A94" s="6769" t="str">
        <f>+'H. THÁP MƯỜI'!A95:C95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ht="39" customHeight="1">
      <c r="A95" s="6770" t="str">
        <f>+'H. THÁP MƯỜI'!A96:C96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c r="A96" s="381" t="str">
        <f>+'H. THÁP MƯỜI'!A97</f>
        <v xml:space="preserve">- Bao gồm 10% tiết kiệm tăng thêm năm 2025 so với năm 2024 để thực hiện cải cách tiền lương năm 2025 là: </v>
      </c>
      <c r="C96" s="2912" t="s">
        <v>1830</v>
      </c>
    </row>
    <row r="97" spans="1:3" s="2704" customFormat="1" ht="17.399999999999999">
      <c r="A97" s="2704" t="str">
        <f>'[2]H. THÁP MƯỜI'!A91</f>
        <v>(3): Trong đó:</v>
      </c>
    </row>
    <row r="98" spans="1:3" s="2705" customFormat="1" ht="60" customHeight="1">
      <c r="A98" s="6769" t="str">
        <f>+'H. THÁP MƯỜI'!A99:C99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2" spans="1:3">
      <c r="A122" s="6281" t="str">
        <f>+'H. THÁP MƯỜI'!A125:C125</f>
        <v>PHỤ LỤC III</v>
      </c>
      <c r="B122" s="6281"/>
      <c r="C122" s="6281"/>
    </row>
    <row r="123" spans="1:3">
      <c r="A123" s="6281" t="str">
        <f>+'H. THÁP MƯỜI'!A126:C126</f>
        <v>CHI TỪ NGUỒN NGÂN SÁCH CẤP TỈNH BỔ SUNG CÓ MỤC TIÊU NĂM 2025</v>
      </c>
      <c r="B123" s="6281"/>
      <c r="C123" s="6281"/>
    </row>
    <row r="124" spans="1:3">
      <c r="A124" s="6281" t="str">
        <f>A66</f>
        <v>HUYỆN LẤP VÒ</v>
      </c>
      <c r="B124" s="6281"/>
      <c r="C124" s="6281"/>
    </row>
    <row r="125" spans="1:3">
      <c r="A125" s="6496" t="str">
        <f>+A67</f>
        <v>(Kèm theo Quyết định số        /QĐ-UBND-HC ngày      /12/2024 của Uỷ ban nhân dân tỉnh Đồng Tháp)</v>
      </c>
      <c r="B125" s="6496"/>
      <c r="C125" s="6496"/>
    </row>
    <row r="127" spans="1:3" ht="18.600000000000001" thickBot="1">
      <c r="A127" s="2899"/>
      <c r="B127" s="2899"/>
      <c r="C127" s="2883" t="str">
        <f>C69</f>
        <v>Đơn vị tính: Triệu đồng</v>
      </c>
    </row>
    <row r="128" spans="1:3" ht="35.4" thickTop="1">
      <c r="A128" s="5014" t="s">
        <v>136</v>
      </c>
      <c r="B128" s="4862" t="s">
        <v>137</v>
      </c>
      <c r="C128" s="4861" t="str">
        <f>+C70</f>
        <v>Dự toán năm 2025</v>
      </c>
    </row>
    <row r="129" spans="1:5">
      <c r="A129" s="5015"/>
      <c r="B129" s="682" t="s">
        <v>3196</v>
      </c>
      <c r="C129" s="5016">
        <f>SUM(C130:C141)</f>
        <v>78158.827000000005</v>
      </c>
      <c r="E129" s="667">
        <f>+C42-C129</f>
        <v>0</v>
      </c>
    </row>
    <row r="130" spans="1:5" ht="36">
      <c r="A130" s="593">
        <v>1</v>
      </c>
      <c r="B130" s="5022" t="s">
        <v>805</v>
      </c>
      <c r="C130" s="4538">
        <f>+'Phụ lục số 8.1'!CB14</f>
        <v>10564.41</v>
      </c>
    </row>
    <row r="131" spans="1:5">
      <c r="A131" s="593">
        <v>2</v>
      </c>
      <c r="B131" s="5022" t="str">
        <f>+'H. THÁP MƯỜI'!B134</f>
        <v>Kinh phí hỗ trợ địa phương sản xuất lúa</v>
      </c>
      <c r="C131" s="4538">
        <f>+'Phụ lục số 8.1'!CB15</f>
        <v>11500</v>
      </c>
    </row>
    <row r="132" spans="1:5">
      <c r="A132" s="593">
        <v>3</v>
      </c>
      <c r="B132" s="5022" t="str">
        <f>+'H. THÁP MƯỜI'!B135</f>
        <v>Kinh phí biên chế giáo viên tăng thêm</v>
      </c>
      <c r="C132" s="4538">
        <f>+'Phụ lục số 8.1'!CB18</f>
        <v>859</v>
      </c>
    </row>
    <row r="133" spans="1:5" ht="36">
      <c r="A133" s="593">
        <v>4</v>
      </c>
      <c r="B133" s="2525" t="s">
        <v>1608</v>
      </c>
      <c r="C133" s="4538">
        <f>+'Phụ lục số 8.3-CĐCS'!EK13+'Phụ lục số 8.3-CĐCS'!EK14</f>
        <v>463</v>
      </c>
    </row>
    <row r="134" spans="1:5">
      <c r="A134" s="593">
        <v>5</v>
      </c>
      <c r="B134" s="2525" t="s">
        <v>3197</v>
      </c>
      <c r="C134" s="5018">
        <v>0</v>
      </c>
    </row>
    <row r="135" spans="1:5" ht="36">
      <c r="A135" s="593">
        <v>6</v>
      </c>
      <c r="B135" s="2525" t="s">
        <v>3198</v>
      </c>
      <c r="C135" s="5018">
        <f>+'Phụ lục số 8.3-CĐCS'!EK15</f>
        <v>213</v>
      </c>
    </row>
    <row r="136" spans="1:5" ht="36">
      <c r="A136" s="593">
        <v>7</v>
      </c>
      <c r="B136" s="2525" t="s">
        <v>3199</v>
      </c>
      <c r="C136" s="5018">
        <f>+'Phụ lục số 8.3-CĐCS'!EK17+'Phụ lục số 8.3-CĐCS'!EK18</f>
        <v>42449</v>
      </c>
    </row>
    <row r="137" spans="1:5" ht="36">
      <c r="A137" s="593">
        <v>8</v>
      </c>
      <c r="B137" s="2525" t="s">
        <v>1093</v>
      </c>
      <c r="C137" s="5017">
        <v>0</v>
      </c>
    </row>
    <row r="138" spans="1:5" ht="36">
      <c r="A138" s="593">
        <v>9</v>
      </c>
      <c r="B138" s="5012" t="s">
        <v>3156</v>
      </c>
      <c r="C138" s="5018">
        <f>+'Phụ lục số 8.1'!CB20</f>
        <v>1249.98</v>
      </c>
    </row>
    <row r="139" spans="1:5">
      <c r="A139" s="593">
        <v>10</v>
      </c>
      <c r="B139" s="5013" t="s">
        <v>1510</v>
      </c>
      <c r="C139" s="5018">
        <f>+'Phụ lục số 8.1'!CB22</f>
        <v>6150</v>
      </c>
    </row>
    <row r="140" spans="1:5">
      <c r="A140" s="593">
        <v>11</v>
      </c>
      <c r="B140" s="5013" t="str">
        <f>+'H. THÁP MƯỜI'!B143</f>
        <v>Kinh phí thực hiện hỗ trợ đào tạo nghề trình độ sơ cấp và đào tạo dưới 03 tháng năm 2025</v>
      </c>
      <c r="C140" s="5018">
        <f>+'Phụ lục số 8.1'!CB21</f>
        <v>475</v>
      </c>
    </row>
    <row r="141" spans="1:5" ht="18.600000000000001" thickBot="1">
      <c r="A141" s="5019">
        <v>12</v>
      </c>
      <c r="B141" s="5020" t="str">
        <f>+'H. THÁP MƯỜI'!B144</f>
        <v>Kinh phí tổ chức đại hội Đảng nhiệm kỳ 2025 - 2030</v>
      </c>
      <c r="C141" s="5021">
        <f>+'Phụ lục số 8.1'!CB16</f>
        <v>4235.4369999999999</v>
      </c>
    </row>
    <row r="142" spans="1:5" ht="18.600000000000001" thickTop="1"/>
  </sheetData>
  <mergeCells count="22">
    <mergeCell ref="A122:C122"/>
    <mergeCell ref="A123:C123"/>
    <mergeCell ref="A124:C124"/>
    <mergeCell ref="A125:C125"/>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8"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dimension ref="A1:E141"/>
  <sheetViews>
    <sheetView topLeftCell="A78" workbookViewId="0">
      <selection activeCell="F91" sqref="F9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LẤP VÒ'!A1:C1</f>
        <v>PHỤ LỤC I</v>
      </c>
      <c r="B1" s="6281"/>
      <c r="C1" s="6281"/>
    </row>
    <row r="2" spans="1:3">
      <c r="A2" s="6281" t="str">
        <f>+'H. LẤP VÒ'!A2:C2</f>
        <v>NHIỆM VỤ THU NGÂN SÁCH NHÀ NƯỚC NĂM 2025</v>
      </c>
      <c r="B2" s="6281"/>
      <c r="C2" s="6281"/>
    </row>
    <row r="3" spans="1:3">
      <c r="A3" s="6281" t="s">
        <v>1496</v>
      </c>
      <c r="B3" s="6281"/>
      <c r="C3" s="6281"/>
    </row>
    <row r="4" spans="1:3">
      <c r="A4" s="6498" t="str">
        <f>+'H. LẤP VÒ'!A4:C4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221700</v>
      </c>
    </row>
    <row r="9" spans="1:3" s="2642" customFormat="1">
      <c r="A9" s="5025"/>
      <c r="B9" s="697" t="s">
        <v>784</v>
      </c>
      <c r="C9" s="5026">
        <f>C8-C29</f>
        <v>151700</v>
      </c>
    </row>
    <row r="10" spans="1:3" s="386" customFormat="1" ht="17.399999999999999">
      <c r="A10" s="5027">
        <v>1</v>
      </c>
      <c r="B10" s="701" t="s">
        <v>1477</v>
      </c>
      <c r="C10" s="5028">
        <f>SUM(C11:C15)</f>
        <v>65000</v>
      </c>
    </row>
    <row r="11" spans="1:3">
      <c r="A11" s="5029" t="s">
        <v>29</v>
      </c>
      <c r="B11" s="704" t="s">
        <v>786</v>
      </c>
      <c r="C11" s="5032">
        <f>+'Phụ lục 7-HĐND'!AG10</f>
        <v>35980</v>
      </c>
    </row>
    <row r="12" spans="1:3">
      <c r="A12" s="5029" t="s">
        <v>29</v>
      </c>
      <c r="B12" s="704" t="s">
        <v>787</v>
      </c>
      <c r="C12" s="5032">
        <f>+'Phụ lục 7-HĐND'!AG11</f>
        <v>27400</v>
      </c>
    </row>
    <row r="13" spans="1:3">
      <c r="A13" s="5029" t="s">
        <v>29</v>
      </c>
      <c r="B13" s="704" t="s">
        <v>788</v>
      </c>
      <c r="C13" s="5032">
        <f>+'Phụ lục 7-HĐND'!AG12</f>
        <v>200</v>
      </c>
    </row>
    <row r="14" spans="1:3">
      <c r="A14" s="5029" t="s">
        <v>29</v>
      </c>
      <c r="B14" s="704" t="s">
        <v>10</v>
      </c>
      <c r="C14" s="5032">
        <f>+'Phụ lục 7-HĐND'!AG13</f>
        <v>1420</v>
      </c>
    </row>
    <row r="15" spans="1:3">
      <c r="A15" s="5029" t="s">
        <v>29</v>
      </c>
      <c r="B15" s="704" t="s">
        <v>789</v>
      </c>
      <c r="C15" s="5032">
        <f>+'Phụ lục 7-HĐND'!AG14</f>
        <v>0</v>
      </c>
    </row>
    <row r="16" spans="1:3" s="386" customFormat="1" ht="17.399999999999999">
      <c r="A16" s="5027">
        <v>2</v>
      </c>
      <c r="B16" s="701" t="s">
        <v>20</v>
      </c>
      <c r="C16" s="5028">
        <f>SUM(C17:C18)</f>
        <v>28000</v>
      </c>
    </row>
    <row r="17" spans="1:3" hidden="1">
      <c r="A17" s="5031" t="s">
        <v>29</v>
      </c>
      <c r="B17" s="43" t="s">
        <v>790</v>
      </c>
      <c r="C17" s="5032">
        <f>+'Phụ lục 7-HĐND'!AG16</f>
        <v>0</v>
      </c>
    </row>
    <row r="18" spans="1:3" hidden="1">
      <c r="A18" s="5033" t="s">
        <v>29</v>
      </c>
      <c r="B18" s="711" t="s">
        <v>791</v>
      </c>
      <c r="C18" s="5032">
        <f>+'Phụ lục 7-HĐND'!AG17</f>
        <v>28000</v>
      </c>
    </row>
    <row r="19" spans="1:3">
      <c r="A19" s="5027">
        <v>3</v>
      </c>
      <c r="B19" s="701" t="s">
        <v>17</v>
      </c>
      <c r="C19" s="5028">
        <f>+'Phụ lục 7-HĐND'!AG18</f>
        <v>26500</v>
      </c>
    </row>
    <row r="20" spans="1:3">
      <c r="A20" s="5027">
        <v>4</v>
      </c>
      <c r="B20" s="701" t="s">
        <v>792</v>
      </c>
      <c r="C20" s="5028">
        <f>+'Phụ lục 7-HĐND'!AG19</f>
        <v>0</v>
      </c>
    </row>
    <row r="21" spans="1:3">
      <c r="A21" s="5027">
        <v>4</v>
      </c>
      <c r="B21" s="701" t="s">
        <v>97</v>
      </c>
      <c r="C21" s="5028">
        <f>+'Phụ lục 7-HĐND'!AG20</f>
        <v>1200</v>
      </c>
    </row>
    <row r="22" spans="1:3" s="386" customFormat="1" ht="17.399999999999999">
      <c r="A22" s="5027">
        <v>5</v>
      </c>
      <c r="B22" s="701" t="s">
        <v>793</v>
      </c>
      <c r="C22" s="5028">
        <f>SUM(C23:C25)</f>
        <v>8000</v>
      </c>
    </row>
    <row r="23" spans="1:3">
      <c r="A23" s="5034" t="s">
        <v>29</v>
      </c>
      <c r="B23" s="43" t="s">
        <v>794</v>
      </c>
      <c r="C23" s="5032">
        <f>+'Phụ lục 7-HĐND'!AG22</f>
        <v>2500</v>
      </c>
    </row>
    <row r="24" spans="1:3">
      <c r="A24" s="5034" t="s">
        <v>29</v>
      </c>
      <c r="B24" s="43" t="s">
        <v>795</v>
      </c>
      <c r="C24" s="5032">
        <f>+'Phụ lục 7-HĐND'!AG23</f>
        <v>300</v>
      </c>
    </row>
    <row r="25" spans="1:3">
      <c r="A25" s="5034" t="s">
        <v>29</v>
      </c>
      <c r="B25" s="43" t="s">
        <v>796</v>
      </c>
      <c r="C25" s="5032">
        <f>+'Phụ lục 7-HĐND'!AG24</f>
        <v>5200</v>
      </c>
    </row>
    <row r="26" spans="1:3" s="386" customFormat="1" ht="17.399999999999999">
      <c r="A26" s="5027">
        <v>6</v>
      </c>
      <c r="B26" s="701" t="s">
        <v>24</v>
      </c>
      <c r="C26" s="5028">
        <f>SUM(C27:C28)</f>
        <v>2000</v>
      </c>
    </row>
    <row r="27" spans="1:3">
      <c r="A27" s="5034" t="s">
        <v>29</v>
      </c>
      <c r="B27" s="43" t="s">
        <v>790</v>
      </c>
      <c r="C27" s="5032">
        <f>+'Phụ lục 7-HĐND'!AG26</f>
        <v>0</v>
      </c>
    </row>
    <row r="28" spans="1:3">
      <c r="A28" s="5035" t="s">
        <v>29</v>
      </c>
      <c r="B28" s="711" t="s">
        <v>1809</v>
      </c>
      <c r="C28" s="5032">
        <f>+'Phụ lục 7-HĐND'!AG27</f>
        <v>2000</v>
      </c>
    </row>
    <row r="29" spans="1:3">
      <c r="A29" s="5027">
        <v>7</v>
      </c>
      <c r="B29" s="701" t="s">
        <v>242</v>
      </c>
      <c r="C29" s="5028">
        <f>SUM(C30:C31)</f>
        <v>70000</v>
      </c>
    </row>
    <row r="30" spans="1:3">
      <c r="A30" s="5034" t="s">
        <v>29</v>
      </c>
      <c r="B30" s="43" t="s">
        <v>790</v>
      </c>
      <c r="C30" s="5032">
        <f>+'Phụ lục 7-HĐND'!AG29</f>
        <v>0</v>
      </c>
    </row>
    <row r="31" spans="1:3">
      <c r="A31" s="5035" t="s">
        <v>29</v>
      </c>
      <c r="B31" s="711" t="s">
        <v>1810</v>
      </c>
      <c r="C31" s="5032">
        <f>+'Phụ lục 7-HĐND'!AG30</f>
        <v>70000</v>
      </c>
    </row>
    <row r="32" spans="1:3" s="386" customFormat="1" ht="17.399999999999999">
      <c r="A32" s="5027">
        <v>8</v>
      </c>
      <c r="B32" s="701" t="s">
        <v>798</v>
      </c>
      <c r="C32" s="5028">
        <f>SUM(C33:C35)</f>
        <v>21000</v>
      </c>
    </row>
    <row r="33" spans="1:3">
      <c r="A33" s="5034" t="s">
        <v>29</v>
      </c>
      <c r="B33" s="43" t="s">
        <v>799</v>
      </c>
      <c r="C33" s="5032">
        <f>+'Phụ lục 7-HĐND'!AG32</f>
        <v>1500</v>
      </c>
    </row>
    <row r="34" spans="1:3">
      <c r="A34" s="5034" t="s">
        <v>29</v>
      </c>
      <c r="B34" s="43" t="s">
        <v>800</v>
      </c>
      <c r="C34" s="5032">
        <f>+'Phụ lục 7-HĐND'!AG33</f>
        <v>1500</v>
      </c>
    </row>
    <row r="35" spans="1:3">
      <c r="A35" s="5034" t="s">
        <v>29</v>
      </c>
      <c r="B35" s="43" t="s">
        <v>801</v>
      </c>
      <c r="C35" s="5032">
        <f>+'Phụ lục 7-HĐND'!AG34</f>
        <v>18000</v>
      </c>
    </row>
    <row r="36" spans="1:3">
      <c r="A36" s="5027">
        <v>9</v>
      </c>
      <c r="B36" s="5036" t="s">
        <v>1811</v>
      </c>
      <c r="C36" s="5028">
        <f>'[2]Phụ lục số 5'!AG35</f>
        <v>0</v>
      </c>
    </row>
    <row r="37" spans="1:3">
      <c r="A37" s="5027" t="s">
        <v>33</v>
      </c>
      <c r="B37" s="701" t="s">
        <v>1812</v>
      </c>
      <c r="C37" s="5037"/>
    </row>
    <row r="38" spans="1:3">
      <c r="A38" s="5027"/>
      <c r="B38" s="704" t="s">
        <v>1813</v>
      </c>
      <c r="C38" s="5038">
        <v>1</v>
      </c>
    </row>
    <row r="39" spans="1:3" s="380" customFormat="1" ht="17.399999999999999">
      <c r="A39" s="4971" t="s">
        <v>182</v>
      </c>
      <c r="B39" s="4972" t="s">
        <v>802</v>
      </c>
      <c r="C39" s="613">
        <f>SUM(C40:C42)</f>
        <v>668080.38300000003</v>
      </c>
    </row>
    <row r="40" spans="1:3" s="380" customFormat="1">
      <c r="A40" s="1926">
        <v>1</v>
      </c>
      <c r="B40" s="4968" t="s">
        <v>803</v>
      </c>
      <c r="C40" s="2608">
        <f>+'Phụ lục 7-HĐND'!AG37</f>
        <v>440874</v>
      </c>
    </row>
    <row r="41" spans="1:3" s="380" customFormat="1">
      <c r="A41" s="1926">
        <v>2</v>
      </c>
      <c r="B41" s="1927" t="s">
        <v>3136</v>
      </c>
      <c r="C41" s="2608">
        <f>+'Phụ lục 7-HĐND'!AG38</f>
        <v>175043</v>
      </c>
    </row>
    <row r="42" spans="1:3" s="380" customFormat="1">
      <c r="A42" s="1926">
        <v>3</v>
      </c>
      <c r="B42" s="4968" t="s">
        <v>3206</v>
      </c>
      <c r="C42" s="2608">
        <f>+'Phụ lục 7-HĐND'!AG39</f>
        <v>52163.383000000002</v>
      </c>
    </row>
    <row r="43" spans="1:3" s="596" customFormat="1" ht="18.600000000000001" thickBot="1">
      <c r="A43" s="4539" t="s">
        <v>215</v>
      </c>
      <c r="B43" s="5042" t="s">
        <v>1721</v>
      </c>
      <c r="C43" s="5082">
        <f>+'Phụ lục 7-HĐND'!AG40</f>
        <v>16209</v>
      </c>
    </row>
    <row r="44" spans="1:3" ht="18.600000000000001" thickTop="1">
      <c r="A44" s="2914"/>
      <c r="B44" s="2914" t="s">
        <v>809</v>
      </c>
      <c r="C44" s="2915"/>
    </row>
    <row r="46" spans="1:3">
      <c r="A46" s="6744" t="s">
        <v>1717</v>
      </c>
      <c r="B46" s="6744"/>
      <c r="C46" s="6744"/>
    </row>
    <row r="47" spans="1:3" ht="39.9" customHeight="1">
      <c r="A47" s="6759" t="str">
        <f>+'H. LẤP VÒ'!A47:C47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5" customHeight="1">
      <c r="A48" s="6759" t="str">
        <f>+'H. LẤP VÒ'!A48:C48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LẤP VÒ'!A49</f>
        <v>(4): Các khoản thu phân chia theo tỷ lệ (%) giữa ngân sách cấp Tỉnh và ngân sách cấp huyện</v>
      </c>
    </row>
    <row r="50" spans="1:3">
      <c r="A50" s="381" t="str">
        <f>+'H. LẤP VÒ'!A50</f>
        <v>(5): Chi tiết thu bổ sung có mục tiêu theo Phụ lục số III</v>
      </c>
    </row>
    <row r="64" spans="1:3">
      <c r="A64" s="6281" t="str">
        <f>+'H. LẤP VÒ'!A64:C64</f>
        <v>PHỤ LỤC II</v>
      </c>
      <c r="B64" s="6281"/>
      <c r="C64" s="6281"/>
    </row>
    <row r="65" spans="1:3">
      <c r="A65" s="6281" t="str">
        <f>+'H. LẤP VÒ'!A65:C65</f>
        <v>NHIỆM VỤ CHI NGÂN SÁCH HUYỆN, THÀNH PHỐ NĂM 2025</v>
      </c>
      <c r="B65" s="6281"/>
      <c r="C65" s="6281"/>
    </row>
    <row r="66" spans="1:3">
      <c r="A66" s="6281" t="str">
        <f>A3</f>
        <v>HUYỆN LAI VUNG</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LẤP VÒ'!B64</f>
        <v>Nội dung</v>
      </c>
      <c r="C70" s="4543" t="str">
        <f>C7</f>
        <v>Dự toán năm 2025</v>
      </c>
    </row>
    <row r="71" spans="1:3">
      <c r="A71" s="5049"/>
      <c r="B71" s="693" t="str">
        <f>'[2]H. LẤP VÒ'!B65</f>
        <v>Tổng chi (I+II+III+IV)</v>
      </c>
      <c r="C71" s="5024">
        <f>C72+C76+C80+C81+C82</f>
        <v>891369.38300000003</v>
      </c>
    </row>
    <row r="72" spans="1:3" s="386" customFormat="1" ht="17.399999999999999">
      <c r="A72" s="5050" t="s">
        <v>3</v>
      </c>
      <c r="B72" s="2910" t="str">
        <f>'[2]H. LẤP VÒ'!B66</f>
        <v>Chi đầu tư phát triển (1)</v>
      </c>
      <c r="C72" s="5028">
        <f>SUM(C74:C75)</f>
        <v>98000</v>
      </c>
    </row>
    <row r="73" spans="1:3">
      <c r="A73" s="5051"/>
      <c r="B73" s="2916" t="str">
        <f>'[2]H. LẤP VÒ'!B67</f>
        <v>Bao gồm:</v>
      </c>
      <c r="C73" s="5032"/>
    </row>
    <row r="74" spans="1:3">
      <c r="A74" s="5052">
        <v>1</v>
      </c>
      <c r="B74" s="2917" t="str">
        <f>'[2]H. LẤP VÒ'!B68</f>
        <v>Chi đầu tư xây dựng cơ bản</v>
      </c>
      <c r="C74" s="5032">
        <f>+'Phụ lục 8-HĐND'!M9</f>
        <v>35000</v>
      </c>
    </row>
    <row r="75" spans="1:3">
      <c r="A75" s="5052">
        <v>2</v>
      </c>
      <c r="B75" s="2917" t="str">
        <f>'[2]H. LẤP VÒ'!B69</f>
        <v>Chi đầu tư từ nguồn thu tiền sử dụng đất</v>
      </c>
      <c r="C75" s="5032">
        <f>+'Phụ lục 8-HĐND'!M10</f>
        <v>63000</v>
      </c>
    </row>
    <row r="76" spans="1:3" s="386" customFormat="1" ht="17.399999999999999">
      <c r="A76" s="5050" t="s">
        <v>33</v>
      </c>
      <c r="B76" s="2910" t="str">
        <f>'[2]H. LẤP VÒ'!B70</f>
        <v>Chi thường xuyên (2)</v>
      </c>
      <c r="C76" s="5028">
        <f>+'Phụ lục 8-HĐND'!M11</f>
        <v>758129.46580050304</v>
      </c>
    </row>
    <row r="77" spans="1:3">
      <c r="A77" s="5053"/>
      <c r="B77" s="2907" t="str">
        <f>'[2]H. LẤP VÒ'!B71</f>
        <v>Bao gồm:</v>
      </c>
      <c r="C77" s="5032"/>
    </row>
    <row r="78" spans="1:3">
      <c r="A78" s="5052">
        <v>1</v>
      </c>
      <c r="B78" s="2909" t="str">
        <f>'[2]H. LẤP VÒ'!B72</f>
        <v>Sự nghiệp giáo dục - đào tạo (3)</v>
      </c>
      <c r="C78" s="5032">
        <f>+'Phụ lục 8-HĐND'!M13</f>
        <v>415824.2</v>
      </c>
    </row>
    <row r="79" spans="1:3">
      <c r="A79" s="5052">
        <v>2</v>
      </c>
      <c r="B79" s="2909" t="str">
        <f>'[2]H. LẤP VÒ'!B73</f>
        <v>Các khoản chi thường xuyên còn lại</v>
      </c>
      <c r="C79" s="5032">
        <f>+'Phụ lục 8-HĐND'!M14</f>
        <v>342305.26580050302</v>
      </c>
    </row>
    <row r="80" spans="1:3" s="386" customFormat="1" ht="17.399999999999999">
      <c r="A80" s="5050" t="s">
        <v>182</v>
      </c>
      <c r="B80" s="2910" t="str">
        <f>'[2]H. LẤP VÒ'!B74</f>
        <v>Dự phòng ngân sách</v>
      </c>
      <c r="C80" s="5028">
        <f>+'Phụ lục 8-HĐND'!M15</f>
        <v>16783.400000000001</v>
      </c>
    </row>
    <row r="81" spans="1:3" s="386" customFormat="1" ht="17.399999999999999">
      <c r="A81" s="5050" t="s">
        <v>215</v>
      </c>
      <c r="B81" s="2910" t="str">
        <f>'[2]H. LẤP VÒ'!B75</f>
        <v>Chi tạo nguồn cải cách tiền lương</v>
      </c>
      <c r="C81" s="5028">
        <f>+'Phụ lục 8-HĐND'!M16</f>
        <v>0</v>
      </c>
    </row>
    <row r="82" spans="1:3" s="386" customFormat="1" ht="17.399999999999999">
      <c r="A82" s="5073" t="s">
        <v>718</v>
      </c>
      <c r="B82" s="701" t="str">
        <f>'[2]H. LẤP VÒ'!B76</f>
        <v>Chi từ nguồn ngân sách cấp Tỉnh bổ sung có mục tiêu</v>
      </c>
      <c r="C82" s="5028">
        <f>SUM(C83:C87)</f>
        <v>18456.517199497026</v>
      </c>
    </row>
    <row r="83" spans="1:3">
      <c r="A83" s="5055" t="s">
        <v>29</v>
      </c>
      <c r="B83" s="704" t="str">
        <f>+'H. LẤP VÒ'!B83</f>
        <v>Chi đầu tư xây dựng cơ bản</v>
      </c>
      <c r="C83" s="5032">
        <f>+'Phụ lục 8-HĐND'!M18</f>
        <v>0</v>
      </c>
    </row>
    <row r="84" spans="1:3">
      <c r="A84" s="5055" t="s">
        <v>29</v>
      </c>
      <c r="B84" s="2901" t="str">
        <f>+'H. LẤP VÒ'!B84</f>
        <v>Chi đầu tư từ nguồn xổ số kiến thiết</v>
      </c>
      <c r="C84" s="5032">
        <f>+'Phụ lục 8-HĐND'!M19</f>
        <v>0</v>
      </c>
    </row>
    <row r="85" spans="1:3">
      <c r="A85" s="5055" t="s">
        <v>29</v>
      </c>
      <c r="B85" s="2901" t="str">
        <f>+'H. LẤP VÒ'!B85</f>
        <v>Chi từ nguồn ngân sách trung ương bổ sung có mục tiêu (kinh phí biên chế giáo viên tăng thêm)</v>
      </c>
      <c r="C85" s="5032">
        <f>+'Phụ lục 8-HĐND'!M20</f>
        <v>857</v>
      </c>
    </row>
    <row r="86" spans="1:3">
      <c r="A86" s="5056" t="s">
        <v>29</v>
      </c>
      <c r="B86" s="2901" t="str">
        <f>+'H. LẤP VÒ'!B86</f>
        <v>Chi từ nguồn ngân sách trung ương bổ sung có mục tiêu (kinh phí hỗ trợ địa phương sản xuất lúa năm 2025)</v>
      </c>
      <c r="C86" s="5032">
        <f>+'Phụ lục 8-HĐND'!M21</f>
        <v>3500</v>
      </c>
    </row>
    <row r="87" spans="1:3" ht="18.600000000000001" thickBot="1">
      <c r="A87" s="5057"/>
      <c r="B87" s="5891" t="str">
        <f>+'H. LẤP VÒ'!B87</f>
        <v>Chi từ nguồn ngân sách trung ương bổ sung có mục tiêu (chính sách an sinh xã hội năm 2025)</v>
      </c>
      <c r="C87" s="5059">
        <f>+'Phụ lục 8-HĐND'!M22</f>
        <v>14099.517199497026</v>
      </c>
    </row>
    <row r="88" spans="1:3" ht="18.600000000000001" thickTop="1"/>
    <row r="89" spans="1:3">
      <c r="A89" s="588" t="s">
        <v>1717</v>
      </c>
      <c r="B89" s="2903"/>
    </row>
    <row r="90" spans="1:3">
      <c r="A90" s="6761" t="s">
        <v>1828</v>
      </c>
      <c r="B90" s="6762"/>
      <c r="C90" s="6762"/>
    </row>
    <row r="91" spans="1:3" ht="63.75" customHeight="1">
      <c r="A91" s="6772" t="str">
        <f>+'H. LẤP VÒ'!A91:C91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ht="39.75" customHeight="1">
      <c r="A92" s="6769" t="str">
        <f>+'H. LẤP VÒ'!A92:C92</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59.25" customHeight="1">
      <c r="A94" s="6769" t="str">
        <f>+'H. LẤP VÒ'!A94:C94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ht="38.25" customHeight="1">
      <c r="A95" s="6770" t="str">
        <f>+'H. LẤP VÒ'!A95:C95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c r="A96" s="381" t="str">
        <f>+'H. LẤP VÒ'!A96</f>
        <v xml:space="preserve">- Bao gồm 10% tiết kiệm tăng thêm năm 2025 so với năm 2024 để thực hiện cải cách tiền lương năm 2025 là: </v>
      </c>
      <c r="C96" s="2912" t="s">
        <v>3276</v>
      </c>
    </row>
    <row r="97" spans="1:3" s="2704" customFormat="1" ht="17.399999999999999">
      <c r="A97" s="2704" t="str">
        <f>'[2]H. LẤP VÒ'!A91</f>
        <v>(3): Trong đó:</v>
      </c>
    </row>
    <row r="98" spans="1:3" s="2925" customFormat="1" ht="64.5" customHeight="1">
      <c r="A98" s="6769" t="str">
        <f>+'H. LẤP VÒ'!A98:C98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1" spans="1:5">
      <c r="A121" s="6281" t="str">
        <f>+'H. LẤP VÒ'!A122:C122</f>
        <v>PHỤ LỤC III</v>
      </c>
      <c r="B121" s="6281"/>
      <c r="C121" s="6281"/>
    </row>
    <row r="122" spans="1:5">
      <c r="A122" s="6281" t="str">
        <f>+'H. LẤP VÒ'!A123:C123</f>
        <v>CHI TỪ NGUỒN NGÂN SÁCH CẤP TỈNH BỔ SUNG CÓ MỤC TIÊU NĂM 2025</v>
      </c>
      <c r="B122" s="6281"/>
      <c r="C122" s="6281"/>
    </row>
    <row r="123" spans="1:5">
      <c r="A123" s="6281" t="str">
        <f>A66</f>
        <v>HUYỆN LAI VUNG</v>
      </c>
      <c r="B123" s="6281"/>
      <c r="C123" s="6281"/>
    </row>
    <row r="124" spans="1:5">
      <c r="A124" s="6496" t="str">
        <f>+A67</f>
        <v>(Kèm theo Quyết định số        /QĐ-UBND-HC ngày      /12/2024 của Uỷ ban nhân dân tỉnh Đồng Tháp)</v>
      </c>
      <c r="B124" s="6496"/>
      <c r="C124" s="6496"/>
    </row>
    <row r="126" spans="1:5" ht="18.600000000000001" thickBot="1">
      <c r="A126" s="2899"/>
      <c r="B126" s="2899"/>
      <c r="C126" s="2883" t="str">
        <f>C69</f>
        <v>Đơn vị tính: Triệu đồng</v>
      </c>
    </row>
    <row r="127" spans="1:5" ht="35.4" thickTop="1">
      <c r="A127" s="5014" t="s">
        <v>136</v>
      </c>
      <c r="B127" s="4862" t="s">
        <v>137</v>
      </c>
      <c r="C127" s="4861" t="str">
        <f>+C70</f>
        <v>Dự toán năm 2025</v>
      </c>
    </row>
    <row r="128" spans="1:5">
      <c r="A128" s="5015"/>
      <c r="B128" s="682" t="s">
        <v>3196</v>
      </c>
      <c r="C128" s="5016">
        <f>SUM(C129:C140)</f>
        <v>52163.383000000002</v>
      </c>
      <c r="E128" s="667">
        <f>+C42-C128</f>
        <v>0</v>
      </c>
    </row>
    <row r="129" spans="1:3" ht="36">
      <c r="A129" s="593">
        <v>1</v>
      </c>
      <c r="B129" s="5022" t="s">
        <v>805</v>
      </c>
      <c r="C129" s="4538">
        <f>+'Phụ lục số 8.1'!CJ14</f>
        <v>9228.09</v>
      </c>
    </row>
    <row r="130" spans="1:3">
      <c r="A130" s="593">
        <v>2</v>
      </c>
      <c r="B130" s="5022" t="str">
        <f>+'H. LẤP VÒ'!B131</f>
        <v>Kinh phí hỗ trợ địa phương sản xuất lúa</v>
      </c>
      <c r="C130" s="4538">
        <f>+'Phụ lục số 8.1'!CJ15</f>
        <v>11500</v>
      </c>
    </row>
    <row r="131" spans="1:3">
      <c r="A131" s="593">
        <v>3</v>
      </c>
      <c r="B131" s="5022" t="str">
        <f>+'H. LẤP VÒ'!B132</f>
        <v>Kinh phí biên chế giáo viên tăng thêm</v>
      </c>
      <c r="C131" s="4538">
        <f>+'Phụ lục số 8.1'!CJ18</f>
        <v>857</v>
      </c>
    </row>
    <row r="132" spans="1:3" ht="36">
      <c r="A132" s="593">
        <v>4</v>
      </c>
      <c r="B132" s="2525" t="s">
        <v>1608</v>
      </c>
      <c r="C132" s="4538">
        <f>+'Phụ lục số 8.3-CĐCS'!EY13+'Phụ lục số 8.3-CĐCS'!EY14+'Phụ lục số 8.3-CĐCS'!EY15</f>
        <v>13</v>
      </c>
    </row>
    <row r="133" spans="1:3">
      <c r="A133" s="593">
        <v>5</v>
      </c>
      <c r="B133" s="5081" t="s">
        <v>3197</v>
      </c>
      <c r="C133" s="5018">
        <v>0</v>
      </c>
    </row>
    <row r="134" spans="1:3" ht="36">
      <c r="A134" s="593">
        <v>6</v>
      </c>
      <c r="B134" s="2525" t="s">
        <v>3198</v>
      </c>
      <c r="C134" s="5018">
        <v>0</v>
      </c>
    </row>
    <row r="135" spans="1:3" ht="36">
      <c r="A135" s="593">
        <v>7</v>
      </c>
      <c r="B135" s="2525" t="s">
        <v>3199</v>
      </c>
      <c r="C135" s="5018">
        <f>+'Phụ lục số 8.3-CĐCS'!EY17</f>
        <v>24948</v>
      </c>
    </row>
    <row r="136" spans="1:3" ht="36">
      <c r="A136" s="593">
        <v>8</v>
      </c>
      <c r="B136" s="2525" t="s">
        <v>1093</v>
      </c>
      <c r="C136" s="4538">
        <f>+'Phụ lục số 8.3-CĐCS'!EY18</f>
        <v>1193</v>
      </c>
    </row>
    <row r="137" spans="1:3" ht="36">
      <c r="A137" s="593">
        <v>9</v>
      </c>
      <c r="B137" s="5012" t="s">
        <v>3156</v>
      </c>
      <c r="C137" s="5018">
        <f>+'Phụ lục số 8.1'!CJ20</f>
        <v>1061.73</v>
      </c>
    </row>
    <row r="138" spans="1:3">
      <c r="A138" s="593">
        <v>10</v>
      </c>
      <c r="B138" s="5013" t="s">
        <v>1510</v>
      </c>
      <c r="C138" s="5018">
        <f>+'Phụ lục số 8.1'!CJ22</f>
        <v>0</v>
      </c>
    </row>
    <row r="139" spans="1:3">
      <c r="A139" s="593">
        <v>11</v>
      </c>
      <c r="B139" s="5013" t="str">
        <f>+'H. LẤP VÒ'!B140</f>
        <v>Kinh phí thực hiện hỗ trợ đào tạo nghề trình độ sơ cấp và đào tạo dưới 03 tháng năm 2025</v>
      </c>
      <c r="C139" s="5018"/>
    </row>
    <row r="140" spans="1:3" ht="18.600000000000001" thickBot="1">
      <c r="A140" s="5019">
        <v>12</v>
      </c>
      <c r="B140" s="5020" t="str">
        <f>+'H. LẤP VÒ'!B141</f>
        <v>Kinh phí tổ chức đại hội Đảng nhiệm kỳ 2025 - 2030</v>
      </c>
      <c r="C140" s="5021">
        <f>+'Phụ lục số 8.1'!CJ16</f>
        <v>3362.5630000000001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E141"/>
  <sheetViews>
    <sheetView topLeftCell="A81" workbookViewId="0">
      <selection activeCell="B85" sqref="B8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LAI VUNG'!A1:C1</f>
        <v>PHỤ LỤC I</v>
      </c>
      <c r="B1" s="6281"/>
      <c r="C1" s="6281"/>
    </row>
    <row r="2" spans="1:3">
      <c r="A2" s="6281" t="str">
        <f>+'H. LAI VUNG'!A2:C2</f>
        <v>NHIỆM VỤ THU NGÂN SÁCH NHÀ NƯỚC NĂM 2025</v>
      </c>
      <c r="B2" s="6281"/>
      <c r="C2" s="6281"/>
    </row>
    <row r="3" spans="1:3">
      <c r="A3" s="6281" t="s">
        <v>1497</v>
      </c>
      <c r="B3" s="6281"/>
      <c r="C3" s="6281"/>
    </row>
    <row r="4" spans="1:3">
      <c r="A4" s="6498" t="str">
        <f>+'H. LAI VUNG'!A4:C4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s="386" customFormat="1" ht="17.399999999999999">
      <c r="A8" s="5023" t="s">
        <v>3</v>
      </c>
      <c r="B8" s="694" t="s">
        <v>783</v>
      </c>
      <c r="C8" s="5024">
        <f>C10+C16+C19+C20+C21+C22+C26+C29+C32+C36</f>
        <v>707000</v>
      </c>
    </row>
    <row r="9" spans="1:3" s="2642" customFormat="1">
      <c r="A9" s="5025"/>
      <c r="B9" s="697" t="s">
        <v>784</v>
      </c>
      <c r="C9" s="5026">
        <f>C8-C29</f>
        <v>312000</v>
      </c>
    </row>
    <row r="10" spans="1:3" s="386" customFormat="1" ht="17.399999999999999">
      <c r="A10" s="5027">
        <v>1</v>
      </c>
      <c r="B10" s="701" t="s">
        <v>1477</v>
      </c>
      <c r="C10" s="5028">
        <f>SUM(C11:C15)</f>
        <v>163000</v>
      </c>
    </row>
    <row r="11" spans="1:3">
      <c r="A11" s="5029" t="s">
        <v>29</v>
      </c>
      <c r="B11" s="704" t="s">
        <v>786</v>
      </c>
      <c r="C11" s="5032">
        <f>+'Phụ lục 7-HĐND'!AJ10</f>
        <v>94600</v>
      </c>
    </row>
    <row r="12" spans="1:3">
      <c r="A12" s="5029" t="s">
        <v>29</v>
      </c>
      <c r="B12" s="704" t="s">
        <v>787</v>
      </c>
      <c r="C12" s="5032">
        <f>+'Phụ lục 7-HĐND'!AJ11</f>
        <v>67500</v>
      </c>
    </row>
    <row r="13" spans="1:3">
      <c r="A13" s="5029" t="s">
        <v>29</v>
      </c>
      <c r="B13" s="704" t="s">
        <v>788</v>
      </c>
      <c r="C13" s="5032">
        <f>+'Phụ lục 7-HĐND'!AJ12</f>
        <v>500</v>
      </c>
    </row>
    <row r="14" spans="1:3">
      <c r="A14" s="5029" t="s">
        <v>29</v>
      </c>
      <c r="B14" s="704" t="s">
        <v>10</v>
      </c>
      <c r="C14" s="5032">
        <f>+'Phụ lục 7-HĐND'!AJ13</f>
        <v>400</v>
      </c>
    </row>
    <row r="15" spans="1:3">
      <c r="A15" s="5029" t="s">
        <v>29</v>
      </c>
      <c r="B15" s="704" t="s">
        <v>789</v>
      </c>
      <c r="C15" s="5032">
        <f>+'Phụ lục 7-HĐND'!AJ14</f>
        <v>0</v>
      </c>
    </row>
    <row r="16" spans="1:3" s="386" customFormat="1" ht="17.399999999999999">
      <c r="A16" s="5027">
        <v>2</v>
      </c>
      <c r="B16" s="701" t="s">
        <v>20</v>
      </c>
      <c r="C16" s="5028">
        <f>SUM(C17:C18)</f>
        <v>50000</v>
      </c>
    </row>
    <row r="17" spans="1:3" hidden="1">
      <c r="A17" s="5031" t="s">
        <v>29</v>
      </c>
      <c r="B17" s="43" t="s">
        <v>790</v>
      </c>
      <c r="C17" s="5032">
        <f>+'Phụ lục 7-HĐND'!AJ16</f>
        <v>0</v>
      </c>
    </row>
    <row r="18" spans="1:3" hidden="1">
      <c r="A18" s="5033" t="s">
        <v>29</v>
      </c>
      <c r="B18" s="711" t="s">
        <v>791</v>
      </c>
      <c r="C18" s="5032">
        <f>+'Phụ lục 7-HĐND'!AJ17</f>
        <v>50000</v>
      </c>
    </row>
    <row r="19" spans="1:3" s="386" customFormat="1" ht="17.399999999999999">
      <c r="A19" s="5027">
        <v>3</v>
      </c>
      <c r="B19" s="701" t="s">
        <v>17</v>
      </c>
      <c r="C19" s="5028">
        <f>+'Phụ lục 7-HĐND'!AJ18</f>
        <v>30000</v>
      </c>
    </row>
    <row r="20" spans="1:3" s="386" customFormat="1" ht="17.399999999999999">
      <c r="A20" s="5027">
        <v>4</v>
      </c>
      <c r="B20" s="701" t="s">
        <v>792</v>
      </c>
      <c r="C20" s="5028">
        <f>+'Phụ lục 7-HĐND'!AJ19</f>
        <v>0</v>
      </c>
    </row>
    <row r="21" spans="1:3" s="386" customFormat="1" ht="17.399999999999999">
      <c r="A21" s="5027">
        <v>4</v>
      </c>
      <c r="B21" s="701" t="s">
        <v>97</v>
      </c>
      <c r="C21" s="5028">
        <f>+'Phụ lục 7-HĐND'!AJ20</f>
        <v>3000</v>
      </c>
    </row>
    <row r="22" spans="1:3" s="386" customFormat="1" ht="17.399999999999999">
      <c r="A22" s="5027">
        <v>5</v>
      </c>
      <c r="B22" s="701" t="s">
        <v>793</v>
      </c>
      <c r="C22" s="5028">
        <f>SUM(C23:C25)</f>
        <v>15500</v>
      </c>
    </row>
    <row r="23" spans="1:3">
      <c r="A23" s="5034" t="s">
        <v>29</v>
      </c>
      <c r="B23" s="43" t="s">
        <v>794</v>
      </c>
      <c r="C23" s="5032">
        <f>+'Phụ lục 7-HĐND'!AJ22</f>
        <v>4500</v>
      </c>
    </row>
    <row r="24" spans="1:3">
      <c r="A24" s="5034" t="s">
        <v>29</v>
      </c>
      <c r="B24" s="43" t="s">
        <v>795</v>
      </c>
      <c r="C24" s="5032">
        <f>+'Phụ lục 7-HĐND'!AJ23</f>
        <v>1500.0000000000002</v>
      </c>
    </row>
    <row r="25" spans="1:3">
      <c r="A25" s="5034" t="s">
        <v>29</v>
      </c>
      <c r="B25" s="43" t="s">
        <v>796</v>
      </c>
      <c r="C25" s="5032">
        <f>+'Phụ lục 7-HĐND'!AJ24</f>
        <v>9500</v>
      </c>
    </row>
    <row r="26" spans="1:3" s="386" customFormat="1" ht="17.399999999999999">
      <c r="A26" s="5027">
        <v>6</v>
      </c>
      <c r="B26" s="701" t="s">
        <v>24</v>
      </c>
      <c r="C26" s="5028">
        <f>SUM(C27:C28)</f>
        <v>17000</v>
      </c>
    </row>
    <row r="27" spans="1:3">
      <c r="A27" s="5034" t="s">
        <v>29</v>
      </c>
      <c r="B27" s="43" t="s">
        <v>790</v>
      </c>
      <c r="C27" s="5032">
        <f>+'Phụ lục 7-HĐND'!AJ26</f>
        <v>0</v>
      </c>
    </row>
    <row r="28" spans="1:3">
      <c r="A28" s="5035" t="s">
        <v>29</v>
      </c>
      <c r="B28" s="711" t="s">
        <v>1809</v>
      </c>
      <c r="C28" s="5032">
        <f>+'Phụ lục 7-HĐND'!AJ27</f>
        <v>17000</v>
      </c>
    </row>
    <row r="29" spans="1:3" s="386" customFormat="1" ht="17.399999999999999">
      <c r="A29" s="5027">
        <v>7</v>
      </c>
      <c r="B29" s="701" t="s">
        <v>242</v>
      </c>
      <c r="C29" s="5028">
        <f>SUM(C30:C31)</f>
        <v>395000</v>
      </c>
    </row>
    <row r="30" spans="1:3">
      <c r="A30" s="5034" t="s">
        <v>29</v>
      </c>
      <c r="B30" s="43" t="s">
        <v>790</v>
      </c>
      <c r="C30" s="5032">
        <f>+'Phụ lục 7-HĐND'!AJ29</f>
        <v>235000</v>
      </c>
    </row>
    <row r="31" spans="1:3">
      <c r="A31" s="5035" t="s">
        <v>29</v>
      </c>
      <c r="B31" s="711" t="s">
        <v>1810</v>
      </c>
      <c r="C31" s="5032">
        <f>+'Phụ lục 7-HĐND'!AJ30</f>
        <v>160000</v>
      </c>
    </row>
    <row r="32" spans="1:3" s="386" customFormat="1" ht="17.399999999999999">
      <c r="A32" s="5027">
        <v>8</v>
      </c>
      <c r="B32" s="701" t="s">
        <v>798</v>
      </c>
      <c r="C32" s="5028">
        <f>SUM(C33:C35)</f>
        <v>33000</v>
      </c>
    </row>
    <row r="33" spans="1:3">
      <c r="A33" s="5034" t="s">
        <v>29</v>
      </c>
      <c r="B33" s="43" t="s">
        <v>799</v>
      </c>
      <c r="C33" s="5032">
        <f>+'Phụ lục 7-HĐND'!AJ32</f>
        <v>5000</v>
      </c>
    </row>
    <row r="34" spans="1:3">
      <c r="A34" s="5034" t="s">
        <v>29</v>
      </c>
      <c r="B34" s="43" t="s">
        <v>800</v>
      </c>
      <c r="C34" s="5032">
        <f>+'Phụ lục 7-HĐND'!AJ33</f>
        <v>3000</v>
      </c>
    </row>
    <row r="35" spans="1:3">
      <c r="A35" s="5034" t="s">
        <v>29</v>
      </c>
      <c r="B35" s="43" t="s">
        <v>801</v>
      </c>
      <c r="C35" s="5032">
        <f>+'Phụ lục 7-HĐND'!AJ34</f>
        <v>25000</v>
      </c>
    </row>
    <row r="36" spans="1:3" s="386" customFormat="1" ht="17.399999999999999">
      <c r="A36" s="5027">
        <v>9</v>
      </c>
      <c r="B36" s="5036" t="s">
        <v>1811</v>
      </c>
      <c r="C36" s="5028">
        <f>+'Phụ lục 7-HĐND'!AJ35</f>
        <v>500</v>
      </c>
    </row>
    <row r="37" spans="1:3" s="386" customFormat="1" ht="17.399999999999999">
      <c r="A37" s="5027" t="s">
        <v>33</v>
      </c>
      <c r="B37" s="701" t="s">
        <v>1812</v>
      </c>
      <c r="C37" s="5083"/>
    </row>
    <row r="38" spans="1:3" s="386" customFormat="1">
      <c r="A38" s="5027"/>
      <c r="B38" s="704" t="s">
        <v>1813</v>
      </c>
      <c r="C38" s="5084">
        <f>100%</f>
        <v>1</v>
      </c>
    </row>
    <row r="39" spans="1:3" s="380" customFormat="1" ht="17.399999999999999">
      <c r="A39" s="4971" t="s">
        <v>182</v>
      </c>
      <c r="B39" s="4972" t="s">
        <v>802</v>
      </c>
      <c r="C39" s="613">
        <f>SUM(C40:C42)</f>
        <v>304362.73499999999</v>
      </c>
    </row>
    <row r="40" spans="1:3" s="596" customFormat="1">
      <c r="A40" s="1926">
        <v>1</v>
      </c>
      <c r="B40" s="4968" t="s">
        <v>803</v>
      </c>
      <c r="C40" s="2608">
        <f>+'Phụ lục 7-HĐND'!AJ37</f>
        <v>224584</v>
      </c>
    </row>
    <row r="41" spans="1:3" s="596" customFormat="1">
      <c r="A41" s="1926">
        <v>2</v>
      </c>
      <c r="B41" s="1927" t="s">
        <v>3136</v>
      </c>
      <c r="C41" s="2608">
        <f>+'Phụ lục 7-HĐND'!AJ38</f>
        <v>0</v>
      </c>
    </row>
    <row r="42" spans="1:3" s="596" customFormat="1">
      <c r="A42" s="1926">
        <v>3</v>
      </c>
      <c r="B42" s="4968" t="s">
        <v>3206</v>
      </c>
      <c r="C42" s="2608">
        <f>+'Phụ lục 7-HĐND'!AJ39</f>
        <v>79778.735000000001</v>
      </c>
    </row>
    <row r="43" spans="1:3" s="596" customFormat="1" ht="18.600000000000001" thickBot="1">
      <c r="A43" s="4539" t="s">
        <v>215</v>
      </c>
      <c r="B43" s="5042" t="s">
        <v>1721</v>
      </c>
      <c r="C43" s="5043">
        <f>+'Phụ lục 7-HĐND'!AJ40</f>
        <v>203111</v>
      </c>
    </row>
    <row r="44" spans="1:3" s="596" customFormat="1" ht="18.600000000000001" thickTop="1">
      <c r="A44" s="2914"/>
      <c r="B44" s="2914" t="s">
        <v>809</v>
      </c>
      <c r="C44" s="2926"/>
    </row>
    <row r="46" spans="1:3">
      <c r="A46" s="6744" t="s">
        <v>1717</v>
      </c>
      <c r="B46" s="6744"/>
      <c r="C46" s="6744"/>
    </row>
    <row r="47" spans="1:3" ht="39.9" customHeight="1">
      <c r="A47" s="6759" t="str">
        <f>+'H. LAI VUNG'!A47:C47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5" customHeight="1">
      <c r="A48" s="6759" t="str">
        <f>+'H. LAI VUNG'!A48:C48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LAI VUNG'!A49</f>
        <v>(4): Các khoản thu phân chia theo tỷ lệ (%) giữa ngân sách cấp Tỉnh và ngân sách cấp huyện</v>
      </c>
    </row>
    <row r="50" spans="1:3">
      <c r="A50" s="381" t="str">
        <f>+'H. LAI VUNG'!A50</f>
        <v>(5): Chi tiết thu bổ sung có mục tiêu theo Phụ lục số III</v>
      </c>
    </row>
    <row r="64" spans="1:3">
      <c r="A64" s="6281" t="str">
        <f>+'H. LAI VUNG'!A64:C64</f>
        <v>PHỤ LỤC II</v>
      </c>
      <c r="B64" s="6281"/>
      <c r="C64" s="6281"/>
    </row>
    <row r="65" spans="1:3">
      <c r="A65" s="6281" t="str">
        <f>+'H. LAI VUNG'!A65:C65</f>
        <v>NHIỆM VỤ CHI NGÂN SÁCH HUYỆN, THÀNH PHỐ NĂM 2025</v>
      </c>
      <c r="B65" s="6281"/>
      <c r="C65" s="6281"/>
    </row>
    <row r="66" spans="1:3">
      <c r="A66" s="6281" t="str">
        <f>A3</f>
        <v>THÀNH PHỐ SA ĐÉC</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LAI VUNG'!B64</f>
        <v>Nội dung</v>
      </c>
      <c r="C70" s="4543" t="str">
        <f>C7</f>
        <v>Dự toán năm 2025</v>
      </c>
    </row>
    <row r="71" spans="1:3" s="386" customFormat="1" ht="17.399999999999999">
      <c r="A71" s="5049"/>
      <c r="B71" s="693" t="str">
        <f>'[2]H. LAI VUNG'!B65</f>
        <v>Tổng chi (I+II+III+IV)</v>
      </c>
      <c r="C71" s="5085">
        <f>C72+C76+C80+C81+C82</f>
        <v>946873.73499999999</v>
      </c>
    </row>
    <row r="72" spans="1:3" s="386" customFormat="1" ht="17.399999999999999">
      <c r="A72" s="5050" t="s">
        <v>3</v>
      </c>
      <c r="B72" s="2910" t="str">
        <f>'[2]H. LAI VUNG'!B66</f>
        <v>Chi đầu tư phát triển (1)</v>
      </c>
      <c r="C72" s="5086">
        <f>SUM(C74:C75)</f>
        <v>227000</v>
      </c>
    </row>
    <row r="73" spans="1:3">
      <c r="A73" s="5051"/>
      <c r="B73" s="2916" t="str">
        <f>'[2]H. LAI VUNG'!B67</f>
        <v>Bao gồm:</v>
      </c>
      <c r="C73" s="5087"/>
    </row>
    <row r="74" spans="1:3">
      <c r="A74" s="5052">
        <v>1</v>
      </c>
      <c r="B74" s="2917" t="str">
        <f>'[2]H. LAI VUNG'!B68</f>
        <v>Chi đầu tư xây dựng cơ bản</v>
      </c>
      <c r="C74" s="5087">
        <f>+'Phụ lục 8-HĐND'!N9</f>
        <v>83000</v>
      </c>
    </row>
    <row r="75" spans="1:3">
      <c r="A75" s="5052">
        <v>2</v>
      </c>
      <c r="B75" s="2917" t="str">
        <f>'[2]H. LAI VUNG'!B69</f>
        <v>Chi đầu tư từ nguồn thu tiền sử dụng đất</v>
      </c>
      <c r="C75" s="5087">
        <f>+'Phụ lục 8-HĐND'!N10</f>
        <v>144000</v>
      </c>
    </row>
    <row r="76" spans="1:3" s="386" customFormat="1" ht="17.399999999999999">
      <c r="A76" s="5050" t="s">
        <v>33</v>
      </c>
      <c r="B76" s="2910" t="str">
        <f>'[2]H. LAI VUNG'!B70</f>
        <v>Chi thường xuyên (2)</v>
      </c>
      <c r="C76" s="5086">
        <f>+'Phụ lục 8-HĐND'!N11</f>
        <v>650267.61575388303</v>
      </c>
    </row>
    <row r="77" spans="1:3">
      <c r="A77" s="5053"/>
      <c r="B77" s="2907" t="str">
        <f>'[2]H. LAI VUNG'!B71</f>
        <v>Bao gồm:</v>
      </c>
      <c r="C77" s="5087"/>
    </row>
    <row r="78" spans="1:3">
      <c r="A78" s="5052">
        <v>1</v>
      </c>
      <c r="B78" s="2909" t="str">
        <f>'[2]H. LAI VUNG'!B72</f>
        <v>Sự nghiệp giáo dục - đào tạo (3)</v>
      </c>
      <c r="C78" s="5087">
        <f>+'Phụ lục 8-HĐND'!N13</f>
        <v>283567.59999999998</v>
      </c>
    </row>
    <row r="79" spans="1:3">
      <c r="A79" s="5052">
        <v>2</v>
      </c>
      <c r="B79" s="2909" t="str">
        <f>'[2]H. LAI VUNG'!B73</f>
        <v>Các khoản chi thường xuyên còn lại</v>
      </c>
      <c r="C79" s="5087">
        <f>+'Phụ lục 8-HĐND'!N14</f>
        <v>366700.01575388305</v>
      </c>
    </row>
    <row r="80" spans="1:3" s="386" customFormat="1" ht="17.399999999999999">
      <c r="A80" s="5050" t="s">
        <v>182</v>
      </c>
      <c r="B80" s="2910" t="str">
        <f>'[2]H. LAI VUNG'!B74</f>
        <v>Dự phòng ngân sách</v>
      </c>
      <c r="C80" s="5086">
        <f>+'Phụ lục 8-HĐND'!N15</f>
        <v>17717</v>
      </c>
    </row>
    <row r="81" spans="1:3" s="386" customFormat="1" ht="17.399999999999999">
      <c r="A81" s="5050" t="s">
        <v>215</v>
      </c>
      <c r="B81" s="2910" t="str">
        <f>'[2]H. LAI VUNG'!B75</f>
        <v>Chi tạo nguồn cải cách tiền lương</v>
      </c>
      <c r="C81" s="5086">
        <f>+'Phụ lục 8-HĐND'!N16</f>
        <v>40825</v>
      </c>
    </row>
    <row r="82" spans="1:3" s="386" customFormat="1" ht="17.399999999999999">
      <c r="A82" s="5073" t="s">
        <v>718</v>
      </c>
      <c r="B82" s="701" t="str">
        <f>'[2]H. LAI VUNG'!B76</f>
        <v>Chi từ nguồn ngân sách cấp Tỉnh bổ sung có mục tiêu</v>
      </c>
      <c r="C82" s="5086">
        <f>SUM(C83:C87)</f>
        <v>11064.119246116901</v>
      </c>
    </row>
    <row r="83" spans="1:3">
      <c r="A83" s="5055" t="s">
        <v>29</v>
      </c>
      <c r="B83" s="704" t="str">
        <f>+'H. LAI VUNG'!B83</f>
        <v>Chi đầu tư xây dựng cơ bản</v>
      </c>
      <c r="C83" s="5087">
        <f>+'Phụ lục 8-HĐND'!N18</f>
        <v>0</v>
      </c>
    </row>
    <row r="84" spans="1:3">
      <c r="A84" s="5055" t="s">
        <v>29</v>
      </c>
      <c r="B84" s="704" t="str">
        <f>+'H. LAI VUNG'!B84</f>
        <v>Chi đầu tư từ nguồn xổ số kiến thiết</v>
      </c>
      <c r="C84" s="5087">
        <f>+'Phụ lục 8-HĐND'!N19</f>
        <v>0</v>
      </c>
    </row>
    <row r="85" spans="1:3">
      <c r="A85" s="5055" t="s">
        <v>29</v>
      </c>
      <c r="B85" s="704" t="str">
        <f>+'H. LAI VUNG'!B85</f>
        <v>Chi từ nguồn ngân sách trung ương bổ sung có mục tiêu (kinh phí biên chế giáo viên tăng thêm)</v>
      </c>
      <c r="C85" s="5087">
        <f>+'Phụ lục 8-HĐND'!N20</f>
        <v>605</v>
      </c>
    </row>
    <row r="86" spans="1:3">
      <c r="A86" s="5056" t="s">
        <v>29</v>
      </c>
      <c r="B86" s="704" t="str">
        <f>+'H. LAI VUNG'!B86</f>
        <v>Chi từ nguồn ngân sách trung ương bổ sung có mục tiêu (kinh phí hỗ trợ địa phương sản xuất lúa năm 2025)</v>
      </c>
      <c r="C86" s="5087">
        <f>+'Phụ lục 8-HĐND'!N21</f>
        <v>750</v>
      </c>
    </row>
    <row r="87" spans="1:3" ht="18.600000000000001" thickBot="1">
      <c r="A87" s="5057"/>
      <c r="B87" s="5058" t="str">
        <f>+'H. LAI VUNG'!B87</f>
        <v>Chi từ nguồn ngân sách trung ương bổ sung có mục tiêu (chính sách an sinh xã hội năm 2025)</v>
      </c>
      <c r="C87" s="5088">
        <f>+'Phụ lục 8-HĐND'!N22</f>
        <v>9709.1192461169012</v>
      </c>
    </row>
    <row r="88" spans="1:3" ht="18.600000000000001" thickTop="1"/>
    <row r="89" spans="1:3">
      <c r="A89" s="588" t="s">
        <v>1717</v>
      </c>
      <c r="B89" s="2903"/>
    </row>
    <row r="90" spans="1:3">
      <c r="A90" s="6761" t="s">
        <v>1828</v>
      </c>
      <c r="B90" s="6762"/>
      <c r="C90" s="6762"/>
    </row>
    <row r="91" spans="1:3" ht="60" customHeight="1">
      <c r="A91" s="6772" t="str">
        <f>+'H. LAI VUNG'!A91:C91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ht="39.9" customHeight="1">
      <c r="A92" s="6769" t="str">
        <f>+'H. LAI VUNG'!A92:C92</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60" customHeight="1">
      <c r="A94" s="6769" t="str">
        <f>+'H. LAI VUNG'!A94:C94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ht="38.25" customHeight="1">
      <c r="A95" s="6770" t="str">
        <f>+'H. LAI VUNG'!A95:C95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ht="20.100000000000001" customHeight="1">
      <c r="A96" s="381" t="str">
        <f>+'H. LAI VUNG'!A96</f>
        <v xml:space="preserve">- Bao gồm 10% tiết kiệm tăng thêm năm 2025 so với năm 2024 để thực hiện cải cách tiền lương năm 2025 là: </v>
      </c>
      <c r="C96" s="2912" t="s">
        <v>1830</v>
      </c>
    </row>
    <row r="97" spans="1:3" s="386" customFormat="1" ht="17.399999999999999">
      <c r="A97" s="2704" t="str">
        <f>'[2]H. LAI VUNG'!A91</f>
        <v>(3): Trong đó:</v>
      </c>
      <c r="B97" s="2704"/>
      <c r="C97" s="2704"/>
    </row>
    <row r="98" spans="1:3" s="2927" customFormat="1" ht="60" customHeight="1">
      <c r="A98" s="6769" t="str">
        <f>+'H. LAI VUNG'!A98:C98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1" spans="1:5">
      <c r="A121" s="6281" t="str">
        <f>+'H. LAI VUNG'!A121:C121</f>
        <v>PHỤ LỤC III</v>
      </c>
      <c r="B121" s="6281"/>
      <c r="C121" s="6281"/>
    </row>
    <row r="122" spans="1:5">
      <c r="A122" s="6281" t="str">
        <f>+'H. LAI VUNG'!A122:C122</f>
        <v>CHI TỪ NGUỒN NGÂN SÁCH CẤP TỈNH BỔ SUNG CÓ MỤC TIÊU NĂM 2025</v>
      </c>
      <c r="B122" s="6281"/>
      <c r="C122" s="6281"/>
    </row>
    <row r="123" spans="1:5">
      <c r="A123" s="6281" t="str">
        <f>A66</f>
        <v>THÀNH PHỐ SA ĐÉC</v>
      </c>
      <c r="B123" s="6281"/>
      <c r="C123" s="6281"/>
    </row>
    <row r="124" spans="1:5">
      <c r="A124" s="6496" t="str">
        <f>+A67</f>
        <v>(Kèm theo Quyết định số        /QĐ-UBND-HC ngày      /12/2024 của Uỷ ban nhân dân tỉnh Đồng Tháp)</v>
      </c>
      <c r="B124" s="6496"/>
      <c r="C124" s="6496"/>
    </row>
    <row r="126" spans="1:5" ht="18.600000000000001" thickBot="1">
      <c r="A126" s="2899"/>
      <c r="B126" s="2899"/>
      <c r="C126" s="2883" t="str">
        <f>C69</f>
        <v>Đơn vị tính: Triệu đồng</v>
      </c>
    </row>
    <row r="127" spans="1:5" ht="35.4" thickTop="1">
      <c r="A127" s="5014" t="s">
        <v>136</v>
      </c>
      <c r="B127" s="4862" t="s">
        <v>137</v>
      </c>
      <c r="C127" s="4861" t="s">
        <v>1455</v>
      </c>
    </row>
    <row r="128" spans="1:5">
      <c r="A128" s="5015"/>
      <c r="B128" s="682" t="s">
        <v>3196</v>
      </c>
      <c r="C128" s="5016">
        <f>SUM(C129:C140)</f>
        <v>79778.735000000001</v>
      </c>
      <c r="E128" s="667">
        <f>+C42-C128</f>
        <v>0</v>
      </c>
    </row>
    <row r="129" spans="1:3" ht="36">
      <c r="A129" s="593">
        <v>1</v>
      </c>
      <c r="B129" s="5022" t="s">
        <v>805</v>
      </c>
      <c r="C129" s="4538">
        <f>+'Phụ lục số 8.1'!CR14</f>
        <v>1448.55</v>
      </c>
    </row>
    <row r="130" spans="1:3">
      <c r="A130" s="593">
        <v>2</v>
      </c>
      <c r="B130" s="5022" t="str">
        <f>+'H. LAI VUNG'!B130</f>
        <v>Kinh phí hỗ trợ địa phương sản xuất lúa</v>
      </c>
      <c r="C130" s="4538">
        <f>+'Phụ lục số 8.1'!CR15</f>
        <v>3250</v>
      </c>
    </row>
    <row r="131" spans="1:3">
      <c r="A131" s="593">
        <v>3</v>
      </c>
      <c r="B131" s="5022" t="str">
        <f>+'H. LAI VUNG'!B131</f>
        <v>Kinh phí biên chế giáo viên tăng thêm</v>
      </c>
      <c r="C131" s="4538">
        <f>+'Phụ lục số 8.1'!CR18</f>
        <v>605</v>
      </c>
    </row>
    <row r="132" spans="1:3" ht="36">
      <c r="A132" s="593">
        <v>4</v>
      </c>
      <c r="B132" s="2525" t="s">
        <v>1608</v>
      </c>
      <c r="C132" s="4538">
        <f>+'Phụ lục số 8.3-CĐCS'!FM13+'Phụ lục số 8.3-CĐCS'!FM14</f>
        <v>80</v>
      </c>
    </row>
    <row r="133" spans="1:3">
      <c r="A133" s="593">
        <v>5</v>
      </c>
      <c r="B133" s="2525" t="s">
        <v>3197</v>
      </c>
      <c r="C133" s="5018">
        <v>0</v>
      </c>
    </row>
    <row r="134" spans="1:3" ht="36">
      <c r="A134" s="593">
        <v>6</v>
      </c>
      <c r="B134" s="2525" t="s">
        <v>3198</v>
      </c>
      <c r="C134" s="5018">
        <f>+'Phụ lục số 8.3-CĐCS'!FM15</f>
        <v>66</v>
      </c>
    </row>
    <row r="135" spans="1:3" ht="36">
      <c r="A135" s="593">
        <v>7</v>
      </c>
      <c r="B135" s="2525" t="s">
        <v>3199</v>
      </c>
      <c r="C135" s="5018">
        <f>+'Phụ lục số 8.3-CĐCS'!FM17+'Phụ lục số 8.3-CĐCS'!FM18</f>
        <v>17864</v>
      </c>
    </row>
    <row r="136" spans="1:3" ht="36">
      <c r="A136" s="593">
        <v>8</v>
      </c>
      <c r="B136" s="2525" t="s">
        <v>1093</v>
      </c>
      <c r="C136" s="4538">
        <v>0</v>
      </c>
    </row>
    <row r="137" spans="1:3" ht="36">
      <c r="A137" s="593">
        <v>9</v>
      </c>
      <c r="B137" s="5012" t="s">
        <v>3156</v>
      </c>
      <c r="C137" s="5018">
        <f>+'Phụ lục số 8.1'!CR20</f>
        <v>594.87</v>
      </c>
    </row>
    <row r="138" spans="1:3">
      <c r="A138" s="593">
        <v>10</v>
      </c>
      <c r="B138" s="5013" t="s">
        <v>1510</v>
      </c>
      <c r="C138" s="5018">
        <f>+'Phụ lục số 8.1'!CR22</f>
        <v>52520</v>
      </c>
    </row>
    <row r="139" spans="1:3">
      <c r="A139" s="593">
        <v>11</v>
      </c>
      <c r="B139" s="5013" t="str">
        <f>+'H. LAI VUNG'!B139</f>
        <v>Kinh phí thực hiện hỗ trợ đào tạo nghề trình độ sơ cấp và đào tạo dưới 03 tháng năm 2025</v>
      </c>
      <c r="C139" s="5018"/>
    </row>
    <row r="140" spans="1:3" ht="18.600000000000001" thickBot="1">
      <c r="A140" s="5019">
        <v>12</v>
      </c>
      <c r="B140" s="5020" t="str">
        <f>+'H. LAI VUNG'!B140</f>
        <v>Kinh phí tổ chức đại hội Đảng nhiệm kỳ 2025 - 2030</v>
      </c>
      <c r="C140" s="5021">
        <f>+'Phụ lục số 8.1'!CR16</f>
        <v>3350.3150000000001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141"/>
  <sheetViews>
    <sheetView topLeftCell="A79" workbookViewId="0">
      <selection activeCell="F90" sqref="F90"/>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+'TP. SA ĐÉC'!A1:C1</f>
        <v>PHỤ LỤC I</v>
      </c>
      <c r="B1" s="6281"/>
      <c r="C1" s="6281"/>
    </row>
    <row r="2" spans="1:3">
      <c r="A2" s="6281" t="str">
        <f>+'TP. SA ĐÉC'!A2:C2</f>
        <v>NHIỆM VỤ THU NGÂN SÁCH NHÀ NƯỚC NĂM 2025</v>
      </c>
      <c r="B2" s="6281"/>
      <c r="C2" s="6281"/>
    </row>
    <row r="3" spans="1:3">
      <c r="A3" s="6281" t="s">
        <v>1599</v>
      </c>
      <c r="B3" s="6281"/>
      <c r="C3" s="6281"/>
    </row>
    <row r="4" spans="1:3">
      <c r="A4" s="6498" t="str">
        <f>+'TP. SA ĐÉC'!A4:C4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C10+C16+C19+C20+C21+C22+C26+C29+C32+C36</f>
        <v>237050</v>
      </c>
    </row>
    <row r="9" spans="1:3" s="873" customFormat="1">
      <c r="A9" s="5025"/>
      <c r="B9" s="697" t="s">
        <v>784</v>
      </c>
      <c r="C9" s="5078">
        <f>C8-C29</f>
        <v>137050</v>
      </c>
    </row>
    <row r="10" spans="1:3" s="588" customFormat="1" ht="17.399999999999999">
      <c r="A10" s="5027">
        <v>1</v>
      </c>
      <c r="B10" s="701" t="s">
        <v>1477</v>
      </c>
      <c r="C10" s="5086">
        <f>SUM(C11:C15)</f>
        <v>66000</v>
      </c>
    </row>
    <row r="11" spans="1:3">
      <c r="A11" s="5029" t="s">
        <v>29</v>
      </c>
      <c r="B11" s="704" t="s">
        <v>786</v>
      </c>
      <c r="C11" s="5087">
        <f>+'Phụ lục 7-HĐND'!AM10</f>
        <v>52010</v>
      </c>
    </row>
    <row r="12" spans="1:3">
      <c r="A12" s="5029" t="s">
        <v>29</v>
      </c>
      <c r="B12" s="704" t="s">
        <v>787</v>
      </c>
      <c r="C12" s="5087">
        <f>+'Phụ lục 7-HĐND'!AM11</f>
        <v>13700</v>
      </c>
    </row>
    <row r="13" spans="1:3">
      <c r="A13" s="5029" t="s">
        <v>29</v>
      </c>
      <c r="B13" s="704" t="s">
        <v>788</v>
      </c>
      <c r="C13" s="5087">
        <f>+'Phụ lục 7-HĐND'!AM12</f>
        <v>100</v>
      </c>
    </row>
    <row r="14" spans="1:3">
      <c r="A14" s="5029" t="s">
        <v>29</v>
      </c>
      <c r="B14" s="704" t="s">
        <v>10</v>
      </c>
      <c r="C14" s="5087">
        <f>+'Phụ lục 7-HĐND'!AM13</f>
        <v>190</v>
      </c>
    </row>
    <row r="15" spans="1:3">
      <c r="A15" s="5029" t="s">
        <v>29</v>
      </c>
      <c r="B15" s="704" t="s">
        <v>789</v>
      </c>
      <c r="C15" s="5087">
        <f>+'Phụ lục 7-HĐND'!AM14</f>
        <v>0</v>
      </c>
    </row>
    <row r="16" spans="1:3" s="2576" customFormat="1">
      <c r="A16" s="5027">
        <v>2</v>
      </c>
      <c r="B16" s="701" t="s">
        <v>20</v>
      </c>
      <c r="C16" s="5086">
        <f>SUM(C17:C18)</f>
        <v>22000</v>
      </c>
    </row>
    <row r="17" spans="1:3" hidden="1">
      <c r="A17" s="5031" t="s">
        <v>29</v>
      </c>
      <c r="B17" s="43" t="s">
        <v>790</v>
      </c>
      <c r="C17" s="5087">
        <f>+'Phụ lục 7-HĐND'!AM16</f>
        <v>0</v>
      </c>
    </row>
    <row r="18" spans="1:3" hidden="1">
      <c r="A18" s="5033" t="s">
        <v>29</v>
      </c>
      <c r="B18" s="711" t="s">
        <v>791</v>
      </c>
      <c r="C18" s="5087">
        <f>+'Phụ lục 7-HĐND'!AM17</f>
        <v>22000</v>
      </c>
    </row>
    <row r="19" spans="1:3" s="588" customFormat="1" ht="17.399999999999999">
      <c r="A19" s="5027">
        <v>3</v>
      </c>
      <c r="B19" s="701" t="s">
        <v>17</v>
      </c>
      <c r="C19" s="5086">
        <f>+'Phụ lục 7-HĐND'!AM18</f>
        <v>22000</v>
      </c>
    </row>
    <row r="20" spans="1:3" s="588" customFormat="1" ht="17.399999999999999">
      <c r="A20" s="5027">
        <v>4</v>
      </c>
      <c r="B20" s="701" t="s">
        <v>792</v>
      </c>
      <c r="C20" s="5086">
        <f>+'Phụ lục 7-HĐND'!AM19</f>
        <v>0</v>
      </c>
    </row>
    <row r="21" spans="1:3" s="588" customFormat="1" ht="17.399999999999999">
      <c r="A21" s="5027">
        <v>4</v>
      </c>
      <c r="B21" s="701" t="s">
        <v>97</v>
      </c>
      <c r="C21" s="5086">
        <f>+'Phụ lục 7-HĐND'!AM20</f>
        <v>1000</v>
      </c>
    </row>
    <row r="22" spans="1:3" s="588" customFormat="1" ht="17.399999999999999">
      <c r="A22" s="5027">
        <v>5</v>
      </c>
      <c r="B22" s="701" t="s">
        <v>793</v>
      </c>
      <c r="C22" s="5086">
        <f>SUM(C23:C25)</f>
        <v>7000</v>
      </c>
    </row>
    <row r="23" spans="1:3">
      <c r="A23" s="5034" t="s">
        <v>29</v>
      </c>
      <c r="B23" s="43" t="s">
        <v>794</v>
      </c>
      <c r="C23" s="5087">
        <f>+'Phụ lục 7-HĐND'!AM22</f>
        <v>2500</v>
      </c>
    </row>
    <row r="24" spans="1:3">
      <c r="A24" s="5034" t="s">
        <v>29</v>
      </c>
      <c r="B24" s="43" t="s">
        <v>795</v>
      </c>
      <c r="C24" s="5087">
        <f>+'Phụ lục 7-HĐND'!AM23</f>
        <v>250</v>
      </c>
    </row>
    <row r="25" spans="1:3">
      <c r="A25" s="5034" t="s">
        <v>29</v>
      </c>
      <c r="B25" s="43" t="s">
        <v>796</v>
      </c>
      <c r="C25" s="5087">
        <f>+'Phụ lục 7-HĐND'!AM24</f>
        <v>4250</v>
      </c>
    </row>
    <row r="26" spans="1:3" s="588" customFormat="1" ht="17.399999999999999">
      <c r="A26" s="5027">
        <v>6</v>
      </c>
      <c r="B26" s="701" t="s">
        <v>24</v>
      </c>
      <c r="C26" s="5086">
        <f>SUM(C27:C28)</f>
        <v>4000</v>
      </c>
    </row>
    <row r="27" spans="1:3">
      <c r="A27" s="5034" t="s">
        <v>29</v>
      </c>
      <c r="B27" s="43" t="s">
        <v>790</v>
      </c>
      <c r="C27" s="5087">
        <f>+'Phụ lục 7-HĐND'!AM26</f>
        <v>0</v>
      </c>
    </row>
    <row r="28" spans="1:3">
      <c r="A28" s="5035" t="s">
        <v>29</v>
      </c>
      <c r="B28" s="711" t="s">
        <v>1809</v>
      </c>
      <c r="C28" s="5087">
        <f>+'Phụ lục 7-HĐND'!AM27</f>
        <v>4000</v>
      </c>
    </row>
    <row r="29" spans="1:3" s="588" customFormat="1" ht="17.399999999999999">
      <c r="A29" s="5027">
        <v>7</v>
      </c>
      <c r="B29" s="701" t="s">
        <v>242</v>
      </c>
      <c r="C29" s="5086">
        <f>SUM(C30:C31)</f>
        <v>100000</v>
      </c>
    </row>
    <row r="30" spans="1:3">
      <c r="A30" s="5034" t="s">
        <v>29</v>
      </c>
      <c r="B30" s="43" t="s">
        <v>790</v>
      </c>
      <c r="C30" s="5087">
        <f>+'Phụ lục 7-HĐND'!AM29</f>
        <v>0</v>
      </c>
    </row>
    <row r="31" spans="1:3">
      <c r="A31" s="5035" t="s">
        <v>29</v>
      </c>
      <c r="B31" s="711" t="s">
        <v>1810</v>
      </c>
      <c r="C31" s="5087">
        <f>+'Phụ lục 7-HĐND'!AM30</f>
        <v>100000</v>
      </c>
    </row>
    <row r="32" spans="1:3" s="588" customFormat="1" ht="17.399999999999999">
      <c r="A32" s="5027">
        <v>8</v>
      </c>
      <c r="B32" s="701" t="s">
        <v>798</v>
      </c>
      <c r="C32" s="5086">
        <f>SUM(C33:C35)</f>
        <v>15000</v>
      </c>
    </row>
    <row r="33" spans="1:7">
      <c r="A33" s="5034" t="s">
        <v>29</v>
      </c>
      <c r="B33" s="43" t="s">
        <v>799</v>
      </c>
      <c r="C33" s="5087">
        <f>+'Phụ lục 7-HĐND'!AM32</f>
        <v>2000</v>
      </c>
    </row>
    <row r="34" spans="1:7">
      <c r="A34" s="5034" t="s">
        <v>29</v>
      </c>
      <c r="B34" s="43" t="s">
        <v>800</v>
      </c>
      <c r="C34" s="5087">
        <f>+'Phụ lục 7-HĐND'!AM33</f>
        <v>1000</v>
      </c>
    </row>
    <row r="35" spans="1:7">
      <c r="A35" s="5034" t="s">
        <v>29</v>
      </c>
      <c r="B35" s="43" t="s">
        <v>801</v>
      </c>
      <c r="C35" s="5087">
        <f>+'Phụ lục 7-HĐND'!AM34</f>
        <v>12000</v>
      </c>
    </row>
    <row r="36" spans="1:7" s="588" customFormat="1" ht="17.399999999999999">
      <c r="A36" s="5027">
        <v>9</v>
      </c>
      <c r="B36" s="5036" t="s">
        <v>1811</v>
      </c>
      <c r="C36" s="5086">
        <f>+'Phụ lục 7-HĐND'!AM35</f>
        <v>50</v>
      </c>
    </row>
    <row r="37" spans="1:7" s="386" customFormat="1" ht="17.399999999999999">
      <c r="A37" s="5027" t="s">
        <v>33</v>
      </c>
      <c r="B37" s="701" t="s">
        <v>1812</v>
      </c>
      <c r="C37" s="5083"/>
    </row>
    <row r="38" spans="1:7" s="386" customFormat="1">
      <c r="A38" s="5027"/>
      <c r="B38" s="704" t="s">
        <v>1813</v>
      </c>
      <c r="C38" s="5084">
        <f>100%</f>
        <v>1</v>
      </c>
    </row>
    <row r="39" spans="1:7" s="588" customFormat="1" ht="17.399999999999999">
      <c r="A39" s="4971" t="s">
        <v>182</v>
      </c>
      <c r="B39" s="4972" t="s">
        <v>802</v>
      </c>
      <c r="C39" s="5086">
        <f>SUM(C40:C42)</f>
        <v>628451.47200000007</v>
      </c>
    </row>
    <row r="40" spans="1:7">
      <c r="A40" s="1926">
        <v>1</v>
      </c>
      <c r="B40" s="4968" t="s">
        <v>803</v>
      </c>
      <c r="C40" s="5087">
        <f>+'Phụ lục 7-HĐND'!AM37</f>
        <v>379928</v>
      </c>
    </row>
    <row r="41" spans="1:7">
      <c r="A41" s="1926">
        <v>2</v>
      </c>
      <c r="B41" s="1927" t="s">
        <v>3136</v>
      </c>
      <c r="C41" s="5087">
        <f>+'Phụ lục 7-HĐND'!AM38</f>
        <v>166047</v>
      </c>
    </row>
    <row r="42" spans="1:7">
      <c r="A42" s="1926">
        <v>3</v>
      </c>
      <c r="B42" s="4968" t="s">
        <v>3206</v>
      </c>
      <c r="C42" s="5087">
        <f>+'Phụ lục 7-HĐND'!AM39</f>
        <v>82476.472000000009</v>
      </c>
    </row>
    <row r="43" spans="1:7" s="2802" customFormat="1" thickBot="1">
      <c r="A43" s="4539" t="s">
        <v>215</v>
      </c>
      <c r="B43" s="5042" t="s">
        <v>1721</v>
      </c>
      <c r="C43" s="5089">
        <f>+'Phụ lục 7-HĐND'!AM40</f>
        <v>22457</v>
      </c>
    </row>
    <row r="44" spans="1:7" ht="18.600000000000001" hidden="1" thickTop="1">
      <c r="A44" s="2928"/>
      <c r="B44" s="2928" t="s">
        <v>809</v>
      </c>
      <c r="C44" s="2915"/>
    </row>
    <row r="45" spans="1:7" ht="18.600000000000001" thickTop="1"/>
    <row r="46" spans="1:7">
      <c r="A46" s="6744" t="s">
        <v>1717</v>
      </c>
      <c r="B46" s="6744"/>
      <c r="C46" s="6744"/>
      <c r="G46" s="381" t="s">
        <v>117</v>
      </c>
    </row>
    <row r="47" spans="1:7" ht="39.9" customHeight="1">
      <c r="A47" s="6759" t="str">
        <f>+'TP. SA ĐÉC'!A47:C47</f>
        <v xml:space="preserve">(1): Dự toán thu ngân sách nhà nước năm 2025 không bao gồm các khoản huy động nhân dân đóng góp, các khoản ghi thu, ghi chi vào ngân sách nhà nước theo chế độ quy định.
</v>
      </c>
      <c r="B47" s="6759"/>
      <c r="C47" s="6759"/>
    </row>
    <row r="48" spans="1:7" ht="105" customHeight="1">
      <c r="A48" s="6759" t="str">
        <f>+'TP. SA ĐÉC'!A48:C48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6778" t="str">
        <f>+'TP. SA ĐÉC'!A49</f>
        <v>(4): Các khoản thu phân chia theo tỷ lệ (%) giữa ngân sách cấp Tỉnh và ngân sách cấp huyện</v>
      </c>
      <c r="B49" s="6778"/>
      <c r="C49" s="6778"/>
    </row>
    <row r="50" spans="1:3">
      <c r="A50" s="6778" t="str">
        <f>+'TP. SA ĐÉC'!A50</f>
        <v>(5): Chi tiết thu bổ sung có mục tiêu theo Phụ lục số III</v>
      </c>
      <c r="B50" s="6778"/>
      <c r="C50" s="6778"/>
    </row>
    <row r="51" spans="1:3">
      <c r="A51" s="2922"/>
      <c r="B51" s="2922"/>
      <c r="C51" s="2922"/>
    </row>
    <row r="62" spans="1:3">
      <c r="A62" s="6281" t="str">
        <f>+'TP. SA ĐÉC'!A64:C64</f>
        <v>PHỤ LỤC II</v>
      </c>
      <c r="B62" s="6281"/>
      <c r="C62" s="6281"/>
    </row>
    <row r="63" spans="1:3">
      <c r="A63" s="6281" t="str">
        <f>+'TP. SA ĐÉC'!A65:C65</f>
        <v>NHIỆM VỤ CHI NGÂN SÁCH HUYỆN, THÀNH PHỐ NĂM 2025</v>
      </c>
      <c r="B63" s="6281"/>
      <c r="C63" s="6281"/>
    </row>
    <row r="64" spans="1:3">
      <c r="A64" s="6281" t="str">
        <f>A3</f>
        <v>HUYỆN CHÂU THÀNH</v>
      </c>
      <c r="B64" s="6281"/>
      <c r="C64" s="6281"/>
    </row>
    <row r="65" spans="1:3">
      <c r="A65" s="6498" t="str">
        <f>A4</f>
        <v>(Kèm theo Quyết định số        /QĐ-UBND-HC ngày      /12/2024 của Uỷ ban nhân dân tỉnh Đồng Tháp)</v>
      </c>
      <c r="B65" s="6498"/>
      <c r="C65" s="6498"/>
    </row>
    <row r="66" spans="1:3">
      <c r="A66" s="2891"/>
      <c r="B66" s="2891"/>
      <c r="C66" s="2891"/>
    </row>
    <row r="67" spans="1:3" ht="18.600000000000001" thickBot="1">
      <c r="A67" s="2891"/>
      <c r="B67" s="2891"/>
      <c r="C67" s="431" t="str">
        <f>C6</f>
        <v>Đơn vị tính: Triệu đồng</v>
      </c>
    </row>
    <row r="68" spans="1:3" s="382" customFormat="1" ht="35.4" thickTop="1">
      <c r="A68" s="2752" t="s">
        <v>136</v>
      </c>
      <c r="B68" s="4850" t="str">
        <f>'[2]TP. SA ĐÉC'!B64</f>
        <v>Nội dung</v>
      </c>
      <c r="C68" s="4543" t="str">
        <f>C7</f>
        <v>Dự toán năm 2025</v>
      </c>
    </row>
    <row r="69" spans="1:3" s="588" customFormat="1" ht="17.399999999999999">
      <c r="A69" s="5049"/>
      <c r="B69" s="693" t="str">
        <f>'[2]TP. SA ĐÉC'!B65</f>
        <v>Tổng chi (I+II+III+IV)</v>
      </c>
      <c r="C69" s="5024">
        <f>C70+C74+C78+C79+C80</f>
        <v>871518.47200000007</v>
      </c>
    </row>
    <row r="70" spans="1:3" s="588" customFormat="1" ht="17.399999999999999">
      <c r="A70" s="5050" t="s">
        <v>3</v>
      </c>
      <c r="B70" s="2910" t="str">
        <f>'[2]TP. SA ĐÉC'!B66</f>
        <v>Chi đầu tư phát triển (1)</v>
      </c>
      <c r="C70" s="5086">
        <f>C72+C73</f>
        <v>123000</v>
      </c>
    </row>
    <row r="71" spans="1:3">
      <c r="A71" s="5051"/>
      <c r="B71" s="2916" t="str">
        <f>'[2]TP. SA ĐÉC'!B67</f>
        <v>Bao gồm:</v>
      </c>
      <c r="C71" s="5087"/>
    </row>
    <row r="72" spans="1:3">
      <c r="A72" s="5052">
        <v>1</v>
      </c>
      <c r="B72" s="2917" t="str">
        <f>'[2]TP. SA ĐÉC'!B68</f>
        <v>Chi đầu tư xây dựng cơ bản</v>
      </c>
      <c r="C72" s="5087">
        <f>+'Phụ lục 8-HĐND'!O9</f>
        <v>33000</v>
      </c>
    </row>
    <row r="73" spans="1:3">
      <c r="A73" s="5052">
        <v>2</v>
      </c>
      <c r="B73" s="2917" t="str">
        <f>'[2]TP. SA ĐÉC'!B69</f>
        <v>Chi đầu tư từ nguồn thu tiền sử dụng đất</v>
      </c>
      <c r="C73" s="5087">
        <f>+'Phụ lục 8-HĐND'!O10</f>
        <v>90000</v>
      </c>
    </row>
    <row r="74" spans="1:3" s="588" customFormat="1" ht="17.399999999999999">
      <c r="A74" s="5050" t="s">
        <v>33</v>
      </c>
      <c r="B74" s="2910" t="str">
        <f>'[2]TP. SA ĐÉC'!B70</f>
        <v>Chi thường xuyên (2)</v>
      </c>
      <c r="C74" s="5086">
        <f>+'Phụ lục 8-HĐND'!O11</f>
        <v>712225.96687896887</v>
      </c>
    </row>
    <row r="75" spans="1:3">
      <c r="A75" s="5053"/>
      <c r="B75" s="2907" t="str">
        <f>'[2]TP. SA ĐÉC'!B71</f>
        <v>Bao gồm:</v>
      </c>
      <c r="C75" s="5087"/>
    </row>
    <row r="76" spans="1:3">
      <c r="A76" s="5052">
        <v>1</v>
      </c>
      <c r="B76" s="2909" t="str">
        <f>'[2]TP. SA ĐÉC'!B72</f>
        <v>Sự nghiệp giáo dục - đào tạo (3)</v>
      </c>
      <c r="C76" s="5087">
        <f>+'Phụ lục 8-HĐND'!O13</f>
        <v>359883.4</v>
      </c>
    </row>
    <row r="77" spans="1:3">
      <c r="A77" s="5052">
        <v>2</v>
      </c>
      <c r="B77" s="2909" t="str">
        <f>'[2]TP. SA ĐÉC'!B73</f>
        <v>Các khoản chi thường xuyên còn lại</v>
      </c>
      <c r="C77" s="5087">
        <f>+'Phụ lục 8-HĐND'!O14</f>
        <v>352342.56687896885</v>
      </c>
    </row>
    <row r="78" spans="1:3" s="588" customFormat="1" ht="17.399999999999999">
      <c r="A78" s="5050" t="s">
        <v>182</v>
      </c>
      <c r="B78" s="2910" t="str">
        <f>'[2]TP. SA ĐÉC'!B74</f>
        <v>Dự phòng ngân sách</v>
      </c>
      <c r="C78" s="5086">
        <f>+'Phụ lục 8-HĐND'!O15</f>
        <v>16303.4</v>
      </c>
    </row>
    <row r="79" spans="1:3" s="588" customFormat="1" ht="17.399999999999999">
      <c r="A79" s="5050" t="s">
        <v>215</v>
      </c>
      <c r="B79" s="2910" t="str">
        <f>'[2]TP. SA ĐÉC'!B75</f>
        <v>Chi tạo nguồn cải cách tiền lương</v>
      </c>
      <c r="C79" s="5086">
        <f>+'Phụ lục 8-HĐND'!O16</f>
        <v>0</v>
      </c>
    </row>
    <row r="80" spans="1:3" s="386" customFormat="1" ht="17.399999999999999">
      <c r="A80" s="5073" t="s">
        <v>718</v>
      </c>
      <c r="B80" s="701" t="str">
        <f>'[2]TP. SA ĐÉC'!B76</f>
        <v>Chi từ nguồn ngân sách cấp Tỉnh bổ sung có mục tiêu</v>
      </c>
      <c r="C80" s="5083">
        <f>SUM(C81:C85)</f>
        <v>19989.1051210312</v>
      </c>
    </row>
    <row r="81" spans="1:3">
      <c r="A81" s="5055" t="s">
        <v>29</v>
      </c>
      <c r="B81" s="704" t="str">
        <f>+'TP. SA ĐÉC'!B83</f>
        <v>Chi đầu tư xây dựng cơ bản</v>
      </c>
      <c r="C81" s="5892">
        <f>+'Phụ lục 8-HĐND'!O18</f>
        <v>0</v>
      </c>
    </row>
    <row r="82" spans="1:3">
      <c r="A82" s="5055" t="s">
        <v>29</v>
      </c>
      <c r="B82" s="704" t="str">
        <f>+'TP. SA ĐÉC'!B84</f>
        <v>Chi đầu tư từ nguồn xổ số kiến thiết</v>
      </c>
      <c r="C82" s="5892">
        <f>+'Phụ lục 8-HĐND'!O19</f>
        <v>0</v>
      </c>
    </row>
    <row r="83" spans="1:3">
      <c r="A83" s="5055" t="s">
        <v>29</v>
      </c>
      <c r="B83" s="2901" t="str">
        <f>+'TP. SA ĐÉC'!B85</f>
        <v>Chi từ nguồn ngân sách trung ương bổ sung có mục tiêu (kinh phí biên chế giáo viên tăng thêm)</v>
      </c>
      <c r="C83" s="5892">
        <f>+'Phụ lục 8-HĐND'!O20</f>
        <v>859</v>
      </c>
    </row>
    <row r="84" spans="1:3">
      <c r="A84" s="5056" t="s">
        <v>29</v>
      </c>
      <c r="B84" s="2901" t="str">
        <f>+'TP. SA ĐÉC'!B86</f>
        <v>Chi từ nguồn ngân sách trung ương bổ sung có mục tiêu (kinh phí hỗ trợ địa phương sản xuất lúa năm 2025)</v>
      </c>
      <c r="C84" s="5892">
        <f>+'Phụ lục 8-HĐND'!O21</f>
        <v>5250</v>
      </c>
    </row>
    <row r="85" spans="1:3" ht="18.600000000000001" thickBot="1">
      <c r="A85" s="5057"/>
      <c r="B85" s="5891" t="str">
        <f>+'TP. SA ĐÉC'!B87</f>
        <v>Chi từ nguồn ngân sách trung ương bổ sung có mục tiêu (chính sách an sinh xã hội năm 2025)</v>
      </c>
      <c r="C85" s="5893">
        <f>+'Phụ lục 8-HĐND'!O22</f>
        <v>13880.105121031198</v>
      </c>
    </row>
    <row r="86" spans="1:3" ht="18.600000000000001" thickTop="1"/>
    <row r="87" spans="1:3">
      <c r="A87" s="588" t="s">
        <v>1717</v>
      </c>
      <c r="B87" s="2903"/>
    </row>
    <row r="88" spans="1:3">
      <c r="A88" s="6761" t="s">
        <v>1828</v>
      </c>
      <c r="B88" s="6762"/>
      <c r="C88" s="6762"/>
    </row>
    <row r="89" spans="1:3" ht="60" customHeight="1">
      <c r="A89" s="6772" t="str">
        <f>+'TP. SA ĐÉC'!A91:C91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9" s="6769"/>
      <c r="C89" s="6769"/>
    </row>
    <row r="90" spans="1:3" ht="39.9" customHeight="1">
      <c r="A90" s="6769" t="str">
        <f>+'TP. SA ĐÉC'!A92:C92</f>
        <v>- Chưa bao gồm chi đầu tư từ nguồn vốn do ngân sách cấp tỉnh quản lý và phân bổ bổ sung có mục tiêu cho ngân sách huyện, thành phố</v>
      </c>
      <c r="B90" s="6769"/>
      <c r="C90" s="6769"/>
    </row>
    <row r="91" spans="1:3">
      <c r="A91" s="6764" t="s">
        <v>1829</v>
      </c>
      <c r="B91" s="6764"/>
      <c r="C91" s="6764"/>
    </row>
    <row r="92" spans="1:3" ht="60" customHeight="1">
      <c r="A92" s="6769" t="str">
        <f>+'TP. SA ĐÉC'!A94:C94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2" s="6769"/>
      <c r="C92" s="6769"/>
    </row>
    <row r="93" spans="1:3" ht="39.9" customHeight="1">
      <c r="A93" s="6770" t="str">
        <f>+'TP. SA ĐÉC'!A95:C95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3" s="6770"/>
      <c r="C93" s="6770"/>
    </row>
    <row r="94" spans="1:3">
      <c r="A94" s="381" t="str">
        <f>+'TP. SA ĐÉC'!A96</f>
        <v xml:space="preserve">- Bao gồm 10% tiết kiệm tăng thêm năm 2025 so với năm 2024 để thực hiện cải cách tiền lương năm 2025 là: </v>
      </c>
      <c r="C94" s="2912" t="s">
        <v>1830</v>
      </c>
    </row>
    <row r="95" spans="1:3" s="2704" customFormat="1" ht="17.399999999999999">
      <c r="A95" s="2704" t="str">
        <f>'[2]TP. SA ĐÉC'!A91</f>
        <v>(3): Trong đó:</v>
      </c>
    </row>
    <row r="96" spans="1:3" s="2705" customFormat="1" ht="60" customHeight="1">
      <c r="A96" s="6769" t="str">
        <f>+'TP. SA ĐÉC'!A98:C98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6" s="6769"/>
      <c r="C96" s="6769"/>
    </row>
    <row r="121" spans="1:5">
      <c r="A121" s="6281" t="str">
        <f>+'TP. SA ĐÉC'!A121:C121</f>
        <v>PHỤ LỤC III</v>
      </c>
      <c r="B121" s="6281"/>
      <c r="C121" s="6281"/>
    </row>
    <row r="122" spans="1:5">
      <c r="A122" s="6281" t="str">
        <f>+'TP. SA ĐÉC'!A122:C122</f>
        <v>CHI TỪ NGUỒN NGÂN SÁCH CẤP TỈNH BỔ SUNG CÓ MỤC TIÊU NĂM 2025</v>
      </c>
      <c r="B122" s="6281"/>
      <c r="C122" s="6281"/>
    </row>
    <row r="123" spans="1:5">
      <c r="A123" s="6281" t="str">
        <f>A64</f>
        <v>HUYỆN CHÂU THÀNH</v>
      </c>
      <c r="B123" s="6281"/>
      <c r="C123" s="6281"/>
    </row>
    <row r="124" spans="1:5">
      <c r="A124" s="6496" t="str">
        <f>+A65</f>
        <v>(Kèm theo Quyết định số        /QĐ-UBND-HC ngày      /12/2024 của Uỷ ban nhân dân tỉnh Đồng Tháp)</v>
      </c>
      <c r="B124" s="6496"/>
      <c r="C124" s="6496"/>
    </row>
    <row r="126" spans="1:5" ht="18.600000000000001" thickBot="1">
      <c r="A126" s="2899"/>
      <c r="B126" s="2899"/>
      <c r="C126" s="2883" t="str">
        <f>C67</f>
        <v>Đơn vị tính: Triệu đồng</v>
      </c>
    </row>
    <row r="127" spans="1:5" ht="35.4" thickTop="1">
      <c r="A127" s="5014" t="s">
        <v>136</v>
      </c>
      <c r="B127" s="4862" t="s">
        <v>137</v>
      </c>
      <c r="C127" s="4861" t="s">
        <v>1455</v>
      </c>
    </row>
    <row r="128" spans="1:5">
      <c r="A128" s="5015"/>
      <c r="B128" s="682" t="s">
        <v>3196</v>
      </c>
      <c r="C128" s="5016">
        <f>SUM(C129:C140)</f>
        <v>82476.471999999994</v>
      </c>
      <c r="E128" s="667">
        <f>+C42-C128</f>
        <v>0</v>
      </c>
    </row>
    <row r="129" spans="1:3" ht="36">
      <c r="A129" s="593">
        <v>1</v>
      </c>
      <c r="B129" s="5022" t="s">
        <v>805</v>
      </c>
      <c r="C129" s="4538">
        <f>+'Phụ lục số 8.1'!CZ14</f>
        <v>12728.220000000001</v>
      </c>
    </row>
    <row r="130" spans="1:3">
      <c r="A130" s="593">
        <v>2</v>
      </c>
      <c r="B130" s="5022" t="str">
        <f>+'TP. SA ĐÉC'!B130</f>
        <v>Kinh phí hỗ trợ địa phương sản xuất lúa</v>
      </c>
      <c r="C130" s="4538">
        <f>+'Phụ lục số 8.1'!CZ15</f>
        <v>16750</v>
      </c>
    </row>
    <row r="131" spans="1:3">
      <c r="A131" s="593">
        <v>3</v>
      </c>
      <c r="B131" s="5022" t="str">
        <f>+'TP. SA ĐÉC'!B131</f>
        <v>Kinh phí biên chế giáo viên tăng thêm</v>
      </c>
      <c r="C131" s="4538">
        <f>+'Phụ lục số 8.1'!CZ18</f>
        <v>859</v>
      </c>
    </row>
    <row r="132" spans="1:3" ht="36">
      <c r="A132" s="593">
        <v>4</v>
      </c>
      <c r="B132" s="2525" t="s">
        <v>1608</v>
      </c>
      <c r="C132" s="5017">
        <v>0</v>
      </c>
    </row>
    <row r="133" spans="1:3">
      <c r="A133" s="593">
        <v>5</v>
      </c>
      <c r="B133" s="2525" t="s">
        <v>3197</v>
      </c>
      <c r="C133" s="5018">
        <v>0</v>
      </c>
    </row>
    <row r="134" spans="1:3" ht="36">
      <c r="A134" s="593">
        <v>6</v>
      </c>
      <c r="B134" s="2525" t="s">
        <v>3198</v>
      </c>
      <c r="C134" s="5018">
        <f>+'Phụ lục số 8.3-CĐCS'!GA15</f>
        <v>91</v>
      </c>
    </row>
    <row r="135" spans="1:3" ht="36">
      <c r="A135" s="593">
        <v>7</v>
      </c>
      <c r="B135" s="2525" t="s">
        <v>3199</v>
      </c>
      <c r="C135" s="5018">
        <f>+'Phụ lục số 8.3-CĐCS'!GA17+'Phụ lục số 8.3-CĐCS'!GA13+'Phụ lục số 8.3-CĐCS'!GA14</f>
        <v>25596</v>
      </c>
    </row>
    <row r="136" spans="1:3" ht="36">
      <c r="A136" s="593">
        <v>8</v>
      </c>
      <c r="B136" s="2525" t="s">
        <v>1093</v>
      </c>
      <c r="C136" s="4538">
        <f>+'Phụ lục số 8.3-CĐCS'!GA18</f>
        <v>60</v>
      </c>
    </row>
    <row r="137" spans="1:3" ht="36">
      <c r="A137" s="593">
        <v>9</v>
      </c>
      <c r="B137" s="5012" t="s">
        <v>3156</v>
      </c>
      <c r="C137" s="5018">
        <f>+'Phụ lục số 8.1'!CZ20</f>
        <v>948.78</v>
      </c>
    </row>
    <row r="138" spans="1:3">
      <c r="A138" s="593">
        <v>10</v>
      </c>
      <c r="B138" s="5013" t="s">
        <v>1510</v>
      </c>
      <c r="C138" s="5018">
        <f>+'Phụ lục số 8.1'!CZ22</f>
        <v>22450</v>
      </c>
    </row>
    <row r="139" spans="1:3">
      <c r="A139" s="593">
        <v>11</v>
      </c>
      <c r="B139" s="5013" t="str">
        <f>+'TP. SA ĐÉC'!B139</f>
        <v>Kinh phí thực hiện hỗ trợ đào tạo nghề trình độ sơ cấp và đào tạo dưới 03 tháng năm 2025</v>
      </c>
      <c r="C139" s="5018"/>
    </row>
    <row r="140" spans="1:3" ht="18.600000000000001" thickBot="1">
      <c r="A140" s="5019">
        <v>12</v>
      </c>
      <c r="B140" s="5020" t="str">
        <f>+'TP. SA ĐÉC'!B140</f>
        <v>Kinh phí tổ chức đại hội Đảng nhiệm kỳ 2025 - 2030</v>
      </c>
      <c r="C140" s="5021">
        <f>+'Phụ lục số 8.1'!CZ16</f>
        <v>2993.4720000000002</v>
      </c>
    </row>
    <row r="141" spans="1:3" ht="18.600000000000001" thickTop="1"/>
  </sheetData>
  <mergeCells count="24">
    <mergeCell ref="A124:C124"/>
    <mergeCell ref="A65:C65"/>
    <mergeCell ref="A88:C88"/>
    <mergeCell ref="A89:C89"/>
    <mergeCell ref="A90:C90"/>
    <mergeCell ref="A91:C91"/>
    <mergeCell ref="A92:C92"/>
    <mergeCell ref="A93:C93"/>
    <mergeCell ref="A96:C96"/>
    <mergeCell ref="A121:C121"/>
    <mergeCell ref="A122:C122"/>
    <mergeCell ref="A123:C123"/>
    <mergeCell ref="A64:C64"/>
    <mergeCell ref="A1:C1"/>
    <mergeCell ref="A2:C2"/>
    <mergeCell ref="A3:C3"/>
    <mergeCell ref="A4:C4"/>
    <mergeCell ref="A46:C46"/>
    <mergeCell ref="A47:C47"/>
    <mergeCell ref="A48:C48"/>
    <mergeCell ref="A49:C49"/>
    <mergeCell ref="A50:C50"/>
    <mergeCell ref="A62:C62"/>
    <mergeCell ref="A63:C63"/>
  </mergeCells>
  <hyperlinks>
    <hyperlink ref="A68"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66FF"/>
  </sheetPr>
  <dimension ref="A1:E65"/>
  <sheetViews>
    <sheetView topLeftCell="A5" workbookViewId="0">
      <selection activeCell="G27" sqref="G27"/>
    </sheetView>
  </sheetViews>
  <sheetFormatPr defaultColWidth="9.88671875" defaultRowHeight="18"/>
  <cols>
    <col min="1" max="1" width="6.5546875" style="381" customWidth="1"/>
    <col min="2" max="2" width="92.44140625" style="381" customWidth="1"/>
    <col min="3" max="3" width="19.109375" style="381" customWidth="1"/>
    <col min="4" max="4" width="9.88671875" style="381"/>
    <col min="5" max="5" width="10.109375" style="381" bestFit="1" customWidth="1"/>
    <col min="6" max="16384" width="9.88671875" style="381"/>
  </cols>
  <sheetData>
    <row r="1" spans="1:3" s="386" customFormat="1" ht="17.399999999999999" hidden="1">
      <c r="B1" s="642"/>
    </row>
    <row r="2" spans="1:3" s="386" customFormat="1" ht="17.399999999999999" hidden="1">
      <c r="B2" s="642"/>
    </row>
    <row r="3" spans="1:3" s="386" customFormat="1" ht="17.399999999999999" hidden="1">
      <c r="C3" s="641"/>
    </row>
    <row r="4" spans="1:3">
      <c r="A4" s="6282" t="s">
        <v>3186</v>
      </c>
      <c r="B4" s="6281"/>
      <c r="C4" s="6281"/>
    </row>
    <row r="5" spans="1:3">
      <c r="A5" s="6041" t="s">
        <v>3227</v>
      </c>
      <c r="B5" s="6041"/>
      <c r="C5" s="6041"/>
    </row>
    <row r="6" spans="1:3">
      <c r="A6" s="583"/>
      <c r="B6" s="583"/>
      <c r="C6" s="583"/>
    </row>
    <row r="7" spans="1:3" ht="18.600000000000001" thickBot="1">
      <c r="A7" s="583"/>
      <c r="B7" s="6575" t="s">
        <v>638</v>
      </c>
      <c r="C7" s="6575"/>
    </row>
    <row r="8" spans="1:3" s="431" customFormat="1" ht="35.4" thickTop="1">
      <c r="A8" s="3043" t="s">
        <v>1660</v>
      </c>
      <c r="B8" s="2618" t="s">
        <v>137</v>
      </c>
      <c r="C8" s="2619" t="s">
        <v>1455</v>
      </c>
    </row>
    <row r="9" spans="1:3" s="588" customFormat="1" ht="17.399999999999999">
      <c r="A9" s="589" t="s">
        <v>1</v>
      </c>
      <c r="B9" s="2636" t="str">
        <f>'[28]Phụ lục 1-HĐND'!B9</f>
        <v>Tổng thu ngân sách nhà nước trên địa bàn (I+II)</v>
      </c>
      <c r="C9" s="2624">
        <f>SUM(C10,C14,C15)</f>
        <v>10100553.796</v>
      </c>
    </row>
    <row r="10" spans="1:3" s="386" customFormat="1" ht="17.399999999999999">
      <c r="A10" s="52" t="s">
        <v>3</v>
      </c>
      <c r="B10" s="618" t="str">
        <f>'[28]Phụ lục 1-HĐND'!B10</f>
        <v>Thu nội địa</v>
      </c>
      <c r="C10" s="1657">
        <f>+'Phụ lục 1-HĐND'!C10</f>
        <v>9595000</v>
      </c>
    </row>
    <row r="11" spans="1:3">
      <c r="A11" s="593" t="s">
        <v>29</v>
      </c>
      <c r="B11" s="605" t="str">
        <f>'[28]Phụ lục 1-HĐND'!B11</f>
        <v>Trong đó:</v>
      </c>
      <c r="C11" s="1656"/>
    </row>
    <row r="12" spans="1:3" s="873" customFormat="1">
      <c r="A12" s="2639" t="s">
        <v>29</v>
      </c>
      <c r="B12" s="616" t="str">
        <f>'[28]Phụ lục 1-HĐND'!B12</f>
        <v>Thu tiền sử dụng đất</v>
      </c>
      <c r="C12" s="2626">
        <f>+'Phụ lục 1-HĐND'!C12</f>
        <v>1600000</v>
      </c>
    </row>
    <row r="13" spans="1:3" s="873" customFormat="1">
      <c r="A13" s="2639" t="s">
        <v>29</v>
      </c>
      <c r="B13" s="616" t="str">
        <f>'[28]Phụ lục 1-HĐND'!B13</f>
        <v>Thu xổ số kiến thiết</v>
      </c>
      <c r="C13" s="2626">
        <f>+'Phụ lục 1-HĐND'!C13</f>
        <v>2100000</v>
      </c>
    </row>
    <row r="14" spans="1:3" s="386" customFormat="1" ht="17.399999999999999">
      <c r="A14" s="52" t="s">
        <v>33</v>
      </c>
      <c r="B14" s="618" t="str">
        <f>'[28]Phụ lục 1-HĐND'!B14</f>
        <v>Thu từ hoạt động xuất, nhập khẩu</v>
      </c>
      <c r="C14" s="1657">
        <f>+'Phụ lục 1-HĐND'!C14</f>
        <v>500000</v>
      </c>
    </row>
    <row r="15" spans="1:3" s="386" customFormat="1" ht="17.399999999999999">
      <c r="A15" s="611" t="s">
        <v>182</v>
      </c>
      <c r="B15" s="330" t="s">
        <v>3239</v>
      </c>
      <c r="C15" s="1657">
        <f>+'Phụ lục số 1'!Q56</f>
        <v>5553.7960000000003</v>
      </c>
    </row>
    <row r="16" spans="1:3" s="588" customFormat="1" ht="17.399999999999999">
      <c r="A16" s="591" t="s">
        <v>37</v>
      </c>
      <c r="B16" s="2637" t="str">
        <f>'[28]Phụ lục 1-HĐND'!B15</f>
        <v>Thu ngân sách địa phương  (I+II+III)</v>
      </c>
      <c r="C16" s="2628">
        <f>SUM(C17,C20,C25,C24)</f>
        <v>21559594.195999999</v>
      </c>
    </row>
    <row r="17" spans="1:5" s="386" customFormat="1" ht="17.399999999999999">
      <c r="A17" s="52" t="s">
        <v>3</v>
      </c>
      <c r="B17" s="618" t="str">
        <f>'[28]Phụ lục 1-HĐND'!B16</f>
        <v>Thu ngân sách địa phương (NSĐP) hưởng theo phân cấp</v>
      </c>
      <c r="C17" s="1657">
        <f>+'Phụ lục 1-HĐND'!C17</f>
        <v>8715518.7960000001</v>
      </c>
    </row>
    <row r="18" spans="1:5" s="873" customFormat="1">
      <c r="A18" s="2639" t="s">
        <v>99</v>
      </c>
      <c r="B18" s="616" t="str">
        <f>'[28]Phụ lục 1-HĐND'!B17</f>
        <v>Các khoản thu NSĐP hưởng 100 %</v>
      </c>
      <c r="C18" s="2626">
        <f>C17-C19</f>
        <v>4789918.7960000001</v>
      </c>
    </row>
    <row r="19" spans="1:5" s="873" customFormat="1">
      <c r="A19" s="2777" t="s">
        <v>101</v>
      </c>
      <c r="B19" s="2778" t="str">
        <f>'[28]Phụ lục 1-HĐND'!B18</f>
        <v>Các khoản thu phân chia NSĐP hưởng theo tỷ lệ phần trăm (%)</v>
      </c>
      <c r="C19" s="2626">
        <f>+'Phụ lục 1-HĐND'!C19</f>
        <v>3925600</v>
      </c>
    </row>
    <row r="20" spans="1:5" s="386" customFormat="1" ht="17.399999999999999">
      <c r="A20" s="52" t="s">
        <v>33</v>
      </c>
      <c r="B20" s="618" t="str">
        <f>'[28]Phụ lục 1-HĐND'!B19</f>
        <v>Bổ sung từ ngân sách trung ương</v>
      </c>
      <c r="C20" s="1657">
        <f>SUM(C21:C23)</f>
        <v>11903075</v>
      </c>
    </row>
    <row r="21" spans="1:5" s="873" customFormat="1">
      <c r="A21" s="2639" t="s">
        <v>99</v>
      </c>
      <c r="B21" s="616" t="str">
        <f>+'Phụ lục 1-HĐND'!B21</f>
        <v>Bổ sung cân đối ngân sách</v>
      </c>
      <c r="C21" s="2626">
        <f>+'Phụ lục 1-HĐND'!C21</f>
        <v>6749488</v>
      </c>
    </row>
    <row r="22" spans="1:5" s="873" customFormat="1">
      <c r="A22" s="2639" t="s">
        <v>101</v>
      </c>
      <c r="B22" s="616" t="str">
        <f>+'Phụ lục 1-HĐND'!B22</f>
        <v>Bổ sung thực hiện cải cách tiền lương 2,34 triệu đồng/tháng</v>
      </c>
      <c r="C22" s="2626">
        <f>+'Phụ lục 1-HĐND'!C22</f>
        <v>2116595</v>
      </c>
    </row>
    <row r="23" spans="1:5" s="873" customFormat="1">
      <c r="A23" s="2639" t="s">
        <v>147</v>
      </c>
      <c r="B23" s="616" t="str">
        <f>+'Phụ lục 1-HĐND'!B23</f>
        <v>Bổ sung có mục tiêu</v>
      </c>
      <c r="C23" s="2626">
        <f>+'Phụ lục 1-HĐND'!C23</f>
        <v>3036992</v>
      </c>
    </row>
    <row r="24" spans="1:5" s="873" customFormat="1">
      <c r="A24" s="52" t="s">
        <v>182</v>
      </c>
      <c r="B24" s="618" t="str">
        <f>'[28]Phụ lục 1-HĐND'!B22</f>
        <v>Thu chuyển nguồn từ năm trước chuyển sang</v>
      </c>
      <c r="C24" s="1657">
        <f>+'Phụ lục 1-HĐND'!C24</f>
        <v>941000.4</v>
      </c>
    </row>
    <row r="25" spans="1:5" s="386" customFormat="1" ht="17.399999999999999">
      <c r="A25" s="52" t="s">
        <v>215</v>
      </c>
      <c r="B25" s="618" t="str">
        <f>'[28]Phụ lục 1-HĐND'!B23</f>
        <v>Thu đầu tư từ nguồn vốn Chính phủ vay về cho vay lại</v>
      </c>
      <c r="C25" s="1657">
        <f>+'Phụ lục 1-HĐND'!C25</f>
        <v>0</v>
      </c>
    </row>
    <row r="26" spans="1:5" s="588" customFormat="1" ht="17.399999999999999">
      <c r="A26" s="591" t="s">
        <v>44</v>
      </c>
      <c r="B26" s="2637" t="str">
        <f>'[28]Phụ lục 1-HĐND'!B24</f>
        <v>Chi ngân sách địa phương (I+II+III)</v>
      </c>
      <c r="C26" s="2628">
        <f>SUM(C27,C49,C59,C60)</f>
        <v>21372894.196000002</v>
      </c>
    </row>
    <row r="27" spans="1:5" s="386" customFormat="1" ht="17.399999999999999">
      <c r="A27" s="52" t="s">
        <v>3</v>
      </c>
      <c r="B27" s="618" t="str">
        <f>'[28]Phụ lục 1-HĐND'!B25</f>
        <v>Chi cân đối ngân sách địa phương</v>
      </c>
      <c r="C27" s="1657">
        <f>SUM(C28,C40,C45,C46,C47,C48)</f>
        <v>18330348.400000002</v>
      </c>
    </row>
    <row r="28" spans="1:5" s="386" customFormat="1" ht="17.399999999999999">
      <c r="A28" s="52">
        <v>1</v>
      </c>
      <c r="B28" s="618" t="str">
        <f>'[28]Phụ lục 1-HĐND'!B26</f>
        <v>Chi đầu tư phát triển (1)</v>
      </c>
      <c r="C28" s="1657">
        <f>+C29+C30+C32+C35</f>
        <v>4666890</v>
      </c>
      <c r="D28" s="2631"/>
      <c r="E28" s="2631"/>
    </row>
    <row r="29" spans="1:5" s="873" customFormat="1">
      <c r="A29" s="2639" t="s">
        <v>99</v>
      </c>
      <c r="B29" s="2641" t="str">
        <f>'[28]Phụ lục 1-HĐND'!B27</f>
        <v>Chi đầu tư xây dựng cơ bản</v>
      </c>
      <c r="C29" s="2626">
        <f>+'Phụ lục 1-HĐND'!C29</f>
        <v>966890</v>
      </c>
    </row>
    <row r="30" spans="1:5" s="873" customFormat="1">
      <c r="A30" s="2639" t="s">
        <v>101</v>
      </c>
      <c r="B30" s="2641" t="str">
        <f>'[28]Phụ lục 1-HĐND'!B28</f>
        <v>Chi đầu tư từ nguồn thu tiền sử dụng đất</v>
      </c>
      <c r="C30" s="2626">
        <f>+'Phụ lục 1-HĐND'!C30</f>
        <v>1600000</v>
      </c>
    </row>
    <row r="31" spans="1:5" s="873" customFormat="1" ht="90">
      <c r="A31" s="2639"/>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1-HĐND'!C31</f>
        <v>160000</v>
      </c>
    </row>
    <row r="32" spans="1:5" s="873" customFormat="1">
      <c r="A32" s="2639" t="s">
        <v>147</v>
      </c>
      <c r="B32" s="2641" t="str">
        <f>'[28]Phụ lục 1-HĐND'!B29</f>
        <v>Chi đầu tư từ nguồn thu xổ số kiến thiết</v>
      </c>
      <c r="C32" s="2626">
        <f>+'Phụ lục 1-HĐND'!C32</f>
        <v>2100000</v>
      </c>
    </row>
    <row r="33" spans="1:3" s="873" customFormat="1" ht="36">
      <c r="A33" s="2639"/>
      <c r="B33" s="4939" t="str">
        <f>+'Phụ lục số 2'!B15</f>
        <v>Trong đó: Ủy thác qua Ngân hàng Chính sách xã hội chi nhánh tỉnh Đồng Tháp (từ nguồn thu sổ số kiến thiết năm 2025)</v>
      </c>
      <c r="C33" s="2626">
        <f>+'Phụ lục 1-HĐND'!C33</f>
        <v>100000</v>
      </c>
    </row>
    <row r="34" spans="1:3" s="873" customFormat="1">
      <c r="A34" s="2639" t="s">
        <v>148</v>
      </c>
      <c r="B34" s="2641" t="str">
        <f>'[28]Phụ lục 1-HĐND'!B30</f>
        <v>Chi đầu tư từ nguồn thu cổ phần hóa, thoái vốn doanh nghiệp nhà nước địa phương quản lý;…</v>
      </c>
      <c r="C34" s="2626">
        <f>'[28]Phụ lục số 2'!X13</f>
        <v>0</v>
      </c>
    </row>
    <row r="35" spans="1:3" s="873" customFormat="1">
      <c r="A35" s="2784" t="s">
        <v>149</v>
      </c>
      <c r="B35" s="4940" t="str">
        <f>+'Phụ lục số 2'!B17</f>
        <v xml:space="preserve">Chi đầu tư phát triển khác </v>
      </c>
      <c r="C35" s="2626">
        <f>+C36+C37</f>
        <v>0</v>
      </c>
    </row>
    <row r="36" spans="1:3" s="873" customFormat="1" ht="36" hidden="1">
      <c r="A36" s="614" t="s">
        <v>3126</v>
      </c>
      <c r="B36" s="4939" t="str">
        <f>+'Phụ lục số 2'!B18</f>
        <v>Ủy thác qua Ngân hàng Chính sách xã hội chi nhánh tỉnh Đồng Tháp (từ nguồn thu sổ số kiến thiết năm 2025)</v>
      </c>
      <c r="C36" s="2626">
        <f>+'Phụ lục 1-HĐND'!C36</f>
        <v>0</v>
      </c>
    </row>
    <row r="37" spans="1:3" s="873"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1-HĐND'!C37</f>
        <v>0</v>
      </c>
    </row>
    <row r="38" spans="1:3" s="873" customFormat="1" hidden="1">
      <c r="A38" s="2784"/>
      <c r="B38" s="4938"/>
      <c r="C38" s="2626"/>
    </row>
    <row r="39" spans="1:3" s="873" customFormat="1" hidden="1">
      <c r="A39" s="614"/>
      <c r="B39" s="4938"/>
      <c r="C39" s="2626"/>
    </row>
    <row r="40" spans="1:3" s="386" customFormat="1" ht="17.399999999999999">
      <c r="A40" s="52">
        <v>2</v>
      </c>
      <c r="B40" s="618" t="str">
        <f>'[28]Phụ lục 1-HĐND'!B32</f>
        <v>Chi thường xuyên</v>
      </c>
      <c r="C40" s="1657">
        <f>+'Phụ lục 1-HĐND'!C40</f>
        <v>12761657.450000003</v>
      </c>
    </row>
    <row r="41" spans="1:3">
      <c r="A41" s="593" t="s">
        <v>29</v>
      </c>
      <c r="B41" s="605" t="str">
        <f>'[28]Phụ lục 1-HĐND'!B33</f>
        <v>Bao gồm:</v>
      </c>
      <c r="C41" s="1656"/>
    </row>
    <row r="42" spans="1:3" s="873" customFormat="1">
      <c r="A42" s="2639" t="s">
        <v>99</v>
      </c>
      <c r="B42" s="616" t="str">
        <f>'[28]Phụ lục 1-HĐND'!B34</f>
        <v>Chi giáo dục, đào tạo và dạy nghề</v>
      </c>
      <c r="C42" s="2626">
        <f>+'Phụ lục 1-HĐND'!C42</f>
        <v>5859513.0000000009</v>
      </c>
    </row>
    <row r="43" spans="1:3" s="873" customFormat="1">
      <c r="A43" s="2639" t="s">
        <v>101</v>
      </c>
      <c r="B43" s="616" t="str">
        <f>'[28]Phụ lục 1-HĐND'!B35</f>
        <v>Chi khoa học và công nghệ</v>
      </c>
      <c r="C43" s="2626">
        <f>+'Phụ lục 1-HĐND'!C43</f>
        <v>31307</v>
      </c>
    </row>
    <row r="44" spans="1:3" s="873" customFormat="1">
      <c r="A44" s="2639" t="s">
        <v>148</v>
      </c>
      <c r="B44" s="616" t="str">
        <f>'[28]Phụ lục 1-HĐND'!B36</f>
        <v>Các khoản chi thường xuyên còn lại</v>
      </c>
      <c r="C44" s="2626">
        <f>C40-C42-C43</f>
        <v>6870837.450000002</v>
      </c>
    </row>
    <row r="45" spans="1:3" s="386" customFormat="1" ht="17.399999999999999">
      <c r="A45" s="52">
        <v>3</v>
      </c>
      <c r="B45" s="618" t="str">
        <f>'[28]Phụ lục 1-HĐND'!B37</f>
        <v>Chi bổ sung Quỹ Dự trữ tài chính</v>
      </c>
      <c r="C45" s="1657">
        <f>+'Phụ lục 1-HĐND'!C45</f>
        <v>2000</v>
      </c>
    </row>
    <row r="46" spans="1:3" s="386" customFormat="1" ht="17.399999999999999">
      <c r="A46" s="52">
        <v>4</v>
      </c>
      <c r="B46" s="618" t="str">
        <f>'[28]Phụ lục 1-HĐND'!B38</f>
        <v>Dự phòng ngân sách</v>
      </c>
      <c r="C46" s="1657">
        <f>+'Phụ lục 1-HĐND'!C46</f>
        <v>376400.94999999995</v>
      </c>
    </row>
    <row r="47" spans="1:3" s="386" customFormat="1" ht="17.399999999999999">
      <c r="A47" s="52">
        <v>5</v>
      </c>
      <c r="B47" s="618" t="str">
        <f>'[28]Phụ lục 1-HĐND'!B39</f>
        <v>Chi tạo nguồn cải cách tiền lương</v>
      </c>
      <c r="C47" s="1657">
        <f>+'Phụ lục 1-HĐND'!C47</f>
        <v>519900</v>
      </c>
    </row>
    <row r="48" spans="1:3" s="386" customFormat="1" ht="17.399999999999999">
      <c r="A48" s="52">
        <v>6</v>
      </c>
      <c r="B48" s="2659" t="str">
        <f>'[28]Phụ lục 1-HĐND'!B40</f>
        <v>Chi trả lãi khoản vay của ngân sách cấp tỉnh</v>
      </c>
      <c r="C48" s="1657">
        <f>+'Phụ lục 1-HĐND'!C48</f>
        <v>3500</v>
      </c>
    </row>
    <row r="49" spans="1:3" s="386" customFormat="1" ht="17.399999999999999">
      <c r="A49" s="52" t="s">
        <v>33</v>
      </c>
      <c r="B49" s="2779" t="str">
        <f>'[28]Phụ lục 1-HĐND'!B41</f>
        <v>Chi từ nguồn bổ sung có mục tiêu từ ngân sách trung ương</v>
      </c>
      <c r="C49" s="1657">
        <f>+C50+C53+C56</f>
        <v>3036992</v>
      </c>
    </row>
    <row r="50" spans="1:3" s="386" customFormat="1">
      <c r="A50" s="2747">
        <v>1</v>
      </c>
      <c r="B50" s="4936" t="s">
        <v>178</v>
      </c>
      <c r="C50" s="1656">
        <f>SUM(C51:C52)</f>
        <v>2530494</v>
      </c>
    </row>
    <row r="51" spans="1:3" s="386" customFormat="1">
      <c r="A51" s="5106" t="s">
        <v>99</v>
      </c>
      <c r="B51" s="4937" t="s">
        <v>100</v>
      </c>
      <c r="C51" s="1656">
        <f>+'Phụ lục 1-HĐND'!C51</f>
        <v>2399255</v>
      </c>
    </row>
    <row r="52" spans="1:3" s="386" customFormat="1">
      <c r="A52" s="5106" t="s">
        <v>101</v>
      </c>
      <c r="B52" s="4937" t="s">
        <v>102</v>
      </c>
      <c r="C52" s="1656">
        <f>+'Phụ lục 1-HĐND'!C52</f>
        <v>131239</v>
      </c>
    </row>
    <row r="53" spans="1:3" s="386" customFormat="1">
      <c r="A53" s="2747">
        <v>2</v>
      </c>
      <c r="B53" s="4936" t="s">
        <v>179</v>
      </c>
      <c r="C53" s="1656">
        <f>SUM(C54:C55)</f>
        <v>221912</v>
      </c>
    </row>
    <row r="54" spans="1:3" s="386" customFormat="1">
      <c r="A54" s="5106" t="s">
        <v>99</v>
      </c>
      <c r="B54" s="4937" t="s">
        <v>103</v>
      </c>
      <c r="C54" s="1656">
        <f>+'Phụ lục 1-HĐND'!C54</f>
        <v>186007</v>
      </c>
    </row>
    <row r="55" spans="1:3" s="386" customFormat="1">
      <c r="A55" s="5106" t="s">
        <v>101</v>
      </c>
      <c r="B55" s="4937" t="s">
        <v>102</v>
      </c>
      <c r="C55" s="1656">
        <f>+'Phụ lục 1-HĐND'!C55</f>
        <v>35905</v>
      </c>
    </row>
    <row r="56" spans="1:3" s="386" customFormat="1">
      <c r="A56" s="2747">
        <v>3</v>
      </c>
      <c r="B56" s="4936" t="s">
        <v>180</v>
      </c>
      <c r="C56" s="1656">
        <f>SUM(C57:C58)</f>
        <v>284586</v>
      </c>
    </row>
    <row r="57" spans="1:3" s="386" customFormat="1">
      <c r="A57" s="5106" t="s">
        <v>99</v>
      </c>
      <c r="B57" s="4937" t="s">
        <v>104</v>
      </c>
      <c r="C57" s="1656">
        <f>+'Phụ lục 1-HĐND'!C58</f>
        <v>284586</v>
      </c>
    </row>
    <row r="58" spans="1:3" s="386" customFormat="1">
      <c r="A58" s="5106" t="s">
        <v>101</v>
      </c>
      <c r="B58" s="4937" t="s">
        <v>105</v>
      </c>
      <c r="C58" s="1656">
        <f>+'Phụ lục 1-HĐND'!C59</f>
        <v>0</v>
      </c>
    </row>
    <row r="59" spans="1:3" s="386" customFormat="1" ht="17.399999999999999">
      <c r="A59" s="611" t="s">
        <v>182</v>
      </c>
      <c r="B59" s="1933" t="s">
        <v>181</v>
      </c>
      <c r="C59" s="1657">
        <f>+'Phụ lục 1-HĐND'!C59</f>
        <v>0</v>
      </c>
    </row>
    <row r="60" spans="1:3" s="386" customFormat="1" ht="17.399999999999999">
      <c r="A60" s="5241" t="s">
        <v>46</v>
      </c>
      <c r="B60" s="5242" t="s">
        <v>3233</v>
      </c>
      <c r="C60" s="5255">
        <f>+'Phụ lục số 2'!M51</f>
        <v>5553.7960000000003</v>
      </c>
    </row>
    <row r="61" spans="1:3" s="386" customFormat="1" ht="17.399999999999999">
      <c r="A61" s="611" t="s">
        <v>725</v>
      </c>
      <c r="B61" s="1933" t="s">
        <v>347</v>
      </c>
      <c r="C61" s="1657">
        <f>+'Phụ lục 1-HĐND'!C61</f>
        <v>186700</v>
      </c>
    </row>
    <row r="62" spans="1:3">
      <c r="A62" s="5448"/>
      <c r="B62" s="5449" t="s">
        <v>3219</v>
      </c>
      <c r="C62" s="5078"/>
    </row>
    <row r="63" spans="1:3">
      <c r="A63" s="5448"/>
      <c r="B63" s="5450" t="s">
        <v>3221</v>
      </c>
      <c r="C63" s="5451">
        <f>+'Phụ lục 1-HĐND'!C63</f>
        <v>20800</v>
      </c>
    </row>
    <row r="64" spans="1:3" ht="18.600000000000001" thickBot="1">
      <c r="A64" s="5452"/>
      <c r="B64" s="5453" t="s">
        <v>3222</v>
      </c>
      <c r="C64" s="5454">
        <f>+'Phụ lục 1-HĐND'!C64</f>
        <v>165900</v>
      </c>
    </row>
    <row r="65" ht="18.600000000000001" thickTop="1"/>
  </sheetData>
  <mergeCells count="3">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tabColor rgb="FFFF66FF"/>
  </sheetPr>
  <dimension ref="A1:C40"/>
  <sheetViews>
    <sheetView topLeftCell="A31" workbookViewId="0">
      <selection activeCell="H38" sqref="H38"/>
    </sheetView>
  </sheetViews>
  <sheetFormatPr defaultColWidth="10.33203125" defaultRowHeight="18"/>
  <cols>
    <col min="1" max="1" width="6.5546875" style="2664" customWidth="1"/>
    <col min="2" max="2" width="91.109375" style="2664" customWidth="1"/>
    <col min="3" max="3" width="19.109375" style="2664" customWidth="1"/>
    <col min="4"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783" t="s">
        <v>3190</v>
      </c>
      <c r="B4" s="6783"/>
      <c r="C4" s="6783"/>
    </row>
    <row r="5" spans="1:3" s="2663" customFormat="1">
      <c r="A5" s="6499" t="str">
        <f>+'Phụ lục 1-KQPB'!A5:C5</f>
        <v>(Kèm theo Báo cáo số            /BC-UBND ngày      /12/2024 của Ủy ban nhân dân tỉnh Đồng Tháp)</v>
      </c>
      <c r="B5" s="6499"/>
      <c r="C5" s="6499"/>
    </row>
    <row r="6" spans="1:3" s="2663" customFormat="1">
      <c r="A6" s="2666"/>
      <c r="B6" s="2666"/>
      <c r="C6" s="2666"/>
    </row>
    <row r="7" spans="1:3" s="2663" customFormat="1" thickBot="1">
      <c r="A7" s="2667"/>
      <c r="B7" s="6784" t="s">
        <v>638</v>
      </c>
      <c r="C7" s="6784"/>
    </row>
    <row r="8" spans="1:3" s="2668" customFormat="1" thickTop="1">
      <c r="A8" s="6561" t="s">
        <v>1660</v>
      </c>
      <c r="B8" s="6785" t="s">
        <v>201</v>
      </c>
      <c r="C8" s="6787" t="s">
        <v>1455</v>
      </c>
    </row>
    <row r="9" spans="1:3" s="2668" customFormat="1" ht="17.399999999999999">
      <c r="A9" s="6562"/>
      <c r="B9" s="6786"/>
      <c r="C9" s="6788"/>
    </row>
    <row r="10" spans="1:3" s="2672" customFormat="1" ht="17.399999999999999">
      <c r="A10" s="2669" t="s">
        <v>1</v>
      </c>
      <c r="B10" s="2670" t="s">
        <v>1661</v>
      </c>
      <c r="C10" s="2671">
        <f>SUM(C11,C28,C29)</f>
        <v>10100553.796</v>
      </c>
    </row>
    <row r="11" spans="1:3" s="2672" customFormat="1" ht="17.399999999999999">
      <c r="A11" s="2673" t="s">
        <v>3</v>
      </c>
      <c r="B11" s="2674" t="s">
        <v>4</v>
      </c>
      <c r="C11" s="2675">
        <f>SUM(C12:C27)</f>
        <v>9595000</v>
      </c>
    </row>
    <row r="12" spans="1:3" s="2679" customFormat="1">
      <c r="A12" s="2676">
        <v>1</v>
      </c>
      <c r="B12" s="2677" t="s">
        <v>1698</v>
      </c>
      <c r="C12" s="2678">
        <f>+'Phụ lục 2-HĐND'!C12</f>
        <v>255000</v>
      </c>
    </row>
    <row r="13" spans="1:3" s="2679" customFormat="1">
      <c r="A13" s="2676">
        <v>2</v>
      </c>
      <c r="B13" s="2677" t="s">
        <v>1699</v>
      </c>
      <c r="C13" s="2678">
        <f>+'Phụ lục 2-HĐND'!C13</f>
        <v>360000</v>
      </c>
    </row>
    <row r="14" spans="1:3" s="2679" customFormat="1">
      <c r="A14" s="2676">
        <v>3</v>
      </c>
      <c r="B14" s="2677" t="s">
        <v>1700</v>
      </c>
      <c r="C14" s="2678">
        <f>+'Phụ lục 2-HĐND'!C14</f>
        <v>70000</v>
      </c>
    </row>
    <row r="15" spans="1:3" s="2680" customFormat="1">
      <c r="A15" s="2676">
        <v>4</v>
      </c>
      <c r="B15" s="2677" t="s">
        <v>1477</v>
      </c>
      <c r="C15" s="2678">
        <f>+'Phụ lục 2-HĐND'!C15</f>
        <v>1550000</v>
      </c>
    </row>
    <row r="16" spans="1:3" s="2679" customFormat="1">
      <c r="A16" s="2676">
        <v>5</v>
      </c>
      <c r="B16" s="2677" t="s">
        <v>17</v>
      </c>
      <c r="C16" s="2678">
        <f>+'Phụ lục 2-HĐND'!C16</f>
        <v>330000</v>
      </c>
    </row>
    <row r="17" spans="1:3" s="2679" customFormat="1">
      <c r="A17" s="2676">
        <v>6</v>
      </c>
      <c r="B17" s="2677" t="s">
        <v>97</v>
      </c>
      <c r="C17" s="2678">
        <f>+'Phụ lục 2-HĐND'!C17</f>
        <v>17000</v>
      </c>
    </row>
    <row r="18" spans="1:3" s="2679" customFormat="1">
      <c r="A18" s="2676">
        <v>7</v>
      </c>
      <c r="B18" s="2677" t="s">
        <v>20</v>
      </c>
      <c r="C18" s="2678">
        <f>+'Phụ lục 2-HĐND'!C18</f>
        <v>785000</v>
      </c>
    </row>
    <row r="19" spans="1:3" s="2679" customFormat="1">
      <c r="A19" s="2676">
        <v>8</v>
      </c>
      <c r="B19" s="2677" t="s">
        <v>1701</v>
      </c>
      <c r="C19" s="2678">
        <f>+'Phụ lục 2-HĐND'!C19</f>
        <v>1720000</v>
      </c>
    </row>
    <row r="20" spans="1:3" s="2679" customFormat="1">
      <c r="A20" s="2676">
        <v>9</v>
      </c>
      <c r="B20" s="2677" t="s">
        <v>1702</v>
      </c>
      <c r="C20" s="2681">
        <f>+'Phụ lục 2-HĐND'!C20</f>
        <v>170000</v>
      </c>
    </row>
    <row r="21" spans="1:3" s="2679" customFormat="1">
      <c r="A21" s="2676">
        <v>10</v>
      </c>
      <c r="B21" s="2677" t="s">
        <v>23</v>
      </c>
      <c r="C21" s="2678">
        <f>+'Phụ lục 2-HĐND'!C21</f>
        <v>1600000</v>
      </c>
    </row>
    <row r="22" spans="1:3" s="2679" customFormat="1">
      <c r="A22" s="2676">
        <v>11</v>
      </c>
      <c r="B22" s="2677" t="s">
        <v>24</v>
      </c>
      <c r="C22" s="2678">
        <f>+'Phụ lục 2-HĐND'!C22</f>
        <v>201000</v>
      </c>
    </row>
    <row r="23" spans="1:3" s="2679" customFormat="1">
      <c r="A23" s="2676">
        <v>12</v>
      </c>
      <c r="B23" s="2677" t="s">
        <v>798</v>
      </c>
      <c r="C23" s="2678">
        <f>+'Phụ lục 2-HĐND'!C23</f>
        <v>370000</v>
      </c>
    </row>
    <row r="24" spans="1:3" s="2679" customFormat="1">
      <c r="A24" s="2676">
        <v>13</v>
      </c>
      <c r="B24" s="2677" t="s">
        <v>1703</v>
      </c>
      <c r="C24" s="2678">
        <f>+'Phụ lục 2-HĐND'!C24</f>
        <v>2000</v>
      </c>
    </row>
    <row r="25" spans="1:3" s="2679" customFormat="1">
      <c r="A25" s="2676">
        <v>14</v>
      </c>
      <c r="B25" s="44" t="s">
        <v>1704</v>
      </c>
      <c r="C25" s="2678">
        <f>+'Phụ lục 2-HĐND'!C25</f>
        <v>2100000</v>
      </c>
    </row>
    <row r="26" spans="1:3" s="2679" customFormat="1">
      <c r="A26" s="2676">
        <v>15</v>
      </c>
      <c r="B26" s="44" t="s">
        <v>1705</v>
      </c>
      <c r="C26" s="2678">
        <f>+'Phụ lục 2-HĐND'!C26</f>
        <v>32000</v>
      </c>
    </row>
    <row r="27" spans="1:3" s="2679" customFormat="1">
      <c r="A27" s="2676">
        <v>16</v>
      </c>
      <c r="B27" s="44" t="s">
        <v>1706</v>
      </c>
      <c r="C27" s="2678">
        <f>+'Phụ lục 2-HĐND'!C27</f>
        <v>33000</v>
      </c>
    </row>
    <row r="28" spans="1:3" s="2683" customFormat="1">
      <c r="A28" s="2673" t="s">
        <v>33</v>
      </c>
      <c r="B28" s="2674" t="s">
        <v>34</v>
      </c>
      <c r="C28" s="2682">
        <f>+'Phụ lục 2-HĐND'!C28</f>
        <v>500000</v>
      </c>
    </row>
    <row r="29" spans="1:3" s="2672" customFormat="1" ht="17.399999999999999">
      <c r="A29" s="5261" t="s">
        <v>182</v>
      </c>
      <c r="B29" s="5262" t="s">
        <v>3231</v>
      </c>
      <c r="C29" s="5268">
        <f>+'Phụ lục số 1'!Q56</f>
        <v>5553.7960000000003</v>
      </c>
    </row>
    <row r="30" spans="1:3" s="2683" customFormat="1">
      <c r="A30" s="2673" t="s">
        <v>37</v>
      </c>
      <c r="B30" s="2684" t="s">
        <v>1727</v>
      </c>
      <c r="C30" s="2682">
        <f>SUM(C31,C34,C39,C38)</f>
        <v>21559594.195999999</v>
      </c>
    </row>
    <row r="31" spans="1:3" s="2680" customFormat="1" ht="17.399999999999999">
      <c r="A31" s="2685" t="s">
        <v>3</v>
      </c>
      <c r="B31" s="2686" t="str">
        <f>'[28]Phụ lục 1-KQPB'!B16</f>
        <v>Thu ngân sách địa phương (NSĐP) hưởng theo phân cấp</v>
      </c>
      <c r="C31" s="2687">
        <f>SUM(C32:C33)</f>
        <v>8715518.7960000001</v>
      </c>
    </row>
    <row r="32" spans="1:3" s="2679" customFormat="1">
      <c r="A32" s="2676">
        <v>1</v>
      </c>
      <c r="B32" s="2677" t="str">
        <f>'[28]Phụ lục 1-KQPB'!B17</f>
        <v>Các khoản thu NSĐP hưởng 100 %</v>
      </c>
      <c r="C32" s="2678">
        <f>+'Phụ lục 2-HĐND'!C33</f>
        <v>4789918.7960000001</v>
      </c>
    </row>
    <row r="33" spans="1:3" s="2679" customFormat="1">
      <c r="A33" s="2676">
        <v>2</v>
      </c>
      <c r="B33" s="2677" t="str">
        <f>'[28]Phụ lục 1-KQPB'!B18</f>
        <v>Các khoản thu phân chia NSĐP hưởng theo tỷ lệ phần trăm (%)</v>
      </c>
      <c r="C33" s="2678">
        <f>+'Phụ lục 2-HĐND'!C34</f>
        <v>3925600</v>
      </c>
    </row>
    <row r="34" spans="1:3" s="2680" customFormat="1" ht="17.399999999999999">
      <c r="A34" s="2685" t="s">
        <v>33</v>
      </c>
      <c r="B34" s="2686" t="str">
        <f>'[28]Phụ lục 1-KQPB'!B19</f>
        <v>Bổ sung từ ngân sách trung ương</v>
      </c>
      <c r="C34" s="2688">
        <f>SUM(C35:C37)</f>
        <v>11903075</v>
      </c>
    </row>
    <row r="35" spans="1:3" s="2679" customFormat="1">
      <c r="A35" s="614">
        <v>1</v>
      </c>
      <c r="B35" s="2625" t="s">
        <v>205</v>
      </c>
      <c r="C35" s="2678">
        <f>+'Phụ lục 2-HĐND'!C36</f>
        <v>6749488</v>
      </c>
    </row>
    <row r="36" spans="1:3" s="2679" customFormat="1">
      <c r="A36" s="614">
        <v>2</v>
      </c>
      <c r="B36" s="2625" t="s">
        <v>3187</v>
      </c>
      <c r="C36" s="2678">
        <f>+'Phụ lục 2-HĐND'!C37</f>
        <v>2116595</v>
      </c>
    </row>
    <row r="37" spans="1:3" s="2679" customFormat="1">
      <c r="A37" s="614">
        <v>3</v>
      </c>
      <c r="B37" s="2625" t="s">
        <v>207</v>
      </c>
      <c r="C37" s="2678">
        <f>+'Phụ lục 2-HĐND'!C38</f>
        <v>3036992</v>
      </c>
    </row>
    <row r="38" spans="1:3" s="2680" customFormat="1" ht="17.399999999999999">
      <c r="A38" s="2689" t="s">
        <v>182</v>
      </c>
      <c r="B38" s="2690" t="str">
        <f>'[28]Phụ lục 1-KQPB'!B22</f>
        <v>Thu chuyển nguồn từ năm trước chuyển sang</v>
      </c>
      <c r="C38" s="2691">
        <f>+'Phụ lục 2-HĐND'!C39</f>
        <v>941000.4</v>
      </c>
    </row>
    <row r="39" spans="1:3" s="2680" customFormat="1" thickBot="1">
      <c r="A39" s="2692" t="s">
        <v>215</v>
      </c>
      <c r="B39" s="2693" t="str">
        <f>'[28]Phụ lục 1-KQPB'!B23</f>
        <v>Thu đầu tư từ nguồn vốn Chính phủ vay về cho vay lại</v>
      </c>
      <c r="C39" s="2694">
        <f>+'Phụ lục 2-HĐND'!C40</f>
        <v>0</v>
      </c>
    </row>
    <row r="40" spans="1:3" ht="18.600000000000001" thickTop="1"/>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66FF"/>
  </sheetPr>
  <dimension ref="A1:E69"/>
  <sheetViews>
    <sheetView topLeftCell="A29" workbookViewId="0">
      <selection activeCell="D56" sqref="D56"/>
    </sheetView>
  </sheetViews>
  <sheetFormatPr defaultColWidth="10.33203125" defaultRowHeight="18"/>
  <cols>
    <col min="1" max="1" width="6.5546875" style="381" customWidth="1"/>
    <col min="2" max="2" width="74.109375" style="381" customWidth="1"/>
    <col min="3" max="5" width="14.5546875" style="381" customWidth="1"/>
    <col min="6" max="16384" width="10.33203125" style="381"/>
  </cols>
  <sheetData>
    <row r="1" spans="1:5" s="386" customFormat="1" ht="17.399999999999999" hidden="1">
      <c r="B1" s="6507" t="s">
        <v>1658</v>
      </c>
      <c r="C1" s="6507"/>
      <c r="D1" s="6507"/>
    </row>
    <row r="2" spans="1:5" s="386" customFormat="1" ht="17.399999999999999" hidden="1">
      <c r="B2" s="6507" t="s">
        <v>1659</v>
      </c>
      <c r="C2" s="6507"/>
      <c r="D2" s="6507"/>
    </row>
    <row r="3" spans="1:5" s="386" customFormat="1" ht="17.399999999999999" hidden="1">
      <c r="B3" s="641"/>
      <c r="C3" s="6281"/>
      <c r="D3" s="6281"/>
      <c r="E3" s="6281"/>
    </row>
    <row r="4" spans="1:5" s="386" customFormat="1" ht="17.399999999999999">
      <c r="A4" s="6282" t="s">
        <v>1416</v>
      </c>
      <c r="B4" s="6281"/>
      <c r="C4" s="6281"/>
      <c r="D4" s="6281"/>
      <c r="E4" s="6281"/>
    </row>
    <row r="5" spans="1:5" s="386" customFormat="1">
      <c r="A5" s="6790" t="str">
        <f>+'Phụ lục 2-KQPB'!A5:C5</f>
        <v>(Kèm theo Báo cáo số            /BC-UBND ngày      /12/2024 của Ủy ban nhân dân tỉnh Đồng Tháp)</v>
      </c>
      <c r="B5" s="6252"/>
      <c r="C5" s="6252"/>
      <c r="D5" s="6252"/>
      <c r="E5" s="6252"/>
    </row>
    <row r="6" spans="1:5" s="386" customFormat="1" ht="17.399999999999999">
      <c r="A6" s="2695"/>
      <c r="B6" s="641"/>
      <c r="C6" s="641"/>
      <c r="D6" s="641"/>
      <c r="E6" s="641"/>
    </row>
    <row r="7" spans="1:5" ht="18.600000000000001" thickBot="1">
      <c r="B7" s="6575" t="s">
        <v>638</v>
      </c>
      <c r="C7" s="6575"/>
      <c r="D7" s="6575"/>
      <c r="E7" s="6575"/>
    </row>
    <row r="8" spans="1:5" s="386" customFormat="1" thickTop="1">
      <c r="A8" s="6561" t="s">
        <v>1660</v>
      </c>
      <c r="B8" s="6368" t="s">
        <v>137</v>
      </c>
      <c r="C8" s="6520" t="s">
        <v>1455</v>
      </c>
      <c r="D8" s="6520"/>
      <c r="E8" s="6792"/>
    </row>
    <row r="9" spans="1:5" s="386" customFormat="1" ht="17.399999999999999">
      <c r="A9" s="6791"/>
      <c r="B9" s="6369"/>
      <c r="C9" s="6369" t="s">
        <v>54</v>
      </c>
      <c r="D9" s="6464" t="s">
        <v>1710</v>
      </c>
      <c r="E9" s="6793"/>
    </row>
    <row r="10" spans="1:5" s="431" customFormat="1" ht="78.75" customHeight="1">
      <c r="A10" s="6791"/>
      <c r="B10" s="6369"/>
      <c r="C10" s="6369"/>
      <c r="D10" s="430" t="s">
        <v>1711</v>
      </c>
      <c r="E10" s="585" t="s">
        <v>1712</v>
      </c>
    </row>
    <row r="11" spans="1:5" s="588" customFormat="1" ht="19.95" customHeight="1">
      <c r="A11" s="1641" t="s">
        <v>1</v>
      </c>
      <c r="B11" s="2696" t="str">
        <f>'[28]Phụ lục 4-HĐND'!B11</f>
        <v>Tổng chi ngân sách địa phương</v>
      </c>
      <c r="C11" s="2697">
        <f>SUM(C12,C25,C40,C41,C44,C54,C42,C43,C55)</f>
        <v>21372894.196000002</v>
      </c>
      <c r="D11" s="2697">
        <f>SUM(D12,D25,D40,D41,D44,D54,D42,D43,D55)</f>
        <v>9621242.2890000008</v>
      </c>
      <c r="E11" s="2698">
        <f>SUM(E12,E25,E40,E41,E44,E54,E42,E43,E55)</f>
        <v>11751651.907000003</v>
      </c>
    </row>
    <row r="12" spans="1:5" s="588" customFormat="1" ht="19.95" customHeight="1">
      <c r="A12" s="606" t="s">
        <v>3</v>
      </c>
      <c r="B12" s="2627" t="str">
        <f>+'Phụ lục 3-HĐND'!B12</f>
        <v xml:space="preserve">Chi đầu tư phát triển </v>
      </c>
      <c r="C12" s="2699">
        <f>+C14+C15+C17+C20</f>
        <v>4666890</v>
      </c>
      <c r="D12" s="2699">
        <f t="shared" ref="D12:E12" si="0">+D14+D15+D17+D20</f>
        <v>2983390</v>
      </c>
      <c r="E12" s="2700">
        <f t="shared" si="0"/>
        <v>1683500</v>
      </c>
    </row>
    <row r="13" spans="1:5" ht="19.95" customHeight="1">
      <c r="A13" s="603"/>
      <c r="B13" s="297" t="str">
        <f>'[28]Phụ lục 4-HĐND'!B13</f>
        <v>Bao gồm:</v>
      </c>
      <c r="C13" s="46"/>
      <c r="D13" s="46"/>
      <c r="E13" s="1645"/>
    </row>
    <row r="14" spans="1:5" ht="19.95" customHeight="1">
      <c r="A14" s="603">
        <f>'[28]Phụ lục 4-HĐND'!A14</f>
        <v>1</v>
      </c>
      <c r="B14" s="1929" t="str">
        <f>'[28]Phụ lục 1-KQPB'!B27</f>
        <v>Chi đầu tư xây dựng cơ bản</v>
      </c>
      <c r="C14" s="46">
        <f t="shared" ref="C14:C25" si="1">SUM(D14:E14)</f>
        <v>966890</v>
      </c>
      <c r="D14" s="46">
        <f>+'Phụ lục 3-HĐND'!D14</f>
        <v>376890</v>
      </c>
      <c r="E14" s="1645">
        <f>+'Phụ lục 3-HĐND'!E14</f>
        <v>590000</v>
      </c>
    </row>
    <row r="15" spans="1:5" ht="19.95" customHeight="1">
      <c r="A15" s="603">
        <f>'[28]Phụ lục 4-HĐND'!A15</f>
        <v>2</v>
      </c>
      <c r="B15" s="1929" t="str">
        <f>'[28]Phụ lục 1-KQPB'!B28</f>
        <v>Chi đầu tư từ nguồn thu tiền sử dụng đất</v>
      </c>
      <c r="C15" s="46">
        <f t="shared" si="1"/>
        <v>1600000</v>
      </c>
      <c r="D15" s="46">
        <f>+'Phụ lục 3-HĐND'!D15</f>
        <v>506500</v>
      </c>
      <c r="E15" s="1645">
        <f>+'Phụ lục 3-HĐND'!E15</f>
        <v>1093500</v>
      </c>
    </row>
    <row r="16" spans="1:5" s="873" customFormat="1" ht="108">
      <c r="A16" s="614"/>
      <c r="B16" s="4939" t="s">
        <v>3189</v>
      </c>
      <c r="C16" s="193">
        <f t="shared" si="1"/>
        <v>160000</v>
      </c>
      <c r="D16" s="193">
        <f>+'Phụ lục 3-HĐND'!D16</f>
        <v>160000</v>
      </c>
      <c r="E16" s="1648"/>
    </row>
    <row r="17" spans="1:5" ht="19.95" customHeight="1">
      <c r="A17" s="603">
        <f>'[28]Phụ lục 4-HĐND'!A16</f>
        <v>3</v>
      </c>
      <c r="B17" s="1929" t="str">
        <f>'[28]Phụ lục 1-KQPB'!B29</f>
        <v>Chi đầu tư từ nguồn thu xổ số kiến thiết</v>
      </c>
      <c r="C17" s="46">
        <f t="shared" si="1"/>
        <v>2100000</v>
      </c>
      <c r="D17" s="46">
        <f>+'Phụ lục 3-HĐND'!D17</f>
        <v>2100000</v>
      </c>
      <c r="E17" s="1645">
        <f>+'Phụ lục 3-HĐND'!E17</f>
        <v>0</v>
      </c>
    </row>
    <row r="18" spans="1:5" s="873" customFormat="1" ht="40.5" customHeight="1">
      <c r="A18" s="614"/>
      <c r="B18" s="4939" t="s">
        <v>3188</v>
      </c>
      <c r="C18" s="193">
        <f t="shared" si="1"/>
        <v>100000</v>
      </c>
      <c r="D18" s="193">
        <f>+'Phụ lục 3-HĐND'!D18</f>
        <v>100000</v>
      </c>
      <c r="E18" s="1648"/>
    </row>
    <row r="19" spans="1:5" ht="36">
      <c r="A19" s="603" t="s">
        <v>148</v>
      </c>
      <c r="B19" s="4940" t="s">
        <v>146</v>
      </c>
      <c r="C19" s="46">
        <f t="shared" si="1"/>
        <v>0</v>
      </c>
      <c r="D19" s="46">
        <f>'[28]Phụ lục số 2'!AA13</f>
        <v>0</v>
      </c>
      <c r="E19" s="1645">
        <f>'[28]Phụ lục số 2'!AB13</f>
        <v>0</v>
      </c>
    </row>
    <row r="20" spans="1:5">
      <c r="A20" s="603" t="s">
        <v>149</v>
      </c>
      <c r="B20" s="4940" t="s">
        <v>185</v>
      </c>
      <c r="C20" s="46">
        <f>SUM(C21:C22)</f>
        <v>0</v>
      </c>
      <c r="D20" s="46">
        <f t="shared" ref="D20:E20" si="2">SUM(D21:D22)</f>
        <v>0</v>
      </c>
      <c r="E20" s="1645">
        <f t="shared" si="2"/>
        <v>0</v>
      </c>
    </row>
    <row r="21" spans="1:5" ht="36">
      <c r="A21" s="614" t="s">
        <v>3126</v>
      </c>
      <c r="B21" s="4939" t="s">
        <v>3142</v>
      </c>
      <c r="C21" s="46">
        <f>SUM(D21:E21)</f>
        <v>0</v>
      </c>
      <c r="D21" s="46">
        <f>+'Phụ lục 3-HĐND'!D21</f>
        <v>0</v>
      </c>
      <c r="E21" s="1645"/>
    </row>
    <row r="22" spans="1:5" ht="108">
      <c r="A22" s="614" t="s">
        <v>3127</v>
      </c>
      <c r="B22" s="4939" t="s">
        <v>3141</v>
      </c>
      <c r="C22" s="46">
        <f>SUM(D22:E22)</f>
        <v>0</v>
      </c>
      <c r="D22" s="46">
        <f>+'Phụ lục 3-HĐND'!D22</f>
        <v>0</v>
      </c>
      <c r="E22" s="1645"/>
    </row>
    <row r="23" spans="1:5" ht="19.95" hidden="1" customHeight="1">
      <c r="A23" s="614"/>
      <c r="B23" s="4937"/>
      <c r="C23" s="46"/>
      <c r="D23" s="46"/>
      <c r="E23" s="1645"/>
    </row>
    <row r="24" spans="1:5" ht="19.95" hidden="1" customHeight="1">
      <c r="A24" s="2702"/>
      <c r="B24" s="46"/>
      <c r="C24" s="46"/>
      <c r="D24" s="46"/>
      <c r="E24" s="1645"/>
    </row>
    <row r="25" spans="1:5" s="2703" customFormat="1" ht="19.95" customHeight="1">
      <c r="A25" s="606" t="s">
        <v>33</v>
      </c>
      <c r="B25" s="2627" t="s">
        <v>1713</v>
      </c>
      <c r="C25" s="2699">
        <f t="shared" si="1"/>
        <v>12761657.450000003</v>
      </c>
      <c r="D25" s="2699">
        <f>+'Phụ lục 3-HĐND'!D25</f>
        <v>3680232.0929999999</v>
      </c>
      <c r="E25" s="2700">
        <f>+'Phụ lục 3-HĐND'!E25</f>
        <v>9081425.3570000026</v>
      </c>
    </row>
    <row r="26" spans="1:5" s="2704" customFormat="1" ht="19.95" customHeight="1">
      <c r="A26" s="611"/>
      <c r="B26" s="297" t="s">
        <v>822</v>
      </c>
      <c r="C26" s="45"/>
      <c r="D26" s="45"/>
      <c r="E26" s="1647"/>
    </row>
    <row r="27" spans="1:5" s="2705" customFormat="1" ht="19.95" customHeight="1">
      <c r="A27" s="603" t="s">
        <v>99</v>
      </c>
      <c r="B27" s="297" t="str">
        <f>'[28]Phụ lục 1-KQPB'!B34</f>
        <v>Chi giáo dục, đào tạo và dạy nghề</v>
      </c>
      <c r="C27" s="46">
        <f t="shared" ref="C27:C55" si="3">SUM(D27:E27)</f>
        <v>5859513.0000000009</v>
      </c>
      <c r="D27" s="46">
        <f>+'Phụ lục 3-HĐND'!D27</f>
        <v>1106650</v>
      </c>
      <c r="E27" s="1645">
        <f>+'Phụ lục 3-HĐND'!E27</f>
        <v>4752863.0000000009</v>
      </c>
    </row>
    <row r="28" spans="1:5" s="2705" customFormat="1" ht="19.95" customHeight="1">
      <c r="A28" s="603" t="s">
        <v>101</v>
      </c>
      <c r="B28" s="297" t="str">
        <f>'[28]Phụ lục 1-KQPB'!B35</f>
        <v>Chi khoa học và công nghệ</v>
      </c>
      <c r="C28" s="46">
        <f t="shared" si="3"/>
        <v>31307</v>
      </c>
      <c r="D28" s="46">
        <f>+'Phụ lục 3-HĐND'!D28</f>
        <v>31307</v>
      </c>
      <c r="E28" s="1645">
        <f>+'Phụ lục 3-HĐND'!E28</f>
        <v>0</v>
      </c>
    </row>
    <row r="29" spans="1:5" s="2705" customFormat="1" ht="19.95" customHeight="1">
      <c r="A29" s="603" t="s">
        <v>147</v>
      </c>
      <c r="B29" s="297" t="str">
        <f>'[28]Phụ lục 1-KQPB'!B36</f>
        <v>Các khoản chi thường xuyên còn lại</v>
      </c>
      <c r="C29" s="46">
        <f>SUM(D29:E29)</f>
        <v>6870837.4500000011</v>
      </c>
      <c r="D29" s="46">
        <f>D25-D27-D28</f>
        <v>2542275.0929999999</v>
      </c>
      <c r="E29" s="1645">
        <f>E25-E27-E28</f>
        <v>4328562.3570000017</v>
      </c>
    </row>
    <row r="30" spans="1:5" s="2705" customFormat="1" ht="19.95" hidden="1" customHeight="1">
      <c r="A30" s="2782">
        <v>3</v>
      </c>
      <c r="B30" s="1398" t="s">
        <v>1728</v>
      </c>
      <c r="C30" s="2783">
        <f>SUM(D30:E30)</f>
        <v>0</v>
      </c>
      <c r="D30" s="1653"/>
      <c r="E30" s="2701"/>
    </row>
    <row r="31" spans="1:5" s="2705" customFormat="1" ht="19.95" hidden="1" customHeight="1">
      <c r="A31" s="2784">
        <v>4</v>
      </c>
      <c r="B31" s="1653" t="s">
        <v>1729</v>
      </c>
      <c r="C31" s="2783">
        <f t="shared" ref="C31:C39" si="4">SUM(D31:E31)</f>
        <v>0</v>
      </c>
      <c r="D31" s="1653"/>
      <c r="E31" s="2701"/>
    </row>
    <row r="32" spans="1:5" s="2705" customFormat="1" ht="19.95" hidden="1" customHeight="1">
      <c r="A32" s="2784">
        <v>5</v>
      </c>
      <c r="B32" s="1653" t="s">
        <v>1685</v>
      </c>
      <c r="C32" s="2783">
        <f t="shared" si="4"/>
        <v>0</v>
      </c>
      <c r="D32" s="1653"/>
      <c r="E32" s="2701"/>
    </row>
    <row r="33" spans="1:5" s="2705" customFormat="1" ht="19.95" hidden="1" customHeight="1">
      <c r="A33" s="2784">
        <v>6</v>
      </c>
      <c r="B33" s="1653" t="s">
        <v>1686</v>
      </c>
      <c r="C33" s="2783">
        <f t="shared" si="4"/>
        <v>0</v>
      </c>
      <c r="D33" s="1653"/>
      <c r="E33" s="2701"/>
    </row>
    <row r="34" spans="1:5" s="2705" customFormat="1" ht="19.95" hidden="1" customHeight="1">
      <c r="A34" s="2784">
        <v>7</v>
      </c>
      <c r="B34" s="1653" t="s">
        <v>1687</v>
      </c>
      <c r="C34" s="2783">
        <f t="shared" si="4"/>
        <v>0</v>
      </c>
      <c r="D34" s="1653"/>
      <c r="E34" s="2701"/>
    </row>
    <row r="35" spans="1:5" s="2705" customFormat="1" ht="19.95" hidden="1" customHeight="1">
      <c r="A35" s="2784">
        <v>8</v>
      </c>
      <c r="B35" s="1653" t="s">
        <v>1689</v>
      </c>
      <c r="C35" s="2783">
        <f t="shared" si="4"/>
        <v>0</v>
      </c>
      <c r="D35" s="1653"/>
      <c r="E35" s="2701"/>
    </row>
    <row r="36" spans="1:5" s="2705" customFormat="1" ht="19.95" hidden="1" customHeight="1">
      <c r="A36" s="2784">
        <v>9</v>
      </c>
      <c r="B36" s="1653" t="s">
        <v>1730</v>
      </c>
      <c r="C36" s="2783">
        <f t="shared" si="4"/>
        <v>0</v>
      </c>
      <c r="D36" s="1653"/>
      <c r="E36" s="2701"/>
    </row>
    <row r="37" spans="1:5" s="2705" customFormat="1" ht="19.95" hidden="1" customHeight="1">
      <c r="A37" s="2784">
        <v>10</v>
      </c>
      <c r="B37" s="1653" t="s">
        <v>1690</v>
      </c>
      <c r="C37" s="2783">
        <f t="shared" si="4"/>
        <v>0</v>
      </c>
      <c r="D37" s="1653"/>
      <c r="E37" s="2701"/>
    </row>
    <row r="38" spans="1:5" s="2705" customFormat="1" ht="19.95" hidden="1" customHeight="1">
      <c r="A38" s="2784">
        <v>11</v>
      </c>
      <c r="B38" s="1653" t="s">
        <v>1731</v>
      </c>
      <c r="C38" s="2783">
        <f t="shared" si="4"/>
        <v>0</v>
      </c>
      <c r="D38" s="1653"/>
      <c r="E38" s="2701"/>
    </row>
    <row r="39" spans="1:5" s="2705" customFormat="1" ht="19.95" hidden="1" customHeight="1">
      <c r="A39" s="2784">
        <v>12</v>
      </c>
      <c r="B39" s="1653" t="s">
        <v>721</v>
      </c>
      <c r="C39" s="2783">
        <f t="shared" si="4"/>
        <v>0</v>
      </c>
      <c r="D39" s="1653"/>
      <c r="E39" s="2701"/>
    </row>
    <row r="40" spans="1:5" s="2703" customFormat="1" ht="19.95" customHeight="1">
      <c r="A40" s="4958">
        <v>3</v>
      </c>
      <c r="B40" s="4782" t="s">
        <v>1444</v>
      </c>
      <c r="C40" s="2699">
        <f>SUM(D40:E40)</f>
        <v>3500</v>
      </c>
      <c r="D40" s="2699">
        <f>+'Phụ lục 3-HĐND'!D30</f>
        <v>3500</v>
      </c>
      <c r="E40" s="2700">
        <f>+'Phụ lục 3-HĐND'!E30</f>
        <v>0</v>
      </c>
    </row>
    <row r="41" spans="1:5" s="2703" customFormat="1" ht="19.95" customHeight="1">
      <c r="A41" s="4958">
        <v>4</v>
      </c>
      <c r="B41" s="4782" t="s">
        <v>174</v>
      </c>
      <c r="C41" s="2699">
        <f>SUM(D41:E41)</f>
        <v>2000</v>
      </c>
      <c r="D41" s="2699">
        <f>+'Phụ lục 3-HĐND'!D31</f>
        <v>2000</v>
      </c>
      <c r="E41" s="2700">
        <f>+'Phụ lục 3-HĐND'!E31</f>
        <v>0</v>
      </c>
    </row>
    <row r="42" spans="1:5" s="2703" customFormat="1" ht="19.95" customHeight="1">
      <c r="A42" s="4958">
        <v>5</v>
      </c>
      <c r="B42" s="4782" t="s">
        <v>175</v>
      </c>
      <c r="C42" s="2699">
        <f>SUM(D42:E42)</f>
        <v>376400.94999999995</v>
      </c>
      <c r="D42" s="2699">
        <f>+'Phụ lục 3-HĐND'!D32</f>
        <v>163959.4</v>
      </c>
      <c r="E42" s="2700">
        <f>+'Phụ lục 3-HĐND'!E32</f>
        <v>212441.54999999996</v>
      </c>
    </row>
    <row r="43" spans="1:5" s="2703" customFormat="1" ht="19.95" customHeight="1">
      <c r="A43" s="4958">
        <v>6</v>
      </c>
      <c r="B43" s="4782" t="s">
        <v>1419</v>
      </c>
      <c r="C43" s="2699">
        <f>SUM(D43:E43)</f>
        <v>519900</v>
      </c>
      <c r="D43" s="2699">
        <f>+'Phụ lục 3-HĐND'!D33</f>
        <v>0</v>
      </c>
      <c r="E43" s="2700">
        <f>+'Phụ lục 3-HĐND'!E33</f>
        <v>519900</v>
      </c>
    </row>
    <row r="44" spans="1:5" s="2703" customFormat="1" ht="17.399999999999999">
      <c r="A44" s="2707" t="s">
        <v>745</v>
      </c>
      <c r="B44" s="2785" t="str">
        <f>'[28]Phụ lục 1-KQPB'!B41</f>
        <v>Chi từ nguồn bổ sung có mục tiêu từ ngân sách trung ương</v>
      </c>
      <c r="C44" s="2699">
        <f>+C45+C48+C51</f>
        <v>3036992</v>
      </c>
      <c r="D44" s="2699">
        <f t="shared" ref="D44:E44" si="5">+D45+D48+D51</f>
        <v>2782607</v>
      </c>
      <c r="E44" s="2700">
        <f t="shared" si="5"/>
        <v>254385</v>
      </c>
    </row>
    <row r="45" spans="1:5" s="2703" customFormat="1" ht="17.399999999999999">
      <c r="A45" s="4959">
        <v>1</v>
      </c>
      <c r="B45" s="1815" t="s">
        <v>178</v>
      </c>
      <c r="C45" s="2699">
        <f>+C46+C47</f>
        <v>2530494</v>
      </c>
      <c r="D45" s="2699">
        <f t="shared" ref="D45:E45" si="6">+D46+D47</f>
        <v>2530494</v>
      </c>
      <c r="E45" s="2700">
        <f t="shared" si="6"/>
        <v>0</v>
      </c>
    </row>
    <row r="46" spans="1:5" s="2705" customFormat="1" hidden="1">
      <c r="A46" s="4960" t="s">
        <v>99</v>
      </c>
      <c r="B46" s="1815" t="s">
        <v>100</v>
      </c>
      <c r="C46" s="46">
        <f>SUM(D46:E46)</f>
        <v>2399255</v>
      </c>
      <c r="D46" s="46">
        <f>+'Phụ lục 3-HĐND'!D36</f>
        <v>2399255</v>
      </c>
      <c r="E46" s="1645">
        <f>+'Phụ lục 3-HĐND'!E36</f>
        <v>0</v>
      </c>
    </row>
    <row r="47" spans="1:5" s="2705" customFormat="1" hidden="1">
      <c r="A47" s="4960" t="s">
        <v>101</v>
      </c>
      <c r="B47" s="1815" t="s">
        <v>102</v>
      </c>
      <c r="C47" s="46">
        <f>SUM(D47:E47)</f>
        <v>131239</v>
      </c>
      <c r="D47" s="46">
        <f>+'Phụ lục 3-HĐND'!D37</f>
        <v>131239</v>
      </c>
      <c r="E47" s="1645">
        <f>+'Phụ lục 3-HĐND'!E37</f>
        <v>0</v>
      </c>
    </row>
    <row r="48" spans="1:5" s="2703" customFormat="1" ht="17.399999999999999">
      <c r="A48" s="4959">
        <v>2</v>
      </c>
      <c r="B48" s="1815" t="s">
        <v>179</v>
      </c>
      <c r="C48" s="2699">
        <f>+C49+C50</f>
        <v>221912</v>
      </c>
      <c r="D48" s="2699">
        <f t="shared" ref="D48:E48" si="7">+D49+D50</f>
        <v>125737</v>
      </c>
      <c r="E48" s="2700">
        <f t="shared" si="7"/>
        <v>96175</v>
      </c>
    </row>
    <row r="49" spans="1:5" s="2705" customFormat="1" hidden="1">
      <c r="A49" s="4960" t="s">
        <v>99</v>
      </c>
      <c r="B49" s="1815" t="s">
        <v>103</v>
      </c>
      <c r="C49" s="46">
        <f>SUM(D49:E49)</f>
        <v>186007</v>
      </c>
      <c r="D49" s="46">
        <f>+'Phụ lục 3-HĐND'!D39</f>
        <v>89832</v>
      </c>
      <c r="E49" s="1645">
        <f>+'Phụ lục 3-HĐND'!E39</f>
        <v>96175</v>
      </c>
    </row>
    <row r="50" spans="1:5" s="2705" customFormat="1" hidden="1">
      <c r="A50" s="4960" t="s">
        <v>101</v>
      </c>
      <c r="B50" s="1815" t="s">
        <v>102</v>
      </c>
      <c r="C50" s="46">
        <f>SUM(D50:E50)</f>
        <v>35905</v>
      </c>
      <c r="D50" s="46">
        <f>+'Phụ lục 3-HĐND'!D40</f>
        <v>35905</v>
      </c>
      <c r="E50" s="1645">
        <f>+'Phụ lục 3-HĐND'!E40</f>
        <v>0</v>
      </c>
    </row>
    <row r="51" spans="1:5" ht="19.95" customHeight="1">
      <c r="A51" s="4959">
        <v>3</v>
      </c>
      <c r="B51" s="1815" t="s">
        <v>180</v>
      </c>
      <c r="C51" s="46">
        <f>+C52+C53</f>
        <v>284586</v>
      </c>
      <c r="D51" s="46">
        <f t="shared" ref="D51:E51" si="8">+D52+D53</f>
        <v>126376</v>
      </c>
      <c r="E51" s="1645">
        <f t="shared" si="8"/>
        <v>158210</v>
      </c>
    </row>
    <row r="52" spans="1:5" ht="19.95" hidden="1" customHeight="1">
      <c r="A52" s="4960" t="s">
        <v>99</v>
      </c>
      <c r="B52" s="1815" t="s">
        <v>104</v>
      </c>
      <c r="C52" s="46">
        <f>SUM(D52:E52)</f>
        <v>0</v>
      </c>
      <c r="D52" s="46">
        <f>+'Phụ lục 3-HĐND'!D42</f>
        <v>0</v>
      </c>
      <c r="E52" s="1645">
        <f>+'Phụ lục 3-HĐND'!E42</f>
        <v>0</v>
      </c>
    </row>
    <row r="53" spans="1:5" hidden="1">
      <c r="A53" s="4960" t="s">
        <v>101</v>
      </c>
      <c r="B53" s="1815" t="s">
        <v>105</v>
      </c>
      <c r="C53" s="46">
        <f>SUM(D53:E53)</f>
        <v>284586</v>
      </c>
      <c r="D53" s="46">
        <f>+'Phụ lục 3-HĐND'!D43</f>
        <v>126376</v>
      </c>
      <c r="E53" s="1645">
        <f>+'Phụ lục 3-HĐND'!E43</f>
        <v>158210</v>
      </c>
    </row>
    <row r="54" spans="1:5" s="588" customFormat="1" ht="19.95" customHeight="1">
      <c r="A54" s="4958" t="s">
        <v>215</v>
      </c>
      <c r="B54" s="1933" t="s">
        <v>181</v>
      </c>
      <c r="C54" s="2699">
        <f t="shared" si="3"/>
        <v>0</v>
      </c>
      <c r="D54" s="2699">
        <f>+'Phụ lục 3-HĐND'!D44</f>
        <v>0</v>
      </c>
      <c r="E54" s="2700">
        <f>+'Phụ lục 3-HĐND'!E44</f>
        <v>0</v>
      </c>
    </row>
    <row r="55" spans="1:5" s="588" customFormat="1" ht="19.95" customHeight="1">
      <c r="A55" s="5278" t="s">
        <v>718</v>
      </c>
      <c r="B55" s="5242" t="s">
        <v>3240</v>
      </c>
      <c r="C55" s="45">
        <f t="shared" si="3"/>
        <v>5553.7960000000003</v>
      </c>
      <c r="D55" s="45">
        <f>+'Phụ lục 3-HĐND'!D45</f>
        <v>5553.7960000000003</v>
      </c>
      <c r="E55" s="5359"/>
    </row>
    <row r="56" spans="1:5" s="588" customFormat="1" ht="20.100000000000001" customHeight="1" thickBot="1">
      <c r="A56" s="4961" t="s">
        <v>37</v>
      </c>
      <c r="B56" s="4962" t="s">
        <v>347</v>
      </c>
      <c r="C56" s="4963">
        <f>SUM(D56:E56)</f>
        <v>186700</v>
      </c>
      <c r="D56" s="4963">
        <f>+'Phụ lục 3-HĐND'!D46</f>
        <v>186700</v>
      </c>
      <c r="E56" s="4964">
        <f>+'Phụ lục 3-HĐND'!E46</f>
        <v>0</v>
      </c>
    </row>
    <row r="57" spans="1:5" ht="18.600000000000001" thickTop="1">
      <c r="B57" s="588" t="s">
        <v>1717</v>
      </c>
    </row>
    <row r="58" spans="1:5" s="596" customFormat="1" ht="36">
      <c r="B58" s="2709" t="s">
        <v>1718</v>
      </c>
      <c r="D58" s="2710">
        <f>SUM(D60:D62)</f>
        <v>7078351.9069999997</v>
      </c>
      <c r="E58" s="1073" t="s">
        <v>3220</v>
      </c>
    </row>
    <row r="59" spans="1:5" s="596" customFormat="1">
      <c r="B59" s="2709" t="s">
        <v>822</v>
      </c>
      <c r="D59" s="2710"/>
      <c r="E59" s="1073"/>
    </row>
    <row r="60" spans="1:5" s="617" customFormat="1">
      <c r="B60" s="2711" t="s">
        <v>1719</v>
      </c>
      <c r="D60" s="2712">
        <f>+'Phụ lục 3-HĐND'!D50</f>
        <v>4430923</v>
      </c>
      <c r="E60" s="5147" t="s">
        <v>3220</v>
      </c>
    </row>
    <row r="61" spans="1:5" s="617" customFormat="1">
      <c r="B61" s="5108" t="s">
        <v>3191</v>
      </c>
      <c r="D61" s="2712">
        <f>+'Phụ lục 3-HĐND'!D51</f>
        <v>1681469</v>
      </c>
      <c r="E61" s="5147" t="s">
        <v>3220</v>
      </c>
    </row>
    <row r="62" spans="1:5" s="617" customFormat="1">
      <c r="B62" s="5109" t="s">
        <v>3135</v>
      </c>
      <c r="D62" s="2712">
        <f>+'Phụ lục 3-HĐND'!D52</f>
        <v>965959.90700000001</v>
      </c>
      <c r="E62" s="5147" t="s">
        <v>3220</v>
      </c>
    </row>
    <row r="63" spans="1:5" s="596" customFormat="1" ht="36">
      <c r="B63" s="2709" t="s">
        <v>1720</v>
      </c>
      <c r="D63" s="2710">
        <f>+D56</f>
        <v>186700</v>
      </c>
      <c r="E63" s="1073" t="s">
        <v>3220</v>
      </c>
    </row>
    <row r="64" spans="1:5">
      <c r="B64" s="381" t="s">
        <v>234</v>
      </c>
    </row>
    <row r="65" spans="1:5">
      <c r="A65" s="873"/>
      <c r="B65" s="6789" t="str">
        <f>+'Phụ lục 3-HĐND'!B55:C55</f>
        <v>- Trả nợ vay từ nguồn vốn Chính phủ vay về cho vay lại</v>
      </c>
      <c r="C65" s="6789"/>
      <c r="D65" s="688">
        <f>+'Phụ lục 3-HĐND'!D55</f>
        <v>20800</v>
      </c>
      <c r="E65" s="5107" t="s">
        <v>3220</v>
      </c>
    </row>
    <row r="66" spans="1:5">
      <c r="A66" s="873"/>
      <c r="B66" s="6789" t="str">
        <f>+'Phụ lục 3-HĐND'!B56:C56</f>
        <v>- Chương trình Cụm tuyến dân cư, tôn nền vượt lũ</v>
      </c>
      <c r="C66" s="6789"/>
      <c r="D66" s="688">
        <f>+D63-D65</f>
        <v>165900</v>
      </c>
      <c r="E66" s="5107" t="s">
        <v>3220</v>
      </c>
    </row>
    <row r="69" spans="1:5">
      <c r="D69" s="2420"/>
    </row>
  </sheetData>
  <mergeCells count="13">
    <mergeCell ref="B65:C65"/>
    <mergeCell ref="B66:C6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39370078740157483" header="0" footer="0"/>
  <pageSetup paperSize="9" scale="80" orientation="portrait" verticalDpi="0" r:id="rId1"/>
  <headerFooter>
    <oddHeader>&amp;R&amp;"Times New Roman,Regular"&amp;12&amp;A</oddHeader>
    <oddFooter>&amp;C&amp;"Times New Roman,Regular"&amp;10&amp;P/&amp;N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66FF"/>
  </sheetPr>
  <dimension ref="A1:E40"/>
  <sheetViews>
    <sheetView topLeftCell="A29" workbookViewId="0">
      <selection activeCell="L26" sqref="L26"/>
    </sheetView>
  </sheetViews>
  <sheetFormatPr defaultColWidth="10.33203125" defaultRowHeight="18"/>
  <cols>
    <col min="1" max="1" width="6.5546875" style="381" customWidth="1"/>
    <col min="2" max="2" width="81.109375" style="381" customWidth="1"/>
    <col min="3" max="5" width="14.5546875" style="381" customWidth="1"/>
    <col min="6" max="16384" width="10.33203125" style="381"/>
  </cols>
  <sheetData>
    <row r="1" spans="1:5" ht="42" customHeight="1">
      <c r="A1" s="6109" t="s">
        <v>1777</v>
      </c>
      <c r="B1" s="6497"/>
      <c r="C1" s="6497"/>
      <c r="D1" s="6497"/>
      <c r="E1" s="6497"/>
    </row>
    <row r="2" spans="1:5">
      <c r="A2" s="6510" t="str">
        <f>+'Phụ lục 3-KQPB'!A5:E5</f>
        <v>(Kèm theo Báo cáo số            /BC-UBND ngày      /12/2024 của Ủy ban nhân dân tỉnh Đồng Tháp)</v>
      </c>
      <c r="B2" s="6497"/>
      <c r="C2" s="6497"/>
      <c r="D2" s="6497"/>
      <c r="E2" s="6497"/>
    </row>
    <row r="3" spans="1:5">
      <c r="A3" s="431"/>
      <c r="B3" s="2635"/>
      <c r="C3" s="2635"/>
      <c r="D3" s="2635"/>
      <c r="E3" s="2635"/>
    </row>
    <row r="4" spans="1:5" ht="18.600000000000001" thickBot="1">
      <c r="B4" s="6575" t="s">
        <v>638</v>
      </c>
      <c r="C4" s="6575"/>
      <c r="D4" s="6575"/>
      <c r="E4" s="6575"/>
    </row>
    <row r="5" spans="1:5" s="431" customFormat="1" thickTop="1">
      <c r="A5" s="6561" t="s">
        <v>247</v>
      </c>
      <c r="B5" s="6519" t="s">
        <v>1123</v>
      </c>
      <c r="C5" s="6519" t="s">
        <v>1455</v>
      </c>
      <c r="D5" s="6519" t="s">
        <v>998</v>
      </c>
      <c r="E5" s="6576"/>
    </row>
    <row r="6" spans="1:5" s="431" customFormat="1" ht="34.799999999999997">
      <c r="A6" s="6562"/>
      <c r="B6" s="6044"/>
      <c r="C6" s="6044"/>
      <c r="D6" s="2566" t="s">
        <v>649</v>
      </c>
      <c r="E6" s="2567" t="s">
        <v>1622</v>
      </c>
    </row>
    <row r="7" spans="1:5" ht="39.9" customHeight="1">
      <c r="A7" s="2788"/>
      <c r="B7" s="2789" t="str">
        <f>'[28]Phụ lục 8-HĐND'!B7</f>
        <v>BỔ SUNG CÓ MỤC TIÊU TỪ NGÂN SÁCH TRUNG ƯƠNG ĐỂ THỰC HIỆN CÁC MỤC TIÊU, NHIỆM VỤ QUAN TRỌNG (I+II)</v>
      </c>
      <c r="C7" s="2717">
        <f>C8</f>
        <v>3036992</v>
      </c>
      <c r="D7" s="2717">
        <f>D8</f>
        <v>2530494</v>
      </c>
      <c r="E7" s="2726">
        <f>E8</f>
        <v>506498</v>
      </c>
    </row>
    <row r="8" spans="1:5" ht="39.9" customHeight="1">
      <c r="A8" s="2715" t="str">
        <f>'[28]Phụ lục 8-HĐND'!A8</f>
        <v>I</v>
      </c>
      <c r="B8" s="2790" t="str">
        <f>'[28]Phụ lục 8-HĐND'!B8</f>
        <v>Đầu tư phát triển từ nguồn ngân sách trung ương bổ sung có mục tiêu</v>
      </c>
      <c r="C8" s="2717">
        <f>SUM(C9,C12)</f>
        <v>3036992</v>
      </c>
      <c r="D8" s="2717">
        <f>SUM(D9,D12)</f>
        <v>2530494</v>
      </c>
      <c r="E8" s="2726">
        <f>SUM(E9,E12)</f>
        <v>506498</v>
      </c>
    </row>
    <row r="9" spans="1:5" s="386" customFormat="1" ht="39.9" customHeight="1">
      <c r="A9" s="5162">
        <f>'[28]Phụ lục 8-HĐND'!A9</f>
        <v>1</v>
      </c>
      <c r="B9" s="2791" t="str">
        <f>'[28]Phụ lục 8-HĐND'!B9</f>
        <v>Bổ sung vốn đầu tư theo ngành, lĩnh vực (vốn ngoài nước)</v>
      </c>
      <c r="C9" s="2725">
        <f>SUM(D9:E9)</f>
        <v>0</v>
      </c>
      <c r="D9" s="2725">
        <f>+'Phụ lục 6-HĐND'!D9</f>
        <v>0</v>
      </c>
      <c r="E9" s="2722">
        <f>+'Phụ lục 6-HĐND'!E9</f>
        <v>0</v>
      </c>
    </row>
    <row r="10" spans="1:5" s="386" customFormat="1" ht="39.9" hidden="1" customHeight="1">
      <c r="A10" s="2715"/>
      <c r="B10" s="2791" t="str">
        <f>'[28]Phụ lục số 8'!B10</f>
        <v>Trong đó:</v>
      </c>
      <c r="C10" s="2725"/>
      <c r="D10" s="2725"/>
      <c r="E10" s="2722"/>
    </row>
    <row r="11" spans="1:5" s="873" customFormat="1" ht="39.9" hidden="1" customHeight="1">
      <c r="A11" s="2719"/>
      <c r="B11" s="2792" t="str">
        <f>'[28]Phụ lục số 8'!B11</f>
        <v>Chương trình mục tiêu ứng phó biến đổi khí hậu và tăng trưởng xanh (giải ngân theo cơ chế tài chính trong nước)</v>
      </c>
      <c r="C11" s="2595">
        <f>SUM(D11:E11)</f>
        <v>0</v>
      </c>
      <c r="D11" s="2595"/>
      <c r="E11" s="2596"/>
    </row>
    <row r="12" spans="1:5" s="386" customFormat="1" ht="39.9" customHeight="1">
      <c r="A12" s="2793">
        <f>'[28]Phụ lục 8-HĐND'!A12</f>
        <v>2</v>
      </c>
      <c r="B12" s="2791" t="str">
        <f>'[28]Phụ lục 8-HĐND'!B12</f>
        <v>Bổ sung vốn đầu tư theo ngành, lĩnh vực (vốn trong nước)</v>
      </c>
      <c r="C12" s="2725">
        <f>C13+C19+C29</f>
        <v>3036992</v>
      </c>
      <c r="D12" s="2725">
        <f>D13+D19+D29</f>
        <v>2530494</v>
      </c>
      <c r="E12" s="2722">
        <f t="shared" ref="E12" si="0">E13+E19+E29</f>
        <v>506498</v>
      </c>
    </row>
    <row r="13" spans="1:5" s="386" customFormat="1" ht="39.9" customHeight="1">
      <c r="A13" s="2793" t="str">
        <f>'[28]Phụ lục 8-HĐND'!A13</f>
        <v>2.1</v>
      </c>
      <c r="B13" s="2791" t="str">
        <f>'[28]Phụ lục 8-HĐND'!B13</f>
        <v>Bổ sung vốn đầu tư để thực hiện các chương trình, mục tiêu nhiệm vụ</v>
      </c>
      <c r="C13" s="2725">
        <f>SUM(D13:E13)</f>
        <v>2399255</v>
      </c>
      <c r="D13" s="2725">
        <f>SUM(D15+D17+D18)</f>
        <v>2399255</v>
      </c>
      <c r="E13" s="2722">
        <v>0</v>
      </c>
    </row>
    <row r="14" spans="1:5" ht="39.9" hidden="1" customHeight="1">
      <c r="A14" s="2588"/>
      <c r="B14" s="2589" t="str">
        <f>'[28]Phụ lục số 8'!B14</f>
        <v>Trong đó:</v>
      </c>
      <c r="C14" s="2593"/>
      <c r="D14" s="2593"/>
      <c r="E14" s="2594"/>
    </row>
    <row r="15" spans="1:5" ht="39.9" hidden="1" customHeight="1">
      <c r="A15" s="2588" t="str">
        <f>'[28]Phụ lục 8-HĐND'!A15</f>
        <v>2.1.1</v>
      </c>
      <c r="B15" s="2589" t="str">
        <f>'[28]Phụ lục 8-HĐND'!B15</f>
        <v>Đầu tư các dự án theo ngành, lĩnh vực và Chương trình phục hồi phát triển kinh tế - xã hội</v>
      </c>
      <c r="C15" s="2593">
        <f>SUM(D15:E15)</f>
        <v>1504695</v>
      </c>
      <c r="D15" s="2593">
        <f>+'Phụ lục 6-HĐND'!D15</f>
        <v>1504695</v>
      </c>
      <c r="E15" s="2594">
        <f>'[28]Phụ lục 8-HĐND'!E15</f>
        <v>0</v>
      </c>
    </row>
    <row r="16" spans="1:5" s="873" customFormat="1" ht="39.9" hidden="1" customHeight="1">
      <c r="A16" s="2794"/>
      <c r="B16" s="2792" t="str">
        <f>'[28]Phụ lục số 8'!B16</f>
        <v>Thu hồi các khoản vốn ứng trước của các chương trình mục tiêu (số vốn thiểu địa phương phải bố trí)</v>
      </c>
      <c r="C16" s="2595">
        <f>SUM(D16:E16)</f>
        <v>0</v>
      </c>
      <c r="D16" s="2593">
        <f>'[28]Phụ lục 8-HĐND'!D16</f>
        <v>0</v>
      </c>
      <c r="E16" s="2594">
        <f>'[28]Phụ lục 8-HĐND'!E16</f>
        <v>0</v>
      </c>
    </row>
    <row r="17" spans="1:5" ht="39.9" hidden="1" customHeight="1">
      <c r="A17" s="2588" t="str">
        <f>'[28]Phụ lục 8-HĐND'!A17</f>
        <v>2.1.2</v>
      </c>
      <c r="B17" s="2589" t="str">
        <f>'[28]Phụ lục 8-HĐND'!B17</f>
        <v>Dự án quan trọng quốc gia, đường bộ cao tốc</v>
      </c>
      <c r="C17" s="2593">
        <f>SUM(D17:E17)</f>
        <v>894560</v>
      </c>
      <c r="D17" s="2593">
        <f>+'Phụ lục 6-HĐND'!D17</f>
        <v>894560</v>
      </c>
      <c r="E17" s="2594">
        <f>'[28]Phụ lục 8-HĐND'!E17</f>
        <v>0</v>
      </c>
    </row>
    <row r="18" spans="1:5" ht="39.9" hidden="1" customHeight="1">
      <c r="A18" s="2588" t="str">
        <f>'[28]Phụ lục 8-HĐND'!A18</f>
        <v>2.1.3</v>
      </c>
      <c r="B18" s="2589" t="str">
        <f>'[28]Phụ lục 8-HĐND'!B18</f>
        <v>Dự án trọng điểm, liên vùng, đường ven biển</v>
      </c>
      <c r="C18" s="2593">
        <f>SUM(D18:E18)</f>
        <v>0</v>
      </c>
      <c r="D18" s="2593">
        <f>+'Phụ lục 6-HĐND'!D18</f>
        <v>0</v>
      </c>
      <c r="E18" s="2594">
        <f>'[28]Phụ lục 8-HĐND'!E18</f>
        <v>0</v>
      </c>
    </row>
    <row r="19" spans="1:5" s="386" customFormat="1" ht="39.9" customHeight="1">
      <c r="A19" s="2793" t="str">
        <f>'[28]Phụ lục 8-HĐND'!A19</f>
        <v>2.2</v>
      </c>
      <c r="B19" s="2791" t="str">
        <f>'[28]Phụ lục 8-HĐND'!B19</f>
        <v>Vốn thực hiện 03 chương trình mục tiêu quốc gia</v>
      </c>
      <c r="C19" s="2725">
        <f>SUM(C20,C26,C27)</f>
        <v>167144</v>
      </c>
      <c r="D19" s="2725">
        <f>SUM(D20,D26,D27)</f>
        <v>131239</v>
      </c>
      <c r="E19" s="2722">
        <f>SUM(E20,E26,E27)</f>
        <v>35905</v>
      </c>
    </row>
    <row r="20" spans="1:5" ht="39.9" customHeight="1">
      <c r="A20" s="2588" t="str">
        <f>'[28]Phụ lục 8-HĐND'!A20</f>
        <v>2.2.1</v>
      </c>
      <c r="B20" s="2589" t="str">
        <f>'[28]Phụ lục 8-HĐND'!B20</f>
        <v>Chương trình mục tiêu quốc gia giảm nghèo bền vững</v>
      </c>
      <c r="C20" s="2593">
        <f>SUM(D20:E20)</f>
        <v>3464</v>
      </c>
      <c r="D20" s="2593">
        <f>+'Phụ lục 6-HĐND'!D20</f>
        <v>3464</v>
      </c>
      <c r="E20" s="2594">
        <f>+'Phụ lục 6-HĐND'!E20</f>
        <v>0</v>
      </c>
    </row>
    <row r="21" spans="1:5" ht="39.9" hidden="1" customHeight="1">
      <c r="A21" s="2795" t="str">
        <f>'[28]Phụ lục số 8'!A21</f>
        <v>a</v>
      </c>
      <c r="B21" s="2796" t="str">
        <f>'[28]Phụ lục số 8'!B21</f>
        <v>Dự án 2: Đa dạng hóa sinh kế, phát triển mô hình giảm nghèo (các hoạt động kinh tế); 25.125 triệu đồng</v>
      </c>
      <c r="C21" s="2797">
        <f>SUM(D21:E21)</f>
        <v>25125</v>
      </c>
      <c r="D21" s="2797">
        <f>'[28]Phụ lục số 8'!D21</f>
        <v>0</v>
      </c>
      <c r="E21" s="2798">
        <f>'[28]Phụ lục số 8'!E21</f>
        <v>25125</v>
      </c>
    </row>
    <row r="22" spans="1:5" ht="39.9" hidden="1" customHeight="1">
      <c r="A22" s="2795" t="str">
        <f>'[28]Phụ lục số 8'!A22</f>
        <v>b</v>
      </c>
      <c r="B22" s="2796" t="str">
        <f>'[28]Phụ lục số 8'!B22</f>
        <v>Dự án 3: Hỗ trợ phát triển sản xuất, cải thiện dinh dưỡng (sự nghiệp y tế, dân số và gia đình: 4.025 triệu đồng; các hoạt động kinh tế: 10.387 triệu đồng)</v>
      </c>
      <c r="C22" s="2797">
        <f t="shared" ref="C22:C25" si="1">SUM(D22:E22)</f>
        <v>14412</v>
      </c>
      <c r="D22" s="2797">
        <f>'[28]Phụ lục số 8'!D22</f>
        <v>0</v>
      </c>
      <c r="E22" s="2798">
        <f>'[28]Phụ lục số 8'!E22</f>
        <v>14412</v>
      </c>
    </row>
    <row r="23" spans="1:5" ht="39.9" hidden="1" customHeight="1">
      <c r="A23" s="2795" t="str">
        <f>'[28]Phụ lục số 8'!A23</f>
        <v>c</v>
      </c>
      <c r="B23" s="2796" t="str">
        <f>'[28]Phụ lục số 8'!B23</f>
        <v xml:space="preserve">Dự án 4: Phát triển giáo dục nghề nghiệp, việc làm bền vững (sự nghiệp giáo dục-đào tạo và dạy nghề 2.237 triệu đồng; các hoạt động kinh tế 9.941 triệu đồng) </v>
      </c>
      <c r="C23" s="2797">
        <f t="shared" si="1"/>
        <v>12178</v>
      </c>
      <c r="D23" s="2797">
        <f>'[28]Phụ lục số 8'!D23</f>
        <v>0</v>
      </c>
      <c r="E23" s="2798">
        <f>'[28]Phụ lục số 8'!E23</f>
        <v>12178</v>
      </c>
    </row>
    <row r="24" spans="1:5" ht="39.9" hidden="1" customHeight="1">
      <c r="A24" s="2795" t="str">
        <f>'[28]Phụ lục số 8'!A24</f>
        <v>d</v>
      </c>
      <c r="B24" s="2796" t="str">
        <f>'[28]Phụ lục số 8'!B24</f>
        <v>Dự án 6: Truyền thông và giảm nghèo về thông tin (sự nghiệp văn hóa thông tin); 6.372 triệu đồng</v>
      </c>
      <c r="C24" s="2797">
        <f t="shared" si="1"/>
        <v>6372</v>
      </c>
      <c r="D24" s="2797">
        <f>'[28]Phụ lục số 8'!D24</f>
        <v>0</v>
      </c>
      <c r="E24" s="2798">
        <f>'[28]Phụ lục số 8'!E24</f>
        <v>6372</v>
      </c>
    </row>
    <row r="25" spans="1:5" ht="39.9" hidden="1" customHeight="1">
      <c r="A25" s="2795" t="str">
        <f>'[28]Phụ lục số 8'!A25</f>
        <v>đ</v>
      </c>
      <c r="B25" s="2796" t="str">
        <f>'[28]Phụ lục số 8'!B25</f>
        <v>Dự án 7: Nâng cao năng lực và giám sát, đánh giá chương trình (sự nghiệp giáo dục- đào tạo và dạy nghề); 7.568 triệu đồng</v>
      </c>
      <c r="C25" s="2797">
        <f t="shared" si="1"/>
        <v>7568</v>
      </c>
      <c r="D25" s="2797">
        <f>'[28]Phụ lục số 8'!D25</f>
        <v>0</v>
      </c>
      <c r="E25" s="2798">
        <f>'[28]Phụ lục số 8'!E25</f>
        <v>7568</v>
      </c>
    </row>
    <row r="26" spans="1:5" ht="39.9" customHeight="1">
      <c r="A26" s="2582" t="str">
        <f>'[28]Phụ lục 8-HĐND'!A26</f>
        <v>2.2.2</v>
      </c>
      <c r="B26" s="2583" t="str">
        <f>'[28]Phụ lục 8-HĐND'!B26</f>
        <v>Chương trình mục tiêu quốc gia xây dựng nông thôn mới</v>
      </c>
      <c r="C26" s="2599">
        <f>SUM(D26:E26)</f>
        <v>163680</v>
      </c>
      <c r="D26" s="2599">
        <f>+'Phụ lục 6-HĐND'!D26</f>
        <v>127775</v>
      </c>
      <c r="E26" s="2600">
        <f>+'Phụ lục 6-HĐND'!E26</f>
        <v>35905</v>
      </c>
    </row>
    <row r="27" spans="1:5" s="386" customFormat="1" ht="39.9" hidden="1" customHeight="1">
      <c r="A27" s="2582" t="str">
        <f>'[28]Phụ lục 8-HĐND'!A27</f>
        <v>2.2.3</v>
      </c>
      <c r="B27" s="2583" t="str">
        <f>'[28]Phụ lục 8-HĐND'!B27</f>
        <v>Chương trình mục tiêu quốc gia phát triển kinh tế xã hội vùng đồng bào dân tộc thiểu số và miền núi</v>
      </c>
      <c r="C27" s="2724">
        <f>SUM(D27:E27)</f>
        <v>0</v>
      </c>
      <c r="D27" s="2599">
        <f>'[28]Phụ lục số 8'!D27</f>
        <v>0</v>
      </c>
      <c r="E27" s="2600">
        <f>'[28]Phụ lục số 8'!E27</f>
        <v>0</v>
      </c>
    </row>
    <row r="28" spans="1:5" ht="39.9" hidden="1" customHeight="1">
      <c r="A28" s="2582"/>
      <c r="B28" s="2583"/>
      <c r="C28" s="2599"/>
      <c r="D28" s="2599"/>
      <c r="E28" s="2600"/>
    </row>
    <row r="29" spans="1:5" s="47" customFormat="1" ht="39.9" customHeight="1">
      <c r="A29" s="2715" t="s">
        <v>33</v>
      </c>
      <c r="B29" s="2790" t="str">
        <f>'[28]Phụ lục số 8'!B29</f>
        <v>Ngân sách trung ương bổ sung có mục tiêu (kinh phí sự nghiệp)</v>
      </c>
      <c r="C29" s="2717">
        <f>SUM(C30:C39)</f>
        <v>470593</v>
      </c>
      <c r="D29" s="2717">
        <f>SUM(D30:D39)</f>
        <v>0</v>
      </c>
      <c r="E29" s="2726">
        <f>SUM(E30:E39)</f>
        <v>470593</v>
      </c>
    </row>
    <row r="30" spans="1:5" s="47" customFormat="1" ht="39.9" customHeight="1">
      <c r="A30" s="2727">
        <f>+'Phụ lục 6-HĐND'!A30</f>
        <v>1</v>
      </c>
      <c r="B30" s="5163" t="str">
        <f>+'Phụ lục 6-HĐND'!B30</f>
        <v>Hỗ trợ các Hội văn học nghệ thuật địa phương</v>
      </c>
      <c r="C30" s="2593">
        <f t="shared" ref="C30:C32" si="2">SUM(D30:E30)</f>
        <v>500</v>
      </c>
      <c r="D30" s="2717"/>
      <c r="E30" s="2591">
        <f>+'Phụ lục 6-HĐND'!E30</f>
        <v>500</v>
      </c>
    </row>
    <row r="31" spans="1:5" s="47" customFormat="1" ht="39.9" customHeight="1">
      <c r="A31" s="2727">
        <f>+'Phụ lục 6-HĐND'!A31</f>
        <v>2</v>
      </c>
      <c r="B31" s="5163" t="str">
        <f>+'Phụ lục 6-HĐND'!B31</f>
        <v>Hỗ trợ các Hội nhà báo địa phương</v>
      </c>
      <c r="C31" s="2593">
        <f t="shared" si="2"/>
        <v>160</v>
      </c>
      <c r="D31" s="2717"/>
      <c r="E31" s="2591">
        <f>+'Phụ lục 6-HĐND'!E31</f>
        <v>160</v>
      </c>
    </row>
    <row r="32" spans="1:5" s="47" customFormat="1" ht="39.9" customHeight="1">
      <c r="A32" s="2727">
        <f>+'Phụ lục 6-HĐND'!A32</f>
        <v>3</v>
      </c>
      <c r="B32" s="5163" t="str">
        <f>+'Phụ lục 6-HĐND'!B32</f>
        <v>Kinh phí biên chế giáo viên tăng thêm (Sự nghiệp giáo dục - đào tạo)</v>
      </c>
      <c r="C32" s="2593">
        <f t="shared" si="2"/>
        <v>11626</v>
      </c>
      <c r="D32" s="2717"/>
      <c r="E32" s="2591">
        <f>+'Phụ lục 6-HĐND'!E32</f>
        <v>11626</v>
      </c>
    </row>
    <row r="33" spans="1:5" s="47" customFormat="1" ht="39.9" customHeight="1">
      <c r="A33" s="2727">
        <f>+'Phụ lục 6-HĐND'!A33</f>
        <v>4</v>
      </c>
      <c r="B33" s="5163" t="str">
        <f>+'Phụ lục 6-HĐND'!B33</f>
        <v>Kinh phí thực hiện các chính sách an sinh xã hội (1)</v>
      </c>
      <c r="C33" s="2593">
        <f t="shared" ref="C33:C38" si="3">SUM(D33:E33)</f>
        <v>284586</v>
      </c>
      <c r="D33" s="2590">
        <f>'[28]Phụ lục 8-HĐND'!D30</f>
        <v>0</v>
      </c>
      <c r="E33" s="2591">
        <f>+'Phụ lục 6-HĐND'!E33</f>
        <v>284586</v>
      </c>
    </row>
    <row r="34" spans="1:5" s="47" customFormat="1" ht="39.9" customHeight="1">
      <c r="A34" s="2727">
        <f>+'Phụ lục 6-HĐND'!A34</f>
        <v>5</v>
      </c>
      <c r="B34" s="5163" t="str">
        <f>+'Phụ lục 6-HĐND'!B34</f>
        <v>Kinh phí hỗ trợ địa phương sản xuất lúa (Các hoạt động kinh tế)</v>
      </c>
      <c r="C34" s="2593">
        <f t="shared" si="3"/>
        <v>96890</v>
      </c>
      <c r="D34" s="2590">
        <f>'[28]Phụ lục 8-HĐND'!D31</f>
        <v>0</v>
      </c>
      <c r="E34" s="2591">
        <f>+'Phụ lục 6-HĐND'!E34</f>
        <v>96890</v>
      </c>
    </row>
    <row r="35" spans="1:5" s="47" customFormat="1" ht="39.9" customHeight="1">
      <c r="A35" s="2727">
        <f>+'Phụ lục 6-HĐND'!A35</f>
        <v>6</v>
      </c>
      <c r="B35" s="5163" t="str">
        <f>+'Phụ lục 6-HĐND'!B35</f>
        <v>Hỗ trợ doanh nghiệp nhỏ và vừa (Các hoạt động kinh tế)</v>
      </c>
      <c r="C35" s="2593">
        <f t="shared" si="3"/>
        <v>2060</v>
      </c>
      <c r="D35" s="2590">
        <f>'[28]Phụ lục 8-HĐND'!D32</f>
        <v>0</v>
      </c>
      <c r="E35" s="2591">
        <f>+'Phụ lục 6-HĐND'!E35</f>
        <v>2060</v>
      </c>
    </row>
    <row r="36" spans="1:5" s="47" customFormat="1" ht="39.9" customHeight="1">
      <c r="A36" s="2727">
        <f>+'Phụ lục 6-HĐND'!A36</f>
        <v>7</v>
      </c>
      <c r="B36" s="5163" t="str">
        <f>+'Phụ lục 6-HĐND'!B36</f>
        <v>Kinh phí thực hiện Chương trình Phát triển lâm nghiệp bền vững (Các hoạt động kinh tế)</v>
      </c>
      <c r="C36" s="2593">
        <f t="shared" si="3"/>
        <v>3320</v>
      </c>
      <c r="D36" s="2590">
        <f>'[28]Phụ lục 8-HĐND'!D33</f>
        <v>0</v>
      </c>
      <c r="E36" s="2591">
        <f>+'Phụ lục 6-HĐND'!E36</f>
        <v>3320</v>
      </c>
    </row>
    <row r="37" spans="1:5" s="47" customFormat="1" ht="39.9" customHeight="1">
      <c r="A37" s="2727">
        <f>+'Phụ lục 6-HĐND'!A37</f>
        <v>8</v>
      </c>
      <c r="B37" s="5163" t="str">
        <f>+'Phụ lục 6-HĐND'!B37</f>
        <v>Bổ sung kinh phí thực hiện nhiệm vụ đảm bảo trật tự an toàn giao thông (Các hoạt động kinh tế)</v>
      </c>
      <c r="C37" s="2593">
        <f t="shared" si="3"/>
        <v>12797</v>
      </c>
      <c r="D37" s="2590">
        <f>'[28]Phụ lục 8-HĐND'!D34</f>
        <v>0</v>
      </c>
      <c r="E37" s="2591">
        <f>+'Phụ lục 6-HĐND'!E37</f>
        <v>12797</v>
      </c>
    </row>
    <row r="38" spans="1:5" s="47" customFormat="1" ht="39.9" customHeight="1">
      <c r="A38" s="2727">
        <f>+'Phụ lục 6-HĐND'!A38</f>
        <v>9</v>
      </c>
      <c r="B38" s="5163" t="str">
        <f>+'Phụ lục 6-HĐND'!B38</f>
        <v>Phí sử dụng đường bộ (Các hoạt động kinh tế)</v>
      </c>
      <c r="C38" s="2593">
        <f t="shared" si="3"/>
        <v>58654</v>
      </c>
      <c r="D38" s="2590">
        <f>'[28]Phụ lục 8-HĐND'!D35</f>
        <v>0</v>
      </c>
      <c r="E38" s="2591">
        <f>+'Phụ lục 6-HĐND'!E38</f>
        <v>58654</v>
      </c>
    </row>
    <row r="39" spans="1:5" s="47" customFormat="1" ht="18.600000000000001" thickBot="1">
      <c r="A39" s="2728"/>
      <c r="B39" s="5164"/>
      <c r="C39" s="2730">
        <f>SUM(D39:E39)</f>
        <v>0</v>
      </c>
      <c r="D39" s="2799">
        <f>'[28]Phụ lục 8-HĐND'!D36</f>
        <v>0</v>
      </c>
      <c r="E39" s="2731"/>
    </row>
    <row r="40"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5" orientation="portrait" r:id="rId1"/>
  <headerFooter>
    <oddHeader>&amp;R&amp;"Times New Roman,Regular"&amp;12&amp;A</oddHeader>
    <oddFooter>&amp;C&amp;"Times New Roman,Regular"&amp;10&amp;P/&amp;N</oddFooter>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7">
    <tabColor rgb="FFFF66FF"/>
  </sheetPr>
  <dimension ref="A1:I38"/>
  <sheetViews>
    <sheetView topLeftCell="A22" workbookViewId="0">
      <selection activeCell="E27" sqref="E27"/>
    </sheetView>
  </sheetViews>
  <sheetFormatPr defaultColWidth="10.33203125" defaultRowHeight="18"/>
  <cols>
    <col min="1" max="1" width="7.44140625" style="583" customWidth="1"/>
    <col min="2" max="2" width="72.88671875" style="381" customWidth="1"/>
    <col min="3" max="3" width="15.109375" style="381" customWidth="1"/>
    <col min="4" max="5" width="16" style="381" customWidth="1"/>
    <col min="6" max="6" width="19.44140625" style="381" customWidth="1"/>
    <col min="7" max="8" width="10.33203125" style="381"/>
    <col min="9" max="9" width="16" style="381" bestFit="1" customWidth="1"/>
    <col min="10" max="16384" width="10.33203125" style="381"/>
  </cols>
  <sheetData>
    <row r="1" spans="1:7" s="386" customFormat="1" ht="17.399999999999999">
      <c r="A1" s="6109" t="s">
        <v>3269</v>
      </c>
      <c r="B1" s="6109"/>
      <c r="C1" s="6109"/>
      <c r="D1" s="6109"/>
      <c r="E1" s="6109"/>
      <c r="F1" s="6109"/>
    </row>
    <row r="2" spans="1:7" s="386" customFormat="1">
      <c r="A2" s="6510" t="str">
        <f>+'Phụ lục 4-KQPB'!A2:E2</f>
        <v>(Kèm theo Báo cáo số            /BC-UBND ngày      /12/2024 của Ủy ban nhân dân tỉnh Đồng Tháp)</v>
      </c>
      <c r="B2" s="6497"/>
      <c r="C2" s="6497"/>
      <c r="D2" s="6497"/>
      <c r="E2" s="6497"/>
      <c r="F2" s="6497"/>
    </row>
    <row r="3" spans="1:7">
      <c r="B3" s="6041"/>
      <c r="C3" s="6041"/>
      <c r="D3" s="6041"/>
      <c r="E3" s="6041"/>
    </row>
    <row r="5" spans="1:7" s="588" customFormat="1" ht="17.399999999999999">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23" t="str">
        <f>'[28]Phụ lục 2-HĐND'!B20</f>
        <v>Chi đầu tư xây dựng cơ bản</v>
      </c>
      <c r="C8" s="6623"/>
      <c r="D8" s="6623"/>
      <c r="E8" s="2805">
        <f>+'Phụ lục 1-KQPB'!C29</f>
        <v>966890</v>
      </c>
      <c r="F8" s="381" t="s">
        <v>432</v>
      </c>
    </row>
    <row r="9" spans="1:7" s="386" customFormat="1">
      <c r="A9" s="583">
        <v>2</v>
      </c>
      <c r="B9" s="6623" t="str">
        <f>'[28]Phụ lục 2-HĐND'!B21</f>
        <v>Chi đầu tư từ nguồn thu tiền sử dụng đất</v>
      </c>
      <c r="C9" s="6623"/>
      <c r="D9" s="6623"/>
      <c r="E9" s="2805">
        <f>+'Phụ lục 1-KQPB'!C30</f>
        <v>1600000</v>
      </c>
      <c r="F9" s="381" t="s">
        <v>432</v>
      </c>
    </row>
    <row r="10" spans="1:7" s="386" customFormat="1">
      <c r="A10" s="583">
        <v>3</v>
      </c>
      <c r="B10" s="6623" t="str">
        <f>'[28]Phụ lục 2-HĐND'!B22</f>
        <v>Chi đầu tư từ nguồn thu xổ số kiến thiết</v>
      </c>
      <c r="C10" s="6623"/>
      <c r="D10" s="6623"/>
      <c r="E10" s="2805">
        <f>+'Phụ lục 1-KQPB'!C32</f>
        <v>2100000</v>
      </c>
      <c r="F10" s="381" t="s">
        <v>432</v>
      </c>
    </row>
    <row r="11" spans="1:7" s="386" customFormat="1">
      <c r="A11" s="641"/>
      <c r="B11" s="2806" t="s">
        <v>234</v>
      </c>
      <c r="D11" s="2804"/>
      <c r="F11" s="381"/>
    </row>
    <row r="12" spans="1:7" s="873" customFormat="1">
      <c r="A12" s="680"/>
      <c r="B12" s="2807" t="s">
        <v>1734</v>
      </c>
      <c r="D12" s="2808"/>
      <c r="E12" s="2809">
        <v>812200</v>
      </c>
      <c r="F12" s="873" t="s">
        <v>432</v>
      </c>
      <c r="G12" s="2810"/>
    </row>
    <row r="13" spans="1:7" s="873" customFormat="1">
      <c r="A13" s="680"/>
      <c r="B13" s="2807" t="s">
        <v>1735</v>
      </c>
      <c r="D13" s="2808"/>
      <c r="E13" s="2809">
        <v>130000</v>
      </c>
      <c r="F13" s="873" t="s">
        <v>432</v>
      </c>
      <c r="G13" s="2811"/>
    </row>
    <row r="14" spans="1:7" s="617" customFormat="1">
      <c r="A14" s="2510">
        <v>4</v>
      </c>
      <c r="B14" s="6624" t="str">
        <f>'[28]Phụ lục 2-HĐND'!B23</f>
        <v>Chi đầu tư từ nguồn thu cổ phần hóa, thoái vốn doanh nghiệp nhà nước địa phương quản lý;…</v>
      </c>
      <c r="C14" s="6624"/>
      <c r="D14" s="6624"/>
      <c r="E14" s="2812">
        <f>+'Phụ lục 1-KQPB'!C34</f>
        <v>0</v>
      </c>
      <c r="F14" s="596" t="s">
        <v>432</v>
      </c>
      <c r="G14" s="2813"/>
    </row>
    <row r="15" spans="1:7" s="617" customFormat="1">
      <c r="A15" s="2510">
        <v>5</v>
      </c>
      <c r="B15" s="6624" t="str">
        <f>'[28]Phụ lục 2-HĐND'!B24</f>
        <v>Chi đầu tư phát triển khác (Ủy thác qua NH Chính sách xã hội chi nhánh tỉnh Đồng Tháp)</v>
      </c>
      <c r="C15" s="6624"/>
      <c r="D15" s="6624"/>
      <c r="E15" s="2812">
        <f>+'Phụ lục 1-KQPB'!C35</f>
        <v>0</v>
      </c>
      <c r="F15" s="596" t="s">
        <v>432</v>
      </c>
      <c r="G15" s="2813"/>
    </row>
    <row r="16" spans="1:7" s="386" customFormat="1" ht="17.399999999999999">
      <c r="A16" s="2800" t="s">
        <v>37</v>
      </c>
      <c r="B16" s="588" t="s">
        <v>1736</v>
      </c>
      <c r="F16" s="660"/>
    </row>
    <row r="17" spans="1:9" ht="18.600000000000001" thickBot="1">
      <c r="E17" s="6575" t="s">
        <v>638</v>
      </c>
      <c r="F17" s="6575"/>
    </row>
    <row r="18" spans="1:9" s="386" customFormat="1" thickTop="1">
      <c r="A18" s="6561" t="s">
        <v>136</v>
      </c>
      <c r="B18" s="6519" t="s">
        <v>248</v>
      </c>
      <c r="C18" s="6519" t="s">
        <v>3270</v>
      </c>
      <c r="D18" s="6519" t="s">
        <v>408</v>
      </c>
      <c r="E18" s="6519"/>
      <c r="F18" s="6576" t="s">
        <v>861</v>
      </c>
    </row>
    <row r="19" spans="1:9" s="386" customFormat="1" ht="34.799999999999997">
      <c r="A19" s="6562"/>
      <c r="B19" s="6044"/>
      <c r="C19" s="6044"/>
      <c r="D19" s="430" t="s">
        <v>1737</v>
      </c>
      <c r="E19" s="430" t="s">
        <v>1738</v>
      </c>
      <c r="F19" s="6622"/>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0" customFormat="1" ht="36">
      <c r="A25" s="52">
        <v>2</v>
      </c>
      <c r="B25" s="2779" t="s">
        <v>1742</v>
      </c>
      <c r="C25" s="5889">
        <f>SUM(C27:C28)</f>
        <v>165900</v>
      </c>
      <c r="D25" s="5889">
        <f>SUM(D27:D28)</f>
        <v>0</v>
      </c>
      <c r="E25" s="5889">
        <f>SUM(E27:E28)</f>
        <v>165900</v>
      </c>
      <c r="F25" s="2835" t="s">
        <v>1744</v>
      </c>
    </row>
    <row r="26" spans="1:9">
      <c r="A26" s="2822"/>
      <c r="B26" s="2823" t="s">
        <v>822</v>
      </c>
      <c r="C26" s="2824"/>
      <c r="D26" s="2824"/>
      <c r="E26" s="2824"/>
      <c r="F26" s="2825"/>
    </row>
    <row r="27" spans="1:9">
      <c r="A27" s="593" t="s">
        <v>99</v>
      </c>
      <c r="B27" s="2823" t="s">
        <v>3228</v>
      </c>
      <c r="C27" s="2829">
        <v>165900</v>
      </c>
      <c r="D27" s="2824">
        <v>0</v>
      </c>
      <c r="E27" s="2829">
        <f>+'Phụ lục 3-KQPB'!D66</f>
        <v>165900</v>
      </c>
      <c r="F27" s="2830" t="s">
        <v>1744</v>
      </c>
      <c r="H27" s="2420"/>
      <c r="I27" s="2831">
        <v>225040</v>
      </c>
    </row>
    <row r="28" spans="1:9">
      <c r="A28" s="2822" t="s">
        <v>1745</v>
      </c>
      <c r="B28" s="2823" t="s">
        <v>3229</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67500+20800</f>
        <v>88300</v>
      </c>
      <c r="D31" s="2827">
        <f>'[28]Phụ lục số 1'!AH60</f>
        <v>0</v>
      </c>
      <c r="E31" s="2827">
        <f>0+20800</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9">
      <c r="A33" s="2822"/>
      <c r="B33" s="2823" t="s">
        <v>234</v>
      </c>
      <c r="C33" s="2824"/>
      <c r="D33" s="2824"/>
      <c r="E33" s="2824"/>
      <c r="F33" s="2825"/>
    </row>
    <row r="34" spans="1:9" ht="36">
      <c r="A34" s="2822"/>
      <c r="B34" s="2826" t="s">
        <v>1741</v>
      </c>
      <c r="C34" s="2827">
        <f>0</f>
        <v>0</v>
      </c>
      <c r="D34" s="2827">
        <v>0</v>
      </c>
      <c r="E34" s="2827">
        <f>0</f>
        <v>0</v>
      </c>
      <c r="F34" s="2828"/>
      <c r="I34" s="2315">
        <f>+C20-E20</f>
        <v>67500</v>
      </c>
    </row>
    <row r="35" spans="1:9" s="386" customFormat="1" thickBot="1">
      <c r="A35" s="2837">
        <v>5</v>
      </c>
      <c r="B35" s="2838" t="s">
        <v>337</v>
      </c>
      <c r="C35" s="2839">
        <v>0</v>
      </c>
      <c r="D35" s="2839">
        <v>0</v>
      </c>
      <c r="E35" s="2839">
        <v>0</v>
      </c>
      <c r="F35" s="2840"/>
    </row>
    <row r="36" spans="1:9" ht="18.600000000000001" thickTop="1"/>
    <row r="38" spans="1:9">
      <c r="E38" s="2315">
        <f>C31-E31</f>
        <v>67500</v>
      </c>
    </row>
  </sheetData>
  <mergeCells count="14">
    <mergeCell ref="B10:D10"/>
    <mergeCell ref="A1:F1"/>
    <mergeCell ref="A2:F2"/>
    <mergeCell ref="B3:E3"/>
    <mergeCell ref="B8:D8"/>
    <mergeCell ref="B9:D9"/>
    <mergeCell ref="B14:D14"/>
    <mergeCell ref="B15:D15"/>
    <mergeCell ref="E17:F17"/>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5:L7"/>
  <sheetViews>
    <sheetView workbookViewId="0">
      <selection activeCell="H22" sqref="H22"/>
    </sheetView>
  </sheetViews>
  <sheetFormatPr defaultColWidth="9.109375" defaultRowHeight="15.6"/>
  <cols>
    <col min="1" max="1" width="9.109375" style="204"/>
    <col min="2" max="2" width="60.88671875" style="204" customWidth="1"/>
    <col min="3" max="3" width="14.33203125" style="204" customWidth="1"/>
    <col min="4" max="11" width="12.33203125" style="204" customWidth="1"/>
    <col min="12" max="12" width="52.109375" style="204" customWidth="1"/>
    <col min="13" max="16384" width="9.109375" style="204"/>
  </cols>
  <sheetData>
    <row r="5" spans="1:12">
      <c r="A5" s="6448" t="s">
        <v>136</v>
      </c>
      <c r="B5" s="6448" t="s">
        <v>855</v>
      </c>
      <c r="C5" s="6448" t="s">
        <v>857</v>
      </c>
      <c r="D5" s="6064" t="s">
        <v>860</v>
      </c>
      <c r="E5" s="6448" t="s">
        <v>859</v>
      </c>
      <c r="F5" s="6448"/>
      <c r="G5" s="6448"/>
      <c r="H5" s="6448"/>
      <c r="I5" s="6448"/>
      <c r="J5" s="6448"/>
      <c r="K5" s="6448"/>
      <c r="L5" s="6448" t="s">
        <v>861</v>
      </c>
    </row>
    <row r="6" spans="1:12" s="738" customFormat="1" ht="58.5" customHeight="1">
      <c r="A6" s="6448"/>
      <c r="B6" s="6448"/>
      <c r="C6" s="6448"/>
      <c r="D6" s="6064"/>
      <c r="E6" s="852" t="s">
        <v>88</v>
      </c>
      <c r="F6" s="852" t="s">
        <v>89</v>
      </c>
      <c r="G6" s="852" t="s">
        <v>90</v>
      </c>
      <c r="H6" s="852" t="s">
        <v>91</v>
      </c>
      <c r="I6" s="852" t="s">
        <v>92</v>
      </c>
      <c r="J6" s="852" t="s">
        <v>93</v>
      </c>
      <c r="K6" s="852" t="s">
        <v>94</v>
      </c>
      <c r="L6" s="6448"/>
    </row>
    <row r="7" spans="1:12" s="851" customFormat="1" ht="107.25" customHeight="1">
      <c r="A7" s="853"/>
      <c r="B7" s="849" t="s">
        <v>856</v>
      </c>
      <c r="C7" s="849" t="s">
        <v>858</v>
      </c>
      <c r="D7" s="854">
        <f>1951.505</f>
        <v>1951.5050000000001</v>
      </c>
      <c r="E7" s="853"/>
      <c r="F7" s="853"/>
      <c r="G7" s="853"/>
      <c r="H7" s="853"/>
      <c r="I7" s="853"/>
      <c r="J7" s="853"/>
      <c r="K7" s="853"/>
      <c r="L7" s="855" t="s">
        <v>862</v>
      </c>
    </row>
  </sheetData>
  <mergeCells count="6">
    <mergeCell ref="L5:L6"/>
    <mergeCell ref="D5:D6"/>
    <mergeCell ref="C5:C6"/>
    <mergeCell ref="B5:B6"/>
    <mergeCell ref="A5:A6"/>
    <mergeCell ref="E5:K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sheetPr>
  <dimension ref="A1:AG26"/>
  <sheetViews>
    <sheetView workbookViewId="0">
      <selection activeCell="A5" sqref="A5:A7"/>
    </sheetView>
  </sheetViews>
  <sheetFormatPr defaultColWidth="10.33203125" defaultRowHeight="15.6"/>
  <cols>
    <col min="1" max="1" width="4.88671875" style="1281" customWidth="1"/>
    <col min="2" max="2" width="21.5546875" style="1280" customWidth="1"/>
    <col min="3" max="3" width="9" style="1280" customWidth="1"/>
    <col min="4" max="4" width="8.33203125" style="1280" customWidth="1"/>
    <col min="5" max="5" width="10.33203125" style="1280" hidden="1" customWidth="1"/>
    <col min="6" max="6" width="9" style="1280" customWidth="1"/>
    <col min="7" max="7" width="10" style="1280" customWidth="1"/>
    <col min="8" max="8" width="10.6640625" style="1280" customWidth="1"/>
    <col min="9" max="9" width="8.88671875" style="1281" customWidth="1"/>
    <col min="10" max="10" width="7.5546875" style="1282" customWidth="1"/>
    <col min="11" max="11" width="8.6640625" style="1281" customWidth="1"/>
    <col min="12" max="12" width="7.5546875" style="1282" customWidth="1"/>
    <col min="13" max="13" width="9.33203125" style="1281" customWidth="1"/>
    <col min="14" max="14" width="8.6640625" style="1281" customWidth="1"/>
    <col min="15" max="15" width="9" style="1281" customWidth="1"/>
    <col min="16" max="16" width="8.44140625" style="1280" customWidth="1"/>
    <col min="17" max="17" width="6.44140625" style="1280" customWidth="1"/>
    <col min="18" max="18" width="7.88671875" style="1280" customWidth="1"/>
    <col min="19" max="19" width="8.44140625" style="1280" customWidth="1"/>
    <col min="20" max="20" width="10.33203125" style="1280" hidden="1" customWidth="1"/>
    <col min="21" max="22" width="8.109375" style="1280" customWidth="1"/>
    <col min="23" max="23" width="9.88671875" style="1280" customWidth="1"/>
    <col min="24" max="24" width="8.88671875" style="1281" customWidth="1"/>
    <col min="25" max="25" width="7.5546875" style="1282" customWidth="1"/>
    <col min="26" max="26" width="8.6640625" style="1281" customWidth="1"/>
    <col min="27" max="27" width="7.5546875" style="1282" customWidth="1"/>
    <col min="28" max="28" width="9.5546875" style="1281" customWidth="1"/>
    <col min="29" max="29" width="9.33203125" style="1281" customWidth="1"/>
    <col min="30" max="30" width="9" style="1281" customWidth="1"/>
    <col min="31" max="31" width="0" style="1280" hidden="1" customWidth="1"/>
    <col min="32" max="32" width="12.44140625" style="1280" hidden="1" customWidth="1"/>
    <col min="33" max="16384" width="10.33203125" style="1280"/>
  </cols>
  <sheetData>
    <row r="1" spans="1:33">
      <c r="A1" s="1232" t="str">
        <f>'[4]1l'!A1:B1</f>
        <v>ỦY BAN NHÂN DÂN TỈNH ĐỒNG THÁP</v>
      </c>
      <c r="B1" s="1232"/>
      <c r="N1" s="6173"/>
      <c r="O1" s="6173"/>
      <c r="P1" s="6173"/>
      <c r="Q1" s="6173"/>
      <c r="AC1" s="6173"/>
      <c r="AD1" s="6173"/>
      <c r="AE1" s="6173"/>
      <c r="AF1" s="6173"/>
    </row>
    <row r="2" spans="1:33" s="1283" customFormat="1">
      <c r="A2" s="6174" t="s">
        <v>1348</v>
      </c>
      <c r="B2" s="6174"/>
      <c r="C2" s="6174"/>
      <c r="D2" s="6174"/>
      <c r="E2" s="6174"/>
      <c r="F2" s="6174"/>
      <c r="G2" s="6174"/>
      <c r="H2" s="6174"/>
      <c r="I2" s="6174"/>
      <c r="J2" s="6174"/>
      <c r="K2" s="6174"/>
      <c r="L2" s="6174"/>
      <c r="M2" s="6174"/>
      <c r="N2" s="6174"/>
      <c r="O2" s="6174"/>
      <c r="P2" s="6174"/>
      <c r="Q2" s="6174"/>
      <c r="R2" s="6174"/>
      <c r="S2" s="6174"/>
      <c r="T2" s="6174"/>
      <c r="U2" s="6174"/>
      <c r="V2" s="6174"/>
      <c r="W2" s="6174"/>
      <c r="X2" s="6174"/>
      <c r="Y2" s="6174"/>
      <c r="Z2" s="6174"/>
      <c r="AA2" s="6174"/>
      <c r="AB2" s="6174"/>
      <c r="AC2" s="6174"/>
      <c r="AD2" s="6174"/>
      <c r="AE2" s="6174"/>
      <c r="AF2" s="6174"/>
    </row>
    <row r="3" spans="1:33" s="1283" customFormat="1">
      <c r="A3" s="6174"/>
      <c r="B3" s="6174"/>
      <c r="C3" s="6174"/>
      <c r="D3" s="6174"/>
      <c r="E3" s="6174"/>
      <c r="F3" s="6174"/>
      <c r="G3" s="6174"/>
      <c r="H3" s="6174"/>
      <c r="I3" s="6174"/>
      <c r="J3" s="6174"/>
      <c r="K3" s="6174"/>
      <c r="L3" s="6174"/>
      <c r="M3" s="6174"/>
      <c r="N3" s="6174"/>
      <c r="O3" s="6174"/>
      <c r="P3" s="6174"/>
      <c r="Q3" s="6174"/>
      <c r="R3" s="6174"/>
      <c r="S3" s="6174"/>
      <c r="T3" s="6174"/>
      <c r="U3" s="6174"/>
      <c r="V3" s="6174"/>
      <c r="W3" s="6174"/>
      <c r="X3" s="6174"/>
      <c r="Y3" s="6174"/>
      <c r="Z3" s="6174"/>
      <c r="AA3" s="6174"/>
      <c r="AB3" s="6174"/>
      <c r="AC3" s="6174"/>
      <c r="AD3" s="6174"/>
      <c r="AE3" s="1295"/>
      <c r="AF3" s="1295"/>
    </row>
    <row r="4" spans="1:33" s="1283" customFormat="1">
      <c r="A4" s="1359"/>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6177" t="s">
        <v>1121</v>
      </c>
      <c r="AC4" s="6177"/>
      <c r="AD4" s="6177"/>
      <c r="AE4" s="1359"/>
      <c r="AF4" s="1359"/>
    </row>
    <row r="5" spans="1:33">
      <c r="A5" s="6073" t="s">
        <v>247</v>
      </c>
      <c r="B5" s="6171" t="s">
        <v>1349</v>
      </c>
      <c r="C5" s="6175" t="s">
        <v>985</v>
      </c>
      <c r="D5" s="6175"/>
      <c r="E5" s="6175"/>
      <c r="F5" s="6175"/>
      <c r="G5" s="6175"/>
      <c r="H5" s="6175"/>
      <c r="I5" s="6175"/>
      <c r="J5" s="6175"/>
      <c r="K5" s="6175"/>
      <c r="L5" s="6175"/>
      <c r="M5" s="6175"/>
      <c r="N5" s="6175"/>
      <c r="O5" s="6175"/>
      <c r="P5" s="6175"/>
      <c r="Q5" s="6175"/>
      <c r="R5" s="6176" t="s">
        <v>1122</v>
      </c>
      <c r="S5" s="6176"/>
      <c r="T5" s="6176"/>
      <c r="U5" s="6176"/>
      <c r="V5" s="6176"/>
      <c r="W5" s="6176"/>
      <c r="X5" s="6176"/>
      <c r="Y5" s="6176"/>
      <c r="Z5" s="6176"/>
      <c r="AA5" s="6176"/>
      <c r="AB5" s="6176"/>
      <c r="AC5" s="6176"/>
      <c r="AD5" s="6176"/>
      <c r="AE5" s="6176"/>
      <c r="AF5" s="6176"/>
    </row>
    <row r="6" spans="1:33" s="1283" customFormat="1" ht="15.75" customHeight="1">
      <c r="A6" s="6073"/>
      <c r="B6" s="6171"/>
      <c r="C6" s="6171" t="s">
        <v>1350</v>
      </c>
      <c r="D6" s="6171" t="s">
        <v>1351</v>
      </c>
      <c r="E6" s="6172" t="s">
        <v>1352</v>
      </c>
      <c r="F6" s="6171" t="s">
        <v>1353</v>
      </c>
      <c r="G6" s="6171"/>
      <c r="H6" s="6171"/>
      <c r="I6" s="6171" t="s">
        <v>1354</v>
      </c>
      <c r="J6" s="6171" t="s">
        <v>1355</v>
      </c>
      <c r="K6" s="6171" t="s">
        <v>1354</v>
      </c>
      <c r="L6" s="6171" t="s">
        <v>1355</v>
      </c>
      <c r="M6" s="6171" t="s">
        <v>1124</v>
      </c>
      <c r="N6" s="6171" t="s">
        <v>186</v>
      </c>
      <c r="O6" s="6171"/>
      <c r="P6" s="6171" t="s">
        <v>996</v>
      </c>
      <c r="Q6" s="6171" t="s">
        <v>1125</v>
      </c>
      <c r="R6" s="6171" t="s">
        <v>1350</v>
      </c>
      <c r="S6" s="6171" t="s">
        <v>1351</v>
      </c>
      <c r="T6" s="6172" t="s">
        <v>1352</v>
      </c>
      <c r="U6" s="6171" t="s">
        <v>1353</v>
      </c>
      <c r="V6" s="6171"/>
      <c r="W6" s="6171"/>
      <c r="X6" s="6171" t="s">
        <v>1354</v>
      </c>
      <c r="Y6" s="6171" t="s">
        <v>1355</v>
      </c>
      <c r="Z6" s="6171" t="s">
        <v>1354</v>
      </c>
      <c r="AA6" s="6171" t="s">
        <v>1355</v>
      </c>
      <c r="AB6" s="6171" t="s">
        <v>1124</v>
      </c>
      <c r="AC6" s="6171" t="s">
        <v>186</v>
      </c>
      <c r="AD6" s="6171"/>
      <c r="AE6" s="6171" t="s">
        <v>1165</v>
      </c>
      <c r="AF6" s="6171" t="s">
        <v>1125</v>
      </c>
    </row>
    <row r="7" spans="1:33" s="1283" customFormat="1" ht="333" customHeight="1">
      <c r="A7" s="6073"/>
      <c r="B7" s="6171"/>
      <c r="C7" s="6171"/>
      <c r="D7" s="6171"/>
      <c r="E7" s="6172"/>
      <c r="F7" s="1284" t="s">
        <v>387</v>
      </c>
      <c r="G7" s="1284" t="s">
        <v>1356</v>
      </c>
      <c r="H7" s="1284" t="s">
        <v>1357</v>
      </c>
      <c r="I7" s="6171"/>
      <c r="J7" s="6171"/>
      <c r="K7" s="6171"/>
      <c r="L7" s="6171"/>
      <c r="M7" s="6171"/>
      <c r="N7" s="1284" t="s">
        <v>1358</v>
      </c>
      <c r="O7" s="1284" t="s">
        <v>1353</v>
      </c>
      <c r="P7" s="6171"/>
      <c r="Q7" s="6171"/>
      <c r="R7" s="6171"/>
      <c r="S7" s="6171"/>
      <c r="T7" s="6172"/>
      <c r="U7" s="1284" t="s">
        <v>387</v>
      </c>
      <c r="V7" s="1284" t="s">
        <v>1356</v>
      </c>
      <c r="W7" s="1284" t="s">
        <v>1357</v>
      </c>
      <c r="X7" s="6171"/>
      <c r="Y7" s="6171"/>
      <c r="Z7" s="6171"/>
      <c r="AA7" s="6171"/>
      <c r="AB7" s="6171"/>
      <c r="AC7" s="1284" t="s">
        <v>1358</v>
      </c>
      <c r="AD7" s="1284" t="s">
        <v>1353</v>
      </c>
      <c r="AE7" s="6171"/>
      <c r="AF7" s="6171"/>
    </row>
    <row r="8" spans="1:33">
      <c r="A8" s="1345" t="s">
        <v>1</v>
      </c>
      <c r="B8" s="1345" t="s">
        <v>37</v>
      </c>
      <c r="C8" s="1345" t="s">
        <v>1359</v>
      </c>
      <c r="D8" s="1345">
        <v>2</v>
      </c>
      <c r="E8" s="1346"/>
      <c r="F8" s="1345" t="s">
        <v>1360</v>
      </c>
      <c r="G8" s="1345">
        <v>4</v>
      </c>
      <c r="H8" s="1345">
        <v>5</v>
      </c>
      <c r="I8" s="1345">
        <v>6</v>
      </c>
      <c r="J8" s="1347">
        <v>7</v>
      </c>
      <c r="K8" s="1345">
        <v>8</v>
      </c>
      <c r="L8" s="1347">
        <v>9</v>
      </c>
      <c r="M8" s="1348" t="s">
        <v>1361</v>
      </c>
      <c r="N8" s="1348">
        <v>11</v>
      </c>
      <c r="O8" s="1348">
        <v>12</v>
      </c>
      <c r="P8" s="1347">
        <v>13</v>
      </c>
      <c r="Q8" s="1347" t="s">
        <v>1362</v>
      </c>
      <c r="R8" s="1345" t="s">
        <v>1359</v>
      </c>
      <c r="S8" s="1345">
        <v>2</v>
      </c>
      <c r="T8" s="1346"/>
      <c r="U8" s="1345" t="s">
        <v>1360</v>
      </c>
      <c r="V8" s="1345">
        <v>4</v>
      </c>
      <c r="W8" s="1345">
        <v>5</v>
      </c>
      <c r="X8" s="1345">
        <v>6</v>
      </c>
      <c r="Y8" s="1347">
        <v>7</v>
      </c>
      <c r="Z8" s="1345">
        <v>8</v>
      </c>
      <c r="AA8" s="1347">
        <v>9</v>
      </c>
      <c r="AB8" s="1348" t="s">
        <v>1361</v>
      </c>
      <c r="AC8" s="1348">
        <v>11</v>
      </c>
      <c r="AD8" s="1348">
        <v>12</v>
      </c>
      <c r="AE8" s="1349">
        <v>13</v>
      </c>
      <c r="AF8" s="1349" t="s">
        <v>1362</v>
      </c>
    </row>
    <row r="9" spans="1:33" s="1283" customFormat="1" ht="24.75" customHeight="1">
      <c r="A9" s="1285"/>
      <c r="B9" s="1285" t="s">
        <v>387</v>
      </c>
      <c r="C9" s="1350">
        <f>SUM(C10,C11,C12,C13,C14,C15,C16,C17,C18,C19,C20,C21)</f>
        <v>9649</v>
      </c>
      <c r="D9" s="1350">
        <f t="shared" ref="D9:AF9" si="0">SUM(D10,D11,D12,D13,D14,D15,D16,D17,D18,D19,D20,D21)</f>
        <v>7535</v>
      </c>
      <c r="E9" s="1350">
        <f t="shared" si="0"/>
        <v>0</v>
      </c>
      <c r="F9" s="1350">
        <f t="shared" si="0"/>
        <v>2114</v>
      </c>
      <c r="G9" s="1350">
        <f t="shared" si="0"/>
        <v>2114</v>
      </c>
      <c r="H9" s="1350">
        <f t="shared" si="0"/>
        <v>0</v>
      </c>
      <c r="I9" s="1350">
        <f t="shared" si="0"/>
        <v>702000</v>
      </c>
      <c r="J9" s="1350">
        <f t="shared" si="0"/>
        <v>144</v>
      </c>
      <c r="K9" s="1350">
        <f t="shared" si="0"/>
        <v>702000</v>
      </c>
      <c r="L9" s="1350">
        <f t="shared" si="0"/>
        <v>144</v>
      </c>
      <c r="M9" s="1350">
        <f t="shared" si="0"/>
        <v>8257.6260000000002</v>
      </c>
      <c r="N9" s="1350">
        <f t="shared" si="0"/>
        <v>6773.598</v>
      </c>
      <c r="O9" s="1350">
        <f t="shared" si="0"/>
        <v>1484.028</v>
      </c>
      <c r="P9" s="1350">
        <v>12597.363503999999</v>
      </c>
      <c r="Q9" s="1350">
        <f>M9-P9</f>
        <v>-4339.7375039999988</v>
      </c>
      <c r="R9" s="1350">
        <f t="shared" si="0"/>
        <v>9005</v>
      </c>
      <c r="S9" s="1350">
        <f t="shared" si="0"/>
        <v>6878</v>
      </c>
      <c r="T9" s="1350">
        <f t="shared" si="0"/>
        <v>0</v>
      </c>
      <c r="U9" s="1350">
        <f t="shared" si="0"/>
        <v>2127</v>
      </c>
      <c r="V9" s="1350">
        <f t="shared" si="0"/>
        <v>2127</v>
      </c>
      <c r="W9" s="1350">
        <f t="shared" si="0"/>
        <v>0</v>
      </c>
      <c r="X9" s="1350">
        <f t="shared" si="0"/>
        <v>702000</v>
      </c>
      <c r="Y9" s="1350">
        <f t="shared" si="0"/>
        <v>144</v>
      </c>
      <c r="Z9" s="1350">
        <f t="shared" si="0"/>
        <v>702000</v>
      </c>
      <c r="AA9" s="1350">
        <f t="shared" si="0"/>
        <v>144</v>
      </c>
      <c r="AB9" s="1350">
        <f t="shared" si="0"/>
        <v>6321.51</v>
      </c>
      <c r="AC9" s="1350">
        <f t="shared" si="0"/>
        <v>4828.3559999999998</v>
      </c>
      <c r="AD9" s="1350">
        <f t="shared" si="0"/>
        <v>1493.1539999999998</v>
      </c>
      <c r="AE9" s="1351">
        <f t="shared" si="0"/>
        <v>0</v>
      </c>
      <c r="AF9" s="1351">
        <f t="shared" si="0"/>
        <v>6321.51</v>
      </c>
      <c r="AG9" s="1286"/>
    </row>
    <row r="10" spans="1:33" s="1289" customFormat="1" ht="24.75" customHeight="1">
      <c r="A10" s="1287">
        <v>1</v>
      </c>
      <c r="B10" s="1352" t="s">
        <v>1135</v>
      </c>
      <c r="C10" s="1353">
        <f>D10+F10</f>
        <v>990</v>
      </c>
      <c r="D10" s="1353">
        <v>889</v>
      </c>
      <c r="E10" s="1354"/>
      <c r="F10" s="1353">
        <f>G10+H10</f>
        <v>101</v>
      </c>
      <c r="G10" s="1353">
        <v>101</v>
      </c>
      <c r="H10" s="1353"/>
      <c r="I10" s="1353">
        <v>58500</v>
      </c>
      <c r="J10" s="1353">
        <v>12</v>
      </c>
      <c r="K10" s="1353">
        <v>58500</v>
      </c>
      <c r="L10" s="1353">
        <v>12</v>
      </c>
      <c r="M10" s="1353">
        <f>N10+O10</f>
        <v>765.88200000000006</v>
      </c>
      <c r="N10" s="1353">
        <f>C10*I10*J10/1000000</f>
        <v>694.98</v>
      </c>
      <c r="O10" s="1353">
        <f>F10*K10*L10/1000000</f>
        <v>70.902000000000001</v>
      </c>
      <c r="P10" s="1341"/>
      <c r="Q10" s="1341"/>
      <c r="R10" s="1353">
        <f>S10+U10</f>
        <v>946</v>
      </c>
      <c r="S10" s="1353">
        <v>845</v>
      </c>
      <c r="T10" s="1354"/>
      <c r="U10" s="1353">
        <f>V10+W10</f>
        <v>101</v>
      </c>
      <c r="V10" s="1353">
        <v>101</v>
      </c>
      <c r="W10" s="1353"/>
      <c r="X10" s="1353">
        <v>58500</v>
      </c>
      <c r="Y10" s="1353">
        <v>12</v>
      </c>
      <c r="Z10" s="1353">
        <v>58500</v>
      </c>
      <c r="AA10" s="1353">
        <v>12</v>
      </c>
      <c r="AB10" s="1353">
        <f>AC10+AD10</f>
        <v>664.0920000000001</v>
      </c>
      <c r="AC10" s="1353">
        <f>S10*X10*Y10/1000000</f>
        <v>593.19000000000005</v>
      </c>
      <c r="AD10" s="1353">
        <f>U10*Z10*AA10/1000000</f>
        <v>70.902000000000001</v>
      </c>
      <c r="AE10" s="1288"/>
      <c r="AF10" s="1288">
        <f>AB10-AE10</f>
        <v>664.0920000000001</v>
      </c>
    </row>
    <row r="11" spans="1:33" s="1289" customFormat="1" ht="24.75" customHeight="1">
      <c r="A11" s="1287">
        <v>2</v>
      </c>
      <c r="B11" s="1352" t="s">
        <v>1136</v>
      </c>
      <c r="C11" s="1353">
        <f t="shared" ref="C11:C21" si="1">D11+F11</f>
        <v>491</v>
      </c>
      <c r="D11" s="1353">
        <v>491</v>
      </c>
      <c r="E11" s="1354"/>
      <c r="F11" s="1353">
        <f t="shared" ref="F11:F21" si="2">G11+H11</f>
        <v>0</v>
      </c>
      <c r="G11" s="1353"/>
      <c r="H11" s="1353"/>
      <c r="I11" s="1353">
        <v>58500</v>
      </c>
      <c r="J11" s="1353">
        <v>12</v>
      </c>
      <c r="K11" s="1353">
        <v>58500</v>
      </c>
      <c r="L11" s="1353">
        <v>12</v>
      </c>
      <c r="M11" s="1353">
        <f t="shared" ref="M11:M21" si="3">N11+O11</f>
        <v>344.68200000000002</v>
      </c>
      <c r="N11" s="1353">
        <f t="shared" ref="N11:N21" si="4">C11*I11*J11/1000000</f>
        <v>344.68200000000002</v>
      </c>
      <c r="O11" s="1353">
        <f t="shared" ref="O11:O21" si="5">F11*K11*L11/1000000</f>
        <v>0</v>
      </c>
      <c r="P11" s="1341"/>
      <c r="Q11" s="1341"/>
      <c r="R11" s="1353">
        <f t="shared" ref="R11:R21" si="6">S11+U11</f>
        <v>467</v>
      </c>
      <c r="S11" s="1353">
        <v>467</v>
      </c>
      <c r="T11" s="1354"/>
      <c r="U11" s="1353">
        <f t="shared" ref="U11:U21" si="7">V11+W11</f>
        <v>0</v>
      </c>
      <c r="V11" s="1353"/>
      <c r="W11" s="1353"/>
      <c r="X11" s="1353">
        <v>58500</v>
      </c>
      <c r="Y11" s="1353">
        <v>12</v>
      </c>
      <c r="Z11" s="1353">
        <v>58500</v>
      </c>
      <c r="AA11" s="1353">
        <v>12</v>
      </c>
      <c r="AB11" s="1353">
        <f t="shared" ref="AB11:AB21" si="8">AC11+AD11</f>
        <v>327.834</v>
      </c>
      <c r="AC11" s="1353">
        <f t="shared" ref="AC11:AC21" si="9">S11*X11*Y11/1000000</f>
        <v>327.834</v>
      </c>
      <c r="AD11" s="1353">
        <f t="shared" ref="AD11:AD21" si="10">U11*Z11*AA11/1000000</f>
        <v>0</v>
      </c>
      <c r="AE11" s="1288"/>
      <c r="AF11" s="1288">
        <f t="shared" ref="AF11:AF21" si="11">AB11-AE11</f>
        <v>327.834</v>
      </c>
    </row>
    <row r="12" spans="1:33" s="1289" customFormat="1" ht="24.75" customHeight="1">
      <c r="A12" s="1287">
        <v>3</v>
      </c>
      <c r="B12" s="1352" t="s">
        <v>1137</v>
      </c>
      <c r="C12" s="1353">
        <f t="shared" si="1"/>
        <v>725</v>
      </c>
      <c r="D12" s="1353">
        <v>689</v>
      </c>
      <c r="E12" s="1354"/>
      <c r="F12" s="1353">
        <f t="shared" si="2"/>
        <v>36</v>
      </c>
      <c r="G12" s="1353">
        <v>36</v>
      </c>
      <c r="H12" s="1353"/>
      <c r="I12" s="1353">
        <v>58500</v>
      </c>
      <c r="J12" s="1353">
        <v>12</v>
      </c>
      <c r="K12" s="1353">
        <v>58500</v>
      </c>
      <c r="L12" s="1353">
        <v>12</v>
      </c>
      <c r="M12" s="1353">
        <f t="shared" si="3"/>
        <v>534.22199999999998</v>
      </c>
      <c r="N12" s="1353">
        <f t="shared" si="4"/>
        <v>508.95</v>
      </c>
      <c r="O12" s="1353">
        <f t="shared" si="5"/>
        <v>25.271999999999998</v>
      </c>
      <c r="P12" s="1341"/>
      <c r="Q12" s="1341"/>
      <c r="R12" s="1353">
        <f t="shared" si="6"/>
        <v>789</v>
      </c>
      <c r="S12" s="1353">
        <v>749</v>
      </c>
      <c r="T12" s="1354"/>
      <c r="U12" s="1353">
        <f t="shared" si="7"/>
        <v>40</v>
      </c>
      <c r="V12" s="1353">
        <v>40</v>
      </c>
      <c r="W12" s="1353"/>
      <c r="X12" s="1353">
        <v>58500</v>
      </c>
      <c r="Y12" s="1353">
        <v>12</v>
      </c>
      <c r="Z12" s="1353">
        <v>58500</v>
      </c>
      <c r="AA12" s="1353">
        <v>12</v>
      </c>
      <c r="AB12" s="1353">
        <f t="shared" si="8"/>
        <v>553.87800000000004</v>
      </c>
      <c r="AC12" s="1353">
        <f t="shared" si="9"/>
        <v>525.798</v>
      </c>
      <c r="AD12" s="1353">
        <f t="shared" si="10"/>
        <v>28.08</v>
      </c>
      <c r="AE12" s="1288"/>
      <c r="AF12" s="1288">
        <f t="shared" si="11"/>
        <v>553.87800000000004</v>
      </c>
    </row>
    <row r="13" spans="1:33" s="1289" customFormat="1" ht="24.75" customHeight="1">
      <c r="A13" s="1287">
        <v>4</v>
      </c>
      <c r="B13" s="1352" t="s">
        <v>1138</v>
      </c>
      <c r="C13" s="1353">
        <f t="shared" si="1"/>
        <v>492</v>
      </c>
      <c r="D13" s="1353">
        <v>492</v>
      </c>
      <c r="E13" s="1354"/>
      <c r="F13" s="1353">
        <f t="shared" si="2"/>
        <v>0</v>
      </c>
      <c r="G13" s="1353"/>
      <c r="H13" s="1353"/>
      <c r="I13" s="1353">
        <v>58500</v>
      </c>
      <c r="J13" s="1353">
        <v>12</v>
      </c>
      <c r="K13" s="1353">
        <v>58500</v>
      </c>
      <c r="L13" s="1353">
        <v>12</v>
      </c>
      <c r="M13" s="1353">
        <f t="shared" si="3"/>
        <v>345.38400000000001</v>
      </c>
      <c r="N13" s="1353">
        <f t="shared" si="4"/>
        <v>345.38400000000001</v>
      </c>
      <c r="O13" s="1353">
        <f t="shared" si="5"/>
        <v>0</v>
      </c>
      <c r="P13" s="1341"/>
      <c r="Q13" s="1341"/>
      <c r="R13" s="1353">
        <f t="shared" si="6"/>
        <v>325</v>
      </c>
      <c r="S13" s="1353">
        <v>325</v>
      </c>
      <c r="T13" s="1354"/>
      <c r="U13" s="1353">
        <f t="shared" si="7"/>
        <v>0</v>
      </c>
      <c r="V13" s="1353"/>
      <c r="W13" s="1353"/>
      <c r="X13" s="1353">
        <v>58500</v>
      </c>
      <c r="Y13" s="1353">
        <v>12</v>
      </c>
      <c r="Z13" s="1353">
        <v>58500</v>
      </c>
      <c r="AA13" s="1353">
        <v>12</v>
      </c>
      <c r="AB13" s="1353">
        <f t="shared" si="8"/>
        <v>228.15</v>
      </c>
      <c r="AC13" s="1353">
        <f t="shared" si="9"/>
        <v>228.15</v>
      </c>
      <c r="AD13" s="1353">
        <f t="shared" si="10"/>
        <v>0</v>
      </c>
      <c r="AE13" s="1288"/>
      <c r="AF13" s="1288">
        <f t="shared" si="11"/>
        <v>228.15</v>
      </c>
    </row>
    <row r="14" spans="1:33" s="1289" customFormat="1" ht="24.75" customHeight="1">
      <c r="A14" s="1287">
        <v>5</v>
      </c>
      <c r="B14" s="1352" t="s">
        <v>1139</v>
      </c>
      <c r="C14" s="1353">
        <f t="shared" si="1"/>
        <v>632</v>
      </c>
      <c r="D14" s="1353">
        <v>610</v>
      </c>
      <c r="E14" s="1354"/>
      <c r="F14" s="1353">
        <f t="shared" si="2"/>
        <v>22</v>
      </c>
      <c r="G14" s="1353">
        <v>22</v>
      </c>
      <c r="H14" s="1353"/>
      <c r="I14" s="1353">
        <v>58500</v>
      </c>
      <c r="J14" s="1353">
        <v>12</v>
      </c>
      <c r="K14" s="1353">
        <v>58500</v>
      </c>
      <c r="L14" s="1353">
        <v>12</v>
      </c>
      <c r="M14" s="1353">
        <f t="shared" si="3"/>
        <v>459.108</v>
      </c>
      <c r="N14" s="1353">
        <f t="shared" si="4"/>
        <v>443.66399999999999</v>
      </c>
      <c r="O14" s="1353">
        <f t="shared" si="5"/>
        <v>15.444000000000001</v>
      </c>
      <c r="P14" s="1341"/>
      <c r="Q14" s="1341"/>
      <c r="R14" s="1353">
        <f t="shared" si="6"/>
        <v>587</v>
      </c>
      <c r="S14" s="1353">
        <v>565</v>
      </c>
      <c r="T14" s="1354"/>
      <c r="U14" s="1353">
        <f t="shared" si="7"/>
        <v>22</v>
      </c>
      <c r="V14" s="1353">
        <v>22</v>
      </c>
      <c r="W14" s="1353"/>
      <c r="X14" s="1353">
        <v>58500</v>
      </c>
      <c r="Y14" s="1353">
        <v>12</v>
      </c>
      <c r="Z14" s="1353">
        <v>58500</v>
      </c>
      <c r="AA14" s="1353">
        <v>12</v>
      </c>
      <c r="AB14" s="1353">
        <f t="shared" si="8"/>
        <v>412.07400000000001</v>
      </c>
      <c r="AC14" s="1353">
        <f t="shared" si="9"/>
        <v>396.63</v>
      </c>
      <c r="AD14" s="1353">
        <f t="shared" si="10"/>
        <v>15.444000000000001</v>
      </c>
      <c r="AE14" s="1288"/>
      <c r="AF14" s="1288">
        <f t="shared" si="11"/>
        <v>412.07400000000001</v>
      </c>
    </row>
    <row r="15" spans="1:33" s="1289" customFormat="1" ht="24.75" customHeight="1">
      <c r="A15" s="1287">
        <v>6</v>
      </c>
      <c r="B15" s="1352" t="s">
        <v>1140</v>
      </c>
      <c r="C15" s="1353">
        <f t="shared" si="1"/>
        <v>404</v>
      </c>
      <c r="D15" s="1353">
        <v>384</v>
      </c>
      <c r="E15" s="1354"/>
      <c r="F15" s="1353">
        <f t="shared" si="2"/>
        <v>20</v>
      </c>
      <c r="G15" s="1353">
        <v>20</v>
      </c>
      <c r="H15" s="1353"/>
      <c r="I15" s="1353">
        <v>58500</v>
      </c>
      <c r="J15" s="1353">
        <v>12</v>
      </c>
      <c r="K15" s="1353">
        <v>58500</v>
      </c>
      <c r="L15" s="1353">
        <v>12</v>
      </c>
      <c r="M15" s="1353">
        <f t="shared" si="3"/>
        <v>297.64800000000002</v>
      </c>
      <c r="N15" s="1353">
        <f t="shared" si="4"/>
        <v>283.608</v>
      </c>
      <c r="O15" s="1353">
        <f t="shared" si="5"/>
        <v>14.04</v>
      </c>
      <c r="P15" s="1341"/>
      <c r="Q15" s="1341"/>
      <c r="R15" s="1353">
        <f t="shared" si="6"/>
        <v>320</v>
      </c>
      <c r="S15" s="1353">
        <v>300</v>
      </c>
      <c r="T15" s="1354"/>
      <c r="U15" s="1353">
        <f t="shared" si="7"/>
        <v>20</v>
      </c>
      <c r="V15" s="1353">
        <v>20</v>
      </c>
      <c r="W15" s="1353"/>
      <c r="X15" s="1353">
        <v>58500</v>
      </c>
      <c r="Y15" s="1353">
        <v>12</v>
      </c>
      <c r="Z15" s="1353">
        <v>58500</v>
      </c>
      <c r="AA15" s="1353">
        <v>12</v>
      </c>
      <c r="AB15" s="1353">
        <f t="shared" si="8"/>
        <v>224.64</v>
      </c>
      <c r="AC15" s="1353">
        <f t="shared" si="9"/>
        <v>210.6</v>
      </c>
      <c r="AD15" s="1353">
        <f t="shared" si="10"/>
        <v>14.04</v>
      </c>
      <c r="AE15" s="1288"/>
      <c r="AF15" s="1288">
        <f t="shared" si="11"/>
        <v>224.64</v>
      </c>
    </row>
    <row r="16" spans="1:33" s="1289" customFormat="1" ht="24.75" customHeight="1">
      <c r="A16" s="1287">
        <v>7</v>
      </c>
      <c r="B16" s="1352" t="s">
        <v>1141</v>
      </c>
      <c r="C16" s="1353">
        <f t="shared" si="1"/>
        <v>674</v>
      </c>
      <c r="D16" s="1353">
        <v>674</v>
      </c>
      <c r="E16" s="1354"/>
      <c r="F16" s="1353">
        <f t="shared" si="2"/>
        <v>0</v>
      </c>
      <c r="G16" s="1353"/>
      <c r="H16" s="1353"/>
      <c r="I16" s="1353">
        <v>58500</v>
      </c>
      <c r="J16" s="1353">
        <v>12</v>
      </c>
      <c r="K16" s="1353">
        <v>58500</v>
      </c>
      <c r="L16" s="1353">
        <v>12</v>
      </c>
      <c r="M16" s="1353">
        <f t="shared" si="3"/>
        <v>473.14800000000002</v>
      </c>
      <c r="N16" s="1353">
        <f t="shared" si="4"/>
        <v>473.14800000000002</v>
      </c>
      <c r="O16" s="1353">
        <f t="shared" si="5"/>
        <v>0</v>
      </c>
      <c r="P16" s="1341"/>
      <c r="Q16" s="1341"/>
      <c r="R16" s="1353">
        <f t="shared" si="6"/>
        <v>467</v>
      </c>
      <c r="S16" s="1353">
        <v>467</v>
      </c>
      <c r="T16" s="1354"/>
      <c r="U16" s="1353">
        <f t="shared" si="7"/>
        <v>0</v>
      </c>
      <c r="V16" s="1353"/>
      <c r="W16" s="1353"/>
      <c r="X16" s="1353">
        <v>58500</v>
      </c>
      <c r="Y16" s="1353">
        <v>12</v>
      </c>
      <c r="Z16" s="1353">
        <v>58500</v>
      </c>
      <c r="AA16" s="1353">
        <v>12</v>
      </c>
      <c r="AB16" s="1353">
        <f t="shared" si="8"/>
        <v>327.834</v>
      </c>
      <c r="AC16" s="1353">
        <f t="shared" si="9"/>
        <v>327.834</v>
      </c>
      <c r="AD16" s="1353">
        <f t="shared" si="10"/>
        <v>0</v>
      </c>
      <c r="AE16" s="1288"/>
      <c r="AF16" s="1288">
        <f t="shared" si="11"/>
        <v>327.834</v>
      </c>
    </row>
    <row r="17" spans="1:32" s="1289" customFormat="1" ht="24.75" customHeight="1">
      <c r="A17" s="1287">
        <v>8</v>
      </c>
      <c r="B17" s="1352" t="s">
        <v>1142</v>
      </c>
      <c r="C17" s="1353">
        <f t="shared" si="1"/>
        <v>492</v>
      </c>
      <c r="D17" s="1353">
        <v>382</v>
      </c>
      <c r="E17" s="1354"/>
      <c r="F17" s="1353">
        <f t="shared" si="2"/>
        <v>110</v>
      </c>
      <c r="G17" s="1353">
        <v>110</v>
      </c>
      <c r="H17" s="1353"/>
      <c r="I17" s="1353">
        <v>58500</v>
      </c>
      <c r="J17" s="1353">
        <v>12</v>
      </c>
      <c r="K17" s="1353">
        <v>58500</v>
      </c>
      <c r="L17" s="1353">
        <v>12</v>
      </c>
      <c r="M17" s="1353">
        <f t="shared" si="3"/>
        <v>422.60400000000004</v>
      </c>
      <c r="N17" s="1353">
        <f t="shared" si="4"/>
        <v>345.38400000000001</v>
      </c>
      <c r="O17" s="1353">
        <f t="shared" si="5"/>
        <v>77.22</v>
      </c>
      <c r="P17" s="1341"/>
      <c r="Q17" s="1341"/>
      <c r="R17" s="1353">
        <f t="shared" si="6"/>
        <v>455</v>
      </c>
      <c r="S17" s="1353">
        <v>320</v>
      </c>
      <c r="T17" s="1354"/>
      <c r="U17" s="1353">
        <f t="shared" si="7"/>
        <v>135</v>
      </c>
      <c r="V17" s="1353">
        <v>135</v>
      </c>
      <c r="W17" s="1353"/>
      <c r="X17" s="1353">
        <v>58500</v>
      </c>
      <c r="Y17" s="1353">
        <v>12</v>
      </c>
      <c r="Z17" s="1353">
        <v>58500</v>
      </c>
      <c r="AA17" s="1353">
        <v>12</v>
      </c>
      <c r="AB17" s="1353">
        <f t="shared" si="8"/>
        <v>319.40999999999997</v>
      </c>
      <c r="AC17" s="1353">
        <f t="shared" si="9"/>
        <v>224.64</v>
      </c>
      <c r="AD17" s="1353">
        <f t="shared" si="10"/>
        <v>94.77</v>
      </c>
      <c r="AE17" s="1288"/>
      <c r="AF17" s="1288">
        <f t="shared" si="11"/>
        <v>319.40999999999997</v>
      </c>
    </row>
    <row r="18" spans="1:32" s="1289" customFormat="1" ht="24.75" customHeight="1">
      <c r="A18" s="1287">
        <v>9</v>
      </c>
      <c r="B18" s="1352" t="s">
        <v>1143</v>
      </c>
      <c r="C18" s="1353">
        <f t="shared" si="1"/>
        <v>783</v>
      </c>
      <c r="D18" s="1353">
        <v>535</v>
      </c>
      <c r="E18" s="1354"/>
      <c r="F18" s="1353">
        <f t="shared" si="2"/>
        <v>248</v>
      </c>
      <c r="G18" s="1353">
        <v>248</v>
      </c>
      <c r="H18" s="1353"/>
      <c r="I18" s="1353">
        <v>58500</v>
      </c>
      <c r="J18" s="1353">
        <v>12</v>
      </c>
      <c r="K18" s="1353">
        <v>58500</v>
      </c>
      <c r="L18" s="1353">
        <v>12</v>
      </c>
      <c r="M18" s="1353">
        <f t="shared" si="3"/>
        <v>723.76200000000006</v>
      </c>
      <c r="N18" s="1353">
        <f t="shared" si="4"/>
        <v>549.66600000000005</v>
      </c>
      <c r="O18" s="1353">
        <f t="shared" si="5"/>
        <v>174.096</v>
      </c>
      <c r="P18" s="1341"/>
      <c r="Q18" s="1341"/>
      <c r="R18" s="1353">
        <f t="shared" si="6"/>
        <v>762</v>
      </c>
      <c r="S18" s="1353">
        <v>537</v>
      </c>
      <c r="T18" s="1354"/>
      <c r="U18" s="1353">
        <f t="shared" si="7"/>
        <v>225</v>
      </c>
      <c r="V18" s="1353">
        <v>225</v>
      </c>
      <c r="W18" s="1353"/>
      <c r="X18" s="1353">
        <v>58500</v>
      </c>
      <c r="Y18" s="1353">
        <v>12</v>
      </c>
      <c r="Z18" s="1353">
        <v>58500</v>
      </c>
      <c r="AA18" s="1353">
        <v>12</v>
      </c>
      <c r="AB18" s="1353">
        <f t="shared" si="8"/>
        <v>534.92399999999998</v>
      </c>
      <c r="AC18" s="1353">
        <f t="shared" si="9"/>
        <v>376.97399999999999</v>
      </c>
      <c r="AD18" s="1353">
        <f t="shared" si="10"/>
        <v>157.94999999999999</v>
      </c>
      <c r="AE18" s="1288"/>
      <c r="AF18" s="1288">
        <f t="shared" si="11"/>
        <v>534.92399999999998</v>
      </c>
    </row>
    <row r="19" spans="1:32" s="1289" customFormat="1" ht="24.75" customHeight="1">
      <c r="A19" s="1287">
        <v>10</v>
      </c>
      <c r="B19" s="1352" t="s">
        <v>1144</v>
      </c>
      <c r="C19" s="1353">
        <f t="shared" si="1"/>
        <v>3036</v>
      </c>
      <c r="D19" s="1353">
        <v>1494</v>
      </c>
      <c r="E19" s="1354"/>
      <c r="F19" s="1353">
        <f t="shared" si="2"/>
        <v>1542</v>
      </c>
      <c r="G19" s="1353">
        <v>1542</v>
      </c>
      <c r="H19" s="1353"/>
      <c r="I19" s="1353">
        <v>58500</v>
      </c>
      <c r="J19" s="1353">
        <v>12</v>
      </c>
      <c r="K19" s="1353">
        <v>58500</v>
      </c>
      <c r="L19" s="1353">
        <v>12</v>
      </c>
      <c r="M19" s="1353">
        <f t="shared" si="3"/>
        <v>3213.7559999999999</v>
      </c>
      <c r="N19" s="1353">
        <f t="shared" si="4"/>
        <v>2131.2719999999999</v>
      </c>
      <c r="O19" s="1353">
        <f t="shared" si="5"/>
        <v>1082.4839999999999</v>
      </c>
      <c r="P19" s="1341"/>
      <c r="Q19" s="1341"/>
      <c r="R19" s="1353">
        <f t="shared" si="6"/>
        <v>3036</v>
      </c>
      <c r="S19" s="1353">
        <v>1494</v>
      </c>
      <c r="T19" s="1354"/>
      <c r="U19" s="1353">
        <f t="shared" si="7"/>
        <v>1542</v>
      </c>
      <c r="V19" s="1353">
        <v>1542</v>
      </c>
      <c r="W19" s="1353"/>
      <c r="X19" s="1353">
        <v>58500</v>
      </c>
      <c r="Y19" s="1353">
        <v>12</v>
      </c>
      <c r="Z19" s="1353">
        <v>58500</v>
      </c>
      <c r="AA19" s="1353">
        <v>12</v>
      </c>
      <c r="AB19" s="1353">
        <f t="shared" si="8"/>
        <v>2131.2719999999999</v>
      </c>
      <c r="AC19" s="1353">
        <f t="shared" si="9"/>
        <v>1048.788</v>
      </c>
      <c r="AD19" s="1353">
        <f t="shared" si="10"/>
        <v>1082.4839999999999</v>
      </c>
      <c r="AE19" s="1288"/>
      <c r="AF19" s="1288">
        <f t="shared" si="11"/>
        <v>2131.2719999999999</v>
      </c>
    </row>
    <row r="20" spans="1:32" s="1291" customFormat="1" ht="24.75" customHeight="1">
      <c r="A20" s="1287">
        <v>11</v>
      </c>
      <c r="B20" s="1352" t="s">
        <v>1145</v>
      </c>
      <c r="C20" s="1353">
        <f t="shared" si="1"/>
        <v>431</v>
      </c>
      <c r="D20" s="1355">
        <v>396</v>
      </c>
      <c r="E20" s="1355"/>
      <c r="F20" s="1353">
        <f t="shared" si="2"/>
        <v>35</v>
      </c>
      <c r="G20" s="1355">
        <v>35</v>
      </c>
      <c r="H20" s="1355"/>
      <c r="I20" s="1355">
        <v>58500</v>
      </c>
      <c r="J20" s="1353">
        <v>12</v>
      </c>
      <c r="K20" s="1355">
        <v>58500</v>
      </c>
      <c r="L20" s="1353">
        <v>12</v>
      </c>
      <c r="M20" s="1353">
        <f t="shared" si="3"/>
        <v>327.13200000000001</v>
      </c>
      <c r="N20" s="1353">
        <f t="shared" si="4"/>
        <v>302.56200000000001</v>
      </c>
      <c r="O20" s="1353">
        <f t="shared" si="5"/>
        <v>24.57</v>
      </c>
      <c r="P20" s="1342"/>
      <c r="Q20" s="1341"/>
      <c r="R20" s="1353">
        <f t="shared" si="6"/>
        <v>352</v>
      </c>
      <c r="S20" s="1355">
        <v>310</v>
      </c>
      <c r="T20" s="1355"/>
      <c r="U20" s="1353">
        <f t="shared" si="7"/>
        <v>42</v>
      </c>
      <c r="V20" s="1355">
        <v>42</v>
      </c>
      <c r="W20" s="1355"/>
      <c r="X20" s="1355">
        <v>58500</v>
      </c>
      <c r="Y20" s="1353">
        <v>12</v>
      </c>
      <c r="Z20" s="1355">
        <v>58500</v>
      </c>
      <c r="AA20" s="1353">
        <v>12</v>
      </c>
      <c r="AB20" s="1353">
        <f t="shared" si="8"/>
        <v>247.10400000000001</v>
      </c>
      <c r="AC20" s="1353">
        <f t="shared" si="9"/>
        <v>217.62</v>
      </c>
      <c r="AD20" s="1353">
        <f t="shared" si="10"/>
        <v>29.484000000000002</v>
      </c>
      <c r="AE20" s="1290"/>
      <c r="AF20" s="1288">
        <f t="shared" si="11"/>
        <v>247.10400000000001</v>
      </c>
    </row>
    <row r="21" spans="1:32" s="1291" customFormat="1" ht="24.75" customHeight="1">
      <c r="A21" s="1292">
        <v>12</v>
      </c>
      <c r="B21" s="1356" t="s">
        <v>1146</v>
      </c>
      <c r="C21" s="1357">
        <f t="shared" si="1"/>
        <v>499</v>
      </c>
      <c r="D21" s="1358">
        <v>499</v>
      </c>
      <c r="E21" s="1358"/>
      <c r="F21" s="1357">
        <f t="shared" si="2"/>
        <v>0</v>
      </c>
      <c r="G21" s="1358"/>
      <c r="H21" s="1358"/>
      <c r="I21" s="1358">
        <v>58500</v>
      </c>
      <c r="J21" s="1357">
        <v>12</v>
      </c>
      <c r="K21" s="1358">
        <v>58500</v>
      </c>
      <c r="L21" s="1357">
        <v>12</v>
      </c>
      <c r="M21" s="1357">
        <f t="shared" si="3"/>
        <v>350.298</v>
      </c>
      <c r="N21" s="1357">
        <f t="shared" si="4"/>
        <v>350.298</v>
      </c>
      <c r="O21" s="1357">
        <f t="shared" si="5"/>
        <v>0</v>
      </c>
      <c r="P21" s="1343"/>
      <c r="Q21" s="1344"/>
      <c r="R21" s="1357">
        <f t="shared" si="6"/>
        <v>499</v>
      </c>
      <c r="S21" s="1358">
        <v>499</v>
      </c>
      <c r="T21" s="1358"/>
      <c r="U21" s="1357">
        <f t="shared" si="7"/>
        <v>0</v>
      </c>
      <c r="V21" s="1358"/>
      <c r="W21" s="1358"/>
      <c r="X21" s="1358">
        <v>58500</v>
      </c>
      <c r="Y21" s="1357">
        <v>12</v>
      </c>
      <c r="Z21" s="1358">
        <v>58500</v>
      </c>
      <c r="AA21" s="1357">
        <v>12</v>
      </c>
      <c r="AB21" s="1357">
        <f t="shared" si="8"/>
        <v>350.298</v>
      </c>
      <c r="AC21" s="1357">
        <f t="shared" si="9"/>
        <v>350.298</v>
      </c>
      <c r="AD21" s="1357">
        <f t="shared" si="10"/>
        <v>0</v>
      </c>
      <c r="AE21" s="1293"/>
      <c r="AF21" s="1294">
        <f t="shared" si="11"/>
        <v>350.298</v>
      </c>
    </row>
    <row r="23" spans="1:32">
      <c r="A23" s="1280" t="s">
        <v>1112</v>
      </c>
      <c r="B23" s="1280" t="s">
        <v>1363</v>
      </c>
      <c r="C23" s="1295"/>
      <c r="D23" s="1295"/>
      <c r="E23" s="1295"/>
      <c r="F23" s="1295"/>
      <c r="G23" s="1295"/>
      <c r="H23" s="1295"/>
      <c r="I23" s="1295"/>
      <c r="J23" s="1296"/>
      <c r="K23" s="1295"/>
      <c r="L23" s="1296"/>
      <c r="M23" s="1296"/>
      <c r="N23" s="1296"/>
      <c r="O23" s="1296"/>
      <c r="P23" s="1296"/>
      <c r="Q23" s="1296"/>
      <c r="R23" s="1295"/>
      <c r="S23" s="1295"/>
      <c r="T23" s="1295"/>
      <c r="U23" s="1295"/>
      <c r="V23" s="1295"/>
      <c r="W23" s="1295"/>
      <c r="X23" s="1295"/>
      <c r="Y23" s="1296"/>
      <c r="Z23" s="1295"/>
      <c r="AA23" s="1296"/>
      <c r="AB23" s="1296"/>
      <c r="AC23" s="1296"/>
      <c r="AD23" s="1296"/>
      <c r="AE23" s="1296"/>
      <c r="AF23" s="1296"/>
    </row>
    <row r="24" spans="1:32">
      <c r="B24" s="1280" t="s">
        <v>1364</v>
      </c>
      <c r="J24" s="1299"/>
      <c r="L24" s="1299"/>
      <c r="M24" s="1299"/>
      <c r="N24" s="1299"/>
      <c r="O24" s="1299"/>
      <c r="P24" s="1299"/>
      <c r="Q24" s="1299"/>
      <c r="Y24" s="1299"/>
      <c r="AA24" s="1299"/>
      <c r="AB24" s="1299"/>
      <c r="AC24" s="1299"/>
      <c r="AD24" s="1299"/>
      <c r="AE24" s="1299"/>
      <c r="AF24" s="1299"/>
    </row>
    <row r="25" spans="1:32">
      <c r="A25" s="1298"/>
      <c r="J25" s="1297"/>
      <c r="L25" s="1297"/>
      <c r="M25" s="1297"/>
      <c r="N25" s="1297"/>
      <c r="O25" s="1297"/>
      <c r="P25" s="1297"/>
      <c r="Q25" s="1297"/>
      <c r="Y25" s="1297"/>
      <c r="AA25" s="1297"/>
      <c r="AB25" s="1297"/>
      <c r="AC25" s="1297"/>
      <c r="AD25" s="1297"/>
      <c r="AE25" s="1297"/>
      <c r="AF25" s="1297"/>
    </row>
    <row r="26" spans="1:32">
      <c r="J26" s="1299"/>
      <c r="L26" s="1299"/>
      <c r="M26" s="1299"/>
      <c r="N26" s="1299"/>
      <c r="O26" s="1299"/>
      <c r="P26" s="1299"/>
      <c r="Q26" s="1299"/>
      <c r="Y26" s="1299"/>
      <c r="AA26" s="1299"/>
      <c r="AB26" s="1299"/>
      <c r="AC26" s="1299"/>
      <c r="AD26" s="1299"/>
      <c r="AE26" s="1299"/>
      <c r="AF26" s="1299"/>
    </row>
  </sheetData>
  <mergeCells count="33">
    <mergeCell ref="F6:H6"/>
    <mergeCell ref="Y6:Y7"/>
    <mergeCell ref="Z6:Z7"/>
    <mergeCell ref="AA6:AA7"/>
    <mergeCell ref="AB6:AB7"/>
    <mergeCell ref="N1:Q1"/>
    <mergeCell ref="I6:I7"/>
    <mergeCell ref="J6:J7"/>
    <mergeCell ref="K6:K7"/>
    <mergeCell ref="AE6:AE7"/>
    <mergeCell ref="AC1:AF1"/>
    <mergeCell ref="A2:AF2"/>
    <mergeCell ref="C5:Q5"/>
    <mergeCell ref="R5:AF5"/>
    <mergeCell ref="A3:AD3"/>
    <mergeCell ref="B5:B7"/>
    <mergeCell ref="A5:A7"/>
    <mergeCell ref="AB4:AD4"/>
    <mergeCell ref="C6:C7"/>
    <mergeCell ref="D6:D7"/>
    <mergeCell ref="E6:E7"/>
    <mergeCell ref="AF6:AF7"/>
    <mergeCell ref="L6:L7"/>
    <mergeCell ref="M6:M7"/>
    <mergeCell ref="N6:O6"/>
    <mergeCell ref="AC6:AD6"/>
    <mergeCell ref="P6:P7"/>
    <mergeCell ref="Q6:Q7"/>
    <mergeCell ref="R6:R7"/>
    <mergeCell ref="S6:S7"/>
    <mergeCell ref="T6:T7"/>
    <mergeCell ref="U6:W6"/>
    <mergeCell ref="X6:X7"/>
  </mergeCells>
  <hyperlinks>
    <hyperlink ref="A5:A7" location="'Danh mục file'!A1" display="STT"/>
  </hyperlinks>
  <printOptions horizontalCentered="1"/>
  <pageMargins left="0" right="0" top="0.39370078740157483" bottom="0" header="0" footer="0"/>
  <pageSetup paperSize="9" scale="55" orientation="landscape" r:id="rId1"/>
  <headerFooter>
    <oddHeader>&amp;R&amp;A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sheetPr>
  <dimension ref="A1:R22"/>
  <sheetViews>
    <sheetView workbookViewId="0">
      <selection activeCell="A5" sqref="A5:A9"/>
    </sheetView>
  </sheetViews>
  <sheetFormatPr defaultColWidth="10.109375" defaultRowHeight="15.6"/>
  <cols>
    <col min="1" max="1" width="8.33203125" style="1314" customWidth="1"/>
    <col min="2" max="2" width="32.6640625" style="1301" customWidth="1"/>
    <col min="3" max="13" width="12.5546875" style="1301" customWidth="1"/>
    <col min="14" max="14" width="21.109375" style="1301" hidden="1" customWidth="1"/>
    <col min="15" max="15" width="23.5546875" style="1301" hidden="1" customWidth="1"/>
    <col min="16" max="16" width="72.33203125" style="1301" customWidth="1"/>
    <col min="17" max="265" width="10.109375" style="1301"/>
    <col min="266" max="266" width="5.109375" style="1301" customWidth="1"/>
    <col min="267" max="267" width="47.33203125" style="1301" customWidth="1"/>
    <col min="268" max="268" width="22.33203125" style="1301" customWidth="1"/>
    <col min="269" max="269" width="24.33203125" style="1301" customWidth="1"/>
    <col min="270" max="270" width="22.33203125" style="1301" customWidth="1"/>
    <col min="271" max="271" width="24.33203125" style="1301" customWidth="1"/>
    <col min="272" max="272" width="72.33203125" style="1301" customWidth="1"/>
    <col min="273" max="521" width="10.109375" style="1301"/>
    <col min="522" max="522" width="5.109375" style="1301" customWidth="1"/>
    <col min="523" max="523" width="47.33203125" style="1301" customWidth="1"/>
    <col min="524" max="524" width="22.33203125" style="1301" customWidth="1"/>
    <col min="525" max="525" width="24.33203125" style="1301" customWidth="1"/>
    <col min="526" max="526" width="22.33203125" style="1301" customWidth="1"/>
    <col min="527" max="527" width="24.33203125" style="1301" customWidth="1"/>
    <col min="528" max="528" width="72.33203125" style="1301" customWidth="1"/>
    <col min="529" max="777" width="10.109375" style="1301"/>
    <col min="778" max="778" width="5.109375" style="1301" customWidth="1"/>
    <col min="779" max="779" width="47.33203125" style="1301" customWidth="1"/>
    <col min="780" max="780" width="22.33203125" style="1301" customWidth="1"/>
    <col min="781" max="781" width="24.33203125" style="1301" customWidth="1"/>
    <col min="782" max="782" width="22.33203125" style="1301" customWidth="1"/>
    <col min="783" max="783" width="24.33203125" style="1301" customWidth="1"/>
    <col min="784" max="784" width="72.33203125" style="1301" customWidth="1"/>
    <col min="785" max="1033" width="10.109375" style="1301"/>
    <col min="1034" max="1034" width="5.109375" style="1301" customWidth="1"/>
    <col min="1035" max="1035" width="47.33203125" style="1301" customWidth="1"/>
    <col min="1036" max="1036" width="22.33203125" style="1301" customWidth="1"/>
    <col min="1037" max="1037" width="24.33203125" style="1301" customWidth="1"/>
    <col min="1038" max="1038" width="22.33203125" style="1301" customWidth="1"/>
    <col min="1039" max="1039" width="24.33203125" style="1301" customWidth="1"/>
    <col min="1040" max="1040" width="72.33203125" style="1301" customWidth="1"/>
    <col min="1041" max="1289" width="10.109375" style="1301"/>
    <col min="1290" max="1290" width="5.109375" style="1301" customWidth="1"/>
    <col min="1291" max="1291" width="47.33203125" style="1301" customWidth="1"/>
    <col min="1292" max="1292" width="22.33203125" style="1301" customWidth="1"/>
    <col min="1293" max="1293" width="24.33203125" style="1301" customWidth="1"/>
    <col min="1294" max="1294" width="22.33203125" style="1301" customWidth="1"/>
    <col min="1295" max="1295" width="24.33203125" style="1301" customWidth="1"/>
    <col min="1296" max="1296" width="72.33203125" style="1301" customWidth="1"/>
    <col min="1297" max="1545" width="10.109375" style="1301"/>
    <col min="1546" max="1546" width="5.109375" style="1301" customWidth="1"/>
    <col min="1547" max="1547" width="47.33203125" style="1301" customWidth="1"/>
    <col min="1548" max="1548" width="22.33203125" style="1301" customWidth="1"/>
    <col min="1549" max="1549" width="24.33203125" style="1301" customWidth="1"/>
    <col min="1550" max="1550" width="22.33203125" style="1301" customWidth="1"/>
    <col min="1551" max="1551" width="24.33203125" style="1301" customWidth="1"/>
    <col min="1552" max="1552" width="72.33203125" style="1301" customWidth="1"/>
    <col min="1553" max="1801" width="10.109375" style="1301"/>
    <col min="1802" max="1802" width="5.109375" style="1301" customWidth="1"/>
    <col min="1803" max="1803" width="47.33203125" style="1301" customWidth="1"/>
    <col min="1804" max="1804" width="22.33203125" style="1301" customWidth="1"/>
    <col min="1805" max="1805" width="24.33203125" style="1301" customWidth="1"/>
    <col min="1806" max="1806" width="22.33203125" style="1301" customWidth="1"/>
    <col min="1807" max="1807" width="24.33203125" style="1301" customWidth="1"/>
    <col min="1808" max="1808" width="72.33203125" style="1301" customWidth="1"/>
    <col min="1809" max="2057" width="10.109375" style="1301"/>
    <col min="2058" max="2058" width="5.109375" style="1301" customWidth="1"/>
    <col min="2059" max="2059" width="47.33203125" style="1301" customWidth="1"/>
    <col min="2060" max="2060" width="22.33203125" style="1301" customWidth="1"/>
    <col min="2061" max="2061" width="24.33203125" style="1301" customWidth="1"/>
    <col min="2062" max="2062" width="22.33203125" style="1301" customWidth="1"/>
    <col min="2063" max="2063" width="24.33203125" style="1301" customWidth="1"/>
    <col min="2064" max="2064" width="72.33203125" style="1301" customWidth="1"/>
    <col min="2065" max="2313" width="10.109375" style="1301"/>
    <col min="2314" max="2314" width="5.109375" style="1301" customWidth="1"/>
    <col min="2315" max="2315" width="47.33203125" style="1301" customWidth="1"/>
    <col min="2316" max="2316" width="22.33203125" style="1301" customWidth="1"/>
    <col min="2317" max="2317" width="24.33203125" style="1301" customWidth="1"/>
    <col min="2318" max="2318" width="22.33203125" style="1301" customWidth="1"/>
    <col min="2319" max="2319" width="24.33203125" style="1301" customWidth="1"/>
    <col min="2320" max="2320" width="72.33203125" style="1301" customWidth="1"/>
    <col min="2321" max="2569" width="10.109375" style="1301"/>
    <col min="2570" max="2570" width="5.109375" style="1301" customWidth="1"/>
    <col min="2571" max="2571" width="47.33203125" style="1301" customWidth="1"/>
    <col min="2572" max="2572" width="22.33203125" style="1301" customWidth="1"/>
    <col min="2573" max="2573" width="24.33203125" style="1301" customWidth="1"/>
    <col min="2574" max="2574" width="22.33203125" style="1301" customWidth="1"/>
    <col min="2575" max="2575" width="24.33203125" style="1301" customWidth="1"/>
    <col min="2576" max="2576" width="72.33203125" style="1301" customWidth="1"/>
    <col min="2577" max="2825" width="10.109375" style="1301"/>
    <col min="2826" max="2826" width="5.109375" style="1301" customWidth="1"/>
    <col min="2827" max="2827" width="47.33203125" style="1301" customWidth="1"/>
    <col min="2828" max="2828" width="22.33203125" style="1301" customWidth="1"/>
    <col min="2829" max="2829" width="24.33203125" style="1301" customWidth="1"/>
    <col min="2830" max="2830" width="22.33203125" style="1301" customWidth="1"/>
    <col min="2831" max="2831" width="24.33203125" style="1301" customWidth="1"/>
    <col min="2832" max="2832" width="72.33203125" style="1301" customWidth="1"/>
    <col min="2833" max="3081" width="10.109375" style="1301"/>
    <col min="3082" max="3082" width="5.109375" style="1301" customWidth="1"/>
    <col min="3083" max="3083" width="47.33203125" style="1301" customWidth="1"/>
    <col min="3084" max="3084" width="22.33203125" style="1301" customWidth="1"/>
    <col min="3085" max="3085" width="24.33203125" style="1301" customWidth="1"/>
    <col min="3086" max="3086" width="22.33203125" style="1301" customWidth="1"/>
    <col min="3087" max="3087" width="24.33203125" style="1301" customWidth="1"/>
    <col min="3088" max="3088" width="72.33203125" style="1301" customWidth="1"/>
    <col min="3089" max="3337" width="10.109375" style="1301"/>
    <col min="3338" max="3338" width="5.109375" style="1301" customWidth="1"/>
    <col min="3339" max="3339" width="47.33203125" style="1301" customWidth="1"/>
    <col min="3340" max="3340" width="22.33203125" style="1301" customWidth="1"/>
    <col min="3341" max="3341" width="24.33203125" style="1301" customWidth="1"/>
    <col min="3342" max="3342" width="22.33203125" style="1301" customWidth="1"/>
    <col min="3343" max="3343" width="24.33203125" style="1301" customWidth="1"/>
    <col min="3344" max="3344" width="72.33203125" style="1301" customWidth="1"/>
    <col min="3345" max="3593" width="10.109375" style="1301"/>
    <col min="3594" max="3594" width="5.109375" style="1301" customWidth="1"/>
    <col min="3595" max="3595" width="47.33203125" style="1301" customWidth="1"/>
    <col min="3596" max="3596" width="22.33203125" style="1301" customWidth="1"/>
    <col min="3597" max="3597" width="24.33203125" style="1301" customWidth="1"/>
    <col min="3598" max="3598" width="22.33203125" style="1301" customWidth="1"/>
    <col min="3599" max="3599" width="24.33203125" style="1301" customWidth="1"/>
    <col min="3600" max="3600" width="72.33203125" style="1301" customWidth="1"/>
    <col min="3601" max="3849" width="10.109375" style="1301"/>
    <col min="3850" max="3850" width="5.109375" style="1301" customWidth="1"/>
    <col min="3851" max="3851" width="47.33203125" style="1301" customWidth="1"/>
    <col min="3852" max="3852" width="22.33203125" style="1301" customWidth="1"/>
    <col min="3853" max="3853" width="24.33203125" style="1301" customWidth="1"/>
    <col min="3854" max="3854" width="22.33203125" style="1301" customWidth="1"/>
    <col min="3855" max="3855" width="24.33203125" style="1301" customWidth="1"/>
    <col min="3856" max="3856" width="72.33203125" style="1301" customWidth="1"/>
    <col min="3857" max="4105" width="10.109375" style="1301"/>
    <col min="4106" max="4106" width="5.109375" style="1301" customWidth="1"/>
    <col min="4107" max="4107" width="47.33203125" style="1301" customWidth="1"/>
    <col min="4108" max="4108" width="22.33203125" style="1301" customWidth="1"/>
    <col min="4109" max="4109" width="24.33203125" style="1301" customWidth="1"/>
    <col min="4110" max="4110" width="22.33203125" style="1301" customWidth="1"/>
    <col min="4111" max="4111" width="24.33203125" style="1301" customWidth="1"/>
    <col min="4112" max="4112" width="72.33203125" style="1301" customWidth="1"/>
    <col min="4113" max="4361" width="10.109375" style="1301"/>
    <col min="4362" max="4362" width="5.109375" style="1301" customWidth="1"/>
    <col min="4363" max="4363" width="47.33203125" style="1301" customWidth="1"/>
    <col min="4364" max="4364" width="22.33203125" style="1301" customWidth="1"/>
    <col min="4365" max="4365" width="24.33203125" style="1301" customWidth="1"/>
    <col min="4366" max="4366" width="22.33203125" style="1301" customWidth="1"/>
    <col min="4367" max="4367" width="24.33203125" style="1301" customWidth="1"/>
    <col min="4368" max="4368" width="72.33203125" style="1301" customWidth="1"/>
    <col min="4369" max="4617" width="10.109375" style="1301"/>
    <col min="4618" max="4618" width="5.109375" style="1301" customWidth="1"/>
    <col min="4619" max="4619" width="47.33203125" style="1301" customWidth="1"/>
    <col min="4620" max="4620" width="22.33203125" style="1301" customWidth="1"/>
    <col min="4621" max="4621" width="24.33203125" style="1301" customWidth="1"/>
    <col min="4622" max="4622" width="22.33203125" style="1301" customWidth="1"/>
    <col min="4623" max="4623" width="24.33203125" style="1301" customWidth="1"/>
    <col min="4624" max="4624" width="72.33203125" style="1301" customWidth="1"/>
    <col min="4625" max="4873" width="10.109375" style="1301"/>
    <col min="4874" max="4874" width="5.109375" style="1301" customWidth="1"/>
    <col min="4875" max="4875" width="47.33203125" style="1301" customWidth="1"/>
    <col min="4876" max="4876" width="22.33203125" style="1301" customWidth="1"/>
    <col min="4877" max="4877" width="24.33203125" style="1301" customWidth="1"/>
    <col min="4878" max="4878" width="22.33203125" style="1301" customWidth="1"/>
    <col min="4879" max="4879" width="24.33203125" style="1301" customWidth="1"/>
    <col min="4880" max="4880" width="72.33203125" style="1301" customWidth="1"/>
    <col min="4881" max="5129" width="10.109375" style="1301"/>
    <col min="5130" max="5130" width="5.109375" style="1301" customWidth="1"/>
    <col min="5131" max="5131" width="47.33203125" style="1301" customWidth="1"/>
    <col min="5132" max="5132" width="22.33203125" style="1301" customWidth="1"/>
    <col min="5133" max="5133" width="24.33203125" style="1301" customWidth="1"/>
    <col min="5134" max="5134" width="22.33203125" style="1301" customWidth="1"/>
    <col min="5135" max="5135" width="24.33203125" style="1301" customWidth="1"/>
    <col min="5136" max="5136" width="72.33203125" style="1301" customWidth="1"/>
    <col min="5137" max="5385" width="10.109375" style="1301"/>
    <col min="5386" max="5386" width="5.109375" style="1301" customWidth="1"/>
    <col min="5387" max="5387" width="47.33203125" style="1301" customWidth="1"/>
    <col min="5388" max="5388" width="22.33203125" style="1301" customWidth="1"/>
    <col min="5389" max="5389" width="24.33203125" style="1301" customWidth="1"/>
    <col min="5390" max="5390" width="22.33203125" style="1301" customWidth="1"/>
    <col min="5391" max="5391" width="24.33203125" style="1301" customWidth="1"/>
    <col min="5392" max="5392" width="72.33203125" style="1301" customWidth="1"/>
    <col min="5393" max="5641" width="10.109375" style="1301"/>
    <col min="5642" max="5642" width="5.109375" style="1301" customWidth="1"/>
    <col min="5643" max="5643" width="47.33203125" style="1301" customWidth="1"/>
    <col min="5644" max="5644" width="22.33203125" style="1301" customWidth="1"/>
    <col min="5645" max="5645" width="24.33203125" style="1301" customWidth="1"/>
    <col min="5646" max="5646" width="22.33203125" style="1301" customWidth="1"/>
    <col min="5647" max="5647" width="24.33203125" style="1301" customWidth="1"/>
    <col min="5648" max="5648" width="72.33203125" style="1301" customWidth="1"/>
    <col min="5649" max="5897" width="10.109375" style="1301"/>
    <col min="5898" max="5898" width="5.109375" style="1301" customWidth="1"/>
    <col min="5899" max="5899" width="47.33203125" style="1301" customWidth="1"/>
    <col min="5900" max="5900" width="22.33203125" style="1301" customWidth="1"/>
    <col min="5901" max="5901" width="24.33203125" style="1301" customWidth="1"/>
    <col min="5902" max="5902" width="22.33203125" style="1301" customWidth="1"/>
    <col min="5903" max="5903" width="24.33203125" style="1301" customWidth="1"/>
    <col min="5904" max="5904" width="72.33203125" style="1301" customWidth="1"/>
    <col min="5905" max="6153" width="10.109375" style="1301"/>
    <col min="6154" max="6154" width="5.109375" style="1301" customWidth="1"/>
    <col min="6155" max="6155" width="47.33203125" style="1301" customWidth="1"/>
    <col min="6156" max="6156" width="22.33203125" style="1301" customWidth="1"/>
    <col min="6157" max="6157" width="24.33203125" style="1301" customWidth="1"/>
    <col min="6158" max="6158" width="22.33203125" style="1301" customWidth="1"/>
    <col min="6159" max="6159" width="24.33203125" style="1301" customWidth="1"/>
    <col min="6160" max="6160" width="72.33203125" style="1301" customWidth="1"/>
    <col min="6161" max="6409" width="10.109375" style="1301"/>
    <col min="6410" max="6410" width="5.109375" style="1301" customWidth="1"/>
    <col min="6411" max="6411" width="47.33203125" style="1301" customWidth="1"/>
    <col min="6412" max="6412" width="22.33203125" style="1301" customWidth="1"/>
    <col min="6413" max="6413" width="24.33203125" style="1301" customWidth="1"/>
    <col min="6414" max="6414" width="22.33203125" style="1301" customWidth="1"/>
    <col min="6415" max="6415" width="24.33203125" style="1301" customWidth="1"/>
    <col min="6416" max="6416" width="72.33203125" style="1301" customWidth="1"/>
    <col min="6417" max="6665" width="10.109375" style="1301"/>
    <col min="6666" max="6666" width="5.109375" style="1301" customWidth="1"/>
    <col min="6667" max="6667" width="47.33203125" style="1301" customWidth="1"/>
    <col min="6668" max="6668" width="22.33203125" style="1301" customWidth="1"/>
    <col min="6669" max="6669" width="24.33203125" style="1301" customWidth="1"/>
    <col min="6670" max="6670" width="22.33203125" style="1301" customWidth="1"/>
    <col min="6671" max="6671" width="24.33203125" style="1301" customWidth="1"/>
    <col min="6672" max="6672" width="72.33203125" style="1301" customWidth="1"/>
    <col min="6673" max="6921" width="10.109375" style="1301"/>
    <col min="6922" max="6922" width="5.109375" style="1301" customWidth="1"/>
    <col min="6923" max="6923" width="47.33203125" style="1301" customWidth="1"/>
    <col min="6924" max="6924" width="22.33203125" style="1301" customWidth="1"/>
    <col min="6925" max="6925" width="24.33203125" style="1301" customWidth="1"/>
    <col min="6926" max="6926" width="22.33203125" style="1301" customWidth="1"/>
    <col min="6927" max="6927" width="24.33203125" style="1301" customWidth="1"/>
    <col min="6928" max="6928" width="72.33203125" style="1301" customWidth="1"/>
    <col min="6929" max="7177" width="10.109375" style="1301"/>
    <col min="7178" max="7178" width="5.109375" style="1301" customWidth="1"/>
    <col min="7179" max="7179" width="47.33203125" style="1301" customWidth="1"/>
    <col min="7180" max="7180" width="22.33203125" style="1301" customWidth="1"/>
    <col min="7181" max="7181" width="24.33203125" style="1301" customWidth="1"/>
    <col min="7182" max="7182" width="22.33203125" style="1301" customWidth="1"/>
    <col min="7183" max="7183" width="24.33203125" style="1301" customWidth="1"/>
    <col min="7184" max="7184" width="72.33203125" style="1301" customWidth="1"/>
    <col min="7185" max="7433" width="10.109375" style="1301"/>
    <col min="7434" max="7434" width="5.109375" style="1301" customWidth="1"/>
    <col min="7435" max="7435" width="47.33203125" style="1301" customWidth="1"/>
    <col min="7436" max="7436" width="22.33203125" style="1301" customWidth="1"/>
    <col min="7437" max="7437" width="24.33203125" style="1301" customWidth="1"/>
    <col min="7438" max="7438" width="22.33203125" style="1301" customWidth="1"/>
    <col min="7439" max="7439" width="24.33203125" style="1301" customWidth="1"/>
    <col min="7440" max="7440" width="72.33203125" style="1301" customWidth="1"/>
    <col min="7441" max="7689" width="10.109375" style="1301"/>
    <col min="7690" max="7690" width="5.109375" style="1301" customWidth="1"/>
    <col min="7691" max="7691" width="47.33203125" style="1301" customWidth="1"/>
    <col min="7692" max="7692" width="22.33203125" style="1301" customWidth="1"/>
    <col min="7693" max="7693" width="24.33203125" style="1301" customWidth="1"/>
    <col min="7694" max="7694" width="22.33203125" style="1301" customWidth="1"/>
    <col min="7695" max="7695" width="24.33203125" style="1301" customWidth="1"/>
    <col min="7696" max="7696" width="72.33203125" style="1301" customWidth="1"/>
    <col min="7697" max="7945" width="10.109375" style="1301"/>
    <col min="7946" max="7946" width="5.109375" style="1301" customWidth="1"/>
    <col min="7947" max="7947" width="47.33203125" style="1301" customWidth="1"/>
    <col min="7948" max="7948" width="22.33203125" style="1301" customWidth="1"/>
    <col min="7949" max="7949" width="24.33203125" style="1301" customWidth="1"/>
    <col min="7950" max="7950" width="22.33203125" style="1301" customWidth="1"/>
    <col min="7951" max="7951" width="24.33203125" style="1301" customWidth="1"/>
    <col min="7952" max="7952" width="72.33203125" style="1301" customWidth="1"/>
    <col min="7953" max="8201" width="10.109375" style="1301"/>
    <col min="8202" max="8202" width="5.109375" style="1301" customWidth="1"/>
    <col min="8203" max="8203" width="47.33203125" style="1301" customWidth="1"/>
    <col min="8204" max="8204" width="22.33203125" style="1301" customWidth="1"/>
    <col min="8205" max="8205" width="24.33203125" style="1301" customWidth="1"/>
    <col min="8206" max="8206" width="22.33203125" style="1301" customWidth="1"/>
    <col min="8207" max="8207" width="24.33203125" style="1301" customWidth="1"/>
    <col min="8208" max="8208" width="72.33203125" style="1301" customWidth="1"/>
    <col min="8209" max="8457" width="10.109375" style="1301"/>
    <col min="8458" max="8458" width="5.109375" style="1301" customWidth="1"/>
    <col min="8459" max="8459" width="47.33203125" style="1301" customWidth="1"/>
    <col min="8460" max="8460" width="22.33203125" style="1301" customWidth="1"/>
    <col min="8461" max="8461" width="24.33203125" style="1301" customWidth="1"/>
    <col min="8462" max="8462" width="22.33203125" style="1301" customWidth="1"/>
    <col min="8463" max="8463" width="24.33203125" style="1301" customWidth="1"/>
    <col min="8464" max="8464" width="72.33203125" style="1301" customWidth="1"/>
    <col min="8465" max="8713" width="10.109375" style="1301"/>
    <col min="8714" max="8714" width="5.109375" style="1301" customWidth="1"/>
    <col min="8715" max="8715" width="47.33203125" style="1301" customWidth="1"/>
    <col min="8716" max="8716" width="22.33203125" style="1301" customWidth="1"/>
    <col min="8717" max="8717" width="24.33203125" style="1301" customWidth="1"/>
    <col min="8718" max="8718" width="22.33203125" style="1301" customWidth="1"/>
    <col min="8719" max="8719" width="24.33203125" style="1301" customWidth="1"/>
    <col min="8720" max="8720" width="72.33203125" style="1301" customWidth="1"/>
    <col min="8721" max="8969" width="10.109375" style="1301"/>
    <col min="8970" max="8970" width="5.109375" style="1301" customWidth="1"/>
    <col min="8971" max="8971" width="47.33203125" style="1301" customWidth="1"/>
    <col min="8972" max="8972" width="22.33203125" style="1301" customWidth="1"/>
    <col min="8973" max="8973" width="24.33203125" style="1301" customWidth="1"/>
    <col min="8974" max="8974" width="22.33203125" style="1301" customWidth="1"/>
    <col min="8975" max="8975" width="24.33203125" style="1301" customWidth="1"/>
    <col min="8976" max="8976" width="72.33203125" style="1301" customWidth="1"/>
    <col min="8977" max="9225" width="10.109375" style="1301"/>
    <col min="9226" max="9226" width="5.109375" style="1301" customWidth="1"/>
    <col min="9227" max="9227" width="47.33203125" style="1301" customWidth="1"/>
    <col min="9228" max="9228" width="22.33203125" style="1301" customWidth="1"/>
    <col min="9229" max="9229" width="24.33203125" style="1301" customWidth="1"/>
    <col min="9230" max="9230" width="22.33203125" style="1301" customWidth="1"/>
    <col min="9231" max="9231" width="24.33203125" style="1301" customWidth="1"/>
    <col min="9232" max="9232" width="72.33203125" style="1301" customWidth="1"/>
    <col min="9233" max="9481" width="10.109375" style="1301"/>
    <col min="9482" max="9482" width="5.109375" style="1301" customWidth="1"/>
    <col min="9483" max="9483" width="47.33203125" style="1301" customWidth="1"/>
    <col min="9484" max="9484" width="22.33203125" style="1301" customWidth="1"/>
    <col min="9485" max="9485" width="24.33203125" style="1301" customWidth="1"/>
    <col min="9486" max="9486" width="22.33203125" style="1301" customWidth="1"/>
    <col min="9487" max="9487" width="24.33203125" style="1301" customWidth="1"/>
    <col min="9488" max="9488" width="72.33203125" style="1301" customWidth="1"/>
    <col min="9489" max="9737" width="10.109375" style="1301"/>
    <col min="9738" max="9738" width="5.109375" style="1301" customWidth="1"/>
    <col min="9739" max="9739" width="47.33203125" style="1301" customWidth="1"/>
    <col min="9740" max="9740" width="22.33203125" style="1301" customWidth="1"/>
    <col min="9741" max="9741" width="24.33203125" style="1301" customWidth="1"/>
    <col min="9742" max="9742" width="22.33203125" style="1301" customWidth="1"/>
    <col min="9743" max="9743" width="24.33203125" style="1301" customWidth="1"/>
    <col min="9744" max="9744" width="72.33203125" style="1301" customWidth="1"/>
    <col min="9745" max="9993" width="10.109375" style="1301"/>
    <col min="9994" max="9994" width="5.109375" style="1301" customWidth="1"/>
    <col min="9995" max="9995" width="47.33203125" style="1301" customWidth="1"/>
    <col min="9996" max="9996" width="22.33203125" style="1301" customWidth="1"/>
    <col min="9997" max="9997" width="24.33203125" style="1301" customWidth="1"/>
    <col min="9998" max="9998" width="22.33203125" style="1301" customWidth="1"/>
    <col min="9999" max="9999" width="24.33203125" style="1301" customWidth="1"/>
    <col min="10000" max="10000" width="72.33203125" style="1301" customWidth="1"/>
    <col min="10001" max="10249" width="10.109375" style="1301"/>
    <col min="10250" max="10250" width="5.109375" style="1301" customWidth="1"/>
    <col min="10251" max="10251" width="47.33203125" style="1301" customWidth="1"/>
    <col min="10252" max="10252" width="22.33203125" style="1301" customWidth="1"/>
    <col min="10253" max="10253" width="24.33203125" style="1301" customWidth="1"/>
    <col min="10254" max="10254" width="22.33203125" style="1301" customWidth="1"/>
    <col min="10255" max="10255" width="24.33203125" style="1301" customWidth="1"/>
    <col min="10256" max="10256" width="72.33203125" style="1301" customWidth="1"/>
    <col min="10257" max="10505" width="10.109375" style="1301"/>
    <col min="10506" max="10506" width="5.109375" style="1301" customWidth="1"/>
    <col min="10507" max="10507" width="47.33203125" style="1301" customWidth="1"/>
    <col min="10508" max="10508" width="22.33203125" style="1301" customWidth="1"/>
    <col min="10509" max="10509" width="24.33203125" style="1301" customWidth="1"/>
    <col min="10510" max="10510" width="22.33203125" style="1301" customWidth="1"/>
    <col min="10511" max="10511" width="24.33203125" style="1301" customWidth="1"/>
    <col min="10512" max="10512" width="72.33203125" style="1301" customWidth="1"/>
    <col min="10513" max="10761" width="10.109375" style="1301"/>
    <col min="10762" max="10762" width="5.109375" style="1301" customWidth="1"/>
    <col min="10763" max="10763" width="47.33203125" style="1301" customWidth="1"/>
    <col min="10764" max="10764" width="22.33203125" style="1301" customWidth="1"/>
    <col min="10765" max="10765" width="24.33203125" style="1301" customWidth="1"/>
    <col min="10766" max="10766" width="22.33203125" style="1301" customWidth="1"/>
    <col min="10767" max="10767" width="24.33203125" style="1301" customWidth="1"/>
    <col min="10768" max="10768" width="72.33203125" style="1301" customWidth="1"/>
    <col min="10769" max="11017" width="10.109375" style="1301"/>
    <col min="11018" max="11018" width="5.109375" style="1301" customWidth="1"/>
    <col min="11019" max="11019" width="47.33203125" style="1301" customWidth="1"/>
    <col min="11020" max="11020" width="22.33203125" style="1301" customWidth="1"/>
    <col min="11021" max="11021" width="24.33203125" style="1301" customWidth="1"/>
    <col min="11022" max="11022" width="22.33203125" style="1301" customWidth="1"/>
    <col min="11023" max="11023" width="24.33203125" style="1301" customWidth="1"/>
    <col min="11024" max="11024" width="72.33203125" style="1301" customWidth="1"/>
    <col min="11025" max="11273" width="10.109375" style="1301"/>
    <col min="11274" max="11274" width="5.109375" style="1301" customWidth="1"/>
    <col min="11275" max="11275" width="47.33203125" style="1301" customWidth="1"/>
    <col min="11276" max="11276" width="22.33203125" style="1301" customWidth="1"/>
    <col min="11277" max="11277" width="24.33203125" style="1301" customWidth="1"/>
    <col min="11278" max="11278" width="22.33203125" style="1301" customWidth="1"/>
    <col min="11279" max="11279" width="24.33203125" style="1301" customWidth="1"/>
    <col min="11280" max="11280" width="72.33203125" style="1301" customWidth="1"/>
    <col min="11281" max="11529" width="10.109375" style="1301"/>
    <col min="11530" max="11530" width="5.109375" style="1301" customWidth="1"/>
    <col min="11531" max="11531" width="47.33203125" style="1301" customWidth="1"/>
    <col min="11532" max="11532" width="22.33203125" style="1301" customWidth="1"/>
    <col min="11533" max="11533" width="24.33203125" style="1301" customWidth="1"/>
    <col min="11534" max="11534" width="22.33203125" style="1301" customWidth="1"/>
    <col min="11535" max="11535" width="24.33203125" style="1301" customWidth="1"/>
    <col min="11536" max="11536" width="72.33203125" style="1301" customWidth="1"/>
    <col min="11537" max="11785" width="10.109375" style="1301"/>
    <col min="11786" max="11786" width="5.109375" style="1301" customWidth="1"/>
    <col min="11787" max="11787" width="47.33203125" style="1301" customWidth="1"/>
    <col min="11788" max="11788" width="22.33203125" style="1301" customWidth="1"/>
    <col min="11789" max="11789" width="24.33203125" style="1301" customWidth="1"/>
    <col min="11790" max="11790" width="22.33203125" style="1301" customWidth="1"/>
    <col min="11791" max="11791" width="24.33203125" style="1301" customWidth="1"/>
    <col min="11792" max="11792" width="72.33203125" style="1301" customWidth="1"/>
    <col min="11793" max="12041" width="10.109375" style="1301"/>
    <col min="12042" max="12042" width="5.109375" style="1301" customWidth="1"/>
    <col min="12043" max="12043" width="47.33203125" style="1301" customWidth="1"/>
    <col min="12044" max="12044" width="22.33203125" style="1301" customWidth="1"/>
    <col min="12045" max="12045" width="24.33203125" style="1301" customWidth="1"/>
    <col min="12046" max="12046" width="22.33203125" style="1301" customWidth="1"/>
    <col min="12047" max="12047" width="24.33203125" style="1301" customWidth="1"/>
    <col min="12048" max="12048" width="72.33203125" style="1301" customWidth="1"/>
    <col min="12049" max="12297" width="10.109375" style="1301"/>
    <col min="12298" max="12298" width="5.109375" style="1301" customWidth="1"/>
    <col min="12299" max="12299" width="47.33203125" style="1301" customWidth="1"/>
    <col min="12300" max="12300" width="22.33203125" style="1301" customWidth="1"/>
    <col min="12301" max="12301" width="24.33203125" style="1301" customWidth="1"/>
    <col min="12302" max="12302" width="22.33203125" style="1301" customWidth="1"/>
    <col min="12303" max="12303" width="24.33203125" style="1301" customWidth="1"/>
    <col min="12304" max="12304" width="72.33203125" style="1301" customWidth="1"/>
    <col min="12305" max="12553" width="10.109375" style="1301"/>
    <col min="12554" max="12554" width="5.109375" style="1301" customWidth="1"/>
    <col min="12555" max="12555" width="47.33203125" style="1301" customWidth="1"/>
    <col min="12556" max="12556" width="22.33203125" style="1301" customWidth="1"/>
    <col min="12557" max="12557" width="24.33203125" style="1301" customWidth="1"/>
    <col min="12558" max="12558" width="22.33203125" style="1301" customWidth="1"/>
    <col min="12559" max="12559" width="24.33203125" style="1301" customWidth="1"/>
    <col min="12560" max="12560" width="72.33203125" style="1301" customWidth="1"/>
    <col min="12561" max="12809" width="10.109375" style="1301"/>
    <col min="12810" max="12810" width="5.109375" style="1301" customWidth="1"/>
    <col min="12811" max="12811" width="47.33203125" style="1301" customWidth="1"/>
    <col min="12812" max="12812" width="22.33203125" style="1301" customWidth="1"/>
    <col min="12813" max="12813" width="24.33203125" style="1301" customWidth="1"/>
    <col min="12814" max="12814" width="22.33203125" style="1301" customWidth="1"/>
    <col min="12815" max="12815" width="24.33203125" style="1301" customWidth="1"/>
    <col min="12816" max="12816" width="72.33203125" style="1301" customWidth="1"/>
    <col min="12817" max="13065" width="10.109375" style="1301"/>
    <col min="13066" max="13066" width="5.109375" style="1301" customWidth="1"/>
    <col min="13067" max="13067" width="47.33203125" style="1301" customWidth="1"/>
    <col min="13068" max="13068" width="22.33203125" style="1301" customWidth="1"/>
    <col min="13069" max="13069" width="24.33203125" style="1301" customWidth="1"/>
    <col min="13070" max="13070" width="22.33203125" style="1301" customWidth="1"/>
    <col min="13071" max="13071" width="24.33203125" style="1301" customWidth="1"/>
    <col min="13072" max="13072" width="72.33203125" style="1301" customWidth="1"/>
    <col min="13073" max="13321" width="10.109375" style="1301"/>
    <col min="13322" max="13322" width="5.109375" style="1301" customWidth="1"/>
    <col min="13323" max="13323" width="47.33203125" style="1301" customWidth="1"/>
    <col min="13324" max="13324" width="22.33203125" style="1301" customWidth="1"/>
    <col min="13325" max="13325" width="24.33203125" style="1301" customWidth="1"/>
    <col min="13326" max="13326" width="22.33203125" style="1301" customWidth="1"/>
    <col min="13327" max="13327" width="24.33203125" style="1301" customWidth="1"/>
    <col min="13328" max="13328" width="72.33203125" style="1301" customWidth="1"/>
    <col min="13329" max="13577" width="10.109375" style="1301"/>
    <col min="13578" max="13578" width="5.109375" style="1301" customWidth="1"/>
    <col min="13579" max="13579" width="47.33203125" style="1301" customWidth="1"/>
    <col min="13580" max="13580" width="22.33203125" style="1301" customWidth="1"/>
    <col min="13581" max="13581" width="24.33203125" style="1301" customWidth="1"/>
    <col min="13582" max="13582" width="22.33203125" style="1301" customWidth="1"/>
    <col min="13583" max="13583" width="24.33203125" style="1301" customWidth="1"/>
    <col min="13584" max="13584" width="72.33203125" style="1301" customWidth="1"/>
    <col min="13585" max="13833" width="10.109375" style="1301"/>
    <col min="13834" max="13834" width="5.109375" style="1301" customWidth="1"/>
    <col min="13835" max="13835" width="47.33203125" style="1301" customWidth="1"/>
    <col min="13836" max="13836" width="22.33203125" style="1301" customWidth="1"/>
    <col min="13837" max="13837" width="24.33203125" style="1301" customWidth="1"/>
    <col min="13838" max="13838" width="22.33203125" style="1301" customWidth="1"/>
    <col min="13839" max="13839" width="24.33203125" style="1301" customWidth="1"/>
    <col min="13840" max="13840" width="72.33203125" style="1301" customWidth="1"/>
    <col min="13841" max="14089" width="10.109375" style="1301"/>
    <col min="14090" max="14090" width="5.109375" style="1301" customWidth="1"/>
    <col min="14091" max="14091" width="47.33203125" style="1301" customWidth="1"/>
    <col min="14092" max="14092" width="22.33203125" style="1301" customWidth="1"/>
    <col min="14093" max="14093" width="24.33203125" style="1301" customWidth="1"/>
    <col min="14094" max="14094" width="22.33203125" style="1301" customWidth="1"/>
    <col min="14095" max="14095" width="24.33203125" style="1301" customWidth="1"/>
    <col min="14096" max="14096" width="72.33203125" style="1301" customWidth="1"/>
    <col min="14097" max="14345" width="10.109375" style="1301"/>
    <col min="14346" max="14346" width="5.109375" style="1301" customWidth="1"/>
    <col min="14347" max="14347" width="47.33203125" style="1301" customWidth="1"/>
    <col min="14348" max="14348" width="22.33203125" style="1301" customWidth="1"/>
    <col min="14349" max="14349" width="24.33203125" style="1301" customWidth="1"/>
    <col min="14350" max="14350" width="22.33203125" style="1301" customWidth="1"/>
    <col min="14351" max="14351" width="24.33203125" style="1301" customWidth="1"/>
    <col min="14352" max="14352" width="72.33203125" style="1301" customWidth="1"/>
    <col min="14353" max="14601" width="10.109375" style="1301"/>
    <col min="14602" max="14602" width="5.109375" style="1301" customWidth="1"/>
    <col min="14603" max="14603" width="47.33203125" style="1301" customWidth="1"/>
    <col min="14604" max="14604" width="22.33203125" style="1301" customWidth="1"/>
    <col min="14605" max="14605" width="24.33203125" style="1301" customWidth="1"/>
    <col min="14606" max="14606" width="22.33203125" style="1301" customWidth="1"/>
    <col min="14607" max="14607" width="24.33203125" style="1301" customWidth="1"/>
    <col min="14608" max="14608" width="72.33203125" style="1301" customWidth="1"/>
    <col min="14609" max="14857" width="10.109375" style="1301"/>
    <col min="14858" max="14858" width="5.109375" style="1301" customWidth="1"/>
    <col min="14859" max="14859" width="47.33203125" style="1301" customWidth="1"/>
    <col min="14860" max="14860" width="22.33203125" style="1301" customWidth="1"/>
    <col min="14861" max="14861" width="24.33203125" style="1301" customWidth="1"/>
    <col min="14862" max="14862" width="22.33203125" style="1301" customWidth="1"/>
    <col min="14863" max="14863" width="24.33203125" style="1301" customWidth="1"/>
    <col min="14864" max="14864" width="72.33203125" style="1301" customWidth="1"/>
    <col min="14865" max="15113" width="10.109375" style="1301"/>
    <col min="15114" max="15114" width="5.109375" style="1301" customWidth="1"/>
    <col min="15115" max="15115" width="47.33203125" style="1301" customWidth="1"/>
    <col min="15116" max="15116" width="22.33203125" style="1301" customWidth="1"/>
    <col min="15117" max="15117" width="24.33203125" style="1301" customWidth="1"/>
    <col min="15118" max="15118" width="22.33203125" style="1301" customWidth="1"/>
    <col min="15119" max="15119" width="24.33203125" style="1301" customWidth="1"/>
    <col min="15120" max="15120" width="72.33203125" style="1301" customWidth="1"/>
    <col min="15121" max="15369" width="10.109375" style="1301"/>
    <col min="15370" max="15370" width="5.109375" style="1301" customWidth="1"/>
    <col min="15371" max="15371" width="47.33203125" style="1301" customWidth="1"/>
    <col min="15372" max="15372" width="22.33203125" style="1301" customWidth="1"/>
    <col min="15373" max="15373" width="24.33203125" style="1301" customWidth="1"/>
    <col min="15374" max="15374" width="22.33203125" style="1301" customWidth="1"/>
    <col min="15375" max="15375" width="24.33203125" style="1301" customWidth="1"/>
    <col min="15376" max="15376" width="72.33203125" style="1301" customWidth="1"/>
    <col min="15377" max="15625" width="10.109375" style="1301"/>
    <col min="15626" max="15626" width="5.109375" style="1301" customWidth="1"/>
    <col min="15627" max="15627" width="47.33203125" style="1301" customWidth="1"/>
    <col min="15628" max="15628" width="22.33203125" style="1301" customWidth="1"/>
    <col min="15629" max="15629" width="24.33203125" style="1301" customWidth="1"/>
    <col min="15630" max="15630" width="22.33203125" style="1301" customWidth="1"/>
    <col min="15631" max="15631" width="24.33203125" style="1301" customWidth="1"/>
    <col min="15632" max="15632" width="72.33203125" style="1301" customWidth="1"/>
    <col min="15633" max="15881" width="10.109375" style="1301"/>
    <col min="15882" max="15882" width="5.109375" style="1301" customWidth="1"/>
    <col min="15883" max="15883" width="47.33203125" style="1301" customWidth="1"/>
    <col min="15884" max="15884" width="22.33203125" style="1301" customWidth="1"/>
    <col min="15885" max="15885" width="24.33203125" style="1301" customWidth="1"/>
    <col min="15886" max="15886" width="22.33203125" style="1301" customWidth="1"/>
    <col min="15887" max="15887" width="24.33203125" style="1301" customWidth="1"/>
    <col min="15888" max="15888" width="72.33203125" style="1301" customWidth="1"/>
    <col min="15889" max="16137" width="10.109375" style="1301"/>
    <col min="16138" max="16138" width="5.109375" style="1301" customWidth="1"/>
    <col min="16139" max="16139" width="47.33203125" style="1301" customWidth="1"/>
    <col min="16140" max="16140" width="22.33203125" style="1301" customWidth="1"/>
    <col min="16141" max="16141" width="24.33203125" style="1301" customWidth="1"/>
    <col min="16142" max="16142" width="22.33203125" style="1301" customWidth="1"/>
    <col min="16143" max="16143" width="24.33203125" style="1301" customWidth="1"/>
    <col min="16144" max="16144" width="72.33203125" style="1301" customWidth="1"/>
    <col min="16145" max="16384" width="10.109375" style="1301"/>
  </cols>
  <sheetData>
    <row r="1" spans="1:17">
      <c r="A1" s="1232" t="str">
        <f>'[4]1m'!A1</f>
        <v>ỦY BAN NHÂN DÂN TỈNH ĐỒNG THÁP</v>
      </c>
      <c r="B1" s="1232"/>
      <c r="C1" s="1300"/>
      <c r="D1" s="1300"/>
      <c r="E1" s="1300"/>
      <c r="F1" s="1300"/>
      <c r="H1" s="1302"/>
      <c r="I1" s="1302"/>
      <c r="J1" s="1300"/>
      <c r="K1" s="1300"/>
      <c r="L1" s="1303"/>
      <c r="M1" s="1303"/>
      <c r="O1" s="1302" t="s">
        <v>1365</v>
      </c>
      <c r="P1" s="1304"/>
    </row>
    <row r="2" spans="1:17">
      <c r="A2" s="6179" t="s">
        <v>1366</v>
      </c>
      <c r="B2" s="6179"/>
      <c r="C2" s="6179"/>
      <c r="D2" s="6179"/>
      <c r="E2" s="6179"/>
      <c r="F2" s="6179"/>
      <c r="G2" s="6179"/>
      <c r="H2" s="6179"/>
      <c r="I2" s="6179"/>
      <c r="J2" s="6179"/>
      <c r="K2" s="6179"/>
      <c r="L2" s="6179"/>
      <c r="M2" s="6179"/>
      <c r="N2" s="6179"/>
      <c r="O2" s="6179"/>
      <c r="P2" s="1305"/>
    </row>
    <row r="3" spans="1:17">
      <c r="A3" s="6179"/>
      <c r="B3" s="6179"/>
      <c r="C3" s="6179"/>
      <c r="D3" s="6179"/>
      <c r="E3" s="6179"/>
      <c r="F3" s="6179"/>
      <c r="G3" s="6179"/>
      <c r="H3" s="6179"/>
      <c r="I3" s="6179"/>
      <c r="J3" s="6179"/>
      <c r="K3" s="6179"/>
      <c r="L3" s="6179"/>
      <c r="M3" s="6179"/>
      <c r="N3" s="1305"/>
      <c r="O3" s="1305"/>
      <c r="P3" s="1305"/>
    </row>
    <row r="4" spans="1:17" ht="15.75" customHeight="1">
      <c r="A4" s="1301"/>
      <c r="B4" s="1337"/>
      <c r="C4" s="1337"/>
      <c r="D4" s="1337"/>
      <c r="E4" s="1337"/>
      <c r="F4" s="1337"/>
      <c r="G4" s="1337"/>
      <c r="H4" s="1337"/>
      <c r="I4" s="1337"/>
      <c r="J4" s="1337"/>
      <c r="K4" s="6182" t="s">
        <v>1121</v>
      </c>
      <c r="L4" s="6182"/>
      <c r="M4" s="6182"/>
      <c r="N4" s="1337"/>
      <c r="O4" s="1337"/>
      <c r="P4" s="1305"/>
    </row>
    <row r="5" spans="1:17">
      <c r="A5" s="6073" t="s">
        <v>247</v>
      </c>
      <c r="B5" s="6132" t="s">
        <v>1305</v>
      </c>
      <c r="C5" s="6180" t="s">
        <v>985</v>
      </c>
      <c r="D5" s="6180"/>
      <c r="E5" s="6180"/>
      <c r="F5" s="6180"/>
      <c r="G5" s="6180"/>
      <c r="H5" s="6180"/>
      <c r="I5" s="6181" t="s">
        <v>1122</v>
      </c>
      <c r="J5" s="6181"/>
      <c r="K5" s="6181"/>
      <c r="L5" s="6181"/>
      <c r="M5" s="6181"/>
      <c r="N5" s="6181"/>
      <c r="O5" s="6181"/>
      <c r="P5" s="1305"/>
    </row>
    <row r="6" spans="1:17" ht="15.75" customHeight="1">
      <c r="A6" s="6073"/>
      <c r="B6" s="6132"/>
      <c r="C6" s="6132" t="s">
        <v>1367</v>
      </c>
      <c r="D6" s="6132"/>
      <c r="E6" s="6132" t="s">
        <v>1307</v>
      </c>
      <c r="F6" s="6132"/>
      <c r="G6" s="6132" t="s">
        <v>996</v>
      </c>
      <c r="H6" s="6132" t="s">
        <v>1125</v>
      </c>
      <c r="I6" s="6132" t="s">
        <v>1368</v>
      </c>
      <c r="J6" s="6132" t="s">
        <v>1369</v>
      </c>
      <c r="K6" s="6132"/>
      <c r="L6" s="6132" t="s">
        <v>1370</v>
      </c>
      <c r="M6" s="6132"/>
      <c r="N6" s="6132" t="s">
        <v>1165</v>
      </c>
      <c r="O6" s="6132" t="s">
        <v>1125</v>
      </c>
      <c r="P6" s="1305"/>
    </row>
    <row r="7" spans="1:17" ht="15.75" customHeight="1">
      <c r="A7" s="6073"/>
      <c r="B7" s="6132"/>
      <c r="C7" s="6132"/>
      <c r="D7" s="6132"/>
      <c r="E7" s="6132"/>
      <c r="F7" s="6132"/>
      <c r="G7" s="6132"/>
      <c r="H7" s="6132"/>
      <c r="I7" s="6132"/>
      <c r="J7" s="6132"/>
      <c r="K7" s="6132"/>
      <c r="L7" s="6132"/>
      <c r="M7" s="6132"/>
      <c r="N7" s="6132"/>
      <c r="O7" s="6132"/>
      <c r="P7" s="1306"/>
    </row>
    <row r="8" spans="1:17" ht="15.75" customHeight="1">
      <c r="A8" s="6073"/>
      <c r="B8" s="6132"/>
      <c r="C8" s="6132" t="s">
        <v>987</v>
      </c>
      <c r="D8" s="6132" t="s">
        <v>1209</v>
      </c>
      <c r="E8" s="6132" t="s">
        <v>987</v>
      </c>
      <c r="F8" s="6132" t="s">
        <v>1209</v>
      </c>
      <c r="G8" s="6132"/>
      <c r="H8" s="6132"/>
      <c r="I8" s="6132"/>
      <c r="J8" s="6132" t="s">
        <v>987</v>
      </c>
      <c r="K8" s="6132" t="s">
        <v>1209</v>
      </c>
      <c r="L8" s="6132" t="s">
        <v>987</v>
      </c>
      <c r="M8" s="6132" t="s">
        <v>1209</v>
      </c>
      <c r="N8" s="6132"/>
      <c r="O8" s="6132"/>
      <c r="P8" s="1305"/>
    </row>
    <row r="9" spans="1:17" ht="49.5" customHeight="1">
      <c r="A9" s="6073"/>
      <c r="B9" s="6132"/>
      <c r="C9" s="6132"/>
      <c r="D9" s="6132"/>
      <c r="E9" s="6132"/>
      <c r="F9" s="6132"/>
      <c r="G9" s="6132"/>
      <c r="H9" s="6132"/>
      <c r="I9" s="6132"/>
      <c r="J9" s="6132"/>
      <c r="K9" s="6132"/>
      <c r="L9" s="6132"/>
      <c r="M9" s="6132"/>
      <c r="N9" s="6132"/>
      <c r="O9" s="6132"/>
      <c r="P9" s="1307"/>
    </row>
    <row r="10" spans="1:17">
      <c r="A10" s="1320" t="s">
        <v>1</v>
      </c>
      <c r="B10" s="1331" t="s">
        <v>37</v>
      </c>
      <c r="C10" s="1331" t="s">
        <v>1312</v>
      </c>
      <c r="D10" s="1331" t="s">
        <v>1313</v>
      </c>
      <c r="E10" s="1331" t="s">
        <v>1314</v>
      </c>
      <c r="F10" s="1331" t="s">
        <v>1315</v>
      </c>
      <c r="G10" s="1320" t="s">
        <v>1316</v>
      </c>
      <c r="H10" s="1321" t="s">
        <v>1317</v>
      </c>
      <c r="I10" s="1321"/>
      <c r="J10" s="1331" t="s">
        <v>1312</v>
      </c>
      <c r="K10" s="1331" t="s">
        <v>1313</v>
      </c>
      <c r="L10" s="1331" t="s">
        <v>1314</v>
      </c>
      <c r="M10" s="1331" t="s">
        <v>1315</v>
      </c>
      <c r="N10" s="1320" t="s">
        <v>1316</v>
      </c>
      <c r="O10" s="1321" t="s">
        <v>1317</v>
      </c>
      <c r="P10" s="1308"/>
    </row>
    <row r="11" spans="1:17" s="1303" customFormat="1">
      <c r="A11" s="1322"/>
      <c r="B11" s="1323" t="s">
        <v>387</v>
      </c>
      <c r="C11" s="1324">
        <f>SUM(C12,C13,C14)</f>
        <v>94664</v>
      </c>
      <c r="D11" s="1324">
        <f t="shared" ref="D11:M11" si="0">SUM(D12,D13,D14)</f>
        <v>5207</v>
      </c>
      <c r="E11" s="1324">
        <f t="shared" si="0"/>
        <v>108382</v>
      </c>
      <c r="F11" s="1324">
        <f t="shared" si="0"/>
        <v>5961</v>
      </c>
      <c r="G11" s="1324">
        <v>6448</v>
      </c>
      <c r="H11" s="1324">
        <f>D11+F11-G11</f>
        <v>4720</v>
      </c>
      <c r="I11" s="1324">
        <f t="shared" si="0"/>
        <v>12060</v>
      </c>
      <c r="J11" s="1324">
        <f t="shared" si="0"/>
        <v>102237</v>
      </c>
      <c r="K11" s="1324">
        <f t="shared" si="0"/>
        <v>5623</v>
      </c>
      <c r="L11" s="1324">
        <f t="shared" si="0"/>
        <v>117051</v>
      </c>
      <c r="M11" s="1324">
        <f t="shared" si="0"/>
        <v>6437</v>
      </c>
      <c r="N11" s="1332"/>
      <c r="O11" s="1332"/>
      <c r="P11" s="1309"/>
    </row>
    <row r="12" spans="1:17">
      <c r="A12" s="1326" t="s">
        <v>1312</v>
      </c>
      <c r="B12" s="1327" t="s">
        <v>1371</v>
      </c>
      <c r="C12" s="1136">
        <v>548</v>
      </c>
      <c r="D12" s="1136">
        <v>71</v>
      </c>
      <c r="E12" s="1136">
        <v>627</v>
      </c>
      <c r="F12" s="1136">
        <v>81</v>
      </c>
      <c r="G12" s="1328"/>
      <c r="H12" s="1325"/>
      <c r="I12" s="1325">
        <f>K12+M12</f>
        <v>165</v>
      </c>
      <c r="J12" s="1136">
        <v>592</v>
      </c>
      <c r="K12" s="1136">
        <v>77</v>
      </c>
      <c r="L12" s="1136">
        <v>678</v>
      </c>
      <c r="M12" s="1136">
        <v>88</v>
      </c>
      <c r="N12" s="1333"/>
      <c r="O12" s="1334"/>
      <c r="P12" s="1310">
        <f>J12*0.22*1500000*30%</f>
        <v>58608000</v>
      </c>
      <c r="Q12" s="1311"/>
    </row>
    <row r="13" spans="1:17">
      <c r="A13" s="1326" t="s">
        <v>1313</v>
      </c>
      <c r="B13" s="1327" t="s">
        <v>1372</v>
      </c>
      <c r="C13" s="1136">
        <v>979</v>
      </c>
      <c r="D13" s="1136">
        <v>97</v>
      </c>
      <c r="E13" s="1136">
        <v>1121</v>
      </c>
      <c r="F13" s="1136">
        <v>111</v>
      </c>
      <c r="G13" s="1329"/>
      <c r="H13" s="1325"/>
      <c r="I13" s="1325">
        <f t="shared" ref="I13:I14" si="1">K13+M13</f>
        <v>225</v>
      </c>
      <c r="J13" s="1136">
        <v>1057</v>
      </c>
      <c r="K13" s="1136">
        <v>105</v>
      </c>
      <c r="L13" s="1136">
        <v>1211</v>
      </c>
      <c r="M13" s="1136">
        <v>120</v>
      </c>
      <c r="N13" s="1335"/>
      <c r="O13" s="1334"/>
      <c r="P13" s="1311"/>
      <c r="Q13" s="1311"/>
    </row>
    <row r="14" spans="1:17">
      <c r="A14" s="1326" t="s">
        <v>1314</v>
      </c>
      <c r="B14" s="1327" t="s">
        <v>1373</v>
      </c>
      <c r="C14" s="1136">
        <v>93137</v>
      </c>
      <c r="D14" s="1136">
        <v>5039</v>
      </c>
      <c r="E14" s="1136">
        <v>106634</v>
      </c>
      <c r="F14" s="1136">
        <v>5769</v>
      </c>
      <c r="G14" s="1329"/>
      <c r="H14" s="1325"/>
      <c r="I14" s="1325">
        <f t="shared" si="1"/>
        <v>11670</v>
      </c>
      <c r="J14" s="1136">
        <v>100588</v>
      </c>
      <c r="K14" s="1136">
        <v>5441</v>
      </c>
      <c r="L14" s="1136">
        <v>115162</v>
      </c>
      <c r="M14" s="1136">
        <v>6229</v>
      </c>
      <c r="N14" s="1335"/>
      <c r="O14" s="1334"/>
      <c r="P14" s="1311"/>
      <c r="Q14" s="1311"/>
    </row>
    <row r="15" spans="1:17">
      <c r="A15" s="1330"/>
      <c r="B15" s="1330"/>
      <c r="C15" s="1330"/>
      <c r="D15" s="1330"/>
      <c r="E15" s="1330"/>
      <c r="F15" s="1330"/>
      <c r="G15" s="1338"/>
      <c r="H15" s="1338"/>
      <c r="I15" s="1338"/>
      <c r="J15" s="1330"/>
      <c r="K15" s="1330"/>
      <c r="L15" s="1330"/>
      <c r="M15" s="1330"/>
      <c r="N15" s="1336"/>
      <c r="O15" s="1336"/>
      <c r="P15" s="1313"/>
    </row>
    <row r="16" spans="1:17">
      <c r="B16" s="1314"/>
      <c r="C16" s="1314"/>
      <c r="D16" s="1314"/>
      <c r="E16" s="1314"/>
      <c r="F16" s="1314"/>
      <c r="J16" s="1314"/>
      <c r="K16" s="1314"/>
      <c r="L16" s="1314"/>
      <c r="M16" s="1314"/>
    </row>
    <row r="17" spans="1:18" s="1274" customFormat="1">
      <c r="A17" s="1339" t="s">
        <v>1112</v>
      </c>
      <c r="B17" s="1274" t="s">
        <v>1347</v>
      </c>
      <c r="C17" s="1340"/>
      <c r="J17" s="1340"/>
    </row>
    <row r="18" spans="1:18" s="1232" customFormat="1">
      <c r="A18" s="6147"/>
      <c r="B18" s="6147"/>
      <c r="C18" s="6147"/>
      <c r="D18" s="6147"/>
      <c r="E18" s="6147"/>
      <c r="F18" s="6147"/>
      <c r="G18" s="6147"/>
      <c r="H18" s="6147"/>
      <c r="I18" s="6147"/>
      <c r="J18" s="6147"/>
      <c r="M18" s="6128"/>
      <c r="N18" s="6128"/>
      <c r="O18" s="6128"/>
      <c r="P18" s="1316"/>
      <c r="Q18" s="1316"/>
      <c r="R18" s="1316"/>
    </row>
    <row r="19" spans="1:18">
      <c r="F19" s="6121"/>
      <c r="G19" s="6121"/>
      <c r="H19" s="6121"/>
      <c r="I19" s="1194"/>
      <c r="M19" s="6121"/>
      <c r="N19" s="6121"/>
      <c r="O19" s="6121"/>
      <c r="P19" s="1317"/>
      <c r="Q19" s="1317"/>
      <c r="R19" s="1317"/>
    </row>
    <row r="20" spans="1:18">
      <c r="F20" s="6121"/>
      <c r="G20" s="6121"/>
      <c r="H20" s="6121"/>
      <c r="I20" s="1194"/>
      <c r="M20" s="6121"/>
      <c r="N20" s="6121"/>
      <c r="O20" s="6121"/>
      <c r="P20" s="1317"/>
      <c r="Q20" s="1317"/>
      <c r="R20" s="1317"/>
    </row>
    <row r="21" spans="1:18">
      <c r="F21" s="6127"/>
      <c r="G21" s="6127"/>
      <c r="H21" s="6127"/>
      <c r="I21" s="1195"/>
      <c r="M21" s="6127"/>
      <c r="N21" s="6127"/>
      <c r="O21" s="6127"/>
      <c r="P21" s="1318"/>
      <c r="Q21" s="1318"/>
      <c r="R21" s="1318"/>
    </row>
    <row r="22" spans="1:18">
      <c r="D22" s="6178"/>
      <c r="E22" s="6178"/>
      <c r="F22" s="6178"/>
      <c r="G22" s="6178"/>
      <c r="H22" s="6178"/>
      <c r="I22" s="1319"/>
      <c r="K22" s="6178"/>
      <c r="L22" s="6178"/>
      <c r="M22" s="6178"/>
      <c r="N22" s="6178"/>
      <c r="O22" s="6178"/>
    </row>
  </sheetData>
  <mergeCells count="34">
    <mergeCell ref="A2:O2"/>
    <mergeCell ref="C5:H5"/>
    <mergeCell ref="I5:O5"/>
    <mergeCell ref="C6:D7"/>
    <mergeCell ref="E6:F7"/>
    <mergeCell ref="G6:G9"/>
    <mergeCell ref="H6:H9"/>
    <mergeCell ref="A3:M3"/>
    <mergeCell ref="K4:M4"/>
    <mergeCell ref="D22:H22"/>
    <mergeCell ref="K22:O22"/>
    <mergeCell ref="K8:K9"/>
    <mergeCell ref="L8:L9"/>
    <mergeCell ref="M8:M9"/>
    <mergeCell ref="A18:J18"/>
    <mergeCell ref="M18:O18"/>
    <mergeCell ref="F19:H19"/>
    <mergeCell ref="M19:O19"/>
    <mergeCell ref="B5:B9"/>
    <mergeCell ref="A5:A9"/>
    <mergeCell ref="I6:I9"/>
    <mergeCell ref="J6:K7"/>
    <mergeCell ref="L6:M7"/>
    <mergeCell ref="N6:N9"/>
    <mergeCell ref="O6:O9"/>
    <mergeCell ref="F20:H20"/>
    <mergeCell ref="M20:O20"/>
    <mergeCell ref="F21:H21"/>
    <mergeCell ref="M21:O21"/>
    <mergeCell ref="C8:C9"/>
    <mergeCell ref="D8:D9"/>
    <mergeCell ref="E8:E9"/>
    <mergeCell ref="F8:F9"/>
    <mergeCell ref="J8:J9"/>
  </mergeCells>
  <hyperlinks>
    <hyperlink ref="A5:A9"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theme="5"/>
  </sheetPr>
  <dimension ref="A1:AC96"/>
  <sheetViews>
    <sheetView topLeftCell="D1" workbookViewId="0">
      <selection activeCell="U47" sqref="U47"/>
    </sheetView>
  </sheetViews>
  <sheetFormatPr defaultColWidth="14.5546875" defaultRowHeight="15.6"/>
  <cols>
    <col min="1" max="1" width="6.109375" style="2002" customWidth="1"/>
    <col min="2" max="2" width="81.88671875" style="2002" customWidth="1"/>
    <col min="3" max="3" width="14.109375" style="2002" customWidth="1"/>
    <col min="4" max="4" width="15" style="2002" customWidth="1"/>
    <col min="5" max="5" width="12.5546875" style="2002" hidden="1" customWidth="1"/>
    <col min="6" max="6" width="17.44140625" style="2002" hidden="1" customWidth="1"/>
    <col min="7" max="7" width="16.109375" style="2002" hidden="1" customWidth="1"/>
    <col min="8" max="9" width="15.109375" style="2002" hidden="1" customWidth="1"/>
    <col min="10" max="10" width="27.88671875" style="2002" hidden="1" customWidth="1"/>
    <col min="11" max="16" width="14.5546875" style="2002" hidden="1" customWidth="1"/>
    <col min="17" max="17" width="0" style="2002" hidden="1" customWidth="1"/>
    <col min="18" max="21" width="14.5546875" style="2002"/>
    <col min="22" max="22" width="15.44140625" style="2002" bestFit="1" customWidth="1"/>
    <col min="23" max="23" width="14.6640625" style="2002" bestFit="1" customWidth="1"/>
    <col min="24" max="24" width="15.44140625" style="2002" bestFit="1" customWidth="1"/>
    <col min="25" max="25" width="14.5546875" style="2002"/>
    <col min="26" max="26" width="16.5546875" style="2002" bestFit="1" customWidth="1"/>
    <col min="27" max="16384" width="14.5546875" style="2002"/>
  </cols>
  <sheetData>
    <row r="1" spans="1:22">
      <c r="B1" s="2003"/>
    </row>
    <row r="2" spans="1:22" ht="16.5" customHeight="1">
      <c r="A2" s="6183" t="s">
        <v>1440</v>
      </c>
      <c r="B2" s="6183"/>
      <c r="C2" s="6183"/>
      <c r="D2" s="6183"/>
    </row>
    <row r="3" spans="1:22">
      <c r="A3" s="6185" t="str">
        <f>+'Phụ lục số II'!A3:Q3</f>
        <v>(Kèm theo Báo cáo số          /BC-UBND ngày            tháng 8 năm 2024 của Ủy ban nhân dân tỉnh Đồng Tháp)</v>
      </c>
      <c r="B3" s="6185"/>
      <c r="C3" s="6185"/>
      <c r="D3" s="6185"/>
    </row>
    <row r="4" spans="1:22">
      <c r="A4" s="1998"/>
      <c r="B4" s="1998"/>
      <c r="C4" s="1998"/>
    </row>
    <row r="5" spans="1:22">
      <c r="B5" s="6184" t="s">
        <v>246</v>
      </c>
      <c r="C5" s="6184"/>
      <c r="D5" s="6184"/>
    </row>
    <row r="6" spans="1:22" s="2005" customFormat="1">
      <c r="A6" s="6073" t="s">
        <v>247</v>
      </c>
      <c r="B6" s="6187" t="s">
        <v>248</v>
      </c>
      <c r="C6" s="6187" t="s">
        <v>1441</v>
      </c>
      <c r="D6" s="6187" t="s">
        <v>1442</v>
      </c>
      <c r="P6" s="1999"/>
    </row>
    <row r="7" spans="1:22" s="2005" customFormat="1" ht="36" customHeight="1">
      <c r="A7" s="6186"/>
      <c r="B7" s="6188"/>
      <c r="C7" s="6188"/>
      <c r="D7" s="6188"/>
      <c r="E7" s="2005">
        <v>278430</v>
      </c>
      <c r="F7" s="2005" t="s">
        <v>1377</v>
      </c>
    </row>
    <row r="8" spans="1:22" s="2007" customFormat="1">
      <c r="A8" s="2006">
        <v>1</v>
      </c>
      <c r="B8" s="2006">
        <v>2</v>
      </c>
      <c r="C8" s="2006">
        <v>3</v>
      </c>
      <c r="D8" s="2006">
        <v>4</v>
      </c>
    </row>
    <row r="9" spans="1:22" s="2007" customFormat="1">
      <c r="A9" s="2008" t="s">
        <v>1</v>
      </c>
      <c r="B9" s="2009" t="s">
        <v>1378</v>
      </c>
      <c r="C9" s="2010">
        <f>C10+C14+C15+C19+C20+C13</f>
        <v>1891503.7338300014</v>
      </c>
      <c r="D9" s="2010">
        <f>D10+D14+D15+D19+D11+D12+D13</f>
        <v>366357</v>
      </c>
      <c r="F9" s="2011">
        <f>F10+F14+F15+F19</f>
        <v>1308662</v>
      </c>
      <c r="G9" s="2011">
        <f>G10+G14+G15+G19</f>
        <v>1840362</v>
      </c>
      <c r="I9" s="2011">
        <f>I10+I14+I15+I19</f>
        <v>1277795</v>
      </c>
      <c r="R9" s="5437">
        <f>R10+R14+R15+R19+R11+R12+R13+R16</f>
        <v>689650</v>
      </c>
      <c r="V9" s="5437">
        <f>V10+V14+V15+V19+V11+V12+V13+V16</f>
        <v>689650</v>
      </c>
    </row>
    <row r="10" spans="1:22" s="2007" customFormat="1">
      <c r="A10" s="2012">
        <v>1</v>
      </c>
      <c r="B10" s="2013" t="s">
        <v>1379</v>
      </c>
      <c r="C10" s="2014">
        <v>160371.73383000138</v>
      </c>
      <c r="D10" s="2015"/>
      <c r="F10" s="2007">
        <f>I24*1000</f>
        <v>538300</v>
      </c>
      <c r="G10" s="2016">
        <f>1070000</f>
        <v>1070000</v>
      </c>
      <c r="H10" s="2016">
        <f>G10+G14+G15+G19</f>
        <v>1840362</v>
      </c>
      <c r="I10" s="2017">
        <f>323000*50%</f>
        <v>161500</v>
      </c>
      <c r="J10" s="2018" t="s">
        <v>1380</v>
      </c>
      <c r="O10" s="2019">
        <v>595532</v>
      </c>
      <c r="P10" s="2020">
        <f>O10-C10</f>
        <v>435160.26616999862</v>
      </c>
      <c r="Q10" s="2020">
        <f>P10/70%</f>
        <v>621657.52309999801</v>
      </c>
      <c r="V10" s="5143"/>
    </row>
    <row r="11" spans="1:22" s="2007" customFormat="1">
      <c r="A11" s="2012">
        <v>2</v>
      </c>
      <c r="B11" s="2013" t="s">
        <v>1381</v>
      </c>
      <c r="C11" s="2014"/>
      <c r="D11" s="2015">
        <v>-181215</v>
      </c>
      <c r="G11" s="2016"/>
      <c r="H11" s="2016"/>
      <c r="I11" s="2017"/>
      <c r="J11" s="2018"/>
      <c r="O11" s="2019"/>
      <c r="P11" s="2020"/>
      <c r="Q11" s="2020"/>
      <c r="V11" s="5143"/>
    </row>
    <row r="12" spans="1:22" s="2007" customFormat="1">
      <c r="A12" s="2012">
        <v>3</v>
      </c>
      <c r="B12" s="2000" t="s">
        <v>1382</v>
      </c>
      <c r="C12" s="2014"/>
      <c r="D12" s="2015">
        <v>138495</v>
      </c>
      <c r="G12" s="2016"/>
      <c r="H12" s="2016"/>
      <c r="I12" s="2017"/>
      <c r="J12" s="2018"/>
      <c r="O12" s="2019"/>
      <c r="P12" s="2020"/>
      <c r="Q12" s="2020"/>
      <c r="R12" s="5142">
        <f>389983-R13</f>
        <v>218268</v>
      </c>
      <c r="V12" s="5143">
        <f>389983-V13</f>
        <v>218268</v>
      </c>
    </row>
    <row r="13" spans="1:22" s="2007" customFormat="1">
      <c r="A13" s="2012">
        <v>4</v>
      </c>
      <c r="B13" s="2000" t="s">
        <v>1383</v>
      </c>
      <c r="C13" s="2014">
        <v>171715</v>
      </c>
      <c r="D13" s="2015">
        <f>C13</f>
        <v>171715</v>
      </c>
      <c r="G13" s="2016"/>
      <c r="H13" s="2016"/>
      <c r="I13" s="2017"/>
      <c r="J13" s="2018"/>
      <c r="O13" s="2019"/>
      <c r="P13" s="2020"/>
      <c r="Q13" s="2020"/>
      <c r="R13" s="5142">
        <v>171715</v>
      </c>
      <c r="V13" s="5143">
        <f>+D13</f>
        <v>171715</v>
      </c>
    </row>
    <row r="14" spans="1:22" s="2007" customFormat="1">
      <c r="A14" s="2012">
        <v>5</v>
      </c>
      <c r="B14" s="2013" t="s">
        <v>1384</v>
      </c>
      <c r="C14" s="2014">
        <v>199675</v>
      </c>
      <c r="D14" s="2015">
        <f>C14</f>
        <v>199675</v>
      </c>
      <c r="E14" s="2021"/>
      <c r="F14" s="2021">
        <f>G14</f>
        <v>199675</v>
      </c>
      <c r="G14" s="2016">
        <f>C14</f>
        <v>199675</v>
      </c>
      <c r="H14" s="2016">
        <f>540000</f>
        <v>540000</v>
      </c>
      <c r="I14" s="2016">
        <v>186263</v>
      </c>
      <c r="J14" s="2016">
        <v>558922</v>
      </c>
      <c r="K14" s="2021">
        <f>F19-K15</f>
        <v>11171</v>
      </c>
      <c r="R14" s="5142">
        <v>199675</v>
      </c>
      <c r="T14" s="2007">
        <f>+T15+T16</f>
        <v>36313.800000000003</v>
      </c>
      <c r="V14" s="5143">
        <f>+D14</f>
        <v>199675</v>
      </c>
    </row>
    <row r="15" spans="1:22" s="2007" customFormat="1" ht="31.2">
      <c r="A15" s="2012">
        <v>6</v>
      </c>
      <c r="B15" s="2013" t="s">
        <v>1385</v>
      </c>
      <c r="C15" s="2014">
        <f>C16+C17+C18</f>
        <v>37687</v>
      </c>
      <c r="D15" s="2015">
        <f>C15</f>
        <v>37687</v>
      </c>
      <c r="E15" s="2021"/>
      <c r="F15" s="2021">
        <f>G15</f>
        <v>37687</v>
      </c>
      <c r="G15" s="2016">
        <f>C15</f>
        <v>37687</v>
      </c>
      <c r="H15" s="2022">
        <f>H14+G14+G15+G19</f>
        <v>1310362</v>
      </c>
      <c r="I15" s="2023">
        <v>50032</v>
      </c>
      <c r="J15" s="2016">
        <v>37093</v>
      </c>
      <c r="K15" s="2021">
        <f>J14-J15</f>
        <v>521829</v>
      </c>
      <c r="O15" s="2021"/>
      <c r="R15" s="5142">
        <v>50032</v>
      </c>
      <c r="T15" s="2007">
        <f>229018*10%</f>
        <v>22901.800000000003</v>
      </c>
      <c r="V15" s="5143">
        <v>50032</v>
      </c>
    </row>
    <row r="16" spans="1:22" s="2007" customFormat="1">
      <c r="A16" s="2012"/>
      <c r="B16" s="2024" t="s">
        <v>1386</v>
      </c>
      <c r="C16" s="2014">
        <v>27676</v>
      </c>
      <c r="D16" s="2015">
        <f t="shared" ref="D16:D18" si="0">C16</f>
        <v>27676</v>
      </c>
      <c r="G16" s="2016"/>
      <c r="H16" s="2022">
        <f>431000</f>
        <v>431000</v>
      </c>
      <c r="I16" s="2022"/>
      <c r="J16" s="2007" t="s">
        <v>1387</v>
      </c>
      <c r="O16" s="2021"/>
      <c r="R16" s="5142">
        <v>49960</v>
      </c>
      <c r="T16" s="2007">
        <v>13412</v>
      </c>
      <c r="V16" s="5143">
        <v>49960</v>
      </c>
    </row>
    <row r="17" spans="1:29" s="2007" customFormat="1">
      <c r="A17" s="2012"/>
      <c r="B17" s="2024" t="s">
        <v>1388</v>
      </c>
      <c r="C17" s="2014">
        <f>'[5]4b'!G11</f>
        <v>400</v>
      </c>
      <c r="D17" s="2015">
        <f t="shared" si="0"/>
        <v>400</v>
      </c>
      <c r="G17" s="2016"/>
      <c r="H17" s="2022">
        <f>H15-H16</f>
        <v>879362</v>
      </c>
      <c r="I17" s="2022"/>
      <c r="J17" s="2022">
        <f>431000*2</f>
        <v>862000</v>
      </c>
      <c r="K17" s="2021">
        <f>I9-J17</f>
        <v>415795</v>
      </c>
      <c r="L17" s="2016">
        <v>427000</v>
      </c>
      <c r="V17" s="5143"/>
    </row>
    <row r="18" spans="1:29" s="2007" customFormat="1">
      <c r="A18" s="2012"/>
      <c r="B18" s="2024" t="s">
        <v>1389</v>
      </c>
      <c r="C18" s="2014">
        <v>9611</v>
      </c>
      <c r="D18" s="2015">
        <f t="shared" si="0"/>
        <v>9611</v>
      </c>
      <c r="G18" s="2016"/>
      <c r="H18" s="2016" t="s">
        <v>1390</v>
      </c>
      <c r="I18" s="2016"/>
      <c r="K18" s="2021">
        <f>I10+I19</f>
        <v>1041500</v>
      </c>
      <c r="L18" s="2021">
        <f>J17+L17</f>
        <v>1289000</v>
      </c>
      <c r="V18" s="5143"/>
    </row>
    <row r="19" spans="1:29" s="2007" customFormat="1">
      <c r="A19" s="2012">
        <v>7</v>
      </c>
      <c r="B19" s="2013" t="s">
        <v>1391</v>
      </c>
      <c r="C19" s="2014">
        <v>671740</v>
      </c>
      <c r="D19" s="2015">
        <f>C38</f>
        <v>0</v>
      </c>
      <c r="F19" s="2021">
        <f>G19</f>
        <v>533000</v>
      </c>
      <c r="G19" s="2016">
        <v>533000</v>
      </c>
      <c r="H19" s="2016"/>
      <c r="I19" s="2016">
        <v>880000</v>
      </c>
      <c r="K19" s="2021">
        <f>K18-J17</f>
        <v>179500</v>
      </c>
      <c r="L19" s="2021">
        <f>L18-I10-I19</f>
        <v>247500</v>
      </c>
      <c r="V19" s="5143"/>
    </row>
    <row r="20" spans="1:29" s="2007" customFormat="1">
      <c r="A20" s="2012">
        <v>8</v>
      </c>
      <c r="B20" s="1997" t="s">
        <v>1392</v>
      </c>
      <c r="C20" s="2014">
        <v>650315</v>
      </c>
      <c r="D20" s="2015"/>
      <c r="F20" s="2021"/>
      <c r="G20" s="2016"/>
      <c r="H20" s="2016"/>
      <c r="I20" s="2016"/>
      <c r="K20" s="2021"/>
      <c r="L20" s="2021"/>
      <c r="T20" s="5235">
        <f>+T21-T22</f>
        <v>8172</v>
      </c>
      <c r="V20" s="5143"/>
      <c r="Y20" s="5235">
        <f>+C20-AA25</f>
        <v>-258685</v>
      </c>
    </row>
    <row r="21" spans="1:29" s="2007" customFormat="1">
      <c r="A21" s="2025" t="s">
        <v>37</v>
      </c>
      <c r="B21" s="2026" t="s">
        <v>1393</v>
      </c>
      <c r="C21" s="2027">
        <f>C22+C23+C30</f>
        <v>2287393.6700972863</v>
      </c>
      <c r="D21" s="2027">
        <f>D22+D23+D30</f>
        <v>3399595.3401945727</v>
      </c>
      <c r="F21" s="2011">
        <f>H16</f>
        <v>431000</v>
      </c>
      <c r="M21" s="2021">
        <f>D21+D40</f>
        <v>3399595.3401945727</v>
      </c>
      <c r="R21" s="5143">
        <v>2806245</v>
      </c>
      <c r="T21" s="5144">
        <f>376000-225000</f>
        <v>151000</v>
      </c>
      <c r="V21" s="5143">
        <v>2806245</v>
      </c>
      <c r="W21" s="2021">
        <f>+V21-D21</f>
        <v>-593350.34019457269</v>
      </c>
      <c r="Z21" s="5144">
        <v>12335657</v>
      </c>
    </row>
    <row r="22" spans="1:29" s="2007" customFormat="1">
      <c r="A22" s="2025" t="s">
        <v>3</v>
      </c>
      <c r="B22" s="1997" t="s">
        <v>1394</v>
      </c>
      <c r="C22" s="2027">
        <v>1052326</v>
      </c>
      <c r="D22" s="2027">
        <f>C22</f>
        <v>1052326</v>
      </c>
      <c r="F22" s="2011"/>
      <c r="M22" s="2021"/>
      <c r="S22" s="5144">
        <v>909498</v>
      </c>
      <c r="T22" s="5235">
        <f>+D22-S22</f>
        <v>142828</v>
      </c>
      <c r="V22" s="5142">
        <f>+V9-V21</f>
        <v>-2116595</v>
      </c>
      <c r="Z22" s="5144">
        <v>2806245</v>
      </c>
    </row>
    <row r="23" spans="1:29" s="2007" customFormat="1" ht="31.2">
      <c r="A23" s="2025" t="s">
        <v>33</v>
      </c>
      <c r="B23" s="2026" t="s">
        <v>1395</v>
      </c>
      <c r="C23" s="2027">
        <f>C24+C25+C26+C28+C27+C29</f>
        <v>969849.40554298763</v>
      </c>
      <c r="D23" s="2027">
        <f>D24+D25+D26+D28+D27+D29</f>
        <v>1939698.8110859753</v>
      </c>
      <c r="F23" s="2021">
        <f>F9-F21</f>
        <v>877662</v>
      </c>
      <c r="G23" s="2016">
        <v>760477.76280300017</v>
      </c>
      <c r="O23" s="2021">
        <f>+D23+D30</f>
        <v>2347269.3401945727</v>
      </c>
      <c r="P23" s="2021">
        <f>+C22+C24+C25</f>
        <v>1966149.1055429876</v>
      </c>
      <c r="Q23" s="2021">
        <f>+D22+D24+D25</f>
        <v>2879972.2110859752</v>
      </c>
      <c r="V23" s="5145">
        <f>+V21*10%</f>
        <v>280624.5</v>
      </c>
      <c r="X23" s="2021">
        <f>+D23</f>
        <v>1939698.8110859753</v>
      </c>
      <c r="Z23" s="5144">
        <f>+Z21-Z22</f>
        <v>9529412</v>
      </c>
      <c r="AA23" s="5145">
        <v>10426978</v>
      </c>
    </row>
    <row r="24" spans="1:29" s="2007" customFormat="1" ht="31.2">
      <c r="A24" s="2012">
        <v>1</v>
      </c>
      <c r="B24" s="2013" t="s">
        <v>1396</v>
      </c>
      <c r="C24" s="2087">
        <v>832795.5</v>
      </c>
      <c r="D24" s="2086">
        <f>C24*2</f>
        <v>1665591</v>
      </c>
      <c r="E24" s="2007">
        <v>458665</v>
      </c>
      <c r="F24" s="2021"/>
      <c r="G24" s="2028">
        <v>1529102</v>
      </c>
      <c r="H24" s="2007">
        <v>769</v>
      </c>
      <c r="I24" s="2007">
        <f>H24*70%</f>
        <v>538.29999999999995</v>
      </c>
      <c r="P24" s="2007">
        <f>+P23*10%</f>
        <v>196614.91055429878</v>
      </c>
      <c r="Q24" s="2007">
        <f>+Q23*10%</f>
        <v>287997.22110859753</v>
      </c>
      <c r="V24" s="2021">
        <f>+V21-D22</f>
        <v>1753919</v>
      </c>
      <c r="W24" s="2021">
        <f>+D23-V24</f>
        <v>185779.81108597526</v>
      </c>
      <c r="X24" s="2007">
        <f>+V24/2</f>
        <v>876959.5</v>
      </c>
      <c r="Z24" s="5144">
        <v>871092</v>
      </c>
      <c r="AA24" s="5236">
        <f>+Z23-AA23</f>
        <v>-897566</v>
      </c>
    </row>
    <row r="25" spans="1:29" s="2007" customFormat="1">
      <c r="A25" s="2012">
        <v>2</v>
      </c>
      <c r="B25" s="2013" t="s">
        <v>1397</v>
      </c>
      <c r="C25" s="2087">
        <f>'[5]2a tong cong'!AJ30</f>
        <v>81027.605542987527</v>
      </c>
      <c r="D25" s="2086">
        <f>C25*2</f>
        <v>162055.21108597505</v>
      </c>
      <c r="G25" s="2021">
        <f>G24-G23</f>
        <v>768624.23719699983</v>
      </c>
      <c r="X25" s="5144">
        <f>926156-X24</f>
        <v>49196.5</v>
      </c>
      <c r="AA25" s="5144">
        <v>909000</v>
      </c>
      <c r="AB25" s="2021">
        <f>+D13+D14</f>
        <v>371390</v>
      </c>
      <c r="AC25" s="2021">
        <f>+AA25-AB25</f>
        <v>537610</v>
      </c>
    </row>
    <row r="26" spans="1:29" s="2007" customFormat="1">
      <c r="A26" s="2012">
        <v>3</v>
      </c>
      <c r="B26" s="2013" t="s">
        <v>1398</v>
      </c>
      <c r="C26" s="2014">
        <v>4150</v>
      </c>
      <c r="D26" s="2015">
        <f>C26*2</f>
        <v>8300</v>
      </c>
      <c r="AA26" s="5237">
        <f>-AA24</f>
        <v>897566</v>
      </c>
    </row>
    <row r="27" spans="1:29" s="2007" customFormat="1" ht="31.2">
      <c r="A27" s="2012">
        <v>4</v>
      </c>
      <c r="B27" s="2013" t="s">
        <v>1399</v>
      </c>
      <c r="C27" s="2015">
        <v>48751</v>
      </c>
      <c r="D27" s="2015">
        <f>C27*2</f>
        <v>97502</v>
      </c>
      <c r="E27" s="2021">
        <f>D21+D40</f>
        <v>3399595.3401945727</v>
      </c>
      <c r="V27" s="2007">
        <f>+C22/1800000*1490000</f>
        <v>871092.07777777768</v>
      </c>
      <c r="AA27" s="5237">
        <f>+AA25-AA26</f>
        <v>11434</v>
      </c>
    </row>
    <row r="28" spans="1:29" s="2007" customFormat="1" ht="31.2">
      <c r="A28" s="2012">
        <v>5</v>
      </c>
      <c r="B28" s="2013" t="s">
        <v>1400</v>
      </c>
      <c r="C28" s="2015">
        <v>3125.3</v>
      </c>
      <c r="D28" s="2015">
        <f>C28*2</f>
        <v>6250.6</v>
      </c>
    </row>
    <row r="29" spans="1:29" s="2007" customFormat="1" ht="31.2">
      <c r="A29" s="2012">
        <v>6</v>
      </c>
      <c r="B29" s="2013" t="s">
        <v>1401</v>
      </c>
      <c r="C29" s="2014"/>
      <c r="D29" s="2015"/>
    </row>
    <row r="30" spans="1:29" s="2007" customFormat="1">
      <c r="A30" s="2025" t="s">
        <v>182</v>
      </c>
      <c r="B30" s="2029" t="s">
        <v>1402</v>
      </c>
      <c r="C30" s="2030">
        <f>C31+C32+C33+C34+C35</f>
        <v>265218.26455429877</v>
      </c>
      <c r="D30" s="2030">
        <f t="shared" ref="D30:N30" si="1">D31+D32+D33+D34+D35</f>
        <v>407570.52910859755</v>
      </c>
      <c r="E30" s="2030">
        <f t="shared" si="1"/>
        <v>0</v>
      </c>
      <c r="F30" s="2030">
        <f t="shared" si="1"/>
        <v>39453.5</v>
      </c>
      <c r="G30" s="2030">
        <f t="shared" si="1"/>
        <v>41126.400000000001</v>
      </c>
      <c r="H30" s="2030">
        <f t="shared" si="1"/>
        <v>1672.9000000000015</v>
      </c>
      <c r="I30" s="2030">
        <f t="shared" si="1"/>
        <v>0</v>
      </c>
      <c r="J30" s="2030">
        <f t="shared" si="1"/>
        <v>0</v>
      </c>
      <c r="K30" s="2030">
        <f t="shared" si="1"/>
        <v>0</v>
      </c>
      <c r="L30" s="2030">
        <f t="shared" si="1"/>
        <v>0</v>
      </c>
      <c r="M30" s="2030">
        <f t="shared" si="1"/>
        <v>0</v>
      </c>
      <c r="N30" s="2030">
        <f t="shared" si="1"/>
        <v>0</v>
      </c>
    </row>
    <row r="31" spans="1:29" s="2007" customFormat="1" ht="62.4">
      <c r="A31" s="2012">
        <v>1</v>
      </c>
      <c r="B31" s="2031" t="s">
        <v>1403</v>
      </c>
      <c r="C31" s="2014">
        <v>120888</v>
      </c>
      <c r="D31" s="2015">
        <f>C31</f>
        <v>120888</v>
      </c>
    </row>
    <row r="32" spans="1:29" s="2007" customFormat="1" ht="31.2">
      <c r="A32" s="2012">
        <v>2</v>
      </c>
      <c r="B32" s="2032" t="s">
        <v>1404</v>
      </c>
      <c r="C32" s="2014">
        <v>1978</v>
      </c>
      <c r="D32" s="2015">
        <f>C32</f>
        <v>1978</v>
      </c>
    </row>
    <row r="33" spans="1:24" s="2007" customFormat="1" ht="31.2">
      <c r="A33" s="2012">
        <v>3</v>
      </c>
      <c r="B33" s="2032" t="s">
        <v>1405</v>
      </c>
      <c r="C33" s="2014">
        <f>[5]hội!O10</f>
        <v>2696.0039999999995</v>
      </c>
      <c r="D33" s="2015">
        <f>C33*2</f>
        <v>5392.0079999999989</v>
      </c>
    </row>
    <row r="34" spans="1:24" s="2007" customFormat="1" ht="31.2">
      <c r="A34" s="2012">
        <v>4</v>
      </c>
      <c r="B34" s="2032" t="s">
        <v>1406</v>
      </c>
      <c r="C34" s="2014">
        <v>39453.5</v>
      </c>
      <c r="D34" s="2015">
        <f>C34*2</f>
        <v>78907</v>
      </c>
      <c r="E34" s="2007">
        <f>'[5]2d'!U14</f>
        <v>0</v>
      </c>
      <c r="F34" s="2021">
        <f>C34+E34</f>
        <v>39453.5</v>
      </c>
      <c r="G34" s="2007">
        <f>'[5]2d'!U14+'[5]2e'!K10</f>
        <v>41126.400000000001</v>
      </c>
      <c r="H34" s="2021">
        <f>G34-C34</f>
        <v>1672.9000000000015</v>
      </c>
      <c r="W34" s="5144">
        <v>909498</v>
      </c>
      <c r="X34" s="5144">
        <f>V21-W34</f>
        <v>1896747</v>
      </c>
    </row>
    <row r="35" spans="1:24" s="2007" customFormat="1">
      <c r="A35" s="2012"/>
      <c r="B35" s="2032" t="s">
        <v>1447</v>
      </c>
      <c r="C35" s="2014">
        <f>(C24+C25+C27+C34)*10%</f>
        <v>100202.76055429876</v>
      </c>
      <c r="D35" s="2015">
        <f>(D24+D25+D27+D34)*10%</f>
        <v>200405.52110859752</v>
      </c>
      <c r="F35" s="2021"/>
      <c r="H35" s="2021"/>
      <c r="V35" s="5144">
        <f>+V24*10%</f>
        <v>175391.90000000002</v>
      </c>
      <c r="W35" s="5144">
        <f>197000*2</f>
        <v>394000</v>
      </c>
      <c r="X35" s="5144">
        <f>X34-W35</f>
        <v>1502747</v>
      </c>
    </row>
    <row r="36" spans="1:24" s="2007" customFormat="1">
      <c r="A36" s="2025" t="s">
        <v>44</v>
      </c>
      <c r="B36" s="2026" t="s">
        <v>1407</v>
      </c>
      <c r="C36" s="2030">
        <f>C37+C38</f>
        <v>-395889.93626728491</v>
      </c>
      <c r="D36" s="2030">
        <f>D37+D38</f>
        <v>-3033238.3401945727</v>
      </c>
      <c r="E36" s="2030">
        <f t="shared" ref="E36:R36" si="2">E37+E38</f>
        <v>0</v>
      </c>
      <c r="F36" s="2030">
        <f t="shared" si="2"/>
        <v>877662</v>
      </c>
      <c r="G36" s="2030">
        <f t="shared" si="2"/>
        <v>1840363.2080536913</v>
      </c>
      <c r="H36" s="2030">
        <f t="shared" si="2"/>
        <v>0</v>
      </c>
      <c r="I36" s="2030">
        <f t="shared" si="2"/>
        <v>1277795</v>
      </c>
      <c r="J36" s="2030">
        <f t="shared" si="2"/>
        <v>0</v>
      </c>
      <c r="K36" s="2030">
        <f t="shared" si="2"/>
        <v>0</v>
      </c>
      <c r="L36" s="2030">
        <f t="shared" si="2"/>
        <v>0</v>
      </c>
      <c r="M36" s="2030">
        <f t="shared" si="2"/>
        <v>-3399595.3401945727</v>
      </c>
      <c r="N36" s="2030">
        <f t="shared" si="2"/>
        <v>0</v>
      </c>
      <c r="O36" s="2030">
        <f t="shared" si="2"/>
        <v>0</v>
      </c>
      <c r="P36" s="2030">
        <f t="shared" si="2"/>
        <v>0</v>
      </c>
      <c r="Q36" s="2030">
        <f t="shared" si="2"/>
        <v>0</v>
      </c>
      <c r="R36" s="5438">
        <f t="shared" si="2"/>
        <v>-2116595</v>
      </c>
      <c r="W36" s="5144"/>
      <c r="X36" s="5144">
        <f>W34/0.31*0.54</f>
        <v>1584286.8387096776</v>
      </c>
    </row>
    <row r="37" spans="1:24" s="2007" customFormat="1">
      <c r="A37" s="2012">
        <v>1</v>
      </c>
      <c r="B37" s="2013" t="s">
        <v>1408</v>
      </c>
      <c r="C37" s="2015">
        <f>C9-C21</f>
        <v>-395889.93626728491</v>
      </c>
      <c r="D37" s="2015">
        <f>D9-D21</f>
        <v>-3033238.3401945727</v>
      </c>
      <c r="E37" s="2015">
        <f t="shared" ref="E37:R37" si="3">E9-E21</f>
        <v>0</v>
      </c>
      <c r="F37" s="2015">
        <f t="shared" si="3"/>
        <v>877662</v>
      </c>
      <c r="G37" s="2015">
        <f t="shared" si="3"/>
        <v>1840362</v>
      </c>
      <c r="H37" s="2015">
        <f t="shared" si="3"/>
        <v>0</v>
      </c>
      <c r="I37" s="2015">
        <f t="shared" si="3"/>
        <v>1277795</v>
      </c>
      <c r="J37" s="2015">
        <f t="shared" si="3"/>
        <v>0</v>
      </c>
      <c r="K37" s="2015">
        <f t="shared" si="3"/>
        <v>0</v>
      </c>
      <c r="L37" s="2015">
        <f t="shared" si="3"/>
        <v>0</v>
      </c>
      <c r="M37" s="2015">
        <f t="shared" si="3"/>
        <v>-3399595.3401945727</v>
      </c>
      <c r="N37" s="2015">
        <f t="shared" si="3"/>
        <v>0</v>
      </c>
      <c r="O37" s="2015">
        <f t="shared" si="3"/>
        <v>0</v>
      </c>
      <c r="P37" s="2015">
        <f t="shared" si="3"/>
        <v>0</v>
      </c>
      <c r="Q37" s="2015">
        <f t="shared" si="3"/>
        <v>0</v>
      </c>
      <c r="R37" s="5439">
        <f t="shared" si="3"/>
        <v>-2116595</v>
      </c>
      <c r="W37" s="5144"/>
      <c r="X37" s="5144">
        <f>V21-X36-W34</f>
        <v>312460.16129032243</v>
      </c>
    </row>
    <row r="38" spans="1:24" s="2007" customFormat="1">
      <c r="A38" s="2033">
        <v>2</v>
      </c>
      <c r="B38" s="2034" t="s">
        <v>1409</v>
      </c>
      <c r="C38" s="2035"/>
      <c r="D38" s="2035"/>
      <c r="E38" s="2021"/>
      <c r="F38" s="2021"/>
      <c r="G38" s="2007">
        <f>1800/1490</f>
        <v>1.2080536912751678</v>
      </c>
      <c r="W38" s="5144"/>
      <c r="X38" s="5144">
        <v>241000</v>
      </c>
    </row>
    <row r="39" spans="1:24" s="2005" customFormat="1">
      <c r="A39" s="2036"/>
      <c r="B39" s="2007"/>
      <c r="D39" s="2037"/>
      <c r="E39" s="2038"/>
      <c r="F39" s="2038"/>
      <c r="W39" s="5424"/>
      <c r="X39" s="5424">
        <f>X37-X38</f>
        <v>71460.16129032243</v>
      </c>
    </row>
    <row r="40" spans="1:24">
      <c r="A40" s="2039"/>
      <c r="B40" s="2040"/>
      <c r="C40" s="2001"/>
      <c r="D40" s="2041"/>
    </row>
    <row r="41" spans="1:24">
      <c r="A41" s="2001"/>
      <c r="B41" s="2042"/>
      <c r="C41" s="2001"/>
    </row>
    <row r="42" spans="1:24">
      <c r="B42" s="2004"/>
    </row>
    <row r="44" spans="1:24">
      <c r="B44" s="2043"/>
    </row>
    <row r="45" spans="1:24">
      <c r="B45" s="2003"/>
      <c r="D45" s="2044"/>
    </row>
    <row r="96" spans="16:16">
      <c r="P96" s="2002" t="e">
        <f>+CCTL</f>
        <v>#NAME?</v>
      </c>
    </row>
  </sheetData>
  <mergeCells count="7">
    <mergeCell ref="A2:D2"/>
    <mergeCell ref="B5:D5"/>
    <mergeCell ref="A3:D3"/>
    <mergeCell ref="A6:A7"/>
    <mergeCell ref="B6:B7"/>
    <mergeCell ref="C6:C7"/>
    <mergeCell ref="D6:D7"/>
  </mergeCells>
  <hyperlinks>
    <hyperlink ref="A6:A7" location="'Danh mục file'!A1" display="STT"/>
  </hyperlinks>
  <printOptions horizontalCentered="1"/>
  <pageMargins left="0" right="0" top="0.39370078740157483" bottom="0" header="0" footer="0"/>
  <pageSetup paperSize="9" scale="80" orientation="portrait" r:id="rId1"/>
  <headerFooter>
    <oddHeader>&amp;R&amp;A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tabColor theme="5"/>
  </sheetPr>
  <dimension ref="A1:CU86"/>
  <sheetViews>
    <sheetView zoomScale="80" zoomScaleNormal="80" zoomScaleSheetLayoutView="120" workbookViewId="0">
      <selection activeCell="A6" sqref="A6"/>
    </sheetView>
  </sheetViews>
  <sheetFormatPr defaultColWidth="10.33203125" defaultRowHeight="18"/>
  <cols>
    <col min="1" max="1" width="8.88671875" style="56" customWidth="1"/>
    <col min="2" max="2" width="68.6640625" style="56" customWidth="1"/>
    <col min="3" max="3" width="13.33203125" style="122" customWidth="1"/>
    <col min="4" max="4" width="13.5546875" style="56" customWidth="1"/>
    <col min="5" max="5" width="13.44140625" style="56" customWidth="1"/>
    <col min="6" max="6" width="11.6640625" style="56" hidden="1" customWidth="1"/>
    <col min="7" max="10" width="12.109375" style="56" hidden="1" customWidth="1"/>
    <col min="11" max="12" width="13.44140625" style="56" hidden="1" customWidth="1"/>
    <col min="13" max="13" width="12.109375" style="56" hidden="1" customWidth="1"/>
    <col min="14" max="14" width="13.44140625" style="56" hidden="1" customWidth="1"/>
    <col min="15" max="16" width="12.109375" style="56" hidden="1" customWidth="1"/>
    <col min="17" max="17" width="13.44140625" style="56" hidden="1" customWidth="1"/>
    <col min="18" max="16384" width="10.33203125" style="56"/>
  </cols>
  <sheetData>
    <row r="1" spans="1:99" s="54" customFormat="1" ht="21">
      <c r="A1" s="6189" t="s">
        <v>289</v>
      </c>
      <c r="B1" s="6189"/>
      <c r="C1" s="6189"/>
      <c r="D1" s="6189"/>
      <c r="E1" s="6189"/>
      <c r="F1" s="53"/>
      <c r="G1" s="53"/>
      <c r="H1" s="53"/>
      <c r="I1" s="53"/>
      <c r="J1" s="53"/>
      <c r="K1" s="53"/>
      <c r="L1" s="53"/>
      <c r="M1" s="53"/>
      <c r="N1" s="53"/>
      <c r="O1" s="53"/>
      <c r="P1" s="53"/>
      <c r="Q1" s="53"/>
      <c r="AI1" s="55"/>
      <c r="AQ1" s="55"/>
      <c r="AY1" s="55"/>
      <c r="BG1" s="55"/>
      <c r="BO1" s="55"/>
      <c r="BW1" s="55"/>
      <c r="CE1" s="55"/>
      <c r="CM1" s="55"/>
      <c r="CU1" s="55"/>
    </row>
    <row r="2" spans="1:99" ht="17.25" customHeight="1">
      <c r="A2" s="6190" t="s">
        <v>290</v>
      </c>
      <c r="B2" s="6190"/>
      <c r="C2" s="6190"/>
      <c r="D2" s="6190"/>
      <c r="E2" s="6190"/>
    </row>
    <row r="3" spans="1:99" ht="17.25" customHeight="1">
      <c r="A3" s="6190"/>
      <c r="B3" s="6190"/>
      <c r="C3" s="6190"/>
      <c r="D3" s="6190"/>
      <c r="E3" s="6190"/>
    </row>
    <row r="4" spans="1:99" ht="17.25" customHeight="1">
      <c r="A4" s="57"/>
      <c r="B4" s="57"/>
      <c r="C4" s="58"/>
    </row>
    <row r="5" spans="1:99" ht="17.25" customHeight="1" thickBot="1">
      <c r="B5" s="59"/>
      <c r="C5" s="6191" t="s">
        <v>246</v>
      </c>
      <c r="D5" s="6191"/>
      <c r="E5" s="6191"/>
    </row>
    <row r="6" spans="1:99" s="64" customFormat="1" ht="60.6" customHeight="1">
      <c r="A6" s="3049" t="s">
        <v>247</v>
      </c>
      <c r="B6" s="60" t="s">
        <v>248</v>
      </c>
      <c r="C6" s="60" t="s">
        <v>54</v>
      </c>
      <c r="D6" s="60" t="s">
        <v>249</v>
      </c>
      <c r="E6" s="61" t="s">
        <v>250</v>
      </c>
      <c r="F6" s="62" t="s">
        <v>251</v>
      </c>
      <c r="G6" s="63" t="s">
        <v>252</v>
      </c>
      <c r="H6" s="63" t="s">
        <v>253</v>
      </c>
      <c r="I6" s="63" t="s">
        <v>254</v>
      </c>
      <c r="J6" s="63" t="s">
        <v>255</v>
      </c>
      <c r="K6" s="63" t="s">
        <v>256</v>
      </c>
      <c r="L6" s="63" t="s">
        <v>257</v>
      </c>
      <c r="M6" s="63" t="s">
        <v>258</v>
      </c>
      <c r="N6" s="63" t="s">
        <v>259</v>
      </c>
      <c r="O6" s="63" t="s">
        <v>260</v>
      </c>
      <c r="P6" s="63" t="s">
        <v>261</v>
      </c>
      <c r="Q6" s="63" t="s">
        <v>262</v>
      </c>
    </row>
    <row r="7" spans="1:99" s="71" customFormat="1" ht="17.399999999999999">
      <c r="A7" s="65" t="s">
        <v>3</v>
      </c>
      <c r="B7" s="66" t="s">
        <v>263</v>
      </c>
      <c r="C7" s="67"/>
      <c r="D7" s="68"/>
      <c r="E7" s="69"/>
      <c r="F7" s="70"/>
      <c r="G7" s="68"/>
      <c r="H7" s="68"/>
      <c r="I7" s="68"/>
      <c r="J7" s="68"/>
      <c r="K7" s="68"/>
      <c r="L7" s="68"/>
      <c r="M7" s="68"/>
      <c r="N7" s="68"/>
      <c r="O7" s="68"/>
      <c r="P7" s="68"/>
      <c r="Q7" s="68"/>
    </row>
    <row r="8" spans="1:99" s="71" customFormat="1" ht="17.399999999999999">
      <c r="A8" s="72">
        <v>1</v>
      </c>
      <c r="B8" s="73" t="s">
        <v>264</v>
      </c>
      <c r="C8" s="74">
        <f>SUM(D8:E8)</f>
        <v>327868.91231904214</v>
      </c>
      <c r="D8" s="75">
        <f>'[3]Phụ lục số 2'!AA30</f>
        <v>152264.36799999999</v>
      </c>
      <c r="E8" s="76">
        <f>SUM(F8:Q8)</f>
        <v>175604.54431904212</v>
      </c>
      <c r="F8" s="77">
        <f>'[3]Phụ lục 6-HĐND'!D15</f>
        <v>10437.59385626638</v>
      </c>
      <c r="G8" s="77">
        <f>'[3]Phụ lục 6-HĐND'!E15</f>
        <v>11499.215573075984</v>
      </c>
      <c r="H8" s="77">
        <f>'[3]Phụ lục 6-HĐND'!F15</f>
        <v>10537.223837203137</v>
      </c>
      <c r="I8" s="77">
        <f>'[3]Phụ lục 6-HĐND'!G15</f>
        <v>11588.977980819584</v>
      </c>
      <c r="J8" s="77">
        <f>'[3]Phụ lục 6-HĐND'!H15</f>
        <v>15019.092791175266</v>
      </c>
      <c r="K8" s="77">
        <f>'[3]Phụ lục 6-HĐND'!I15</f>
        <v>24840.315989198371</v>
      </c>
      <c r="L8" s="77">
        <f>'[3]Phụ lục 6-HĐND'!J15</f>
        <v>18324.891001880766</v>
      </c>
      <c r="M8" s="77">
        <f>'[3]Phụ lục 6-HĐND'!K15</f>
        <v>15331.331169737576</v>
      </c>
      <c r="N8" s="77">
        <f>'[3]Phụ lục 6-HĐND'!L15</f>
        <v>16254.273125298643</v>
      </c>
      <c r="O8" s="77">
        <f>'[3]Phụ lục 6-HĐND'!M15</f>
        <v>11451.024086591191</v>
      </c>
      <c r="P8" s="77">
        <f>'[3]Phụ lục 6-HĐND'!N15</f>
        <v>16517.275562142579</v>
      </c>
      <c r="Q8" s="77">
        <f>'[3]Phụ lục 6-HĐND'!O15</f>
        <v>13803.329345652623</v>
      </c>
    </row>
    <row r="9" spans="1:99" s="71" customFormat="1" ht="17.399999999999999">
      <c r="A9" s="72">
        <v>2</v>
      </c>
      <c r="B9" s="73" t="s">
        <v>265</v>
      </c>
      <c r="C9" s="74">
        <f>SUM(D9:E9)</f>
        <v>44611.637999999999</v>
      </c>
      <c r="D9" s="75">
        <f>SUM(D11:D22)</f>
        <v>16410.838</v>
      </c>
      <c r="E9" s="76">
        <f>SUM(E11:E22)</f>
        <v>28200.799999999999</v>
      </c>
      <c r="F9" s="77">
        <f t="shared" ref="F9:Q9" si="0">SUM(F11:F22)</f>
        <v>2642.4</v>
      </c>
      <c r="G9" s="75">
        <f t="shared" si="0"/>
        <v>908.4</v>
      </c>
      <c r="H9" s="75">
        <f t="shared" si="0"/>
        <v>3453</v>
      </c>
      <c r="I9" s="75">
        <f t="shared" si="0"/>
        <v>1370</v>
      </c>
      <c r="J9" s="75">
        <f t="shared" si="0"/>
        <v>1535</v>
      </c>
      <c r="K9" s="75">
        <f t="shared" si="0"/>
        <v>2967</v>
      </c>
      <c r="L9" s="75">
        <f t="shared" si="0"/>
        <v>5</v>
      </c>
      <c r="M9" s="75">
        <f t="shared" si="0"/>
        <v>1599</v>
      </c>
      <c r="N9" s="75">
        <f t="shared" si="0"/>
        <v>7229</v>
      </c>
      <c r="O9" s="75">
        <f t="shared" si="0"/>
        <v>4845</v>
      </c>
      <c r="P9" s="75">
        <f t="shared" si="0"/>
        <v>475</v>
      </c>
      <c r="Q9" s="75">
        <f t="shared" si="0"/>
        <v>1172</v>
      </c>
    </row>
    <row r="10" spans="1:99" s="71" customFormat="1" ht="17.399999999999999">
      <c r="A10" s="72">
        <v>3</v>
      </c>
      <c r="B10" s="73" t="s">
        <v>266</v>
      </c>
      <c r="C10" s="78">
        <f>C9/C8%</f>
        <v>13.606547105810806</v>
      </c>
      <c r="D10" s="78">
        <f>D9/D8%</f>
        <v>10.777858415305674</v>
      </c>
      <c r="E10" s="79">
        <f>E9/E8%</f>
        <v>16.059265498712936</v>
      </c>
      <c r="F10" s="80">
        <f>F9/F8%</f>
        <v>25.31617953704524</v>
      </c>
      <c r="G10" s="78">
        <f t="shared" ref="G10:Q10" si="1">G9/G8%</f>
        <v>7.8996692794150949</v>
      </c>
      <c r="H10" s="78">
        <f t="shared" si="1"/>
        <v>32.769542085731366</v>
      </c>
      <c r="I10" s="78">
        <f t="shared" si="1"/>
        <v>11.821577383850652</v>
      </c>
      <c r="J10" s="78">
        <f t="shared" si="1"/>
        <v>10.22032436540985</v>
      </c>
      <c r="K10" s="78">
        <f t="shared" si="1"/>
        <v>11.944292501311892</v>
      </c>
      <c r="L10" s="78">
        <f t="shared" si="1"/>
        <v>2.7285291898799437E-2</v>
      </c>
      <c r="M10" s="78">
        <f t="shared" si="1"/>
        <v>10.429622726800506</v>
      </c>
      <c r="N10" s="78">
        <f t="shared" si="1"/>
        <v>44.474458773235234</v>
      </c>
      <c r="O10" s="78">
        <f t="shared" si="1"/>
        <v>42.310626223145853</v>
      </c>
      <c r="P10" s="78">
        <f t="shared" si="1"/>
        <v>2.8757769295118805</v>
      </c>
      <c r="Q10" s="78">
        <f t="shared" si="1"/>
        <v>8.4907051817112738</v>
      </c>
    </row>
    <row r="11" spans="1:99" s="88" customFormat="1" hidden="1">
      <c r="A11" s="81" t="s">
        <v>29</v>
      </c>
      <c r="B11" s="82" t="s">
        <v>267</v>
      </c>
      <c r="C11" s="83">
        <f>SUM(D11:E11)</f>
        <v>0</v>
      </c>
      <c r="D11" s="84"/>
      <c r="E11" s="85">
        <f>SUM(F11:Q11)</f>
        <v>0</v>
      </c>
      <c r="F11" s="86"/>
      <c r="G11" s="87"/>
      <c r="H11" s="87"/>
      <c r="I11" s="87"/>
      <c r="J11" s="87"/>
      <c r="K11" s="87"/>
      <c r="L11" s="87"/>
      <c r="M11" s="87"/>
      <c r="N11" s="87"/>
      <c r="O11" s="87"/>
      <c r="P11" s="87"/>
      <c r="Q11" s="87"/>
    </row>
    <row r="12" spans="1:99" s="88" customFormat="1" hidden="1">
      <c r="A12" s="81" t="s">
        <v>29</v>
      </c>
      <c r="B12" s="82" t="s">
        <v>268</v>
      </c>
      <c r="C12" s="83">
        <f t="shared" ref="C12:C22" si="2">SUM(D12:E12)</f>
        <v>0</v>
      </c>
      <c r="D12" s="84"/>
      <c r="E12" s="85">
        <f t="shared" ref="E12:E24" si="3">SUM(F12:Q12)</f>
        <v>0</v>
      </c>
      <c r="F12" s="86"/>
      <c r="G12" s="87"/>
      <c r="H12" s="87"/>
      <c r="I12" s="87"/>
      <c r="J12" s="87"/>
      <c r="K12" s="87"/>
      <c r="L12" s="87"/>
      <c r="M12" s="87"/>
      <c r="N12" s="87"/>
      <c r="O12" s="87"/>
      <c r="P12" s="87"/>
      <c r="Q12" s="87"/>
    </row>
    <row r="13" spans="1:99" s="88" customFormat="1" hidden="1">
      <c r="A13" s="81" t="s">
        <v>29</v>
      </c>
      <c r="B13" s="82" t="s">
        <v>269</v>
      </c>
      <c r="C13" s="83">
        <f t="shared" si="2"/>
        <v>0</v>
      </c>
      <c r="D13" s="84"/>
      <c r="E13" s="85">
        <f t="shared" si="3"/>
        <v>0</v>
      </c>
      <c r="F13" s="86"/>
      <c r="G13" s="87"/>
      <c r="H13" s="87"/>
      <c r="I13" s="87"/>
      <c r="J13" s="87"/>
      <c r="K13" s="87"/>
      <c r="L13" s="87"/>
      <c r="M13" s="87"/>
      <c r="N13" s="87"/>
      <c r="O13" s="87"/>
      <c r="P13" s="87"/>
      <c r="Q13" s="87"/>
    </row>
    <row r="14" spans="1:99" s="88" customFormat="1" hidden="1">
      <c r="A14" s="81" t="s">
        <v>29</v>
      </c>
      <c r="B14" s="82" t="s">
        <v>270</v>
      </c>
      <c r="C14" s="83">
        <f t="shared" si="2"/>
        <v>0</v>
      </c>
      <c r="D14" s="84"/>
      <c r="E14" s="85">
        <f t="shared" si="3"/>
        <v>0</v>
      </c>
      <c r="F14" s="86"/>
      <c r="G14" s="87"/>
      <c r="H14" s="87"/>
      <c r="I14" s="87"/>
      <c r="J14" s="87"/>
      <c r="K14" s="87"/>
      <c r="L14" s="87"/>
      <c r="M14" s="87"/>
      <c r="N14" s="87"/>
      <c r="O14" s="87"/>
      <c r="P14" s="87"/>
      <c r="Q14" s="87"/>
    </row>
    <row r="15" spans="1:99" s="88" customFormat="1" hidden="1">
      <c r="A15" s="81" t="s">
        <v>29</v>
      </c>
      <c r="B15" s="82" t="s">
        <v>271</v>
      </c>
      <c r="C15" s="83">
        <f t="shared" si="2"/>
        <v>0</v>
      </c>
      <c r="D15" s="84"/>
      <c r="E15" s="85">
        <f t="shared" si="3"/>
        <v>0</v>
      </c>
      <c r="F15" s="86"/>
      <c r="G15" s="87"/>
      <c r="H15" s="87"/>
      <c r="I15" s="87"/>
      <c r="J15" s="87"/>
      <c r="K15" s="87"/>
      <c r="L15" s="87"/>
      <c r="M15" s="87"/>
      <c r="N15" s="87"/>
      <c r="O15" s="87"/>
      <c r="P15" s="87"/>
      <c r="Q15" s="87"/>
    </row>
    <row r="16" spans="1:99" s="88" customFormat="1">
      <c r="A16" s="81" t="s">
        <v>29</v>
      </c>
      <c r="B16" s="82" t="s">
        <v>272</v>
      </c>
      <c r="C16" s="83">
        <f t="shared" si="2"/>
        <v>44611.637999999999</v>
      </c>
      <c r="D16" s="87">
        <f>16410838000/1000000</f>
        <v>16410.838</v>
      </c>
      <c r="E16" s="85">
        <f t="shared" si="3"/>
        <v>28200.799999999999</v>
      </c>
      <c r="F16" s="86">
        <v>2642.4</v>
      </c>
      <c r="G16" s="87">
        <v>908.4</v>
      </c>
      <c r="H16" s="87">
        <v>3453</v>
      </c>
      <c r="I16" s="87">
        <v>1370</v>
      </c>
      <c r="J16" s="87">
        <v>1535</v>
      </c>
      <c r="K16" s="87">
        <v>2967</v>
      </c>
      <c r="L16" s="87">
        <v>5</v>
      </c>
      <c r="M16" s="87">
        <v>1599</v>
      </c>
      <c r="N16" s="87">
        <v>7229</v>
      </c>
      <c r="O16" s="87">
        <v>4845</v>
      </c>
      <c r="P16" s="87">
        <v>475</v>
      </c>
      <c r="Q16" s="87">
        <v>1172</v>
      </c>
    </row>
    <row r="17" spans="1:18" s="88" customFormat="1" hidden="1">
      <c r="A17" s="81" t="s">
        <v>29</v>
      </c>
      <c r="B17" s="82" t="s">
        <v>273</v>
      </c>
      <c r="C17" s="83">
        <f t="shared" si="2"/>
        <v>0</v>
      </c>
      <c r="D17" s="84"/>
      <c r="E17" s="85">
        <f t="shared" si="3"/>
        <v>0</v>
      </c>
      <c r="F17" s="86"/>
      <c r="G17" s="87"/>
      <c r="H17" s="87"/>
      <c r="I17" s="87"/>
      <c r="J17" s="87"/>
      <c r="K17" s="87"/>
      <c r="L17" s="87"/>
      <c r="M17" s="87"/>
      <c r="N17" s="87"/>
      <c r="O17" s="87"/>
      <c r="P17" s="87"/>
      <c r="Q17" s="87"/>
    </row>
    <row r="18" spans="1:18" s="88" customFormat="1" hidden="1">
      <c r="A18" s="81" t="s">
        <v>29</v>
      </c>
      <c r="B18" s="82" t="s">
        <v>274</v>
      </c>
      <c r="C18" s="83">
        <f t="shared" si="2"/>
        <v>0</v>
      </c>
      <c r="D18" s="87"/>
      <c r="E18" s="85">
        <f>SUM(F18:Q18)</f>
        <v>0</v>
      </c>
      <c r="F18" s="86"/>
      <c r="G18" s="87"/>
      <c r="H18" s="87"/>
      <c r="I18" s="87"/>
      <c r="J18" s="87"/>
      <c r="K18" s="87"/>
      <c r="L18" s="87"/>
      <c r="M18" s="87"/>
      <c r="N18" s="87"/>
      <c r="O18" s="87"/>
      <c r="P18" s="87"/>
      <c r="Q18" s="87"/>
    </row>
    <row r="19" spans="1:18" s="88" customFormat="1" hidden="1">
      <c r="A19" s="81" t="s">
        <v>29</v>
      </c>
      <c r="B19" s="82" t="s">
        <v>275</v>
      </c>
      <c r="C19" s="83">
        <f t="shared" si="2"/>
        <v>0</v>
      </c>
      <c r="D19" s="84"/>
      <c r="E19" s="85">
        <f t="shared" si="3"/>
        <v>0</v>
      </c>
      <c r="F19" s="86"/>
      <c r="G19" s="87"/>
      <c r="H19" s="87"/>
      <c r="I19" s="87"/>
      <c r="J19" s="87"/>
      <c r="K19" s="87"/>
      <c r="L19" s="87"/>
      <c r="M19" s="87"/>
      <c r="N19" s="87"/>
      <c r="O19" s="87"/>
      <c r="P19" s="87"/>
      <c r="Q19" s="87"/>
    </row>
    <row r="20" spans="1:18" s="88" customFormat="1" hidden="1">
      <c r="A20" s="81" t="s">
        <v>29</v>
      </c>
      <c r="B20" s="82" t="s">
        <v>276</v>
      </c>
      <c r="C20" s="83">
        <f t="shared" si="2"/>
        <v>0</v>
      </c>
      <c r="D20" s="84"/>
      <c r="E20" s="85">
        <f t="shared" si="3"/>
        <v>0</v>
      </c>
      <c r="F20" s="86"/>
      <c r="G20" s="87"/>
      <c r="H20" s="87"/>
      <c r="I20" s="87"/>
      <c r="J20" s="87"/>
      <c r="K20" s="87"/>
      <c r="L20" s="87"/>
      <c r="M20" s="87"/>
      <c r="N20" s="87"/>
      <c r="O20" s="87"/>
      <c r="P20" s="87"/>
      <c r="Q20" s="87"/>
    </row>
    <row r="21" spans="1:18" s="88" customFormat="1" hidden="1">
      <c r="A21" s="81" t="s">
        <v>29</v>
      </c>
      <c r="B21" s="82" t="s">
        <v>277</v>
      </c>
      <c r="C21" s="83">
        <f t="shared" si="2"/>
        <v>0</v>
      </c>
      <c r="D21" s="84"/>
      <c r="E21" s="85">
        <f t="shared" si="3"/>
        <v>0</v>
      </c>
      <c r="F21" s="86"/>
      <c r="G21" s="87"/>
      <c r="H21" s="87"/>
      <c r="I21" s="87"/>
      <c r="J21" s="87"/>
      <c r="K21" s="87"/>
      <c r="L21" s="87"/>
      <c r="M21" s="87"/>
      <c r="N21" s="87"/>
      <c r="O21" s="87"/>
      <c r="P21" s="87"/>
      <c r="Q21" s="87"/>
    </row>
    <row r="22" spans="1:18" s="88" customFormat="1" hidden="1">
      <c r="A22" s="81" t="s">
        <v>29</v>
      </c>
      <c r="B22" s="82" t="s">
        <v>278</v>
      </c>
      <c r="C22" s="83">
        <f t="shared" si="2"/>
        <v>0</v>
      </c>
      <c r="D22" s="84"/>
      <c r="E22" s="85">
        <f t="shared" si="3"/>
        <v>0</v>
      </c>
      <c r="F22" s="86"/>
      <c r="G22" s="87"/>
      <c r="H22" s="87"/>
      <c r="I22" s="87"/>
      <c r="J22" s="87"/>
      <c r="K22" s="87"/>
      <c r="L22" s="87"/>
      <c r="M22" s="87"/>
      <c r="N22" s="87"/>
      <c r="O22" s="87"/>
      <c r="P22" s="87"/>
      <c r="Q22" s="87"/>
    </row>
    <row r="23" spans="1:18" s="71" customFormat="1" ht="17.399999999999999">
      <c r="A23" s="72">
        <v>4</v>
      </c>
      <c r="B23" s="89" t="s">
        <v>279</v>
      </c>
      <c r="C23" s="90"/>
      <c r="D23" s="91"/>
      <c r="E23" s="76">
        <f t="shared" si="3"/>
        <v>0</v>
      </c>
      <c r="F23" s="77"/>
      <c r="G23" s="75"/>
      <c r="H23" s="75"/>
      <c r="I23" s="75"/>
      <c r="J23" s="75"/>
      <c r="K23" s="75"/>
      <c r="L23" s="75"/>
      <c r="M23" s="75"/>
      <c r="N23" s="75"/>
      <c r="O23" s="75"/>
      <c r="P23" s="75"/>
      <c r="Q23" s="75"/>
    </row>
    <row r="24" spans="1:18" s="102" customFormat="1" ht="13.8" hidden="1">
      <c r="A24" s="92"/>
      <c r="B24" s="93"/>
      <c r="C24" s="94"/>
      <c r="D24" s="95"/>
      <c r="E24" s="96">
        <f t="shared" si="3"/>
        <v>0</v>
      </c>
      <c r="F24" s="97"/>
      <c r="G24" s="98"/>
      <c r="H24" s="98"/>
      <c r="I24" s="98"/>
      <c r="J24" s="98"/>
      <c r="K24" s="98"/>
      <c r="L24" s="99"/>
      <c r="M24" s="99"/>
      <c r="N24" s="98"/>
      <c r="O24" s="100"/>
      <c r="P24" s="98"/>
      <c r="Q24" s="98"/>
      <c r="R24" s="101"/>
    </row>
    <row r="25" spans="1:18" s="71" customFormat="1" ht="17.399999999999999">
      <c r="A25" s="72">
        <v>5</v>
      </c>
      <c r="B25" s="73" t="s">
        <v>288</v>
      </c>
      <c r="C25" s="74">
        <f>SUM(D25:E25)</f>
        <v>283257.2743190421</v>
      </c>
      <c r="D25" s="75">
        <f>D8-D9</f>
        <v>135853.53</v>
      </c>
      <c r="E25" s="76">
        <f>SUM(F25:Q25)</f>
        <v>147403.7443190421</v>
      </c>
      <c r="F25" s="77">
        <f>F8-F9</f>
        <v>7795.19385626638</v>
      </c>
      <c r="G25" s="75">
        <f t="shared" ref="G25:Q25" si="4">G8-G9</f>
        <v>10590.815573075985</v>
      </c>
      <c r="H25" s="75">
        <f t="shared" si="4"/>
        <v>7084.223837203137</v>
      </c>
      <c r="I25" s="75">
        <f t="shared" si="4"/>
        <v>10218.977980819584</v>
      </c>
      <c r="J25" s="75">
        <f t="shared" si="4"/>
        <v>13484.092791175266</v>
      </c>
      <c r="K25" s="75">
        <f t="shared" si="4"/>
        <v>21873.315989198371</v>
      </c>
      <c r="L25" s="75">
        <f t="shared" si="4"/>
        <v>18319.891001880766</v>
      </c>
      <c r="M25" s="75">
        <f t="shared" si="4"/>
        <v>13732.331169737576</v>
      </c>
      <c r="N25" s="75">
        <f t="shared" si="4"/>
        <v>9025.2731252986432</v>
      </c>
      <c r="O25" s="75">
        <f t="shared" si="4"/>
        <v>6606.024086591191</v>
      </c>
      <c r="P25" s="75">
        <f t="shared" si="4"/>
        <v>16042.275562142579</v>
      </c>
      <c r="Q25" s="75">
        <f t="shared" si="4"/>
        <v>12631.329345652623</v>
      </c>
    </row>
    <row r="26" spans="1:18" s="71" customFormat="1">
      <c r="A26" s="72" t="s">
        <v>33</v>
      </c>
      <c r="B26" s="73" t="s">
        <v>280</v>
      </c>
      <c r="C26" s="83"/>
      <c r="D26" s="91"/>
      <c r="E26" s="103"/>
      <c r="F26" s="104"/>
      <c r="G26" s="91"/>
      <c r="H26" s="91"/>
      <c r="I26" s="91"/>
      <c r="J26" s="91"/>
      <c r="K26" s="91"/>
      <c r="L26" s="91"/>
      <c r="M26" s="91"/>
      <c r="N26" s="91"/>
      <c r="O26" s="91"/>
      <c r="P26" s="91"/>
      <c r="Q26" s="91"/>
    </row>
    <row r="27" spans="1:18" s="71" customFormat="1" ht="17.399999999999999">
      <c r="A27" s="72">
        <v>1</v>
      </c>
      <c r="B27" s="73" t="s">
        <v>281</v>
      </c>
      <c r="C27" s="90">
        <f t="shared" ref="C27:C33" si="5">SUM(D27:E27)</f>
        <v>270210.45684200001</v>
      </c>
      <c r="D27" s="75">
        <f>(270210456842)/1000000</f>
        <v>270210.45684200001</v>
      </c>
      <c r="E27" s="76">
        <f>SUM(F27:Q27)</f>
        <v>0</v>
      </c>
      <c r="F27" s="77">
        <v>0</v>
      </c>
      <c r="G27" s="75">
        <v>0</v>
      </c>
      <c r="H27" s="75">
        <v>0</v>
      </c>
      <c r="I27" s="75">
        <v>0</v>
      </c>
      <c r="J27" s="75">
        <v>0</v>
      </c>
      <c r="K27" s="75">
        <v>0</v>
      </c>
      <c r="L27" s="75">
        <v>0</v>
      </c>
      <c r="M27" s="75">
        <v>0</v>
      </c>
      <c r="N27" s="75">
        <v>0</v>
      </c>
      <c r="O27" s="75">
        <v>0</v>
      </c>
      <c r="P27" s="75">
        <v>0</v>
      </c>
      <c r="Q27" s="75">
        <v>0</v>
      </c>
    </row>
    <row r="28" spans="1:18" s="71" customFormat="1" ht="17.399999999999999">
      <c r="A28" s="72">
        <v>2</v>
      </c>
      <c r="B28" s="73" t="s">
        <v>282</v>
      </c>
      <c r="C28" s="90">
        <f t="shared" si="5"/>
        <v>2680.1676539999999</v>
      </c>
      <c r="D28" s="75">
        <f>D29+D30+D31+D32</f>
        <v>2680.1676539999999</v>
      </c>
      <c r="E28" s="76">
        <f>E29+E30+E31+E32</f>
        <v>0</v>
      </c>
      <c r="F28" s="77">
        <f t="shared" ref="F28:Q28" si="6">F29+F30+F31+F32</f>
        <v>0</v>
      </c>
      <c r="G28" s="75">
        <f t="shared" si="6"/>
        <v>0</v>
      </c>
      <c r="H28" s="75">
        <f t="shared" si="6"/>
        <v>0</v>
      </c>
      <c r="I28" s="75">
        <f t="shared" si="6"/>
        <v>0</v>
      </c>
      <c r="J28" s="75">
        <f t="shared" si="6"/>
        <v>0</v>
      </c>
      <c r="K28" s="75">
        <f t="shared" si="6"/>
        <v>0</v>
      </c>
      <c r="L28" s="75">
        <f t="shared" si="6"/>
        <v>0</v>
      </c>
      <c r="M28" s="75">
        <f t="shared" si="6"/>
        <v>0</v>
      </c>
      <c r="N28" s="75">
        <f t="shared" si="6"/>
        <v>0</v>
      </c>
      <c r="O28" s="75">
        <f t="shared" si="6"/>
        <v>0</v>
      </c>
      <c r="P28" s="75">
        <f t="shared" si="6"/>
        <v>0</v>
      </c>
      <c r="Q28" s="75">
        <f t="shared" si="6"/>
        <v>0</v>
      </c>
    </row>
    <row r="29" spans="1:18" s="88" customFormat="1">
      <c r="A29" s="81" t="s">
        <v>99</v>
      </c>
      <c r="B29" s="82" t="s">
        <v>283</v>
      </c>
      <c r="C29" s="83">
        <f t="shared" si="5"/>
        <v>2000</v>
      </c>
      <c r="D29" s="87">
        <f>2000</f>
        <v>2000</v>
      </c>
      <c r="E29" s="105">
        <f>SUM(F29:Q29)</f>
        <v>0</v>
      </c>
      <c r="F29" s="106"/>
      <c r="G29" s="84"/>
      <c r="H29" s="84"/>
      <c r="I29" s="84"/>
      <c r="J29" s="84"/>
      <c r="K29" s="84"/>
      <c r="L29" s="84"/>
      <c r="M29" s="84"/>
      <c r="N29" s="84"/>
      <c r="O29" s="84"/>
      <c r="P29" s="84"/>
      <c r="Q29" s="84"/>
    </row>
    <row r="30" spans="1:18" s="88" customFormat="1">
      <c r="A30" s="81" t="s">
        <v>101</v>
      </c>
      <c r="B30" s="82" t="s">
        <v>284</v>
      </c>
      <c r="C30" s="107">
        <f t="shared" si="5"/>
        <v>0</v>
      </c>
      <c r="D30" s="87">
        <v>0</v>
      </c>
      <c r="E30" s="85">
        <f t="shared" ref="E30:E31" si="7">SUM(F30:Q30)</f>
        <v>0</v>
      </c>
      <c r="F30" s="106"/>
      <c r="G30" s="84"/>
      <c r="H30" s="84"/>
      <c r="I30" s="84"/>
      <c r="J30" s="84"/>
      <c r="K30" s="84"/>
      <c r="L30" s="84"/>
      <c r="M30" s="84"/>
      <c r="N30" s="84"/>
      <c r="O30" s="84"/>
      <c r="P30" s="84"/>
      <c r="Q30" s="84"/>
    </row>
    <row r="31" spans="1:18" s="88" customFormat="1">
      <c r="A31" s="81" t="s">
        <v>147</v>
      </c>
      <c r="B31" s="108" t="s">
        <v>285</v>
      </c>
      <c r="C31" s="107">
        <f t="shared" si="5"/>
        <v>0</v>
      </c>
      <c r="D31" s="87">
        <v>0</v>
      </c>
      <c r="E31" s="85">
        <f t="shared" si="7"/>
        <v>0</v>
      </c>
      <c r="F31" s="106"/>
      <c r="G31" s="84"/>
      <c r="H31" s="84"/>
      <c r="I31" s="84"/>
      <c r="J31" s="84"/>
      <c r="K31" s="84"/>
      <c r="L31" s="84"/>
      <c r="M31" s="84"/>
      <c r="N31" s="84"/>
      <c r="O31" s="84"/>
      <c r="P31" s="84"/>
      <c r="Q31" s="84"/>
    </row>
    <row r="32" spans="1:18" s="88" customFormat="1">
      <c r="A32" s="81" t="s">
        <v>148</v>
      </c>
      <c r="B32" s="82" t="s">
        <v>286</v>
      </c>
      <c r="C32" s="107">
        <f t="shared" si="5"/>
        <v>680.16765400000008</v>
      </c>
      <c r="D32" s="87">
        <f>SUM(D33:D44)</f>
        <v>680.16765400000008</v>
      </c>
      <c r="E32" s="85">
        <f>SUM(E33:E44)</f>
        <v>0</v>
      </c>
      <c r="F32" s="86"/>
      <c r="G32" s="87"/>
      <c r="H32" s="87"/>
      <c r="I32" s="87"/>
      <c r="J32" s="87"/>
      <c r="K32" s="87"/>
      <c r="L32" s="87"/>
      <c r="M32" s="87"/>
      <c r="N32" s="87"/>
      <c r="O32" s="87"/>
      <c r="P32" s="87"/>
      <c r="Q32" s="87"/>
    </row>
    <row r="33" spans="1:17" s="88" customFormat="1" hidden="1">
      <c r="A33" s="81"/>
      <c r="B33" s="82" t="str">
        <f>B11</f>
        <v>Tháng 1/2024</v>
      </c>
      <c r="C33" s="107">
        <f t="shared" si="5"/>
        <v>229.50665699999999</v>
      </c>
      <c r="D33" s="87">
        <f>(114714179+114792478)/1000000</f>
        <v>229.50665699999999</v>
      </c>
      <c r="E33" s="85">
        <f>SUM(F33:Q33)</f>
        <v>0</v>
      </c>
      <c r="F33" s="86"/>
      <c r="G33" s="87"/>
      <c r="H33" s="87"/>
      <c r="I33" s="87"/>
      <c r="J33" s="87"/>
      <c r="K33" s="87"/>
      <c r="L33" s="87"/>
      <c r="M33" s="87"/>
      <c r="N33" s="87"/>
      <c r="O33" s="87"/>
      <c r="P33" s="87"/>
      <c r="Q33" s="87"/>
    </row>
    <row r="34" spans="1:17" s="88" customFormat="1" hidden="1">
      <c r="A34" s="81"/>
      <c r="B34" s="82" t="str">
        <f t="shared" ref="B34:B44" si="8">B12</f>
        <v>Tháng 2/2024</v>
      </c>
      <c r="C34" s="107">
        <f t="shared" ref="C34:C44" si="9">SUM(D34:E34)</f>
        <v>107.424046</v>
      </c>
      <c r="D34" s="87">
        <f>107424046/1000000</f>
        <v>107.424046</v>
      </c>
      <c r="E34" s="85">
        <f t="shared" ref="E34:E45" si="10">SUM(F34:Q34)</f>
        <v>0</v>
      </c>
      <c r="F34" s="86"/>
      <c r="G34" s="87"/>
      <c r="H34" s="87"/>
      <c r="I34" s="87"/>
      <c r="J34" s="87"/>
      <c r="K34" s="87"/>
      <c r="L34" s="87"/>
      <c r="M34" s="87"/>
      <c r="N34" s="87"/>
      <c r="O34" s="87"/>
      <c r="P34" s="87"/>
      <c r="Q34" s="87"/>
    </row>
    <row r="35" spans="1:17" s="88" customFormat="1" hidden="1">
      <c r="A35" s="81"/>
      <c r="B35" s="82" t="str">
        <f t="shared" si="8"/>
        <v>Tháng 3/2024</v>
      </c>
      <c r="C35" s="107">
        <f t="shared" si="9"/>
        <v>115.40464799999999</v>
      </c>
      <c r="D35" s="87">
        <f>115404648/1000000</f>
        <v>115.40464799999999</v>
      </c>
      <c r="E35" s="85">
        <f t="shared" si="10"/>
        <v>0</v>
      </c>
      <c r="F35" s="86"/>
      <c r="G35" s="87"/>
      <c r="H35" s="87"/>
      <c r="I35" s="87"/>
      <c r="J35" s="87"/>
      <c r="K35" s="87"/>
      <c r="L35" s="87"/>
      <c r="M35" s="87"/>
      <c r="N35" s="87"/>
      <c r="O35" s="87"/>
      <c r="P35" s="87"/>
      <c r="Q35" s="87"/>
    </row>
    <row r="36" spans="1:17" s="88" customFormat="1" hidden="1">
      <c r="A36" s="81"/>
      <c r="B36" s="82" t="str">
        <f t="shared" si="8"/>
        <v>Tháng 4/2024</v>
      </c>
      <c r="C36" s="107">
        <f t="shared" si="9"/>
        <v>112.005776</v>
      </c>
      <c r="D36" s="87">
        <f>112005776/1000000</f>
        <v>112.005776</v>
      </c>
      <c r="E36" s="85">
        <f t="shared" si="10"/>
        <v>0</v>
      </c>
      <c r="F36" s="86"/>
      <c r="G36" s="87"/>
      <c r="H36" s="87"/>
      <c r="I36" s="87"/>
      <c r="J36" s="87"/>
      <c r="K36" s="87"/>
      <c r="L36" s="87"/>
      <c r="M36" s="87"/>
      <c r="N36" s="87"/>
      <c r="O36" s="87"/>
      <c r="P36" s="87"/>
      <c r="Q36" s="87"/>
    </row>
    <row r="37" spans="1:17" s="88" customFormat="1" hidden="1">
      <c r="A37" s="81"/>
      <c r="B37" s="82" t="str">
        <f t="shared" si="8"/>
        <v>Tháng 5/2024</v>
      </c>
      <c r="C37" s="107">
        <f t="shared" si="9"/>
        <v>115.826527</v>
      </c>
      <c r="D37" s="87">
        <f>115826527/1000000</f>
        <v>115.826527</v>
      </c>
      <c r="E37" s="85">
        <f t="shared" si="10"/>
        <v>0</v>
      </c>
      <c r="F37" s="86"/>
      <c r="G37" s="87"/>
      <c r="H37" s="87"/>
      <c r="I37" s="87"/>
      <c r="J37" s="87"/>
      <c r="K37" s="87"/>
      <c r="L37" s="87"/>
      <c r="M37" s="87"/>
      <c r="N37" s="87"/>
      <c r="O37" s="87"/>
      <c r="P37" s="87"/>
      <c r="Q37" s="87"/>
    </row>
    <row r="38" spans="1:17" s="88" customFormat="1" hidden="1">
      <c r="A38" s="81"/>
      <c r="B38" s="82" t="str">
        <f t="shared" si="8"/>
        <v>Tháng 6/2024</v>
      </c>
      <c r="C38" s="107">
        <f t="shared" si="9"/>
        <v>0</v>
      </c>
      <c r="D38" s="87"/>
      <c r="E38" s="85">
        <f t="shared" si="10"/>
        <v>0</v>
      </c>
      <c r="F38" s="86"/>
      <c r="G38" s="87"/>
      <c r="H38" s="87"/>
      <c r="I38" s="87"/>
      <c r="J38" s="87"/>
      <c r="K38" s="87"/>
      <c r="L38" s="87"/>
      <c r="M38" s="87"/>
      <c r="N38" s="87"/>
      <c r="O38" s="87"/>
      <c r="P38" s="87"/>
      <c r="Q38" s="87"/>
    </row>
    <row r="39" spans="1:17" s="88" customFormat="1" hidden="1">
      <c r="A39" s="81"/>
      <c r="B39" s="82" t="str">
        <f t="shared" si="8"/>
        <v>Tháng 7/2024</v>
      </c>
      <c r="C39" s="107">
        <f t="shared" si="9"/>
        <v>0</v>
      </c>
      <c r="D39" s="87"/>
      <c r="E39" s="85">
        <f t="shared" si="10"/>
        <v>0</v>
      </c>
      <c r="F39" s="86"/>
      <c r="G39" s="87"/>
      <c r="H39" s="87"/>
      <c r="I39" s="87"/>
      <c r="J39" s="87"/>
      <c r="K39" s="87"/>
      <c r="L39" s="87"/>
      <c r="M39" s="87"/>
      <c r="N39" s="87"/>
      <c r="O39" s="87"/>
      <c r="P39" s="87"/>
      <c r="Q39" s="87"/>
    </row>
    <row r="40" spans="1:17" s="88" customFormat="1" hidden="1">
      <c r="A40" s="81"/>
      <c r="B40" s="82" t="str">
        <f t="shared" si="8"/>
        <v>Tháng 8/2024</v>
      </c>
      <c r="C40" s="107">
        <f t="shared" si="9"/>
        <v>0</v>
      </c>
      <c r="D40" s="87"/>
      <c r="E40" s="85">
        <f t="shared" si="10"/>
        <v>0</v>
      </c>
      <c r="F40" s="86"/>
      <c r="G40" s="87"/>
      <c r="H40" s="87"/>
      <c r="I40" s="87"/>
      <c r="J40" s="87"/>
      <c r="K40" s="87"/>
      <c r="L40" s="87"/>
      <c r="M40" s="87"/>
      <c r="N40" s="87"/>
      <c r="O40" s="87"/>
      <c r="P40" s="87"/>
      <c r="Q40" s="87"/>
    </row>
    <row r="41" spans="1:17" s="88" customFormat="1" hidden="1">
      <c r="A41" s="81"/>
      <c r="B41" s="82" t="str">
        <f t="shared" si="8"/>
        <v>Tháng 9/2024</v>
      </c>
      <c r="C41" s="107">
        <f t="shared" si="9"/>
        <v>0</v>
      </c>
      <c r="D41" s="87"/>
      <c r="E41" s="85">
        <f t="shared" si="10"/>
        <v>0</v>
      </c>
      <c r="F41" s="86"/>
      <c r="G41" s="87"/>
      <c r="H41" s="87"/>
      <c r="I41" s="87"/>
      <c r="J41" s="87"/>
      <c r="K41" s="87"/>
      <c r="L41" s="87"/>
      <c r="M41" s="87"/>
      <c r="N41" s="87"/>
      <c r="O41" s="87"/>
      <c r="P41" s="87"/>
      <c r="Q41" s="87"/>
    </row>
    <row r="42" spans="1:17" s="88" customFormat="1" hidden="1">
      <c r="A42" s="81"/>
      <c r="B42" s="82" t="str">
        <f t="shared" si="8"/>
        <v>Tháng 10/2024</v>
      </c>
      <c r="C42" s="107">
        <f t="shared" si="9"/>
        <v>0</v>
      </c>
      <c r="D42" s="87"/>
      <c r="E42" s="85">
        <f t="shared" si="10"/>
        <v>0</v>
      </c>
      <c r="F42" s="86"/>
      <c r="G42" s="87"/>
      <c r="H42" s="87"/>
      <c r="I42" s="87"/>
      <c r="J42" s="87"/>
      <c r="K42" s="87"/>
      <c r="L42" s="87"/>
      <c r="M42" s="87"/>
      <c r="N42" s="87"/>
      <c r="O42" s="87"/>
      <c r="P42" s="87"/>
      <c r="Q42" s="87"/>
    </row>
    <row r="43" spans="1:17" s="88" customFormat="1" hidden="1">
      <c r="A43" s="81"/>
      <c r="B43" s="82" t="str">
        <f t="shared" si="8"/>
        <v>Tháng 11/2024</v>
      </c>
      <c r="C43" s="107">
        <f t="shared" si="9"/>
        <v>0</v>
      </c>
      <c r="D43" s="87"/>
      <c r="E43" s="85">
        <f t="shared" si="10"/>
        <v>0</v>
      </c>
      <c r="F43" s="86"/>
      <c r="G43" s="87"/>
      <c r="H43" s="87"/>
      <c r="I43" s="87"/>
      <c r="J43" s="87"/>
      <c r="K43" s="87"/>
      <c r="L43" s="87"/>
      <c r="M43" s="87"/>
      <c r="N43" s="87"/>
      <c r="O43" s="87"/>
      <c r="P43" s="87"/>
      <c r="Q43" s="87"/>
    </row>
    <row r="44" spans="1:17" s="88" customFormat="1" hidden="1">
      <c r="A44" s="81"/>
      <c r="B44" s="82" t="str">
        <f t="shared" si="8"/>
        <v>Tháng 12/2024</v>
      </c>
      <c r="C44" s="107">
        <f t="shared" si="9"/>
        <v>0</v>
      </c>
      <c r="D44" s="87"/>
      <c r="E44" s="85">
        <f t="shared" si="10"/>
        <v>0</v>
      </c>
      <c r="F44" s="86"/>
      <c r="G44" s="87"/>
      <c r="H44" s="87"/>
      <c r="I44" s="87"/>
      <c r="J44" s="87"/>
      <c r="K44" s="87"/>
      <c r="L44" s="87"/>
      <c r="M44" s="87"/>
      <c r="N44" s="87"/>
      <c r="O44" s="87"/>
      <c r="P44" s="87"/>
      <c r="Q44" s="87"/>
    </row>
    <row r="45" spans="1:17" s="71" customFormat="1" ht="17.399999999999999">
      <c r="A45" s="72">
        <v>3</v>
      </c>
      <c r="B45" s="73" t="s">
        <v>1450</v>
      </c>
      <c r="C45" s="74">
        <f>SUM(D45:E45)</f>
        <v>0</v>
      </c>
      <c r="D45" s="75"/>
      <c r="E45" s="76">
        <f t="shared" si="10"/>
        <v>0</v>
      </c>
      <c r="F45" s="77"/>
      <c r="G45" s="75"/>
      <c r="H45" s="75"/>
      <c r="I45" s="75"/>
      <c r="J45" s="75"/>
      <c r="K45" s="75"/>
      <c r="L45" s="75"/>
      <c r="M45" s="75"/>
      <c r="N45" s="75"/>
      <c r="O45" s="75"/>
      <c r="P45" s="75"/>
      <c r="Q45" s="75"/>
    </row>
    <row r="46" spans="1:17" s="71" customFormat="1" ht="17.399999999999999">
      <c r="A46" s="72">
        <v>4</v>
      </c>
      <c r="B46" s="89" t="s">
        <v>287</v>
      </c>
      <c r="C46" s="90"/>
      <c r="D46" s="91"/>
      <c r="E46" s="103"/>
      <c r="F46" s="104"/>
      <c r="G46" s="91"/>
      <c r="H46" s="91"/>
      <c r="I46" s="91"/>
      <c r="J46" s="91"/>
      <c r="K46" s="91"/>
      <c r="L46" s="91"/>
      <c r="M46" s="91"/>
      <c r="N46" s="91"/>
      <c r="O46" s="91"/>
      <c r="P46" s="91"/>
      <c r="Q46" s="91"/>
    </row>
    <row r="47" spans="1:17" s="116" customFormat="1" thickBot="1">
      <c r="A47" s="109">
        <v>5</v>
      </c>
      <c r="B47" s="110" t="s">
        <v>1451</v>
      </c>
      <c r="C47" s="111">
        <f>SUM(D47:E47)</f>
        <v>272890.624496</v>
      </c>
      <c r="D47" s="112">
        <f>D27+D28-D45</f>
        <v>272890.624496</v>
      </c>
      <c r="E47" s="113">
        <f>SUM(F47:Q47)</f>
        <v>0</v>
      </c>
      <c r="F47" s="114">
        <f>F27+F28-F45</f>
        <v>0</v>
      </c>
      <c r="G47" s="115">
        <f t="shared" ref="G47:Q47" si="11">G27+G28-G45</f>
        <v>0</v>
      </c>
      <c r="H47" s="115">
        <f t="shared" si="11"/>
        <v>0</v>
      </c>
      <c r="I47" s="115">
        <f t="shared" si="11"/>
        <v>0</v>
      </c>
      <c r="J47" s="115">
        <f t="shared" si="11"/>
        <v>0</v>
      </c>
      <c r="K47" s="115">
        <f t="shared" si="11"/>
        <v>0</v>
      </c>
      <c r="L47" s="115">
        <f t="shared" si="11"/>
        <v>0</v>
      </c>
      <c r="M47" s="115">
        <f t="shared" si="11"/>
        <v>0</v>
      </c>
      <c r="N47" s="115">
        <f t="shared" si="11"/>
        <v>0</v>
      </c>
      <c r="O47" s="115">
        <f t="shared" si="11"/>
        <v>0</v>
      </c>
      <c r="P47" s="115">
        <f t="shared" si="11"/>
        <v>0</v>
      </c>
      <c r="Q47" s="115">
        <f t="shared" si="11"/>
        <v>0</v>
      </c>
    </row>
    <row r="48" spans="1:17" s="57" customFormat="1">
      <c r="C48" s="58"/>
      <c r="E48" s="117"/>
    </row>
    <row r="49" spans="3:4" s="57" customFormat="1">
      <c r="C49" s="118"/>
      <c r="D49" s="119"/>
    </row>
    <row r="50" spans="3:4" s="57" customFormat="1">
      <c r="C50" s="58"/>
    </row>
    <row r="51" spans="3:4" s="57" customFormat="1">
      <c r="C51" s="58"/>
    </row>
    <row r="52" spans="3:4" s="57" customFormat="1">
      <c r="C52" s="58"/>
    </row>
    <row r="53" spans="3:4" s="57" customFormat="1">
      <c r="C53" s="58"/>
    </row>
    <row r="54" spans="3:4" s="57" customFormat="1">
      <c r="C54" s="58"/>
    </row>
    <row r="55" spans="3:4" s="57" customFormat="1">
      <c r="C55" s="58"/>
    </row>
    <row r="56" spans="3:4" s="57" customFormat="1">
      <c r="C56" s="58"/>
    </row>
    <row r="57" spans="3:4" s="57" customFormat="1">
      <c r="C57" s="58"/>
    </row>
    <row r="58" spans="3:4" s="57" customFormat="1">
      <c r="C58" s="58"/>
    </row>
    <row r="59" spans="3:4" s="57" customFormat="1">
      <c r="C59" s="58"/>
    </row>
    <row r="60" spans="3:4" s="57" customFormat="1">
      <c r="C60" s="58"/>
    </row>
    <row r="61" spans="3:4" s="57" customFormat="1">
      <c r="C61" s="58"/>
    </row>
    <row r="62" spans="3:4" s="57" customFormat="1">
      <c r="C62" s="58"/>
    </row>
    <row r="63" spans="3:4" s="57" customFormat="1">
      <c r="C63" s="58"/>
    </row>
    <row r="64" spans="3:4" s="57" customFormat="1">
      <c r="C64" s="58"/>
    </row>
    <row r="65" spans="3:3" s="57" customFormat="1">
      <c r="C65" s="58"/>
    </row>
    <row r="66" spans="3:3" s="57" customFormat="1">
      <c r="C66" s="58"/>
    </row>
    <row r="67" spans="3:3" s="57" customFormat="1">
      <c r="C67" s="58"/>
    </row>
    <row r="68" spans="3:3" s="57" customFormat="1">
      <c r="C68" s="58"/>
    </row>
    <row r="69" spans="3:3" s="57" customFormat="1">
      <c r="C69" s="58"/>
    </row>
    <row r="70" spans="3:3" s="57" customFormat="1">
      <c r="C70" s="58"/>
    </row>
    <row r="71" spans="3:3" s="57" customFormat="1">
      <c r="C71" s="58"/>
    </row>
    <row r="72" spans="3:3" s="57" customFormat="1">
      <c r="C72" s="58"/>
    </row>
    <row r="73" spans="3:3" s="57" customFormat="1">
      <c r="C73" s="58"/>
    </row>
    <row r="74" spans="3:3" s="57" customFormat="1">
      <c r="C74" s="58"/>
    </row>
    <row r="75" spans="3:3" s="57" customFormat="1">
      <c r="C75" s="58"/>
    </row>
    <row r="76" spans="3:3" s="57" customFormat="1">
      <c r="C76" s="58"/>
    </row>
    <row r="77" spans="3:3" s="57" customFormat="1">
      <c r="C77" s="58"/>
    </row>
    <row r="78" spans="3:3" s="57" customFormat="1">
      <c r="C78" s="58"/>
    </row>
    <row r="79" spans="3:3" s="57" customFormat="1">
      <c r="C79" s="58"/>
    </row>
    <row r="80" spans="3:3" s="57" customFormat="1">
      <c r="C80" s="58"/>
    </row>
    <row r="81" spans="3:3" s="57" customFormat="1">
      <c r="C81" s="58"/>
    </row>
    <row r="82" spans="3:3" s="57" customFormat="1">
      <c r="C82" s="58"/>
    </row>
    <row r="83" spans="3:3" s="57" customFormat="1">
      <c r="C83" s="58"/>
    </row>
    <row r="84" spans="3:3" s="57" customFormat="1">
      <c r="C84" s="58"/>
    </row>
    <row r="85" spans="3:3" s="57" customFormat="1">
      <c r="C85" s="58"/>
    </row>
    <row r="86" spans="3:3" s="121" customFormat="1" ht="17.399999999999999">
      <c r="C86" s="120"/>
    </row>
  </sheetData>
  <mergeCells count="4">
    <mergeCell ref="A1:E1"/>
    <mergeCell ref="A2:E2"/>
    <mergeCell ref="C5:E5"/>
    <mergeCell ref="A3:E3"/>
  </mergeCells>
  <hyperlinks>
    <hyperlink ref="A6" location="'Danh mục file'!A1" display="STT"/>
  </hyperlinks>
  <printOptions horizontalCentered="1"/>
  <pageMargins left="0" right="0" top="0.39370078740157483" bottom="0" header="0" footer="0"/>
  <pageSetup paperSize="9" scale="80" orientation="portrait" horizontalDpi="1200" verticalDpi="1200" r:id="rId1"/>
  <headerFooter>
    <oddHeader>&amp;R&amp;"Times New Roman,Bold"&amp;9&amp;A</oddHeader>
    <oddFooter>&amp;C&amp;"Times New Roman,Bold"&amp;9&amp;P/&amp;N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sheetPr>
  <dimension ref="A1:AE102"/>
  <sheetViews>
    <sheetView workbookViewId="0">
      <pane xSplit="2" ySplit="9" topLeftCell="I20" activePane="bottomRight" state="frozen"/>
      <selection activeCell="A51" sqref="A51"/>
      <selection pane="topRight" activeCell="A51" sqref="A51"/>
      <selection pane="bottomLeft" activeCell="A51" sqref="A51"/>
      <selection pane="bottomRight" activeCell="B32" sqref="B32"/>
    </sheetView>
  </sheetViews>
  <sheetFormatPr defaultColWidth="9.109375" defaultRowHeight="13.8"/>
  <cols>
    <col min="1" max="1" width="4.33203125" style="30" customWidth="1"/>
    <col min="2" max="2" width="69.5546875" style="30" customWidth="1"/>
    <col min="3" max="8" width="9" style="30" hidden="1" customWidth="1"/>
    <col min="9" max="10" width="9" style="30" customWidth="1"/>
    <col min="11" max="11" width="10" style="30" customWidth="1"/>
    <col min="12" max="12" width="11.109375" style="30" customWidth="1"/>
    <col min="13" max="13" width="10.44140625" style="30" customWidth="1"/>
    <col min="14" max="31" width="9" style="30" customWidth="1"/>
    <col min="32" max="16384" width="9.109375" style="30"/>
  </cols>
  <sheetData>
    <row r="1" spans="1:31" s="31" customFormat="1">
      <c r="A1" s="6067" t="s">
        <v>1452</v>
      </c>
      <c r="B1" s="6067"/>
      <c r="C1" s="6067"/>
      <c r="D1" s="6067"/>
      <c r="E1" s="6067"/>
      <c r="F1" s="6067"/>
      <c r="G1" s="6067"/>
      <c r="H1" s="6067"/>
      <c r="I1" s="6067"/>
      <c r="J1" s="6067"/>
      <c r="K1" s="6067"/>
      <c r="L1" s="6067"/>
      <c r="M1" s="6067"/>
    </row>
    <row r="2" spans="1:31">
      <c r="A2" s="6202"/>
      <c r="B2" s="6202"/>
      <c r="C2" s="6202"/>
      <c r="D2" s="6202"/>
      <c r="E2" s="6202"/>
      <c r="F2" s="6202"/>
      <c r="G2" s="6202"/>
      <c r="H2" s="6202"/>
      <c r="I2" s="6202"/>
      <c r="J2" s="6202"/>
      <c r="K2" s="6202"/>
      <c r="L2" s="6202"/>
      <c r="M2" s="6202"/>
    </row>
    <row r="4" spans="1:31" ht="18.600000000000001" thickBot="1">
      <c r="L4" s="6203" t="s">
        <v>246</v>
      </c>
      <c r="M4" s="6203"/>
    </row>
    <row r="5" spans="1:31" ht="49.5" customHeight="1">
      <c r="A5" s="6205" t="s">
        <v>247</v>
      </c>
      <c r="B5" s="6199" t="s">
        <v>248</v>
      </c>
      <c r="C5" s="6198" t="s">
        <v>322</v>
      </c>
      <c r="D5" s="6198"/>
      <c r="E5" s="6198" t="s">
        <v>323</v>
      </c>
      <c r="F5" s="6198"/>
      <c r="G5" s="6198" t="s">
        <v>324</v>
      </c>
      <c r="H5" s="6198"/>
      <c r="I5" s="6198" t="s">
        <v>290</v>
      </c>
      <c r="J5" s="6198"/>
      <c r="K5" s="6194" t="s">
        <v>1122</v>
      </c>
      <c r="L5" s="6194" t="s">
        <v>187</v>
      </c>
      <c r="M5" s="6196" t="s">
        <v>188</v>
      </c>
      <c r="N5" s="2144"/>
      <c r="O5" s="2143"/>
      <c r="P5" s="6198" t="s">
        <v>326</v>
      </c>
      <c r="Q5" s="6198"/>
      <c r="R5" s="6199" t="s">
        <v>358</v>
      </c>
      <c r="S5" s="6199"/>
      <c r="T5" s="6200" t="s">
        <v>359</v>
      </c>
      <c r="U5" s="6200"/>
      <c r="V5" s="6200" t="s">
        <v>360</v>
      </c>
      <c r="W5" s="6200"/>
      <c r="X5" s="6200" t="s">
        <v>361</v>
      </c>
      <c r="Y5" s="6201"/>
      <c r="Z5" s="6204" t="s">
        <v>364</v>
      </c>
      <c r="AA5" s="6193"/>
      <c r="AB5" s="6192" t="s">
        <v>365</v>
      </c>
      <c r="AC5" s="6193"/>
      <c r="AD5" s="6192" t="s">
        <v>366</v>
      </c>
      <c r="AE5" s="6193"/>
    </row>
    <row r="6" spans="1:31" ht="34.799999999999997">
      <c r="A6" s="6206"/>
      <c r="B6" s="6207"/>
      <c r="C6" s="482" t="s">
        <v>327</v>
      </c>
      <c r="D6" s="482" t="s">
        <v>328</v>
      </c>
      <c r="E6" s="482" t="s">
        <v>327</v>
      </c>
      <c r="F6" s="482" t="s">
        <v>328</v>
      </c>
      <c r="G6" s="482" t="s">
        <v>327</v>
      </c>
      <c r="H6" s="482" t="s">
        <v>328</v>
      </c>
      <c r="I6" s="482" t="s">
        <v>327</v>
      </c>
      <c r="J6" s="482" t="s">
        <v>328</v>
      </c>
      <c r="K6" s="6195"/>
      <c r="L6" s="6195"/>
      <c r="M6" s="6197"/>
      <c r="N6" s="2145"/>
      <c r="O6" s="482" t="s">
        <v>328</v>
      </c>
      <c r="P6" s="482" t="s">
        <v>327</v>
      </c>
      <c r="Q6" s="482" t="s">
        <v>328</v>
      </c>
      <c r="R6" s="63" t="s">
        <v>327</v>
      </c>
      <c r="S6" s="63" t="s">
        <v>328</v>
      </c>
      <c r="T6" s="2093" t="s">
        <v>327</v>
      </c>
      <c r="U6" s="2093" t="s">
        <v>328</v>
      </c>
      <c r="V6" s="2093" t="s">
        <v>327</v>
      </c>
      <c r="W6" s="2093" t="s">
        <v>328</v>
      </c>
      <c r="X6" s="2093" t="s">
        <v>327</v>
      </c>
      <c r="Y6" s="2094" t="s">
        <v>328</v>
      </c>
      <c r="Z6" s="2095" t="s">
        <v>327</v>
      </c>
      <c r="AA6" s="2096" t="s">
        <v>328</v>
      </c>
      <c r="AB6" s="2096" t="s">
        <v>327</v>
      </c>
      <c r="AC6" s="2096" t="s">
        <v>328</v>
      </c>
      <c r="AD6" s="2096" t="s">
        <v>327</v>
      </c>
      <c r="AE6" s="2096" t="s">
        <v>328</v>
      </c>
    </row>
    <row r="7" spans="1:31" ht="18">
      <c r="A7" s="557"/>
      <c r="B7" s="63"/>
      <c r="C7" s="482"/>
      <c r="D7" s="482"/>
      <c r="E7" s="482"/>
      <c r="F7" s="482"/>
      <c r="G7" s="482">
        <v>1</v>
      </c>
      <c r="H7" s="482">
        <v>2</v>
      </c>
      <c r="I7" s="482"/>
      <c r="J7" s="482">
        <v>3</v>
      </c>
      <c r="K7" s="482">
        <v>5</v>
      </c>
      <c r="L7" s="482"/>
      <c r="M7" s="2156"/>
      <c r="N7" s="2145"/>
      <c r="O7" s="482"/>
      <c r="P7" s="482"/>
      <c r="Q7" s="482">
        <v>6</v>
      </c>
      <c r="R7" s="482"/>
      <c r="S7" s="672"/>
      <c r="T7" s="2173"/>
      <c r="U7" s="2173"/>
      <c r="V7" s="2173"/>
      <c r="W7" s="2173"/>
      <c r="X7" s="2173"/>
      <c r="Y7" s="2174"/>
      <c r="Z7" s="2097"/>
      <c r="AA7" s="2098"/>
      <c r="AB7" s="2175"/>
      <c r="AC7" s="2175"/>
      <c r="AD7" s="2175"/>
      <c r="AE7" s="2175"/>
    </row>
    <row r="8" spans="1:31" s="2177" customFormat="1" ht="18">
      <c r="A8" s="559"/>
      <c r="B8" s="364" t="s">
        <v>362</v>
      </c>
      <c r="C8" s="485">
        <f>'Biểu số 1'!AU73</f>
        <v>6480440</v>
      </c>
      <c r="D8" s="485">
        <f>'Biểu số 1'!AV73</f>
        <v>6073802</v>
      </c>
      <c r="E8" s="485">
        <f>'Biểu số 1'!AW73</f>
        <v>5809777</v>
      </c>
      <c r="F8" s="485">
        <f>'Biểu số 1'!AX73</f>
        <v>6865963</v>
      </c>
      <c r="G8" s="485">
        <f>'Biểu số 1'!AY73</f>
        <v>6704000</v>
      </c>
      <c r="H8" s="485">
        <f>'Biểu số 1'!AZ73</f>
        <v>7489211</v>
      </c>
      <c r="I8" s="485">
        <f>'Phụ lục số I'!G10</f>
        <v>8892984.1620000005</v>
      </c>
      <c r="J8" s="485">
        <f>'Phụ lục số I'!N10</f>
        <v>8321554.0323476475</v>
      </c>
      <c r="K8" s="485">
        <f>'Phụ lục số I'!T10</f>
        <v>8582919.8297451045</v>
      </c>
      <c r="L8" s="485">
        <f>+'Phụ lục số I'!Z10</f>
        <v>8733000.4026917573</v>
      </c>
      <c r="M8" s="2157">
        <f>+'Phụ lục số I'!AF10</f>
        <v>8897080.397570271</v>
      </c>
      <c r="N8" s="2146"/>
      <c r="O8" s="485">
        <f>K8</f>
        <v>8582919.8297451045</v>
      </c>
      <c r="P8" s="485">
        <f>'Phụ lục số I'!Z10</f>
        <v>8733000.4026917573</v>
      </c>
      <c r="Q8" s="485">
        <f>'Phụ lục số I'!AF10</f>
        <v>8897080.397570271</v>
      </c>
      <c r="R8" s="486">
        <f>'Phụ lục số I'!AF10</f>
        <v>8897080.397570271</v>
      </c>
      <c r="S8" s="487">
        <f>R8</f>
        <v>8897080.397570271</v>
      </c>
      <c r="T8" s="2099">
        <f>'Phụ lục số I'!AL10</f>
        <v>11707748.897346757</v>
      </c>
      <c r="U8" s="2099">
        <f>T8</f>
        <v>11707748.897346757</v>
      </c>
      <c r="V8" s="2099">
        <f>'Phụ lục số I'!AR10</f>
        <v>12703027.248075902</v>
      </c>
      <c r="W8" s="2099">
        <f>V8</f>
        <v>12703027.248075902</v>
      </c>
      <c r="X8" s="2099">
        <f>'Phụ lục số I'!AX10</f>
        <v>13858437.191756533</v>
      </c>
      <c r="Y8" s="2100">
        <f>X8</f>
        <v>13858437.191756533</v>
      </c>
      <c r="Z8" s="2101">
        <f>C8+E8+G8+I8+K8</f>
        <v>36470120.991745107</v>
      </c>
      <c r="AA8" s="2102">
        <f>D8+F8+H8+J8+O8</f>
        <v>37333449.862092756</v>
      </c>
      <c r="AB8" s="2176"/>
      <c r="AC8" s="2176"/>
      <c r="AD8" s="2176"/>
      <c r="AE8" s="2176"/>
    </row>
    <row r="9" spans="1:31" ht="17.399999999999999">
      <c r="A9" s="561" t="s">
        <v>1</v>
      </c>
      <c r="B9" s="366" t="s">
        <v>363</v>
      </c>
      <c r="C9" s="489">
        <f t="shared" ref="C9:AA9" si="0">C8*20%</f>
        <v>1296088</v>
      </c>
      <c r="D9" s="489">
        <f t="shared" si="0"/>
        <v>1214760.4000000001</v>
      </c>
      <c r="E9" s="489">
        <f t="shared" si="0"/>
        <v>1161955.4000000001</v>
      </c>
      <c r="F9" s="489">
        <f t="shared" si="0"/>
        <v>1373192.6</v>
      </c>
      <c r="G9" s="489">
        <f t="shared" si="0"/>
        <v>1340800</v>
      </c>
      <c r="H9" s="489">
        <f t="shared" si="0"/>
        <v>1497842.2000000002</v>
      </c>
      <c r="I9" s="489">
        <f t="shared" si="0"/>
        <v>1778596.8324000002</v>
      </c>
      <c r="J9" s="489">
        <f t="shared" si="0"/>
        <v>1664310.8064695296</v>
      </c>
      <c r="K9" s="489">
        <f t="shared" si="0"/>
        <v>1716583.965949021</v>
      </c>
      <c r="L9" s="489">
        <f t="shared" si="0"/>
        <v>1746600.0805383516</v>
      </c>
      <c r="M9" s="562">
        <f t="shared" si="0"/>
        <v>1779416.0795140543</v>
      </c>
      <c r="N9" s="2147"/>
      <c r="O9" s="489">
        <f t="shared" si="0"/>
        <v>1716583.965949021</v>
      </c>
      <c r="P9" s="489">
        <f t="shared" si="0"/>
        <v>1746600.0805383516</v>
      </c>
      <c r="Q9" s="489">
        <f t="shared" si="0"/>
        <v>1779416.0795140543</v>
      </c>
      <c r="R9" s="489">
        <f t="shared" si="0"/>
        <v>1779416.0795140543</v>
      </c>
      <c r="S9" s="489">
        <f t="shared" si="0"/>
        <v>1779416.0795140543</v>
      </c>
      <c r="T9" s="2103">
        <f t="shared" si="0"/>
        <v>2341549.7794693517</v>
      </c>
      <c r="U9" s="2103">
        <f t="shared" si="0"/>
        <v>2341549.7794693517</v>
      </c>
      <c r="V9" s="2103">
        <f t="shared" si="0"/>
        <v>2540605.4496151805</v>
      </c>
      <c r="W9" s="2103">
        <f t="shared" si="0"/>
        <v>2540605.4496151805</v>
      </c>
      <c r="X9" s="2103">
        <f t="shared" si="0"/>
        <v>2771687.4383513071</v>
      </c>
      <c r="Y9" s="2104">
        <f t="shared" si="0"/>
        <v>2771687.4383513071</v>
      </c>
      <c r="Z9" s="2105">
        <f t="shared" si="0"/>
        <v>7294024.1983490214</v>
      </c>
      <c r="AA9" s="2106">
        <f t="shared" si="0"/>
        <v>7466689.9724185513</v>
      </c>
      <c r="AB9" s="2178"/>
      <c r="AC9" s="2178"/>
      <c r="AD9" s="2178"/>
      <c r="AE9" s="2178"/>
    </row>
    <row r="10" spans="1:31" ht="18">
      <c r="A10" s="563" t="s">
        <v>37</v>
      </c>
      <c r="B10" s="367" t="s">
        <v>329</v>
      </c>
      <c r="C10" s="524">
        <v>123200</v>
      </c>
      <c r="D10" s="524">
        <v>123200</v>
      </c>
      <c r="E10" s="580">
        <v>72661</v>
      </c>
      <c r="F10" s="580">
        <v>286642.34025999997</v>
      </c>
      <c r="G10" s="524">
        <v>247800</v>
      </c>
      <c r="H10" s="524">
        <v>247800</v>
      </c>
      <c r="I10" s="524"/>
      <c r="J10" s="524">
        <v>0</v>
      </c>
      <c r="K10" s="524">
        <v>0</v>
      </c>
      <c r="L10" s="524"/>
      <c r="M10" s="2158"/>
      <c r="N10" s="2148"/>
      <c r="O10" s="524"/>
      <c r="P10" s="524"/>
      <c r="Q10" s="524">
        <v>0</v>
      </c>
      <c r="R10" s="524"/>
      <c r="S10" s="2179"/>
      <c r="T10" s="2180"/>
      <c r="U10" s="2180"/>
      <c r="V10" s="2180"/>
      <c r="W10" s="2180"/>
      <c r="X10" s="2180"/>
      <c r="Y10" s="2181"/>
      <c r="Z10" s="2107"/>
      <c r="AA10" s="2108"/>
      <c r="AB10" s="2178"/>
      <c r="AC10" s="2178"/>
      <c r="AD10" s="2178"/>
      <c r="AE10" s="2178"/>
    </row>
    <row r="11" spans="1:31" ht="18">
      <c r="A11" s="563" t="s">
        <v>44</v>
      </c>
      <c r="B11" s="367" t="s">
        <v>330</v>
      </c>
      <c r="C11" s="524">
        <v>123200</v>
      </c>
      <c r="D11" s="524">
        <v>123200</v>
      </c>
      <c r="E11" s="580">
        <v>72661</v>
      </c>
      <c r="F11" s="580">
        <v>286642.34025999997</v>
      </c>
      <c r="G11" s="524">
        <f>247800</f>
        <v>247800</v>
      </c>
      <c r="H11" s="524">
        <f>247800</f>
        <v>247800</v>
      </c>
      <c r="I11" s="524"/>
      <c r="J11" s="524">
        <v>0</v>
      </c>
      <c r="K11" s="524">
        <v>0</v>
      </c>
      <c r="L11" s="524"/>
      <c r="M11" s="2158"/>
      <c r="N11" s="2148"/>
      <c r="O11" s="524"/>
      <c r="P11" s="524"/>
      <c r="Q11" s="524">
        <v>0</v>
      </c>
      <c r="R11" s="524"/>
      <c r="S11" s="2179"/>
      <c r="T11" s="2180"/>
      <c r="U11" s="2180"/>
      <c r="V11" s="2180"/>
      <c r="W11" s="2180"/>
      <c r="X11" s="2180"/>
      <c r="Y11" s="2181"/>
      <c r="Z11" s="2107"/>
      <c r="AA11" s="2108"/>
      <c r="AB11" s="2178"/>
      <c r="AC11" s="2178"/>
      <c r="AD11" s="2178"/>
      <c r="AE11" s="2178"/>
    </row>
    <row r="12" spans="1:31" ht="17.399999999999999">
      <c r="A12" s="563" t="s">
        <v>3</v>
      </c>
      <c r="B12" s="367" t="s">
        <v>331</v>
      </c>
      <c r="C12" s="491">
        <f t="shared" ref="C12:AE12" si="1">SUM(C14,C19:C22)</f>
        <v>438283.16586000001</v>
      </c>
      <c r="D12" s="491">
        <f t="shared" si="1"/>
        <v>438283.16586000001</v>
      </c>
      <c r="E12" s="491">
        <f t="shared" si="1"/>
        <v>406330.14125300001</v>
      </c>
      <c r="F12" s="491">
        <f t="shared" si="1"/>
        <v>406330.14125300001</v>
      </c>
      <c r="G12" s="491">
        <f t="shared" si="1"/>
        <v>367690.65598299995</v>
      </c>
      <c r="H12" s="491">
        <f t="shared" si="1"/>
        <v>367690.65598299995</v>
      </c>
      <c r="I12" s="491">
        <f t="shared" si="1"/>
        <v>326494.34025999997</v>
      </c>
      <c r="J12" s="491">
        <f t="shared" si="1"/>
        <v>326493.97387699998</v>
      </c>
      <c r="K12" s="491">
        <f t="shared" si="1"/>
        <v>253167.63361699998</v>
      </c>
      <c r="L12" s="491">
        <f t="shared" si="1"/>
        <v>66419.633616999985</v>
      </c>
      <c r="M12" s="525">
        <f t="shared" si="1"/>
        <v>45419.633616999985</v>
      </c>
      <c r="N12" s="545"/>
      <c r="O12" s="491">
        <f t="shared" si="1"/>
        <v>253168</v>
      </c>
      <c r="P12" s="491">
        <f t="shared" si="1"/>
        <v>66419.633616999985</v>
      </c>
      <c r="Q12" s="491">
        <f t="shared" si="1"/>
        <v>66419.633616999985</v>
      </c>
      <c r="R12" s="491">
        <f t="shared" si="1"/>
        <v>45419.633616999985</v>
      </c>
      <c r="S12" s="491">
        <f t="shared" si="1"/>
        <v>45419.633616999985</v>
      </c>
      <c r="T12" s="2109">
        <f t="shared" si="1"/>
        <v>23419.633616999985</v>
      </c>
      <c r="U12" s="2109">
        <f t="shared" si="1"/>
        <v>23419.633616999985</v>
      </c>
      <c r="V12" s="2109">
        <f t="shared" si="1"/>
        <v>1419.633616999985</v>
      </c>
      <c r="W12" s="2109">
        <f t="shared" si="1"/>
        <v>1419.633616999985</v>
      </c>
      <c r="X12" s="2109">
        <f t="shared" si="1"/>
        <v>0</v>
      </c>
      <c r="Y12" s="2110">
        <f t="shared" si="1"/>
        <v>0</v>
      </c>
      <c r="Z12" s="2111">
        <f t="shared" si="1"/>
        <v>0</v>
      </c>
      <c r="AA12" s="2109">
        <f t="shared" si="1"/>
        <v>1791965.9369729997</v>
      </c>
      <c r="AB12" s="2109">
        <f t="shared" si="1"/>
        <v>0</v>
      </c>
      <c r="AC12" s="2109">
        <f t="shared" si="1"/>
        <v>0</v>
      </c>
      <c r="AD12" s="2109">
        <f t="shared" si="1"/>
        <v>0</v>
      </c>
      <c r="AE12" s="2110">
        <f t="shared" si="1"/>
        <v>0</v>
      </c>
    </row>
    <row r="13" spans="1:31" ht="18">
      <c r="A13" s="564"/>
      <c r="B13" s="368" t="s">
        <v>332</v>
      </c>
      <c r="C13" s="539">
        <f>C12/C9</f>
        <v>0.33815849375968299</v>
      </c>
      <c r="D13" s="539">
        <f t="shared" ref="D13:Y13" si="2">D12/D9</f>
        <v>0.360798035447978</v>
      </c>
      <c r="E13" s="539">
        <f t="shared" si="2"/>
        <v>0.34969512707028166</v>
      </c>
      <c r="F13" s="539">
        <f t="shared" si="2"/>
        <v>0.29590178482828994</v>
      </c>
      <c r="G13" s="539">
        <f t="shared" si="2"/>
        <v>0.27423229115677206</v>
      </c>
      <c r="H13" s="539">
        <f t="shared" si="2"/>
        <v>0.24548023549009362</v>
      </c>
      <c r="I13" s="539">
        <f t="shared" si="2"/>
        <v>0.1835684930459679</v>
      </c>
      <c r="J13" s="539">
        <f t="shared" si="2"/>
        <v>0.19617367898342578</v>
      </c>
      <c r="K13" s="539">
        <f t="shared" si="2"/>
        <v>0.14748339646586128</v>
      </c>
      <c r="L13" s="539">
        <f t="shared" si="2"/>
        <v>3.8027957491292209E-2</v>
      </c>
      <c r="M13" s="565">
        <f t="shared" si="2"/>
        <v>2.5525021460637672E-2</v>
      </c>
      <c r="N13" s="2149"/>
      <c r="O13" s="539">
        <f t="shared" si="2"/>
        <v>0.14748360990313394</v>
      </c>
      <c r="P13" s="539">
        <f t="shared" si="2"/>
        <v>3.8027957491292209E-2</v>
      </c>
      <c r="Q13" s="539">
        <f t="shared" si="2"/>
        <v>3.7326645736020722E-2</v>
      </c>
      <c r="R13" s="539">
        <f t="shared" si="2"/>
        <v>2.5525021460637672E-2</v>
      </c>
      <c r="S13" s="539">
        <f t="shared" si="2"/>
        <v>2.5525021460637672E-2</v>
      </c>
      <c r="T13" s="2112">
        <f t="shared" si="2"/>
        <v>1.0001766275627676E-2</v>
      </c>
      <c r="U13" s="2112">
        <f t="shared" si="2"/>
        <v>1.0001766275627676E-2</v>
      </c>
      <c r="V13" s="2112">
        <f t="shared" si="2"/>
        <v>5.5877767923981012E-4</v>
      </c>
      <c r="W13" s="2112">
        <f t="shared" si="2"/>
        <v>5.5877767923981012E-4</v>
      </c>
      <c r="X13" s="2112">
        <f t="shared" si="2"/>
        <v>0</v>
      </c>
      <c r="Y13" s="2113">
        <f t="shared" si="2"/>
        <v>0</v>
      </c>
      <c r="Z13" s="2182"/>
      <c r="AA13" s="2183"/>
      <c r="AB13" s="2183"/>
      <c r="AC13" s="2183"/>
      <c r="AD13" s="2183"/>
      <c r="AE13" s="2181"/>
    </row>
    <row r="14" spans="1:31" ht="17.399999999999999">
      <c r="A14" s="566">
        <v>1</v>
      </c>
      <c r="B14" s="369" t="s">
        <v>333</v>
      </c>
      <c r="C14" s="497">
        <f t="shared" ref="C14" si="3">SUM(C16:C18)</f>
        <v>411715.34425999998</v>
      </c>
      <c r="D14" s="497">
        <f t="shared" ref="D14:AE14" si="4">SUM(D16:D18)</f>
        <v>411715.34425999998</v>
      </c>
      <c r="E14" s="497">
        <f t="shared" si="4"/>
        <v>339054.01225999999</v>
      </c>
      <c r="F14" s="497">
        <f t="shared" si="4"/>
        <v>339054.01225999999</v>
      </c>
      <c r="G14" s="497">
        <f t="shared" si="4"/>
        <v>272642.68025999999</v>
      </c>
      <c r="H14" s="497">
        <f t="shared" si="4"/>
        <v>272642.68025999999</v>
      </c>
      <c r="I14" s="497">
        <f t="shared" si="4"/>
        <v>225231.34026</v>
      </c>
      <c r="J14" s="497">
        <f t="shared" si="4"/>
        <v>225231.34026</v>
      </c>
      <c r="K14" s="497">
        <f t="shared" si="4"/>
        <v>165905</v>
      </c>
      <c r="L14" s="497">
        <f t="shared" si="4"/>
        <v>0</v>
      </c>
      <c r="M14" s="527">
        <f t="shared" si="4"/>
        <v>0</v>
      </c>
      <c r="N14" s="547"/>
      <c r="O14" s="497">
        <f t="shared" si="4"/>
        <v>165905</v>
      </c>
      <c r="P14" s="497">
        <f t="shared" si="4"/>
        <v>0</v>
      </c>
      <c r="Q14" s="497">
        <f t="shared" si="4"/>
        <v>0</v>
      </c>
      <c r="R14" s="497">
        <f t="shared" si="4"/>
        <v>0</v>
      </c>
      <c r="S14" s="497">
        <f t="shared" si="4"/>
        <v>0</v>
      </c>
      <c r="T14" s="2114">
        <f t="shared" si="4"/>
        <v>0</v>
      </c>
      <c r="U14" s="2114">
        <f t="shared" si="4"/>
        <v>0</v>
      </c>
      <c r="V14" s="2114">
        <f t="shared" si="4"/>
        <v>0</v>
      </c>
      <c r="W14" s="2114">
        <f t="shared" si="4"/>
        <v>0</v>
      </c>
      <c r="X14" s="2114">
        <f t="shared" si="4"/>
        <v>0</v>
      </c>
      <c r="Y14" s="2115">
        <f t="shared" si="4"/>
        <v>0</v>
      </c>
      <c r="Z14" s="2116">
        <f t="shared" si="4"/>
        <v>0</v>
      </c>
      <c r="AA14" s="2114">
        <f t="shared" si="4"/>
        <v>1414548.3770399997</v>
      </c>
      <c r="AB14" s="2114">
        <f t="shared" si="4"/>
        <v>0</v>
      </c>
      <c r="AC14" s="2114">
        <f t="shared" si="4"/>
        <v>0</v>
      </c>
      <c r="AD14" s="2114">
        <f t="shared" si="4"/>
        <v>0</v>
      </c>
      <c r="AE14" s="2115">
        <f t="shared" si="4"/>
        <v>0</v>
      </c>
    </row>
    <row r="15" spans="1:31" ht="17.399999999999999">
      <c r="A15" s="566"/>
      <c r="B15" s="369" t="s">
        <v>234</v>
      </c>
      <c r="C15" s="497"/>
      <c r="D15" s="497"/>
      <c r="E15" s="497"/>
      <c r="F15" s="497"/>
      <c r="G15" s="497"/>
      <c r="H15" s="497"/>
      <c r="I15" s="497"/>
      <c r="J15" s="497"/>
      <c r="K15" s="497"/>
      <c r="L15" s="497"/>
      <c r="M15" s="527"/>
      <c r="N15" s="547"/>
      <c r="O15" s="497"/>
      <c r="P15" s="497"/>
      <c r="Q15" s="497"/>
      <c r="R15" s="498"/>
      <c r="S15" s="35"/>
      <c r="T15" s="2180"/>
      <c r="U15" s="2180"/>
      <c r="V15" s="2180"/>
      <c r="W15" s="2180"/>
      <c r="X15" s="2180"/>
      <c r="Y15" s="2181"/>
      <c r="Z15" s="2182"/>
      <c r="AA15" s="2183"/>
      <c r="AB15" s="2183"/>
      <c r="AC15" s="2183"/>
      <c r="AD15" s="2183"/>
      <c r="AE15" s="2181"/>
    </row>
    <row r="16" spans="1:31" ht="18">
      <c r="A16" s="567"/>
      <c r="B16" s="370" t="s">
        <v>367</v>
      </c>
      <c r="C16" s="499">
        <v>6250</v>
      </c>
      <c r="D16" s="499">
        <v>6250</v>
      </c>
      <c r="E16" s="499">
        <v>0</v>
      </c>
      <c r="F16" s="499">
        <v>0</v>
      </c>
      <c r="G16" s="499">
        <v>0</v>
      </c>
      <c r="H16" s="499">
        <v>0</v>
      </c>
      <c r="I16" s="499">
        <v>0</v>
      </c>
      <c r="J16" s="500">
        <v>0</v>
      </c>
      <c r="K16" s="520"/>
      <c r="L16" s="520"/>
      <c r="M16" s="2159"/>
      <c r="N16" s="2150"/>
      <c r="O16" s="520"/>
      <c r="P16" s="500"/>
      <c r="Q16" s="500">
        <v>0</v>
      </c>
      <c r="R16" s="500"/>
      <c r="S16" s="35"/>
      <c r="T16" s="2180"/>
      <c r="U16" s="2180"/>
      <c r="V16" s="2180"/>
      <c r="W16" s="2180"/>
      <c r="X16" s="2180"/>
      <c r="Y16" s="2181"/>
      <c r="Z16" s="2107"/>
      <c r="AA16" s="2102">
        <f>D16+F16+H16+J16+O16</f>
        <v>6250</v>
      </c>
      <c r="AB16" s="2183"/>
      <c r="AC16" s="2183"/>
      <c r="AD16" s="2183"/>
      <c r="AE16" s="2181"/>
    </row>
    <row r="17" spans="1:31" ht="18">
      <c r="A17" s="567"/>
      <c r="B17" s="370" t="s">
        <v>368</v>
      </c>
      <c r="C17" s="499">
        <v>225231.34026</v>
      </c>
      <c r="D17" s="499">
        <v>225231.34026</v>
      </c>
      <c r="E17" s="499">
        <v>225231.34026</v>
      </c>
      <c r="F17" s="499">
        <v>225231.34026</v>
      </c>
      <c r="G17" s="501">
        <v>225231.34026</v>
      </c>
      <c r="H17" s="501">
        <v>225231.34026</v>
      </c>
      <c r="I17" s="1088">
        <v>225231.34026</v>
      </c>
      <c r="J17" s="500">
        <v>225231.34026</v>
      </c>
      <c r="K17" s="520">
        <f>I54</f>
        <v>165905</v>
      </c>
      <c r="L17" s="520">
        <f>+K54</f>
        <v>0</v>
      </c>
      <c r="M17" s="2159">
        <v>0</v>
      </c>
      <c r="N17" s="2150"/>
      <c r="O17" s="520">
        <f t="shared" ref="O17" si="5">+K17</f>
        <v>165905</v>
      </c>
      <c r="P17" s="500"/>
      <c r="Q17" s="500">
        <v>0</v>
      </c>
      <c r="R17" s="500"/>
      <c r="S17" s="35"/>
      <c r="T17" s="2180"/>
      <c r="U17" s="2180"/>
      <c r="V17" s="2180"/>
      <c r="W17" s="2180"/>
      <c r="X17" s="2180"/>
      <c r="Y17" s="2181"/>
      <c r="Z17" s="2107"/>
      <c r="AA17" s="2102">
        <f t="shared" ref="AA17:AA18" si="6">D17+F17+H17+J17+O17</f>
        <v>1066830.3610399999</v>
      </c>
      <c r="AB17" s="2183"/>
      <c r="AC17" s="2183"/>
      <c r="AD17" s="2183"/>
      <c r="AE17" s="2181"/>
    </row>
    <row r="18" spans="1:31" ht="18">
      <c r="A18" s="567"/>
      <c r="B18" s="370" t="s">
        <v>369</v>
      </c>
      <c r="C18" s="499">
        <v>180234.00399999999</v>
      </c>
      <c r="D18" s="499">
        <v>180234.00399999999</v>
      </c>
      <c r="E18" s="499">
        <v>113822.67199999999</v>
      </c>
      <c r="F18" s="499">
        <v>113822.67199999999</v>
      </c>
      <c r="G18" s="501">
        <v>47411.34</v>
      </c>
      <c r="H18" s="501">
        <v>47411.34</v>
      </c>
      <c r="I18" s="501">
        <v>0</v>
      </c>
      <c r="J18" s="500">
        <v>0</v>
      </c>
      <c r="K18" s="520"/>
      <c r="L18" s="520"/>
      <c r="M18" s="2159"/>
      <c r="N18" s="2150"/>
      <c r="O18" s="520"/>
      <c r="P18" s="500"/>
      <c r="Q18" s="500">
        <f>47412.002668-47412.002668</f>
        <v>0</v>
      </c>
      <c r="R18" s="500"/>
      <c r="S18" s="35"/>
      <c r="T18" s="2180"/>
      <c r="U18" s="2180"/>
      <c r="V18" s="2180"/>
      <c r="W18" s="2180"/>
      <c r="X18" s="2180"/>
      <c r="Y18" s="2181"/>
      <c r="Z18" s="2107"/>
      <c r="AA18" s="2102">
        <f t="shared" si="6"/>
        <v>341468.01599999995</v>
      </c>
      <c r="AB18" s="2183"/>
      <c r="AC18" s="2183"/>
      <c r="AD18" s="2183"/>
      <c r="AE18" s="2181"/>
    </row>
    <row r="19" spans="1:31" ht="17.399999999999999">
      <c r="A19" s="566">
        <v>2</v>
      </c>
      <c r="B19" s="369" t="s">
        <v>334</v>
      </c>
      <c r="C19" s="492">
        <v>0</v>
      </c>
      <c r="D19" s="492">
        <v>0</v>
      </c>
      <c r="E19" s="492">
        <v>0</v>
      </c>
      <c r="F19" s="492">
        <v>0</v>
      </c>
      <c r="G19" s="492">
        <v>0</v>
      </c>
      <c r="H19" s="492">
        <v>0</v>
      </c>
      <c r="I19" s="492"/>
      <c r="J19" s="492">
        <v>0</v>
      </c>
      <c r="K19" s="492">
        <v>0</v>
      </c>
      <c r="L19" s="492"/>
      <c r="M19" s="2160"/>
      <c r="N19" s="2151"/>
      <c r="O19" s="492"/>
      <c r="P19" s="492"/>
      <c r="Q19" s="492">
        <v>0</v>
      </c>
      <c r="R19" s="492"/>
      <c r="S19" s="35"/>
      <c r="T19" s="2180"/>
      <c r="U19" s="2180"/>
      <c r="V19" s="2180"/>
      <c r="W19" s="2180"/>
      <c r="X19" s="2180"/>
      <c r="Y19" s="2181"/>
      <c r="Z19" s="2182"/>
      <c r="AA19" s="2183"/>
      <c r="AB19" s="2183"/>
      <c r="AC19" s="2183"/>
      <c r="AD19" s="2183"/>
      <c r="AE19" s="2181"/>
    </row>
    <row r="20" spans="1:31" ht="17.399999999999999">
      <c r="A20" s="566">
        <v>3</v>
      </c>
      <c r="B20" s="371" t="s">
        <v>335</v>
      </c>
      <c r="C20" s="502">
        <v>0</v>
      </c>
      <c r="D20" s="502">
        <v>0</v>
      </c>
      <c r="E20" s="502">
        <v>0</v>
      </c>
      <c r="F20" s="502">
        <v>0</v>
      </c>
      <c r="G20" s="502">
        <v>0</v>
      </c>
      <c r="H20" s="502">
        <v>0</v>
      </c>
      <c r="I20" s="502"/>
      <c r="J20" s="492">
        <v>0</v>
      </c>
      <c r="K20" s="492">
        <v>0</v>
      </c>
      <c r="L20" s="492"/>
      <c r="M20" s="2160"/>
      <c r="N20" s="2151"/>
      <c r="O20" s="492"/>
      <c r="P20" s="492"/>
      <c r="Q20" s="492">
        <v>0</v>
      </c>
      <c r="R20" s="492"/>
      <c r="T20" s="2180"/>
      <c r="U20" s="2180"/>
      <c r="V20" s="2180"/>
      <c r="W20" s="2180"/>
      <c r="X20" s="2180"/>
      <c r="Y20" s="2181"/>
      <c r="Z20" s="2182"/>
      <c r="AA20" s="2183"/>
      <c r="AB20" s="2183"/>
      <c r="AC20" s="2183"/>
      <c r="AD20" s="2183"/>
      <c r="AE20" s="2181"/>
    </row>
    <row r="21" spans="1:31" s="47" customFormat="1" ht="18">
      <c r="A21" s="566">
        <v>4</v>
      </c>
      <c r="B21" s="371" t="s">
        <v>336</v>
      </c>
      <c r="C21" s="502">
        <v>26567.821599999999</v>
      </c>
      <c r="D21" s="502">
        <v>26567.821599999999</v>
      </c>
      <c r="E21" s="502">
        <v>67276.128992999991</v>
      </c>
      <c r="F21" s="502">
        <v>67276.128992999991</v>
      </c>
      <c r="G21" s="502">
        <v>95047.975722999981</v>
      </c>
      <c r="H21" s="502">
        <v>95047.975722999981</v>
      </c>
      <c r="I21" s="502">
        <v>101263</v>
      </c>
      <c r="J21" s="492">
        <f>H58</f>
        <v>101262.63361699998</v>
      </c>
      <c r="K21" s="492">
        <f>J58</f>
        <v>87262.633616999985</v>
      </c>
      <c r="L21" s="492">
        <f>+K58</f>
        <v>66419.633616999985</v>
      </c>
      <c r="M21" s="2160">
        <f>+L58</f>
        <v>45419.633616999985</v>
      </c>
      <c r="N21" s="2151"/>
      <c r="O21" s="492">
        <v>87263</v>
      </c>
      <c r="P21" s="492">
        <f>K58</f>
        <v>66419.633616999985</v>
      </c>
      <c r="Q21" s="492">
        <f>K58</f>
        <v>66419.633616999985</v>
      </c>
      <c r="R21" s="517">
        <f>P58</f>
        <v>45419.633616999985</v>
      </c>
      <c r="S21" s="517">
        <f>+Q58</f>
        <v>45419.633616999985</v>
      </c>
      <c r="T21" s="2117">
        <f>+R58</f>
        <v>23419.633616999985</v>
      </c>
      <c r="U21" s="2117">
        <f>+S58</f>
        <v>23419.633616999985</v>
      </c>
      <c r="V21" s="2117">
        <f>+T58</f>
        <v>1419.633616999985</v>
      </c>
      <c r="W21" s="2117">
        <f>+U58</f>
        <v>1419.633616999985</v>
      </c>
      <c r="X21" s="2118"/>
      <c r="Y21" s="2119"/>
      <c r="Z21" s="2120"/>
      <c r="AA21" s="2102">
        <f t="shared" ref="AA21" si="7">D21+F21+H21+J21+O21</f>
        <v>377417.55993299995</v>
      </c>
      <c r="AB21" s="2121"/>
      <c r="AC21" s="2121"/>
      <c r="AD21" s="2121"/>
      <c r="AE21" s="2119"/>
    </row>
    <row r="22" spans="1:31" ht="17.399999999999999">
      <c r="A22" s="566">
        <v>5</v>
      </c>
      <c r="B22" s="371" t="s">
        <v>337</v>
      </c>
      <c r="C22" s="502">
        <v>0</v>
      </c>
      <c r="D22" s="502">
        <v>0</v>
      </c>
      <c r="E22" s="502">
        <v>0</v>
      </c>
      <c r="F22" s="502">
        <v>0</v>
      </c>
      <c r="G22" s="502">
        <v>0</v>
      </c>
      <c r="H22" s="502">
        <v>0</v>
      </c>
      <c r="I22" s="502"/>
      <c r="J22" s="492">
        <v>0</v>
      </c>
      <c r="K22" s="492">
        <v>0</v>
      </c>
      <c r="L22" s="492"/>
      <c r="M22" s="2160"/>
      <c r="N22" s="2151"/>
      <c r="O22" s="492"/>
      <c r="P22" s="492"/>
      <c r="Q22" s="492">
        <v>0</v>
      </c>
      <c r="R22" s="492"/>
      <c r="S22" s="35"/>
      <c r="T22" s="2180"/>
      <c r="U22" s="2180"/>
      <c r="V22" s="2180"/>
      <c r="W22" s="2180"/>
      <c r="X22" s="2180"/>
      <c r="Y22" s="2181"/>
      <c r="Z22" s="2182"/>
      <c r="AA22" s="2183"/>
      <c r="AB22" s="2183"/>
      <c r="AC22" s="2183"/>
      <c r="AD22" s="2183"/>
      <c r="AE22" s="2181"/>
    </row>
    <row r="23" spans="1:31" ht="17.399999999999999">
      <c r="A23" s="566" t="s">
        <v>33</v>
      </c>
      <c r="B23" s="372" t="s">
        <v>338</v>
      </c>
      <c r="C23" s="503">
        <f t="shared" ref="C23:AE23" si="8">C24</f>
        <v>303684.36466700002</v>
      </c>
      <c r="D23" s="503">
        <f t="shared" si="8"/>
        <v>78453.02440699999</v>
      </c>
      <c r="E23" s="503">
        <f t="shared" si="8"/>
        <v>78566.410449999996</v>
      </c>
      <c r="F23" s="503">
        <f t="shared" si="8"/>
        <v>78566.410449999996</v>
      </c>
      <c r="G23" s="504">
        <f t="shared" si="8"/>
        <v>59911.34</v>
      </c>
      <c r="H23" s="504">
        <f t="shared" si="8"/>
        <v>59621.915305999995</v>
      </c>
      <c r="I23" s="504">
        <f t="shared" si="8"/>
        <v>238231.34026</v>
      </c>
      <c r="J23" s="503">
        <f t="shared" si="8"/>
        <v>73326</v>
      </c>
      <c r="K23" s="503">
        <f t="shared" si="8"/>
        <v>186748</v>
      </c>
      <c r="L23" s="503">
        <f t="shared" si="8"/>
        <v>21000</v>
      </c>
      <c r="M23" s="529">
        <f t="shared" si="8"/>
        <v>22000</v>
      </c>
      <c r="N23" s="549"/>
      <c r="O23" s="503">
        <f t="shared" si="8"/>
        <v>186748.34026</v>
      </c>
      <c r="P23" s="503">
        <f t="shared" si="8"/>
        <v>21000</v>
      </c>
      <c r="Q23" s="503">
        <f t="shared" si="8"/>
        <v>21000</v>
      </c>
      <c r="R23" s="503">
        <f t="shared" si="8"/>
        <v>22000</v>
      </c>
      <c r="S23" s="503">
        <f t="shared" si="8"/>
        <v>22000</v>
      </c>
      <c r="T23" s="2122">
        <f t="shared" si="8"/>
        <v>22000</v>
      </c>
      <c r="U23" s="2122">
        <f t="shared" si="8"/>
        <v>22000</v>
      </c>
      <c r="V23" s="2122">
        <f t="shared" si="8"/>
        <v>1419.633616999985</v>
      </c>
      <c r="W23" s="2122">
        <f t="shared" si="8"/>
        <v>1419.633616999985</v>
      </c>
      <c r="X23" s="2122">
        <f t="shared" si="8"/>
        <v>0</v>
      </c>
      <c r="Y23" s="2123">
        <f t="shared" si="8"/>
        <v>0</v>
      </c>
      <c r="Z23" s="2124">
        <f t="shared" si="8"/>
        <v>0</v>
      </c>
      <c r="AA23" s="2122">
        <f t="shared" si="8"/>
        <v>476715.69042299996</v>
      </c>
      <c r="AB23" s="2122">
        <f t="shared" si="8"/>
        <v>65000.346163000002</v>
      </c>
      <c r="AC23" s="2122">
        <f t="shared" si="8"/>
        <v>65000.346163000002</v>
      </c>
      <c r="AD23" s="2122">
        <f t="shared" si="8"/>
        <v>65000.346163000002</v>
      </c>
      <c r="AE23" s="2123">
        <f t="shared" si="8"/>
        <v>65000.346163000002</v>
      </c>
    </row>
    <row r="24" spans="1:31" ht="17.399999999999999">
      <c r="A24" s="566">
        <v>1</v>
      </c>
      <c r="B24" s="372" t="s">
        <v>339</v>
      </c>
      <c r="C24" s="503">
        <f>SUM(C25,C30:C33)</f>
        <v>303684.36466700002</v>
      </c>
      <c r="D24" s="503">
        <f t="shared" ref="D24:AE24" si="9">SUM(D25,D30:D33)</f>
        <v>78453.02440699999</v>
      </c>
      <c r="E24" s="503">
        <f t="shared" si="9"/>
        <v>78566.410449999996</v>
      </c>
      <c r="F24" s="503">
        <f t="shared" si="9"/>
        <v>78566.410449999996</v>
      </c>
      <c r="G24" s="503">
        <f t="shared" si="9"/>
        <v>59911.34</v>
      </c>
      <c r="H24" s="503">
        <f t="shared" si="9"/>
        <v>59621.915305999995</v>
      </c>
      <c r="I24" s="503">
        <f t="shared" si="9"/>
        <v>238231.34026</v>
      </c>
      <c r="J24" s="503">
        <f t="shared" si="9"/>
        <v>73326</v>
      </c>
      <c r="K24" s="503">
        <f t="shared" si="9"/>
        <v>186748</v>
      </c>
      <c r="L24" s="503">
        <f t="shared" ref="L24:M24" si="10">SUM(L25,L30:L33)</f>
        <v>21000</v>
      </c>
      <c r="M24" s="529">
        <f t="shared" si="10"/>
        <v>22000</v>
      </c>
      <c r="N24" s="549"/>
      <c r="O24" s="503">
        <f t="shared" si="9"/>
        <v>186748.34026</v>
      </c>
      <c r="P24" s="503">
        <f t="shared" si="9"/>
        <v>21000</v>
      </c>
      <c r="Q24" s="503">
        <f t="shared" si="9"/>
        <v>21000</v>
      </c>
      <c r="R24" s="503">
        <f t="shared" si="9"/>
        <v>22000</v>
      </c>
      <c r="S24" s="503">
        <f t="shared" si="9"/>
        <v>22000</v>
      </c>
      <c r="T24" s="2122">
        <f t="shared" si="9"/>
        <v>22000</v>
      </c>
      <c r="U24" s="2122">
        <f t="shared" si="9"/>
        <v>22000</v>
      </c>
      <c r="V24" s="2122">
        <f t="shared" si="9"/>
        <v>1419.633616999985</v>
      </c>
      <c r="W24" s="2122">
        <f t="shared" si="9"/>
        <v>1419.633616999985</v>
      </c>
      <c r="X24" s="2122">
        <f t="shared" si="9"/>
        <v>0</v>
      </c>
      <c r="Y24" s="2123">
        <f t="shared" si="9"/>
        <v>0</v>
      </c>
      <c r="Z24" s="2124">
        <f t="shared" si="9"/>
        <v>0</v>
      </c>
      <c r="AA24" s="2122">
        <f t="shared" si="9"/>
        <v>476715.69042299996</v>
      </c>
      <c r="AB24" s="2122">
        <f t="shared" si="9"/>
        <v>65000.346163000002</v>
      </c>
      <c r="AC24" s="2122">
        <f t="shared" si="9"/>
        <v>65000.346163000002</v>
      </c>
      <c r="AD24" s="2122">
        <f t="shared" si="9"/>
        <v>65000.346163000002</v>
      </c>
      <c r="AE24" s="2123">
        <f t="shared" si="9"/>
        <v>65000.346163000002</v>
      </c>
    </row>
    <row r="25" spans="1:31" ht="18">
      <c r="A25" s="566" t="s">
        <v>29</v>
      </c>
      <c r="B25" s="373" t="s">
        <v>340</v>
      </c>
      <c r="C25" s="505">
        <f t="shared" ref="C25" si="11">SUM(C27:C29)</f>
        <v>297892.67226000002</v>
      </c>
      <c r="D25" s="505">
        <f t="shared" ref="D25:G25" si="12">SUM(D27:D29)</f>
        <v>72661.331999999995</v>
      </c>
      <c r="E25" s="505">
        <f t="shared" si="12"/>
        <v>66411.331999999995</v>
      </c>
      <c r="F25" s="505">
        <f t="shared" si="12"/>
        <v>66411.331999999995</v>
      </c>
      <c r="G25" s="505">
        <f t="shared" si="12"/>
        <v>47411.34</v>
      </c>
      <c r="H25" s="505">
        <f t="shared" ref="H25:M25" si="13">SUM(H27:H29)</f>
        <v>47411.34</v>
      </c>
      <c r="I25" s="505">
        <f t="shared" si="13"/>
        <v>225231.34026</v>
      </c>
      <c r="J25" s="505">
        <f t="shared" si="13"/>
        <v>59326</v>
      </c>
      <c r="K25" s="505">
        <f t="shared" si="13"/>
        <v>165905</v>
      </c>
      <c r="L25" s="505">
        <f t="shared" si="13"/>
        <v>0</v>
      </c>
      <c r="M25" s="530">
        <f t="shared" si="13"/>
        <v>0</v>
      </c>
      <c r="N25" s="550"/>
      <c r="O25" s="505">
        <f t="shared" ref="O25:AE25" si="14">SUM(O27:O29)</f>
        <v>165905.34026</v>
      </c>
      <c r="P25" s="505">
        <f t="shared" si="14"/>
        <v>0</v>
      </c>
      <c r="Q25" s="505">
        <f t="shared" si="14"/>
        <v>0</v>
      </c>
      <c r="R25" s="505">
        <f t="shared" si="14"/>
        <v>0</v>
      </c>
      <c r="S25" s="505">
        <f t="shared" si="14"/>
        <v>0</v>
      </c>
      <c r="T25" s="2125">
        <f t="shared" si="14"/>
        <v>0</v>
      </c>
      <c r="U25" s="2125">
        <f t="shared" si="14"/>
        <v>0</v>
      </c>
      <c r="V25" s="2125">
        <f t="shared" si="14"/>
        <v>0</v>
      </c>
      <c r="W25" s="2125">
        <f t="shared" si="14"/>
        <v>0</v>
      </c>
      <c r="X25" s="2125">
        <f t="shared" si="14"/>
        <v>0</v>
      </c>
      <c r="Y25" s="2126">
        <f t="shared" si="14"/>
        <v>0</v>
      </c>
      <c r="Z25" s="2127">
        <f t="shared" si="14"/>
        <v>0</v>
      </c>
      <c r="AA25" s="2125">
        <f t="shared" si="14"/>
        <v>411715.34425999998</v>
      </c>
      <c r="AB25" s="2125">
        <f t="shared" si="14"/>
        <v>0</v>
      </c>
      <c r="AC25" s="2125">
        <f t="shared" si="14"/>
        <v>0</v>
      </c>
      <c r="AD25" s="2125">
        <f t="shared" si="14"/>
        <v>0</v>
      </c>
      <c r="AE25" s="2126">
        <f t="shared" si="14"/>
        <v>0</v>
      </c>
    </row>
    <row r="26" spans="1:31" ht="18">
      <c r="A26" s="566"/>
      <c r="B26" s="373" t="s">
        <v>234</v>
      </c>
      <c r="C26" s="505"/>
      <c r="D26" s="505"/>
      <c r="E26" s="505"/>
      <c r="F26" s="505"/>
      <c r="G26" s="505"/>
      <c r="H26" s="505"/>
      <c r="I26" s="505"/>
      <c r="J26" s="505"/>
      <c r="K26" s="505">
        <v>0</v>
      </c>
      <c r="L26" s="505"/>
      <c r="M26" s="530"/>
      <c r="N26" s="550"/>
      <c r="O26" s="505">
        <v>0</v>
      </c>
      <c r="P26" s="505"/>
      <c r="Q26" s="505"/>
      <c r="R26" s="505"/>
      <c r="S26" s="35"/>
      <c r="T26" s="2180"/>
      <c r="U26" s="2180"/>
      <c r="V26" s="2180"/>
      <c r="W26" s="2180"/>
      <c r="X26" s="2180"/>
      <c r="Y26" s="2181"/>
      <c r="Z26" s="2182"/>
      <c r="AA26" s="2183"/>
      <c r="AB26" s="2183"/>
      <c r="AC26" s="2183"/>
      <c r="AD26" s="2183"/>
      <c r="AE26" s="2181"/>
    </row>
    <row r="27" spans="1:31" ht="18">
      <c r="A27" s="569"/>
      <c r="B27" s="370" t="s">
        <v>367</v>
      </c>
      <c r="C27" s="506">
        <v>6250</v>
      </c>
      <c r="D27" s="506">
        <v>6250</v>
      </c>
      <c r="E27" s="506">
        <v>0</v>
      </c>
      <c r="F27" s="506">
        <v>0</v>
      </c>
      <c r="G27" s="506">
        <v>0</v>
      </c>
      <c r="H27" s="506">
        <v>0</v>
      </c>
      <c r="I27" s="506">
        <v>0</v>
      </c>
      <c r="J27" s="506">
        <v>0</v>
      </c>
      <c r="K27" s="506">
        <f>+J53</f>
        <v>0</v>
      </c>
      <c r="L27" s="506"/>
      <c r="M27" s="2161"/>
      <c r="N27" s="2152"/>
      <c r="O27" s="506">
        <f>+J53</f>
        <v>0</v>
      </c>
      <c r="P27" s="506"/>
      <c r="Q27" s="506">
        <v>0</v>
      </c>
      <c r="R27" s="506"/>
      <c r="S27" s="35"/>
      <c r="T27" s="2180"/>
      <c r="U27" s="2180"/>
      <c r="V27" s="2180"/>
      <c r="W27" s="2180"/>
      <c r="X27" s="2180"/>
      <c r="Y27" s="2181"/>
      <c r="Z27" s="2182"/>
      <c r="AA27" s="2102">
        <f t="shared" ref="AA27:AA31" si="15">D27+F27+H27+J27+O27</f>
        <v>6250</v>
      </c>
      <c r="AB27" s="2183"/>
      <c r="AC27" s="2183"/>
      <c r="AD27" s="2183"/>
      <c r="AE27" s="2181"/>
    </row>
    <row r="28" spans="1:31" ht="18">
      <c r="A28" s="569"/>
      <c r="B28" s="370" t="s">
        <v>368</v>
      </c>
      <c r="C28" s="506">
        <v>225231.34026000003</v>
      </c>
      <c r="D28" s="506">
        <v>0</v>
      </c>
      <c r="E28" s="506">
        <v>0</v>
      </c>
      <c r="F28" s="506">
        <v>0</v>
      </c>
      <c r="G28" s="501">
        <v>0</v>
      </c>
      <c r="H28" s="501">
        <v>0</v>
      </c>
      <c r="I28" s="501">
        <v>225231.34026</v>
      </c>
      <c r="J28" s="506">
        <v>59326</v>
      </c>
      <c r="K28" s="506">
        <f>+I54</f>
        <v>165905</v>
      </c>
      <c r="L28" s="506">
        <v>0</v>
      </c>
      <c r="M28" s="2161">
        <v>0</v>
      </c>
      <c r="N28" s="2152"/>
      <c r="O28" s="506">
        <f>+J54</f>
        <v>165905.34026</v>
      </c>
      <c r="P28" s="506"/>
      <c r="Q28" s="506">
        <v>0</v>
      </c>
      <c r="R28" s="506"/>
      <c r="S28" s="35"/>
      <c r="T28" s="2180"/>
      <c r="U28" s="2180"/>
      <c r="V28" s="2180"/>
      <c r="W28" s="2180"/>
      <c r="X28" s="2180"/>
      <c r="Y28" s="2181"/>
      <c r="Z28" s="2182"/>
      <c r="AA28" s="2102">
        <f t="shared" si="15"/>
        <v>225231.34026</v>
      </c>
      <c r="AB28" s="2183"/>
      <c r="AC28" s="2183"/>
      <c r="AD28" s="2183"/>
      <c r="AE28" s="2181"/>
    </row>
    <row r="29" spans="1:31" ht="18">
      <c r="A29" s="569"/>
      <c r="B29" s="370" t="s">
        <v>369</v>
      </c>
      <c r="C29" s="506">
        <v>66411.331999999995</v>
      </c>
      <c r="D29" s="506">
        <v>66411.331999999995</v>
      </c>
      <c r="E29" s="506">
        <v>66411.331999999995</v>
      </c>
      <c r="F29" s="506">
        <v>66411.331999999995</v>
      </c>
      <c r="G29" s="501">
        <v>47411.34</v>
      </c>
      <c r="H29" s="501">
        <v>47411.34</v>
      </c>
      <c r="I29" s="501">
        <v>0</v>
      </c>
      <c r="J29" s="506">
        <v>0</v>
      </c>
      <c r="K29" s="506">
        <f>66411.333332-66411.333332</f>
        <v>0</v>
      </c>
      <c r="L29" s="506"/>
      <c r="M29" s="2161"/>
      <c r="N29" s="2152"/>
      <c r="O29" s="506"/>
      <c r="P29" s="506"/>
      <c r="Q29" s="506">
        <f>47412-47412</f>
        <v>0</v>
      </c>
      <c r="R29" s="506"/>
      <c r="S29" s="35"/>
      <c r="T29" s="2180"/>
      <c r="U29" s="2180"/>
      <c r="V29" s="2180"/>
      <c r="W29" s="2180"/>
      <c r="X29" s="2180"/>
      <c r="Y29" s="2181"/>
      <c r="Z29" s="2182"/>
      <c r="AA29" s="2102">
        <f t="shared" si="15"/>
        <v>180234.00399999999</v>
      </c>
      <c r="AB29" s="2183"/>
      <c r="AC29" s="2183"/>
      <c r="AD29" s="2183"/>
      <c r="AE29" s="2181"/>
    </row>
    <row r="30" spans="1:31" ht="18">
      <c r="A30" s="566" t="s">
        <v>29</v>
      </c>
      <c r="B30" s="373" t="s">
        <v>341</v>
      </c>
      <c r="C30" s="505">
        <v>0</v>
      </c>
      <c r="D30" s="505">
        <v>0</v>
      </c>
      <c r="E30" s="507">
        <v>0</v>
      </c>
      <c r="F30" s="507">
        <v>0</v>
      </c>
      <c r="G30" s="505">
        <v>0</v>
      </c>
      <c r="H30" s="505">
        <v>0</v>
      </c>
      <c r="I30" s="505"/>
      <c r="J30" s="505">
        <v>0</v>
      </c>
      <c r="K30" s="505">
        <v>0</v>
      </c>
      <c r="L30" s="505"/>
      <c r="M30" s="530"/>
      <c r="N30" s="550"/>
      <c r="O30" s="505"/>
      <c r="P30" s="505"/>
      <c r="Q30" s="505">
        <v>0</v>
      </c>
      <c r="R30" s="505"/>
      <c r="S30" s="35"/>
      <c r="T30" s="2180"/>
      <c r="U30" s="2180"/>
      <c r="V30" s="2180"/>
      <c r="W30" s="2180"/>
      <c r="X30" s="2180"/>
      <c r="Y30" s="2181"/>
      <c r="Z30" s="2182"/>
      <c r="AA30" s="2102">
        <f t="shared" si="15"/>
        <v>0</v>
      </c>
      <c r="AB30" s="2183"/>
      <c r="AC30" s="2183"/>
      <c r="AD30" s="2183"/>
      <c r="AE30" s="2181"/>
    </row>
    <row r="31" spans="1:31" ht="18">
      <c r="A31" s="566" t="s">
        <v>29</v>
      </c>
      <c r="B31" s="374" t="s">
        <v>342</v>
      </c>
      <c r="C31" s="505">
        <v>0</v>
      </c>
      <c r="D31" s="505">
        <v>0</v>
      </c>
      <c r="E31" s="508">
        <v>0</v>
      </c>
      <c r="F31" s="508">
        <v>0</v>
      </c>
      <c r="G31" s="505">
        <v>0</v>
      </c>
      <c r="H31" s="505">
        <v>0</v>
      </c>
      <c r="I31" s="505"/>
      <c r="J31" s="505">
        <v>0</v>
      </c>
      <c r="K31" s="505">
        <v>0</v>
      </c>
      <c r="L31" s="505"/>
      <c r="M31" s="530"/>
      <c r="N31" s="550"/>
      <c r="O31" s="505"/>
      <c r="P31" s="505"/>
      <c r="Q31" s="505">
        <v>0</v>
      </c>
      <c r="R31" s="505"/>
      <c r="S31" s="35"/>
      <c r="T31" s="2180"/>
      <c r="U31" s="2180"/>
      <c r="V31" s="2180"/>
      <c r="W31" s="2180"/>
      <c r="X31" s="2180"/>
      <c r="Y31" s="2181"/>
      <c r="Z31" s="2182"/>
      <c r="AA31" s="2102">
        <f t="shared" si="15"/>
        <v>0</v>
      </c>
      <c r="AB31" s="2183"/>
      <c r="AC31" s="2183"/>
      <c r="AD31" s="2183"/>
      <c r="AE31" s="2181"/>
    </row>
    <row r="32" spans="1:31" ht="18">
      <c r="A32" s="570" t="s">
        <v>29</v>
      </c>
      <c r="B32" s="374" t="s">
        <v>343</v>
      </c>
      <c r="C32" s="505">
        <v>5791.6924069999995</v>
      </c>
      <c r="D32" s="505">
        <v>5791.6924069999995</v>
      </c>
      <c r="E32" s="508">
        <v>12155.078450000001</v>
      </c>
      <c r="F32" s="508">
        <v>12155.078450000001</v>
      </c>
      <c r="G32" s="505">
        <v>12500</v>
      </c>
      <c r="H32" s="505">
        <v>12210.575306000001</v>
      </c>
      <c r="I32" s="505">
        <v>13000</v>
      </c>
      <c r="J32" s="505">
        <f>+I32+1000</f>
        <v>14000</v>
      </c>
      <c r="K32" s="505">
        <v>20843</v>
      </c>
      <c r="L32" s="505">
        <v>21000</v>
      </c>
      <c r="M32" s="530">
        <v>22000</v>
      </c>
      <c r="N32" s="550"/>
      <c r="O32" s="505">
        <v>20843</v>
      </c>
      <c r="P32" s="521">
        <v>21000</v>
      </c>
      <c r="Q32" s="521">
        <f t="shared" ref="Q32" si="16">+P32</f>
        <v>21000</v>
      </c>
      <c r="R32" s="516">
        <f>+Q32*1.05-50</f>
        <v>22000</v>
      </c>
      <c r="S32" s="516">
        <f t="shared" ref="S32:U32" si="17">+R32</f>
        <v>22000</v>
      </c>
      <c r="T32" s="2128">
        <v>22000</v>
      </c>
      <c r="U32" s="2128">
        <f t="shared" si="17"/>
        <v>22000</v>
      </c>
      <c r="V32" s="2128">
        <v>1419.633616999985</v>
      </c>
      <c r="W32" s="2128">
        <f t="shared" ref="W32:Z32" si="18">+V32</f>
        <v>1419.633616999985</v>
      </c>
      <c r="X32" s="2128"/>
      <c r="Y32" s="2129">
        <f t="shared" si="18"/>
        <v>0</v>
      </c>
      <c r="Z32" s="2130">
        <f t="shared" si="18"/>
        <v>0</v>
      </c>
      <c r="AA32" s="2102">
        <f>D32+F32+H32+J32+O32</f>
        <v>65000.346163000002</v>
      </c>
      <c r="AB32" s="2128">
        <f t="shared" ref="AB32:AE32" si="19">+AA32</f>
        <v>65000.346163000002</v>
      </c>
      <c r="AC32" s="2128">
        <f t="shared" si="19"/>
        <v>65000.346163000002</v>
      </c>
      <c r="AD32" s="2128">
        <f t="shared" si="19"/>
        <v>65000.346163000002</v>
      </c>
      <c r="AE32" s="2129">
        <f t="shared" si="19"/>
        <v>65000.346163000002</v>
      </c>
    </row>
    <row r="33" spans="1:31" ht="18">
      <c r="A33" s="570" t="s">
        <v>29</v>
      </c>
      <c r="B33" s="374" t="s">
        <v>344</v>
      </c>
      <c r="C33" s="505">
        <v>0</v>
      </c>
      <c r="D33" s="505">
        <v>0</v>
      </c>
      <c r="E33" s="508">
        <v>0</v>
      </c>
      <c r="F33" s="508">
        <v>0</v>
      </c>
      <c r="G33" s="505">
        <v>0</v>
      </c>
      <c r="H33" s="505">
        <v>0</v>
      </c>
      <c r="I33" s="505"/>
      <c r="J33" s="505">
        <v>0</v>
      </c>
      <c r="K33" s="505">
        <v>0</v>
      </c>
      <c r="L33" s="505"/>
      <c r="M33" s="530"/>
      <c r="N33" s="550"/>
      <c r="O33" s="505"/>
      <c r="P33" s="505"/>
      <c r="Q33" s="505">
        <v>0</v>
      </c>
      <c r="R33" s="505"/>
      <c r="S33" s="35"/>
      <c r="T33" s="2180"/>
      <c r="U33" s="2180"/>
      <c r="V33" s="2180"/>
      <c r="W33" s="2180"/>
      <c r="X33" s="2180"/>
      <c r="Y33" s="2181"/>
      <c r="Z33" s="2182"/>
      <c r="AA33" s="2183"/>
      <c r="AB33" s="2183"/>
      <c r="AC33" s="2183"/>
      <c r="AD33" s="2183"/>
      <c r="AE33" s="2181"/>
    </row>
    <row r="34" spans="1:31" ht="17.399999999999999">
      <c r="A34" s="571">
        <v>2</v>
      </c>
      <c r="B34" s="371" t="s">
        <v>345</v>
      </c>
      <c r="C34" s="509">
        <f t="shared" ref="C34:F34" si="20">SUM(C35:C38)</f>
        <v>297892.67226000002</v>
      </c>
      <c r="D34" s="509">
        <f t="shared" si="20"/>
        <v>72661.331999999995</v>
      </c>
      <c r="E34" s="509">
        <f t="shared" si="20"/>
        <v>78566.410449999996</v>
      </c>
      <c r="F34" s="509">
        <f t="shared" si="20"/>
        <v>78566.410449999996</v>
      </c>
      <c r="G34" s="509">
        <f t="shared" ref="G34:Q34" si="21">SUM(G35:G38)</f>
        <v>59911.34</v>
      </c>
      <c r="H34" s="509">
        <f t="shared" si="21"/>
        <v>59621.915305999995</v>
      </c>
      <c r="I34" s="509">
        <f t="shared" si="21"/>
        <v>238231.34026</v>
      </c>
      <c r="J34" s="509">
        <f t="shared" si="21"/>
        <v>73326</v>
      </c>
      <c r="K34" s="509">
        <f t="shared" si="21"/>
        <v>186748</v>
      </c>
      <c r="L34" s="509">
        <f t="shared" si="21"/>
        <v>21000</v>
      </c>
      <c r="M34" s="532">
        <f t="shared" si="21"/>
        <v>22000</v>
      </c>
      <c r="N34" s="552"/>
      <c r="O34" s="509">
        <f t="shared" si="21"/>
        <v>186748</v>
      </c>
      <c r="P34" s="509">
        <f t="shared" si="21"/>
        <v>21000</v>
      </c>
      <c r="Q34" s="509">
        <f t="shared" si="21"/>
        <v>21000</v>
      </c>
      <c r="R34" s="509">
        <f t="shared" ref="R34:Y34" si="22">SUM(R35:R38)</f>
        <v>22000</v>
      </c>
      <c r="S34" s="509">
        <f t="shared" si="22"/>
        <v>22000</v>
      </c>
      <c r="T34" s="2131">
        <f t="shared" si="22"/>
        <v>22000</v>
      </c>
      <c r="U34" s="2131">
        <f t="shared" si="22"/>
        <v>22000</v>
      </c>
      <c r="V34" s="2131">
        <f t="shared" si="22"/>
        <v>1419.633616999985</v>
      </c>
      <c r="W34" s="2131">
        <f t="shared" si="22"/>
        <v>1419.633616999985</v>
      </c>
      <c r="X34" s="2131">
        <f t="shared" si="22"/>
        <v>0</v>
      </c>
      <c r="Y34" s="2132">
        <f t="shared" si="22"/>
        <v>0</v>
      </c>
      <c r="Z34" s="2133">
        <f t="shared" ref="Z34:AE34" si="23">SUM(Z35:Z38)</f>
        <v>0</v>
      </c>
      <c r="AA34" s="2131">
        <f t="shared" si="23"/>
        <v>470923.65775599994</v>
      </c>
      <c r="AB34" s="2131">
        <f t="shared" si="23"/>
        <v>0</v>
      </c>
      <c r="AC34" s="2131">
        <f t="shared" si="23"/>
        <v>0</v>
      </c>
      <c r="AD34" s="2131">
        <f t="shared" si="23"/>
        <v>0</v>
      </c>
      <c r="AE34" s="2132">
        <f t="shared" si="23"/>
        <v>0</v>
      </c>
    </row>
    <row r="35" spans="1:31" ht="18">
      <c r="A35" s="570" t="s">
        <v>29</v>
      </c>
      <c r="B35" s="374" t="s">
        <v>346</v>
      </c>
      <c r="C35" s="522">
        <v>0</v>
      </c>
      <c r="D35" s="522">
        <v>0</v>
      </c>
      <c r="E35" s="508"/>
      <c r="F35" s="508">
        <v>0</v>
      </c>
      <c r="G35" s="510">
        <v>0</v>
      </c>
      <c r="H35" s="510">
        <v>0</v>
      </c>
      <c r="I35" s="510"/>
      <c r="J35" s="510"/>
      <c r="K35" s="510"/>
      <c r="L35" s="510"/>
      <c r="M35" s="533"/>
      <c r="N35" s="553"/>
      <c r="O35" s="510"/>
      <c r="P35" s="510"/>
      <c r="Q35" s="510"/>
      <c r="R35" s="510"/>
      <c r="S35" s="35"/>
      <c r="T35" s="2180"/>
      <c r="U35" s="2180"/>
      <c r="V35" s="2180"/>
      <c r="W35" s="2180"/>
      <c r="X35" s="2180"/>
      <c r="Y35" s="2181"/>
      <c r="Z35" s="2182"/>
      <c r="AA35" s="2102">
        <f>D35+F35+H35+J35+O35</f>
        <v>0</v>
      </c>
      <c r="AB35" s="2183"/>
      <c r="AC35" s="2183"/>
      <c r="AD35" s="2183"/>
      <c r="AE35" s="2181"/>
    </row>
    <row r="36" spans="1:31" ht="18">
      <c r="A36" s="570" t="s">
        <v>29</v>
      </c>
      <c r="B36" s="374" t="s">
        <v>347</v>
      </c>
      <c r="C36" s="505">
        <v>297892.67226000002</v>
      </c>
      <c r="D36" s="505">
        <v>72661.331999999995</v>
      </c>
      <c r="E36" s="505">
        <v>66411.331999999995</v>
      </c>
      <c r="F36" s="505">
        <v>66411.331999999995</v>
      </c>
      <c r="G36" s="505">
        <f>G25</f>
        <v>47411.34</v>
      </c>
      <c r="H36" s="505">
        <f>H25</f>
        <v>47411.34</v>
      </c>
      <c r="I36" s="505">
        <v>225231.34026</v>
      </c>
      <c r="J36" s="505">
        <v>59326</v>
      </c>
      <c r="K36" s="505">
        <f>K25</f>
        <v>165905</v>
      </c>
      <c r="L36" s="505">
        <f t="shared" ref="L36:M36" si="24">L25</f>
        <v>0</v>
      </c>
      <c r="M36" s="530">
        <f t="shared" si="24"/>
        <v>0</v>
      </c>
      <c r="N36" s="550"/>
      <c r="O36" s="505">
        <f>+K36</f>
        <v>165905</v>
      </c>
      <c r="P36" s="505"/>
      <c r="Q36" s="505">
        <f t="shared" ref="Q36" si="25">Q25</f>
        <v>0</v>
      </c>
      <c r="R36" s="505"/>
      <c r="S36" s="35"/>
      <c r="T36" s="2180"/>
      <c r="U36" s="2180"/>
      <c r="V36" s="2180"/>
      <c r="W36" s="2180"/>
      <c r="X36" s="2180"/>
      <c r="Y36" s="2181"/>
      <c r="Z36" s="2182"/>
      <c r="AA36" s="2102">
        <f t="shared" ref="AA36:AA38" si="26">D36+F36+H36+J36+O36</f>
        <v>411715.00399999996</v>
      </c>
      <c r="AB36" s="2183"/>
      <c r="AC36" s="2183"/>
      <c r="AD36" s="2183"/>
      <c r="AE36" s="2181"/>
    </row>
    <row r="37" spans="1:31" ht="18">
      <c r="A37" s="570" t="s">
        <v>29</v>
      </c>
      <c r="B37" s="374" t="s">
        <v>348</v>
      </c>
      <c r="C37" s="522">
        <v>0</v>
      </c>
      <c r="D37" s="522">
        <v>0</v>
      </c>
      <c r="E37" s="508">
        <v>12155.078450000001</v>
      </c>
      <c r="F37" s="508">
        <v>12155.078450000001</v>
      </c>
      <c r="G37" s="510">
        <f>G32</f>
        <v>12500</v>
      </c>
      <c r="H37" s="510">
        <f>H32</f>
        <v>12210.575306000001</v>
      </c>
      <c r="I37" s="510">
        <v>13000</v>
      </c>
      <c r="J37" s="510">
        <v>14000</v>
      </c>
      <c r="K37" s="510">
        <f t="shared" ref="K37:W37" si="27">K32</f>
        <v>20843</v>
      </c>
      <c r="L37" s="510">
        <f>+L32</f>
        <v>21000</v>
      </c>
      <c r="M37" s="533">
        <f>+M32</f>
        <v>22000</v>
      </c>
      <c r="N37" s="553"/>
      <c r="O37" s="510">
        <f>+K37</f>
        <v>20843</v>
      </c>
      <c r="P37" s="510">
        <f>+P32</f>
        <v>21000</v>
      </c>
      <c r="Q37" s="510">
        <f t="shared" si="27"/>
        <v>21000</v>
      </c>
      <c r="R37" s="510">
        <f>+R32</f>
        <v>22000</v>
      </c>
      <c r="S37" s="510">
        <f t="shared" si="27"/>
        <v>22000</v>
      </c>
      <c r="T37" s="2134">
        <f>+T32</f>
        <v>22000</v>
      </c>
      <c r="U37" s="2134">
        <f t="shared" si="27"/>
        <v>22000</v>
      </c>
      <c r="V37" s="2134">
        <f>+V32</f>
        <v>1419.633616999985</v>
      </c>
      <c r="W37" s="2134">
        <f t="shared" si="27"/>
        <v>1419.633616999985</v>
      </c>
      <c r="X37" s="2180"/>
      <c r="Y37" s="2181"/>
      <c r="Z37" s="2182"/>
      <c r="AA37" s="2102">
        <f t="shared" si="26"/>
        <v>59208.653756</v>
      </c>
      <c r="AB37" s="2183"/>
      <c r="AC37" s="2183"/>
      <c r="AD37" s="2183"/>
      <c r="AE37" s="2181"/>
    </row>
    <row r="38" spans="1:31" ht="18">
      <c r="A38" s="570" t="s">
        <v>29</v>
      </c>
      <c r="B38" s="374" t="s">
        <v>349</v>
      </c>
      <c r="C38" s="522">
        <v>0</v>
      </c>
      <c r="D38" s="522">
        <v>0</v>
      </c>
      <c r="E38" s="508"/>
      <c r="F38" s="508">
        <v>0</v>
      </c>
      <c r="G38" s="510">
        <v>0</v>
      </c>
      <c r="H38" s="510">
        <v>0</v>
      </c>
      <c r="I38" s="510"/>
      <c r="J38" s="505"/>
      <c r="K38" s="505"/>
      <c r="L38" s="505"/>
      <c r="M38" s="530"/>
      <c r="N38" s="550"/>
      <c r="O38" s="505"/>
      <c r="P38" s="505"/>
      <c r="Q38" s="505"/>
      <c r="R38" s="505"/>
      <c r="S38" s="35"/>
      <c r="T38" s="2180"/>
      <c r="U38" s="2180"/>
      <c r="V38" s="2180"/>
      <c r="W38" s="2180"/>
      <c r="X38" s="2180"/>
      <c r="Y38" s="2181"/>
      <c r="Z38" s="2182"/>
      <c r="AA38" s="2102">
        <f t="shared" si="26"/>
        <v>0</v>
      </c>
      <c r="AB38" s="2183"/>
      <c r="AC38" s="2183"/>
      <c r="AD38" s="2183"/>
      <c r="AE38" s="2181"/>
    </row>
    <row r="39" spans="1:31" ht="17.399999999999999">
      <c r="A39" s="571" t="s">
        <v>182</v>
      </c>
      <c r="B39" s="371" t="s">
        <v>350</v>
      </c>
      <c r="C39" s="509">
        <f t="shared" ref="C39:E39" si="28">SUM(C40,C43)</f>
        <v>61200</v>
      </c>
      <c r="D39" s="509">
        <f t="shared" si="28"/>
        <v>46499.999799999998</v>
      </c>
      <c r="E39" s="509">
        <f t="shared" si="28"/>
        <v>48300</v>
      </c>
      <c r="F39" s="509">
        <f>SUM(F40,F43)</f>
        <v>39926.925179999998</v>
      </c>
      <c r="G39" s="509">
        <f>SUM(G40,G43)</f>
        <v>31500</v>
      </c>
      <c r="H39" s="509">
        <f>SUM(H40,H43)</f>
        <v>18425.233199999999</v>
      </c>
      <c r="I39" s="509">
        <f>SUM(I40,I43)</f>
        <v>0</v>
      </c>
      <c r="J39" s="509">
        <f>SUM(J40,J43)</f>
        <v>0</v>
      </c>
      <c r="K39" s="509">
        <f t="shared" ref="K39:AE39" si="29">SUM(K40,K43)</f>
        <v>0</v>
      </c>
      <c r="L39" s="509">
        <f t="shared" ref="L39:M39" si="30">SUM(L40,L43)</f>
        <v>0</v>
      </c>
      <c r="M39" s="532">
        <f t="shared" si="30"/>
        <v>0</v>
      </c>
      <c r="N39" s="552"/>
      <c r="O39" s="509">
        <f t="shared" si="29"/>
        <v>0</v>
      </c>
      <c r="P39" s="509">
        <f t="shared" si="29"/>
        <v>0</v>
      </c>
      <c r="Q39" s="509">
        <f t="shared" si="29"/>
        <v>0</v>
      </c>
      <c r="R39" s="509">
        <f t="shared" si="29"/>
        <v>0</v>
      </c>
      <c r="S39" s="509">
        <f t="shared" si="29"/>
        <v>0</v>
      </c>
      <c r="T39" s="2131">
        <f t="shared" si="29"/>
        <v>0</v>
      </c>
      <c r="U39" s="2131">
        <f t="shared" si="29"/>
        <v>0</v>
      </c>
      <c r="V39" s="2131">
        <f t="shared" si="29"/>
        <v>0</v>
      </c>
      <c r="W39" s="2131">
        <f t="shared" si="29"/>
        <v>0</v>
      </c>
      <c r="X39" s="2131">
        <f t="shared" si="29"/>
        <v>0</v>
      </c>
      <c r="Y39" s="2132">
        <f t="shared" si="29"/>
        <v>0</v>
      </c>
      <c r="Z39" s="2133">
        <f t="shared" si="29"/>
        <v>0</v>
      </c>
      <c r="AA39" s="2131">
        <f t="shared" si="29"/>
        <v>104852.15818</v>
      </c>
      <c r="AB39" s="2131">
        <f t="shared" si="29"/>
        <v>0</v>
      </c>
      <c r="AC39" s="2131">
        <f t="shared" si="29"/>
        <v>0</v>
      </c>
      <c r="AD39" s="2131">
        <f t="shared" si="29"/>
        <v>0</v>
      </c>
      <c r="AE39" s="2132">
        <f t="shared" si="29"/>
        <v>0</v>
      </c>
    </row>
    <row r="40" spans="1:31" ht="17.399999999999999">
      <c r="A40" s="571">
        <v>1</v>
      </c>
      <c r="B40" s="371" t="s">
        <v>351</v>
      </c>
      <c r="C40" s="509">
        <f t="shared" ref="C40" si="31">SUM(C41:C42)</f>
        <v>0</v>
      </c>
      <c r="D40" s="509">
        <f t="shared" ref="D40:AE40" si="32">SUM(D41:D42)</f>
        <v>0</v>
      </c>
      <c r="E40" s="509">
        <f t="shared" si="32"/>
        <v>0</v>
      </c>
      <c r="F40" s="509">
        <f t="shared" si="32"/>
        <v>0</v>
      </c>
      <c r="G40" s="509">
        <f t="shared" si="32"/>
        <v>0</v>
      </c>
      <c r="H40" s="509">
        <f t="shared" si="32"/>
        <v>0</v>
      </c>
      <c r="I40" s="509"/>
      <c r="J40" s="509">
        <f t="shared" si="32"/>
        <v>0</v>
      </c>
      <c r="K40" s="509">
        <f t="shared" si="32"/>
        <v>0</v>
      </c>
      <c r="L40" s="509">
        <f t="shared" ref="L40:M40" si="33">SUM(L41:L42)</f>
        <v>0</v>
      </c>
      <c r="M40" s="532">
        <f t="shared" si="33"/>
        <v>0</v>
      </c>
      <c r="N40" s="552"/>
      <c r="O40" s="509">
        <f t="shared" si="32"/>
        <v>0</v>
      </c>
      <c r="P40" s="509">
        <f t="shared" si="32"/>
        <v>0</v>
      </c>
      <c r="Q40" s="509">
        <f t="shared" si="32"/>
        <v>0</v>
      </c>
      <c r="R40" s="509">
        <f t="shared" si="32"/>
        <v>0</v>
      </c>
      <c r="S40" s="509">
        <f t="shared" si="32"/>
        <v>0</v>
      </c>
      <c r="T40" s="2131">
        <f t="shared" si="32"/>
        <v>0</v>
      </c>
      <c r="U40" s="2131">
        <f t="shared" si="32"/>
        <v>0</v>
      </c>
      <c r="V40" s="2131">
        <f t="shared" si="32"/>
        <v>0</v>
      </c>
      <c r="W40" s="2131">
        <f t="shared" si="32"/>
        <v>0</v>
      </c>
      <c r="X40" s="2131">
        <f t="shared" si="32"/>
        <v>0</v>
      </c>
      <c r="Y40" s="2132">
        <f t="shared" si="32"/>
        <v>0</v>
      </c>
      <c r="Z40" s="2133">
        <f t="shared" si="32"/>
        <v>0</v>
      </c>
      <c r="AA40" s="2131">
        <f t="shared" si="32"/>
        <v>0</v>
      </c>
      <c r="AB40" s="2131">
        <f t="shared" si="32"/>
        <v>0</v>
      </c>
      <c r="AC40" s="2131">
        <f t="shared" si="32"/>
        <v>0</v>
      </c>
      <c r="AD40" s="2131">
        <f t="shared" si="32"/>
        <v>0</v>
      </c>
      <c r="AE40" s="2132">
        <f t="shared" si="32"/>
        <v>0</v>
      </c>
    </row>
    <row r="41" spans="1:31" ht="18">
      <c r="A41" s="570" t="s">
        <v>29</v>
      </c>
      <c r="B41" s="374" t="s">
        <v>352</v>
      </c>
      <c r="C41" s="522">
        <v>0</v>
      </c>
      <c r="D41" s="522">
        <v>0</v>
      </c>
      <c r="E41" s="510"/>
      <c r="F41" s="510">
        <v>0</v>
      </c>
      <c r="G41" s="510">
        <v>0</v>
      </c>
      <c r="H41" s="510">
        <v>0</v>
      </c>
      <c r="I41" s="510"/>
      <c r="J41" s="510"/>
      <c r="K41" s="510"/>
      <c r="L41" s="510"/>
      <c r="M41" s="533"/>
      <c r="N41" s="553"/>
      <c r="O41" s="510"/>
      <c r="P41" s="510"/>
      <c r="Q41" s="510"/>
      <c r="R41" s="510"/>
      <c r="S41" s="510"/>
      <c r="T41" s="2134"/>
      <c r="U41" s="2134"/>
      <c r="V41" s="2134"/>
      <c r="W41" s="2134"/>
      <c r="X41" s="2134"/>
      <c r="Y41" s="2135"/>
      <c r="Z41" s="2136"/>
      <c r="AA41" s="2134"/>
      <c r="AB41" s="2134"/>
      <c r="AC41" s="2134"/>
      <c r="AD41" s="2134"/>
      <c r="AE41" s="2135"/>
    </row>
    <row r="42" spans="1:31" ht="18">
      <c r="A42" s="570" t="s">
        <v>29</v>
      </c>
      <c r="B42" s="374" t="s">
        <v>353</v>
      </c>
      <c r="C42" s="522">
        <v>0</v>
      </c>
      <c r="D42" s="522">
        <v>0</v>
      </c>
      <c r="E42" s="510"/>
      <c r="F42" s="510">
        <v>0</v>
      </c>
      <c r="G42" s="510">
        <v>0</v>
      </c>
      <c r="H42" s="510">
        <v>0</v>
      </c>
      <c r="I42" s="510"/>
      <c r="J42" s="510"/>
      <c r="K42" s="510"/>
      <c r="L42" s="510"/>
      <c r="M42" s="533"/>
      <c r="N42" s="553"/>
      <c r="O42" s="510"/>
      <c r="P42" s="510"/>
      <c r="Q42" s="510"/>
      <c r="R42" s="510"/>
      <c r="S42" s="510"/>
      <c r="T42" s="2134"/>
      <c r="U42" s="2134"/>
      <c r="V42" s="2134"/>
      <c r="W42" s="2134"/>
      <c r="X42" s="2134"/>
      <c r="Y42" s="2135"/>
      <c r="Z42" s="2136"/>
      <c r="AA42" s="2134"/>
      <c r="AB42" s="2134"/>
      <c r="AC42" s="2134"/>
      <c r="AD42" s="2134"/>
      <c r="AE42" s="2135"/>
    </row>
    <row r="43" spans="1:31" ht="17.399999999999999">
      <c r="A43" s="571">
        <v>2</v>
      </c>
      <c r="B43" s="371" t="s">
        <v>354</v>
      </c>
      <c r="C43" s="509">
        <f t="shared" ref="C43:AE43" si="34">SUM(C44:C48)</f>
        <v>61200</v>
      </c>
      <c r="D43" s="509">
        <f t="shared" si="34"/>
        <v>46499.999799999998</v>
      </c>
      <c r="E43" s="509">
        <f t="shared" si="34"/>
        <v>48300</v>
      </c>
      <c r="F43" s="509">
        <f t="shared" si="34"/>
        <v>39926.925179999998</v>
      </c>
      <c r="G43" s="509">
        <f t="shared" si="34"/>
        <v>31500</v>
      </c>
      <c r="H43" s="509">
        <f t="shared" si="34"/>
        <v>18425.233199999999</v>
      </c>
      <c r="I43" s="509">
        <f t="shared" si="34"/>
        <v>0</v>
      </c>
      <c r="J43" s="509">
        <f t="shared" si="34"/>
        <v>0</v>
      </c>
      <c r="K43" s="509">
        <f t="shared" si="34"/>
        <v>0</v>
      </c>
      <c r="L43" s="509">
        <f t="shared" si="34"/>
        <v>0</v>
      </c>
      <c r="M43" s="532">
        <f t="shared" si="34"/>
        <v>0</v>
      </c>
      <c r="N43" s="552"/>
      <c r="O43" s="509">
        <f t="shared" si="34"/>
        <v>0</v>
      </c>
      <c r="P43" s="509">
        <f t="shared" si="34"/>
        <v>0</v>
      </c>
      <c r="Q43" s="509">
        <f t="shared" si="34"/>
        <v>0</v>
      </c>
      <c r="R43" s="509">
        <f t="shared" si="34"/>
        <v>0</v>
      </c>
      <c r="S43" s="509">
        <f t="shared" si="34"/>
        <v>0</v>
      </c>
      <c r="T43" s="2131">
        <f t="shared" si="34"/>
        <v>0</v>
      </c>
      <c r="U43" s="2131">
        <f t="shared" si="34"/>
        <v>0</v>
      </c>
      <c r="V43" s="2131">
        <f t="shared" si="34"/>
        <v>0</v>
      </c>
      <c r="W43" s="2131">
        <f t="shared" si="34"/>
        <v>0</v>
      </c>
      <c r="X43" s="2131">
        <f t="shared" si="34"/>
        <v>0</v>
      </c>
      <c r="Y43" s="2132">
        <f t="shared" si="34"/>
        <v>0</v>
      </c>
      <c r="Z43" s="2133">
        <f t="shared" si="34"/>
        <v>0</v>
      </c>
      <c r="AA43" s="2131">
        <f t="shared" si="34"/>
        <v>104852.15818</v>
      </c>
      <c r="AB43" s="2131">
        <f t="shared" si="34"/>
        <v>0</v>
      </c>
      <c r="AC43" s="2131">
        <f t="shared" si="34"/>
        <v>0</v>
      </c>
      <c r="AD43" s="2131">
        <f t="shared" si="34"/>
        <v>0</v>
      </c>
      <c r="AE43" s="2132">
        <f t="shared" si="34"/>
        <v>0</v>
      </c>
    </row>
    <row r="44" spans="1:31" ht="18">
      <c r="A44" s="570" t="s">
        <v>29</v>
      </c>
      <c r="B44" s="373" t="s">
        <v>333</v>
      </c>
      <c r="C44" s="522">
        <v>0</v>
      </c>
      <c r="D44" s="522">
        <v>0</v>
      </c>
      <c r="E44" s="507"/>
      <c r="F44" s="507">
        <v>0</v>
      </c>
      <c r="G44" s="510">
        <v>0</v>
      </c>
      <c r="H44" s="510">
        <v>0</v>
      </c>
      <c r="I44" s="510"/>
      <c r="J44" s="510"/>
      <c r="K44" s="510"/>
      <c r="L44" s="510"/>
      <c r="M44" s="533"/>
      <c r="N44" s="553"/>
      <c r="O44" s="510"/>
      <c r="P44" s="510"/>
      <c r="Q44" s="510"/>
      <c r="R44" s="510"/>
      <c r="S44" s="35"/>
      <c r="T44" s="2180"/>
      <c r="U44" s="2180"/>
      <c r="V44" s="2180"/>
      <c r="W44" s="2180"/>
      <c r="X44" s="2180"/>
      <c r="Y44" s="2181"/>
      <c r="Z44" s="2182"/>
      <c r="AA44" s="2102">
        <f t="shared" ref="AA44:AA48" si="35">D44+F44+H44+J44+O44</f>
        <v>0</v>
      </c>
      <c r="AB44" s="2183"/>
      <c r="AC44" s="2183"/>
      <c r="AD44" s="2183"/>
      <c r="AE44" s="2181"/>
    </row>
    <row r="45" spans="1:31" ht="18">
      <c r="A45" s="570" t="s">
        <v>29</v>
      </c>
      <c r="B45" s="373" t="s">
        <v>334</v>
      </c>
      <c r="C45" s="522">
        <v>0</v>
      </c>
      <c r="D45" s="522">
        <v>0</v>
      </c>
      <c r="E45" s="507">
        <v>0</v>
      </c>
      <c r="F45" s="507">
        <v>0</v>
      </c>
      <c r="G45" s="510">
        <v>0</v>
      </c>
      <c r="H45" s="510">
        <v>0</v>
      </c>
      <c r="I45" s="510"/>
      <c r="J45" s="510">
        <v>0</v>
      </c>
      <c r="K45" s="510">
        <v>0</v>
      </c>
      <c r="L45" s="510"/>
      <c r="M45" s="533"/>
      <c r="N45" s="553"/>
      <c r="O45" s="510"/>
      <c r="P45" s="510"/>
      <c r="Q45" s="510">
        <v>0</v>
      </c>
      <c r="R45" s="510"/>
      <c r="S45" s="35"/>
      <c r="T45" s="2180"/>
      <c r="U45" s="2180"/>
      <c r="V45" s="2180"/>
      <c r="W45" s="2180"/>
      <c r="X45" s="2180"/>
      <c r="Y45" s="2181"/>
      <c r="Z45" s="2182"/>
      <c r="AA45" s="2102">
        <f t="shared" si="35"/>
        <v>0</v>
      </c>
      <c r="AB45" s="2183"/>
      <c r="AC45" s="2183"/>
      <c r="AD45" s="2183"/>
      <c r="AE45" s="2181"/>
    </row>
    <row r="46" spans="1:31" ht="18">
      <c r="A46" s="570" t="s">
        <v>29</v>
      </c>
      <c r="B46" s="374" t="s">
        <v>335</v>
      </c>
      <c r="C46" s="522">
        <v>0</v>
      </c>
      <c r="D46" s="522">
        <v>0</v>
      </c>
      <c r="E46" s="507">
        <v>0</v>
      </c>
      <c r="F46" s="507">
        <v>0</v>
      </c>
      <c r="G46" s="510">
        <v>0</v>
      </c>
      <c r="H46" s="510">
        <v>0</v>
      </c>
      <c r="I46" s="510"/>
      <c r="J46" s="510">
        <v>0</v>
      </c>
      <c r="K46" s="510">
        <v>0</v>
      </c>
      <c r="L46" s="510"/>
      <c r="M46" s="533"/>
      <c r="N46" s="553"/>
      <c r="O46" s="510"/>
      <c r="P46" s="510"/>
      <c r="Q46" s="510">
        <v>0</v>
      </c>
      <c r="R46" s="510"/>
      <c r="S46" s="35"/>
      <c r="T46" s="2180"/>
      <c r="U46" s="2180"/>
      <c r="V46" s="2180"/>
      <c r="W46" s="2180"/>
      <c r="X46" s="2180"/>
      <c r="Y46" s="2181"/>
      <c r="Z46" s="2182"/>
      <c r="AA46" s="2102">
        <f t="shared" si="35"/>
        <v>0</v>
      </c>
      <c r="AB46" s="2183"/>
      <c r="AC46" s="2183"/>
      <c r="AD46" s="2183"/>
      <c r="AE46" s="2181"/>
    </row>
    <row r="47" spans="1:31" ht="18">
      <c r="A47" s="570" t="s">
        <v>29</v>
      </c>
      <c r="B47" s="374" t="s">
        <v>336</v>
      </c>
      <c r="C47" s="505">
        <v>61200</v>
      </c>
      <c r="D47" s="505">
        <v>46499.999799999998</v>
      </c>
      <c r="E47" s="505">
        <v>48300</v>
      </c>
      <c r="F47" s="505">
        <v>39926.925179999998</v>
      </c>
      <c r="G47" s="505">
        <v>31500</v>
      </c>
      <c r="H47" s="505">
        <v>18425.233199999999</v>
      </c>
      <c r="I47" s="505"/>
      <c r="J47" s="510">
        <f>61200-61200</f>
        <v>0</v>
      </c>
      <c r="K47" s="510">
        <f>45810-45810</f>
        <v>0</v>
      </c>
      <c r="L47" s="510"/>
      <c r="M47" s="533"/>
      <c r="N47" s="553"/>
      <c r="O47" s="510"/>
      <c r="P47" s="510"/>
      <c r="Q47" s="510">
        <f>35791-35791</f>
        <v>0</v>
      </c>
      <c r="R47" s="510"/>
      <c r="S47" s="35"/>
      <c r="T47" s="2180"/>
      <c r="U47" s="2180"/>
      <c r="V47" s="2180"/>
      <c r="W47" s="2180"/>
      <c r="X47" s="2180"/>
      <c r="Y47" s="2181"/>
      <c r="Z47" s="2182"/>
      <c r="AA47" s="2102">
        <f t="shared" si="35"/>
        <v>104852.15818</v>
      </c>
      <c r="AB47" s="2183"/>
      <c r="AC47" s="2183"/>
      <c r="AD47" s="2183"/>
      <c r="AE47" s="2181"/>
    </row>
    <row r="48" spans="1:31" ht="18">
      <c r="A48" s="570" t="s">
        <v>29</v>
      </c>
      <c r="B48" s="374" t="s">
        <v>337</v>
      </c>
      <c r="C48" s="522">
        <v>0</v>
      </c>
      <c r="D48" s="522">
        <v>0</v>
      </c>
      <c r="E48" s="507">
        <v>0</v>
      </c>
      <c r="F48" s="507">
        <v>0</v>
      </c>
      <c r="G48" s="510">
        <v>0</v>
      </c>
      <c r="H48" s="510">
        <v>0</v>
      </c>
      <c r="I48" s="510"/>
      <c r="J48" s="510">
        <v>0</v>
      </c>
      <c r="K48" s="510">
        <v>0</v>
      </c>
      <c r="L48" s="510"/>
      <c r="M48" s="533"/>
      <c r="N48" s="553"/>
      <c r="O48" s="510"/>
      <c r="P48" s="510"/>
      <c r="Q48" s="510">
        <v>0</v>
      </c>
      <c r="R48" s="510"/>
      <c r="S48" s="35"/>
      <c r="T48" s="2180"/>
      <c r="U48" s="2180"/>
      <c r="V48" s="2180"/>
      <c r="W48" s="2180"/>
      <c r="X48" s="2180"/>
      <c r="Y48" s="2181"/>
      <c r="Z48" s="2182"/>
      <c r="AA48" s="2102">
        <f t="shared" si="35"/>
        <v>0</v>
      </c>
      <c r="AB48" s="2183"/>
      <c r="AC48" s="2183"/>
      <c r="AD48" s="2183"/>
      <c r="AE48" s="2181"/>
    </row>
    <row r="49" spans="1:31" ht="17.399999999999999">
      <c r="A49" s="571" t="s">
        <v>215</v>
      </c>
      <c r="B49" s="371" t="s">
        <v>355</v>
      </c>
      <c r="C49" s="509">
        <f t="shared" ref="C49:J49" si="36">SUM(C51,C56:C59)</f>
        <v>195798.80119299999</v>
      </c>
      <c r="D49" s="509">
        <f t="shared" si="36"/>
        <v>406330.14125300001</v>
      </c>
      <c r="E49" s="509">
        <f t="shared" si="36"/>
        <v>376063.73080299998</v>
      </c>
      <c r="F49" s="509">
        <f t="shared" si="36"/>
        <v>367690.65598299995</v>
      </c>
      <c r="G49" s="509">
        <f t="shared" si="36"/>
        <v>339279.31598299998</v>
      </c>
      <c r="H49" s="509">
        <f t="shared" si="36"/>
        <v>326493.97387699998</v>
      </c>
      <c r="I49" s="509">
        <f t="shared" si="36"/>
        <v>254168</v>
      </c>
      <c r="J49" s="509">
        <f t="shared" si="36"/>
        <v>253167.97387699998</v>
      </c>
      <c r="K49" s="509">
        <f>SUM(K51,K56:K59)</f>
        <v>66419.633616999985</v>
      </c>
      <c r="L49" s="509">
        <f t="shared" ref="L49:M49" si="37">SUM(L51,L56:L59)</f>
        <v>45419.633616999985</v>
      </c>
      <c r="M49" s="532">
        <f t="shared" si="37"/>
        <v>23419.633616999985</v>
      </c>
      <c r="N49" s="552"/>
      <c r="O49" s="509">
        <f>SUM(O51,O56:O59)</f>
        <v>66420</v>
      </c>
      <c r="P49" s="509">
        <f t="shared" ref="P49:AE49" si="38">SUM(P51,P56:P59)</f>
        <v>45419.633616999985</v>
      </c>
      <c r="Q49" s="509">
        <f t="shared" si="38"/>
        <v>45419.633616999985</v>
      </c>
      <c r="R49" s="509">
        <f t="shared" si="38"/>
        <v>23419.633616999985</v>
      </c>
      <c r="S49" s="509">
        <f t="shared" si="38"/>
        <v>23419.633616999985</v>
      </c>
      <c r="T49" s="2131">
        <f t="shared" si="38"/>
        <v>1419.633616999985</v>
      </c>
      <c r="U49" s="2131">
        <f t="shared" si="38"/>
        <v>1419.633616999985</v>
      </c>
      <c r="V49" s="2131">
        <f t="shared" si="38"/>
        <v>0</v>
      </c>
      <c r="W49" s="2131">
        <f t="shared" si="38"/>
        <v>0</v>
      </c>
      <c r="X49" s="2131">
        <f t="shared" si="38"/>
        <v>0</v>
      </c>
      <c r="Y49" s="2132">
        <f t="shared" si="38"/>
        <v>0</v>
      </c>
      <c r="Z49" s="2133">
        <f t="shared" si="38"/>
        <v>0</v>
      </c>
      <c r="AA49" s="2131">
        <f t="shared" si="38"/>
        <v>1420102.74499</v>
      </c>
      <c r="AB49" s="2131">
        <f t="shared" si="38"/>
        <v>-65000.346163000002</v>
      </c>
      <c r="AC49" s="2131">
        <f t="shared" si="38"/>
        <v>-65000.346163000002</v>
      </c>
      <c r="AD49" s="2131">
        <f t="shared" si="38"/>
        <v>-65000.346163000002</v>
      </c>
      <c r="AE49" s="2132">
        <f t="shared" si="38"/>
        <v>-65000.346163000002</v>
      </c>
    </row>
    <row r="50" spans="1:31" ht="18">
      <c r="A50" s="564"/>
      <c r="B50" s="368" t="s">
        <v>356</v>
      </c>
      <c r="C50" s="495">
        <f t="shared" ref="C50:F50" si="39">C49/C9</f>
        <v>0.1510690641322194</v>
      </c>
      <c r="D50" s="495">
        <f t="shared" si="39"/>
        <v>0.33449406257645536</v>
      </c>
      <c r="E50" s="495">
        <f t="shared" si="39"/>
        <v>0.32364730247219464</v>
      </c>
      <c r="F50" s="495">
        <f t="shared" si="39"/>
        <v>0.26776335379538158</v>
      </c>
      <c r="G50" s="495">
        <f>G49/G9</f>
        <v>0.25304244927133052</v>
      </c>
      <c r="H50" s="495">
        <f t="shared" ref="H50:Q50" si="40">H49/H9</f>
        <v>0.21797621530292038</v>
      </c>
      <c r="I50" s="495"/>
      <c r="J50" s="495">
        <f t="shared" si="40"/>
        <v>0.15211580246482945</v>
      </c>
      <c r="K50" s="495">
        <f t="shared" si="40"/>
        <v>3.8692912746787538E-2</v>
      </c>
      <c r="L50" s="495"/>
      <c r="M50" s="2162"/>
      <c r="N50" s="2153"/>
      <c r="O50" s="495"/>
      <c r="P50" s="495"/>
      <c r="Q50" s="495">
        <f t="shared" si="40"/>
        <v>2.5525021460637672E-2</v>
      </c>
      <c r="R50" s="496"/>
      <c r="S50" s="35"/>
      <c r="T50" s="2180"/>
      <c r="U50" s="2180"/>
      <c r="V50" s="2180"/>
      <c r="W50" s="2180"/>
      <c r="X50" s="2180"/>
      <c r="Y50" s="2181"/>
      <c r="Z50" s="2182"/>
      <c r="AA50" s="2183"/>
      <c r="AB50" s="2183"/>
      <c r="AC50" s="2183"/>
      <c r="AD50" s="2183"/>
      <c r="AE50" s="2181"/>
    </row>
    <row r="51" spans="1:31" ht="17.399999999999999">
      <c r="A51" s="566">
        <v>1</v>
      </c>
      <c r="B51" s="369" t="s">
        <v>333</v>
      </c>
      <c r="C51" s="497">
        <f t="shared" ref="C51:F51" si="41">SUM(C53:C55)</f>
        <v>113822.67199999999</v>
      </c>
      <c r="D51" s="497">
        <f t="shared" si="41"/>
        <v>339054.01225999999</v>
      </c>
      <c r="E51" s="497">
        <f t="shared" si="41"/>
        <v>272642.68025999999</v>
      </c>
      <c r="F51" s="497">
        <f t="shared" si="41"/>
        <v>272642.68025999999</v>
      </c>
      <c r="G51" s="497">
        <f t="shared" ref="G51:AE51" si="42">SUM(G53:G55)</f>
        <v>225231.34026</v>
      </c>
      <c r="H51" s="497">
        <f t="shared" si="42"/>
        <v>225231.34026</v>
      </c>
      <c r="I51" s="497">
        <f t="shared" si="42"/>
        <v>165905</v>
      </c>
      <c r="J51" s="497">
        <f t="shared" si="42"/>
        <v>165905.34026</v>
      </c>
      <c r="K51" s="497">
        <f t="shared" si="42"/>
        <v>0</v>
      </c>
      <c r="L51" s="497">
        <f t="shared" si="42"/>
        <v>0</v>
      </c>
      <c r="M51" s="527">
        <f t="shared" si="42"/>
        <v>0</v>
      </c>
      <c r="N51" s="547"/>
      <c r="O51" s="497">
        <f t="shared" si="42"/>
        <v>0</v>
      </c>
      <c r="P51" s="497">
        <f t="shared" si="42"/>
        <v>0</v>
      </c>
      <c r="Q51" s="497">
        <f t="shared" si="42"/>
        <v>0</v>
      </c>
      <c r="R51" s="497">
        <f t="shared" si="42"/>
        <v>0</v>
      </c>
      <c r="S51" s="497">
        <f t="shared" si="42"/>
        <v>0</v>
      </c>
      <c r="T51" s="2114">
        <f t="shared" si="42"/>
        <v>0</v>
      </c>
      <c r="U51" s="2114">
        <f t="shared" si="42"/>
        <v>0</v>
      </c>
      <c r="V51" s="2114">
        <f t="shared" si="42"/>
        <v>0</v>
      </c>
      <c r="W51" s="2114">
        <f t="shared" si="42"/>
        <v>0</v>
      </c>
      <c r="X51" s="2114">
        <f t="shared" si="42"/>
        <v>0</v>
      </c>
      <c r="Y51" s="2115">
        <f t="shared" si="42"/>
        <v>0</v>
      </c>
      <c r="Z51" s="2116">
        <f t="shared" si="42"/>
        <v>0</v>
      </c>
      <c r="AA51" s="2114">
        <f t="shared" si="42"/>
        <v>1002833.37304</v>
      </c>
      <c r="AB51" s="2114">
        <f t="shared" si="42"/>
        <v>0</v>
      </c>
      <c r="AC51" s="2114">
        <f t="shared" si="42"/>
        <v>0</v>
      </c>
      <c r="AD51" s="2114">
        <f t="shared" si="42"/>
        <v>0</v>
      </c>
      <c r="AE51" s="2115">
        <f t="shared" si="42"/>
        <v>0</v>
      </c>
    </row>
    <row r="52" spans="1:31" ht="18">
      <c r="A52" s="566"/>
      <c r="B52" s="369" t="str">
        <f>B26</f>
        <v>Trong đó:</v>
      </c>
      <c r="C52" s="497"/>
      <c r="D52" s="497"/>
      <c r="E52" s="497"/>
      <c r="F52" s="497"/>
      <c r="G52" s="497"/>
      <c r="H52" s="497"/>
      <c r="I52" s="497"/>
      <c r="J52" s="497"/>
      <c r="K52" s="497"/>
      <c r="L52" s="497"/>
      <c r="M52" s="527"/>
      <c r="N52" s="547"/>
      <c r="O52" s="497"/>
      <c r="P52" s="497"/>
      <c r="Q52" s="497"/>
      <c r="R52" s="498"/>
      <c r="S52" s="35"/>
      <c r="T52" s="2180"/>
      <c r="U52" s="2180"/>
      <c r="V52" s="2180"/>
      <c r="W52" s="2180"/>
      <c r="X52" s="2180"/>
      <c r="Y52" s="2181"/>
      <c r="Z52" s="2182"/>
      <c r="AA52" s="2102">
        <f t="shared" ref="AA52:AA57" si="43">D52+F52+H52+J52+O52</f>
        <v>0</v>
      </c>
      <c r="AB52" s="2183"/>
      <c r="AC52" s="2183"/>
      <c r="AD52" s="2183"/>
      <c r="AE52" s="2181"/>
    </row>
    <row r="53" spans="1:31" ht="18">
      <c r="A53" s="567"/>
      <c r="B53" s="376" t="str">
        <f t="shared" ref="B53:B55" si="44">B27</f>
        <v>Vay chương trình kiên cố hoá kênh mương</v>
      </c>
      <c r="C53" s="523">
        <f>+C16-C27</f>
        <v>0</v>
      </c>
      <c r="D53" s="523">
        <f>+D16-D27</f>
        <v>0</v>
      </c>
      <c r="E53" s="511">
        <v>0</v>
      </c>
      <c r="F53" s="511">
        <v>0</v>
      </c>
      <c r="G53" s="511">
        <v>0</v>
      </c>
      <c r="H53" s="511">
        <v>0</v>
      </c>
      <c r="I53" s="511">
        <v>0</v>
      </c>
      <c r="J53" s="511">
        <v>0</v>
      </c>
      <c r="K53" s="511">
        <v>0</v>
      </c>
      <c r="L53" s="511"/>
      <c r="M53" s="2163"/>
      <c r="N53" s="2154"/>
      <c r="O53" s="511"/>
      <c r="P53" s="511"/>
      <c r="Q53" s="511">
        <v>0</v>
      </c>
      <c r="R53" s="511"/>
      <c r="S53" s="35"/>
      <c r="T53" s="2180"/>
      <c r="U53" s="2180"/>
      <c r="V53" s="2180"/>
      <c r="W53" s="2180"/>
      <c r="X53" s="2180"/>
      <c r="Y53" s="2181"/>
      <c r="Z53" s="2182"/>
      <c r="AA53" s="2102">
        <f t="shared" si="43"/>
        <v>0</v>
      </c>
      <c r="AB53" s="2183"/>
      <c r="AC53" s="2183"/>
      <c r="AD53" s="2183"/>
      <c r="AE53" s="2181"/>
    </row>
    <row r="54" spans="1:31" ht="18">
      <c r="A54" s="567"/>
      <c r="B54" s="376" t="str">
        <f t="shared" si="44"/>
        <v>Vay chương trình cụm tuyến cụm, tuyến dân cư giai đoạn 1</v>
      </c>
      <c r="C54" s="523">
        <f t="shared" ref="C54:D55" si="45">+C17-C28</f>
        <v>0</v>
      </c>
      <c r="D54" s="523">
        <f t="shared" si="45"/>
        <v>225231.34026</v>
      </c>
      <c r="E54" s="511">
        <v>225231.34026</v>
      </c>
      <c r="F54" s="511">
        <v>225231.34026</v>
      </c>
      <c r="G54" s="511">
        <v>225231.34026</v>
      </c>
      <c r="H54" s="511">
        <v>225231.34026</v>
      </c>
      <c r="I54" s="511">
        <v>165905</v>
      </c>
      <c r="J54" s="511">
        <v>165905.34026</v>
      </c>
      <c r="K54" s="511">
        <v>0</v>
      </c>
      <c r="L54" s="511"/>
      <c r="M54" s="2163"/>
      <c r="N54" s="2154"/>
      <c r="O54" s="511"/>
      <c r="P54" s="511"/>
      <c r="Q54" s="511">
        <v>0</v>
      </c>
      <c r="R54" s="511"/>
      <c r="S54" s="35"/>
      <c r="T54" s="2180"/>
      <c r="U54" s="2180"/>
      <c r="V54" s="2180"/>
      <c r="W54" s="2180"/>
      <c r="X54" s="2180"/>
      <c r="Y54" s="2181"/>
      <c r="Z54" s="2182"/>
      <c r="AA54" s="2102">
        <f t="shared" si="43"/>
        <v>841599.36103999999</v>
      </c>
      <c r="AB54" s="2183"/>
      <c r="AC54" s="2183"/>
      <c r="AD54" s="2183"/>
      <c r="AE54" s="2181"/>
    </row>
    <row r="55" spans="1:31" ht="18">
      <c r="A55" s="567"/>
      <c r="B55" s="376" t="str">
        <f t="shared" si="44"/>
        <v>Vay chương trình cụm tuyến cụm, tuyến dân cư giai đoạn 2</v>
      </c>
      <c r="C55" s="523">
        <f t="shared" si="45"/>
        <v>113822.67199999999</v>
      </c>
      <c r="D55" s="523">
        <f t="shared" si="45"/>
        <v>113822.67199999999</v>
      </c>
      <c r="E55" s="511">
        <v>47411.34</v>
      </c>
      <c r="F55" s="511">
        <v>47411.34</v>
      </c>
      <c r="G55" s="511">
        <v>0</v>
      </c>
      <c r="H55" s="511">
        <v>0</v>
      </c>
      <c r="I55" s="511">
        <v>0</v>
      </c>
      <c r="J55" s="511">
        <v>0</v>
      </c>
      <c r="K55" s="511">
        <f>47412.002668-47412.002668</f>
        <v>0</v>
      </c>
      <c r="L55" s="511"/>
      <c r="M55" s="2163"/>
      <c r="N55" s="2154"/>
      <c r="O55" s="511"/>
      <c r="P55" s="511"/>
      <c r="Q55" s="511">
        <v>0</v>
      </c>
      <c r="R55" s="511"/>
      <c r="S55" s="35"/>
      <c r="T55" s="2180"/>
      <c r="U55" s="2180"/>
      <c r="V55" s="2180"/>
      <c r="W55" s="2180"/>
      <c r="X55" s="2180"/>
      <c r="Y55" s="2181"/>
      <c r="Z55" s="2182"/>
      <c r="AA55" s="2102">
        <f t="shared" si="43"/>
        <v>161234.01199999999</v>
      </c>
      <c r="AB55" s="2183"/>
      <c r="AC55" s="2183"/>
      <c r="AD55" s="2183"/>
      <c r="AE55" s="2181"/>
    </row>
    <row r="56" spans="1:31" ht="18">
      <c r="A56" s="566">
        <v>2</v>
      </c>
      <c r="B56" s="369" t="s">
        <v>334</v>
      </c>
      <c r="C56" s="504">
        <v>0</v>
      </c>
      <c r="D56" s="504">
        <v>0</v>
      </c>
      <c r="E56" s="503">
        <v>0</v>
      </c>
      <c r="F56" s="503">
        <v>0</v>
      </c>
      <c r="G56" s="503">
        <v>0</v>
      </c>
      <c r="H56" s="503">
        <v>0</v>
      </c>
      <c r="I56" s="503"/>
      <c r="J56" s="503">
        <v>0</v>
      </c>
      <c r="K56" s="503">
        <v>0</v>
      </c>
      <c r="L56" s="503"/>
      <c r="M56" s="529"/>
      <c r="N56" s="549"/>
      <c r="O56" s="503"/>
      <c r="P56" s="503"/>
      <c r="Q56" s="503">
        <v>0</v>
      </c>
      <c r="R56" s="503"/>
      <c r="S56" s="35"/>
      <c r="T56" s="2180"/>
      <c r="U56" s="2180"/>
      <c r="V56" s="2180"/>
      <c r="W56" s="2180"/>
      <c r="X56" s="2180"/>
      <c r="Y56" s="2181"/>
      <c r="Z56" s="2182"/>
      <c r="AA56" s="2102">
        <f t="shared" si="43"/>
        <v>0</v>
      </c>
      <c r="AB56" s="2183"/>
      <c r="AC56" s="2183"/>
      <c r="AD56" s="2183"/>
      <c r="AE56" s="2181"/>
    </row>
    <row r="57" spans="1:31" ht="18">
      <c r="A57" s="566">
        <v>3</v>
      </c>
      <c r="B57" s="371" t="s">
        <v>335</v>
      </c>
      <c r="C57" s="504">
        <v>0</v>
      </c>
      <c r="D57" s="504">
        <v>0</v>
      </c>
      <c r="E57" s="503">
        <v>0</v>
      </c>
      <c r="F57" s="503">
        <v>0</v>
      </c>
      <c r="G57" s="503">
        <v>0</v>
      </c>
      <c r="H57" s="503">
        <v>0</v>
      </c>
      <c r="I57" s="503"/>
      <c r="J57" s="503">
        <v>0</v>
      </c>
      <c r="K57" s="503">
        <v>0</v>
      </c>
      <c r="L57" s="503"/>
      <c r="M57" s="529"/>
      <c r="N57" s="549"/>
      <c r="O57" s="503"/>
      <c r="P57" s="503"/>
      <c r="Q57" s="503">
        <v>0</v>
      </c>
      <c r="R57" s="503"/>
      <c r="S57" s="35"/>
      <c r="T57" s="2180"/>
      <c r="U57" s="2180"/>
      <c r="V57" s="2180"/>
      <c r="W57" s="2180"/>
      <c r="X57" s="2180"/>
      <c r="Y57" s="2181"/>
      <c r="Z57" s="2182"/>
      <c r="AA57" s="2102">
        <f t="shared" si="43"/>
        <v>0</v>
      </c>
      <c r="AB57" s="2183"/>
      <c r="AC57" s="2183"/>
      <c r="AD57" s="2183"/>
      <c r="AE57" s="2181"/>
    </row>
    <row r="58" spans="1:31" ht="17.399999999999999">
      <c r="A58" s="566">
        <v>4</v>
      </c>
      <c r="B58" s="371" t="s">
        <v>336</v>
      </c>
      <c r="C58" s="503">
        <f t="shared" ref="C58:AE58" si="46">C21-C32+C47</f>
        <v>81976.129193000001</v>
      </c>
      <c r="D58" s="503">
        <f t="shared" si="46"/>
        <v>67276.128992999991</v>
      </c>
      <c r="E58" s="503">
        <f t="shared" si="46"/>
        <v>103421.05054299999</v>
      </c>
      <c r="F58" s="503">
        <f t="shared" si="46"/>
        <v>95047.975722999981</v>
      </c>
      <c r="G58" s="503">
        <f t="shared" si="46"/>
        <v>114047.97572299998</v>
      </c>
      <c r="H58" s="503">
        <f t="shared" si="46"/>
        <v>101262.63361699998</v>
      </c>
      <c r="I58" s="503">
        <f>I21-I32+I47</f>
        <v>88263</v>
      </c>
      <c r="J58" s="503">
        <f t="shared" si="46"/>
        <v>87262.633616999985</v>
      </c>
      <c r="K58" s="503">
        <f t="shared" si="46"/>
        <v>66419.633616999985</v>
      </c>
      <c r="L58" s="503">
        <f t="shared" si="46"/>
        <v>45419.633616999985</v>
      </c>
      <c r="M58" s="529">
        <f>M21-M32+M47</f>
        <v>23419.633616999985</v>
      </c>
      <c r="N58" s="549"/>
      <c r="O58" s="503">
        <f t="shared" si="46"/>
        <v>66420</v>
      </c>
      <c r="P58" s="503">
        <f t="shared" si="46"/>
        <v>45419.633616999985</v>
      </c>
      <c r="Q58" s="503">
        <f t="shared" si="46"/>
        <v>45419.633616999985</v>
      </c>
      <c r="R58" s="503">
        <f t="shared" si="46"/>
        <v>23419.633616999985</v>
      </c>
      <c r="S58" s="503">
        <f t="shared" si="46"/>
        <v>23419.633616999985</v>
      </c>
      <c r="T58" s="2122">
        <f t="shared" si="46"/>
        <v>1419.633616999985</v>
      </c>
      <c r="U58" s="2122">
        <f t="shared" si="46"/>
        <v>1419.633616999985</v>
      </c>
      <c r="V58" s="2122">
        <f t="shared" si="46"/>
        <v>0</v>
      </c>
      <c r="W58" s="2122">
        <f t="shared" si="46"/>
        <v>0</v>
      </c>
      <c r="X58" s="2122">
        <f t="shared" si="46"/>
        <v>0</v>
      </c>
      <c r="Y58" s="2123">
        <f t="shared" si="46"/>
        <v>0</v>
      </c>
      <c r="Z58" s="2124">
        <f t="shared" si="46"/>
        <v>0</v>
      </c>
      <c r="AA58" s="2122">
        <f>AA21-AA32+AA47</f>
        <v>417269.37194999994</v>
      </c>
      <c r="AB58" s="2122">
        <f t="shared" si="46"/>
        <v>-65000.346163000002</v>
      </c>
      <c r="AC58" s="2122">
        <f t="shared" si="46"/>
        <v>-65000.346163000002</v>
      </c>
      <c r="AD58" s="2122">
        <f t="shared" si="46"/>
        <v>-65000.346163000002</v>
      </c>
      <c r="AE58" s="2123">
        <f t="shared" si="46"/>
        <v>-65000.346163000002</v>
      </c>
    </row>
    <row r="59" spans="1:31" ht="18">
      <c r="A59" s="566">
        <v>5</v>
      </c>
      <c r="B59" s="371" t="s">
        <v>337</v>
      </c>
      <c r="C59" s="504">
        <v>0</v>
      </c>
      <c r="D59" s="504">
        <v>0</v>
      </c>
      <c r="E59" s="503">
        <v>0</v>
      </c>
      <c r="F59" s="503">
        <v>0</v>
      </c>
      <c r="G59" s="503">
        <v>0</v>
      </c>
      <c r="H59" s="503">
        <v>0</v>
      </c>
      <c r="I59" s="503"/>
      <c r="J59" s="503">
        <v>0</v>
      </c>
      <c r="K59" s="503">
        <v>0</v>
      </c>
      <c r="L59" s="503"/>
      <c r="M59" s="529"/>
      <c r="N59" s="549"/>
      <c r="O59" s="503"/>
      <c r="P59" s="503"/>
      <c r="Q59" s="503">
        <v>0</v>
      </c>
      <c r="R59" s="503"/>
      <c r="S59" s="35"/>
      <c r="T59" s="2180"/>
      <c r="U59" s="2180"/>
      <c r="V59" s="2180"/>
      <c r="W59" s="2180"/>
      <c r="X59" s="2180"/>
      <c r="Y59" s="2181"/>
      <c r="Z59" s="2137"/>
      <c r="AA59" s="2138"/>
      <c r="AB59" s="2178"/>
      <c r="AC59" s="2178"/>
      <c r="AD59" s="2178"/>
      <c r="AE59" s="2178"/>
    </row>
    <row r="60" spans="1:31" ht="18.600000000000001" thickBot="1">
      <c r="A60" s="572" t="s">
        <v>46</v>
      </c>
      <c r="B60" s="573" t="s">
        <v>357</v>
      </c>
      <c r="C60" s="574">
        <v>2100</v>
      </c>
      <c r="D60" s="574">
        <v>823.26852699999995</v>
      </c>
      <c r="E60" s="575">
        <v>2000</v>
      </c>
      <c r="F60" s="575">
        <v>1774.8968809999999</v>
      </c>
      <c r="G60" s="576"/>
      <c r="H60" s="577">
        <v>2437.6506370000002</v>
      </c>
      <c r="I60" s="577">
        <v>3000</v>
      </c>
      <c r="J60" s="576">
        <v>3000</v>
      </c>
      <c r="K60" s="576">
        <f>K58*5.3%-20-500</f>
        <v>3000.240581700999</v>
      </c>
      <c r="L60" s="576">
        <v>2000</v>
      </c>
      <c r="M60" s="2164">
        <v>1500</v>
      </c>
      <c r="N60" s="2155"/>
      <c r="O60" s="576">
        <f>+K60</f>
        <v>3000.240581700999</v>
      </c>
      <c r="P60" s="574">
        <v>2000</v>
      </c>
      <c r="Q60" s="574">
        <v>2000</v>
      </c>
      <c r="R60" s="578">
        <v>1500</v>
      </c>
      <c r="S60" s="578">
        <v>1500</v>
      </c>
      <c r="T60" s="2139">
        <v>1500</v>
      </c>
      <c r="U60" s="2139">
        <v>1500</v>
      </c>
      <c r="V60" s="2139">
        <v>1000</v>
      </c>
      <c r="W60" s="2139">
        <v>1000</v>
      </c>
      <c r="X60" s="2139">
        <v>500</v>
      </c>
      <c r="Y60" s="2140">
        <v>500</v>
      </c>
      <c r="Z60" s="2141"/>
      <c r="AA60" s="2142"/>
      <c r="AB60" s="2184"/>
      <c r="AC60" s="2184"/>
      <c r="AD60" s="2184"/>
      <c r="AE60" s="2184"/>
    </row>
    <row r="62" spans="1:31">
      <c r="J62" s="32"/>
    </row>
    <row r="63" spans="1:31" s="47" customFormat="1" ht="18" hidden="1">
      <c r="B63" s="515" t="s">
        <v>636</v>
      </c>
      <c r="C63" s="314">
        <f>C9-C12</f>
        <v>857804.83413999993</v>
      </c>
      <c r="D63" s="314">
        <f t="shared" ref="D63:AE63" si="47">D9-D12</f>
        <v>776477.23414000007</v>
      </c>
      <c r="E63" s="314">
        <f t="shared" si="47"/>
        <v>755625.25874700013</v>
      </c>
      <c r="F63" s="314">
        <f t="shared" si="47"/>
        <v>966862.45874700008</v>
      </c>
      <c r="G63" s="314">
        <f t="shared" si="47"/>
        <v>973109.34401700005</v>
      </c>
      <c r="H63" s="314">
        <f t="shared" si="47"/>
        <v>1130151.5440170001</v>
      </c>
      <c r="I63" s="314">
        <f t="shared" si="47"/>
        <v>1452102.4921400002</v>
      </c>
      <c r="J63" s="314">
        <f t="shared" si="47"/>
        <v>1337816.8325925297</v>
      </c>
      <c r="K63" s="314">
        <f t="shared" si="47"/>
        <v>1463416.3323320211</v>
      </c>
      <c r="L63" s="314"/>
      <c r="M63" s="314"/>
      <c r="N63" s="314"/>
      <c r="O63" s="314">
        <f t="shared" si="47"/>
        <v>1463415.965949021</v>
      </c>
      <c r="P63" s="314">
        <f t="shared" si="47"/>
        <v>1680180.4469213516</v>
      </c>
      <c r="Q63" s="314">
        <f t="shared" si="47"/>
        <v>1712996.4458970544</v>
      </c>
      <c r="R63" s="314">
        <f t="shared" si="47"/>
        <v>1733996.4458970544</v>
      </c>
      <c r="S63" s="314">
        <f t="shared" si="47"/>
        <v>1733996.4458970544</v>
      </c>
      <c r="T63" s="314">
        <f t="shared" si="47"/>
        <v>2318130.1458523516</v>
      </c>
      <c r="U63" s="314">
        <f t="shared" si="47"/>
        <v>2318130.1458523516</v>
      </c>
      <c r="V63" s="314">
        <f t="shared" si="47"/>
        <v>2539185.8159981803</v>
      </c>
      <c r="W63" s="314">
        <f t="shared" si="47"/>
        <v>2539185.8159981803</v>
      </c>
      <c r="X63" s="314">
        <f t="shared" si="47"/>
        <v>2771687.4383513071</v>
      </c>
      <c r="Y63" s="314">
        <f t="shared" si="47"/>
        <v>2771687.4383513071</v>
      </c>
      <c r="Z63" s="314">
        <f t="shared" si="47"/>
        <v>7294024.1983490214</v>
      </c>
      <c r="AA63" s="314">
        <f t="shared" si="47"/>
        <v>5674724.0354455514</v>
      </c>
      <c r="AB63" s="314">
        <f t="shared" si="47"/>
        <v>0</v>
      </c>
      <c r="AC63" s="314">
        <f t="shared" si="47"/>
        <v>0</v>
      </c>
      <c r="AD63" s="314">
        <f t="shared" si="47"/>
        <v>0</v>
      </c>
      <c r="AE63" s="314">
        <f t="shared" si="47"/>
        <v>0</v>
      </c>
    </row>
    <row r="64" spans="1:31" s="47" customFormat="1" ht="18" hidden="1">
      <c r="B64" s="515" t="s">
        <v>637</v>
      </c>
      <c r="C64" s="314">
        <f>C9-C49</f>
        <v>1100289.1988069999</v>
      </c>
      <c r="D64" s="314">
        <f t="shared" ref="D64:AE64" si="48">D9-D49</f>
        <v>808430.25874700013</v>
      </c>
      <c r="E64" s="314">
        <f t="shared" si="48"/>
        <v>785891.6691970001</v>
      </c>
      <c r="F64" s="314">
        <f t="shared" si="48"/>
        <v>1005501.9440170001</v>
      </c>
      <c r="G64" s="314">
        <f t="shared" si="48"/>
        <v>1001520.684017</v>
      </c>
      <c r="H64" s="314">
        <f t="shared" si="48"/>
        <v>1171348.2261230003</v>
      </c>
      <c r="I64" s="314">
        <f t="shared" si="48"/>
        <v>1524428.8324000002</v>
      </c>
      <c r="J64" s="314">
        <f t="shared" si="48"/>
        <v>1411142.8325925297</v>
      </c>
      <c r="K64" s="314">
        <f t="shared" si="48"/>
        <v>1650164.3323320211</v>
      </c>
      <c r="L64" s="314"/>
      <c r="M64" s="314"/>
      <c r="N64" s="314"/>
      <c r="O64" s="314">
        <f t="shared" si="48"/>
        <v>1650163.965949021</v>
      </c>
      <c r="P64" s="314">
        <f t="shared" si="48"/>
        <v>1701180.4469213516</v>
      </c>
      <c r="Q64" s="314">
        <f t="shared" si="48"/>
        <v>1733996.4458970544</v>
      </c>
      <c r="R64" s="314">
        <f t="shared" si="48"/>
        <v>1755996.4458970544</v>
      </c>
      <c r="S64" s="314">
        <f t="shared" si="48"/>
        <v>1755996.4458970544</v>
      </c>
      <c r="T64" s="314">
        <f t="shared" si="48"/>
        <v>2340130.1458523516</v>
      </c>
      <c r="U64" s="314">
        <f t="shared" si="48"/>
        <v>2340130.1458523516</v>
      </c>
      <c r="V64" s="314">
        <f t="shared" si="48"/>
        <v>2540605.4496151805</v>
      </c>
      <c r="W64" s="314">
        <f t="shared" si="48"/>
        <v>2540605.4496151805</v>
      </c>
      <c r="X64" s="314">
        <f t="shared" si="48"/>
        <v>2771687.4383513071</v>
      </c>
      <c r="Y64" s="314">
        <f t="shared" si="48"/>
        <v>2771687.4383513071</v>
      </c>
      <c r="Z64" s="314">
        <f t="shared" si="48"/>
        <v>7294024.1983490214</v>
      </c>
      <c r="AA64" s="314">
        <f t="shared" si="48"/>
        <v>6046587.2274285518</v>
      </c>
      <c r="AB64" s="314">
        <f t="shared" si="48"/>
        <v>65000.346163000002</v>
      </c>
      <c r="AC64" s="314">
        <f t="shared" si="48"/>
        <v>65000.346163000002</v>
      </c>
      <c r="AD64" s="314">
        <f t="shared" si="48"/>
        <v>65000.346163000002</v>
      </c>
      <c r="AE64" s="314">
        <f t="shared" si="48"/>
        <v>65000.346163000002</v>
      </c>
    </row>
    <row r="65" hidden="1"/>
    <row r="66" hidden="1"/>
    <row r="102" spans="15:15">
      <c r="O102" s="30" t="s">
        <v>117</v>
      </c>
    </row>
  </sheetData>
  <mergeCells count="20">
    <mergeCell ref="A1:M1"/>
    <mergeCell ref="A2:M2"/>
    <mergeCell ref="L4:M4"/>
    <mergeCell ref="Z5:AA5"/>
    <mergeCell ref="AB5:AC5"/>
    <mergeCell ref="A5:A6"/>
    <mergeCell ref="B5:B6"/>
    <mergeCell ref="C5:D5"/>
    <mergeCell ref="E5:F5"/>
    <mergeCell ref="G5:H5"/>
    <mergeCell ref="I5:J5"/>
    <mergeCell ref="AD5:AE5"/>
    <mergeCell ref="K5:K6"/>
    <mergeCell ref="L5:L6"/>
    <mergeCell ref="M5:M6"/>
    <mergeCell ref="P5:Q5"/>
    <mergeCell ref="R5:S5"/>
    <mergeCell ref="T5:U5"/>
    <mergeCell ref="V5:W5"/>
    <mergeCell ref="X5:Y5"/>
  </mergeCells>
  <hyperlinks>
    <hyperlink ref="A5:A6" location="'Danh mục file'!A1" display="STT"/>
  </hyperlinks>
  <printOptions horizontalCentered="1"/>
  <pageMargins left="0" right="0" top="0.39370078740157483" bottom="0" header="0" footer="0"/>
  <pageSetup paperSize="9" scale="60" orientation="portrait" r:id="rId1"/>
  <headerFooter>
    <oddHeader>&amp;R&amp;A</oddHeader>
    <oddFooter>&amp;C&amp;P/&amp;N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T25"/>
  <sheetViews>
    <sheetView workbookViewId="0">
      <selection sqref="A1:T1"/>
    </sheetView>
  </sheetViews>
  <sheetFormatPr defaultRowHeight="18"/>
  <cols>
    <col min="1" max="1" width="6.44140625" style="386" bestFit="1" customWidth="1"/>
    <col min="2" max="2" width="37" style="381" customWidth="1"/>
    <col min="3" max="3" width="15" style="381" customWidth="1"/>
    <col min="4" max="13" width="9.88671875" style="381" customWidth="1"/>
    <col min="14" max="14" width="14.44140625" style="381" customWidth="1"/>
    <col min="15" max="19" width="9.88671875" style="381" customWidth="1"/>
    <col min="20" max="20" width="15" style="381" customWidth="1"/>
    <col min="21" max="261" width="9.109375" style="381"/>
    <col min="262" max="262" width="6.44140625" style="381" bestFit="1" customWidth="1"/>
    <col min="263" max="263" width="43.5546875" style="381" customWidth="1"/>
    <col min="264" max="264" width="10.88671875" style="381" customWidth="1"/>
    <col min="265" max="265" width="12.88671875" style="381" customWidth="1"/>
    <col min="266" max="266" width="12" style="381" customWidth="1"/>
    <col min="267" max="267" width="16.5546875" style="381" customWidth="1"/>
    <col min="268" max="268" width="12.6640625" style="381" customWidth="1"/>
    <col min="269" max="269" width="12.109375" style="381" customWidth="1"/>
    <col min="270" max="270" width="12.5546875" style="381" customWidth="1"/>
    <col min="271" max="517" width="9.109375" style="381"/>
    <col min="518" max="518" width="6.44140625" style="381" bestFit="1" customWidth="1"/>
    <col min="519" max="519" width="43.5546875" style="381" customWidth="1"/>
    <col min="520" max="520" width="10.88671875" style="381" customWidth="1"/>
    <col min="521" max="521" width="12.88671875" style="381" customWidth="1"/>
    <col min="522" max="522" width="12" style="381" customWidth="1"/>
    <col min="523" max="523" width="16.5546875" style="381" customWidth="1"/>
    <col min="524" max="524" width="12.6640625" style="381" customWidth="1"/>
    <col min="525" max="525" width="12.109375" style="381" customWidth="1"/>
    <col min="526" max="526" width="12.5546875" style="381" customWidth="1"/>
    <col min="527" max="773" width="9.109375" style="381"/>
    <col min="774" max="774" width="6.44140625" style="381" bestFit="1" customWidth="1"/>
    <col min="775" max="775" width="43.5546875" style="381" customWidth="1"/>
    <col min="776" max="776" width="10.88671875" style="381" customWidth="1"/>
    <col min="777" max="777" width="12.88671875" style="381" customWidth="1"/>
    <col min="778" max="778" width="12" style="381" customWidth="1"/>
    <col min="779" max="779" width="16.5546875" style="381" customWidth="1"/>
    <col min="780" max="780" width="12.6640625" style="381" customWidth="1"/>
    <col min="781" max="781" width="12.109375" style="381" customWidth="1"/>
    <col min="782" max="782" width="12.5546875" style="381" customWidth="1"/>
    <col min="783" max="1029" width="9.109375" style="381"/>
    <col min="1030" max="1030" width="6.44140625" style="381" bestFit="1" customWidth="1"/>
    <col min="1031" max="1031" width="43.5546875" style="381" customWidth="1"/>
    <col min="1032" max="1032" width="10.88671875" style="381" customWidth="1"/>
    <col min="1033" max="1033" width="12.88671875" style="381" customWidth="1"/>
    <col min="1034" max="1034" width="12" style="381" customWidth="1"/>
    <col min="1035" max="1035" width="16.5546875" style="381" customWidth="1"/>
    <col min="1036" max="1036" width="12.6640625" style="381" customWidth="1"/>
    <col min="1037" max="1037" width="12.109375" style="381" customWidth="1"/>
    <col min="1038" max="1038" width="12.5546875" style="381" customWidth="1"/>
    <col min="1039" max="1285" width="9.109375" style="381"/>
    <col min="1286" max="1286" width="6.44140625" style="381" bestFit="1" customWidth="1"/>
    <col min="1287" max="1287" width="43.5546875" style="381" customWidth="1"/>
    <col min="1288" max="1288" width="10.88671875" style="381" customWidth="1"/>
    <col min="1289" max="1289" width="12.88671875" style="381" customWidth="1"/>
    <col min="1290" max="1290" width="12" style="381" customWidth="1"/>
    <col min="1291" max="1291" width="16.5546875" style="381" customWidth="1"/>
    <col min="1292" max="1292" width="12.6640625" style="381" customWidth="1"/>
    <col min="1293" max="1293" width="12.109375" style="381" customWidth="1"/>
    <col min="1294" max="1294" width="12.5546875" style="381" customWidth="1"/>
    <col min="1295" max="1541" width="9.109375" style="381"/>
    <col min="1542" max="1542" width="6.44140625" style="381" bestFit="1" customWidth="1"/>
    <col min="1543" max="1543" width="43.5546875" style="381" customWidth="1"/>
    <col min="1544" max="1544" width="10.88671875" style="381" customWidth="1"/>
    <col min="1545" max="1545" width="12.88671875" style="381" customWidth="1"/>
    <col min="1546" max="1546" width="12" style="381" customWidth="1"/>
    <col min="1547" max="1547" width="16.5546875" style="381" customWidth="1"/>
    <col min="1548" max="1548" width="12.6640625" style="381" customWidth="1"/>
    <col min="1549" max="1549" width="12.109375" style="381" customWidth="1"/>
    <col min="1550" max="1550" width="12.5546875" style="381" customWidth="1"/>
    <col min="1551" max="1797" width="9.109375" style="381"/>
    <col min="1798" max="1798" width="6.44140625" style="381" bestFit="1" customWidth="1"/>
    <col min="1799" max="1799" width="43.5546875" style="381" customWidth="1"/>
    <col min="1800" max="1800" width="10.88671875" style="381" customWidth="1"/>
    <col min="1801" max="1801" width="12.88671875" style="381" customWidth="1"/>
    <col min="1802" max="1802" width="12" style="381" customWidth="1"/>
    <col min="1803" max="1803" width="16.5546875" style="381" customWidth="1"/>
    <col min="1804" max="1804" width="12.6640625" style="381" customWidth="1"/>
    <col min="1805" max="1805" width="12.109375" style="381" customWidth="1"/>
    <col min="1806" max="1806" width="12.5546875" style="381" customWidth="1"/>
    <col min="1807" max="2053" width="9.109375" style="381"/>
    <col min="2054" max="2054" width="6.44140625" style="381" bestFit="1" customWidth="1"/>
    <col min="2055" max="2055" width="43.5546875" style="381" customWidth="1"/>
    <col min="2056" max="2056" width="10.88671875" style="381" customWidth="1"/>
    <col min="2057" max="2057" width="12.88671875" style="381" customWidth="1"/>
    <col min="2058" max="2058" width="12" style="381" customWidth="1"/>
    <col min="2059" max="2059" width="16.5546875" style="381" customWidth="1"/>
    <col min="2060" max="2060" width="12.6640625" style="381" customWidth="1"/>
    <col min="2061" max="2061" width="12.109375" style="381" customWidth="1"/>
    <col min="2062" max="2062" width="12.5546875" style="381" customWidth="1"/>
    <col min="2063" max="2309" width="9.109375" style="381"/>
    <col min="2310" max="2310" width="6.44140625" style="381" bestFit="1" customWidth="1"/>
    <col min="2311" max="2311" width="43.5546875" style="381" customWidth="1"/>
    <col min="2312" max="2312" width="10.88671875" style="381" customWidth="1"/>
    <col min="2313" max="2313" width="12.88671875" style="381" customWidth="1"/>
    <col min="2314" max="2314" width="12" style="381" customWidth="1"/>
    <col min="2315" max="2315" width="16.5546875" style="381" customWidth="1"/>
    <col min="2316" max="2316" width="12.6640625" style="381" customWidth="1"/>
    <col min="2317" max="2317" width="12.109375" style="381" customWidth="1"/>
    <col min="2318" max="2318" width="12.5546875" style="381" customWidth="1"/>
    <col min="2319" max="2565" width="9.109375" style="381"/>
    <col min="2566" max="2566" width="6.44140625" style="381" bestFit="1" customWidth="1"/>
    <col min="2567" max="2567" width="43.5546875" style="381" customWidth="1"/>
    <col min="2568" max="2568" width="10.88671875" style="381" customWidth="1"/>
    <col min="2569" max="2569" width="12.88671875" style="381" customWidth="1"/>
    <col min="2570" max="2570" width="12" style="381" customWidth="1"/>
    <col min="2571" max="2571" width="16.5546875" style="381" customWidth="1"/>
    <col min="2572" max="2572" width="12.6640625" style="381" customWidth="1"/>
    <col min="2573" max="2573" width="12.109375" style="381" customWidth="1"/>
    <col min="2574" max="2574" width="12.5546875" style="381" customWidth="1"/>
    <col min="2575" max="2821" width="9.109375" style="381"/>
    <col min="2822" max="2822" width="6.44140625" style="381" bestFit="1" customWidth="1"/>
    <col min="2823" max="2823" width="43.5546875" style="381" customWidth="1"/>
    <col min="2824" max="2824" width="10.88671875" style="381" customWidth="1"/>
    <col min="2825" max="2825" width="12.88671875" style="381" customWidth="1"/>
    <col min="2826" max="2826" width="12" style="381" customWidth="1"/>
    <col min="2827" max="2827" width="16.5546875" style="381" customWidth="1"/>
    <col min="2828" max="2828" width="12.6640625" style="381" customWidth="1"/>
    <col min="2829" max="2829" width="12.109375" style="381" customWidth="1"/>
    <col min="2830" max="2830" width="12.5546875" style="381" customWidth="1"/>
    <col min="2831" max="3077" width="9.109375" style="381"/>
    <col min="3078" max="3078" width="6.44140625" style="381" bestFit="1" customWidth="1"/>
    <col min="3079" max="3079" width="43.5546875" style="381" customWidth="1"/>
    <col min="3080" max="3080" width="10.88671875" style="381" customWidth="1"/>
    <col min="3081" max="3081" width="12.88671875" style="381" customWidth="1"/>
    <col min="3082" max="3082" width="12" style="381" customWidth="1"/>
    <col min="3083" max="3083" width="16.5546875" style="381" customWidth="1"/>
    <col min="3084" max="3084" width="12.6640625" style="381" customWidth="1"/>
    <col min="3085" max="3085" width="12.109375" style="381" customWidth="1"/>
    <col min="3086" max="3086" width="12.5546875" style="381" customWidth="1"/>
    <col min="3087" max="3333" width="9.109375" style="381"/>
    <col min="3334" max="3334" width="6.44140625" style="381" bestFit="1" customWidth="1"/>
    <col min="3335" max="3335" width="43.5546875" style="381" customWidth="1"/>
    <col min="3336" max="3336" width="10.88671875" style="381" customWidth="1"/>
    <col min="3337" max="3337" width="12.88671875" style="381" customWidth="1"/>
    <col min="3338" max="3338" width="12" style="381" customWidth="1"/>
    <col min="3339" max="3339" width="16.5546875" style="381" customWidth="1"/>
    <col min="3340" max="3340" width="12.6640625" style="381" customWidth="1"/>
    <col min="3341" max="3341" width="12.109375" style="381" customWidth="1"/>
    <col min="3342" max="3342" width="12.5546875" style="381" customWidth="1"/>
    <col min="3343" max="3589" width="9.109375" style="381"/>
    <col min="3590" max="3590" width="6.44140625" style="381" bestFit="1" customWidth="1"/>
    <col min="3591" max="3591" width="43.5546875" style="381" customWidth="1"/>
    <col min="3592" max="3592" width="10.88671875" style="381" customWidth="1"/>
    <col min="3593" max="3593" width="12.88671875" style="381" customWidth="1"/>
    <col min="3594" max="3594" width="12" style="381" customWidth="1"/>
    <col min="3595" max="3595" width="16.5546875" style="381" customWidth="1"/>
    <col min="3596" max="3596" width="12.6640625" style="381" customWidth="1"/>
    <col min="3597" max="3597" width="12.109375" style="381" customWidth="1"/>
    <col min="3598" max="3598" width="12.5546875" style="381" customWidth="1"/>
    <col min="3599" max="3845" width="9.109375" style="381"/>
    <col min="3846" max="3846" width="6.44140625" style="381" bestFit="1" customWidth="1"/>
    <col min="3847" max="3847" width="43.5546875" style="381" customWidth="1"/>
    <col min="3848" max="3848" width="10.88671875" style="381" customWidth="1"/>
    <col min="3849" max="3849" width="12.88671875" style="381" customWidth="1"/>
    <col min="3850" max="3850" width="12" style="381" customWidth="1"/>
    <col min="3851" max="3851" width="16.5546875" style="381" customWidth="1"/>
    <col min="3852" max="3852" width="12.6640625" style="381" customWidth="1"/>
    <col min="3853" max="3853" width="12.109375" style="381" customWidth="1"/>
    <col min="3854" max="3854" width="12.5546875" style="381" customWidth="1"/>
    <col min="3855" max="4101" width="9.109375" style="381"/>
    <col min="4102" max="4102" width="6.44140625" style="381" bestFit="1" customWidth="1"/>
    <col min="4103" max="4103" width="43.5546875" style="381" customWidth="1"/>
    <col min="4104" max="4104" width="10.88671875" style="381" customWidth="1"/>
    <col min="4105" max="4105" width="12.88671875" style="381" customWidth="1"/>
    <col min="4106" max="4106" width="12" style="381" customWidth="1"/>
    <col min="4107" max="4107" width="16.5546875" style="381" customWidth="1"/>
    <col min="4108" max="4108" width="12.6640625" style="381" customWidth="1"/>
    <col min="4109" max="4109" width="12.109375" style="381" customWidth="1"/>
    <col min="4110" max="4110" width="12.5546875" style="381" customWidth="1"/>
    <col min="4111" max="4357" width="9.109375" style="381"/>
    <col min="4358" max="4358" width="6.44140625" style="381" bestFit="1" customWidth="1"/>
    <col min="4359" max="4359" width="43.5546875" style="381" customWidth="1"/>
    <col min="4360" max="4360" width="10.88671875" style="381" customWidth="1"/>
    <col min="4361" max="4361" width="12.88671875" style="381" customWidth="1"/>
    <col min="4362" max="4362" width="12" style="381" customWidth="1"/>
    <col min="4363" max="4363" width="16.5546875" style="381" customWidth="1"/>
    <col min="4364" max="4364" width="12.6640625" style="381" customWidth="1"/>
    <col min="4365" max="4365" width="12.109375" style="381" customWidth="1"/>
    <col min="4366" max="4366" width="12.5546875" style="381" customWidth="1"/>
    <col min="4367" max="4613" width="9.109375" style="381"/>
    <col min="4614" max="4614" width="6.44140625" style="381" bestFit="1" customWidth="1"/>
    <col min="4615" max="4615" width="43.5546875" style="381" customWidth="1"/>
    <col min="4616" max="4616" width="10.88671875" style="381" customWidth="1"/>
    <col min="4617" max="4617" width="12.88671875" style="381" customWidth="1"/>
    <col min="4618" max="4618" width="12" style="381" customWidth="1"/>
    <col min="4619" max="4619" width="16.5546875" style="381" customWidth="1"/>
    <col min="4620" max="4620" width="12.6640625" style="381" customWidth="1"/>
    <col min="4621" max="4621" width="12.109375" style="381" customWidth="1"/>
    <col min="4622" max="4622" width="12.5546875" style="381" customWidth="1"/>
    <col min="4623" max="4869" width="9.109375" style="381"/>
    <col min="4870" max="4870" width="6.44140625" style="381" bestFit="1" customWidth="1"/>
    <col min="4871" max="4871" width="43.5546875" style="381" customWidth="1"/>
    <col min="4872" max="4872" width="10.88671875" style="381" customWidth="1"/>
    <col min="4873" max="4873" width="12.88671875" style="381" customWidth="1"/>
    <col min="4874" max="4874" width="12" style="381" customWidth="1"/>
    <col min="4875" max="4875" width="16.5546875" style="381" customWidth="1"/>
    <col min="4876" max="4876" width="12.6640625" style="381" customWidth="1"/>
    <col min="4877" max="4877" width="12.109375" style="381" customWidth="1"/>
    <col min="4878" max="4878" width="12.5546875" style="381" customWidth="1"/>
    <col min="4879" max="5125" width="9.109375" style="381"/>
    <col min="5126" max="5126" width="6.44140625" style="381" bestFit="1" customWidth="1"/>
    <col min="5127" max="5127" width="43.5546875" style="381" customWidth="1"/>
    <col min="5128" max="5128" width="10.88671875" style="381" customWidth="1"/>
    <col min="5129" max="5129" width="12.88671875" style="381" customWidth="1"/>
    <col min="5130" max="5130" width="12" style="381" customWidth="1"/>
    <col min="5131" max="5131" width="16.5546875" style="381" customWidth="1"/>
    <col min="5132" max="5132" width="12.6640625" style="381" customWidth="1"/>
    <col min="5133" max="5133" width="12.109375" style="381" customWidth="1"/>
    <col min="5134" max="5134" width="12.5546875" style="381" customWidth="1"/>
    <col min="5135" max="5381" width="9.109375" style="381"/>
    <col min="5382" max="5382" width="6.44140625" style="381" bestFit="1" customWidth="1"/>
    <col min="5383" max="5383" width="43.5546875" style="381" customWidth="1"/>
    <col min="5384" max="5384" width="10.88671875" style="381" customWidth="1"/>
    <col min="5385" max="5385" width="12.88671875" style="381" customWidth="1"/>
    <col min="5386" max="5386" width="12" style="381" customWidth="1"/>
    <col min="5387" max="5387" width="16.5546875" style="381" customWidth="1"/>
    <col min="5388" max="5388" width="12.6640625" style="381" customWidth="1"/>
    <col min="5389" max="5389" width="12.109375" style="381" customWidth="1"/>
    <col min="5390" max="5390" width="12.5546875" style="381" customWidth="1"/>
    <col min="5391" max="5637" width="9.109375" style="381"/>
    <col min="5638" max="5638" width="6.44140625" style="381" bestFit="1" customWidth="1"/>
    <col min="5639" max="5639" width="43.5546875" style="381" customWidth="1"/>
    <col min="5640" max="5640" width="10.88671875" style="381" customWidth="1"/>
    <col min="5641" max="5641" width="12.88671875" style="381" customWidth="1"/>
    <col min="5642" max="5642" width="12" style="381" customWidth="1"/>
    <col min="5643" max="5643" width="16.5546875" style="381" customWidth="1"/>
    <col min="5644" max="5644" width="12.6640625" style="381" customWidth="1"/>
    <col min="5645" max="5645" width="12.109375" style="381" customWidth="1"/>
    <col min="5646" max="5646" width="12.5546875" style="381" customWidth="1"/>
    <col min="5647" max="5893" width="9.109375" style="381"/>
    <col min="5894" max="5894" width="6.44140625" style="381" bestFit="1" customWidth="1"/>
    <col min="5895" max="5895" width="43.5546875" style="381" customWidth="1"/>
    <col min="5896" max="5896" width="10.88671875" style="381" customWidth="1"/>
    <col min="5897" max="5897" width="12.88671875" style="381" customWidth="1"/>
    <col min="5898" max="5898" width="12" style="381" customWidth="1"/>
    <col min="5899" max="5899" width="16.5546875" style="381" customWidth="1"/>
    <col min="5900" max="5900" width="12.6640625" style="381" customWidth="1"/>
    <col min="5901" max="5901" width="12.109375" style="381" customWidth="1"/>
    <col min="5902" max="5902" width="12.5546875" style="381" customWidth="1"/>
    <col min="5903" max="6149" width="9.109375" style="381"/>
    <col min="6150" max="6150" width="6.44140625" style="381" bestFit="1" customWidth="1"/>
    <col min="6151" max="6151" width="43.5546875" style="381" customWidth="1"/>
    <col min="6152" max="6152" width="10.88671875" style="381" customWidth="1"/>
    <col min="6153" max="6153" width="12.88671875" style="381" customWidth="1"/>
    <col min="6154" max="6154" width="12" style="381" customWidth="1"/>
    <col min="6155" max="6155" width="16.5546875" style="381" customWidth="1"/>
    <col min="6156" max="6156" width="12.6640625" style="381" customWidth="1"/>
    <col min="6157" max="6157" width="12.109375" style="381" customWidth="1"/>
    <col min="6158" max="6158" width="12.5546875" style="381" customWidth="1"/>
    <col min="6159" max="6405" width="9.109375" style="381"/>
    <col min="6406" max="6406" width="6.44140625" style="381" bestFit="1" customWidth="1"/>
    <col min="6407" max="6407" width="43.5546875" style="381" customWidth="1"/>
    <col min="6408" max="6408" width="10.88671875" style="381" customWidth="1"/>
    <col min="6409" max="6409" width="12.88671875" style="381" customWidth="1"/>
    <col min="6410" max="6410" width="12" style="381" customWidth="1"/>
    <col min="6411" max="6411" width="16.5546875" style="381" customWidth="1"/>
    <col min="6412" max="6412" width="12.6640625" style="381" customWidth="1"/>
    <col min="6413" max="6413" width="12.109375" style="381" customWidth="1"/>
    <col min="6414" max="6414" width="12.5546875" style="381" customWidth="1"/>
    <col min="6415" max="6661" width="9.109375" style="381"/>
    <col min="6662" max="6662" width="6.44140625" style="381" bestFit="1" customWidth="1"/>
    <col min="6663" max="6663" width="43.5546875" style="381" customWidth="1"/>
    <col min="6664" max="6664" width="10.88671875" style="381" customWidth="1"/>
    <col min="6665" max="6665" width="12.88671875" style="381" customWidth="1"/>
    <col min="6666" max="6666" width="12" style="381" customWidth="1"/>
    <col min="6667" max="6667" width="16.5546875" style="381" customWidth="1"/>
    <col min="6668" max="6668" width="12.6640625" style="381" customWidth="1"/>
    <col min="6669" max="6669" width="12.109375" style="381" customWidth="1"/>
    <col min="6670" max="6670" width="12.5546875" style="381" customWidth="1"/>
    <col min="6671" max="6917" width="9.109375" style="381"/>
    <col min="6918" max="6918" width="6.44140625" style="381" bestFit="1" customWidth="1"/>
    <col min="6919" max="6919" width="43.5546875" style="381" customWidth="1"/>
    <col min="6920" max="6920" width="10.88671875" style="381" customWidth="1"/>
    <col min="6921" max="6921" width="12.88671875" style="381" customWidth="1"/>
    <col min="6922" max="6922" width="12" style="381" customWidth="1"/>
    <col min="6923" max="6923" width="16.5546875" style="381" customWidth="1"/>
    <col min="6924" max="6924" width="12.6640625" style="381" customWidth="1"/>
    <col min="6925" max="6925" width="12.109375" style="381" customWidth="1"/>
    <col min="6926" max="6926" width="12.5546875" style="381" customWidth="1"/>
    <col min="6927" max="7173" width="9.109375" style="381"/>
    <col min="7174" max="7174" width="6.44140625" style="381" bestFit="1" customWidth="1"/>
    <col min="7175" max="7175" width="43.5546875" style="381" customWidth="1"/>
    <col min="7176" max="7176" width="10.88671875" style="381" customWidth="1"/>
    <col min="7177" max="7177" width="12.88671875" style="381" customWidth="1"/>
    <col min="7178" max="7178" width="12" style="381" customWidth="1"/>
    <col min="7179" max="7179" width="16.5546875" style="381" customWidth="1"/>
    <col min="7180" max="7180" width="12.6640625" style="381" customWidth="1"/>
    <col min="7181" max="7181" width="12.109375" style="381" customWidth="1"/>
    <col min="7182" max="7182" width="12.5546875" style="381" customWidth="1"/>
    <col min="7183" max="7429" width="9.109375" style="381"/>
    <col min="7430" max="7430" width="6.44140625" style="381" bestFit="1" customWidth="1"/>
    <col min="7431" max="7431" width="43.5546875" style="381" customWidth="1"/>
    <col min="7432" max="7432" width="10.88671875" style="381" customWidth="1"/>
    <col min="7433" max="7433" width="12.88671875" style="381" customWidth="1"/>
    <col min="7434" max="7434" width="12" style="381" customWidth="1"/>
    <col min="7435" max="7435" width="16.5546875" style="381" customWidth="1"/>
    <col min="7436" max="7436" width="12.6640625" style="381" customWidth="1"/>
    <col min="7437" max="7437" width="12.109375" style="381" customWidth="1"/>
    <col min="7438" max="7438" width="12.5546875" style="381" customWidth="1"/>
    <col min="7439" max="7685" width="9.109375" style="381"/>
    <col min="7686" max="7686" width="6.44140625" style="381" bestFit="1" customWidth="1"/>
    <col min="7687" max="7687" width="43.5546875" style="381" customWidth="1"/>
    <col min="7688" max="7688" width="10.88671875" style="381" customWidth="1"/>
    <col min="7689" max="7689" width="12.88671875" style="381" customWidth="1"/>
    <col min="7690" max="7690" width="12" style="381" customWidth="1"/>
    <col min="7691" max="7691" width="16.5546875" style="381" customWidth="1"/>
    <col min="7692" max="7692" width="12.6640625" style="381" customWidth="1"/>
    <col min="7693" max="7693" width="12.109375" style="381" customWidth="1"/>
    <col min="7694" max="7694" width="12.5546875" style="381" customWidth="1"/>
    <col min="7695" max="7941" width="9.109375" style="381"/>
    <col min="7942" max="7942" width="6.44140625" style="381" bestFit="1" customWidth="1"/>
    <col min="7943" max="7943" width="43.5546875" style="381" customWidth="1"/>
    <col min="7944" max="7944" width="10.88671875" style="381" customWidth="1"/>
    <col min="7945" max="7945" width="12.88671875" style="381" customWidth="1"/>
    <col min="7946" max="7946" width="12" style="381" customWidth="1"/>
    <col min="7947" max="7947" width="16.5546875" style="381" customWidth="1"/>
    <col min="7948" max="7948" width="12.6640625" style="381" customWidth="1"/>
    <col min="7949" max="7949" width="12.109375" style="381" customWidth="1"/>
    <col min="7950" max="7950" width="12.5546875" style="381" customWidth="1"/>
    <col min="7951" max="8197" width="9.109375" style="381"/>
    <col min="8198" max="8198" width="6.44140625" style="381" bestFit="1" customWidth="1"/>
    <col min="8199" max="8199" width="43.5546875" style="381" customWidth="1"/>
    <col min="8200" max="8200" width="10.88671875" style="381" customWidth="1"/>
    <col min="8201" max="8201" width="12.88671875" style="381" customWidth="1"/>
    <col min="8202" max="8202" width="12" style="381" customWidth="1"/>
    <col min="8203" max="8203" width="16.5546875" style="381" customWidth="1"/>
    <col min="8204" max="8204" width="12.6640625" style="381" customWidth="1"/>
    <col min="8205" max="8205" width="12.109375" style="381" customWidth="1"/>
    <col min="8206" max="8206" width="12.5546875" style="381" customWidth="1"/>
    <col min="8207" max="8453" width="9.109375" style="381"/>
    <col min="8454" max="8454" width="6.44140625" style="381" bestFit="1" customWidth="1"/>
    <col min="8455" max="8455" width="43.5546875" style="381" customWidth="1"/>
    <col min="8456" max="8456" width="10.88671875" style="381" customWidth="1"/>
    <col min="8457" max="8457" width="12.88671875" style="381" customWidth="1"/>
    <col min="8458" max="8458" width="12" style="381" customWidth="1"/>
    <col min="8459" max="8459" width="16.5546875" style="381" customWidth="1"/>
    <col min="8460" max="8460" width="12.6640625" style="381" customWidth="1"/>
    <col min="8461" max="8461" width="12.109375" style="381" customWidth="1"/>
    <col min="8462" max="8462" width="12.5546875" style="381" customWidth="1"/>
    <col min="8463" max="8709" width="9.109375" style="381"/>
    <col min="8710" max="8710" width="6.44140625" style="381" bestFit="1" customWidth="1"/>
    <col min="8711" max="8711" width="43.5546875" style="381" customWidth="1"/>
    <col min="8712" max="8712" width="10.88671875" style="381" customWidth="1"/>
    <col min="8713" max="8713" width="12.88671875" style="381" customWidth="1"/>
    <col min="8714" max="8714" width="12" style="381" customWidth="1"/>
    <col min="8715" max="8715" width="16.5546875" style="381" customWidth="1"/>
    <col min="8716" max="8716" width="12.6640625" style="381" customWidth="1"/>
    <col min="8717" max="8717" width="12.109375" style="381" customWidth="1"/>
    <col min="8718" max="8718" width="12.5546875" style="381" customWidth="1"/>
    <col min="8719" max="8965" width="9.109375" style="381"/>
    <col min="8966" max="8966" width="6.44140625" style="381" bestFit="1" customWidth="1"/>
    <col min="8967" max="8967" width="43.5546875" style="381" customWidth="1"/>
    <col min="8968" max="8968" width="10.88671875" style="381" customWidth="1"/>
    <col min="8969" max="8969" width="12.88671875" style="381" customWidth="1"/>
    <col min="8970" max="8970" width="12" style="381" customWidth="1"/>
    <col min="8971" max="8971" width="16.5546875" style="381" customWidth="1"/>
    <col min="8972" max="8972" width="12.6640625" style="381" customWidth="1"/>
    <col min="8973" max="8973" width="12.109375" style="381" customWidth="1"/>
    <col min="8974" max="8974" width="12.5546875" style="381" customWidth="1"/>
    <col min="8975" max="9221" width="9.109375" style="381"/>
    <col min="9222" max="9222" width="6.44140625" style="381" bestFit="1" customWidth="1"/>
    <col min="9223" max="9223" width="43.5546875" style="381" customWidth="1"/>
    <col min="9224" max="9224" width="10.88671875" style="381" customWidth="1"/>
    <col min="9225" max="9225" width="12.88671875" style="381" customWidth="1"/>
    <col min="9226" max="9226" width="12" style="381" customWidth="1"/>
    <col min="9227" max="9227" width="16.5546875" style="381" customWidth="1"/>
    <col min="9228" max="9228" width="12.6640625" style="381" customWidth="1"/>
    <col min="9229" max="9229" width="12.109375" style="381" customWidth="1"/>
    <col min="9230" max="9230" width="12.5546875" style="381" customWidth="1"/>
    <col min="9231" max="9477" width="9.109375" style="381"/>
    <col min="9478" max="9478" width="6.44140625" style="381" bestFit="1" customWidth="1"/>
    <col min="9479" max="9479" width="43.5546875" style="381" customWidth="1"/>
    <col min="9480" max="9480" width="10.88671875" style="381" customWidth="1"/>
    <col min="9481" max="9481" width="12.88671875" style="381" customWidth="1"/>
    <col min="9482" max="9482" width="12" style="381" customWidth="1"/>
    <col min="9483" max="9483" width="16.5546875" style="381" customWidth="1"/>
    <col min="9484" max="9484" width="12.6640625" style="381" customWidth="1"/>
    <col min="9485" max="9485" width="12.109375" style="381" customWidth="1"/>
    <col min="9486" max="9486" width="12.5546875" style="381" customWidth="1"/>
    <col min="9487" max="9733" width="9.109375" style="381"/>
    <col min="9734" max="9734" width="6.44140625" style="381" bestFit="1" customWidth="1"/>
    <col min="9735" max="9735" width="43.5546875" style="381" customWidth="1"/>
    <col min="9736" max="9736" width="10.88671875" style="381" customWidth="1"/>
    <col min="9737" max="9737" width="12.88671875" style="381" customWidth="1"/>
    <col min="9738" max="9738" width="12" style="381" customWidth="1"/>
    <col min="9739" max="9739" width="16.5546875" style="381" customWidth="1"/>
    <col min="9740" max="9740" width="12.6640625" style="381" customWidth="1"/>
    <col min="9741" max="9741" width="12.109375" style="381" customWidth="1"/>
    <col min="9742" max="9742" width="12.5546875" style="381" customWidth="1"/>
    <col min="9743" max="9989" width="9.109375" style="381"/>
    <col min="9990" max="9990" width="6.44140625" style="381" bestFit="1" customWidth="1"/>
    <col min="9991" max="9991" width="43.5546875" style="381" customWidth="1"/>
    <col min="9992" max="9992" width="10.88671875" style="381" customWidth="1"/>
    <col min="9993" max="9993" width="12.88671875" style="381" customWidth="1"/>
    <col min="9994" max="9994" width="12" style="381" customWidth="1"/>
    <col min="9995" max="9995" width="16.5546875" style="381" customWidth="1"/>
    <col min="9996" max="9996" width="12.6640625" style="381" customWidth="1"/>
    <col min="9997" max="9997" width="12.109375" style="381" customWidth="1"/>
    <col min="9998" max="9998" width="12.5546875" style="381" customWidth="1"/>
    <col min="9999" max="10245" width="9.109375" style="381"/>
    <col min="10246" max="10246" width="6.44140625" style="381" bestFit="1" customWidth="1"/>
    <col min="10247" max="10247" width="43.5546875" style="381" customWidth="1"/>
    <col min="10248" max="10248" width="10.88671875" style="381" customWidth="1"/>
    <col min="10249" max="10249" width="12.88671875" style="381" customWidth="1"/>
    <col min="10250" max="10250" width="12" style="381" customWidth="1"/>
    <col min="10251" max="10251" width="16.5546875" style="381" customWidth="1"/>
    <col min="10252" max="10252" width="12.6640625" style="381" customWidth="1"/>
    <col min="10253" max="10253" width="12.109375" style="381" customWidth="1"/>
    <col min="10254" max="10254" width="12.5546875" style="381" customWidth="1"/>
    <col min="10255" max="10501" width="9.109375" style="381"/>
    <col min="10502" max="10502" width="6.44140625" style="381" bestFit="1" customWidth="1"/>
    <col min="10503" max="10503" width="43.5546875" style="381" customWidth="1"/>
    <col min="10504" max="10504" width="10.88671875" style="381" customWidth="1"/>
    <col min="10505" max="10505" width="12.88671875" style="381" customWidth="1"/>
    <col min="10506" max="10506" width="12" style="381" customWidth="1"/>
    <col min="10507" max="10507" width="16.5546875" style="381" customWidth="1"/>
    <col min="10508" max="10508" width="12.6640625" style="381" customWidth="1"/>
    <col min="10509" max="10509" width="12.109375" style="381" customWidth="1"/>
    <col min="10510" max="10510" width="12.5546875" style="381" customWidth="1"/>
    <col min="10511" max="10757" width="9.109375" style="381"/>
    <col min="10758" max="10758" width="6.44140625" style="381" bestFit="1" customWidth="1"/>
    <col min="10759" max="10759" width="43.5546875" style="381" customWidth="1"/>
    <col min="10760" max="10760" width="10.88671875" style="381" customWidth="1"/>
    <col min="10761" max="10761" width="12.88671875" style="381" customWidth="1"/>
    <col min="10762" max="10762" width="12" style="381" customWidth="1"/>
    <col min="10763" max="10763" width="16.5546875" style="381" customWidth="1"/>
    <col min="10764" max="10764" width="12.6640625" style="381" customWidth="1"/>
    <col min="10765" max="10765" width="12.109375" style="381" customWidth="1"/>
    <col min="10766" max="10766" width="12.5546875" style="381" customWidth="1"/>
    <col min="10767" max="11013" width="9.109375" style="381"/>
    <col min="11014" max="11014" width="6.44140625" style="381" bestFit="1" customWidth="1"/>
    <col min="11015" max="11015" width="43.5546875" style="381" customWidth="1"/>
    <col min="11016" max="11016" width="10.88671875" style="381" customWidth="1"/>
    <col min="11017" max="11017" width="12.88671875" style="381" customWidth="1"/>
    <col min="11018" max="11018" width="12" style="381" customWidth="1"/>
    <col min="11019" max="11019" width="16.5546875" style="381" customWidth="1"/>
    <col min="11020" max="11020" width="12.6640625" style="381" customWidth="1"/>
    <col min="11021" max="11021" width="12.109375" style="381" customWidth="1"/>
    <col min="11022" max="11022" width="12.5546875" style="381" customWidth="1"/>
    <col min="11023" max="11269" width="9.109375" style="381"/>
    <col min="11270" max="11270" width="6.44140625" style="381" bestFit="1" customWidth="1"/>
    <col min="11271" max="11271" width="43.5546875" style="381" customWidth="1"/>
    <col min="11272" max="11272" width="10.88671875" style="381" customWidth="1"/>
    <col min="11273" max="11273" width="12.88671875" style="381" customWidth="1"/>
    <col min="11274" max="11274" width="12" style="381" customWidth="1"/>
    <col min="11275" max="11275" width="16.5546875" style="381" customWidth="1"/>
    <col min="11276" max="11276" width="12.6640625" style="381" customWidth="1"/>
    <col min="11277" max="11277" width="12.109375" style="381" customWidth="1"/>
    <col min="11278" max="11278" width="12.5546875" style="381" customWidth="1"/>
    <col min="11279" max="11525" width="9.109375" style="381"/>
    <col min="11526" max="11526" width="6.44140625" style="381" bestFit="1" customWidth="1"/>
    <col min="11527" max="11527" width="43.5546875" style="381" customWidth="1"/>
    <col min="11528" max="11528" width="10.88671875" style="381" customWidth="1"/>
    <col min="11529" max="11529" width="12.88671875" style="381" customWidth="1"/>
    <col min="11530" max="11530" width="12" style="381" customWidth="1"/>
    <col min="11531" max="11531" width="16.5546875" style="381" customWidth="1"/>
    <col min="11532" max="11532" width="12.6640625" style="381" customWidth="1"/>
    <col min="11533" max="11533" width="12.109375" style="381" customWidth="1"/>
    <col min="11534" max="11534" width="12.5546875" style="381" customWidth="1"/>
    <col min="11535" max="11781" width="9.109375" style="381"/>
    <col min="11782" max="11782" width="6.44140625" style="381" bestFit="1" customWidth="1"/>
    <col min="11783" max="11783" width="43.5546875" style="381" customWidth="1"/>
    <col min="11784" max="11784" width="10.88671875" style="381" customWidth="1"/>
    <col min="11785" max="11785" width="12.88671875" style="381" customWidth="1"/>
    <col min="11786" max="11786" width="12" style="381" customWidth="1"/>
    <col min="11787" max="11787" width="16.5546875" style="381" customWidth="1"/>
    <col min="11788" max="11788" width="12.6640625" style="381" customWidth="1"/>
    <col min="11789" max="11789" width="12.109375" style="381" customWidth="1"/>
    <col min="11790" max="11790" width="12.5546875" style="381" customWidth="1"/>
    <col min="11791" max="12037" width="9.109375" style="381"/>
    <col min="12038" max="12038" width="6.44140625" style="381" bestFit="1" customWidth="1"/>
    <col min="12039" max="12039" width="43.5546875" style="381" customWidth="1"/>
    <col min="12040" max="12040" width="10.88671875" style="381" customWidth="1"/>
    <col min="12041" max="12041" width="12.88671875" style="381" customWidth="1"/>
    <col min="12042" max="12042" width="12" style="381" customWidth="1"/>
    <col min="12043" max="12043" width="16.5546875" style="381" customWidth="1"/>
    <col min="12044" max="12044" width="12.6640625" style="381" customWidth="1"/>
    <col min="12045" max="12045" width="12.109375" style="381" customWidth="1"/>
    <col min="12046" max="12046" width="12.5546875" style="381" customWidth="1"/>
    <col min="12047" max="12293" width="9.109375" style="381"/>
    <col min="12294" max="12294" width="6.44140625" style="381" bestFit="1" customWidth="1"/>
    <col min="12295" max="12295" width="43.5546875" style="381" customWidth="1"/>
    <col min="12296" max="12296" width="10.88671875" style="381" customWidth="1"/>
    <col min="12297" max="12297" width="12.88671875" style="381" customWidth="1"/>
    <col min="12298" max="12298" width="12" style="381" customWidth="1"/>
    <col min="12299" max="12299" width="16.5546875" style="381" customWidth="1"/>
    <col min="12300" max="12300" width="12.6640625" style="381" customWidth="1"/>
    <col min="12301" max="12301" width="12.109375" style="381" customWidth="1"/>
    <col min="12302" max="12302" width="12.5546875" style="381" customWidth="1"/>
    <col min="12303" max="12549" width="9.109375" style="381"/>
    <col min="12550" max="12550" width="6.44140625" style="381" bestFit="1" customWidth="1"/>
    <col min="12551" max="12551" width="43.5546875" style="381" customWidth="1"/>
    <col min="12552" max="12552" width="10.88671875" style="381" customWidth="1"/>
    <col min="12553" max="12553" width="12.88671875" style="381" customWidth="1"/>
    <col min="12554" max="12554" width="12" style="381" customWidth="1"/>
    <col min="12555" max="12555" width="16.5546875" style="381" customWidth="1"/>
    <col min="12556" max="12556" width="12.6640625" style="381" customWidth="1"/>
    <col min="12557" max="12557" width="12.109375" style="381" customWidth="1"/>
    <col min="12558" max="12558" width="12.5546875" style="381" customWidth="1"/>
    <col min="12559" max="12805" width="9.109375" style="381"/>
    <col min="12806" max="12806" width="6.44140625" style="381" bestFit="1" customWidth="1"/>
    <col min="12807" max="12807" width="43.5546875" style="381" customWidth="1"/>
    <col min="12808" max="12808" width="10.88671875" style="381" customWidth="1"/>
    <col min="12809" max="12809" width="12.88671875" style="381" customWidth="1"/>
    <col min="12810" max="12810" width="12" style="381" customWidth="1"/>
    <col min="12811" max="12811" width="16.5546875" style="381" customWidth="1"/>
    <col min="12812" max="12812" width="12.6640625" style="381" customWidth="1"/>
    <col min="12813" max="12813" width="12.109375" style="381" customWidth="1"/>
    <col min="12814" max="12814" width="12.5546875" style="381" customWidth="1"/>
    <col min="12815" max="13061" width="9.109375" style="381"/>
    <col min="13062" max="13062" width="6.44140625" style="381" bestFit="1" customWidth="1"/>
    <col min="13063" max="13063" width="43.5546875" style="381" customWidth="1"/>
    <col min="13064" max="13064" width="10.88671875" style="381" customWidth="1"/>
    <col min="13065" max="13065" width="12.88671875" style="381" customWidth="1"/>
    <col min="13066" max="13066" width="12" style="381" customWidth="1"/>
    <col min="13067" max="13067" width="16.5546875" style="381" customWidth="1"/>
    <col min="13068" max="13068" width="12.6640625" style="381" customWidth="1"/>
    <col min="13069" max="13069" width="12.109375" style="381" customWidth="1"/>
    <col min="13070" max="13070" width="12.5546875" style="381" customWidth="1"/>
    <col min="13071" max="13317" width="9.109375" style="381"/>
    <col min="13318" max="13318" width="6.44140625" style="381" bestFit="1" customWidth="1"/>
    <col min="13319" max="13319" width="43.5546875" style="381" customWidth="1"/>
    <col min="13320" max="13320" width="10.88671875" style="381" customWidth="1"/>
    <col min="13321" max="13321" width="12.88671875" style="381" customWidth="1"/>
    <col min="13322" max="13322" width="12" style="381" customWidth="1"/>
    <col min="13323" max="13323" width="16.5546875" style="381" customWidth="1"/>
    <col min="13324" max="13324" width="12.6640625" style="381" customWidth="1"/>
    <col min="13325" max="13325" width="12.109375" style="381" customWidth="1"/>
    <col min="13326" max="13326" width="12.5546875" style="381" customWidth="1"/>
    <col min="13327" max="13573" width="9.109375" style="381"/>
    <col min="13574" max="13574" width="6.44140625" style="381" bestFit="1" customWidth="1"/>
    <col min="13575" max="13575" width="43.5546875" style="381" customWidth="1"/>
    <col min="13576" max="13576" width="10.88671875" style="381" customWidth="1"/>
    <col min="13577" max="13577" width="12.88671875" style="381" customWidth="1"/>
    <col min="13578" max="13578" width="12" style="381" customWidth="1"/>
    <col min="13579" max="13579" width="16.5546875" style="381" customWidth="1"/>
    <col min="13580" max="13580" width="12.6640625" style="381" customWidth="1"/>
    <col min="13581" max="13581" width="12.109375" style="381" customWidth="1"/>
    <col min="13582" max="13582" width="12.5546875" style="381" customWidth="1"/>
    <col min="13583" max="13829" width="9.109375" style="381"/>
    <col min="13830" max="13830" width="6.44140625" style="381" bestFit="1" customWidth="1"/>
    <col min="13831" max="13831" width="43.5546875" style="381" customWidth="1"/>
    <col min="13832" max="13832" width="10.88671875" style="381" customWidth="1"/>
    <col min="13833" max="13833" width="12.88671875" style="381" customWidth="1"/>
    <col min="13834" max="13834" width="12" style="381" customWidth="1"/>
    <col min="13835" max="13835" width="16.5546875" style="381" customWidth="1"/>
    <col min="13836" max="13836" width="12.6640625" style="381" customWidth="1"/>
    <col min="13837" max="13837" width="12.109375" style="381" customWidth="1"/>
    <col min="13838" max="13838" width="12.5546875" style="381" customWidth="1"/>
    <col min="13839" max="14085" width="9.109375" style="381"/>
    <col min="14086" max="14086" width="6.44140625" style="381" bestFit="1" customWidth="1"/>
    <col min="14087" max="14087" width="43.5546875" style="381" customWidth="1"/>
    <col min="14088" max="14088" width="10.88671875" style="381" customWidth="1"/>
    <col min="14089" max="14089" width="12.88671875" style="381" customWidth="1"/>
    <col min="14090" max="14090" width="12" style="381" customWidth="1"/>
    <col min="14091" max="14091" width="16.5546875" style="381" customWidth="1"/>
    <col min="14092" max="14092" width="12.6640625" style="381" customWidth="1"/>
    <col min="14093" max="14093" width="12.109375" style="381" customWidth="1"/>
    <col min="14094" max="14094" width="12.5546875" style="381" customWidth="1"/>
    <col min="14095" max="14341" width="9.109375" style="381"/>
    <col min="14342" max="14342" width="6.44140625" style="381" bestFit="1" customWidth="1"/>
    <col min="14343" max="14343" width="43.5546875" style="381" customWidth="1"/>
    <col min="14344" max="14344" width="10.88671875" style="381" customWidth="1"/>
    <col min="14345" max="14345" width="12.88671875" style="381" customWidth="1"/>
    <col min="14346" max="14346" width="12" style="381" customWidth="1"/>
    <col min="14347" max="14347" width="16.5546875" style="381" customWidth="1"/>
    <col min="14348" max="14348" width="12.6640625" style="381" customWidth="1"/>
    <col min="14349" max="14349" width="12.109375" style="381" customWidth="1"/>
    <col min="14350" max="14350" width="12.5546875" style="381" customWidth="1"/>
    <col min="14351" max="14597" width="9.109375" style="381"/>
    <col min="14598" max="14598" width="6.44140625" style="381" bestFit="1" customWidth="1"/>
    <col min="14599" max="14599" width="43.5546875" style="381" customWidth="1"/>
    <col min="14600" max="14600" width="10.88671875" style="381" customWidth="1"/>
    <col min="14601" max="14601" width="12.88671875" style="381" customWidth="1"/>
    <col min="14602" max="14602" width="12" style="381" customWidth="1"/>
    <col min="14603" max="14603" width="16.5546875" style="381" customWidth="1"/>
    <col min="14604" max="14604" width="12.6640625" style="381" customWidth="1"/>
    <col min="14605" max="14605" width="12.109375" style="381" customWidth="1"/>
    <col min="14606" max="14606" width="12.5546875" style="381" customWidth="1"/>
    <col min="14607" max="14853" width="9.109375" style="381"/>
    <col min="14854" max="14854" width="6.44140625" style="381" bestFit="1" customWidth="1"/>
    <col min="14855" max="14855" width="43.5546875" style="381" customWidth="1"/>
    <col min="14856" max="14856" width="10.88671875" style="381" customWidth="1"/>
    <col min="14857" max="14857" width="12.88671875" style="381" customWidth="1"/>
    <col min="14858" max="14858" width="12" style="381" customWidth="1"/>
    <col min="14859" max="14859" width="16.5546875" style="381" customWidth="1"/>
    <col min="14860" max="14860" width="12.6640625" style="381" customWidth="1"/>
    <col min="14861" max="14861" width="12.109375" style="381" customWidth="1"/>
    <col min="14862" max="14862" width="12.5546875" style="381" customWidth="1"/>
    <col min="14863" max="15109" width="9.109375" style="381"/>
    <col min="15110" max="15110" width="6.44140625" style="381" bestFit="1" customWidth="1"/>
    <col min="15111" max="15111" width="43.5546875" style="381" customWidth="1"/>
    <col min="15112" max="15112" width="10.88671875" style="381" customWidth="1"/>
    <col min="15113" max="15113" width="12.88671875" style="381" customWidth="1"/>
    <col min="15114" max="15114" width="12" style="381" customWidth="1"/>
    <col min="15115" max="15115" width="16.5546875" style="381" customWidth="1"/>
    <col min="15116" max="15116" width="12.6640625" style="381" customWidth="1"/>
    <col min="15117" max="15117" width="12.109375" style="381" customWidth="1"/>
    <col min="15118" max="15118" width="12.5546875" style="381" customWidth="1"/>
    <col min="15119" max="15365" width="9.109375" style="381"/>
    <col min="15366" max="15366" width="6.44140625" style="381" bestFit="1" customWidth="1"/>
    <col min="15367" max="15367" width="43.5546875" style="381" customWidth="1"/>
    <col min="15368" max="15368" width="10.88671875" style="381" customWidth="1"/>
    <col min="15369" max="15369" width="12.88671875" style="381" customWidth="1"/>
    <col min="15370" max="15370" width="12" style="381" customWidth="1"/>
    <col min="15371" max="15371" width="16.5546875" style="381" customWidth="1"/>
    <col min="15372" max="15372" width="12.6640625" style="381" customWidth="1"/>
    <col min="15373" max="15373" width="12.109375" style="381" customWidth="1"/>
    <col min="15374" max="15374" width="12.5546875" style="381" customWidth="1"/>
    <col min="15375" max="15621" width="9.109375" style="381"/>
    <col min="15622" max="15622" width="6.44140625" style="381" bestFit="1" customWidth="1"/>
    <col min="15623" max="15623" width="43.5546875" style="381" customWidth="1"/>
    <col min="15624" max="15624" width="10.88671875" style="381" customWidth="1"/>
    <col min="15625" max="15625" width="12.88671875" style="381" customWidth="1"/>
    <col min="15626" max="15626" width="12" style="381" customWidth="1"/>
    <col min="15627" max="15627" width="16.5546875" style="381" customWidth="1"/>
    <col min="15628" max="15628" width="12.6640625" style="381" customWidth="1"/>
    <col min="15629" max="15629" width="12.109375" style="381" customWidth="1"/>
    <col min="15630" max="15630" width="12.5546875" style="381" customWidth="1"/>
    <col min="15631" max="15877" width="9.109375" style="381"/>
    <col min="15878" max="15878" width="6.44140625" style="381" bestFit="1" customWidth="1"/>
    <col min="15879" max="15879" width="43.5546875" style="381" customWidth="1"/>
    <col min="15880" max="15880" width="10.88671875" style="381" customWidth="1"/>
    <col min="15881" max="15881" width="12.88671875" style="381" customWidth="1"/>
    <col min="15882" max="15882" width="12" style="381" customWidth="1"/>
    <col min="15883" max="15883" width="16.5546875" style="381" customWidth="1"/>
    <col min="15884" max="15884" width="12.6640625" style="381" customWidth="1"/>
    <col min="15885" max="15885" width="12.109375" style="381" customWidth="1"/>
    <col min="15886" max="15886" width="12.5546875" style="381" customWidth="1"/>
    <col min="15887" max="16133" width="9.109375" style="381"/>
    <col min="16134" max="16134" width="6.44140625" style="381" bestFit="1" customWidth="1"/>
    <col min="16135" max="16135" width="43.5546875" style="381" customWidth="1"/>
    <col min="16136" max="16136" width="10.88671875" style="381" customWidth="1"/>
    <col min="16137" max="16137" width="12.88671875" style="381" customWidth="1"/>
    <col min="16138" max="16138" width="12" style="381" customWidth="1"/>
    <col min="16139" max="16139" width="16.5546875" style="381" customWidth="1"/>
    <col min="16140" max="16140" width="12.6640625" style="381" customWidth="1"/>
    <col min="16141" max="16141" width="12.109375" style="381" customWidth="1"/>
    <col min="16142" max="16142" width="12.5546875" style="381" customWidth="1"/>
    <col min="16143" max="16384" width="9.109375" style="381"/>
  </cols>
  <sheetData>
    <row r="1" spans="1:20">
      <c r="A1" s="6045" t="s">
        <v>410</v>
      </c>
      <c r="B1" s="6045"/>
      <c r="C1" s="6045"/>
      <c r="D1" s="6045"/>
      <c r="E1" s="6045"/>
      <c r="F1" s="6045"/>
      <c r="G1" s="6045"/>
      <c r="H1" s="6045"/>
      <c r="I1" s="6045"/>
      <c r="J1" s="6045"/>
      <c r="K1" s="6045"/>
      <c r="L1" s="6045"/>
      <c r="M1" s="6045"/>
      <c r="N1" s="6045"/>
      <c r="O1" s="6045"/>
      <c r="P1" s="6045"/>
      <c r="Q1" s="6045"/>
      <c r="R1" s="6045"/>
      <c r="S1" s="6045"/>
      <c r="T1" s="6045"/>
    </row>
    <row r="2" spans="1:20">
      <c r="A2" s="6045"/>
      <c r="B2" s="6045"/>
      <c r="C2" s="6045"/>
      <c r="D2" s="6045"/>
      <c r="E2" s="6045"/>
      <c r="F2" s="6045"/>
      <c r="G2" s="6045"/>
      <c r="H2" s="6045"/>
      <c r="I2" s="6045"/>
      <c r="J2" s="6045"/>
      <c r="K2" s="6045"/>
      <c r="L2" s="6045"/>
      <c r="M2" s="6045"/>
      <c r="N2" s="6045"/>
      <c r="O2" s="6045"/>
      <c r="P2" s="6045"/>
      <c r="Q2" s="6045"/>
      <c r="R2" s="6045"/>
      <c r="S2" s="6045"/>
      <c r="T2" s="6045"/>
    </row>
    <row r="3" spans="1:20" ht="18.600000000000001" thickBot="1">
      <c r="A3" s="382"/>
      <c r="B3" s="382"/>
      <c r="C3" s="382"/>
      <c r="D3" s="382"/>
      <c r="E3" s="382"/>
      <c r="F3" s="382"/>
      <c r="G3" s="382"/>
      <c r="H3" s="382"/>
      <c r="I3" s="382"/>
      <c r="J3" s="382"/>
      <c r="K3" s="382"/>
      <c r="L3" s="382"/>
      <c r="M3" s="382"/>
      <c r="T3" s="383" t="s">
        <v>372</v>
      </c>
    </row>
    <row r="4" spans="1:20" ht="18.75" customHeight="1">
      <c r="A4" s="6216" t="s">
        <v>247</v>
      </c>
      <c r="B4" s="6218" t="s">
        <v>373</v>
      </c>
      <c r="C4" s="6218" t="s">
        <v>374</v>
      </c>
      <c r="D4" s="6218" t="s">
        <v>375</v>
      </c>
      <c r="E4" s="6218"/>
      <c r="F4" s="6218"/>
      <c r="G4" s="6218"/>
      <c r="H4" s="6218"/>
      <c r="I4" s="6213" t="s">
        <v>407</v>
      </c>
      <c r="J4" s="6214"/>
      <c r="K4" s="6214"/>
      <c r="L4" s="6214"/>
      <c r="M4" s="6214"/>
      <c r="N4" s="6215"/>
      <c r="O4" s="6218" t="s">
        <v>408</v>
      </c>
      <c r="P4" s="6218"/>
      <c r="Q4" s="6218"/>
      <c r="R4" s="6218"/>
      <c r="S4" s="6218"/>
      <c r="T4" s="6220" t="s">
        <v>409</v>
      </c>
    </row>
    <row r="5" spans="1:20" ht="75" customHeight="1">
      <c r="A5" s="6217"/>
      <c r="B5" s="6219"/>
      <c r="C5" s="6219"/>
      <c r="D5" s="6208" t="s">
        <v>377</v>
      </c>
      <c r="E5" s="6208"/>
      <c r="F5" s="6208" t="s">
        <v>378</v>
      </c>
      <c r="G5" s="6208"/>
      <c r="H5" s="6208" t="s">
        <v>379</v>
      </c>
      <c r="I5" s="6208" t="s">
        <v>377</v>
      </c>
      <c r="J5" s="6208"/>
      <c r="K5" s="6208" t="s">
        <v>378</v>
      </c>
      <c r="L5" s="6208"/>
      <c r="M5" s="6208" t="s">
        <v>379</v>
      </c>
      <c r="N5" s="6211" t="s">
        <v>376</v>
      </c>
      <c r="O5" s="6208" t="s">
        <v>377</v>
      </c>
      <c r="P5" s="6208"/>
      <c r="Q5" s="6209" t="s">
        <v>378</v>
      </c>
      <c r="R5" s="6210"/>
      <c r="S5" s="6208" t="s">
        <v>380</v>
      </c>
      <c r="T5" s="6221"/>
    </row>
    <row r="6" spans="1:20" ht="104.4">
      <c r="A6" s="6217"/>
      <c r="B6" s="6219"/>
      <c r="C6" s="6219"/>
      <c r="D6" s="384" t="s">
        <v>54</v>
      </c>
      <c r="E6" s="384" t="s">
        <v>381</v>
      </c>
      <c r="F6" s="384" t="s">
        <v>54</v>
      </c>
      <c r="G6" s="384" t="s">
        <v>381</v>
      </c>
      <c r="H6" s="6208"/>
      <c r="I6" s="384" t="s">
        <v>54</v>
      </c>
      <c r="J6" s="384" t="s">
        <v>381</v>
      </c>
      <c r="K6" s="384" t="s">
        <v>54</v>
      </c>
      <c r="L6" s="384" t="s">
        <v>381</v>
      </c>
      <c r="M6" s="6208"/>
      <c r="N6" s="6212"/>
      <c r="O6" s="384" t="s">
        <v>54</v>
      </c>
      <c r="P6" s="384" t="s">
        <v>381</v>
      </c>
      <c r="Q6" s="384" t="s">
        <v>54</v>
      </c>
      <c r="R6" s="384" t="s">
        <v>381</v>
      </c>
      <c r="S6" s="6208"/>
      <c r="T6" s="6221"/>
    </row>
    <row r="7" spans="1:20" s="386" customFormat="1" ht="17.399999999999999">
      <c r="A7" s="396" t="s">
        <v>1</v>
      </c>
      <c r="B7" s="385" t="s">
        <v>37</v>
      </c>
      <c r="C7" s="385">
        <v>1</v>
      </c>
      <c r="D7" s="385">
        <v>2</v>
      </c>
      <c r="E7" s="385">
        <v>3</v>
      </c>
      <c r="F7" s="385">
        <v>4</v>
      </c>
      <c r="G7" s="385"/>
      <c r="H7" s="385" t="s">
        <v>382</v>
      </c>
      <c r="I7" s="385">
        <v>2</v>
      </c>
      <c r="J7" s="385">
        <v>3</v>
      </c>
      <c r="K7" s="385">
        <v>4</v>
      </c>
      <c r="L7" s="385"/>
      <c r="M7" s="385" t="s">
        <v>383</v>
      </c>
      <c r="N7" s="385" t="s">
        <v>384</v>
      </c>
      <c r="O7" s="385">
        <v>7</v>
      </c>
      <c r="P7" s="385">
        <v>8</v>
      </c>
      <c r="Q7" s="385">
        <v>9</v>
      </c>
      <c r="R7" s="385"/>
      <c r="S7" s="385" t="s">
        <v>385</v>
      </c>
      <c r="T7" s="397" t="s">
        <v>386</v>
      </c>
    </row>
    <row r="8" spans="1:20" s="386" customFormat="1" ht="17.399999999999999">
      <c r="A8" s="396"/>
      <c r="B8" s="385" t="s">
        <v>387</v>
      </c>
      <c r="C8" s="387">
        <f>SUM(C9:C23)</f>
        <v>1598076</v>
      </c>
      <c r="D8" s="387">
        <f t="shared" ref="D8:T8" si="0">SUM(D9:D23)</f>
        <v>142653</v>
      </c>
      <c r="E8" s="387">
        <f t="shared" si="0"/>
        <v>0</v>
      </c>
      <c r="F8" s="387">
        <f t="shared" si="0"/>
        <v>78340</v>
      </c>
      <c r="G8" s="387">
        <f t="shared" si="0"/>
        <v>0</v>
      </c>
      <c r="H8" s="387">
        <f t="shared" si="0"/>
        <v>64313</v>
      </c>
      <c r="I8" s="387">
        <f t="shared" si="0"/>
        <v>263993.13105900004</v>
      </c>
      <c r="J8" s="387">
        <f t="shared" si="0"/>
        <v>35114.101059000001</v>
      </c>
      <c r="K8" s="387">
        <f t="shared" si="0"/>
        <v>273105</v>
      </c>
      <c r="L8" s="387">
        <f t="shared" si="0"/>
        <v>600</v>
      </c>
      <c r="M8" s="387">
        <f t="shared" si="0"/>
        <v>-9111.8689409999988</v>
      </c>
      <c r="N8" s="387">
        <f t="shared" si="0"/>
        <v>1588964.131059</v>
      </c>
      <c r="O8" s="387">
        <f t="shared" si="0"/>
        <v>269377</v>
      </c>
      <c r="P8" s="387">
        <f t="shared" si="0"/>
        <v>18600</v>
      </c>
      <c r="Q8" s="387">
        <f t="shared" si="0"/>
        <v>298128</v>
      </c>
      <c r="R8" s="387">
        <f t="shared" si="0"/>
        <v>18600</v>
      </c>
      <c r="S8" s="387">
        <f t="shared" si="0"/>
        <v>-28751</v>
      </c>
      <c r="T8" s="398">
        <f t="shared" si="0"/>
        <v>1560213.131059</v>
      </c>
    </row>
    <row r="9" spans="1:20">
      <c r="A9" s="399">
        <v>1</v>
      </c>
      <c r="B9" s="388" t="s">
        <v>388</v>
      </c>
      <c r="C9" s="389">
        <v>806819</v>
      </c>
      <c r="D9" s="390">
        <v>108606</v>
      </c>
      <c r="E9" s="391"/>
      <c r="F9" s="391">
        <f>58335</f>
        <v>58335</v>
      </c>
      <c r="G9" s="391"/>
      <c r="H9" s="391">
        <f>D9-F9</f>
        <v>50271</v>
      </c>
      <c r="I9" s="391">
        <v>124364</v>
      </c>
      <c r="J9" s="391"/>
      <c r="K9" s="391">
        <v>149498</v>
      </c>
      <c r="L9" s="391"/>
      <c r="M9" s="391">
        <f>I9-K9</f>
        <v>-25134</v>
      </c>
      <c r="N9" s="391">
        <f t="shared" ref="N9:N22" si="1">C9+I9-K9</f>
        <v>781685</v>
      </c>
      <c r="O9" s="391">
        <v>90509</v>
      </c>
      <c r="P9" s="391"/>
      <c r="Q9" s="391">
        <v>150000</v>
      </c>
      <c r="R9" s="391"/>
      <c r="S9" s="391">
        <f>O9-Q9</f>
        <v>-59491</v>
      </c>
      <c r="T9" s="400">
        <f>N9+O9-Q9</f>
        <v>722194</v>
      </c>
    </row>
    <row r="10" spans="1:20">
      <c r="A10" s="401">
        <v>2</v>
      </c>
      <c r="B10" s="43" t="s">
        <v>389</v>
      </c>
      <c r="C10" s="392">
        <v>458783</v>
      </c>
      <c r="D10" s="392">
        <v>34047</v>
      </c>
      <c r="E10" s="393"/>
      <c r="F10" s="393">
        <v>20005</v>
      </c>
      <c r="G10" s="393"/>
      <c r="H10" s="393">
        <f t="shared" ref="H10:H19" si="2">D10-F10</f>
        <v>14042</v>
      </c>
      <c r="I10" s="393">
        <f>174+28514101059/1000000</f>
        <v>28688.101059000001</v>
      </c>
      <c r="J10" s="394">
        <f>28514101059/1000000</f>
        <v>28514.101059000001</v>
      </c>
      <c r="K10" s="393">
        <v>141</v>
      </c>
      <c r="L10" s="393"/>
      <c r="M10" s="393">
        <f t="shared" ref="M10:M25" si="3">I10-K10</f>
        <v>28547.101059000001</v>
      </c>
      <c r="N10" s="393">
        <f t="shared" si="1"/>
        <v>487330.10105900001</v>
      </c>
      <c r="O10" s="393">
        <v>220</v>
      </c>
      <c r="P10" s="393"/>
      <c r="Q10" s="393"/>
      <c r="R10" s="393"/>
      <c r="S10" s="393">
        <f t="shared" ref="S10:S25" si="4">O10-Q10</f>
        <v>220</v>
      </c>
      <c r="T10" s="402">
        <f>N10+O10-Q10</f>
        <v>487550.10105900001</v>
      </c>
    </row>
    <row r="11" spans="1:20">
      <c r="A11" s="401">
        <v>3</v>
      </c>
      <c r="B11" s="43" t="s">
        <v>390</v>
      </c>
      <c r="C11" s="392">
        <v>51279</v>
      </c>
      <c r="D11" s="392"/>
      <c r="E11" s="393"/>
      <c r="F11" s="393"/>
      <c r="G11" s="393"/>
      <c r="H11" s="393">
        <f t="shared" si="2"/>
        <v>0</v>
      </c>
      <c r="I11" s="393"/>
      <c r="J11" s="393"/>
      <c r="K11" s="393"/>
      <c r="L11" s="393"/>
      <c r="M11" s="393">
        <f t="shared" si="3"/>
        <v>0</v>
      </c>
      <c r="N11" s="393">
        <f t="shared" si="1"/>
        <v>51279</v>
      </c>
      <c r="O11" s="393"/>
      <c r="P11" s="393"/>
      <c r="Q11" s="393"/>
      <c r="R11" s="393"/>
      <c r="S11" s="393">
        <f t="shared" si="4"/>
        <v>0</v>
      </c>
      <c r="T11" s="402">
        <f t="shared" ref="T11:T25" si="5">N11+O11-Q11</f>
        <v>51279</v>
      </c>
    </row>
    <row r="12" spans="1:20">
      <c r="A12" s="401">
        <v>4</v>
      </c>
      <c r="B12" s="43" t="s">
        <v>391</v>
      </c>
      <c r="C12" s="392">
        <v>120299</v>
      </c>
      <c r="D12" s="392"/>
      <c r="E12" s="393"/>
      <c r="F12" s="393"/>
      <c r="G12" s="393"/>
      <c r="H12" s="393">
        <f t="shared" si="2"/>
        <v>0</v>
      </c>
      <c r="I12" s="393">
        <v>324</v>
      </c>
      <c r="J12" s="393"/>
      <c r="K12" s="393">
        <v>1000</v>
      </c>
      <c r="L12" s="393"/>
      <c r="M12" s="393">
        <f t="shared" si="3"/>
        <v>-676</v>
      </c>
      <c r="N12" s="393">
        <f t="shared" si="1"/>
        <v>119623</v>
      </c>
      <c r="O12" s="393"/>
      <c r="P12" s="393"/>
      <c r="Q12" s="393"/>
      <c r="R12" s="393"/>
      <c r="S12" s="393">
        <f t="shared" si="4"/>
        <v>0</v>
      </c>
      <c r="T12" s="402">
        <f t="shared" si="5"/>
        <v>119623</v>
      </c>
    </row>
    <row r="13" spans="1:20">
      <c r="A13" s="401">
        <v>5</v>
      </c>
      <c r="B13" s="43" t="s">
        <v>392</v>
      </c>
      <c r="C13" s="392">
        <v>32786</v>
      </c>
      <c r="D13" s="392"/>
      <c r="E13" s="393"/>
      <c r="F13" s="393"/>
      <c r="G13" s="393"/>
      <c r="H13" s="393">
        <f t="shared" si="2"/>
        <v>0</v>
      </c>
      <c r="I13" s="393">
        <v>22543</v>
      </c>
      <c r="J13" s="393"/>
      <c r="K13" s="393">
        <v>22173</v>
      </c>
      <c r="L13" s="393"/>
      <c r="M13" s="393">
        <f t="shared" si="3"/>
        <v>370</v>
      </c>
      <c r="N13" s="393">
        <f t="shared" si="1"/>
        <v>33156</v>
      </c>
      <c r="O13" s="393">
        <v>42393</v>
      </c>
      <c r="P13" s="393">
        <v>10000</v>
      </c>
      <c r="Q13" s="393">
        <v>32393</v>
      </c>
      <c r="R13" s="393">
        <v>10000</v>
      </c>
      <c r="S13" s="393">
        <f t="shared" si="4"/>
        <v>10000</v>
      </c>
      <c r="T13" s="402">
        <f t="shared" si="5"/>
        <v>43156</v>
      </c>
    </row>
    <row r="14" spans="1:20">
      <c r="A14" s="401">
        <v>6</v>
      </c>
      <c r="B14" s="43" t="s">
        <v>393</v>
      </c>
      <c r="C14" s="392">
        <v>20536</v>
      </c>
      <c r="D14" s="392"/>
      <c r="E14" s="393"/>
      <c r="F14" s="393"/>
      <c r="G14" s="393"/>
      <c r="H14" s="393">
        <f t="shared" si="2"/>
        <v>0</v>
      </c>
      <c r="I14" s="393">
        <v>11600</v>
      </c>
      <c r="J14" s="393"/>
      <c r="K14" s="393">
        <v>19000</v>
      </c>
      <c r="L14" s="393"/>
      <c r="M14" s="393">
        <f t="shared" si="3"/>
        <v>-7400</v>
      </c>
      <c r="N14" s="393">
        <f t="shared" si="1"/>
        <v>13136</v>
      </c>
      <c r="O14" s="393">
        <v>47300</v>
      </c>
      <c r="P14" s="393"/>
      <c r="Q14" s="393">
        <v>20000</v>
      </c>
      <c r="R14" s="393"/>
      <c r="S14" s="393">
        <f t="shared" si="4"/>
        <v>27300</v>
      </c>
      <c r="T14" s="402">
        <f t="shared" si="5"/>
        <v>40436</v>
      </c>
    </row>
    <row r="15" spans="1:20">
      <c r="A15" s="401">
        <v>7</v>
      </c>
      <c r="B15" s="43" t="s">
        <v>394</v>
      </c>
      <c r="C15" s="392">
        <v>796</v>
      </c>
      <c r="D15" s="392"/>
      <c r="E15" s="393"/>
      <c r="F15" s="393"/>
      <c r="G15" s="393"/>
      <c r="H15" s="393">
        <f t="shared" si="2"/>
        <v>0</v>
      </c>
      <c r="I15" s="393">
        <v>6000</v>
      </c>
      <c r="J15" s="393">
        <v>6000</v>
      </c>
      <c r="K15" s="393">
        <v>6796</v>
      </c>
      <c r="L15" s="393"/>
      <c r="M15" s="393">
        <f t="shared" si="3"/>
        <v>-796</v>
      </c>
      <c r="N15" s="393">
        <f t="shared" si="1"/>
        <v>0</v>
      </c>
      <c r="O15" s="393">
        <v>8000</v>
      </c>
      <c r="P15" s="393">
        <v>8000</v>
      </c>
      <c r="Q15" s="393">
        <v>8000</v>
      </c>
      <c r="R15" s="393">
        <v>8000</v>
      </c>
      <c r="S15" s="393">
        <f t="shared" si="4"/>
        <v>0</v>
      </c>
      <c r="T15" s="402">
        <f t="shared" si="5"/>
        <v>0</v>
      </c>
    </row>
    <row r="16" spans="1:20">
      <c r="A16" s="401">
        <v>8</v>
      </c>
      <c r="B16" s="43" t="s">
        <v>395</v>
      </c>
      <c r="C16" s="392">
        <v>8563</v>
      </c>
      <c r="D16" s="392"/>
      <c r="E16" s="393"/>
      <c r="F16" s="393"/>
      <c r="G16" s="393"/>
      <c r="H16" s="393">
        <f t="shared" si="2"/>
        <v>0</v>
      </c>
      <c r="I16" s="393">
        <v>34500</v>
      </c>
      <c r="J16" s="393"/>
      <c r="K16" s="393">
        <v>34000</v>
      </c>
      <c r="L16" s="393"/>
      <c r="M16" s="393">
        <f t="shared" si="3"/>
        <v>500</v>
      </c>
      <c r="N16" s="393">
        <f t="shared" si="1"/>
        <v>9063</v>
      </c>
      <c r="O16" s="393">
        <v>36000</v>
      </c>
      <c r="P16" s="393"/>
      <c r="Q16" s="393">
        <v>35000</v>
      </c>
      <c r="R16" s="393"/>
      <c r="S16" s="393">
        <f t="shared" si="4"/>
        <v>1000</v>
      </c>
      <c r="T16" s="402">
        <f t="shared" si="5"/>
        <v>10063</v>
      </c>
    </row>
    <row r="17" spans="1:20">
      <c r="A17" s="401">
        <v>9</v>
      </c>
      <c r="B17" s="43" t="s">
        <v>396</v>
      </c>
      <c r="C17" s="392">
        <v>35100</v>
      </c>
      <c r="D17" s="392"/>
      <c r="E17" s="393"/>
      <c r="F17" s="393"/>
      <c r="G17" s="393"/>
      <c r="H17" s="393">
        <f t="shared" si="2"/>
        <v>0</v>
      </c>
      <c r="I17" s="393">
        <v>21098</v>
      </c>
      <c r="J17" s="393"/>
      <c r="K17" s="393">
        <v>20869</v>
      </c>
      <c r="L17" s="393"/>
      <c r="M17" s="393">
        <f t="shared" si="3"/>
        <v>229</v>
      </c>
      <c r="N17" s="393">
        <f t="shared" si="1"/>
        <v>35329</v>
      </c>
      <c r="O17" s="393">
        <v>32645</v>
      </c>
      <c r="P17" s="393"/>
      <c r="Q17" s="393">
        <v>32477</v>
      </c>
      <c r="R17" s="393"/>
      <c r="S17" s="393">
        <f t="shared" si="4"/>
        <v>168</v>
      </c>
      <c r="T17" s="402">
        <f t="shared" si="5"/>
        <v>35497</v>
      </c>
    </row>
    <row r="18" spans="1:20">
      <c r="A18" s="401">
        <v>10</v>
      </c>
      <c r="B18" s="43" t="s">
        <v>397</v>
      </c>
      <c r="C18" s="392">
        <v>38888</v>
      </c>
      <c r="D18" s="392"/>
      <c r="E18" s="393"/>
      <c r="F18" s="393"/>
      <c r="G18" s="393"/>
      <c r="H18" s="393">
        <f t="shared" si="2"/>
        <v>0</v>
      </c>
      <c r="I18" s="393">
        <v>9000</v>
      </c>
      <c r="J18" s="393"/>
      <c r="K18" s="393">
        <v>8250</v>
      </c>
      <c r="L18" s="393"/>
      <c r="M18" s="393">
        <f t="shared" si="3"/>
        <v>750</v>
      </c>
      <c r="N18" s="393">
        <f t="shared" si="1"/>
        <v>39638</v>
      </c>
      <c r="O18" s="393">
        <v>9200</v>
      </c>
      <c r="P18" s="393"/>
      <c r="Q18" s="393">
        <v>8500</v>
      </c>
      <c r="R18" s="393"/>
      <c r="S18" s="393">
        <f t="shared" si="4"/>
        <v>700</v>
      </c>
      <c r="T18" s="402">
        <f t="shared" si="5"/>
        <v>40338</v>
      </c>
    </row>
    <row r="19" spans="1:20">
      <c r="A19" s="401">
        <v>11</v>
      </c>
      <c r="B19" s="43" t="s">
        <v>398</v>
      </c>
      <c r="C19" s="392">
        <v>16634</v>
      </c>
      <c r="D19" s="392"/>
      <c r="E19" s="393"/>
      <c r="F19" s="393"/>
      <c r="G19" s="393"/>
      <c r="H19" s="393">
        <f t="shared" si="2"/>
        <v>0</v>
      </c>
      <c r="I19" s="393">
        <v>3275</v>
      </c>
      <c r="J19" s="393"/>
      <c r="K19" s="393">
        <v>8194</v>
      </c>
      <c r="L19" s="393"/>
      <c r="M19" s="393">
        <f t="shared" si="3"/>
        <v>-4919</v>
      </c>
      <c r="N19" s="393">
        <f t="shared" si="1"/>
        <v>11715</v>
      </c>
      <c r="O19" s="393">
        <v>360</v>
      </c>
      <c r="P19" s="393"/>
      <c r="Q19" s="393">
        <v>9013</v>
      </c>
      <c r="R19" s="393"/>
      <c r="S19" s="393">
        <f t="shared" si="4"/>
        <v>-8653</v>
      </c>
      <c r="T19" s="402">
        <f t="shared" si="5"/>
        <v>3062</v>
      </c>
    </row>
    <row r="20" spans="1:20">
      <c r="A20" s="401">
        <v>12</v>
      </c>
      <c r="B20" s="43" t="s">
        <v>399</v>
      </c>
      <c r="C20" s="392">
        <v>717</v>
      </c>
      <c r="D20" s="392"/>
      <c r="E20" s="393"/>
      <c r="F20" s="393"/>
      <c r="G20" s="393"/>
      <c r="H20" s="393"/>
      <c r="I20" s="393"/>
      <c r="J20" s="393"/>
      <c r="K20" s="393">
        <v>500</v>
      </c>
      <c r="L20" s="393"/>
      <c r="M20" s="393">
        <f t="shared" si="3"/>
        <v>-500</v>
      </c>
      <c r="N20" s="393">
        <f t="shared" si="1"/>
        <v>217</v>
      </c>
      <c r="O20" s="393"/>
      <c r="P20" s="393"/>
      <c r="Q20" s="393">
        <v>200</v>
      </c>
      <c r="R20" s="393"/>
      <c r="S20" s="393">
        <f t="shared" si="4"/>
        <v>-200</v>
      </c>
      <c r="T20" s="402">
        <f t="shared" si="5"/>
        <v>17</v>
      </c>
    </row>
    <row r="21" spans="1:20">
      <c r="A21" s="401">
        <v>13</v>
      </c>
      <c r="B21" s="43" t="s">
        <v>400</v>
      </c>
      <c r="C21" s="392">
        <v>1225</v>
      </c>
      <c r="D21" s="392"/>
      <c r="E21" s="393"/>
      <c r="F21" s="393"/>
      <c r="G21" s="393"/>
      <c r="H21" s="393"/>
      <c r="I21" s="393">
        <v>151</v>
      </c>
      <c r="J21" s="393"/>
      <c r="K21" s="393">
        <v>150</v>
      </c>
      <c r="L21" s="393"/>
      <c r="M21" s="393">
        <f t="shared" si="3"/>
        <v>1</v>
      </c>
      <c r="N21" s="393">
        <f t="shared" si="1"/>
        <v>1226</v>
      </c>
      <c r="O21" s="393">
        <v>250</v>
      </c>
      <c r="P21" s="393"/>
      <c r="Q21" s="393">
        <v>245</v>
      </c>
      <c r="R21" s="393"/>
      <c r="S21" s="393">
        <f t="shared" si="4"/>
        <v>5</v>
      </c>
      <c r="T21" s="402">
        <f t="shared" si="5"/>
        <v>1231</v>
      </c>
    </row>
    <row r="22" spans="1:20">
      <c r="A22" s="401">
        <v>14</v>
      </c>
      <c r="B22" s="43" t="s">
        <v>401</v>
      </c>
      <c r="C22" s="392">
        <v>34</v>
      </c>
      <c r="D22" s="392"/>
      <c r="E22" s="393"/>
      <c r="F22" s="393"/>
      <c r="G22" s="393"/>
      <c r="H22" s="393"/>
      <c r="I22" s="395">
        <v>0.03</v>
      </c>
      <c r="J22" s="393"/>
      <c r="K22" s="393">
        <v>34</v>
      </c>
      <c r="L22" s="393"/>
      <c r="M22" s="393">
        <f t="shared" si="3"/>
        <v>-33.97</v>
      </c>
      <c r="N22" s="393">
        <f t="shared" si="1"/>
        <v>3.0000000000001137E-2</v>
      </c>
      <c r="O22" s="393"/>
      <c r="P22" s="393"/>
      <c r="Q22" s="393"/>
      <c r="R22" s="393"/>
      <c r="S22" s="393">
        <f t="shared" si="4"/>
        <v>0</v>
      </c>
      <c r="T22" s="402">
        <f t="shared" si="5"/>
        <v>3.0000000000001137E-2</v>
      </c>
    </row>
    <row r="23" spans="1:20">
      <c r="A23" s="401">
        <v>15</v>
      </c>
      <c r="B23" s="43" t="s">
        <v>402</v>
      </c>
      <c r="C23" s="392">
        <f>SUM(C24:C25)</f>
        <v>5617</v>
      </c>
      <c r="D23" s="392">
        <f t="shared" ref="D23:T23" si="6">SUM(D24:D25)</f>
        <v>0</v>
      </c>
      <c r="E23" s="392">
        <f t="shared" si="6"/>
        <v>0</v>
      </c>
      <c r="F23" s="392">
        <f t="shared" si="6"/>
        <v>0</v>
      </c>
      <c r="G23" s="392">
        <f t="shared" si="6"/>
        <v>0</v>
      </c>
      <c r="H23" s="392">
        <f t="shared" si="6"/>
        <v>0</v>
      </c>
      <c r="I23" s="392">
        <f t="shared" si="6"/>
        <v>2450</v>
      </c>
      <c r="J23" s="392">
        <f t="shared" si="6"/>
        <v>600</v>
      </c>
      <c r="K23" s="392">
        <f t="shared" si="6"/>
        <v>2500</v>
      </c>
      <c r="L23" s="392">
        <f t="shared" si="6"/>
        <v>600</v>
      </c>
      <c r="M23" s="392">
        <f t="shared" si="6"/>
        <v>-50</v>
      </c>
      <c r="N23" s="392">
        <f t="shared" si="6"/>
        <v>5567</v>
      </c>
      <c r="O23" s="392">
        <f t="shared" si="6"/>
        <v>2500</v>
      </c>
      <c r="P23" s="392">
        <f t="shared" si="6"/>
        <v>600</v>
      </c>
      <c r="Q23" s="392">
        <f t="shared" si="6"/>
        <v>2300</v>
      </c>
      <c r="R23" s="392">
        <f t="shared" si="6"/>
        <v>600</v>
      </c>
      <c r="S23" s="392">
        <f t="shared" si="6"/>
        <v>200</v>
      </c>
      <c r="T23" s="403">
        <f t="shared" si="6"/>
        <v>5767</v>
      </c>
    </row>
    <row r="24" spans="1:20">
      <c r="A24" s="401" t="s">
        <v>403</v>
      </c>
      <c r="B24" s="43" t="s">
        <v>404</v>
      </c>
      <c r="C24" s="392">
        <v>2477</v>
      </c>
      <c r="D24" s="392"/>
      <c r="E24" s="393"/>
      <c r="F24" s="393"/>
      <c r="G24" s="393"/>
      <c r="H24" s="393"/>
      <c r="I24" s="393">
        <v>950</v>
      </c>
      <c r="J24" s="393">
        <v>600</v>
      </c>
      <c r="K24" s="393">
        <v>1200</v>
      </c>
      <c r="L24" s="393">
        <v>600</v>
      </c>
      <c r="M24" s="393">
        <f t="shared" si="3"/>
        <v>-250</v>
      </c>
      <c r="N24" s="393">
        <f>C24+I24-K24</f>
        <v>2227</v>
      </c>
      <c r="O24" s="393">
        <v>1000</v>
      </c>
      <c r="P24" s="393">
        <v>600</v>
      </c>
      <c r="Q24" s="393">
        <v>1000</v>
      </c>
      <c r="R24" s="393">
        <v>600</v>
      </c>
      <c r="S24" s="393">
        <f t="shared" si="4"/>
        <v>0</v>
      </c>
      <c r="T24" s="402">
        <f t="shared" si="5"/>
        <v>2227</v>
      </c>
    </row>
    <row r="25" spans="1:20" ht="18.600000000000001" thickBot="1">
      <c r="A25" s="404" t="s">
        <v>405</v>
      </c>
      <c r="B25" s="405" t="s">
        <v>406</v>
      </c>
      <c r="C25" s="406">
        <v>3140</v>
      </c>
      <c r="D25" s="406"/>
      <c r="E25" s="407"/>
      <c r="F25" s="407"/>
      <c r="G25" s="407"/>
      <c r="H25" s="407"/>
      <c r="I25" s="407">
        <v>1500</v>
      </c>
      <c r="J25" s="407"/>
      <c r="K25" s="407">
        <v>1300</v>
      </c>
      <c r="L25" s="407"/>
      <c r="M25" s="407">
        <f t="shared" si="3"/>
        <v>200</v>
      </c>
      <c r="N25" s="407">
        <f>C25+I25-K25</f>
        <v>3340</v>
      </c>
      <c r="O25" s="407">
        <v>1500</v>
      </c>
      <c r="P25" s="407"/>
      <c r="Q25" s="407">
        <v>1300</v>
      </c>
      <c r="R25" s="407"/>
      <c r="S25" s="407">
        <f t="shared" si="4"/>
        <v>200</v>
      </c>
      <c r="T25" s="408">
        <f t="shared" si="5"/>
        <v>3540</v>
      </c>
    </row>
  </sheetData>
  <mergeCells count="19">
    <mergeCell ref="A2:T2"/>
    <mergeCell ref="A1:T1"/>
    <mergeCell ref="A4:A6"/>
    <mergeCell ref="B4:B6"/>
    <mergeCell ref="C4:C6"/>
    <mergeCell ref="D4:H4"/>
    <mergeCell ref="O4:S4"/>
    <mergeCell ref="T4:T6"/>
    <mergeCell ref="D5:E5"/>
    <mergeCell ref="F5:G5"/>
    <mergeCell ref="H5:H6"/>
    <mergeCell ref="I5:J5"/>
    <mergeCell ref="K5:L5"/>
    <mergeCell ref="O5:P5"/>
    <mergeCell ref="Q5:R5"/>
    <mergeCell ref="S5:S6"/>
    <mergeCell ref="N5:N6"/>
    <mergeCell ref="I4:N4"/>
    <mergeCell ref="M5:M6"/>
  </mergeCells>
  <hyperlinks>
    <hyperlink ref="A4:A6"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theme="5"/>
  </sheetPr>
  <dimension ref="A1:BO111"/>
  <sheetViews>
    <sheetView zoomScale="80" zoomScaleNormal="80" workbookViewId="0">
      <pane xSplit="10" ySplit="12" topLeftCell="AF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40" width="8.88671875" style="1" customWidth="1"/>
    <col min="41" max="58" width="10.6640625" style="1" hidden="1" customWidth="1"/>
    <col min="59" max="65" width="0" style="1" hidden="1" customWidth="1"/>
    <col min="66" max="66" width="10.5546875" style="1" hidden="1" customWidth="1"/>
    <col min="67" max="16384" width="9.109375" style="1"/>
  </cols>
  <sheetData>
    <row r="1" spans="1:67">
      <c r="A1" s="6056" t="s">
        <v>1411</v>
      </c>
      <c r="B1" s="6056"/>
      <c r="C1" s="6056"/>
      <c r="D1" s="6056"/>
      <c r="E1" s="6056"/>
      <c r="F1" s="6056"/>
      <c r="G1" s="6056"/>
      <c r="H1" s="6056"/>
      <c r="I1" s="6056"/>
      <c r="J1" s="6056"/>
      <c r="K1" s="6056"/>
      <c r="L1" s="6056"/>
      <c r="M1" s="6056"/>
      <c r="N1" s="6056"/>
      <c r="O1" s="6056"/>
      <c r="P1" s="6056"/>
      <c r="Q1" s="6056"/>
      <c r="R1" s="6056"/>
      <c r="S1" s="6056"/>
      <c r="T1" s="6056"/>
      <c r="U1" s="6056"/>
      <c r="V1" s="6056"/>
    </row>
    <row r="2" spans="1:67">
      <c r="A2" s="6056" t="s">
        <v>1434</v>
      </c>
      <c r="B2" s="6056"/>
      <c r="C2" s="6056"/>
      <c r="D2" s="6056"/>
      <c r="E2" s="6056"/>
      <c r="F2" s="6056"/>
      <c r="G2" s="6056"/>
      <c r="H2" s="6056"/>
      <c r="I2" s="6056"/>
      <c r="J2" s="6056"/>
      <c r="K2" s="6056"/>
      <c r="L2" s="6056"/>
      <c r="M2" s="6056"/>
      <c r="N2" s="6056"/>
      <c r="O2" s="6056"/>
      <c r="P2" s="6056"/>
      <c r="Q2" s="6056"/>
      <c r="R2" s="6056"/>
      <c r="S2" s="6056"/>
      <c r="T2" s="6056"/>
      <c r="U2" s="6056"/>
      <c r="V2" s="6056"/>
    </row>
    <row r="3" spans="1:67">
      <c r="A3" s="6059" t="s">
        <v>1413</v>
      </c>
      <c r="B3" s="6059"/>
      <c r="C3" s="6059"/>
      <c r="D3" s="6059"/>
      <c r="E3" s="6059"/>
      <c r="F3" s="6059"/>
      <c r="G3" s="6059"/>
      <c r="H3" s="6059"/>
      <c r="I3" s="6059"/>
      <c r="J3" s="6059"/>
      <c r="K3" s="6059"/>
      <c r="L3" s="6059"/>
      <c r="M3" s="6059"/>
      <c r="N3" s="6059"/>
      <c r="O3" s="6059"/>
      <c r="P3" s="6059"/>
      <c r="Q3" s="6059"/>
      <c r="R3" s="6059"/>
      <c r="S3" s="6059"/>
      <c r="T3" s="6059"/>
      <c r="U3" s="6059"/>
      <c r="V3" s="6059"/>
    </row>
    <row r="5" spans="1:67">
      <c r="J5" s="1662"/>
      <c r="M5" s="6"/>
      <c r="N5" s="6"/>
      <c r="Q5" s="6"/>
      <c r="S5" s="198"/>
      <c r="T5" s="6058" t="s">
        <v>246</v>
      </c>
      <c r="U5" s="6058"/>
      <c r="V5" s="6058"/>
    </row>
    <row r="6" spans="1:67">
      <c r="A6" s="6060" t="s">
        <v>0</v>
      </c>
      <c r="B6" s="6061" t="s">
        <v>49</v>
      </c>
      <c r="C6" s="6062" t="s">
        <v>50</v>
      </c>
      <c r="D6" s="6062"/>
      <c r="E6" s="6062"/>
      <c r="F6" s="6062"/>
      <c r="G6" s="6062"/>
      <c r="H6" s="6062"/>
      <c r="I6" s="6062"/>
      <c r="J6" s="6065" t="s">
        <v>120</v>
      </c>
      <c r="K6" s="6065"/>
      <c r="L6" s="6065"/>
      <c r="M6" s="6065"/>
      <c r="N6" s="6065"/>
      <c r="O6" s="6065"/>
      <c r="P6" s="6065"/>
      <c r="Q6" s="6065" t="s">
        <v>121</v>
      </c>
      <c r="R6" s="6065"/>
      <c r="S6" s="6065"/>
      <c r="T6" s="6065"/>
      <c r="U6" s="6065"/>
      <c r="V6" s="6065"/>
      <c r="W6" s="6065" t="s">
        <v>125</v>
      </c>
      <c r="X6" s="6065"/>
      <c r="Y6" s="6065"/>
      <c r="Z6" s="6065"/>
      <c r="AA6" s="6065"/>
      <c r="AB6" s="6065"/>
      <c r="AC6" s="6065" t="s">
        <v>126</v>
      </c>
      <c r="AD6" s="6065"/>
      <c r="AE6" s="6065"/>
      <c r="AF6" s="6065"/>
      <c r="AG6" s="6065"/>
      <c r="AH6" s="6065"/>
      <c r="AI6" s="6222" t="s">
        <v>1432</v>
      </c>
      <c r="AJ6" s="6223"/>
      <c r="AK6" s="6223"/>
      <c r="AL6" s="6223"/>
      <c r="AM6" s="6223"/>
      <c r="AN6" s="6224"/>
      <c r="AO6" s="6065" t="s">
        <v>127</v>
      </c>
      <c r="AP6" s="6065"/>
      <c r="AQ6" s="6065"/>
      <c r="AR6" s="6065"/>
      <c r="AS6" s="6065"/>
      <c r="AT6" s="6065"/>
      <c r="AU6" s="6065" t="s">
        <v>128</v>
      </c>
      <c r="AV6" s="6065"/>
      <c r="AW6" s="6065"/>
      <c r="AX6" s="6065"/>
      <c r="AY6" s="6065"/>
      <c r="AZ6" s="6065"/>
      <c r="BA6" s="6065" t="s">
        <v>129</v>
      </c>
      <c r="BB6" s="6065"/>
      <c r="BC6" s="6065"/>
      <c r="BD6" s="6065"/>
      <c r="BE6" s="6065"/>
      <c r="BF6" s="6065"/>
    </row>
    <row r="7" spans="1:67" ht="29.25" customHeight="1">
      <c r="A7" s="6060"/>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c r="W7" s="6064" t="s">
        <v>51</v>
      </c>
      <c r="X7" s="6064" t="s">
        <v>131</v>
      </c>
      <c r="Y7" s="6061" t="s">
        <v>53</v>
      </c>
      <c r="Z7" s="6061" t="s">
        <v>124</v>
      </c>
      <c r="AA7" s="6061"/>
      <c r="AB7" s="6061"/>
      <c r="AC7" s="6064" t="s">
        <v>51</v>
      </c>
      <c r="AD7" s="6064" t="s">
        <v>132</v>
      </c>
      <c r="AE7" s="6061" t="s">
        <v>53</v>
      </c>
      <c r="AF7" s="6061" t="s">
        <v>124</v>
      </c>
      <c r="AG7" s="6061"/>
      <c r="AH7" s="6061"/>
      <c r="AI7" s="6064" t="s">
        <v>51</v>
      </c>
      <c r="AJ7" s="6064" t="s">
        <v>1433</v>
      </c>
      <c r="AK7" s="6061" t="s">
        <v>53</v>
      </c>
      <c r="AL7" s="6061" t="s">
        <v>124</v>
      </c>
      <c r="AM7" s="6061"/>
      <c r="AN7" s="6061"/>
      <c r="AO7" s="6064" t="s">
        <v>51</v>
      </c>
      <c r="AP7" s="6064" t="s">
        <v>133</v>
      </c>
      <c r="AQ7" s="6061" t="s">
        <v>53</v>
      </c>
      <c r="AR7" s="6061" t="s">
        <v>124</v>
      </c>
      <c r="AS7" s="6061"/>
      <c r="AT7" s="6061"/>
      <c r="AU7" s="6064" t="s">
        <v>51</v>
      </c>
      <c r="AV7" s="6064" t="s">
        <v>130</v>
      </c>
      <c r="AW7" s="6061" t="s">
        <v>53</v>
      </c>
      <c r="AX7" s="6061" t="s">
        <v>124</v>
      </c>
      <c r="AY7" s="6061"/>
      <c r="AZ7" s="6061"/>
      <c r="BA7" s="6064" t="s">
        <v>51</v>
      </c>
      <c r="BB7" s="6064" t="s">
        <v>134</v>
      </c>
      <c r="BC7" s="6061" t="s">
        <v>53</v>
      </c>
      <c r="BD7" s="6061" t="s">
        <v>124</v>
      </c>
      <c r="BE7" s="6061"/>
      <c r="BF7" s="6061"/>
    </row>
    <row r="8" spans="1:67" ht="78" customHeight="1">
      <c r="A8" s="6060"/>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c r="W8" s="6064"/>
      <c r="X8" s="6064"/>
      <c r="Y8" s="6064"/>
      <c r="Z8" s="1538" t="s">
        <v>54</v>
      </c>
      <c r="AA8" s="1538" t="s">
        <v>55</v>
      </c>
      <c r="AB8" s="130" t="s">
        <v>56</v>
      </c>
      <c r="AC8" s="6064"/>
      <c r="AD8" s="6064"/>
      <c r="AE8" s="6064"/>
      <c r="AF8" s="1538" t="s">
        <v>54</v>
      </c>
      <c r="AG8" s="1538" t="s">
        <v>55</v>
      </c>
      <c r="AH8" s="130" t="s">
        <v>56</v>
      </c>
      <c r="AI8" s="6064"/>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c r="BA8" s="6064"/>
      <c r="BB8" s="6064"/>
      <c r="BC8" s="6064"/>
      <c r="BD8" s="1538" t="s">
        <v>54</v>
      </c>
      <c r="BE8" s="1538" t="s">
        <v>55</v>
      </c>
      <c r="BF8" s="130" t="s">
        <v>56</v>
      </c>
    </row>
    <row r="9" spans="1:67">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row>
    <row r="10" spans="1:67"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O10" si="6">SUM(AE11+AE51)</f>
        <v>1119919.9724297295</v>
      </c>
      <c r="AF10" s="1663">
        <f t="shared" si="6"/>
        <v>8897080.397570271</v>
      </c>
      <c r="AG10" s="1663">
        <f t="shared" si="6"/>
        <v>5017124.0406034756</v>
      </c>
      <c r="AH10" s="1663">
        <f t="shared" si="6"/>
        <v>3879956.3569667954</v>
      </c>
      <c r="AI10" s="1663">
        <f t="shared" si="6"/>
        <v>29500000.300000001</v>
      </c>
      <c r="AJ10" s="1669">
        <f>+((Q10/J10)*(W10/Q10)*(AC10/W10))/(1^3)-1</f>
        <v>9.9071902052850769E-2</v>
      </c>
      <c r="AK10" s="1663">
        <f t="shared" ref="AK10:AN10" si="7">SUM(AK11+AK51)</f>
        <v>3286999.6699928679</v>
      </c>
      <c r="AL10" s="1663">
        <f t="shared" si="7"/>
        <v>26213000.630007133</v>
      </c>
      <c r="AM10" s="1663">
        <f t="shared" si="7"/>
        <v>14773547.956163257</v>
      </c>
      <c r="AN10" s="1663">
        <f t="shared" si="7"/>
        <v>11439452.673843874</v>
      </c>
      <c r="AO10" s="1663">
        <f t="shared" si="6"/>
        <v>13026000</v>
      </c>
      <c r="AP10" s="138">
        <f>AO10/AC10*100</f>
        <v>130.03892900924393</v>
      </c>
      <c r="AQ10" s="1663">
        <f t="shared" ref="AQ10:AU10" si="8">SUM(AQ11+AQ51)</f>
        <v>1318251.1026532419</v>
      </c>
      <c r="AR10" s="1663">
        <f t="shared" si="8"/>
        <v>11707748.897346757</v>
      </c>
      <c r="AS10" s="1663">
        <f t="shared" si="8"/>
        <v>6528952.311650224</v>
      </c>
      <c r="AT10" s="1663">
        <f t="shared" si="8"/>
        <v>5178796.5856965333</v>
      </c>
      <c r="AU10" s="1663">
        <f t="shared" si="8"/>
        <v>14105000</v>
      </c>
      <c r="AV10" s="138">
        <f>AU10/AO10*100</f>
        <v>108.28343313373254</v>
      </c>
      <c r="AW10" s="1663">
        <f t="shared" ref="AW10:BA10" si="9">SUM(AW11+AW51)</f>
        <v>1401972.7519240973</v>
      </c>
      <c r="AX10" s="1663">
        <f t="shared" si="9"/>
        <v>12703027.248075902</v>
      </c>
      <c r="AY10" s="1663">
        <f t="shared" si="9"/>
        <v>7099857.0338091608</v>
      </c>
      <c r="AZ10" s="1663">
        <f t="shared" si="9"/>
        <v>5603170.2142667426</v>
      </c>
      <c r="BA10" s="1663">
        <f t="shared" si="9"/>
        <v>15353000</v>
      </c>
      <c r="BB10" s="138">
        <f>BA10/AU10*100</f>
        <v>108.84792626728111</v>
      </c>
      <c r="BC10" s="1663">
        <f t="shared" ref="BC10:BF10" si="10">SUM(BC11+BC51)</f>
        <v>1494562.8082434654</v>
      </c>
      <c r="BD10" s="1663">
        <f t="shared" si="10"/>
        <v>13858437.191756533</v>
      </c>
      <c r="BE10" s="1663">
        <f t="shared" si="10"/>
        <v>7546103.2301168721</v>
      </c>
      <c r="BF10" s="1663">
        <f t="shared" si="10"/>
        <v>6312333.9616396632</v>
      </c>
      <c r="BK10" s="16">
        <f>J10-C10</f>
        <v>200053.73141666688</v>
      </c>
      <c r="BL10" s="16">
        <f>J10-D10</f>
        <v>-560000.4305833336</v>
      </c>
      <c r="BN10" s="1670">
        <f>N10-G10</f>
        <v>-571430.129652353</v>
      </c>
      <c r="BO10" s="1671"/>
    </row>
    <row r="11" spans="1:67" s="4" customFormat="1">
      <c r="A11" s="1712" t="s">
        <v>3</v>
      </c>
      <c r="B11" s="1713" t="s">
        <v>4</v>
      </c>
      <c r="C11" s="173">
        <f>SUM(C13+C19+C25+C30+C36+C37+C38+C39+C40+C41+C42+C43+C44+C45+C46+C47+C49+C50)</f>
        <v>8757000</v>
      </c>
      <c r="D11" s="173">
        <f t="shared" ref="D11" si="11">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2">SUM(O13+O19+O25+O30+O36+O37+O38+O39+O40+O41+O42+O43+O44+O45+O46+O47+O49+O50)</f>
        <v>4903753.5607353877</v>
      </c>
      <c r="P11" s="1673">
        <f t="shared" si="12"/>
        <v>3417800.4716122607</v>
      </c>
      <c r="Q11" s="173">
        <f>SUM(Q13+Q19+Q25+Q30+Q36+Q37+Q38+Q39+Q40+Q41+Q42+Q43+Q44+Q45+Q46+Q47+Q49+Q50)</f>
        <v>9383000</v>
      </c>
      <c r="R11" s="1674">
        <f t="shared" ref="R11:R13" si="13">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28638000</v>
      </c>
      <c r="AJ11" s="1675">
        <f>+((Q11/J11)*(W11/Q11)*(AC11/W11))/(1^3)-1</f>
        <v>9.72374713602977E-2</v>
      </c>
      <c r="AK11" s="173">
        <f>SUM(AK13+AK19+AK25+AK30+AK36+AK37+AK38+AK39+AK40+AK41+AK42+AK43+AK44+AK45+AK46+AK47+AK49+AK50)</f>
        <v>2424999.369992868</v>
      </c>
      <c r="AL11" s="173">
        <f>SUM(AL13+AL19+AL25+AL30+AL36+AL37+AL38+AL39+AL40+AL41+AL42+AL43+AL44+AL45+AL46+AL47+AL49+AL50)</f>
        <v>26213000.630007133</v>
      </c>
      <c r="AM11" s="173">
        <f>SUM(AM13+AM19+AM25+AM30+AM36+AM37+AM38+AM39+AM40+AM41+AM42+AM43+AM44+AM45+AM46+AM47+AM49+AM50)</f>
        <v>14773547.956163257</v>
      </c>
      <c r="AN11" s="173">
        <f>SUM(AN13+AN19+AN25+AN30+AN36+AN37+AN38+AN39+AN40+AN41+AN42+AN43+AN44+AN45+AN46+AN47+AN49+AN50)</f>
        <v>11439452.673843874</v>
      </c>
      <c r="AO11" s="173">
        <f>SUM(AO13+AO19+AO25+AO30+AO36+AO37+AO38+AO39+AO40+AO41+AO42+AO43+AO44+AO45+AO46+AO47+AO49+AO50)</f>
        <v>12710000</v>
      </c>
      <c r="AP11" s="142">
        <f>AO11/AC11*100</f>
        <v>130.82861554297477</v>
      </c>
      <c r="AQ11" s="173">
        <f>SUM(AQ13+AQ19+AQ25+AQ30+AQ36+AQ37+AQ38+AQ39+AQ40+AQ41+AQ42+AQ43+AQ44+AQ45+AQ46+AQ47+AQ49+AQ50)</f>
        <v>1002251.1026532419</v>
      </c>
      <c r="AR11" s="173">
        <f>SUM(AR13+AR19+AR25+AR30+AR36+AR37+AR38+AR39+AR40+AR41+AR42+AR43+AR44+AR45+AR46+AR47+AR49+AR50)</f>
        <v>11707748.897346757</v>
      </c>
      <c r="AS11" s="173">
        <f>SUM(AS13+AS19+AS25+AS30+AS36+AS37+AS38+AS39+AS40+AS41+AS42+AS43+AS44+AS45+AS46+AS47+AS49+AS50)</f>
        <v>6528952.311650224</v>
      </c>
      <c r="AT11" s="173">
        <f>SUM(AT13+AT19+AT25+AT30+AT36+AT37+AT38+AT39+AT40+AT41+AT42+AT43+AT44+AT45+AT46+AT47+AT49+AT50)</f>
        <v>5178796.5856965333</v>
      </c>
      <c r="AU11" s="173">
        <f>SUM(AU13+AU19+AU25+AU30+AU36+AU37+AU38+AU39+AU40+AU41+AU42+AU43+AU44+AU45+AU46+AU47+AU49+AU50)</f>
        <v>13770000</v>
      </c>
      <c r="AV11" s="142">
        <f>AU11/AO11*100</f>
        <v>108.33988985051141</v>
      </c>
      <c r="AW11" s="173">
        <f>SUM(AW13+AW19+AW25+AW30+AW36+AW37+AW38+AW39+AW40+AW41+AW42+AW43+AW44+AW45+AW46+AW47+AW49+AW50)</f>
        <v>1066972.7519240973</v>
      </c>
      <c r="AX11" s="173">
        <f>SUM(AX13+AX19+AX25+AX30+AX36+AX37+AX38+AX39+AX40+AX41+AX42+AX43+AX44+AX45+AX46+AX47+AX49+AX50)</f>
        <v>12703027.248075902</v>
      </c>
      <c r="AY11" s="173">
        <f>SUM(AY13+AY19+AY25+AY30+AY36+AY37+AY38+AY39+AY40+AY41+AY42+AY43+AY44+AY45+AY46+AY47+AY49+AY50)</f>
        <v>7099857.0338091608</v>
      </c>
      <c r="AZ11" s="173">
        <f>SUM(AZ13+AZ19+AZ25+AZ30+AZ36+AZ37+AZ38+AZ39+AZ40+AZ41+AZ42+AZ43+AZ44+AZ45+AZ46+AZ47+AZ49+AZ50)</f>
        <v>5603170.2142667426</v>
      </c>
      <c r="BA11" s="173">
        <f>SUM(BA13+BA19+BA25+BA30+BA36+BA37+BA38+BA39+BA40+BA41+BA42+BA43+BA44+BA45+BA46+BA47+BA49+BA50)</f>
        <v>15000000</v>
      </c>
      <c r="BB11" s="142">
        <f>BA11/AU11*100</f>
        <v>108.93246187363835</v>
      </c>
      <c r="BC11" s="173">
        <f>SUM(BC13+BC19+BC25+BC30+BC36+BC37+BC38+BC39+BC40+BC41+BC42+BC43+BC44+BC45+BC46+BC47+BC49+BC50)</f>
        <v>1141562.8082434654</v>
      </c>
      <c r="BD11" s="173">
        <f>SUM(BD13+BD19+BD25+BD30+BD36+BD37+BD38+BD39+BD40+BD41+BD42+BD43+BD44+BD45+BD46+BD47+BD49+BD50)</f>
        <v>13858437.191756533</v>
      </c>
      <c r="BE11" s="173">
        <f>SUM(BE13+BE19+BE25+BE30+BE36+BE37+BE38+BE39+BE40+BE41+BE42+BE43+BE44+BE45+BE46+BE47+BE49+BE50)</f>
        <v>7546103.2301168721</v>
      </c>
      <c r="BF11" s="173">
        <f>SUM(BF13+BF19+BF25+BF30+BF36+BF37+BF38+BF39+BF40+BF41+BF42+BF43+BF44+BF45+BF46+BF47+BF49+BF50)</f>
        <v>6312333.9616396632</v>
      </c>
      <c r="BK11" s="16">
        <f t="shared" ref="BK11:BK51" si="14">J11-C11</f>
        <v>97054.162000000477</v>
      </c>
      <c r="BL11" s="16">
        <f t="shared" ref="BL11:BL51" si="15">J11-D11</f>
        <v>-620000</v>
      </c>
      <c r="BN11" s="1670">
        <f t="shared" ref="BN11:BN51" si="16">N11-G11</f>
        <v>-571430.129652353</v>
      </c>
      <c r="BO11" s="1671"/>
    </row>
    <row r="12" spans="1:67"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17530000</v>
      </c>
      <c r="AJ12" s="1675">
        <f>+((Q12/J12)*(W12/Q12)*(AC12/W12))/(1^3)-1</f>
        <v>0.2962252079334613</v>
      </c>
      <c r="AK12" s="1678">
        <f>AK11-AK42-AK50-AK47</f>
        <v>2424999.369992868</v>
      </c>
      <c r="AL12" s="1678">
        <f>AL11-AL42-AL50-AL47</f>
        <v>15105000.630007133</v>
      </c>
      <c r="AM12" s="1678">
        <f>AM11-AM42-AM50-AM47</f>
        <v>7175547.9561632574</v>
      </c>
      <c r="AN12" s="1678">
        <f>AN11-AN42-AN50-AN47</f>
        <v>7929452.6738438737</v>
      </c>
      <c r="AO12" s="1678">
        <f>AO11-AO42-AO50-AO47</f>
        <v>7990000</v>
      </c>
      <c r="AP12" s="142">
        <f>AO12/AC12*100</f>
        <v>131.45771635406385</v>
      </c>
      <c r="AQ12" s="1678">
        <f>AQ11-AQ42-AQ50-AQ47</f>
        <v>1002251.1026532419</v>
      </c>
      <c r="AR12" s="1678">
        <f>AR11-AR42-AR50-AR47</f>
        <v>6987748.8973467574</v>
      </c>
      <c r="AS12" s="1678">
        <f>AS11-AS42-AS50-AS47</f>
        <v>3068952.311650224</v>
      </c>
      <c r="AT12" s="1678">
        <f>AT11-AT42-AT50-AT47</f>
        <v>3918796.5856965333</v>
      </c>
      <c r="AU12" s="1678">
        <f>AU11-AU42-AU50-AU47</f>
        <v>8790000</v>
      </c>
      <c r="AV12" s="142">
        <f>AU12/AO12*100</f>
        <v>110.01251564455569</v>
      </c>
      <c r="AW12" s="1678">
        <f>AW11-AW42-AW50-AW47</f>
        <v>1066972.7519240973</v>
      </c>
      <c r="AX12" s="1678">
        <f>AX11-AX42-AX50-AX47</f>
        <v>7723027.2480759025</v>
      </c>
      <c r="AY12" s="1678">
        <f>AY11-AY42-AY50-AY47</f>
        <v>3469857.0338091608</v>
      </c>
      <c r="AZ12" s="1678">
        <f>AZ11-AZ42-AZ50-AZ47</f>
        <v>4253170.2142667426</v>
      </c>
      <c r="BA12" s="1678">
        <f>BA11-BA42-BA50-BA47</f>
        <v>9740000</v>
      </c>
      <c r="BB12" s="142">
        <f>BA12/AU12*100</f>
        <v>110.80773606370875</v>
      </c>
      <c r="BC12" s="1678">
        <f>BC11-BC42-BC50-BC47</f>
        <v>1141562.8082434654</v>
      </c>
      <c r="BD12" s="1678">
        <f>BD11-BD42-BD50-BD47</f>
        <v>8598437.1917565335</v>
      </c>
      <c r="BE12" s="1678">
        <f>BE11-BE42-BE50-BE47</f>
        <v>3771103.2301168721</v>
      </c>
      <c r="BF12" s="1678">
        <f>BF11-BF42-BF50-BF47</f>
        <v>4827333.9616396632</v>
      </c>
      <c r="BK12" s="16">
        <f t="shared" si="14"/>
        <v>-411000</v>
      </c>
      <c r="BL12" s="16">
        <f t="shared" si="15"/>
        <v>-620000</v>
      </c>
      <c r="BN12" s="1670">
        <f t="shared" si="16"/>
        <v>-571430.12965235254</v>
      </c>
      <c r="BO12" s="1671"/>
    </row>
    <row r="13" spans="1:67">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7">SUM(O14:O18)</f>
        <v>230000</v>
      </c>
      <c r="P13" s="150">
        <f t="shared" si="17"/>
        <v>0</v>
      </c>
      <c r="Q13" s="147">
        <f>SUM(Q14:Q18)</f>
        <v>255000</v>
      </c>
      <c r="R13" s="1674">
        <f t="shared" si="13"/>
        <v>110.86956521739131</v>
      </c>
      <c r="S13" s="147">
        <f>SUM(S14:S18)</f>
        <v>0</v>
      </c>
      <c r="T13" s="150">
        <f t="shared" ref="T13:V13" si="18">SUM(T14:T18)</f>
        <v>255000</v>
      </c>
      <c r="U13" s="150">
        <f t="shared" si="18"/>
        <v>255000</v>
      </c>
      <c r="V13" s="150">
        <f t="shared" si="18"/>
        <v>0</v>
      </c>
      <c r="W13" s="147">
        <f>SUM(W14:W18)</f>
        <v>265000</v>
      </c>
      <c r="X13" s="141">
        <f>W13/Q13*100</f>
        <v>103.92156862745099</v>
      </c>
      <c r="Y13" s="147">
        <f>SUM(Y14:Y18)</f>
        <v>0</v>
      </c>
      <c r="Z13" s="147">
        <f t="shared" ref="Z13:AB13" si="19">SUM(Z14:Z18)</f>
        <v>265000</v>
      </c>
      <c r="AA13" s="147">
        <f t="shared" si="19"/>
        <v>265000</v>
      </c>
      <c r="AB13" s="147">
        <f t="shared" si="19"/>
        <v>0</v>
      </c>
      <c r="AC13" s="147">
        <f>SUM(AC14:AC18)</f>
        <v>280000</v>
      </c>
      <c r="AD13" s="142">
        <f>AC13/W13*100</f>
        <v>105.66037735849056</v>
      </c>
      <c r="AE13" s="147">
        <f>SUM(AE14:AE18)</f>
        <v>0</v>
      </c>
      <c r="AF13" s="147">
        <f t="shared" ref="AF13:AH13" si="20">SUM(AF14:AF18)</f>
        <v>280000</v>
      </c>
      <c r="AG13" s="147">
        <f t="shared" si="20"/>
        <v>280000</v>
      </c>
      <c r="AH13" s="147">
        <f t="shared" si="20"/>
        <v>0</v>
      </c>
      <c r="AI13" s="147">
        <f>SUM(AI14:AI18)</f>
        <v>800000</v>
      </c>
      <c r="AJ13" s="1675">
        <f>+((Q13/J13)*(W13/Q13)*(AC13/W13))/(1^3)-1</f>
        <v>0.21739130434782639</v>
      </c>
      <c r="AK13" s="147">
        <f>SUM(AK14:AK18)</f>
        <v>0</v>
      </c>
      <c r="AL13" s="147">
        <f t="shared" ref="AL13:AN13" si="21">SUM(AL14:AL18)</f>
        <v>800000</v>
      </c>
      <c r="AM13" s="147">
        <f t="shared" si="21"/>
        <v>800000</v>
      </c>
      <c r="AN13" s="147">
        <f t="shared" si="21"/>
        <v>0</v>
      </c>
      <c r="AO13" s="147">
        <f>SUM(AO14:AO18)</f>
        <v>410000</v>
      </c>
      <c r="AP13" s="142">
        <f>AO13/AC13*100</f>
        <v>146.42857142857142</v>
      </c>
      <c r="AQ13" s="147">
        <f>SUM(AQ14:AQ18)</f>
        <v>0</v>
      </c>
      <c r="AR13" s="147">
        <f t="shared" ref="AR13:AT13" si="22">SUM(AR14:AR18)</f>
        <v>410000</v>
      </c>
      <c r="AS13" s="147">
        <f t="shared" si="22"/>
        <v>410000</v>
      </c>
      <c r="AT13" s="147">
        <f t="shared" si="22"/>
        <v>0</v>
      </c>
      <c r="AU13" s="147">
        <f>SUM(AU14:AU18)</f>
        <v>455000</v>
      </c>
      <c r="AV13" s="142">
        <f>AU13/AO13*100</f>
        <v>110.97560975609757</v>
      </c>
      <c r="AW13" s="147">
        <f>SUM(AW14:AW18)</f>
        <v>0</v>
      </c>
      <c r="AX13" s="147">
        <f t="shared" ref="AX13:AZ13" si="23">SUM(AX14:AX18)</f>
        <v>455000</v>
      </c>
      <c r="AY13" s="147">
        <f t="shared" si="23"/>
        <v>455000</v>
      </c>
      <c r="AZ13" s="147">
        <f t="shared" si="23"/>
        <v>0</v>
      </c>
      <c r="BA13" s="147">
        <f>SUM(BA14:BA18)</f>
        <v>510000</v>
      </c>
      <c r="BB13" s="142">
        <f>BA13/AU13*100</f>
        <v>112.08791208791209</v>
      </c>
      <c r="BC13" s="147">
        <f>SUM(BC14:BC18)</f>
        <v>0</v>
      </c>
      <c r="BD13" s="147">
        <f t="shared" ref="BD13:BF13" si="24">SUM(BD14:BD18)</f>
        <v>510000</v>
      </c>
      <c r="BE13" s="147">
        <f t="shared" si="24"/>
        <v>510000</v>
      </c>
      <c r="BF13" s="147">
        <f t="shared" si="24"/>
        <v>0</v>
      </c>
      <c r="BK13" s="6">
        <f t="shared" si="14"/>
        <v>0</v>
      </c>
      <c r="BL13" s="6">
        <f t="shared" si="15"/>
        <v>0</v>
      </c>
      <c r="BN13" s="1670">
        <f>N13-G13</f>
        <v>0</v>
      </c>
      <c r="BO13" s="4"/>
    </row>
    <row r="14" spans="1:67"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f>+AC14+W14+Q14</f>
        <v>575000</v>
      </c>
      <c r="AJ14" s="157"/>
      <c r="AK14" s="157">
        <f>+AE14+Y14+S14</f>
        <v>0</v>
      </c>
      <c r="AL14" s="157">
        <f>SUM(AM14:AN14)</f>
        <v>575000</v>
      </c>
      <c r="AM14" s="157">
        <f>+AG14+AA14+U14</f>
        <v>575000</v>
      </c>
      <c r="AN14" s="157">
        <f>+AH14+AB14+V14</f>
        <v>0</v>
      </c>
      <c r="AO14" s="157">
        <v>315000</v>
      </c>
      <c r="AP14" s="157"/>
      <c r="AQ14" s="157"/>
      <c r="AR14" s="157">
        <f>SUM(AS14:AT14)</f>
        <v>315000</v>
      </c>
      <c r="AS14" s="157">
        <f>AO14-AQ14-AT14</f>
        <v>315000</v>
      </c>
      <c r="AT14" s="157"/>
      <c r="AU14" s="157">
        <v>351000</v>
      </c>
      <c r="AV14" s="157"/>
      <c r="AW14" s="157"/>
      <c r="AX14" s="157">
        <f>SUM(AY14:AZ14)</f>
        <v>351000</v>
      </c>
      <c r="AY14" s="157">
        <f>AU14-AW14-AZ14</f>
        <v>351000</v>
      </c>
      <c r="AZ14" s="157"/>
      <c r="BA14" s="157">
        <v>396000</v>
      </c>
      <c r="BB14" s="157"/>
      <c r="BC14" s="157"/>
      <c r="BD14" s="157">
        <f>SUM(BE14:BF14)</f>
        <v>396000</v>
      </c>
      <c r="BE14" s="157">
        <f>BA14-BC14-BF14</f>
        <v>396000</v>
      </c>
      <c r="BF14" s="157"/>
      <c r="BK14" s="6">
        <f t="shared" si="14"/>
        <v>-4500</v>
      </c>
      <c r="BL14" s="6">
        <f t="shared" si="15"/>
        <v>-4500</v>
      </c>
      <c r="BN14" s="1670">
        <f t="shared" si="16"/>
        <v>-4500</v>
      </c>
      <c r="BO14" s="4"/>
    </row>
    <row r="15" spans="1:67" hidden="1">
      <c r="A15" s="164"/>
      <c r="B15" s="1716" t="s">
        <v>8</v>
      </c>
      <c r="C15" s="152">
        <v>20000</v>
      </c>
      <c r="D15" s="152">
        <v>20000</v>
      </c>
      <c r="E15" s="153"/>
      <c r="F15" s="154"/>
      <c r="G15" s="154">
        <f t="shared" ref="G15:G18" si="25">SUM(H15:I15)</f>
        <v>20000</v>
      </c>
      <c r="H15" s="154">
        <f t="shared" ref="H15:H44" si="26">D15-F15-I15</f>
        <v>20000</v>
      </c>
      <c r="I15" s="154"/>
      <c r="J15" s="1679">
        <v>20000</v>
      </c>
      <c r="K15" s="155"/>
      <c r="L15" s="155"/>
      <c r="M15" s="1680"/>
      <c r="N15" s="1680">
        <f t="shared" ref="N15:N18" si="27">SUM(O15:P15)</f>
        <v>20000</v>
      </c>
      <c r="O15" s="1680">
        <f t="shared" ref="O15:O24" si="28">J15-M15-P15</f>
        <v>20000</v>
      </c>
      <c r="P15" s="1680"/>
      <c r="Q15" s="157">
        <v>23000</v>
      </c>
      <c r="R15" s="199"/>
      <c r="S15" s="199"/>
      <c r="T15" s="1681">
        <f t="shared" ref="T15:T17" si="29">SUM(U15:V15)</f>
        <v>23000</v>
      </c>
      <c r="U15" s="1681">
        <f t="shared" ref="U15:U18" si="30">Q15-S15-V15</f>
        <v>23000</v>
      </c>
      <c r="V15" s="1681"/>
      <c r="W15" s="157">
        <v>24700</v>
      </c>
      <c r="X15" s="155"/>
      <c r="Y15" s="157"/>
      <c r="Z15" s="157">
        <f t="shared" ref="Z15:Z17" si="31">SUM(AA15:AB15)</f>
        <v>24700</v>
      </c>
      <c r="AA15" s="157">
        <f t="shared" ref="AA15:AA18" si="32">W15-Y15-AB15</f>
        <v>24700</v>
      </c>
      <c r="AB15" s="157"/>
      <c r="AC15" s="157">
        <v>26000</v>
      </c>
      <c r="AD15" s="157"/>
      <c r="AE15" s="157"/>
      <c r="AF15" s="157">
        <f t="shared" ref="AF15:AF17" si="33">SUM(AG15:AH15)</f>
        <v>26000</v>
      </c>
      <c r="AG15" s="157">
        <f t="shared" ref="AG15:AG18" si="34">AC15-AE15-AH15</f>
        <v>26000</v>
      </c>
      <c r="AH15" s="157"/>
      <c r="AI15" s="157">
        <f t="shared" ref="AI15:AI57" si="35">+AC15+W15+Q15</f>
        <v>73700</v>
      </c>
      <c r="AJ15" s="157"/>
      <c r="AK15" s="157">
        <f t="shared" ref="AK15:AK54" si="36">+AE15+Y15+S15</f>
        <v>0</v>
      </c>
      <c r="AL15" s="157">
        <f t="shared" ref="AL15:AL18" si="37">SUM(AM15:AN15)</f>
        <v>73700</v>
      </c>
      <c r="AM15" s="157">
        <f t="shared" ref="AM15:AM18" si="38">+AG15+AA15+U15</f>
        <v>73700</v>
      </c>
      <c r="AN15" s="157">
        <f t="shared" ref="AN15:AN18" si="39">+AH15+AB15+V15</f>
        <v>0</v>
      </c>
      <c r="AO15" s="157">
        <v>27000</v>
      </c>
      <c r="AP15" s="157"/>
      <c r="AQ15" s="157"/>
      <c r="AR15" s="157">
        <f t="shared" ref="AR15:AR16" si="40">SUM(AS15:AT15)</f>
        <v>27000</v>
      </c>
      <c r="AS15" s="157">
        <f t="shared" ref="AS15:AS18" si="41">AO15-AQ15-AT15</f>
        <v>27000</v>
      </c>
      <c r="AT15" s="157"/>
      <c r="AU15" s="157">
        <v>29000</v>
      </c>
      <c r="AV15" s="157"/>
      <c r="AW15" s="157"/>
      <c r="AX15" s="157">
        <f t="shared" ref="AX15:AX16" si="42">SUM(AY15:AZ15)</f>
        <v>29000</v>
      </c>
      <c r="AY15" s="157">
        <f t="shared" ref="AY15:AY18" si="43">AU15-AW15-AZ15</f>
        <v>29000</v>
      </c>
      <c r="AZ15" s="157"/>
      <c r="BA15" s="157">
        <v>30000</v>
      </c>
      <c r="BB15" s="157"/>
      <c r="BC15" s="157"/>
      <c r="BD15" s="157">
        <f t="shared" ref="BD15:BD16" si="44">SUM(BE15:BF15)</f>
        <v>30000</v>
      </c>
      <c r="BE15" s="157">
        <f t="shared" ref="BE15:BE18" si="45">BA15-BC15-BF15</f>
        <v>30000</v>
      </c>
      <c r="BF15" s="157"/>
      <c r="BK15" s="6">
        <f t="shared" si="14"/>
        <v>0</v>
      </c>
      <c r="BL15" s="6">
        <f t="shared" si="15"/>
        <v>0</v>
      </c>
      <c r="BN15" s="1670">
        <f t="shared" si="16"/>
        <v>0</v>
      </c>
      <c r="BO15" s="4"/>
    </row>
    <row r="16" spans="1:67" hidden="1">
      <c r="A16" s="164"/>
      <c r="B16" s="1716" t="s">
        <v>9</v>
      </c>
      <c r="C16" s="152">
        <f>40000</f>
        <v>40000</v>
      </c>
      <c r="D16" s="152">
        <f>C16</f>
        <v>40000</v>
      </c>
      <c r="E16" s="153"/>
      <c r="F16" s="154"/>
      <c r="G16" s="154">
        <f t="shared" si="25"/>
        <v>40000</v>
      </c>
      <c r="H16" s="154">
        <f t="shared" si="26"/>
        <v>40000</v>
      </c>
      <c r="I16" s="154"/>
      <c r="J16" s="1679">
        <v>40000</v>
      </c>
      <c r="K16" s="155"/>
      <c r="L16" s="155"/>
      <c r="M16" s="1680"/>
      <c r="N16" s="1680">
        <f t="shared" si="27"/>
        <v>40000</v>
      </c>
      <c r="O16" s="1680">
        <f t="shared" si="28"/>
        <v>40000</v>
      </c>
      <c r="P16" s="1680"/>
      <c r="Q16" s="157">
        <v>42000</v>
      </c>
      <c r="R16" s="199"/>
      <c r="S16" s="199"/>
      <c r="T16" s="1681">
        <f t="shared" si="29"/>
        <v>42000</v>
      </c>
      <c r="U16" s="1681">
        <f t="shared" si="30"/>
        <v>42000</v>
      </c>
      <c r="V16" s="1681"/>
      <c r="W16" s="157">
        <v>45000</v>
      </c>
      <c r="X16" s="155"/>
      <c r="Y16" s="157"/>
      <c r="Z16" s="157">
        <f t="shared" si="31"/>
        <v>45000</v>
      </c>
      <c r="AA16" s="157">
        <f t="shared" si="32"/>
        <v>45000</v>
      </c>
      <c r="AB16" s="157"/>
      <c r="AC16" s="157">
        <v>48000</v>
      </c>
      <c r="AD16" s="157"/>
      <c r="AE16" s="157"/>
      <c r="AF16" s="157">
        <f t="shared" si="33"/>
        <v>48000</v>
      </c>
      <c r="AG16" s="157">
        <f t="shared" si="34"/>
        <v>48000</v>
      </c>
      <c r="AH16" s="157"/>
      <c r="AI16" s="157">
        <f t="shared" si="35"/>
        <v>135000</v>
      </c>
      <c r="AJ16" s="157"/>
      <c r="AK16" s="157">
        <f t="shared" si="36"/>
        <v>0</v>
      </c>
      <c r="AL16" s="157">
        <f t="shared" si="37"/>
        <v>135000</v>
      </c>
      <c r="AM16" s="157">
        <f t="shared" si="38"/>
        <v>135000</v>
      </c>
      <c r="AN16" s="157">
        <f t="shared" si="39"/>
        <v>0</v>
      </c>
      <c r="AO16" s="157">
        <v>68000</v>
      </c>
      <c r="AP16" s="157"/>
      <c r="AQ16" s="157"/>
      <c r="AR16" s="157">
        <f t="shared" si="40"/>
        <v>68000</v>
      </c>
      <c r="AS16" s="157">
        <f t="shared" si="41"/>
        <v>68000</v>
      </c>
      <c r="AT16" s="157"/>
      <c r="AU16" s="157">
        <v>75000</v>
      </c>
      <c r="AV16" s="157"/>
      <c r="AW16" s="157"/>
      <c r="AX16" s="157">
        <f t="shared" si="42"/>
        <v>75000</v>
      </c>
      <c r="AY16" s="157">
        <f t="shared" si="43"/>
        <v>75000</v>
      </c>
      <c r="AZ16" s="157"/>
      <c r="BA16" s="157">
        <v>84000</v>
      </c>
      <c r="BB16" s="157"/>
      <c r="BC16" s="157"/>
      <c r="BD16" s="157">
        <f t="shared" si="44"/>
        <v>84000</v>
      </c>
      <c r="BE16" s="157">
        <f t="shared" si="45"/>
        <v>84000</v>
      </c>
      <c r="BF16" s="157"/>
      <c r="BK16" s="6">
        <f t="shared" si="14"/>
        <v>0</v>
      </c>
      <c r="BL16" s="6">
        <f t="shared" si="15"/>
        <v>0</v>
      </c>
      <c r="BN16" s="1670">
        <f t="shared" si="16"/>
        <v>0</v>
      </c>
      <c r="BO16" s="4"/>
    </row>
    <row r="17" spans="1:67" hidden="1">
      <c r="A17" s="164"/>
      <c r="B17" s="1716" t="s">
        <v>10</v>
      </c>
      <c r="C17" s="152">
        <v>0</v>
      </c>
      <c r="D17" s="152"/>
      <c r="E17" s="153"/>
      <c r="F17" s="154"/>
      <c r="G17" s="154">
        <f t="shared" si="25"/>
        <v>0</v>
      </c>
      <c r="H17" s="154">
        <f t="shared" si="26"/>
        <v>0</v>
      </c>
      <c r="I17" s="154"/>
      <c r="J17" s="1679">
        <v>4500</v>
      </c>
      <c r="K17" s="155"/>
      <c r="L17" s="155"/>
      <c r="M17" s="1680"/>
      <c r="N17" s="1680">
        <f t="shared" si="27"/>
        <v>4500</v>
      </c>
      <c r="O17" s="1680">
        <f t="shared" si="28"/>
        <v>4500</v>
      </c>
      <c r="P17" s="1680"/>
      <c r="Q17" s="157">
        <v>5000</v>
      </c>
      <c r="R17" s="199"/>
      <c r="S17" s="199"/>
      <c r="T17" s="1681">
        <f t="shared" si="29"/>
        <v>5000</v>
      </c>
      <c r="U17" s="1681">
        <f t="shared" si="30"/>
        <v>5000</v>
      </c>
      <c r="V17" s="1681"/>
      <c r="W17" s="157">
        <v>5300</v>
      </c>
      <c r="X17" s="155"/>
      <c r="Y17" s="157"/>
      <c r="Z17" s="157">
        <f t="shared" si="31"/>
        <v>5300</v>
      </c>
      <c r="AA17" s="157">
        <f t="shared" si="32"/>
        <v>5300</v>
      </c>
      <c r="AB17" s="157"/>
      <c r="AC17" s="157">
        <v>6000</v>
      </c>
      <c r="AD17" s="157"/>
      <c r="AE17" s="157"/>
      <c r="AF17" s="157">
        <f t="shared" si="33"/>
        <v>6000</v>
      </c>
      <c r="AG17" s="157">
        <f t="shared" si="34"/>
        <v>6000</v>
      </c>
      <c r="AH17" s="157"/>
      <c r="AI17" s="157">
        <f t="shared" si="35"/>
        <v>16300</v>
      </c>
      <c r="AJ17" s="157"/>
      <c r="AK17" s="157">
        <f t="shared" si="36"/>
        <v>0</v>
      </c>
      <c r="AL17" s="157">
        <f t="shared" si="37"/>
        <v>16300</v>
      </c>
      <c r="AM17" s="157">
        <f t="shared" si="38"/>
        <v>16300</v>
      </c>
      <c r="AN17" s="157">
        <f t="shared" si="39"/>
        <v>0</v>
      </c>
      <c r="AO17" s="157"/>
      <c r="AP17" s="157"/>
      <c r="AQ17" s="157"/>
      <c r="AR17" s="157"/>
      <c r="AS17" s="157">
        <f t="shared" si="41"/>
        <v>0</v>
      </c>
      <c r="AT17" s="157"/>
      <c r="AU17" s="157"/>
      <c r="AV17" s="157"/>
      <c r="AW17" s="157"/>
      <c r="AX17" s="157"/>
      <c r="AY17" s="157">
        <f t="shared" si="43"/>
        <v>0</v>
      </c>
      <c r="AZ17" s="157"/>
      <c r="BA17" s="157"/>
      <c r="BB17" s="157"/>
      <c r="BC17" s="157"/>
      <c r="BD17" s="157"/>
      <c r="BE17" s="157">
        <f t="shared" si="45"/>
        <v>0</v>
      </c>
      <c r="BF17" s="157"/>
      <c r="BK17" s="6">
        <f t="shared" si="14"/>
        <v>4500</v>
      </c>
      <c r="BL17" s="6">
        <f t="shared" si="15"/>
        <v>4500</v>
      </c>
      <c r="BN17" s="1670">
        <f t="shared" si="16"/>
        <v>4500</v>
      </c>
      <c r="BO17" s="4"/>
    </row>
    <row r="18" spans="1:67" hidden="1">
      <c r="A18" s="164"/>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1681"/>
      <c r="W18" s="157"/>
      <c r="X18" s="155"/>
      <c r="Y18" s="157"/>
      <c r="Z18" s="157"/>
      <c r="AA18" s="157">
        <f t="shared" si="32"/>
        <v>0</v>
      </c>
      <c r="AB18" s="157"/>
      <c r="AC18" s="157"/>
      <c r="AD18" s="157"/>
      <c r="AE18" s="157"/>
      <c r="AF18" s="157"/>
      <c r="AG18" s="157">
        <f t="shared" si="34"/>
        <v>0</v>
      </c>
      <c r="AH18" s="157"/>
      <c r="AI18" s="157">
        <f t="shared" si="35"/>
        <v>0</v>
      </c>
      <c r="AJ18" s="157"/>
      <c r="AK18" s="157">
        <f t="shared" si="36"/>
        <v>0</v>
      </c>
      <c r="AL18" s="157">
        <f t="shared" si="37"/>
        <v>0</v>
      </c>
      <c r="AM18" s="157">
        <f t="shared" si="38"/>
        <v>0</v>
      </c>
      <c r="AN18" s="157">
        <f t="shared" si="39"/>
        <v>0</v>
      </c>
      <c r="AO18" s="157"/>
      <c r="AP18" s="157"/>
      <c r="AQ18" s="157"/>
      <c r="AR18" s="157"/>
      <c r="AS18" s="157">
        <f t="shared" si="41"/>
        <v>0</v>
      </c>
      <c r="AT18" s="157"/>
      <c r="AU18" s="157"/>
      <c r="AV18" s="157"/>
      <c r="AW18" s="157"/>
      <c r="AX18" s="157"/>
      <c r="AY18" s="157">
        <f t="shared" si="43"/>
        <v>0</v>
      </c>
      <c r="AZ18" s="157"/>
      <c r="BA18" s="157"/>
      <c r="BB18" s="157"/>
      <c r="BC18" s="157"/>
      <c r="BD18" s="157"/>
      <c r="BE18" s="157">
        <f t="shared" si="45"/>
        <v>0</v>
      </c>
      <c r="BF18" s="157"/>
      <c r="BK18" s="6">
        <f t="shared" si="14"/>
        <v>0</v>
      </c>
      <c r="BL18" s="6">
        <f t="shared" si="15"/>
        <v>0</v>
      </c>
      <c r="BN18" s="1670">
        <f t="shared" si="16"/>
        <v>0</v>
      </c>
      <c r="BO18" s="4"/>
    </row>
    <row r="19" spans="1:67">
      <c r="A19" s="164">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380000</v>
      </c>
      <c r="K19" s="141">
        <f>J19/C19*100</f>
        <v>126.66666666666666</v>
      </c>
      <c r="L19" s="1672">
        <f>J19/D19*100</f>
        <v>126.66666666666666</v>
      </c>
      <c r="M19" s="150">
        <f>SUM(M20:M24)</f>
        <v>0</v>
      </c>
      <c r="N19" s="150">
        <f>SUM(N20:N24)</f>
        <v>380000</v>
      </c>
      <c r="O19" s="150">
        <f t="shared" ref="O19:P19" si="47">SUM(O20:O24)</f>
        <v>380000</v>
      </c>
      <c r="P19" s="150">
        <f t="shared" si="47"/>
        <v>0</v>
      </c>
      <c r="Q19" s="142">
        <f>SUM(Q20:Q24)</f>
        <v>410000</v>
      </c>
      <c r="R19" s="1674">
        <f t="shared" ref="R19" si="48">Q19/J19*100</f>
        <v>107.89473684210526</v>
      </c>
      <c r="S19" s="1682">
        <f>SUM(S20:S24)</f>
        <v>0</v>
      </c>
      <c r="T19" s="1683">
        <f t="shared" ref="T19:V19" si="49">SUM(T20:T24)</f>
        <v>410000</v>
      </c>
      <c r="U19" s="1683">
        <f t="shared" si="49"/>
        <v>410000</v>
      </c>
      <c r="V19" s="1683">
        <f t="shared" si="49"/>
        <v>0</v>
      </c>
      <c r="W19" s="142">
        <f>SUM(W20:W24)</f>
        <v>425000</v>
      </c>
      <c r="X19" s="141">
        <f>W19/Q19*100</f>
        <v>103.65853658536585</v>
      </c>
      <c r="Y19" s="142">
        <f>SUM(Y20:Y24)</f>
        <v>0</v>
      </c>
      <c r="Z19" s="142">
        <f t="shared" ref="Z19:AB19" si="50">SUM(Z20:Z24)</f>
        <v>425000</v>
      </c>
      <c r="AA19" s="142">
        <f t="shared" si="50"/>
        <v>425000</v>
      </c>
      <c r="AB19" s="142">
        <f t="shared" si="50"/>
        <v>0</v>
      </c>
      <c r="AC19" s="142">
        <f>SUM(AC20:AC24)</f>
        <v>450000</v>
      </c>
      <c r="AD19" s="142">
        <f>AC19/W19*100</f>
        <v>105.88235294117648</v>
      </c>
      <c r="AE19" s="142">
        <f>SUM(AE20:AE24)</f>
        <v>0</v>
      </c>
      <c r="AF19" s="142">
        <f t="shared" ref="AF19:AH19" si="51">SUM(AF20:AF24)</f>
        <v>450000</v>
      </c>
      <c r="AG19" s="142">
        <f t="shared" si="51"/>
        <v>450000</v>
      </c>
      <c r="AH19" s="142">
        <f t="shared" si="51"/>
        <v>0</v>
      </c>
      <c r="AI19" s="142">
        <f>SUM(AI20:AI24)</f>
        <v>1285000</v>
      </c>
      <c r="AJ19" s="1675">
        <f>+((Q19/J19)*(W19/Q19)*(AC19/W19))/(1^3)-1</f>
        <v>0.1842105263157896</v>
      </c>
      <c r="AK19" s="142">
        <f>SUM(AK20:AK24)</f>
        <v>0</v>
      </c>
      <c r="AL19" s="142">
        <f t="shared" ref="AL19:AN19" si="52">SUM(AL20:AL24)</f>
        <v>1285000</v>
      </c>
      <c r="AM19" s="142">
        <f t="shared" si="52"/>
        <v>1285000</v>
      </c>
      <c r="AN19" s="142">
        <f t="shared" si="52"/>
        <v>0</v>
      </c>
      <c r="AO19" s="142">
        <f>SUM(AO20:AO24)</f>
        <v>620000</v>
      </c>
      <c r="AP19" s="142">
        <f>AO19/AC19*100</f>
        <v>137.77777777777777</v>
      </c>
      <c r="AQ19" s="142">
        <f>SUM(AQ20:AQ24)</f>
        <v>0</v>
      </c>
      <c r="AR19" s="142">
        <f t="shared" ref="AR19:AT19" si="53">SUM(AR20:AR24)</f>
        <v>620000</v>
      </c>
      <c r="AS19" s="142">
        <f t="shared" si="53"/>
        <v>620000</v>
      </c>
      <c r="AT19" s="142">
        <f t="shared" si="53"/>
        <v>0</v>
      </c>
      <c r="AU19" s="142">
        <f>SUM(AU20:AU24)</f>
        <v>690000</v>
      </c>
      <c r="AV19" s="142">
        <f>AU19/AO19*100</f>
        <v>111.29032258064515</v>
      </c>
      <c r="AW19" s="142">
        <f>SUM(AW20:AW24)</f>
        <v>0</v>
      </c>
      <c r="AX19" s="142">
        <f t="shared" ref="AX19:AZ19" si="54">SUM(AX20:AX24)</f>
        <v>690000</v>
      </c>
      <c r="AY19" s="142">
        <f t="shared" si="54"/>
        <v>690000</v>
      </c>
      <c r="AZ19" s="142">
        <f t="shared" si="54"/>
        <v>0</v>
      </c>
      <c r="BA19" s="142">
        <f>SUM(BA20:BA24)</f>
        <v>770000</v>
      </c>
      <c r="BB19" s="142">
        <f>BA19/AU19*100</f>
        <v>111.59420289855073</v>
      </c>
      <c r="BC19" s="142">
        <f>SUM(BC20:BC24)</f>
        <v>0</v>
      </c>
      <c r="BD19" s="142">
        <f t="shared" ref="BD19:BF19" si="55">SUM(BD20:BD24)</f>
        <v>770000</v>
      </c>
      <c r="BE19" s="142">
        <f t="shared" si="55"/>
        <v>770000</v>
      </c>
      <c r="BF19" s="142">
        <f t="shared" si="55"/>
        <v>0</v>
      </c>
      <c r="BK19" s="6">
        <f t="shared" si="14"/>
        <v>80000</v>
      </c>
      <c r="BL19" s="6">
        <f t="shared" si="15"/>
        <v>80000</v>
      </c>
      <c r="BN19" s="1670">
        <f t="shared" si="16"/>
        <v>80000</v>
      </c>
      <c r="BO19" s="4"/>
    </row>
    <row r="20" spans="1:67" ht="16.8" hidden="1">
      <c r="A20" s="164"/>
      <c r="B20" s="1716" t="s">
        <v>7</v>
      </c>
      <c r="C20" s="152">
        <f>110000</f>
        <v>110000</v>
      </c>
      <c r="D20" s="152">
        <f>C20</f>
        <v>110000</v>
      </c>
      <c r="E20" s="153"/>
      <c r="F20" s="154"/>
      <c r="G20" s="154">
        <f>SUM(H20:I20)</f>
        <v>110000</v>
      </c>
      <c r="H20" s="154">
        <f t="shared" si="26"/>
        <v>110000</v>
      </c>
      <c r="I20" s="154"/>
      <c r="J20" s="160">
        <f>210000+10000</f>
        <v>220000</v>
      </c>
      <c r="K20" s="155"/>
      <c r="L20" s="155"/>
      <c r="M20" s="1680"/>
      <c r="N20" s="1680">
        <f>SUM(O20:P20)</f>
        <v>220000</v>
      </c>
      <c r="O20" s="1680">
        <f t="shared" si="28"/>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f t="shared" si="35"/>
        <v>745000</v>
      </c>
      <c r="AJ20" s="157"/>
      <c r="AK20" s="157">
        <f t="shared" si="36"/>
        <v>0</v>
      </c>
      <c r="AL20" s="157">
        <f>SUM(AM20:AN20)</f>
        <v>745000</v>
      </c>
      <c r="AM20" s="157">
        <f t="shared" ref="AM20" si="56">+AG20+AA20+U20</f>
        <v>745000</v>
      </c>
      <c r="AN20" s="157">
        <f t="shared" ref="AN20" si="57">+AH20+AB20+V20</f>
        <v>0</v>
      </c>
      <c r="AO20" s="157">
        <v>375000</v>
      </c>
      <c r="AP20" s="157"/>
      <c r="AQ20" s="157"/>
      <c r="AR20" s="157">
        <f>SUM(AS20:AT20)</f>
        <v>375000</v>
      </c>
      <c r="AS20" s="157">
        <f>AO20-AQ20-AT20</f>
        <v>375000</v>
      </c>
      <c r="AT20" s="157"/>
      <c r="AU20" s="157">
        <v>420000</v>
      </c>
      <c r="AV20" s="157"/>
      <c r="AW20" s="157"/>
      <c r="AX20" s="157">
        <f>SUM(AY20:AZ20)</f>
        <v>420000</v>
      </c>
      <c r="AY20" s="157">
        <f>AU20-AW20-AZ20</f>
        <v>420000</v>
      </c>
      <c r="AZ20" s="157"/>
      <c r="BA20" s="157">
        <v>469000</v>
      </c>
      <c r="BB20" s="157"/>
      <c r="BC20" s="157"/>
      <c r="BD20" s="157">
        <f>SUM(BE20:BF20)</f>
        <v>469000</v>
      </c>
      <c r="BE20" s="157">
        <f>BA20-BC20-BF20</f>
        <v>469000</v>
      </c>
      <c r="BF20" s="157"/>
      <c r="BK20" s="6">
        <f t="shared" si="14"/>
        <v>110000</v>
      </c>
      <c r="BL20" s="6">
        <f t="shared" si="15"/>
        <v>110000</v>
      </c>
      <c r="BN20" s="1670">
        <f t="shared" si="16"/>
        <v>110000</v>
      </c>
      <c r="BO20" s="4"/>
    </row>
    <row r="21" spans="1:67" ht="16.8" hidden="1">
      <c r="A21" s="164"/>
      <c r="B21" s="1716" t="s">
        <v>8</v>
      </c>
      <c r="C21" s="152">
        <f>106000</f>
        <v>106000</v>
      </c>
      <c r="D21" s="152">
        <f>C21</f>
        <v>106000</v>
      </c>
      <c r="E21" s="153"/>
      <c r="F21" s="154"/>
      <c r="G21" s="154">
        <f t="shared" ref="G21:G24" si="58">SUM(H21:I21)</f>
        <v>106000</v>
      </c>
      <c r="H21" s="154">
        <f t="shared" si="26"/>
        <v>106000</v>
      </c>
      <c r="I21" s="154"/>
      <c r="J21" s="160">
        <v>80000</v>
      </c>
      <c r="K21" s="155"/>
      <c r="L21" s="155"/>
      <c r="M21" s="1680"/>
      <c r="N21" s="1680">
        <f t="shared" ref="N21:N24" si="59">SUM(O21:P21)</f>
        <v>80000</v>
      </c>
      <c r="O21" s="1680">
        <f t="shared" si="28"/>
        <v>80000</v>
      </c>
      <c r="P21" s="1680"/>
      <c r="Q21" s="1717">
        <v>85000</v>
      </c>
      <c r="R21" s="199"/>
      <c r="S21" s="199"/>
      <c r="T21" s="1681">
        <f t="shared" ref="T21:T24" si="60">SUM(U21:V21)</f>
        <v>85000</v>
      </c>
      <c r="U21" s="1681">
        <f t="shared" ref="U21:U24" si="61">Q21-S21-V21</f>
        <v>85000</v>
      </c>
      <c r="V21" s="1681"/>
      <c r="W21" s="157">
        <v>90000</v>
      </c>
      <c r="X21" s="155"/>
      <c r="Y21" s="157"/>
      <c r="Z21" s="157">
        <f t="shared" ref="Z21:Z24" si="62">SUM(AA21:AB21)</f>
        <v>90000</v>
      </c>
      <c r="AA21" s="157">
        <f t="shared" ref="AA21:AA24" si="63">W21-Y21-AB21</f>
        <v>90000</v>
      </c>
      <c r="AB21" s="157"/>
      <c r="AC21" s="157">
        <v>95000</v>
      </c>
      <c r="AD21" s="157"/>
      <c r="AE21" s="157"/>
      <c r="AF21" s="157">
        <f t="shared" ref="AF21:AF24" si="64">SUM(AG21:AH21)</f>
        <v>95000</v>
      </c>
      <c r="AG21" s="157">
        <f t="shared" ref="AG21:AG24" si="65">AC21-AE21-AH21</f>
        <v>95000</v>
      </c>
      <c r="AH21" s="157"/>
      <c r="AI21" s="157">
        <f t="shared" si="35"/>
        <v>270000</v>
      </c>
      <c r="AJ21" s="157"/>
      <c r="AK21" s="157">
        <f t="shared" si="36"/>
        <v>0</v>
      </c>
      <c r="AL21" s="157">
        <f t="shared" ref="AL21:AL50" si="66">SUM(AM21:AN21)</f>
        <v>270000</v>
      </c>
      <c r="AM21" s="157">
        <f t="shared" ref="AM21:AM24" si="67">+AG21+AA21+U21</f>
        <v>270000</v>
      </c>
      <c r="AN21" s="157">
        <f t="shared" ref="AN21:AN24" si="68">+AH21+AB21+V21</f>
        <v>0</v>
      </c>
      <c r="AO21" s="157">
        <v>135000</v>
      </c>
      <c r="AP21" s="157"/>
      <c r="AQ21" s="157"/>
      <c r="AR21" s="157">
        <f t="shared" ref="AR21:AR24" si="69">SUM(AS21:AT21)</f>
        <v>135000</v>
      </c>
      <c r="AS21" s="157">
        <f t="shared" ref="AS21:AS24" si="70">AO21-AQ21-AT21</f>
        <v>135000</v>
      </c>
      <c r="AT21" s="157"/>
      <c r="AU21" s="157">
        <v>150000</v>
      </c>
      <c r="AV21" s="157"/>
      <c r="AW21" s="157"/>
      <c r="AX21" s="157">
        <f t="shared" ref="AX21:AX24" si="71">SUM(AY21:AZ21)</f>
        <v>150000</v>
      </c>
      <c r="AY21" s="157">
        <f t="shared" ref="AY21:AY24" si="72">AU21-AW21-AZ21</f>
        <v>150000</v>
      </c>
      <c r="AZ21" s="157"/>
      <c r="BA21" s="157">
        <v>166000</v>
      </c>
      <c r="BB21" s="157"/>
      <c r="BC21" s="157"/>
      <c r="BD21" s="157">
        <f t="shared" ref="BD21:BD24" si="73">SUM(BE21:BF21)</f>
        <v>166000</v>
      </c>
      <c r="BE21" s="157">
        <f t="shared" ref="BE21:BE24" si="74">BA21-BC21-BF21</f>
        <v>166000</v>
      </c>
      <c r="BF21" s="157"/>
      <c r="BK21" s="6">
        <f t="shared" si="14"/>
        <v>-26000</v>
      </c>
      <c r="BL21" s="6">
        <f t="shared" si="15"/>
        <v>-26000</v>
      </c>
      <c r="BN21" s="1670">
        <f t="shared" si="16"/>
        <v>-26000</v>
      </c>
      <c r="BO21" s="4"/>
    </row>
    <row r="22" spans="1:67" hidden="1">
      <c r="A22" s="164"/>
      <c r="B22" s="1716" t="s">
        <v>9</v>
      </c>
      <c r="C22" s="152">
        <v>0</v>
      </c>
      <c r="D22" s="152"/>
      <c r="E22" s="153"/>
      <c r="F22" s="154"/>
      <c r="G22" s="154">
        <f t="shared" si="58"/>
        <v>0</v>
      </c>
      <c r="H22" s="154">
        <f t="shared" si="26"/>
        <v>0</v>
      </c>
      <c r="I22" s="154"/>
      <c r="J22" s="160"/>
      <c r="K22" s="155"/>
      <c r="L22" s="155"/>
      <c r="M22" s="1680"/>
      <c r="N22" s="1680">
        <f t="shared" si="59"/>
        <v>0</v>
      </c>
      <c r="O22" s="1680">
        <f t="shared" si="28"/>
        <v>0</v>
      </c>
      <c r="P22" s="1680"/>
      <c r="Q22" s="157"/>
      <c r="R22" s="199"/>
      <c r="S22" s="199"/>
      <c r="T22" s="1681">
        <f t="shared" si="60"/>
        <v>0</v>
      </c>
      <c r="U22" s="1681">
        <f t="shared" si="61"/>
        <v>0</v>
      </c>
      <c r="V22" s="1681"/>
      <c r="W22" s="157"/>
      <c r="X22" s="155"/>
      <c r="Y22" s="157"/>
      <c r="Z22" s="157">
        <f t="shared" si="62"/>
        <v>0</v>
      </c>
      <c r="AA22" s="157">
        <f t="shared" si="63"/>
        <v>0</v>
      </c>
      <c r="AB22" s="157"/>
      <c r="AC22" s="157"/>
      <c r="AD22" s="157"/>
      <c r="AE22" s="157"/>
      <c r="AF22" s="157">
        <f t="shared" si="64"/>
        <v>0</v>
      </c>
      <c r="AG22" s="157">
        <f t="shared" si="65"/>
        <v>0</v>
      </c>
      <c r="AH22" s="157"/>
      <c r="AI22" s="157">
        <f t="shared" si="35"/>
        <v>0</v>
      </c>
      <c r="AJ22" s="157"/>
      <c r="AK22" s="157">
        <f t="shared" si="36"/>
        <v>0</v>
      </c>
      <c r="AL22" s="157">
        <f t="shared" si="66"/>
        <v>0</v>
      </c>
      <c r="AM22" s="157">
        <f t="shared" si="67"/>
        <v>0</v>
      </c>
      <c r="AN22" s="157">
        <f t="shared" si="68"/>
        <v>0</v>
      </c>
      <c r="AO22" s="157"/>
      <c r="AP22" s="157"/>
      <c r="AQ22" s="157"/>
      <c r="AR22" s="157">
        <f t="shared" si="69"/>
        <v>0</v>
      </c>
      <c r="AS22" s="157">
        <f t="shared" si="70"/>
        <v>0</v>
      </c>
      <c r="AT22" s="157"/>
      <c r="AU22" s="157"/>
      <c r="AV22" s="157"/>
      <c r="AW22" s="157"/>
      <c r="AX22" s="157">
        <f t="shared" si="71"/>
        <v>0</v>
      </c>
      <c r="AY22" s="157">
        <f t="shared" si="72"/>
        <v>0</v>
      </c>
      <c r="AZ22" s="157"/>
      <c r="BA22" s="157"/>
      <c r="BB22" s="157"/>
      <c r="BC22" s="157"/>
      <c r="BD22" s="157">
        <f t="shared" si="73"/>
        <v>0</v>
      </c>
      <c r="BE22" s="157">
        <f t="shared" si="74"/>
        <v>0</v>
      </c>
      <c r="BF22" s="157"/>
      <c r="BK22" s="6">
        <f t="shared" si="14"/>
        <v>0</v>
      </c>
      <c r="BL22" s="6">
        <f t="shared" si="15"/>
        <v>0</v>
      </c>
      <c r="BN22" s="1670">
        <f t="shared" si="16"/>
        <v>0</v>
      </c>
      <c r="BO22" s="4"/>
    </row>
    <row r="23" spans="1:67" ht="16.8" hidden="1">
      <c r="A23" s="164"/>
      <c r="B23" s="1716" t="s">
        <v>10</v>
      </c>
      <c r="C23" s="152">
        <f>84000</f>
        <v>84000</v>
      </c>
      <c r="D23" s="152">
        <f>C23</f>
        <v>84000</v>
      </c>
      <c r="E23" s="153"/>
      <c r="F23" s="154"/>
      <c r="G23" s="154">
        <f t="shared" si="58"/>
        <v>84000</v>
      </c>
      <c r="H23" s="154">
        <f t="shared" si="26"/>
        <v>84000</v>
      </c>
      <c r="I23" s="154"/>
      <c r="J23" s="160">
        <v>80000</v>
      </c>
      <c r="K23" s="155"/>
      <c r="L23" s="155"/>
      <c r="M23" s="1680"/>
      <c r="N23" s="1680">
        <f t="shared" si="59"/>
        <v>80000</v>
      </c>
      <c r="O23" s="1680">
        <f t="shared" si="28"/>
        <v>80000</v>
      </c>
      <c r="P23" s="1680"/>
      <c r="Q23" s="1717">
        <v>85000</v>
      </c>
      <c r="R23" s="199"/>
      <c r="S23" s="199"/>
      <c r="T23" s="1681">
        <f t="shared" si="60"/>
        <v>85000</v>
      </c>
      <c r="U23" s="1681">
        <f t="shared" si="61"/>
        <v>85000</v>
      </c>
      <c r="V23" s="1681"/>
      <c r="W23" s="157">
        <v>90000</v>
      </c>
      <c r="X23" s="155"/>
      <c r="Y23" s="157"/>
      <c r="Z23" s="157">
        <f t="shared" si="62"/>
        <v>90000</v>
      </c>
      <c r="AA23" s="157">
        <f t="shared" si="63"/>
        <v>90000</v>
      </c>
      <c r="AB23" s="157"/>
      <c r="AC23" s="157">
        <v>95000</v>
      </c>
      <c r="AD23" s="157"/>
      <c r="AE23" s="157"/>
      <c r="AF23" s="157">
        <f t="shared" si="64"/>
        <v>95000</v>
      </c>
      <c r="AG23" s="157">
        <f t="shared" si="65"/>
        <v>95000</v>
      </c>
      <c r="AH23" s="157"/>
      <c r="AI23" s="157">
        <f t="shared" si="35"/>
        <v>270000</v>
      </c>
      <c r="AJ23" s="157"/>
      <c r="AK23" s="157">
        <f t="shared" si="36"/>
        <v>0</v>
      </c>
      <c r="AL23" s="157">
        <f t="shared" si="66"/>
        <v>270000</v>
      </c>
      <c r="AM23" s="157">
        <f t="shared" si="67"/>
        <v>270000</v>
      </c>
      <c r="AN23" s="157">
        <f t="shared" si="68"/>
        <v>0</v>
      </c>
      <c r="AO23" s="157">
        <v>110000</v>
      </c>
      <c r="AP23" s="157"/>
      <c r="AQ23" s="157"/>
      <c r="AR23" s="157">
        <f t="shared" si="69"/>
        <v>110000</v>
      </c>
      <c r="AS23" s="157">
        <f t="shared" si="70"/>
        <v>110000</v>
      </c>
      <c r="AT23" s="157"/>
      <c r="AU23" s="157">
        <v>120000</v>
      </c>
      <c r="AV23" s="157"/>
      <c r="AW23" s="157"/>
      <c r="AX23" s="157">
        <f t="shared" si="71"/>
        <v>120000</v>
      </c>
      <c r="AY23" s="157">
        <f t="shared" si="72"/>
        <v>120000</v>
      </c>
      <c r="AZ23" s="157"/>
      <c r="BA23" s="157">
        <v>135000</v>
      </c>
      <c r="BB23" s="157"/>
      <c r="BC23" s="157"/>
      <c r="BD23" s="157">
        <f t="shared" si="73"/>
        <v>135000</v>
      </c>
      <c r="BE23" s="157">
        <f t="shared" si="74"/>
        <v>135000</v>
      </c>
      <c r="BF23" s="157"/>
      <c r="BK23" s="6">
        <f t="shared" si="14"/>
        <v>-4000</v>
      </c>
      <c r="BL23" s="6">
        <f t="shared" si="15"/>
        <v>-4000</v>
      </c>
      <c r="BN23" s="1670">
        <f t="shared" si="16"/>
        <v>-4000</v>
      </c>
      <c r="BO23" s="4"/>
    </row>
    <row r="24" spans="1:67" hidden="1">
      <c r="A24" s="164"/>
      <c r="B24" s="1716" t="s">
        <v>11</v>
      </c>
      <c r="C24" s="152">
        <v>0</v>
      </c>
      <c r="D24" s="152"/>
      <c r="E24" s="153"/>
      <c r="F24" s="154"/>
      <c r="G24" s="154">
        <f t="shared" si="58"/>
        <v>0</v>
      </c>
      <c r="H24" s="154">
        <f t="shared" si="26"/>
        <v>0</v>
      </c>
      <c r="I24" s="154"/>
      <c r="J24" s="160"/>
      <c r="K24" s="155"/>
      <c r="L24" s="155"/>
      <c r="M24" s="1680"/>
      <c r="N24" s="1680">
        <f t="shared" si="59"/>
        <v>0</v>
      </c>
      <c r="O24" s="1680">
        <f t="shared" si="28"/>
        <v>0</v>
      </c>
      <c r="P24" s="1680"/>
      <c r="Q24" s="157"/>
      <c r="R24" s="199"/>
      <c r="S24" s="199"/>
      <c r="T24" s="1681">
        <f t="shared" si="60"/>
        <v>0</v>
      </c>
      <c r="U24" s="1681">
        <f t="shared" si="61"/>
        <v>0</v>
      </c>
      <c r="V24" s="1681"/>
      <c r="W24" s="157"/>
      <c r="X24" s="155"/>
      <c r="Y24" s="157"/>
      <c r="Z24" s="157">
        <f t="shared" si="62"/>
        <v>0</v>
      </c>
      <c r="AA24" s="157">
        <f t="shared" si="63"/>
        <v>0</v>
      </c>
      <c r="AB24" s="157"/>
      <c r="AC24" s="157"/>
      <c r="AD24" s="157"/>
      <c r="AE24" s="157"/>
      <c r="AF24" s="157">
        <f t="shared" si="64"/>
        <v>0</v>
      </c>
      <c r="AG24" s="157">
        <f t="shared" si="65"/>
        <v>0</v>
      </c>
      <c r="AH24" s="157"/>
      <c r="AI24" s="157">
        <f t="shared" si="35"/>
        <v>0</v>
      </c>
      <c r="AJ24" s="157"/>
      <c r="AK24" s="157">
        <f t="shared" si="36"/>
        <v>0</v>
      </c>
      <c r="AL24" s="157">
        <f t="shared" si="66"/>
        <v>0</v>
      </c>
      <c r="AM24" s="157">
        <f t="shared" si="67"/>
        <v>0</v>
      </c>
      <c r="AN24" s="157">
        <f t="shared" si="68"/>
        <v>0</v>
      </c>
      <c r="AO24" s="157"/>
      <c r="AP24" s="157"/>
      <c r="AQ24" s="157"/>
      <c r="AR24" s="157">
        <f t="shared" si="69"/>
        <v>0</v>
      </c>
      <c r="AS24" s="157">
        <f t="shared" si="70"/>
        <v>0</v>
      </c>
      <c r="AT24" s="157"/>
      <c r="AU24" s="157"/>
      <c r="AV24" s="157"/>
      <c r="AW24" s="157"/>
      <c r="AX24" s="157">
        <f t="shared" si="71"/>
        <v>0</v>
      </c>
      <c r="AY24" s="157">
        <f t="shared" si="72"/>
        <v>0</v>
      </c>
      <c r="AZ24" s="157"/>
      <c r="BA24" s="157"/>
      <c r="BB24" s="157"/>
      <c r="BC24" s="157"/>
      <c r="BD24" s="157">
        <f t="shared" si="73"/>
        <v>0</v>
      </c>
      <c r="BE24" s="157">
        <f t="shared" si="74"/>
        <v>0</v>
      </c>
      <c r="BF24" s="157"/>
      <c r="BK24" s="6">
        <f t="shared" si="14"/>
        <v>0</v>
      </c>
      <c r="BL24" s="6">
        <f t="shared" si="15"/>
        <v>0</v>
      </c>
      <c r="BN24" s="1670">
        <f t="shared" si="16"/>
        <v>0</v>
      </c>
      <c r="BO24" s="4"/>
    </row>
    <row r="25" spans="1:67">
      <c r="A25" s="164">
        <v>3</v>
      </c>
      <c r="B25" s="165" t="s">
        <v>13</v>
      </c>
      <c r="C25" s="147">
        <f>SUM(C26:C29)</f>
        <v>75000</v>
      </c>
      <c r="D25" s="147">
        <f>SUM(D26:D29)</f>
        <v>75000</v>
      </c>
      <c r="E25" s="148"/>
      <c r="F25" s="149">
        <f>SUM(F26:F29)</f>
        <v>0</v>
      </c>
      <c r="G25" s="149">
        <f>SUM(G26:G29)</f>
        <v>75000</v>
      </c>
      <c r="H25" s="149">
        <f t="shared" ref="H25:I25" si="75">SUM(H26:H29)</f>
        <v>75000</v>
      </c>
      <c r="I25" s="149">
        <f t="shared" si="75"/>
        <v>0</v>
      </c>
      <c r="J25" s="147">
        <f>SUM(J26:J29)</f>
        <v>85000</v>
      </c>
      <c r="K25" s="141">
        <f>J25/C25*100</f>
        <v>113.33333333333333</v>
      </c>
      <c r="L25" s="1672">
        <f>J25/D25*100</f>
        <v>113.33333333333333</v>
      </c>
      <c r="M25" s="150">
        <f>SUM(M26:M29)</f>
        <v>0</v>
      </c>
      <c r="N25" s="150">
        <f t="shared" ref="N25:P25" si="76">SUM(N26:N29)</f>
        <v>85000</v>
      </c>
      <c r="O25" s="150">
        <f t="shared" si="76"/>
        <v>85000</v>
      </c>
      <c r="P25" s="150">
        <f t="shared" si="76"/>
        <v>0</v>
      </c>
      <c r="Q25" s="142">
        <f>SUM(Q26:Q29)</f>
        <v>80000</v>
      </c>
      <c r="R25" s="1674">
        <f t="shared" ref="R25" si="77">Q25/J25*100</f>
        <v>94.117647058823522</v>
      </c>
      <c r="S25" s="1682">
        <f>SUM(S26:S29)</f>
        <v>0</v>
      </c>
      <c r="T25" s="1683">
        <f t="shared" ref="T25:V25" si="78">SUM(T26:T29)</f>
        <v>80000</v>
      </c>
      <c r="U25" s="1683">
        <f t="shared" si="78"/>
        <v>80000</v>
      </c>
      <c r="V25" s="1683">
        <f t="shared" si="78"/>
        <v>0</v>
      </c>
      <c r="W25" s="142">
        <f>SUM(W26:W29)</f>
        <v>90000</v>
      </c>
      <c r="X25" s="141">
        <f>W25/Q25*100</f>
        <v>112.5</v>
      </c>
      <c r="Y25" s="142">
        <f>SUM(Y26:Y29)</f>
        <v>0</v>
      </c>
      <c r="Z25" s="142">
        <f t="shared" ref="Z25:AB25" si="79">SUM(Z26:Z29)</f>
        <v>90000</v>
      </c>
      <c r="AA25" s="142">
        <f t="shared" si="79"/>
        <v>90000</v>
      </c>
      <c r="AB25" s="142">
        <f t="shared" si="79"/>
        <v>0</v>
      </c>
      <c r="AC25" s="142">
        <f>SUM(AC26:AC29)</f>
        <v>95000</v>
      </c>
      <c r="AD25" s="142">
        <f>AC25/W25*100</f>
        <v>105.55555555555556</v>
      </c>
      <c r="AE25" s="142">
        <f>SUM(AE26:AE29)</f>
        <v>0</v>
      </c>
      <c r="AF25" s="142">
        <f t="shared" ref="AF25:AH25" si="80">SUM(AF26:AF29)</f>
        <v>95000</v>
      </c>
      <c r="AG25" s="142">
        <f t="shared" si="80"/>
        <v>95000</v>
      </c>
      <c r="AH25" s="142">
        <f t="shared" si="80"/>
        <v>0</v>
      </c>
      <c r="AI25" s="142">
        <f>SUM(AI26:AI29)</f>
        <v>265000</v>
      </c>
      <c r="AJ25" s="1675">
        <f>+((Q25/J25)*(W25/Q25)*(AC25/W25))/(1^3)-1</f>
        <v>0.11764705882352944</v>
      </c>
      <c r="AK25" s="142">
        <f>SUM(AK26:AK29)</f>
        <v>0</v>
      </c>
      <c r="AL25" s="142">
        <f t="shared" ref="AL25:AN25" si="81">SUM(AL26:AL29)</f>
        <v>265000</v>
      </c>
      <c r="AM25" s="142">
        <f t="shared" si="81"/>
        <v>265000</v>
      </c>
      <c r="AN25" s="142">
        <f t="shared" si="81"/>
        <v>0</v>
      </c>
      <c r="AO25" s="142">
        <f>SUM(AO26:AO29)</f>
        <v>130000</v>
      </c>
      <c r="AP25" s="142">
        <f>AO25/AC25*100</f>
        <v>136.84210526315789</v>
      </c>
      <c r="AQ25" s="142">
        <f>SUM(AQ26:AQ29)</f>
        <v>0</v>
      </c>
      <c r="AR25" s="142">
        <f t="shared" ref="AR25:AT25" si="82">SUM(AR26:AR29)</f>
        <v>130000</v>
      </c>
      <c r="AS25" s="142">
        <f t="shared" si="82"/>
        <v>0</v>
      </c>
      <c r="AT25" s="142">
        <f t="shared" si="82"/>
        <v>130000</v>
      </c>
      <c r="AU25" s="142">
        <f>SUM(AU26:AU29)</f>
        <v>140000</v>
      </c>
      <c r="AV25" s="142">
        <f>AU25/AO25*100</f>
        <v>107.69230769230769</v>
      </c>
      <c r="AW25" s="142">
        <f>SUM(AW26:AW29)</f>
        <v>0</v>
      </c>
      <c r="AX25" s="142">
        <f t="shared" ref="AX25:AZ25" si="83">SUM(AX26:AX29)</f>
        <v>140000</v>
      </c>
      <c r="AY25" s="142">
        <f t="shared" si="83"/>
        <v>140000</v>
      </c>
      <c r="AZ25" s="142">
        <f t="shared" si="83"/>
        <v>0</v>
      </c>
      <c r="BA25" s="142">
        <f>SUM(BA26:BA29)</f>
        <v>153000</v>
      </c>
      <c r="BB25" s="142">
        <f>BA25/AU25*100</f>
        <v>109.28571428571428</v>
      </c>
      <c r="BC25" s="142">
        <f>SUM(BC26:BC29)</f>
        <v>0</v>
      </c>
      <c r="BD25" s="142">
        <f t="shared" ref="BD25:BF25" si="84">SUM(BD26:BD29)</f>
        <v>153000</v>
      </c>
      <c r="BE25" s="142">
        <f t="shared" si="84"/>
        <v>153000</v>
      </c>
      <c r="BF25" s="142">
        <f t="shared" si="84"/>
        <v>0</v>
      </c>
      <c r="BK25" s="6">
        <f t="shared" si="14"/>
        <v>10000</v>
      </c>
      <c r="BL25" s="6">
        <f t="shared" si="15"/>
        <v>10000</v>
      </c>
      <c r="BN25" s="1670">
        <f t="shared" si="16"/>
        <v>10000</v>
      </c>
      <c r="BO25" s="4"/>
    </row>
    <row r="26" spans="1:67" ht="16.8" hidden="1">
      <c r="A26" s="164"/>
      <c r="B26" s="1716" t="s">
        <v>7</v>
      </c>
      <c r="C26" s="152">
        <v>16000</v>
      </c>
      <c r="D26" s="152">
        <f>C26</f>
        <v>16000</v>
      </c>
      <c r="E26" s="153"/>
      <c r="F26" s="154"/>
      <c r="G26" s="154">
        <f>SUM(H26:I26)</f>
        <v>16000</v>
      </c>
      <c r="H26" s="154">
        <f t="shared" si="26"/>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f t="shared" si="35"/>
        <v>52000</v>
      </c>
      <c r="AJ26" s="157"/>
      <c r="AK26" s="157">
        <f t="shared" si="36"/>
        <v>0</v>
      </c>
      <c r="AL26" s="157">
        <f t="shared" si="66"/>
        <v>52000</v>
      </c>
      <c r="AM26" s="157">
        <f t="shared" ref="AM26" si="85">+AG26+AA26+U26</f>
        <v>52000</v>
      </c>
      <c r="AN26" s="157">
        <f t="shared" ref="AN26" si="86">+AH26+AB26+V26</f>
        <v>0</v>
      </c>
      <c r="AO26" s="157">
        <v>28000</v>
      </c>
      <c r="AP26" s="157"/>
      <c r="AQ26" s="157"/>
      <c r="AR26" s="157">
        <f>SUM(AS26:AT26)</f>
        <v>28000</v>
      </c>
      <c r="AS26" s="157">
        <f>AO26-AQ26-AT26</f>
        <v>0</v>
      </c>
      <c r="AT26" s="157">
        <f>AO26</f>
        <v>28000</v>
      </c>
      <c r="AU26" s="157">
        <v>30000</v>
      </c>
      <c r="AV26" s="157"/>
      <c r="AW26" s="157"/>
      <c r="AX26" s="157">
        <f>SUM(AY26:AZ26)</f>
        <v>30000</v>
      </c>
      <c r="AY26" s="157">
        <f>AU26-AW26-AZ26</f>
        <v>30000</v>
      </c>
      <c r="AZ26" s="157"/>
      <c r="BA26" s="157">
        <v>32500</v>
      </c>
      <c r="BB26" s="157"/>
      <c r="BC26" s="157"/>
      <c r="BD26" s="157">
        <f>SUM(BE26:BF26)</f>
        <v>32500</v>
      </c>
      <c r="BE26" s="157">
        <f>BA26-BC26-BF26</f>
        <v>32500</v>
      </c>
      <c r="BF26" s="157"/>
      <c r="BK26" s="6">
        <f t="shared" si="14"/>
        <v>0</v>
      </c>
      <c r="BL26" s="6">
        <f t="shared" si="15"/>
        <v>0</v>
      </c>
      <c r="BN26" s="1670">
        <f t="shared" si="16"/>
        <v>0</v>
      </c>
      <c r="BO26" s="4"/>
    </row>
    <row r="27" spans="1:67" ht="16.8" hidden="1">
      <c r="A27" s="164"/>
      <c r="B27" s="1716" t="s">
        <v>8</v>
      </c>
      <c r="C27" s="152">
        <v>59000</v>
      </c>
      <c r="D27" s="152">
        <f>C27</f>
        <v>59000</v>
      </c>
      <c r="E27" s="153"/>
      <c r="F27" s="154"/>
      <c r="G27" s="154">
        <f t="shared" ref="G27:G29" si="87">SUM(H27:I27)</f>
        <v>59000</v>
      </c>
      <c r="H27" s="154">
        <f t="shared" si="26"/>
        <v>59000</v>
      </c>
      <c r="I27" s="154"/>
      <c r="J27" s="160">
        <v>69000</v>
      </c>
      <c r="K27" s="155"/>
      <c r="L27" s="155"/>
      <c r="M27" s="1680"/>
      <c r="N27" s="1680">
        <f t="shared" ref="N27:N29" si="88">SUM(O27:P27)</f>
        <v>69000</v>
      </c>
      <c r="O27" s="1680">
        <f t="shared" ref="O27:O29" si="89">J27-M27-P27</f>
        <v>69000</v>
      </c>
      <c r="P27" s="1680"/>
      <c r="Q27" s="1717">
        <f>68000-3000</f>
        <v>65000</v>
      </c>
      <c r="R27" s="199"/>
      <c r="S27" s="199"/>
      <c r="T27" s="1681">
        <f t="shared" ref="T27:T29" si="90">SUM(U27:V27)</f>
        <v>65000</v>
      </c>
      <c r="U27" s="1681">
        <f t="shared" ref="U27:U29" si="91">Q27-S27-V27</f>
        <v>65000</v>
      </c>
      <c r="V27" s="1681"/>
      <c r="W27" s="157">
        <v>72000</v>
      </c>
      <c r="X27" s="155"/>
      <c r="Y27" s="157"/>
      <c r="Z27" s="157">
        <f t="shared" ref="Z27:Z29" si="92">SUM(AA27:AB27)</f>
        <v>72000</v>
      </c>
      <c r="AA27" s="157">
        <f t="shared" ref="AA27:AA29" si="93">W27-Y27-AB27</f>
        <v>72000</v>
      </c>
      <c r="AB27" s="157"/>
      <c r="AC27" s="157">
        <v>76000</v>
      </c>
      <c r="AD27" s="157"/>
      <c r="AE27" s="157"/>
      <c r="AF27" s="157">
        <f t="shared" ref="AF27:AF29" si="94">SUM(AG27:AH27)</f>
        <v>76000</v>
      </c>
      <c r="AG27" s="157">
        <f t="shared" ref="AG27:AG29" si="95">AC27-AE27-AH27</f>
        <v>76000</v>
      </c>
      <c r="AH27" s="157"/>
      <c r="AI27" s="157">
        <f t="shared" si="35"/>
        <v>213000</v>
      </c>
      <c r="AJ27" s="157"/>
      <c r="AK27" s="157">
        <f t="shared" si="36"/>
        <v>0</v>
      </c>
      <c r="AL27" s="157">
        <f t="shared" si="66"/>
        <v>213000</v>
      </c>
      <c r="AM27" s="157">
        <f t="shared" ref="AM27:AM29" si="96">+AG27+AA27+U27</f>
        <v>213000</v>
      </c>
      <c r="AN27" s="157">
        <f t="shared" ref="AN27:AN29" si="97">+AH27+AB27+V27</f>
        <v>0</v>
      </c>
      <c r="AO27" s="157">
        <v>102000</v>
      </c>
      <c r="AP27" s="157"/>
      <c r="AQ27" s="157"/>
      <c r="AR27" s="157">
        <f t="shared" ref="AR27:AR29" si="98">SUM(AS27:AT27)</f>
        <v>102000</v>
      </c>
      <c r="AS27" s="157">
        <f t="shared" ref="AS27:AS29" si="99">AO27-AQ27-AT27</f>
        <v>0</v>
      </c>
      <c r="AT27" s="157">
        <f>AO27</f>
        <v>102000</v>
      </c>
      <c r="AU27" s="157">
        <v>110000</v>
      </c>
      <c r="AV27" s="157"/>
      <c r="AW27" s="157"/>
      <c r="AX27" s="157">
        <f t="shared" ref="AX27:AX29" si="100">SUM(AY27:AZ27)</f>
        <v>110000</v>
      </c>
      <c r="AY27" s="157">
        <f t="shared" ref="AY27:AY29" si="101">AU27-AW27-AZ27</f>
        <v>110000</v>
      </c>
      <c r="AZ27" s="157"/>
      <c r="BA27" s="157">
        <v>120500</v>
      </c>
      <c r="BB27" s="157"/>
      <c r="BC27" s="157"/>
      <c r="BD27" s="157">
        <f t="shared" ref="BD27:BD29" si="102">SUM(BE27:BF27)</f>
        <v>120500</v>
      </c>
      <c r="BE27" s="157">
        <f t="shared" ref="BE27:BE29" si="103">BA27-BC27-BF27</f>
        <v>120500</v>
      </c>
      <c r="BF27" s="157"/>
      <c r="BK27" s="6">
        <f t="shared" si="14"/>
        <v>10000</v>
      </c>
      <c r="BL27" s="6">
        <f t="shared" si="15"/>
        <v>10000</v>
      </c>
      <c r="BN27" s="1670">
        <f t="shared" si="16"/>
        <v>10000</v>
      </c>
      <c r="BO27" s="4"/>
    </row>
    <row r="28" spans="1:67" hidden="1">
      <c r="A28" s="164"/>
      <c r="B28" s="1716" t="s">
        <v>10</v>
      </c>
      <c r="C28" s="152">
        <v>0</v>
      </c>
      <c r="D28" s="152"/>
      <c r="E28" s="153"/>
      <c r="F28" s="154"/>
      <c r="G28" s="154">
        <f t="shared" si="87"/>
        <v>0</v>
      </c>
      <c r="H28" s="154">
        <f t="shared" si="26"/>
        <v>0</v>
      </c>
      <c r="I28" s="154"/>
      <c r="J28" s="160">
        <v>0</v>
      </c>
      <c r="K28" s="155"/>
      <c r="L28" s="155"/>
      <c r="M28" s="1680"/>
      <c r="N28" s="1680">
        <f t="shared" si="88"/>
        <v>0</v>
      </c>
      <c r="O28" s="1680">
        <f t="shared" si="89"/>
        <v>0</v>
      </c>
      <c r="P28" s="1680"/>
      <c r="Q28" s="157"/>
      <c r="R28" s="199"/>
      <c r="S28" s="199"/>
      <c r="T28" s="1681">
        <f t="shared" si="90"/>
        <v>0</v>
      </c>
      <c r="U28" s="1681">
        <f t="shared" si="91"/>
        <v>0</v>
      </c>
      <c r="V28" s="1681"/>
      <c r="W28" s="157"/>
      <c r="X28" s="155"/>
      <c r="Y28" s="157"/>
      <c r="Z28" s="157">
        <f t="shared" si="92"/>
        <v>0</v>
      </c>
      <c r="AA28" s="157">
        <f t="shared" si="93"/>
        <v>0</v>
      </c>
      <c r="AB28" s="157"/>
      <c r="AC28" s="157"/>
      <c r="AD28" s="157"/>
      <c r="AE28" s="157"/>
      <c r="AF28" s="157">
        <f t="shared" si="94"/>
        <v>0</v>
      </c>
      <c r="AG28" s="157">
        <f t="shared" si="95"/>
        <v>0</v>
      </c>
      <c r="AH28" s="157"/>
      <c r="AI28" s="157">
        <f t="shared" si="35"/>
        <v>0</v>
      </c>
      <c r="AJ28" s="157"/>
      <c r="AK28" s="157">
        <f t="shared" si="36"/>
        <v>0</v>
      </c>
      <c r="AL28" s="157">
        <f t="shared" si="66"/>
        <v>0</v>
      </c>
      <c r="AM28" s="157">
        <f t="shared" si="96"/>
        <v>0</v>
      </c>
      <c r="AN28" s="157">
        <f t="shared" si="97"/>
        <v>0</v>
      </c>
      <c r="AO28" s="157">
        <v>0</v>
      </c>
      <c r="AP28" s="157"/>
      <c r="AQ28" s="157"/>
      <c r="AR28" s="157">
        <f t="shared" si="98"/>
        <v>0</v>
      </c>
      <c r="AS28" s="157">
        <f t="shared" si="99"/>
        <v>0</v>
      </c>
      <c r="AT28" s="157"/>
      <c r="AU28" s="157"/>
      <c r="AV28" s="157"/>
      <c r="AW28" s="157"/>
      <c r="AX28" s="157">
        <f t="shared" si="100"/>
        <v>0</v>
      </c>
      <c r="AY28" s="157">
        <f t="shared" si="101"/>
        <v>0</v>
      </c>
      <c r="AZ28" s="157"/>
      <c r="BA28" s="157"/>
      <c r="BB28" s="157"/>
      <c r="BC28" s="157"/>
      <c r="BD28" s="157">
        <f t="shared" si="102"/>
        <v>0</v>
      </c>
      <c r="BE28" s="157">
        <f t="shared" si="103"/>
        <v>0</v>
      </c>
      <c r="BF28" s="157"/>
      <c r="BK28" s="6">
        <f t="shared" si="14"/>
        <v>0</v>
      </c>
      <c r="BL28" s="6">
        <f t="shared" si="15"/>
        <v>0</v>
      </c>
      <c r="BN28" s="1670">
        <f t="shared" si="16"/>
        <v>0</v>
      </c>
      <c r="BO28" s="4"/>
    </row>
    <row r="29" spans="1:67" hidden="1">
      <c r="A29" s="164"/>
      <c r="B29" s="1716" t="s">
        <v>14</v>
      </c>
      <c r="C29" s="152">
        <v>0</v>
      </c>
      <c r="D29" s="152"/>
      <c r="E29" s="153"/>
      <c r="F29" s="154"/>
      <c r="G29" s="154">
        <f t="shared" si="87"/>
        <v>0</v>
      </c>
      <c r="H29" s="154">
        <f t="shared" si="26"/>
        <v>0</v>
      </c>
      <c r="I29" s="154"/>
      <c r="J29" s="160"/>
      <c r="K29" s="155"/>
      <c r="L29" s="155"/>
      <c r="M29" s="1680"/>
      <c r="N29" s="1680">
        <f t="shared" si="88"/>
        <v>0</v>
      </c>
      <c r="O29" s="1680">
        <f t="shared" si="89"/>
        <v>0</v>
      </c>
      <c r="P29" s="1680"/>
      <c r="Q29" s="157"/>
      <c r="R29" s="199"/>
      <c r="S29" s="199"/>
      <c r="T29" s="1681">
        <f t="shared" si="90"/>
        <v>0</v>
      </c>
      <c r="U29" s="1681">
        <f t="shared" si="91"/>
        <v>0</v>
      </c>
      <c r="V29" s="1681"/>
      <c r="W29" s="157"/>
      <c r="X29" s="155"/>
      <c r="Y29" s="157"/>
      <c r="Z29" s="157">
        <f t="shared" si="92"/>
        <v>0</v>
      </c>
      <c r="AA29" s="157">
        <f t="shared" si="93"/>
        <v>0</v>
      </c>
      <c r="AB29" s="157"/>
      <c r="AC29" s="157"/>
      <c r="AD29" s="157"/>
      <c r="AE29" s="157"/>
      <c r="AF29" s="157">
        <f t="shared" si="94"/>
        <v>0</v>
      </c>
      <c r="AG29" s="157">
        <f t="shared" si="95"/>
        <v>0</v>
      </c>
      <c r="AH29" s="157"/>
      <c r="AI29" s="157">
        <f t="shared" si="35"/>
        <v>0</v>
      </c>
      <c r="AJ29" s="157"/>
      <c r="AK29" s="157">
        <f t="shared" si="36"/>
        <v>0</v>
      </c>
      <c r="AL29" s="157">
        <f t="shared" si="66"/>
        <v>0</v>
      </c>
      <c r="AM29" s="157">
        <f t="shared" si="96"/>
        <v>0</v>
      </c>
      <c r="AN29" s="157">
        <f t="shared" si="97"/>
        <v>0</v>
      </c>
      <c r="AO29" s="157">
        <v>0</v>
      </c>
      <c r="AP29" s="157"/>
      <c r="AQ29" s="157"/>
      <c r="AR29" s="157">
        <f t="shared" si="98"/>
        <v>0</v>
      </c>
      <c r="AS29" s="157">
        <f t="shared" si="99"/>
        <v>0</v>
      </c>
      <c r="AT29" s="157"/>
      <c r="AU29" s="157"/>
      <c r="AV29" s="157"/>
      <c r="AW29" s="157"/>
      <c r="AX29" s="157">
        <f t="shared" si="100"/>
        <v>0</v>
      </c>
      <c r="AY29" s="157">
        <f t="shared" si="101"/>
        <v>0</v>
      </c>
      <c r="AZ29" s="157"/>
      <c r="BA29" s="157"/>
      <c r="BB29" s="157"/>
      <c r="BC29" s="157"/>
      <c r="BD29" s="157">
        <f t="shared" si="102"/>
        <v>0</v>
      </c>
      <c r="BE29" s="157">
        <f t="shared" si="103"/>
        <v>0</v>
      </c>
      <c r="BF29" s="157"/>
      <c r="BK29" s="6">
        <f t="shared" si="14"/>
        <v>0</v>
      </c>
      <c r="BL29" s="6">
        <f t="shared" si="15"/>
        <v>0</v>
      </c>
      <c r="BN29" s="1670">
        <f t="shared" si="16"/>
        <v>0</v>
      </c>
      <c r="BO29" s="4"/>
    </row>
    <row r="30" spans="1:67">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04">SUM(N31:N35)</f>
        <v>1318000</v>
      </c>
      <c r="O30" s="150">
        <f t="shared" si="104"/>
        <v>68000</v>
      </c>
      <c r="P30" s="150">
        <f t="shared" si="104"/>
        <v>1250000</v>
      </c>
      <c r="Q30" s="142">
        <f>SUM(Q31:Q35)</f>
        <v>1470000</v>
      </c>
      <c r="R30" s="1674">
        <f t="shared" ref="R30" si="105">Q30/J30*100</f>
        <v>111.53262518968134</v>
      </c>
      <c r="S30" s="1682">
        <f>SUM(S31:S35)</f>
        <v>0</v>
      </c>
      <c r="T30" s="1683">
        <f t="shared" ref="T30:V30" si="106">SUM(T31:T35)</f>
        <v>1470000</v>
      </c>
      <c r="U30" s="1683">
        <f t="shared" si="106"/>
        <v>73000</v>
      </c>
      <c r="V30" s="1683">
        <f t="shared" si="106"/>
        <v>1397000</v>
      </c>
      <c r="W30" s="142">
        <f>SUM(W31:W35)</f>
        <v>1625000</v>
      </c>
      <c r="X30" s="141">
        <f>W30/Q30*100</f>
        <v>110.54421768707483</v>
      </c>
      <c r="Y30" s="142">
        <f>SUM(Y31:Y35)</f>
        <v>0</v>
      </c>
      <c r="Z30" s="142">
        <f t="shared" ref="Z30:AB30" si="107">SUM(Z31:Z35)</f>
        <v>1625000</v>
      </c>
      <c r="AA30" s="142">
        <f t="shared" si="107"/>
        <v>77000</v>
      </c>
      <c r="AB30" s="142">
        <f t="shared" si="107"/>
        <v>1548000</v>
      </c>
      <c r="AC30" s="142">
        <f>SUM(AC31:AC35)</f>
        <v>1716000</v>
      </c>
      <c r="AD30" s="142">
        <f>AC30/W30*100</f>
        <v>105.60000000000001</v>
      </c>
      <c r="AE30" s="142">
        <f>SUM(AE31:AE35)</f>
        <v>0</v>
      </c>
      <c r="AF30" s="142">
        <f t="shared" ref="AF30:AH30" si="108">SUM(AF31:AF35)</f>
        <v>1716000</v>
      </c>
      <c r="AG30" s="142">
        <f t="shared" si="108"/>
        <v>82000</v>
      </c>
      <c r="AH30" s="142">
        <f t="shared" si="108"/>
        <v>1634000</v>
      </c>
      <c r="AI30" s="142">
        <f>SUM(AI31:AI35)</f>
        <v>4811000</v>
      </c>
      <c r="AJ30" s="1675">
        <f>+((Q30/J30)*(W30/Q30)*(AC30/W30))/(1^3)-1</f>
        <v>0.30197268588770876</v>
      </c>
      <c r="AK30" s="142">
        <f>SUM(AK31:AK35)</f>
        <v>0</v>
      </c>
      <c r="AL30" s="142">
        <f t="shared" ref="AL30:AN30" si="109">SUM(AL31:AL35)</f>
        <v>4811000</v>
      </c>
      <c r="AM30" s="142">
        <f t="shared" si="109"/>
        <v>232000</v>
      </c>
      <c r="AN30" s="142">
        <f t="shared" si="109"/>
        <v>4579000</v>
      </c>
      <c r="AO30" s="142">
        <f>SUM(AO31:AO35)</f>
        <v>2190000</v>
      </c>
      <c r="AP30" s="142">
        <f>AO30/AC30*100</f>
        <v>127.62237762237763</v>
      </c>
      <c r="AQ30" s="142">
        <f>SUM(AQ31:AQ35)</f>
        <v>0</v>
      </c>
      <c r="AR30" s="142">
        <f t="shared" ref="AR30:AT30" si="110">SUM(AR31:AR35)</f>
        <v>2190000</v>
      </c>
      <c r="AS30" s="142">
        <f t="shared" si="110"/>
        <v>105900</v>
      </c>
      <c r="AT30" s="142">
        <f t="shared" si="110"/>
        <v>2084100</v>
      </c>
      <c r="AU30" s="142">
        <f>SUM(AU31:AU35)</f>
        <v>2430000</v>
      </c>
      <c r="AV30" s="142">
        <f>AU30/AO30*100</f>
        <v>110.95890410958904</v>
      </c>
      <c r="AW30" s="142">
        <f>SUM(AW31:AW35)</f>
        <v>0</v>
      </c>
      <c r="AX30" s="142">
        <f t="shared" ref="AX30:AZ30" si="111">SUM(AX31:AX35)</f>
        <v>2430000</v>
      </c>
      <c r="AY30" s="142">
        <f t="shared" si="111"/>
        <v>114900</v>
      </c>
      <c r="AZ30" s="142">
        <f t="shared" si="111"/>
        <v>2315100</v>
      </c>
      <c r="BA30" s="142">
        <f>SUM(BA31:BA35)</f>
        <v>2730000</v>
      </c>
      <c r="BB30" s="142">
        <f>BA30/AU30*100</f>
        <v>112.34567901234568</v>
      </c>
      <c r="BC30" s="142">
        <f>SUM(BC31:BC35)</f>
        <v>0</v>
      </c>
      <c r="BD30" s="142">
        <f t="shared" ref="BD30:BF30" si="112">SUM(BD31:BD35)</f>
        <v>2730000</v>
      </c>
      <c r="BE30" s="142">
        <f t="shared" si="112"/>
        <v>124900</v>
      </c>
      <c r="BF30" s="142">
        <f t="shared" si="112"/>
        <v>2605100</v>
      </c>
      <c r="BK30" s="6">
        <f t="shared" si="14"/>
        <v>-334000</v>
      </c>
      <c r="BL30" s="6">
        <f t="shared" si="15"/>
        <v>-383000</v>
      </c>
      <c r="BN30" s="1670">
        <f t="shared" si="16"/>
        <v>-383000</v>
      </c>
      <c r="BO30" s="4"/>
    </row>
    <row r="31" spans="1:67"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f t="shared" si="35"/>
        <v>2513000</v>
      </c>
      <c r="AJ31" s="157"/>
      <c r="AK31" s="157">
        <f t="shared" si="36"/>
        <v>0</v>
      </c>
      <c r="AL31" s="157">
        <f t="shared" si="66"/>
        <v>2513000</v>
      </c>
      <c r="AM31" s="157">
        <f t="shared" ref="AM31" si="113">+AG31+AA31+U31</f>
        <v>0</v>
      </c>
      <c r="AN31" s="157">
        <f t="shared" ref="AN31" si="114">+AH31+AB31+V31</f>
        <v>2513000</v>
      </c>
      <c r="AO31" s="157">
        <v>1149100</v>
      </c>
      <c r="AP31" s="157"/>
      <c r="AQ31" s="157"/>
      <c r="AR31" s="157">
        <f>SUM(AS31:AT31)</f>
        <v>1149100</v>
      </c>
      <c r="AS31" s="157">
        <f>AO31-AQ31-AT31</f>
        <v>0</v>
      </c>
      <c r="AT31" s="157">
        <f>AO31</f>
        <v>1149100</v>
      </c>
      <c r="AU31" s="157">
        <v>1285100</v>
      </c>
      <c r="AV31" s="157"/>
      <c r="AW31" s="157"/>
      <c r="AX31" s="157">
        <f>SUM(AY31:AZ31)</f>
        <v>1285100</v>
      </c>
      <c r="AY31" s="157">
        <f>AU31-AW31-AZ31</f>
        <v>0</v>
      </c>
      <c r="AZ31" s="157">
        <f>AU31</f>
        <v>1285100</v>
      </c>
      <c r="BA31" s="157">
        <v>1435100</v>
      </c>
      <c r="BB31" s="157"/>
      <c r="BC31" s="157"/>
      <c r="BD31" s="157">
        <f>SUM(BE31:BF31)</f>
        <v>1435100</v>
      </c>
      <c r="BE31" s="157">
        <f>BA31-BC31-BF31</f>
        <v>0</v>
      </c>
      <c r="BF31" s="157">
        <f>BA31</f>
        <v>1435100</v>
      </c>
      <c r="BK31" s="6">
        <f t="shared" si="14"/>
        <v>-122500</v>
      </c>
      <c r="BL31" s="6">
        <f t="shared" si="15"/>
        <v>-94290</v>
      </c>
      <c r="BN31" s="1670">
        <f t="shared" si="16"/>
        <v>-94290</v>
      </c>
      <c r="BO31" s="4"/>
    </row>
    <row r="32" spans="1:67" ht="16.8" hidden="1">
      <c r="A32" s="164"/>
      <c r="B32" s="1716" t="s">
        <v>8</v>
      </c>
      <c r="C32" s="152">
        <v>822000</v>
      </c>
      <c r="D32" s="152">
        <v>905790</v>
      </c>
      <c r="E32" s="153"/>
      <c r="F32" s="154"/>
      <c r="G32" s="154">
        <f t="shared" ref="G32:G35" si="115">SUM(H32:I32)</f>
        <v>905790</v>
      </c>
      <c r="H32" s="154">
        <f t="shared" si="26"/>
        <v>0</v>
      </c>
      <c r="I32" s="154">
        <f t="shared" ref="I32" si="116">D32</f>
        <v>905790</v>
      </c>
      <c r="J32" s="160">
        <v>620000</v>
      </c>
      <c r="K32" s="155"/>
      <c r="L32" s="155"/>
      <c r="M32" s="1680"/>
      <c r="N32" s="1680">
        <f t="shared" ref="N32:N35" si="117">SUM(O32:P32)</f>
        <v>620000</v>
      </c>
      <c r="O32" s="1680">
        <f t="shared" ref="O32:O35" si="118">J32-M32-P32</f>
        <v>0</v>
      </c>
      <c r="P32" s="1680">
        <f>J32</f>
        <v>620000</v>
      </c>
      <c r="Q32" s="1718">
        <v>650000</v>
      </c>
      <c r="R32" s="199"/>
      <c r="S32" s="199"/>
      <c r="T32" s="1681">
        <f t="shared" ref="T32:T34" si="119">SUM(U32:V32)</f>
        <v>650000</v>
      </c>
      <c r="U32" s="1681">
        <f t="shared" ref="U32:U45" si="120">Q32-S32-V32</f>
        <v>0</v>
      </c>
      <c r="V32" s="1719">
        <f>Q32</f>
        <v>650000</v>
      </c>
      <c r="W32" s="157">
        <v>688000</v>
      </c>
      <c r="X32" s="155"/>
      <c r="Y32" s="157"/>
      <c r="Z32" s="157">
        <f t="shared" ref="Z32:Z47" si="121">SUM(AA32:AB32)</f>
        <v>688000</v>
      </c>
      <c r="AA32" s="157">
        <f t="shared" ref="AA32:AA47" si="122">W32-Y32-AB32</f>
        <v>0</v>
      </c>
      <c r="AB32" s="157">
        <f>W32</f>
        <v>688000</v>
      </c>
      <c r="AC32" s="157">
        <v>728000</v>
      </c>
      <c r="AD32" s="157"/>
      <c r="AE32" s="157"/>
      <c r="AF32" s="157">
        <f t="shared" ref="AF32:AF47" si="123">SUM(AG32:AH32)</f>
        <v>728000</v>
      </c>
      <c r="AG32" s="157">
        <f t="shared" ref="AG32:AG47" si="124">AC32-AE32-AH32</f>
        <v>0</v>
      </c>
      <c r="AH32" s="157">
        <f>AC32</f>
        <v>728000</v>
      </c>
      <c r="AI32" s="157">
        <f t="shared" si="35"/>
        <v>2066000</v>
      </c>
      <c r="AJ32" s="157"/>
      <c r="AK32" s="157">
        <f t="shared" si="36"/>
        <v>0</v>
      </c>
      <c r="AL32" s="157">
        <f t="shared" si="66"/>
        <v>2066000</v>
      </c>
      <c r="AM32" s="157">
        <f t="shared" ref="AM32:AM35" si="125">+AG32+AA32+U32</f>
        <v>0</v>
      </c>
      <c r="AN32" s="157">
        <f t="shared" ref="AN32:AN35" si="126">+AH32+AB32+V32</f>
        <v>2066000</v>
      </c>
      <c r="AO32" s="157">
        <v>935000</v>
      </c>
      <c r="AP32" s="157"/>
      <c r="AQ32" s="157"/>
      <c r="AR32" s="157">
        <f t="shared" ref="AR32:AR47" si="127">SUM(AS32:AT32)</f>
        <v>935000</v>
      </c>
      <c r="AS32" s="157">
        <f t="shared" ref="AS32:AS47" si="128">AO32-AQ32-AT32</f>
        <v>0</v>
      </c>
      <c r="AT32" s="157">
        <f>AO32</f>
        <v>935000</v>
      </c>
      <c r="AU32" s="157">
        <v>1030000</v>
      </c>
      <c r="AV32" s="157"/>
      <c r="AW32" s="157"/>
      <c r="AX32" s="157">
        <f t="shared" ref="AX32:AX47" si="129">SUM(AY32:AZ32)</f>
        <v>1030000</v>
      </c>
      <c r="AY32" s="157">
        <f t="shared" ref="AY32:AY47" si="130">AU32-AW32-AZ32</f>
        <v>0</v>
      </c>
      <c r="AZ32" s="157">
        <f>AU32</f>
        <v>1030000</v>
      </c>
      <c r="BA32" s="157">
        <v>1170000</v>
      </c>
      <c r="BB32" s="157"/>
      <c r="BC32" s="157"/>
      <c r="BD32" s="157">
        <f t="shared" ref="BD32:BD47" si="131">SUM(BE32:BF32)</f>
        <v>1170000</v>
      </c>
      <c r="BE32" s="157">
        <f t="shared" ref="BE32:BE47" si="132">BA32-BC32-BF32</f>
        <v>0</v>
      </c>
      <c r="BF32" s="157">
        <f>BA32</f>
        <v>1170000</v>
      </c>
      <c r="BK32" s="6">
        <f t="shared" si="14"/>
        <v>-202000</v>
      </c>
      <c r="BL32" s="6">
        <f t="shared" si="15"/>
        <v>-285790</v>
      </c>
      <c r="BN32" s="1670">
        <f t="shared" si="16"/>
        <v>-285790</v>
      </c>
      <c r="BO32" s="4"/>
    </row>
    <row r="33" spans="1:67" ht="16.8" hidden="1">
      <c r="A33" s="164"/>
      <c r="B33" s="1716" t="s">
        <v>9</v>
      </c>
      <c r="C33" s="152">
        <f>72000</f>
        <v>72000</v>
      </c>
      <c r="D33" s="152">
        <v>63450</v>
      </c>
      <c r="E33" s="153"/>
      <c r="F33" s="154"/>
      <c r="G33" s="154">
        <f t="shared" si="115"/>
        <v>63450</v>
      </c>
      <c r="H33" s="154">
        <f t="shared" si="26"/>
        <v>63450</v>
      </c>
      <c r="I33" s="154"/>
      <c r="J33" s="160">
        <v>32000</v>
      </c>
      <c r="K33" s="155"/>
      <c r="L33" s="155"/>
      <c r="M33" s="1680"/>
      <c r="N33" s="1680">
        <f t="shared" si="117"/>
        <v>32000</v>
      </c>
      <c r="O33" s="1680">
        <f t="shared" si="118"/>
        <v>32000</v>
      </c>
      <c r="P33" s="1680"/>
      <c r="Q33" s="1718">
        <v>35000</v>
      </c>
      <c r="R33" s="199"/>
      <c r="S33" s="199"/>
      <c r="T33" s="1681">
        <f t="shared" si="119"/>
        <v>35000</v>
      </c>
      <c r="U33" s="1681">
        <f t="shared" si="120"/>
        <v>35000</v>
      </c>
      <c r="V33" s="1681"/>
      <c r="W33" s="157">
        <v>37100</v>
      </c>
      <c r="X33" s="155"/>
      <c r="Y33" s="157"/>
      <c r="Z33" s="157">
        <f t="shared" si="121"/>
        <v>37100</v>
      </c>
      <c r="AA33" s="157">
        <f t="shared" si="122"/>
        <v>37100</v>
      </c>
      <c r="AB33" s="157"/>
      <c r="AC33" s="157">
        <v>40100</v>
      </c>
      <c r="AD33" s="157"/>
      <c r="AE33" s="157"/>
      <c r="AF33" s="157">
        <f t="shared" si="123"/>
        <v>40100</v>
      </c>
      <c r="AG33" s="157">
        <f t="shared" si="124"/>
        <v>40100</v>
      </c>
      <c r="AH33" s="157"/>
      <c r="AI33" s="157">
        <f t="shared" si="35"/>
        <v>112200</v>
      </c>
      <c r="AJ33" s="157"/>
      <c r="AK33" s="157">
        <f t="shared" si="36"/>
        <v>0</v>
      </c>
      <c r="AL33" s="157">
        <f t="shared" si="66"/>
        <v>112200</v>
      </c>
      <c r="AM33" s="157">
        <f t="shared" si="125"/>
        <v>112200</v>
      </c>
      <c r="AN33" s="157">
        <f t="shared" si="126"/>
        <v>0</v>
      </c>
      <c r="AO33" s="157">
        <v>55000</v>
      </c>
      <c r="AP33" s="157"/>
      <c r="AQ33" s="157"/>
      <c r="AR33" s="157">
        <f t="shared" si="127"/>
        <v>55000</v>
      </c>
      <c r="AS33" s="157">
        <f t="shared" si="128"/>
        <v>55000</v>
      </c>
      <c r="AT33" s="157"/>
      <c r="AU33" s="157">
        <v>59000</v>
      </c>
      <c r="AV33" s="157"/>
      <c r="AW33" s="157"/>
      <c r="AX33" s="157">
        <f t="shared" si="129"/>
        <v>59000</v>
      </c>
      <c r="AY33" s="157">
        <f t="shared" si="130"/>
        <v>59000</v>
      </c>
      <c r="AZ33" s="157"/>
      <c r="BA33" s="157">
        <v>64000</v>
      </c>
      <c r="BB33" s="157"/>
      <c r="BC33" s="157"/>
      <c r="BD33" s="157">
        <f t="shared" si="131"/>
        <v>64000</v>
      </c>
      <c r="BE33" s="157">
        <f t="shared" si="132"/>
        <v>64000</v>
      </c>
      <c r="BF33" s="157"/>
      <c r="BK33" s="6">
        <f t="shared" si="14"/>
        <v>-40000</v>
      </c>
      <c r="BL33" s="6">
        <f t="shared" si="15"/>
        <v>-31450</v>
      </c>
      <c r="BN33" s="1670">
        <f t="shared" si="16"/>
        <v>-31450</v>
      </c>
      <c r="BO33" s="4"/>
    </row>
    <row r="34" spans="1:67" ht="16.8" hidden="1">
      <c r="A34" s="164"/>
      <c r="B34" s="1716" t="s">
        <v>10</v>
      </c>
      <c r="C34" s="152">
        <v>5500</v>
      </c>
      <c r="D34" s="152">
        <v>5970</v>
      </c>
      <c r="E34" s="153"/>
      <c r="F34" s="154"/>
      <c r="G34" s="154">
        <f t="shared" si="115"/>
        <v>5970</v>
      </c>
      <c r="H34" s="154">
        <f t="shared" si="26"/>
        <v>5970</v>
      </c>
      <c r="I34" s="154"/>
      <c r="J34" s="160">
        <v>36000</v>
      </c>
      <c r="K34" s="155"/>
      <c r="L34" s="155"/>
      <c r="M34" s="1680"/>
      <c r="N34" s="1680">
        <f t="shared" si="117"/>
        <v>36000</v>
      </c>
      <c r="O34" s="1680">
        <f t="shared" si="118"/>
        <v>36000</v>
      </c>
      <c r="P34" s="1680"/>
      <c r="Q34" s="1720">
        <v>38000</v>
      </c>
      <c r="R34" s="199"/>
      <c r="S34" s="199"/>
      <c r="T34" s="1681">
        <f t="shared" si="119"/>
        <v>38000</v>
      </c>
      <c r="U34" s="1681">
        <f t="shared" si="120"/>
        <v>38000</v>
      </c>
      <c r="V34" s="1681"/>
      <c r="W34" s="157">
        <v>39900</v>
      </c>
      <c r="X34" s="155"/>
      <c r="Y34" s="157"/>
      <c r="Z34" s="157">
        <f t="shared" si="121"/>
        <v>39900</v>
      </c>
      <c r="AA34" s="157">
        <f t="shared" si="122"/>
        <v>39900</v>
      </c>
      <c r="AB34" s="157"/>
      <c r="AC34" s="157">
        <v>41900</v>
      </c>
      <c r="AD34" s="157"/>
      <c r="AE34" s="157"/>
      <c r="AF34" s="157">
        <f t="shared" si="123"/>
        <v>41900</v>
      </c>
      <c r="AG34" s="157">
        <f t="shared" si="124"/>
        <v>41900</v>
      </c>
      <c r="AH34" s="157"/>
      <c r="AI34" s="157">
        <f t="shared" si="35"/>
        <v>119800</v>
      </c>
      <c r="AJ34" s="157"/>
      <c r="AK34" s="157">
        <f t="shared" si="36"/>
        <v>0</v>
      </c>
      <c r="AL34" s="157">
        <f t="shared" si="66"/>
        <v>119800</v>
      </c>
      <c r="AM34" s="157">
        <f t="shared" si="125"/>
        <v>119800</v>
      </c>
      <c r="AN34" s="157">
        <f t="shared" si="126"/>
        <v>0</v>
      </c>
      <c r="AO34" s="157">
        <v>50900</v>
      </c>
      <c r="AP34" s="157"/>
      <c r="AQ34" s="157"/>
      <c r="AR34" s="157">
        <f t="shared" si="127"/>
        <v>50900</v>
      </c>
      <c r="AS34" s="157">
        <f t="shared" si="128"/>
        <v>50900</v>
      </c>
      <c r="AT34" s="157"/>
      <c r="AU34" s="157">
        <v>55900</v>
      </c>
      <c r="AV34" s="157"/>
      <c r="AW34" s="157"/>
      <c r="AX34" s="157">
        <f t="shared" si="129"/>
        <v>55900</v>
      </c>
      <c r="AY34" s="157">
        <f t="shared" si="130"/>
        <v>55900</v>
      </c>
      <c r="AZ34" s="157"/>
      <c r="BA34" s="157">
        <v>60900</v>
      </c>
      <c r="BB34" s="157"/>
      <c r="BC34" s="157"/>
      <c r="BD34" s="157">
        <f t="shared" si="131"/>
        <v>60900</v>
      </c>
      <c r="BE34" s="157">
        <f t="shared" si="132"/>
        <v>60900</v>
      </c>
      <c r="BF34" s="157"/>
      <c r="BK34" s="6">
        <f t="shared" si="14"/>
        <v>30500</v>
      </c>
      <c r="BL34" s="6">
        <f t="shared" si="15"/>
        <v>30030</v>
      </c>
      <c r="BN34" s="1670">
        <f t="shared" si="16"/>
        <v>30030</v>
      </c>
      <c r="BO34" s="4"/>
    </row>
    <row r="35" spans="1:67" hidden="1">
      <c r="A35" s="164"/>
      <c r="B35" s="1716" t="s">
        <v>16</v>
      </c>
      <c r="C35" s="152">
        <v>0</v>
      </c>
      <c r="D35" s="152">
        <v>1500</v>
      </c>
      <c r="E35" s="153"/>
      <c r="F35" s="154"/>
      <c r="G35" s="154">
        <f t="shared" si="115"/>
        <v>1500</v>
      </c>
      <c r="H35" s="154">
        <f t="shared" si="26"/>
        <v>1500</v>
      </c>
      <c r="I35" s="154"/>
      <c r="J35" s="157">
        <v>0</v>
      </c>
      <c r="K35" s="1068"/>
      <c r="L35" s="1068"/>
      <c r="M35" s="1684"/>
      <c r="N35" s="1684">
        <f t="shared" si="117"/>
        <v>0</v>
      </c>
      <c r="O35" s="1684">
        <f t="shared" si="118"/>
        <v>0</v>
      </c>
      <c r="P35" s="1684"/>
      <c r="Q35" s="157"/>
      <c r="R35" s="199"/>
      <c r="S35" s="199"/>
      <c r="T35" s="1681">
        <f t="shared" ref="T35" si="133">SUM(U35:V35)</f>
        <v>0</v>
      </c>
      <c r="U35" s="1681">
        <f t="shared" si="120"/>
        <v>0</v>
      </c>
      <c r="V35" s="1681"/>
      <c r="W35" s="157"/>
      <c r="X35" s="155"/>
      <c r="Y35" s="157"/>
      <c r="Z35" s="157">
        <f t="shared" si="121"/>
        <v>0</v>
      </c>
      <c r="AA35" s="157">
        <f t="shared" si="122"/>
        <v>0</v>
      </c>
      <c r="AB35" s="157"/>
      <c r="AC35" s="157"/>
      <c r="AD35" s="157"/>
      <c r="AE35" s="157"/>
      <c r="AF35" s="157">
        <f t="shared" si="123"/>
        <v>0</v>
      </c>
      <c r="AG35" s="157">
        <f t="shared" si="124"/>
        <v>0</v>
      </c>
      <c r="AH35" s="157"/>
      <c r="AI35" s="157">
        <f t="shared" si="35"/>
        <v>0</v>
      </c>
      <c r="AJ35" s="157"/>
      <c r="AK35" s="157">
        <f t="shared" si="36"/>
        <v>0</v>
      </c>
      <c r="AL35" s="157">
        <f t="shared" si="66"/>
        <v>0</v>
      </c>
      <c r="AM35" s="157">
        <f t="shared" si="125"/>
        <v>0</v>
      </c>
      <c r="AN35" s="157">
        <f t="shared" si="126"/>
        <v>0</v>
      </c>
      <c r="AO35" s="157"/>
      <c r="AP35" s="157"/>
      <c r="AQ35" s="157"/>
      <c r="AR35" s="157">
        <f t="shared" si="127"/>
        <v>0</v>
      </c>
      <c r="AS35" s="157">
        <f t="shared" si="128"/>
        <v>0</v>
      </c>
      <c r="AT35" s="157"/>
      <c r="AU35" s="157"/>
      <c r="AV35" s="157"/>
      <c r="AW35" s="157"/>
      <c r="AX35" s="157">
        <f t="shared" si="129"/>
        <v>0</v>
      </c>
      <c r="AY35" s="157">
        <f t="shared" si="130"/>
        <v>0</v>
      </c>
      <c r="AZ35" s="157"/>
      <c r="BA35" s="157"/>
      <c r="BB35" s="157"/>
      <c r="BC35" s="157"/>
      <c r="BD35" s="157">
        <f t="shared" si="131"/>
        <v>0</v>
      </c>
      <c r="BE35" s="157">
        <f t="shared" si="132"/>
        <v>0</v>
      </c>
      <c r="BF35" s="157"/>
      <c r="BK35" s="6">
        <f t="shared" si="14"/>
        <v>0</v>
      </c>
      <c r="BL35" s="6">
        <f t="shared" si="15"/>
        <v>-1500</v>
      </c>
      <c r="BN35" s="1670">
        <f t="shared" si="16"/>
        <v>-1500</v>
      </c>
      <c r="BO35" s="4"/>
    </row>
    <row r="36" spans="1:67" ht="16.8">
      <c r="A36" s="164">
        <v>5</v>
      </c>
      <c r="B36" s="165" t="s">
        <v>17</v>
      </c>
      <c r="C36" s="147">
        <v>350000</v>
      </c>
      <c r="D36" s="147">
        <f t="shared" ref="D36:D42" si="134">C36</f>
        <v>350000</v>
      </c>
      <c r="E36" s="148"/>
      <c r="F36" s="149">
        <v>0</v>
      </c>
      <c r="G36" s="149">
        <f>SUM(H36:I36)</f>
        <v>350000</v>
      </c>
      <c r="H36" s="149">
        <f t="shared" si="26"/>
        <v>0</v>
      </c>
      <c r="I36" s="149">
        <f>C36</f>
        <v>350000</v>
      </c>
      <c r="J36" s="142">
        <v>310000</v>
      </c>
      <c r="K36" s="1067">
        <f>J36/C36*100</f>
        <v>88.571428571428569</v>
      </c>
      <c r="L36" s="1685">
        <f t="shared" ref="L36:L43" si="135">J36/D36*100</f>
        <v>88.571428571428569</v>
      </c>
      <c r="M36" s="1686"/>
      <c r="N36" s="1686">
        <f>SUM(O36:P36)</f>
        <v>310000</v>
      </c>
      <c r="O36" s="1686">
        <f>J36-M36-P36</f>
        <v>0</v>
      </c>
      <c r="P36" s="1686">
        <f>J36</f>
        <v>310000</v>
      </c>
      <c r="Q36" s="1064">
        <v>330000</v>
      </c>
      <c r="R36" s="1674">
        <f t="shared" ref="R36:R54" si="136">Q36/J36*100</f>
        <v>106.45161290322579</v>
      </c>
      <c r="S36" s="199"/>
      <c r="T36" s="1683">
        <f t="shared" ref="T36" si="137">SUM(U36:V36)</f>
        <v>330000</v>
      </c>
      <c r="U36" s="1683">
        <f t="shared" si="120"/>
        <v>0</v>
      </c>
      <c r="V36" s="1683">
        <f>Q36</f>
        <v>330000</v>
      </c>
      <c r="W36" s="142">
        <v>350000</v>
      </c>
      <c r="X36" s="141">
        <f>W36/Q36*100</f>
        <v>106.06060606060606</v>
      </c>
      <c r="Y36" s="157"/>
      <c r="Z36" s="142">
        <f t="shared" si="121"/>
        <v>350000</v>
      </c>
      <c r="AA36" s="142">
        <f t="shared" si="122"/>
        <v>0</v>
      </c>
      <c r="AB36" s="142">
        <f>W36</f>
        <v>350000</v>
      </c>
      <c r="AC36" s="142">
        <v>370000</v>
      </c>
      <c r="AD36" s="142">
        <f>AC36/W36*100</f>
        <v>105.71428571428572</v>
      </c>
      <c r="AE36" s="157"/>
      <c r="AF36" s="142">
        <f t="shared" si="123"/>
        <v>370000</v>
      </c>
      <c r="AG36" s="142">
        <f t="shared" si="124"/>
        <v>0</v>
      </c>
      <c r="AH36" s="142">
        <f>AC36</f>
        <v>370000</v>
      </c>
      <c r="AI36" s="142">
        <f t="shared" si="35"/>
        <v>1050000</v>
      </c>
      <c r="AJ36" s="1675">
        <f t="shared" ref="AJ36:AJ43" si="138">+((Q36/J36)*(W36/Q36)*(AC36/W36))/(1^3)-1</f>
        <v>0.19354838709677402</v>
      </c>
      <c r="AK36" s="142">
        <f t="shared" si="36"/>
        <v>0</v>
      </c>
      <c r="AL36" s="142">
        <f t="shared" si="66"/>
        <v>1050000</v>
      </c>
      <c r="AM36" s="142">
        <f t="shared" ref="AM36" si="139">+AG36+AA36+U36</f>
        <v>0</v>
      </c>
      <c r="AN36" s="142">
        <f t="shared" ref="AN36" si="140">+AH36+AB36+V36</f>
        <v>1050000</v>
      </c>
      <c r="AO36" s="142">
        <v>585000</v>
      </c>
      <c r="AP36" s="142">
        <f>AO36/AC36*100</f>
        <v>158.10810810810813</v>
      </c>
      <c r="AQ36" s="157"/>
      <c r="AR36" s="142">
        <f t="shared" si="127"/>
        <v>585000</v>
      </c>
      <c r="AS36" s="142">
        <f t="shared" si="128"/>
        <v>0</v>
      </c>
      <c r="AT36" s="142">
        <f>AO36</f>
        <v>585000</v>
      </c>
      <c r="AU36" s="142">
        <v>650000</v>
      </c>
      <c r="AV36" s="142">
        <f>AU36/AO36*100</f>
        <v>111.11111111111111</v>
      </c>
      <c r="AW36" s="157"/>
      <c r="AX36" s="142">
        <f t="shared" si="129"/>
        <v>650000</v>
      </c>
      <c r="AY36" s="142">
        <f t="shared" si="130"/>
        <v>0</v>
      </c>
      <c r="AZ36" s="142">
        <f>AU36</f>
        <v>650000</v>
      </c>
      <c r="BA36" s="142">
        <v>750000</v>
      </c>
      <c r="BB36" s="142">
        <f>BA36/AU36*100</f>
        <v>115.38461538461537</v>
      </c>
      <c r="BC36" s="157"/>
      <c r="BD36" s="142">
        <f t="shared" si="131"/>
        <v>750000</v>
      </c>
      <c r="BE36" s="142">
        <f t="shared" si="132"/>
        <v>0</v>
      </c>
      <c r="BF36" s="142">
        <f>BA36</f>
        <v>750000</v>
      </c>
      <c r="BK36" s="6">
        <f t="shared" si="14"/>
        <v>-40000</v>
      </c>
      <c r="BL36" s="6">
        <f t="shared" si="15"/>
        <v>-40000</v>
      </c>
      <c r="BN36" s="1670">
        <f t="shared" si="16"/>
        <v>-40000</v>
      </c>
      <c r="BO36" s="4"/>
    </row>
    <row r="37" spans="1:67">
      <c r="A37" s="164">
        <v>6</v>
      </c>
      <c r="B37" s="165" t="s">
        <v>18</v>
      </c>
      <c r="C37" s="147">
        <v>0</v>
      </c>
      <c r="D37" s="147">
        <f t="shared" si="134"/>
        <v>0</v>
      </c>
      <c r="E37" s="148"/>
      <c r="F37" s="149"/>
      <c r="G37" s="149">
        <f>SUM(H37:I37)</f>
        <v>0</v>
      </c>
      <c r="H37" s="149">
        <f t="shared" si="26"/>
        <v>0</v>
      </c>
      <c r="I37" s="149">
        <f>C37</f>
        <v>0</v>
      </c>
      <c r="J37" s="142">
        <v>50</v>
      </c>
      <c r="K37" s="142" t="e">
        <f>J37/C37*100</f>
        <v>#DIV/0!</v>
      </c>
      <c r="L37" s="1687" t="e">
        <f t="shared" si="135"/>
        <v>#DIV/0!</v>
      </c>
      <c r="M37" s="1686"/>
      <c r="N37" s="1686">
        <f t="shared" ref="N37:N41" si="141">SUM(O37:P37)</f>
        <v>50</v>
      </c>
      <c r="O37" s="1686">
        <f t="shared" ref="O37:O43" si="142">J37-M37-P37</f>
        <v>0</v>
      </c>
      <c r="P37" s="1686">
        <f>J37</f>
        <v>50</v>
      </c>
      <c r="Q37" s="142">
        <v>0</v>
      </c>
      <c r="R37" s="1674">
        <f t="shared" si="136"/>
        <v>0</v>
      </c>
      <c r="S37" s="199"/>
      <c r="T37" s="1683">
        <f t="shared" ref="T37" si="143">SUM(U37:V37)</f>
        <v>0</v>
      </c>
      <c r="U37" s="1683">
        <f t="shared" si="120"/>
        <v>0</v>
      </c>
      <c r="V37" s="1681"/>
      <c r="W37" s="142">
        <v>0</v>
      </c>
      <c r="X37" s="141" t="e">
        <f t="shared" ref="X37:X50" si="144">W37/Q37*100</f>
        <v>#DIV/0!</v>
      </c>
      <c r="Y37" s="157"/>
      <c r="Z37" s="142">
        <f t="shared" si="121"/>
        <v>0</v>
      </c>
      <c r="AA37" s="142">
        <f t="shared" si="122"/>
        <v>0</v>
      </c>
      <c r="AB37" s="157"/>
      <c r="AC37" s="157">
        <v>0</v>
      </c>
      <c r="AD37" s="142" t="e">
        <f t="shared" ref="AD37:AD47" si="145">AC37/W37*100</f>
        <v>#DIV/0!</v>
      </c>
      <c r="AE37" s="157"/>
      <c r="AF37" s="142">
        <f t="shared" si="123"/>
        <v>0</v>
      </c>
      <c r="AG37" s="142">
        <f t="shared" si="124"/>
        <v>0</v>
      </c>
      <c r="AH37" s="157"/>
      <c r="AI37" s="142">
        <f t="shared" si="35"/>
        <v>0</v>
      </c>
      <c r="AJ37" s="1675" t="e">
        <f t="shared" si="138"/>
        <v>#DIV/0!</v>
      </c>
      <c r="AK37" s="142">
        <f t="shared" si="36"/>
        <v>0</v>
      </c>
      <c r="AL37" s="142">
        <f t="shared" si="66"/>
        <v>0</v>
      </c>
      <c r="AM37" s="142">
        <f t="shared" ref="AM37:AM50" si="146">+AG37+AA37+U37</f>
        <v>0</v>
      </c>
      <c r="AN37" s="142">
        <f t="shared" ref="AN37:AN50" si="147">+AH37+AB37+V37</f>
        <v>0</v>
      </c>
      <c r="AO37" s="157">
        <v>0</v>
      </c>
      <c r="AP37" s="142" t="e">
        <f t="shared" ref="AP37:AP47" si="148">AO37/AC37*100</f>
        <v>#DIV/0!</v>
      </c>
      <c r="AQ37" s="157"/>
      <c r="AR37" s="142">
        <f t="shared" si="127"/>
        <v>0</v>
      </c>
      <c r="AS37" s="142">
        <f t="shared" si="128"/>
        <v>0</v>
      </c>
      <c r="AT37" s="157"/>
      <c r="AU37" s="157"/>
      <c r="AV37" s="142" t="e">
        <f t="shared" ref="AV37:AV47" si="149">AU37/AO37*100</f>
        <v>#DIV/0!</v>
      </c>
      <c r="AW37" s="157"/>
      <c r="AX37" s="142">
        <f t="shared" si="129"/>
        <v>0</v>
      </c>
      <c r="AY37" s="142">
        <f t="shared" si="130"/>
        <v>0</v>
      </c>
      <c r="AZ37" s="157"/>
      <c r="BA37" s="157"/>
      <c r="BB37" s="142" t="e">
        <f t="shared" ref="BB37:BB47" si="150">BA37/AU37*100</f>
        <v>#DIV/0!</v>
      </c>
      <c r="BC37" s="157"/>
      <c r="BD37" s="142">
        <f t="shared" si="131"/>
        <v>0</v>
      </c>
      <c r="BE37" s="142">
        <f t="shared" si="132"/>
        <v>0</v>
      </c>
      <c r="BF37" s="157"/>
      <c r="BK37" s="6">
        <f t="shared" si="14"/>
        <v>50</v>
      </c>
      <c r="BL37" s="6">
        <f t="shared" si="15"/>
        <v>50</v>
      </c>
      <c r="BN37" s="1670">
        <f t="shared" si="16"/>
        <v>50</v>
      </c>
      <c r="BO37" s="4"/>
    </row>
    <row r="38" spans="1:67">
      <c r="A38" s="164">
        <v>7</v>
      </c>
      <c r="B38" s="165" t="s">
        <v>19</v>
      </c>
      <c r="C38" s="147">
        <v>15000</v>
      </c>
      <c r="D38" s="147">
        <f t="shared" si="134"/>
        <v>15000</v>
      </c>
      <c r="E38" s="148"/>
      <c r="F38" s="149"/>
      <c r="G38" s="149">
        <f>SUM(H38:I38)</f>
        <v>15000</v>
      </c>
      <c r="H38" s="149">
        <f t="shared" si="26"/>
        <v>0</v>
      </c>
      <c r="I38" s="149">
        <f>C38</f>
        <v>15000</v>
      </c>
      <c r="J38" s="142">
        <v>15950</v>
      </c>
      <c r="K38" s="1067">
        <f>J38/C38*100</f>
        <v>106.33333333333333</v>
      </c>
      <c r="L38" s="1685">
        <f t="shared" si="135"/>
        <v>106.33333333333333</v>
      </c>
      <c r="M38" s="1686"/>
      <c r="N38" s="1686">
        <f t="shared" si="141"/>
        <v>15950</v>
      </c>
      <c r="O38" s="1686">
        <f t="shared" si="142"/>
        <v>0</v>
      </c>
      <c r="P38" s="1686">
        <f>J38</f>
        <v>15950</v>
      </c>
      <c r="Q38" s="142">
        <v>17000</v>
      </c>
      <c r="R38" s="1674">
        <f t="shared" si="136"/>
        <v>106.58307210031349</v>
      </c>
      <c r="S38" s="199"/>
      <c r="T38" s="1683">
        <f t="shared" ref="T38" si="151">SUM(U38:V38)</f>
        <v>17000</v>
      </c>
      <c r="U38" s="1683">
        <f t="shared" si="120"/>
        <v>0</v>
      </c>
      <c r="V38" s="1683">
        <f>Q38</f>
        <v>17000</v>
      </c>
      <c r="W38" s="142">
        <v>17000</v>
      </c>
      <c r="X38" s="141">
        <f t="shared" si="144"/>
        <v>100</v>
      </c>
      <c r="Y38" s="157"/>
      <c r="Z38" s="142">
        <f t="shared" si="121"/>
        <v>17000</v>
      </c>
      <c r="AA38" s="142">
        <f t="shared" si="122"/>
        <v>0</v>
      </c>
      <c r="AB38" s="142">
        <f>W38</f>
        <v>17000</v>
      </c>
      <c r="AC38" s="142">
        <v>18000</v>
      </c>
      <c r="AD38" s="142">
        <f t="shared" si="145"/>
        <v>105.88235294117648</v>
      </c>
      <c r="AE38" s="157"/>
      <c r="AF38" s="142">
        <f t="shared" si="123"/>
        <v>18000</v>
      </c>
      <c r="AG38" s="142">
        <f t="shared" si="124"/>
        <v>0</v>
      </c>
      <c r="AH38" s="142">
        <f>AC38</f>
        <v>18000</v>
      </c>
      <c r="AI38" s="142">
        <f t="shared" si="35"/>
        <v>52000</v>
      </c>
      <c r="AJ38" s="1675">
        <f t="shared" si="138"/>
        <v>0.12852664576802519</v>
      </c>
      <c r="AK38" s="142">
        <f t="shared" si="36"/>
        <v>0</v>
      </c>
      <c r="AL38" s="142">
        <f t="shared" si="66"/>
        <v>52000</v>
      </c>
      <c r="AM38" s="142">
        <f t="shared" si="146"/>
        <v>0</v>
      </c>
      <c r="AN38" s="142">
        <f t="shared" si="147"/>
        <v>52000</v>
      </c>
      <c r="AO38" s="142">
        <v>16000</v>
      </c>
      <c r="AP38" s="142">
        <f t="shared" si="148"/>
        <v>88.888888888888886</v>
      </c>
      <c r="AQ38" s="157"/>
      <c r="AR38" s="142">
        <f t="shared" si="127"/>
        <v>16000</v>
      </c>
      <c r="AS38" s="142">
        <f t="shared" si="128"/>
        <v>0</v>
      </c>
      <c r="AT38" s="142">
        <f>AO38</f>
        <v>16000</v>
      </c>
      <c r="AU38" s="142">
        <v>16000</v>
      </c>
      <c r="AV38" s="142">
        <f t="shared" si="149"/>
        <v>100</v>
      </c>
      <c r="AW38" s="157"/>
      <c r="AX38" s="142">
        <f t="shared" si="129"/>
        <v>16000</v>
      </c>
      <c r="AY38" s="142">
        <f t="shared" si="130"/>
        <v>0</v>
      </c>
      <c r="AZ38" s="142">
        <f>AU38</f>
        <v>16000</v>
      </c>
      <c r="BA38" s="142">
        <v>15000</v>
      </c>
      <c r="BB38" s="142">
        <f t="shared" si="150"/>
        <v>93.75</v>
      </c>
      <c r="BC38" s="157"/>
      <c r="BD38" s="142">
        <f t="shared" si="131"/>
        <v>15000</v>
      </c>
      <c r="BE38" s="142">
        <f t="shared" si="132"/>
        <v>0</v>
      </c>
      <c r="BF38" s="142">
        <f>BA38</f>
        <v>15000</v>
      </c>
      <c r="BK38" s="6">
        <f t="shared" si="14"/>
        <v>950</v>
      </c>
      <c r="BL38" s="6">
        <f t="shared" si="15"/>
        <v>950</v>
      </c>
      <c r="BN38" s="1670">
        <f t="shared" si="16"/>
        <v>950</v>
      </c>
      <c r="BO38" s="4"/>
    </row>
    <row r="39" spans="1:67" ht="16.8">
      <c r="A39" s="164">
        <v>8</v>
      </c>
      <c r="B39" s="165" t="s">
        <v>20</v>
      </c>
      <c r="C39" s="147">
        <f>745000-15000</f>
        <v>730000</v>
      </c>
      <c r="D39" s="147">
        <f t="shared" si="134"/>
        <v>730000</v>
      </c>
      <c r="E39" s="148"/>
      <c r="F39" s="149"/>
      <c r="G39" s="149">
        <f t="shared" ref="G39" si="152">SUM(H39:I39)</f>
        <v>730000</v>
      </c>
      <c r="H39" s="149">
        <f t="shared" si="26"/>
        <v>408000</v>
      </c>
      <c r="I39" s="149">
        <v>322000</v>
      </c>
      <c r="J39" s="142">
        <v>740000</v>
      </c>
      <c r="K39" s="1067">
        <f t="shared" ref="K39:K54" si="153">J39/C39*100</f>
        <v>101.36986301369863</v>
      </c>
      <c r="L39" s="1685">
        <f t="shared" si="135"/>
        <v>101.36986301369863</v>
      </c>
      <c r="M39" s="1686"/>
      <c r="N39" s="1686">
        <f t="shared" si="141"/>
        <v>740000</v>
      </c>
      <c r="O39" s="1686">
        <f t="shared" si="142"/>
        <v>413590.0410958904</v>
      </c>
      <c r="P39" s="1686">
        <f>(I39*L39)/100-1</f>
        <v>326409.9589041096</v>
      </c>
      <c r="Q39" s="1064">
        <v>780000</v>
      </c>
      <c r="R39" s="1674">
        <f t="shared" si="136"/>
        <v>105.40540540540539</v>
      </c>
      <c r="S39" s="199"/>
      <c r="T39" s="1683">
        <f t="shared" ref="T39" si="154">SUM(U39:V39)</f>
        <v>780000</v>
      </c>
      <c r="U39" s="1683">
        <f t="shared" si="120"/>
        <v>435940.25953350612</v>
      </c>
      <c r="V39" s="1683">
        <f>(P39*R39)/100+6</f>
        <v>344059.74046649388</v>
      </c>
      <c r="W39" s="142">
        <v>800000</v>
      </c>
      <c r="X39" s="141">
        <f t="shared" si="144"/>
        <v>102.56410256410255</v>
      </c>
      <c r="Y39" s="157"/>
      <c r="Z39" s="142">
        <f t="shared" si="121"/>
        <v>800000</v>
      </c>
      <c r="AA39" s="142">
        <f>W39-Y39-AB39</f>
        <v>447114.21490616014</v>
      </c>
      <c r="AB39" s="142">
        <f>(V39*X39)/100+4</f>
        <v>352885.78509383986</v>
      </c>
      <c r="AC39" s="142">
        <v>820000</v>
      </c>
      <c r="AD39" s="142">
        <f t="shared" si="145"/>
        <v>102.49999999999999</v>
      </c>
      <c r="AE39" s="157"/>
      <c r="AF39" s="142">
        <f t="shared" si="123"/>
        <v>820000</v>
      </c>
      <c r="AG39" s="142">
        <f>AC39-AE39-AH39</f>
        <v>458294.07027881424</v>
      </c>
      <c r="AH39" s="142">
        <f>(AB39*AD39)/100-2</f>
        <v>361705.92972118576</v>
      </c>
      <c r="AI39" s="142">
        <f t="shared" si="35"/>
        <v>2400000</v>
      </c>
      <c r="AJ39" s="1675">
        <f t="shared" si="138"/>
        <v>0.10810810810810789</v>
      </c>
      <c r="AK39" s="142">
        <f t="shared" si="36"/>
        <v>0</v>
      </c>
      <c r="AL39" s="142">
        <f t="shared" si="66"/>
        <v>2400000</v>
      </c>
      <c r="AM39" s="142">
        <f t="shared" si="146"/>
        <v>1341348.5447184804</v>
      </c>
      <c r="AN39" s="142">
        <f t="shared" si="147"/>
        <v>1058651.4552815196</v>
      </c>
      <c r="AO39" s="142">
        <v>1050000</v>
      </c>
      <c r="AP39" s="142">
        <f t="shared" si="148"/>
        <v>128.04878048780489</v>
      </c>
      <c r="AQ39" s="157"/>
      <c r="AR39" s="142">
        <f t="shared" si="127"/>
        <v>1050000</v>
      </c>
      <c r="AS39" s="142">
        <f t="shared" si="128"/>
        <v>586839.968039945</v>
      </c>
      <c r="AT39" s="142">
        <f>(AP39*AH39)/100</f>
        <v>463160.031960055</v>
      </c>
      <c r="AU39" s="142">
        <v>1130000</v>
      </c>
      <c r="AV39" s="142">
        <f t="shared" si="149"/>
        <v>107.61904761904762</v>
      </c>
      <c r="AW39" s="157"/>
      <c r="AX39" s="142">
        <f t="shared" si="129"/>
        <v>1130000</v>
      </c>
      <c r="AY39" s="142">
        <f t="shared" si="130"/>
        <v>631551.58465251222</v>
      </c>
      <c r="AZ39" s="142">
        <f>(AV39*AT39)/100</f>
        <v>498448.41534748778</v>
      </c>
      <c r="BA39" s="142">
        <v>1200000</v>
      </c>
      <c r="BB39" s="142">
        <f t="shared" si="150"/>
        <v>106.19469026548674</v>
      </c>
      <c r="BC39" s="157"/>
      <c r="BD39" s="142">
        <f t="shared" si="131"/>
        <v>1200000</v>
      </c>
      <c r="BE39" s="142">
        <f t="shared" si="132"/>
        <v>670674.24918850849</v>
      </c>
      <c r="BF39" s="142">
        <f>(AZ39*BB39)/100</f>
        <v>529325.75081149151</v>
      </c>
      <c r="BK39" s="6">
        <f t="shared" si="14"/>
        <v>10000</v>
      </c>
      <c r="BL39" s="6">
        <f t="shared" si="15"/>
        <v>10000</v>
      </c>
      <c r="BN39" s="1670">
        <f t="shared" si="16"/>
        <v>10000</v>
      </c>
      <c r="BO39" s="4"/>
    </row>
    <row r="40" spans="1:67" ht="16.8">
      <c r="A40" s="164">
        <v>9</v>
      </c>
      <c r="B40" s="165" t="s">
        <v>21</v>
      </c>
      <c r="C40" s="147">
        <f>1065000</f>
        <v>1065000</v>
      </c>
      <c r="D40" s="147">
        <f t="shared" si="134"/>
        <v>1065000</v>
      </c>
      <c r="E40" s="148"/>
      <c r="F40" s="149">
        <f>C40*40%</f>
        <v>426000</v>
      </c>
      <c r="G40" s="149">
        <f t="shared" ref="G40:G44" si="155">SUM(H40:I40)</f>
        <v>639000</v>
      </c>
      <c r="H40" s="149">
        <f t="shared" si="26"/>
        <v>639000</v>
      </c>
      <c r="I40" s="149"/>
      <c r="J40" s="142">
        <v>856000</v>
      </c>
      <c r="K40" s="1067">
        <f t="shared" si="153"/>
        <v>80.375586854460096</v>
      </c>
      <c r="L40" s="1685">
        <f t="shared" si="135"/>
        <v>80.375586854460096</v>
      </c>
      <c r="M40" s="1686">
        <f>F40*L40/100</f>
        <v>342400</v>
      </c>
      <c r="N40" s="1686">
        <f t="shared" si="141"/>
        <v>513600</v>
      </c>
      <c r="O40" s="1686">
        <f>J40-M40-P40</f>
        <v>513600</v>
      </c>
      <c r="P40" s="1686"/>
      <c r="Q40" s="1064">
        <v>1500000</v>
      </c>
      <c r="R40" s="1674">
        <f t="shared" si="136"/>
        <v>175.23364485981307</v>
      </c>
      <c r="S40" s="1683">
        <f>Q40*40%</f>
        <v>600000</v>
      </c>
      <c r="T40" s="1683">
        <f t="shared" ref="T40" si="156">SUM(U40:V40)</f>
        <v>900000</v>
      </c>
      <c r="U40" s="1683">
        <f t="shared" si="120"/>
        <v>900000</v>
      </c>
      <c r="V40" s="1681"/>
      <c r="W40" s="142">
        <v>1500000</v>
      </c>
      <c r="X40" s="141">
        <f t="shared" si="144"/>
        <v>100</v>
      </c>
      <c r="Y40" s="142">
        <f>W40*40%</f>
        <v>600000</v>
      </c>
      <c r="Z40" s="142">
        <f t="shared" si="121"/>
        <v>900000</v>
      </c>
      <c r="AA40" s="142">
        <f t="shared" si="122"/>
        <v>900000</v>
      </c>
      <c r="AB40" s="157"/>
      <c r="AC40" s="142">
        <v>1500000</v>
      </c>
      <c r="AD40" s="142">
        <f t="shared" si="145"/>
        <v>100</v>
      </c>
      <c r="AE40" s="142">
        <f>AC40*40%</f>
        <v>600000</v>
      </c>
      <c r="AF40" s="142">
        <f t="shared" si="123"/>
        <v>900000</v>
      </c>
      <c r="AG40" s="142">
        <f t="shared" si="124"/>
        <v>900000</v>
      </c>
      <c r="AH40" s="157"/>
      <c r="AI40" s="142">
        <f t="shared" si="35"/>
        <v>4500000</v>
      </c>
      <c r="AJ40" s="1675">
        <f t="shared" si="138"/>
        <v>0.75233644859813076</v>
      </c>
      <c r="AK40" s="142">
        <f t="shared" si="36"/>
        <v>1800000</v>
      </c>
      <c r="AL40" s="142">
        <f t="shared" si="66"/>
        <v>2700000</v>
      </c>
      <c r="AM40" s="142">
        <f t="shared" si="146"/>
        <v>2700000</v>
      </c>
      <c r="AN40" s="142">
        <f t="shared" si="147"/>
        <v>0</v>
      </c>
      <c r="AO40" s="142">
        <f>1800000</f>
        <v>1800000</v>
      </c>
      <c r="AP40" s="142">
        <f t="shared" si="148"/>
        <v>120</v>
      </c>
      <c r="AQ40" s="142">
        <f>AO40*40%</f>
        <v>720000</v>
      </c>
      <c r="AR40" s="142">
        <f t="shared" si="127"/>
        <v>1080000</v>
      </c>
      <c r="AS40" s="142">
        <f t="shared" si="128"/>
        <v>1080000</v>
      </c>
      <c r="AT40" s="157"/>
      <c r="AU40" s="142">
        <v>1900000</v>
      </c>
      <c r="AV40" s="142">
        <f t="shared" si="149"/>
        <v>105.55555555555556</v>
      </c>
      <c r="AW40" s="142">
        <f>(40%*AU40)</f>
        <v>760000</v>
      </c>
      <c r="AX40" s="142">
        <f t="shared" si="129"/>
        <v>1140000</v>
      </c>
      <c r="AY40" s="142">
        <f t="shared" si="130"/>
        <v>1140000</v>
      </c>
      <c r="AZ40" s="157"/>
      <c r="BA40" s="142">
        <f>2000000</f>
        <v>2000000</v>
      </c>
      <c r="BB40" s="142">
        <f t="shared" si="150"/>
        <v>105.26315789473684</v>
      </c>
      <c r="BC40" s="142">
        <f>(BA40*40%)</f>
        <v>800000</v>
      </c>
      <c r="BD40" s="142">
        <f t="shared" si="131"/>
        <v>1200000</v>
      </c>
      <c r="BE40" s="142">
        <f t="shared" si="132"/>
        <v>1200000</v>
      </c>
      <c r="BF40" s="157"/>
      <c r="BK40" s="6">
        <f>J40-C40</f>
        <v>-209000</v>
      </c>
      <c r="BL40" s="6">
        <f t="shared" si="15"/>
        <v>-209000</v>
      </c>
      <c r="BN40" s="1670">
        <f t="shared" si="16"/>
        <v>-125400</v>
      </c>
      <c r="BO40" s="4"/>
    </row>
    <row r="41" spans="1:67" ht="16.8">
      <c r="A41" s="164">
        <v>10</v>
      </c>
      <c r="B41" s="165" t="s">
        <v>22</v>
      </c>
      <c r="C41" s="147">
        <v>170000</v>
      </c>
      <c r="D41" s="147">
        <f t="shared" si="134"/>
        <v>170000</v>
      </c>
      <c r="E41" s="148"/>
      <c r="F41" s="149">
        <v>60000</v>
      </c>
      <c r="G41" s="149">
        <f t="shared" si="155"/>
        <v>110000</v>
      </c>
      <c r="H41" s="149">
        <f t="shared" si="26"/>
        <v>47600</v>
      </c>
      <c r="I41" s="149">
        <f>62400</f>
        <v>62400</v>
      </c>
      <c r="J41" s="142">
        <v>170000</v>
      </c>
      <c r="K41" s="1067">
        <f t="shared" si="153"/>
        <v>100</v>
      </c>
      <c r="L41" s="1685">
        <f t="shared" si="135"/>
        <v>100</v>
      </c>
      <c r="M41" s="1686">
        <f>F41*L41/100-10000</f>
        <v>50000</v>
      </c>
      <c r="N41" s="1686">
        <f t="shared" si="141"/>
        <v>120000</v>
      </c>
      <c r="O41" s="1686">
        <f t="shared" si="142"/>
        <v>57600</v>
      </c>
      <c r="P41" s="1686">
        <f>I41*L41/100</f>
        <v>62400</v>
      </c>
      <c r="Q41" s="1064">
        <v>180000</v>
      </c>
      <c r="R41" s="1674">
        <f t="shared" si="136"/>
        <v>105.88235294117648</v>
      </c>
      <c r="S41" s="1065">
        <f>(M41*R41)/100+59</f>
        <v>53000.176470588238</v>
      </c>
      <c r="T41" s="1683">
        <f t="shared" ref="T41" si="157">SUM(U41:V41)</f>
        <v>126999.82352941176</v>
      </c>
      <c r="U41" s="1683">
        <f t="shared" si="120"/>
        <v>60930.235294117636</v>
      </c>
      <c r="V41" s="1683">
        <f>(I41*R41)/100-1</f>
        <v>66069.588235294126</v>
      </c>
      <c r="W41" s="142">
        <v>190000</v>
      </c>
      <c r="X41" s="141">
        <f t="shared" si="144"/>
        <v>105.55555555555556</v>
      </c>
      <c r="Y41" s="142">
        <f>(S41*X41)/100+5</f>
        <v>55949.630718954249</v>
      </c>
      <c r="Z41" s="142">
        <f t="shared" si="121"/>
        <v>134050.36928104574</v>
      </c>
      <c r="AA41" s="142">
        <f t="shared" si="122"/>
        <v>64310.248366013053</v>
      </c>
      <c r="AB41" s="142">
        <f>(V41*X41)/100</f>
        <v>69740.12091503269</v>
      </c>
      <c r="AC41" s="142">
        <v>200000</v>
      </c>
      <c r="AD41" s="142">
        <f t="shared" si="145"/>
        <v>105.26315789473684</v>
      </c>
      <c r="AE41" s="142">
        <f>(Y41*AD41)/100+6</f>
        <v>58900.348125214994</v>
      </c>
      <c r="AF41" s="142">
        <f t="shared" si="123"/>
        <v>141099.65187478502</v>
      </c>
      <c r="AG41" s="142">
        <f t="shared" si="124"/>
        <v>67689.998280013766</v>
      </c>
      <c r="AH41" s="142">
        <f>(AB41*AD41)/100-1</f>
        <v>73409.653594771255</v>
      </c>
      <c r="AI41" s="142">
        <f t="shared" si="35"/>
        <v>570000</v>
      </c>
      <c r="AJ41" s="1675">
        <f t="shared" si="138"/>
        <v>0.17647058823529416</v>
      </c>
      <c r="AK41" s="142">
        <f t="shared" si="36"/>
        <v>167850.15531475749</v>
      </c>
      <c r="AL41" s="142">
        <f t="shared" si="66"/>
        <v>402149.84468524251</v>
      </c>
      <c r="AM41" s="142">
        <f t="shared" si="146"/>
        <v>192930.48194014444</v>
      </c>
      <c r="AN41" s="142">
        <f t="shared" si="147"/>
        <v>209219.36274509807</v>
      </c>
      <c r="AO41" s="142">
        <f>270000</f>
        <v>270000</v>
      </c>
      <c r="AP41" s="142">
        <f t="shared" si="148"/>
        <v>135</v>
      </c>
      <c r="AQ41" s="142">
        <f>(AP41*AE41)/100</f>
        <v>79515.469969040234</v>
      </c>
      <c r="AR41" s="142">
        <f t="shared" si="127"/>
        <v>190484.53003095975</v>
      </c>
      <c r="AS41" s="142">
        <f t="shared" si="128"/>
        <v>91381.497678018568</v>
      </c>
      <c r="AT41" s="142">
        <f>(AH41*AP41)/100</f>
        <v>99103.032352941183</v>
      </c>
      <c r="AU41" s="142">
        <v>300000</v>
      </c>
      <c r="AV41" s="142">
        <f t="shared" si="149"/>
        <v>111.11111111111111</v>
      </c>
      <c r="AW41" s="142">
        <f>(AV41*AQ41)/100</f>
        <v>88350.522187822484</v>
      </c>
      <c r="AX41" s="142">
        <f t="shared" si="129"/>
        <v>211649.4778121775</v>
      </c>
      <c r="AY41" s="142">
        <f t="shared" si="130"/>
        <v>101534.99742002062</v>
      </c>
      <c r="AZ41" s="142">
        <f>(AV41*AT41)/100</f>
        <v>110114.48039215688</v>
      </c>
      <c r="BA41" s="142">
        <f>350000</f>
        <v>350000</v>
      </c>
      <c r="BB41" s="142">
        <f t="shared" si="150"/>
        <v>116.66666666666667</v>
      </c>
      <c r="BC41" s="142">
        <f>(BB41*AW41)/100</f>
        <v>103075.60921912623</v>
      </c>
      <c r="BD41" s="142">
        <f t="shared" si="131"/>
        <v>246924.39078087377</v>
      </c>
      <c r="BE41" s="142">
        <f t="shared" si="132"/>
        <v>118457.49699002407</v>
      </c>
      <c r="BF41" s="142">
        <f>(BB41*AZ41)/100</f>
        <v>128466.8937908497</v>
      </c>
      <c r="BK41" s="6">
        <f t="shared" si="14"/>
        <v>0</v>
      </c>
      <c r="BL41" s="6">
        <f t="shared" si="15"/>
        <v>0</v>
      </c>
      <c r="BN41" s="1670">
        <f t="shared" si="16"/>
        <v>10000</v>
      </c>
      <c r="BO41" s="4"/>
    </row>
    <row r="42" spans="1:67" ht="16.8">
      <c r="A42" s="164">
        <v>11</v>
      </c>
      <c r="B42" s="165" t="s">
        <v>23</v>
      </c>
      <c r="C42" s="147">
        <f>1200000+270000+300000</f>
        <v>1770000</v>
      </c>
      <c r="D42" s="147">
        <f t="shared" si="134"/>
        <v>1770000</v>
      </c>
      <c r="E42" s="148"/>
      <c r="F42" s="149"/>
      <c r="G42" s="149">
        <f t="shared" si="155"/>
        <v>1770000</v>
      </c>
      <c r="H42" s="149">
        <f t="shared" si="26"/>
        <v>627000</v>
      </c>
      <c r="I42" s="149">
        <f>(1270000)-(1270000*10%)</f>
        <v>1143000</v>
      </c>
      <c r="J42" s="142">
        <f>1760000+10000</f>
        <v>1770000</v>
      </c>
      <c r="K42" s="1067">
        <f t="shared" si="153"/>
        <v>100</v>
      </c>
      <c r="L42" s="1685">
        <f t="shared" si="135"/>
        <v>100</v>
      </c>
      <c r="M42" s="1684"/>
      <c r="N42" s="1686">
        <f>SUM(O42:P42)</f>
        <v>1770000</v>
      </c>
      <c r="O42" s="1686">
        <f t="shared" si="142"/>
        <v>627000</v>
      </c>
      <c r="P42" s="1686">
        <f>I42*L42/100</f>
        <v>1143000</v>
      </c>
      <c r="Q42" s="1064">
        <v>1800000</v>
      </c>
      <c r="R42" s="1674">
        <f t="shared" si="136"/>
        <v>101.69491525423729</v>
      </c>
      <c r="S42" s="199"/>
      <c r="T42" s="1683">
        <f t="shared" ref="T42" si="158">SUM(U42:V42)</f>
        <v>1800000</v>
      </c>
      <c r="U42" s="1683">
        <f t="shared" si="120"/>
        <v>540000</v>
      </c>
      <c r="V42" s="1683">
        <f>(1400000)-(1400000*10%)</f>
        <v>1260000</v>
      </c>
      <c r="W42" s="142">
        <v>1700000</v>
      </c>
      <c r="X42" s="141">
        <f t="shared" si="144"/>
        <v>94.444444444444443</v>
      </c>
      <c r="Y42" s="157"/>
      <c r="Z42" s="142">
        <f t="shared" si="121"/>
        <v>1700000</v>
      </c>
      <c r="AA42" s="142">
        <f t="shared" si="122"/>
        <v>530000</v>
      </c>
      <c r="AB42" s="1683">
        <f>(1300000)-(1300000*10%)</f>
        <v>1170000</v>
      </c>
      <c r="AC42" s="142">
        <v>1600000</v>
      </c>
      <c r="AD42" s="142">
        <f t="shared" si="145"/>
        <v>94.117647058823522</v>
      </c>
      <c r="AE42" s="157"/>
      <c r="AF42" s="142">
        <f t="shared" si="123"/>
        <v>1600000</v>
      </c>
      <c r="AG42" s="142">
        <f t="shared" si="124"/>
        <v>520000</v>
      </c>
      <c r="AH42" s="1683">
        <f>(1200000)-(1200000*10%)</f>
        <v>1080000</v>
      </c>
      <c r="AI42" s="142">
        <f t="shared" si="35"/>
        <v>5100000</v>
      </c>
      <c r="AJ42" s="1675">
        <f t="shared" si="138"/>
        <v>-9.6045197740113109E-2</v>
      </c>
      <c r="AK42" s="142">
        <f t="shared" si="36"/>
        <v>0</v>
      </c>
      <c r="AL42" s="142">
        <f t="shared" si="66"/>
        <v>5100000</v>
      </c>
      <c r="AM42" s="142">
        <f t="shared" si="146"/>
        <v>1590000</v>
      </c>
      <c r="AN42" s="142">
        <f t="shared" si="147"/>
        <v>3510000</v>
      </c>
      <c r="AO42" s="142">
        <v>1800000</v>
      </c>
      <c r="AP42" s="142">
        <f t="shared" si="148"/>
        <v>112.5</v>
      </c>
      <c r="AQ42" s="157"/>
      <c r="AR42" s="142">
        <f t="shared" si="127"/>
        <v>1800000</v>
      </c>
      <c r="AS42" s="142">
        <f t="shared" si="128"/>
        <v>540000</v>
      </c>
      <c r="AT42" s="1683">
        <f>(1400000)-(1400000*10%)</f>
        <v>1260000</v>
      </c>
      <c r="AU42" s="142">
        <v>1950000</v>
      </c>
      <c r="AV42" s="142">
        <f t="shared" si="149"/>
        <v>108.33333333333333</v>
      </c>
      <c r="AW42" s="157"/>
      <c r="AX42" s="142">
        <f t="shared" si="129"/>
        <v>1950000</v>
      </c>
      <c r="AY42" s="142">
        <f t="shared" si="130"/>
        <v>600000</v>
      </c>
      <c r="AZ42" s="142">
        <f>(1500000)-(1500000*10%)</f>
        <v>1350000</v>
      </c>
      <c r="BA42" s="142">
        <f>2100000</f>
        <v>2100000</v>
      </c>
      <c r="BB42" s="142">
        <f t="shared" si="150"/>
        <v>107.69230769230769</v>
      </c>
      <c r="BC42" s="157"/>
      <c r="BD42" s="142">
        <f t="shared" si="131"/>
        <v>2100000</v>
      </c>
      <c r="BE42" s="142">
        <f t="shared" si="132"/>
        <v>615000</v>
      </c>
      <c r="BF42" s="142">
        <f>(1650000)-(1650000*10%)</f>
        <v>1485000</v>
      </c>
      <c r="BK42" s="6">
        <f t="shared" si="14"/>
        <v>0</v>
      </c>
      <c r="BL42" s="6">
        <f t="shared" si="15"/>
        <v>0</v>
      </c>
      <c r="BN42" s="1670">
        <f t="shared" si="16"/>
        <v>0</v>
      </c>
      <c r="BO42" s="4"/>
    </row>
    <row r="43" spans="1:67">
      <c r="A43" s="164">
        <v>12</v>
      </c>
      <c r="B43" s="165" t="s">
        <v>24</v>
      </c>
      <c r="C43" s="147">
        <v>155000</v>
      </c>
      <c r="D43" s="147">
        <f>C43+160000</f>
        <v>315000</v>
      </c>
      <c r="E43" s="148"/>
      <c r="F43" s="149"/>
      <c r="G43" s="149">
        <f>SUM(H43:I43)</f>
        <v>315000</v>
      </c>
      <c r="H43" s="149">
        <f t="shared" si="26"/>
        <v>45900</v>
      </c>
      <c r="I43" s="149">
        <f>299000-(299000*10%)</f>
        <v>269100</v>
      </c>
      <c r="J43" s="142">
        <v>162000</v>
      </c>
      <c r="K43" s="1067">
        <f t="shared" si="153"/>
        <v>104.51612903225806</v>
      </c>
      <c r="L43" s="1685">
        <f t="shared" si="135"/>
        <v>51.428571428571423</v>
      </c>
      <c r="M43" s="1684"/>
      <c r="N43" s="1686">
        <f>SUM(O43:P43)</f>
        <v>162000</v>
      </c>
      <c r="O43" s="1686">
        <f t="shared" si="142"/>
        <v>23609.71428571429</v>
      </c>
      <c r="P43" s="1686">
        <f>I43*L43/100-4</f>
        <v>138390.28571428571</v>
      </c>
      <c r="Q43" s="142">
        <v>170000</v>
      </c>
      <c r="R43" s="1674">
        <f>Q43/J43*100</f>
        <v>104.93827160493827</v>
      </c>
      <c r="S43" s="199"/>
      <c r="T43" s="1688">
        <f>SUM(U43:V43)</f>
        <v>170000</v>
      </c>
      <c r="U43" s="1065">
        <f t="shared" si="120"/>
        <v>24769.626102292794</v>
      </c>
      <c r="V43" s="1065">
        <f>(P43*R43)/100+6</f>
        <v>145230.37389770721</v>
      </c>
      <c r="W43" s="142">
        <v>180000</v>
      </c>
      <c r="X43" s="141">
        <f t="shared" si="144"/>
        <v>105.88235294117648</v>
      </c>
      <c r="Y43" s="157"/>
      <c r="Z43" s="142">
        <f t="shared" si="121"/>
        <v>180000</v>
      </c>
      <c r="AA43" s="142">
        <f t="shared" si="122"/>
        <v>26229.662931839412</v>
      </c>
      <c r="AB43" s="142">
        <f>(V43*X43)/100-3</f>
        <v>153770.33706816059</v>
      </c>
      <c r="AC43" s="142">
        <v>190000</v>
      </c>
      <c r="AD43" s="142">
        <f t="shared" si="145"/>
        <v>105.55555555555556</v>
      </c>
      <c r="AE43" s="157"/>
      <c r="AF43" s="142">
        <f t="shared" si="123"/>
        <v>190000</v>
      </c>
      <c r="AG43" s="142">
        <f t="shared" si="124"/>
        <v>27688.866428052715</v>
      </c>
      <c r="AH43" s="142">
        <f>(AB43*AD43)/100-2</f>
        <v>162311.13357194728</v>
      </c>
      <c r="AI43" s="142">
        <f t="shared" si="35"/>
        <v>540000</v>
      </c>
      <c r="AJ43" s="1675">
        <f t="shared" si="138"/>
        <v>0.17283950617283961</v>
      </c>
      <c r="AK43" s="142">
        <f t="shared" si="36"/>
        <v>0</v>
      </c>
      <c r="AL43" s="142">
        <f t="shared" si="66"/>
        <v>540000</v>
      </c>
      <c r="AM43" s="142">
        <f t="shared" si="146"/>
        <v>78688.155462184921</v>
      </c>
      <c r="AN43" s="142">
        <f t="shared" si="147"/>
        <v>461311.84453781508</v>
      </c>
      <c r="AO43" s="142">
        <v>365000</v>
      </c>
      <c r="AP43" s="142">
        <f t="shared" si="148"/>
        <v>192.10526315789474</v>
      </c>
      <c r="AQ43" s="157"/>
      <c r="AR43" s="142">
        <f t="shared" si="127"/>
        <v>365000</v>
      </c>
      <c r="AS43" s="142">
        <f t="shared" si="128"/>
        <v>53191.769717048621</v>
      </c>
      <c r="AT43" s="142">
        <f>(AP43*AH43)/100</f>
        <v>311808.23028295138</v>
      </c>
      <c r="AU43" s="142">
        <v>487000</v>
      </c>
      <c r="AV43" s="142">
        <f t="shared" si="149"/>
        <v>133.42465753424656</v>
      </c>
      <c r="AW43" s="157"/>
      <c r="AX43" s="142">
        <f t="shared" si="129"/>
        <v>487000</v>
      </c>
      <c r="AY43" s="142">
        <f t="shared" si="130"/>
        <v>70970.936581377231</v>
      </c>
      <c r="AZ43" s="142">
        <f>(AV43*AT43)/100</f>
        <v>416029.06341862277</v>
      </c>
      <c r="BA43" s="142">
        <v>620000</v>
      </c>
      <c r="BB43" s="142">
        <f t="shared" si="150"/>
        <v>127.31006160164272</v>
      </c>
      <c r="BC43" s="157"/>
      <c r="BD43" s="142">
        <f t="shared" si="131"/>
        <v>620000</v>
      </c>
      <c r="BE43" s="142">
        <f t="shared" si="132"/>
        <v>90353.143081014045</v>
      </c>
      <c r="BF43" s="142">
        <f>(BB43*AZ43)/100</f>
        <v>529646.85691898596</v>
      </c>
      <c r="BK43" s="6">
        <f t="shared" si="14"/>
        <v>7000</v>
      </c>
      <c r="BL43" s="6">
        <f t="shared" si="15"/>
        <v>-153000</v>
      </c>
      <c r="BN43" s="1670">
        <f t="shared" si="16"/>
        <v>-153000</v>
      </c>
      <c r="BO43" s="4"/>
    </row>
    <row r="44" spans="1:67">
      <c r="A44" s="164">
        <v>13</v>
      </c>
      <c r="B44" s="165" t="s">
        <v>25</v>
      </c>
      <c r="C44" s="147">
        <v>0</v>
      </c>
      <c r="D44" s="147"/>
      <c r="E44" s="148"/>
      <c r="F44" s="149"/>
      <c r="G44" s="149">
        <f t="shared" si="155"/>
        <v>0</v>
      </c>
      <c r="H44" s="149">
        <f t="shared" si="26"/>
        <v>0</v>
      </c>
      <c r="I44" s="149">
        <v>0</v>
      </c>
      <c r="J44" s="142">
        <v>0</v>
      </c>
      <c r="K44" s="142"/>
      <c r="L44" s="142"/>
      <c r="M44" s="1686"/>
      <c r="N44" s="1686"/>
      <c r="O44" s="1686"/>
      <c r="P44" s="1686"/>
      <c r="Q44" s="157"/>
      <c r="R44" s="1674" t="e">
        <f t="shared" si="136"/>
        <v>#DIV/0!</v>
      </c>
      <c r="S44" s="199"/>
      <c r="T44" s="1682">
        <f t="shared" ref="T44:T46" si="159">SUM(U44:V44)</f>
        <v>0</v>
      </c>
      <c r="U44" s="1682">
        <f t="shared" si="120"/>
        <v>0</v>
      </c>
      <c r="V44" s="199"/>
      <c r="W44" s="157"/>
      <c r="X44" s="141" t="e">
        <f t="shared" si="144"/>
        <v>#DIV/0!</v>
      </c>
      <c r="Y44" s="157"/>
      <c r="Z44" s="142">
        <f t="shared" si="121"/>
        <v>0</v>
      </c>
      <c r="AA44" s="142">
        <f t="shared" si="122"/>
        <v>0</v>
      </c>
      <c r="AB44" s="157"/>
      <c r="AC44" s="157"/>
      <c r="AD44" s="142" t="e">
        <f t="shared" si="145"/>
        <v>#DIV/0!</v>
      </c>
      <c r="AE44" s="157"/>
      <c r="AF44" s="142">
        <f t="shared" si="123"/>
        <v>0</v>
      </c>
      <c r="AG44" s="142">
        <f t="shared" si="124"/>
        <v>0</v>
      </c>
      <c r="AH44" s="157"/>
      <c r="AI44" s="142">
        <f t="shared" si="35"/>
        <v>0</v>
      </c>
      <c r="AJ44" s="1675" t="e">
        <f t="shared" ref="AJ44:AJ48" si="160">+((Q44/J44)*(W44/Q44)*(AC44/W44))/(1^3)</f>
        <v>#DIV/0!</v>
      </c>
      <c r="AK44" s="142">
        <f t="shared" si="36"/>
        <v>0</v>
      </c>
      <c r="AL44" s="142">
        <f t="shared" si="66"/>
        <v>0</v>
      </c>
      <c r="AM44" s="142">
        <f t="shared" si="146"/>
        <v>0</v>
      </c>
      <c r="AN44" s="142">
        <f t="shared" si="147"/>
        <v>0</v>
      </c>
      <c r="AO44" s="157"/>
      <c r="AP44" s="142" t="e">
        <f t="shared" si="148"/>
        <v>#DIV/0!</v>
      </c>
      <c r="AQ44" s="157"/>
      <c r="AR44" s="142">
        <f t="shared" si="127"/>
        <v>0</v>
      </c>
      <c r="AS44" s="142">
        <f t="shared" si="128"/>
        <v>0</v>
      </c>
      <c r="AT44" s="157"/>
      <c r="AU44" s="157"/>
      <c r="AV44" s="142" t="e">
        <f t="shared" si="149"/>
        <v>#DIV/0!</v>
      </c>
      <c r="AW44" s="157"/>
      <c r="AX44" s="142">
        <f t="shared" si="129"/>
        <v>0</v>
      </c>
      <c r="AY44" s="142">
        <f t="shared" si="130"/>
        <v>0</v>
      </c>
      <c r="AZ44" s="157"/>
      <c r="BA44" s="157"/>
      <c r="BB44" s="142" t="e">
        <f t="shared" si="150"/>
        <v>#DIV/0!</v>
      </c>
      <c r="BC44" s="157"/>
      <c r="BD44" s="142">
        <f t="shared" si="131"/>
        <v>0</v>
      </c>
      <c r="BE44" s="142">
        <f t="shared" si="132"/>
        <v>0</v>
      </c>
      <c r="BF44" s="157"/>
      <c r="BK44" s="6">
        <f t="shared" si="14"/>
        <v>0</v>
      </c>
      <c r="BL44" s="6">
        <f t="shared" si="15"/>
        <v>0</v>
      </c>
      <c r="BN44" s="1670">
        <f t="shared" si="16"/>
        <v>0</v>
      </c>
      <c r="BO44" s="4"/>
    </row>
    <row r="45" spans="1:67">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53"/>
        <v>116.56441717791411</v>
      </c>
      <c r="L45" s="1685">
        <f>J45/D45*100</f>
        <v>116.56441717791411</v>
      </c>
      <c r="M45" s="1686">
        <f>F45*L45/100+29263.5</f>
        <v>139999.6963190184</v>
      </c>
      <c r="N45" s="1686">
        <f t="shared" ref="N45:N50" si="161">SUM(O45:P45)</f>
        <v>240000.3036809816</v>
      </c>
      <c r="O45" s="1686">
        <f t="shared" ref="O45:O47" si="162">J45-M45-P45</f>
        <v>70400.076687116554</v>
      </c>
      <c r="P45" s="1686">
        <f>I45*L45/100-1</f>
        <v>169600.22699386504</v>
      </c>
      <c r="Q45" s="142">
        <v>370000</v>
      </c>
      <c r="R45" s="1674">
        <f t="shared" si="136"/>
        <v>97.368421052631575</v>
      </c>
      <c r="S45" s="1065">
        <f>(M45*R45)/100+10684.5</f>
        <v>146999.99378430739</v>
      </c>
      <c r="T45" s="1065">
        <f t="shared" si="159"/>
        <v>223000.00621569261</v>
      </c>
      <c r="U45" s="1065">
        <f t="shared" si="120"/>
        <v>57859.943090087181</v>
      </c>
      <c r="V45" s="1065">
        <f>(P45*R45)/100+3</f>
        <v>165140.06312560543</v>
      </c>
      <c r="W45" s="142">
        <v>380000</v>
      </c>
      <c r="X45" s="141">
        <f t="shared" si="144"/>
        <v>102.70270270270269</v>
      </c>
      <c r="Y45" s="142">
        <f>(S45*X45)/100-3</f>
        <v>150969.96658928867</v>
      </c>
      <c r="Z45" s="142">
        <f t="shared" si="121"/>
        <v>229030.03341071133</v>
      </c>
      <c r="AA45" s="142">
        <f t="shared" si="122"/>
        <v>59429.725335765223</v>
      </c>
      <c r="AB45" s="142">
        <f>(V45*X45)/100-3</f>
        <v>169600.30807494611</v>
      </c>
      <c r="AC45" s="142">
        <v>400000</v>
      </c>
      <c r="AD45" s="142">
        <f t="shared" si="145"/>
        <v>105.26315789473684</v>
      </c>
      <c r="AE45" s="142">
        <f>(AD45*Y45)/100+4</f>
        <v>158919.75430451438</v>
      </c>
      <c r="AF45" s="142">
        <f t="shared" si="123"/>
        <v>241080.24569548562</v>
      </c>
      <c r="AG45" s="142">
        <f t="shared" si="124"/>
        <v>62550.605616594985</v>
      </c>
      <c r="AH45" s="142">
        <f>(AD45*AB45)/100+3</f>
        <v>178529.64007889063</v>
      </c>
      <c r="AI45" s="142">
        <f t="shared" si="35"/>
        <v>1150000</v>
      </c>
      <c r="AJ45" s="1675">
        <f>+((Q45/J45)*(W45/Q45)*(AC45/W45))/(1^3)-1</f>
        <v>5.2631578947368363E-2</v>
      </c>
      <c r="AK45" s="142">
        <f t="shared" si="36"/>
        <v>456889.71467811044</v>
      </c>
      <c r="AL45" s="142">
        <f t="shared" si="66"/>
        <v>693110.28532188968</v>
      </c>
      <c r="AM45" s="142">
        <f t="shared" si="146"/>
        <v>179840.27404244739</v>
      </c>
      <c r="AN45" s="142">
        <f t="shared" si="147"/>
        <v>513270.01127944223</v>
      </c>
      <c r="AO45" s="142">
        <f>510000</f>
        <v>510000</v>
      </c>
      <c r="AP45" s="142">
        <f t="shared" si="148"/>
        <v>127.49999999999999</v>
      </c>
      <c r="AQ45" s="142">
        <f>(AP45*AE45)/100</f>
        <v>202622.68673825581</v>
      </c>
      <c r="AR45" s="142">
        <f t="shared" si="127"/>
        <v>307377.31326174422</v>
      </c>
      <c r="AS45" s="142">
        <f t="shared" si="128"/>
        <v>79752.022161158675</v>
      </c>
      <c r="AT45" s="142">
        <f>(AP45*AH45)/100</f>
        <v>227625.29110058554</v>
      </c>
      <c r="AU45" s="142">
        <v>550000</v>
      </c>
      <c r="AV45" s="142">
        <f t="shared" si="149"/>
        <v>107.84313725490196</v>
      </c>
      <c r="AW45" s="142">
        <f>(AV45*AQ45)/100</f>
        <v>218514.66216870726</v>
      </c>
      <c r="AX45" s="142">
        <f t="shared" si="129"/>
        <v>331485.33783129277</v>
      </c>
      <c r="AY45" s="142">
        <f t="shared" si="130"/>
        <v>86007.082722818159</v>
      </c>
      <c r="AZ45" s="142">
        <f>(AV45*AT45)/100</f>
        <v>245478.25510847461</v>
      </c>
      <c r="BA45" s="142">
        <f>600000</f>
        <v>600000</v>
      </c>
      <c r="BB45" s="142">
        <f t="shared" si="150"/>
        <v>109.09090909090908</v>
      </c>
      <c r="BC45" s="142">
        <f>(BB45*AW45)/100</f>
        <v>238379.63145677152</v>
      </c>
      <c r="BD45" s="142">
        <f t="shared" si="131"/>
        <v>361620.36854322848</v>
      </c>
      <c r="BE45" s="142">
        <f t="shared" si="132"/>
        <v>93825.908424892579</v>
      </c>
      <c r="BF45" s="142">
        <f>(BB45*AZ45)/100</f>
        <v>267794.4601183359</v>
      </c>
      <c r="BK45" s="6">
        <f t="shared" si="14"/>
        <v>54000</v>
      </c>
      <c r="BL45" s="6">
        <f t="shared" si="15"/>
        <v>54000</v>
      </c>
      <c r="BN45" s="1670">
        <f t="shared" si="16"/>
        <v>8970.3036809815967</v>
      </c>
      <c r="BO45" s="4"/>
    </row>
    <row r="46" spans="1:67">
      <c r="A46" s="164">
        <v>15</v>
      </c>
      <c r="B46" s="165" t="s">
        <v>27</v>
      </c>
      <c r="C46" s="147">
        <v>30000</v>
      </c>
      <c r="D46" s="147">
        <f>C46</f>
        <v>30000</v>
      </c>
      <c r="E46" s="148"/>
      <c r="F46" s="149">
        <f>100</f>
        <v>100</v>
      </c>
      <c r="G46" s="149">
        <f t="shared" ref="G46:G47" si="163">SUM(H46:I46)</f>
        <v>29900</v>
      </c>
      <c r="H46" s="149">
        <f>D46-F46-I46</f>
        <v>29900</v>
      </c>
      <c r="I46" s="149"/>
      <c r="J46" s="142">
        <v>40000</v>
      </c>
      <c r="K46" s="1067">
        <f t="shared" si="153"/>
        <v>133.33333333333331</v>
      </c>
      <c r="L46" s="1685">
        <f>J46/D46*100</f>
        <v>133.33333333333331</v>
      </c>
      <c r="M46" s="1686">
        <f>F46*L46/100-32.9</f>
        <v>100.43333333333331</v>
      </c>
      <c r="N46" s="1686">
        <f t="shared" si="161"/>
        <v>39899.566666666666</v>
      </c>
      <c r="O46" s="1686">
        <f t="shared" si="162"/>
        <v>39899.566666666666</v>
      </c>
      <c r="P46" s="1686">
        <f>I46*L46/100</f>
        <v>0</v>
      </c>
      <c r="Q46" s="1065">
        <v>32000</v>
      </c>
      <c r="R46" s="1683">
        <f>Q46/J46*100</f>
        <v>80</v>
      </c>
      <c r="S46" s="1065">
        <f>(F46*R46)/100</f>
        <v>80</v>
      </c>
      <c r="T46" s="1683">
        <f t="shared" si="159"/>
        <v>31920</v>
      </c>
      <c r="U46" s="1683">
        <f>Q46-S46-V46</f>
        <v>31920</v>
      </c>
      <c r="V46" s="1681"/>
      <c r="W46" s="142">
        <v>32000</v>
      </c>
      <c r="X46" s="141">
        <f t="shared" si="144"/>
        <v>100</v>
      </c>
      <c r="Y46" s="142">
        <f>(S46*X46)/100</f>
        <v>80</v>
      </c>
      <c r="Z46" s="142">
        <f t="shared" si="121"/>
        <v>31920</v>
      </c>
      <c r="AA46" s="142">
        <f t="shared" si="122"/>
        <v>31920</v>
      </c>
      <c r="AB46" s="157"/>
      <c r="AC46" s="142">
        <v>37000</v>
      </c>
      <c r="AD46" s="142">
        <f t="shared" si="145"/>
        <v>115.625</v>
      </c>
      <c r="AE46" s="142">
        <f>(Y46*AD46)/100+7</f>
        <v>99.5</v>
      </c>
      <c r="AF46" s="142">
        <f t="shared" si="123"/>
        <v>36900.5</v>
      </c>
      <c r="AG46" s="142">
        <f t="shared" si="124"/>
        <v>36900.5</v>
      </c>
      <c r="AH46" s="157"/>
      <c r="AI46" s="142">
        <f t="shared" si="35"/>
        <v>101000</v>
      </c>
      <c r="AJ46" s="1675">
        <f>+((Q46/J46)*(W46/Q46)*(AC46/W46))/(1^3)-1</f>
        <v>-7.4999999999999956E-2</v>
      </c>
      <c r="AK46" s="142">
        <f t="shared" si="36"/>
        <v>259.5</v>
      </c>
      <c r="AL46" s="142">
        <f t="shared" si="66"/>
        <v>100740.5</v>
      </c>
      <c r="AM46" s="142">
        <f t="shared" si="146"/>
        <v>100740.5</v>
      </c>
      <c r="AN46" s="142">
        <f t="shared" si="147"/>
        <v>0</v>
      </c>
      <c r="AO46" s="142">
        <v>42000</v>
      </c>
      <c r="AP46" s="142">
        <f t="shared" si="148"/>
        <v>113.51351351351352</v>
      </c>
      <c r="AQ46" s="142">
        <f>(AP46*AE46)/100</f>
        <v>112.94594594594595</v>
      </c>
      <c r="AR46" s="142">
        <f t="shared" si="127"/>
        <v>41887.054054054053</v>
      </c>
      <c r="AS46" s="142">
        <f t="shared" si="128"/>
        <v>41887.054054054053</v>
      </c>
      <c r="AT46" s="157"/>
      <c r="AU46" s="142">
        <v>40000</v>
      </c>
      <c r="AV46" s="142">
        <f t="shared" si="149"/>
        <v>95.238095238095227</v>
      </c>
      <c r="AW46" s="142">
        <f>(AV46*AQ46)/100</f>
        <v>107.56756756756756</v>
      </c>
      <c r="AX46" s="142">
        <f t="shared" si="129"/>
        <v>39892.432432432433</v>
      </c>
      <c r="AY46" s="142">
        <f t="shared" si="130"/>
        <v>39892.432432432433</v>
      </c>
      <c r="AZ46" s="157"/>
      <c r="BA46" s="142">
        <v>40000</v>
      </c>
      <c r="BB46" s="142">
        <f t="shared" si="150"/>
        <v>100</v>
      </c>
      <c r="BC46" s="142">
        <f>(BB46*AW46)/100</f>
        <v>107.56756756756756</v>
      </c>
      <c r="BD46" s="142">
        <f t="shared" si="131"/>
        <v>39892.432432432433</v>
      </c>
      <c r="BE46" s="142">
        <f t="shared" si="132"/>
        <v>39892.432432432433</v>
      </c>
      <c r="BF46" s="157"/>
      <c r="BK46" s="6">
        <f t="shared" si="14"/>
        <v>10000</v>
      </c>
      <c r="BL46" s="6">
        <f t="shared" si="15"/>
        <v>10000</v>
      </c>
      <c r="BN46" s="1670">
        <f t="shared" si="16"/>
        <v>9999.5666666666657</v>
      </c>
      <c r="BO46" s="4"/>
    </row>
    <row r="47" spans="1:67" ht="16.2">
      <c r="A47" s="164">
        <v>16</v>
      </c>
      <c r="B47" s="165" t="s">
        <v>28</v>
      </c>
      <c r="C47" s="166">
        <f>37000+C48</f>
        <v>37000</v>
      </c>
      <c r="D47" s="166">
        <f>37000+D48</f>
        <v>445054.16200000001</v>
      </c>
      <c r="E47" s="167"/>
      <c r="F47" s="149"/>
      <c r="G47" s="149">
        <f t="shared" si="163"/>
        <v>445054.16200000001</v>
      </c>
      <c r="H47" s="168">
        <f>D47-F47-I47</f>
        <v>445054.16200000001</v>
      </c>
      <c r="I47" s="149"/>
      <c r="J47" s="142">
        <f>37000+J48</f>
        <v>445054.16200000001</v>
      </c>
      <c r="K47" s="1067">
        <f t="shared" si="153"/>
        <v>1202.8490864864866</v>
      </c>
      <c r="L47" s="1685">
        <f>J47/D47*100</f>
        <v>100</v>
      </c>
      <c r="M47" s="1686">
        <f>F47*L47/100</f>
        <v>0</v>
      </c>
      <c r="N47" s="1686">
        <f t="shared" si="161"/>
        <v>445054.16200000001</v>
      </c>
      <c r="O47" s="1686">
        <f t="shared" si="162"/>
        <v>445054.16200000001</v>
      </c>
      <c r="P47" s="1686">
        <f>I47*L47/100</f>
        <v>0</v>
      </c>
      <c r="Q47" s="142">
        <f>37000+Q48</f>
        <v>37000</v>
      </c>
      <c r="R47" s="1674">
        <f>Q47/J47*100</f>
        <v>8.3135948743245311</v>
      </c>
      <c r="S47" s="199"/>
      <c r="T47" s="1686">
        <f t="shared" ref="T47" si="164">SUM(U47:V47)</f>
        <v>37000</v>
      </c>
      <c r="U47" s="1686">
        <f t="shared" ref="U47" si="165">Q47-S47-V47</f>
        <v>37000</v>
      </c>
      <c r="V47" s="1684"/>
      <c r="W47" s="142">
        <v>34000</v>
      </c>
      <c r="X47" s="141">
        <f t="shared" si="144"/>
        <v>91.891891891891902</v>
      </c>
      <c r="Y47" s="157"/>
      <c r="Z47" s="142">
        <f t="shared" si="121"/>
        <v>34000</v>
      </c>
      <c r="AA47" s="142">
        <f t="shared" si="122"/>
        <v>34000</v>
      </c>
      <c r="AB47" s="157"/>
      <c r="AC47" s="142">
        <v>37000</v>
      </c>
      <c r="AD47" s="142">
        <f t="shared" si="145"/>
        <v>108.8235294117647</v>
      </c>
      <c r="AE47" s="157"/>
      <c r="AF47" s="142">
        <f t="shared" si="123"/>
        <v>37000</v>
      </c>
      <c r="AG47" s="142">
        <f t="shared" si="124"/>
        <v>37000</v>
      </c>
      <c r="AH47" s="157"/>
      <c r="AI47" s="142">
        <f t="shared" si="35"/>
        <v>108000</v>
      </c>
      <c r="AJ47" s="1675">
        <f>+((Q47/J47)*(W47/Q47)*(AC47/W47))/(1^3)-1</f>
        <v>-0.91686405125675474</v>
      </c>
      <c r="AK47" s="142">
        <f t="shared" si="36"/>
        <v>0</v>
      </c>
      <c r="AL47" s="142">
        <f t="shared" si="66"/>
        <v>108000</v>
      </c>
      <c r="AM47" s="142">
        <f t="shared" si="146"/>
        <v>108000</v>
      </c>
      <c r="AN47" s="142">
        <f t="shared" si="147"/>
        <v>0</v>
      </c>
      <c r="AO47" s="142">
        <f>120000+AO48</f>
        <v>120000</v>
      </c>
      <c r="AP47" s="142">
        <f t="shared" si="148"/>
        <v>324.32432432432432</v>
      </c>
      <c r="AQ47" s="157"/>
      <c r="AR47" s="142">
        <f t="shared" si="127"/>
        <v>120000</v>
      </c>
      <c r="AS47" s="142">
        <f t="shared" si="128"/>
        <v>120000</v>
      </c>
      <c r="AT47" s="157"/>
      <c r="AU47" s="142">
        <f>130000+AU48</f>
        <v>130000</v>
      </c>
      <c r="AV47" s="142">
        <f t="shared" si="149"/>
        <v>108.33333333333333</v>
      </c>
      <c r="AW47" s="157"/>
      <c r="AX47" s="142">
        <f t="shared" si="129"/>
        <v>130000</v>
      </c>
      <c r="AY47" s="142">
        <f t="shared" si="130"/>
        <v>130000</v>
      </c>
      <c r="AZ47" s="157"/>
      <c r="BA47" s="142">
        <f>160000+BA48</f>
        <v>160000</v>
      </c>
      <c r="BB47" s="142">
        <f t="shared" si="150"/>
        <v>123.07692307692308</v>
      </c>
      <c r="BC47" s="157"/>
      <c r="BD47" s="142">
        <f t="shared" si="131"/>
        <v>160000</v>
      </c>
      <c r="BE47" s="142">
        <f t="shared" si="132"/>
        <v>160000</v>
      </c>
      <c r="BF47" s="157"/>
      <c r="BK47" s="6">
        <f t="shared" si="14"/>
        <v>408054.16200000001</v>
      </c>
      <c r="BL47" s="6">
        <f t="shared" si="15"/>
        <v>0</v>
      </c>
      <c r="BN47" s="1670">
        <f t="shared" si="16"/>
        <v>0</v>
      </c>
      <c r="BO47" s="4"/>
    </row>
    <row r="48" spans="1:67"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61"/>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42">
        <f t="shared" si="35"/>
        <v>0</v>
      </c>
      <c r="AJ48" s="1675" t="e">
        <f t="shared" si="160"/>
        <v>#DIV/0!</v>
      </c>
      <c r="AK48" s="142">
        <f t="shared" si="36"/>
        <v>0</v>
      </c>
      <c r="AL48" s="142">
        <f t="shared" si="66"/>
        <v>0</v>
      </c>
      <c r="AM48" s="142">
        <f t="shared" si="146"/>
        <v>0</v>
      </c>
      <c r="AN48" s="142">
        <f t="shared" si="147"/>
        <v>0</v>
      </c>
      <c r="AO48" s="157"/>
      <c r="AP48" s="157"/>
      <c r="AQ48" s="157"/>
      <c r="AR48" s="157"/>
      <c r="AS48" s="157"/>
      <c r="AT48" s="157"/>
      <c r="AU48" s="157"/>
      <c r="AV48" s="157"/>
      <c r="AW48" s="157"/>
      <c r="AX48" s="157"/>
      <c r="AY48" s="157"/>
      <c r="AZ48" s="157"/>
      <c r="BA48" s="157"/>
      <c r="BB48" s="157"/>
      <c r="BC48" s="157"/>
      <c r="BD48" s="157"/>
      <c r="BE48" s="157"/>
      <c r="BF48" s="157"/>
      <c r="BK48" s="6">
        <f t="shared" si="14"/>
        <v>408054.16200000001</v>
      </c>
      <c r="BL48" s="6">
        <f t="shared" si="15"/>
        <v>0</v>
      </c>
      <c r="BN48" s="1670">
        <f t="shared" si="16"/>
        <v>0</v>
      </c>
      <c r="BO48" s="4"/>
    </row>
    <row r="49" spans="1:67">
      <c r="A49" s="164">
        <v>17</v>
      </c>
      <c r="B49" s="165" t="s">
        <v>31</v>
      </c>
      <c r="C49" s="147">
        <v>2000</v>
      </c>
      <c r="D49" s="147">
        <f>C49</f>
        <v>2000</v>
      </c>
      <c r="E49" s="148"/>
      <c r="F49" s="149"/>
      <c r="G49" s="149">
        <f>SUM(H49:I49)</f>
        <v>2000</v>
      </c>
      <c r="H49" s="170">
        <f>D49-F49-I49</f>
        <v>0</v>
      </c>
      <c r="I49" s="149">
        <f>C49</f>
        <v>2000</v>
      </c>
      <c r="J49" s="142">
        <v>2000</v>
      </c>
      <c r="K49" s="1067">
        <f t="shared" si="153"/>
        <v>100</v>
      </c>
      <c r="L49" s="1685">
        <f>J49/D49*100</f>
        <v>100</v>
      </c>
      <c r="M49" s="1686">
        <f>F49*L49/100</f>
        <v>0</v>
      </c>
      <c r="N49" s="1686">
        <f t="shared" si="161"/>
        <v>2000</v>
      </c>
      <c r="O49" s="1686">
        <f t="shared" ref="O49:O50" si="166">J49-M49-P49</f>
        <v>0</v>
      </c>
      <c r="P49" s="1686">
        <f>I49*L49/100</f>
        <v>2000</v>
      </c>
      <c r="Q49" s="142">
        <v>2000</v>
      </c>
      <c r="R49" s="1674">
        <f t="shared" si="136"/>
        <v>100</v>
      </c>
      <c r="S49" s="199"/>
      <c r="T49" s="142">
        <f t="shared" ref="T49:T50" si="167">SUM(U49:V49)</f>
        <v>2000</v>
      </c>
      <c r="U49" s="142">
        <f t="shared" ref="U49:U50" si="168">Q49-S49-V49</f>
        <v>0</v>
      </c>
      <c r="V49" s="142">
        <f>Q49</f>
        <v>2000</v>
      </c>
      <c r="W49" s="142">
        <v>2000</v>
      </c>
      <c r="X49" s="141">
        <f t="shared" si="144"/>
        <v>100</v>
      </c>
      <c r="Y49" s="157"/>
      <c r="Z49" s="142">
        <f t="shared" ref="Z49:Z50" si="169">SUM(AA49:AB49)</f>
        <v>2000</v>
      </c>
      <c r="AA49" s="142">
        <f t="shared" ref="AA49:AA50" si="170">W49-Y49-AB49</f>
        <v>0</v>
      </c>
      <c r="AB49" s="142">
        <f>W49</f>
        <v>2000</v>
      </c>
      <c r="AC49" s="142">
        <v>2000</v>
      </c>
      <c r="AD49" s="142">
        <f t="shared" ref="AD49:AD50" si="171">AC49/W49*100</f>
        <v>100</v>
      </c>
      <c r="AE49" s="157"/>
      <c r="AF49" s="142">
        <f t="shared" ref="AF49:AF50" si="172">SUM(AG49:AH49)</f>
        <v>2000</v>
      </c>
      <c r="AG49" s="142">
        <f t="shared" ref="AG49:AG50" si="173">AC49-AE49-AH49</f>
        <v>0</v>
      </c>
      <c r="AH49" s="142">
        <f>AC49</f>
        <v>2000</v>
      </c>
      <c r="AI49" s="142">
        <f t="shared" si="35"/>
        <v>6000</v>
      </c>
      <c r="AJ49" s="1675">
        <f>+((Q49/J49)*(W49/Q49)*(AC49/W49))/(1^3)-1</f>
        <v>0</v>
      </c>
      <c r="AK49" s="142">
        <f t="shared" si="36"/>
        <v>0</v>
      </c>
      <c r="AL49" s="142">
        <f t="shared" si="66"/>
        <v>6000</v>
      </c>
      <c r="AM49" s="142">
        <f t="shared" si="146"/>
        <v>0</v>
      </c>
      <c r="AN49" s="142">
        <f t="shared" si="147"/>
        <v>6000</v>
      </c>
      <c r="AO49" s="142">
        <v>2000</v>
      </c>
      <c r="AP49" s="142">
        <f t="shared" ref="AP49:AP50" si="174">AO49/AC49*100</f>
        <v>100</v>
      </c>
      <c r="AQ49" s="157"/>
      <c r="AR49" s="142">
        <f t="shared" ref="AR49:AR50" si="175">SUM(AS49:AT49)</f>
        <v>2000</v>
      </c>
      <c r="AS49" s="142">
        <f t="shared" ref="AS49:AS50" si="176">AO49-AQ49-AT49</f>
        <v>0</v>
      </c>
      <c r="AT49" s="142">
        <f>AO49</f>
        <v>2000</v>
      </c>
      <c r="AU49" s="142">
        <v>2000</v>
      </c>
      <c r="AV49" s="142">
        <f t="shared" ref="AV49:AV50" si="177">AU49/AO49*100</f>
        <v>100</v>
      </c>
      <c r="AW49" s="157"/>
      <c r="AX49" s="142">
        <f t="shared" ref="AX49:AX50" si="178">SUM(AY49:AZ49)</f>
        <v>2000</v>
      </c>
      <c r="AY49" s="142">
        <f t="shared" ref="AY49:AY50" si="179">AU49-AW49-AZ49</f>
        <v>0</v>
      </c>
      <c r="AZ49" s="142">
        <f>AU49</f>
        <v>2000</v>
      </c>
      <c r="BA49" s="142">
        <v>2000</v>
      </c>
      <c r="BB49" s="142">
        <f t="shared" ref="BB49:BB50" si="180">BA49/AU49*100</f>
        <v>100</v>
      </c>
      <c r="BC49" s="157"/>
      <c r="BD49" s="142">
        <f t="shared" ref="BD49:BD50" si="181">SUM(BE49:BF49)</f>
        <v>2000</v>
      </c>
      <c r="BE49" s="142">
        <f t="shared" ref="BE49:BE50" si="182">BA49-BC49-BF49</f>
        <v>0</v>
      </c>
      <c r="BF49" s="142">
        <f>BA49</f>
        <v>2000</v>
      </c>
      <c r="BK49" s="6">
        <f t="shared" si="14"/>
        <v>0</v>
      </c>
      <c r="BL49" s="6">
        <f t="shared" si="15"/>
        <v>0</v>
      </c>
      <c r="BN49" s="1670">
        <f t="shared" si="16"/>
        <v>0</v>
      </c>
      <c r="BO49" s="4"/>
    </row>
    <row r="50" spans="1:67">
      <c r="A50" s="164">
        <v>18</v>
      </c>
      <c r="B50" s="165" t="s">
        <v>32</v>
      </c>
      <c r="C50" s="147">
        <f>1850000</f>
        <v>1850000</v>
      </c>
      <c r="D50" s="147">
        <f>C50+100000</f>
        <v>1950000</v>
      </c>
      <c r="E50" s="148"/>
      <c r="F50" s="149"/>
      <c r="G50" s="149">
        <f>SUM(H50:I50)</f>
        <v>1950000</v>
      </c>
      <c r="H50" s="149">
        <f>D50-F50-I50</f>
        <v>1950000</v>
      </c>
      <c r="I50" s="149">
        <v>0</v>
      </c>
      <c r="J50" s="142">
        <v>1950000</v>
      </c>
      <c r="K50" s="1067">
        <f t="shared" si="153"/>
        <v>105.40540540540539</v>
      </c>
      <c r="L50" s="1685">
        <f>J50/D50*100</f>
        <v>100</v>
      </c>
      <c r="M50" s="1686">
        <f>F50*L50/100</f>
        <v>0</v>
      </c>
      <c r="N50" s="1686">
        <f t="shared" si="161"/>
        <v>1950000</v>
      </c>
      <c r="O50" s="1686">
        <f t="shared" si="166"/>
        <v>1950000</v>
      </c>
      <c r="P50" s="1686">
        <f>I50*L50/100</f>
        <v>0</v>
      </c>
      <c r="Q50" s="142">
        <v>1950000</v>
      </c>
      <c r="R50" s="1692">
        <f>Q50/J50*100</f>
        <v>100</v>
      </c>
      <c r="S50" s="199"/>
      <c r="T50" s="142">
        <f t="shared" si="167"/>
        <v>1950000</v>
      </c>
      <c r="U50" s="142">
        <f t="shared" si="168"/>
        <v>1950000</v>
      </c>
      <c r="V50" s="157"/>
      <c r="W50" s="142">
        <v>1950000</v>
      </c>
      <c r="X50" s="141">
        <f t="shared" si="144"/>
        <v>100</v>
      </c>
      <c r="Y50" s="157"/>
      <c r="Z50" s="142">
        <f t="shared" si="169"/>
        <v>1950000</v>
      </c>
      <c r="AA50" s="142">
        <f t="shared" si="170"/>
        <v>1950000</v>
      </c>
      <c r="AB50" s="157"/>
      <c r="AC50" s="142">
        <v>2000000</v>
      </c>
      <c r="AD50" s="142">
        <f t="shared" si="171"/>
        <v>102.56410256410255</v>
      </c>
      <c r="AE50" s="157"/>
      <c r="AF50" s="142">
        <f t="shared" si="172"/>
        <v>2000000</v>
      </c>
      <c r="AG50" s="142">
        <f t="shared" si="173"/>
        <v>2000000</v>
      </c>
      <c r="AH50" s="157"/>
      <c r="AI50" s="142">
        <f t="shared" si="35"/>
        <v>5900000</v>
      </c>
      <c r="AJ50" s="1675">
        <f>+((Q50/J50)*(W50/Q50)*(AC50/W50))/(1^3)-1</f>
        <v>2.564102564102555E-2</v>
      </c>
      <c r="AK50" s="142">
        <f t="shared" si="36"/>
        <v>0</v>
      </c>
      <c r="AL50" s="142">
        <f t="shared" si="66"/>
        <v>5900000</v>
      </c>
      <c r="AM50" s="142">
        <f t="shared" si="146"/>
        <v>5900000</v>
      </c>
      <c r="AN50" s="142">
        <f t="shared" si="147"/>
        <v>0</v>
      </c>
      <c r="AO50" s="142">
        <v>2800000</v>
      </c>
      <c r="AP50" s="142">
        <f t="shared" si="174"/>
        <v>140</v>
      </c>
      <c r="AQ50" s="157"/>
      <c r="AR50" s="142">
        <f t="shared" si="175"/>
        <v>2800000</v>
      </c>
      <c r="AS50" s="142">
        <f t="shared" si="176"/>
        <v>2800000</v>
      </c>
      <c r="AT50" s="157"/>
      <c r="AU50" s="142">
        <v>2900000</v>
      </c>
      <c r="AV50" s="142">
        <f t="shared" si="177"/>
        <v>103.57142857142858</v>
      </c>
      <c r="AW50" s="157"/>
      <c r="AX50" s="142">
        <f t="shared" si="178"/>
        <v>2900000</v>
      </c>
      <c r="AY50" s="142">
        <f t="shared" si="179"/>
        <v>2900000</v>
      </c>
      <c r="AZ50" s="157"/>
      <c r="BA50" s="142">
        <v>3000000</v>
      </c>
      <c r="BB50" s="142">
        <f t="shared" si="180"/>
        <v>103.44827586206897</v>
      </c>
      <c r="BC50" s="157"/>
      <c r="BD50" s="142">
        <f t="shared" si="181"/>
        <v>3000000</v>
      </c>
      <c r="BE50" s="142">
        <f t="shared" si="182"/>
        <v>3000000</v>
      </c>
      <c r="BF50" s="157"/>
      <c r="BK50" s="6">
        <f t="shared" si="14"/>
        <v>100000</v>
      </c>
      <c r="BL50" s="6">
        <f t="shared" si="15"/>
        <v>0</v>
      </c>
      <c r="BN50" s="1670">
        <f t="shared" si="16"/>
        <v>0</v>
      </c>
      <c r="BO50" s="4"/>
    </row>
    <row r="51" spans="1:67">
      <c r="A51" s="1712" t="s">
        <v>33</v>
      </c>
      <c r="B51" s="1713" t="s">
        <v>34</v>
      </c>
      <c r="C51" s="173">
        <f>SUM(C52:C54)</f>
        <v>157000</v>
      </c>
      <c r="D51" s="173">
        <f t="shared" ref="D51" si="183">SUM(D52:D54)</f>
        <v>200000</v>
      </c>
      <c r="E51" s="148"/>
      <c r="F51" s="174">
        <f>SUM(F52:F54)</f>
        <v>200000</v>
      </c>
      <c r="G51" s="174">
        <f>SUM(G52:G54)</f>
        <v>0</v>
      </c>
      <c r="H51" s="174">
        <f>SUM(H52:H54)</f>
        <v>0</v>
      </c>
      <c r="I51" s="174">
        <f>SUM(I52:I54)</f>
        <v>0</v>
      </c>
      <c r="J51" s="142">
        <f>SUM(J52:J54)</f>
        <v>259999.569416666</v>
      </c>
      <c r="K51" s="1067">
        <f t="shared" si="153"/>
        <v>165.60482128450062</v>
      </c>
      <c r="L51" s="1685">
        <f>J51/D51*100</f>
        <v>129.99978470833301</v>
      </c>
      <c r="M51" s="142">
        <f>SUM(M52:M54)</f>
        <v>259999.569416666</v>
      </c>
      <c r="N51" s="142">
        <f t="shared" ref="N51:O51" si="184">SUM(N52:N54)</f>
        <v>-1.4551915228366852E-11</v>
      </c>
      <c r="O51" s="142">
        <f t="shared" si="184"/>
        <v>-1.4551915228366852E-11</v>
      </c>
      <c r="P51" s="142">
        <f>SUM(P52:P54)</f>
        <v>0</v>
      </c>
      <c r="Q51" s="142">
        <f>SUM(Q52:Q54)</f>
        <v>272999.7</v>
      </c>
      <c r="R51" s="1692">
        <f t="shared" si="136"/>
        <v>105.00005850490486</v>
      </c>
      <c r="S51" s="142">
        <f>SUM(S52:S54)</f>
        <v>272999.7</v>
      </c>
      <c r="T51" s="142">
        <f t="shared" ref="T51:V51" si="185">SUM(T52:T54)</f>
        <v>0</v>
      </c>
      <c r="U51" s="142">
        <f t="shared" si="185"/>
        <v>0</v>
      </c>
      <c r="V51" s="142">
        <f t="shared" si="185"/>
        <v>0</v>
      </c>
      <c r="W51" s="142">
        <f>SUM(W52:W54)</f>
        <v>287000.23000000004</v>
      </c>
      <c r="X51" s="141">
        <f>W51/Q51*100</f>
        <v>105.12840490300906</v>
      </c>
      <c r="Y51" s="142">
        <f>SUM(Y52:Y54)</f>
        <v>287000.23000000004</v>
      </c>
      <c r="Z51" s="142">
        <f t="shared" ref="Z51:AB51" si="186">SUM(Z52:Z54)</f>
        <v>0</v>
      </c>
      <c r="AA51" s="142">
        <f t="shared" si="186"/>
        <v>0</v>
      </c>
      <c r="AB51" s="142">
        <f t="shared" si="186"/>
        <v>0</v>
      </c>
      <c r="AC51" s="142">
        <f>SUM(AC52:AC54)</f>
        <v>302000.37</v>
      </c>
      <c r="AD51" s="142">
        <f>AC51/W51*100</f>
        <v>105.22652542822001</v>
      </c>
      <c r="AE51" s="142">
        <f>SUM(AE52:AE54)</f>
        <v>302000.37</v>
      </c>
      <c r="AF51" s="142">
        <f t="shared" ref="AF51:AH51" si="187">SUM(AF52:AF54)</f>
        <v>0</v>
      </c>
      <c r="AG51" s="142">
        <f t="shared" si="187"/>
        <v>0</v>
      </c>
      <c r="AH51" s="142">
        <f t="shared" si="187"/>
        <v>0</v>
      </c>
      <c r="AI51" s="142">
        <f>SUM(AI52:AI54)</f>
        <v>862000.3</v>
      </c>
      <c r="AJ51" s="1675">
        <f>+((Q51/J51)*(W51/Q51)*(AC51/W51))/(1^3)-1</f>
        <v>0.16154180823286279</v>
      </c>
      <c r="AK51" s="142">
        <f>SUM(AK52:AK54)</f>
        <v>862000.3</v>
      </c>
      <c r="AL51" s="142">
        <f t="shared" ref="AL51:AN51" si="188">SUM(AL52:AL54)</f>
        <v>0</v>
      </c>
      <c r="AM51" s="142">
        <f t="shared" si="188"/>
        <v>0</v>
      </c>
      <c r="AN51" s="142">
        <f t="shared" si="188"/>
        <v>0</v>
      </c>
      <c r="AO51" s="142">
        <f>SUM(AO52:AO54)</f>
        <v>316000</v>
      </c>
      <c r="AP51" s="142">
        <f>AO51/AC51*100</f>
        <v>104.63563339342929</v>
      </c>
      <c r="AQ51" s="142">
        <f>SUM(AQ52:AQ54)</f>
        <v>316000</v>
      </c>
      <c r="AR51" s="142">
        <f t="shared" ref="AR51:AT51" si="189">SUM(AR52:AR54)</f>
        <v>0</v>
      </c>
      <c r="AS51" s="142">
        <f t="shared" si="189"/>
        <v>0</v>
      </c>
      <c r="AT51" s="142">
        <f t="shared" si="189"/>
        <v>0</v>
      </c>
      <c r="AU51" s="142">
        <f>SUM(AU52:AU54)</f>
        <v>335000</v>
      </c>
      <c r="AV51" s="142">
        <f>AU51/AO51*100</f>
        <v>106.01265822784811</v>
      </c>
      <c r="AW51" s="142">
        <f>SUM(AW52:AW54)</f>
        <v>335000</v>
      </c>
      <c r="AX51" s="142">
        <f t="shared" ref="AX51:AZ51" si="190">SUM(AX52:AX54)</f>
        <v>0</v>
      </c>
      <c r="AY51" s="142">
        <f t="shared" si="190"/>
        <v>0</v>
      </c>
      <c r="AZ51" s="142">
        <f t="shared" si="190"/>
        <v>0</v>
      </c>
      <c r="BA51" s="142">
        <f>SUM(BA52:BA54)</f>
        <v>353000</v>
      </c>
      <c r="BB51" s="142">
        <f>BA51/AU51*100</f>
        <v>105.37313432835822</v>
      </c>
      <c r="BC51" s="142">
        <f>SUM(BC52:BC54)</f>
        <v>353000</v>
      </c>
      <c r="BD51" s="142">
        <f t="shared" ref="BD51:BF51" si="191">SUM(BD52:BD54)</f>
        <v>0</v>
      </c>
      <c r="BE51" s="142">
        <f t="shared" si="191"/>
        <v>0</v>
      </c>
      <c r="BF51" s="142">
        <f t="shared" si="191"/>
        <v>0</v>
      </c>
      <c r="BK51" s="6">
        <f t="shared" si="14"/>
        <v>102999.569416666</v>
      </c>
      <c r="BL51" s="6">
        <f t="shared" si="15"/>
        <v>59999.569416665996</v>
      </c>
      <c r="BN51" s="1670">
        <f t="shared" si="16"/>
        <v>-1.4551915228366852E-11</v>
      </c>
      <c r="BO51" s="4"/>
    </row>
    <row r="52" spans="1:67" hidden="1">
      <c r="A52" s="164"/>
      <c r="B52" s="1716" t="s">
        <v>35</v>
      </c>
      <c r="C52" s="152">
        <v>35000</v>
      </c>
      <c r="D52" s="152">
        <f>C52+9000</f>
        <v>44000</v>
      </c>
      <c r="E52" s="153"/>
      <c r="F52" s="154">
        <f>D52</f>
        <v>44000</v>
      </c>
      <c r="G52" s="154"/>
      <c r="H52" s="154">
        <f>D52-F52-I52</f>
        <v>0</v>
      </c>
      <c r="I52" s="154">
        <v>0</v>
      </c>
      <c r="J52" s="157">
        <f>102880.399083333+20000</f>
        <v>122880.399083333</v>
      </c>
      <c r="K52" s="157">
        <f t="shared" si="153"/>
        <v>351.08685452380854</v>
      </c>
      <c r="L52" s="1693">
        <f>J52/D52*100</f>
        <v>279.2736342803023</v>
      </c>
      <c r="M52" s="1684">
        <f>F52*L52/100</f>
        <v>122880.39908333302</v>
      </c>
      <c r="N52" s="1684">
        <f t="shared" ref="N52:N54" si="192">SUM(O52:P52)</f>
        <v>-1.4551915228366852E-11</v>
      </c>
      <c r="O52" s="1684">
        <f t="shared" ref="O52:O54" si="193">J52-M52-P52</f>
        <v>-1.4551915228366852E-11</v>
      </c>
      <c r="P52" s="1684">
        <f>I52*L52/100</f>
        <v>0</v>
      </c>
      <c r="Q52" s="157">
        <v>49092.37</v>
      </c>
      <c r="R52" s="1694">
        <f t="shared" si="136"/>
        <v>39.951343229856654</v>
      </c>
      <c r="S52" s="157">
        <f>+Q52</f>
        <v>49092.37</v>
      </c>
      <c r="T52" s="157">
        <f t="shared" ref="T52:T54" si="194">SUM(U52:V52)</f>
        <v>0</v>
      </c>
      <c r="U52" s="157">
        <f t="shared" ref="U52:U54" si="195">Q52-S52-V52</f>
        <v>0</v>
      </c>
      <c r="V52" s="157"/>
      <c r="W52" s="157">
        <v>15754.95</v>
      </c>
      <c r="X52" s="175">
        <f>W52/Q52*100</f>
        <v>32.092461618781087</v>
      </c>
      <c r="Y52" s="157">
        <f>+W52</f>
        <v>15754.95</v>
      </c>
      <c r="Z52" s="157">
        <f t="shared" ref="Z52:Z54" si="196">SUM(AA52:AB52)</f>
        <v>0</v>
      </c>
      <c r="AA52" s="157">
        <f t="shared" ref="AA52:AA54" si="197">W52-Y52-AB52</f>
        <v>0</v>
      </c>
      <c r="AB52" s="157"/>
      <c r="AC52" s="157">
        <v>16647.900000000001</v>
      </c>
      <c r="AD52" s="157">
        <f>AC52/W52*100</f>
        <v>105.66774251901782</v>
      </c>
      <c r="AE52" s="157">
        <f>+AC52</f>
        <v>16647.900000000001</v>
      </c>
      <c r="AF52" s="157">
        <f t="shared" ref="AF52:AF54" si="198">SUM(AG52:AH52)</f>
        <v>0</v>
      </c>
      <c r="AG52" s="157">
        <f t="shared" ref="AG52:AG54" si="199">AC52-AE52-AH52</f>
        <v>0</v>
      </c>
      <c r="AH52" s="157"/>
      <c r="AI52" s="157">
        <f t="shared" si="35"/>
        <v>81495.22</v>
      </c>
      <c r="AJ52" s="157"/>
      <c r="AK52" s="157">
        <f t="shared" si="36"/>
        <v>81495.22</v>
      </c>
      <c r="AL52" s="157">
        <f>SUM(AM52:AN52)</f>
        <v>0</v>
      </c>
      <c r="AM52" s="157">
        <f t="shared" ref="AM52" si="200">+AG52+AA52+U52</f>
        <v>0</v>
      </c>
      <c r="AN52" s="157">
        <f t="shared" ref="AN52" si="201">+AH52+AB52+V52</f>
        <v>0</v>
      </c>
      <c r="AO52" s="157">
        <f>82000+4000</f>
        <v>86000</v>
      </c>
      <c r="AP52" s="157">
        <f>AO52/AC52*100</f>
        <v>516.5816709615026</v>
      </c>
      <c r="AQ52" s="157">
        <f>82000+4000</f>
        <v>86000</v>
      </c>
      <c r="AR52" s="157">
        <f t="shared" ref="AR52:AR54" si="202">SUM(AS52:AT52)</f>
        <v>0</v>
      </c>
      <c r="AS52" s="157">
        <f t="shared" ref="AS52:AS54" si="203">AO52-AQ52-AT52</f>
        <v>0</v>
      </c>
      <c r="AT52" s="157"/>
      <c r="AU52" s="157">
        <f>82000+4000+5000</f>
        <v>91000</v>
      </c>
      <c r="AV52" s="157">
        <f>AU52/AO52*100</f>
        <v>105.81395348837211</v>
      </c>
      <c r="AW52" s="157">
        <f>82000+4000+5000</f>
        <v>91000</v>
      </c>
      <c r="AX52" s="157">
        <f t="shared" ref="AX52:AX54" si="204">SUM(AY52:AZ52)</f>
        <v>0</v>
      </c>
      <c r="AY52" s="157">
        <f t="shared" ref="AY52:AY54" si="205">AU52-AW52-AZ52</f>
        <v>0</v>
      </c>
      <c r="AZ52" s="157"/>
      <c r="BA52" s="157">
        <f>82000+4000+5000+6000</f>
        <v>97000</v>
      </c>
      <c r="BB52" s="157">
        <f>BA52/AU52*100</f>
        <v>106.5934065934066</v>
      </c>
      <c r="BC52" s="157">
        <f>BA52</f>
        <v>97000</v>
      </c>
      <c r="BD52" s="157">
        <f t="shared" ref="BD52:BD54" si="206">SUM(BE52:BF52)</f>
        <v>0</v>
      </c>
      <c r="BE52" s="157">
        <f t="shared" ref="BE52:BE54" si="207">BA52-BC52-BF52</f>
        <v>0</v>
      </c>
      <c r="BF52" s="157"/>
    </row>
    <row r="53" spans="1:67" hidden="1">
      <c r="A53" s="164"/>
      <c r="B53" s="1716" t="s">
        <v>36</v>
      </c>
      <c r="C53" s="152">
        <v>121000</v>
      </c>
      <c r="D53" s="152">
        <f>C53+33000</f>
        <v>154000</v>
      </c>
      <c r="E53" s="153"/>
      <c r="F53" s="154">
        <f>D53</f>
        <v>154000</v>
      </c>
      <c r="G53" s="154"/>
      <c r="H53" s="154">
        <f t="shared" ref="H53:H54" si="208">D53-F53-I53</f>
        <v>0</v>
      </c>
      <c r="I53" s="154">
        <v>0</v>
      </c>
      <c r="J53" s="157">
        <f>106188.436333333+28800</f>
        <v>134988.436333333</v>
      </c>
      <c r="K53" s="157">
        <f t="shared" si="153"/>
        <v>111.56069118457272</v>
      </c>
      <c r="L53" s="1693">
        <f t="shared" ref="L53:L54" si="209">J53/D53*100</f>
        <v>87.654828787878571</v>
      </c>
      <c r="M53" s="1684">
        <f t="shared" ref="M53:M54" si="210">F53*L53/100</f>
        <v>134988.436333333</v>
      </c>
      <c r="N53" s="1684">
        <f t="shared" si="192"/>
        <v>0</v>
      </c>
      <c r="O53" s="1684">
        <f t="shared" si="193"/>
        <v>0</v>
      </c>
      <c r="P53" s="1684">
        <f t="shared" ref="P53:P54" si="211">I53*L53/100</f>
        <v>0</v>
      </c>
      <c r="Q53" s="157">
        <v>221763.31</v>
      </c>
      <c r="R53" s="1694">
        <f t="shared" si="136"/>
        <v>164.28319048928748</v>
      </c>
      <c r="S53" s="157">
        <f t="shared" ref="S53:S54" si="212">+Q53</f>
        <v>221763.31</v>
      </c>
      <c r="T53" s="157">
        <f t="shared" si="194"/>
        <v>0</v>
      </c>
      <c r="U53" s="157">
        <f t="shared" si="195"/>
        <v>0</v>
      </c>
      <c r="V53" s="157"/>
      <c r="W53" s="157">
        <v>268940.46000000002</v>
      </c>
      <c r="X53" s="175">
        <f t="shared" ref="X53:X54" si="213">W53/Q53*100</f>
        <v>121.27364982061282</v>
      </c>
      <c r="Y53" s="157">
        <f>+W53</f>
        <v>268940.46000000002</v>
      </c>
      <c r="Z53" s="157">
        <f t="shared" si="196"/>
        <v>0</v>
      </c>
      <c r="AA53" s="157">
        <f t="shared" si="197"/>
        <v>0</v>
      </c>
      <c r="AB53" s="157"/>
      <c r="AC53" s="157">
        <v>282874.78999999998</v>
      </c>
      <c r="AD53" s="157">
        <f t="shared" ref="AD53:AD54" si="214">AC53/W53*100</f>
        <v>105.18119512400624</v>
      </c>
      <c r="AE53" s="157">
        <f t="shared" ref="AE53:AE54" si="215">+AC53</f>
        <v>282874.78999999998</v>
      </c>
      <c r="AF53" s="157">
        <f t="shared" si="198"/>
        <v>0</v>
      </c>
      <c r="AG53" s="157">
        <f t="shared" si="199"/>
        <v>0</v>
      </c>
      <c r="AH53" s="157"/>
      <c r="AI53" s="157">
        <f t="shared" si="35"/>
        <v>773578.56</v>
      </c>
      <c r="AJ53" s="157"/>
      <c r="AK53" s="157">
        <f t="shared" si="36"/>
        <v>773578.56</v>
      </c>
      <c r="AL53" s="157">
        <f t="shared" ref="AL53:AL54" si="216">SUM(AM53:AN53)</f>
        <v>0</v>
      </c>
      <c r="AM53" s="157">
        <f t="shared" ref="AM53:AM54" si="217">+AG53+AA53+U53</f>
        <v>0</v>
      </c>
      <c r="AN53" s="157">
        <f t="shared" ref="AN53:AN54" si="218">+AH53+AB53+V53</f>
        <v>0</v>
      </c>
      <c r="AO53" s="157">
        <f>210000+8000</f>
        <v>218000</v>
      </c>
      <c r="AP53" s="157">
        <f t="shared" ref="AP53:AP54" si="219">AO53/AC53*100</f>
        <v>77.065899014896317</v>
      </c>
      <c r="AQ53" s="157">
        <f>210000+8000</f>
        <v>218000</v>
      </c>
      <c r="AR53" s="157">
        <f t="shared" si="202"/>
        <v>0</v>
      </c>
      <c r="AS53" s="157">
        <f t="shared" si="203"/>
        <v>0</v>
      </c>
      <c r="AT53" s="157"/>
      <c r="AU53" s="157">
        <f>210000+8000+10000</f>
        <v>228000</v>
      </c>
      <c r="AV53" s="157">
        <f t="shared" ref="AV53:AV54" si="220">AU53/AO53*100</f>
        <v>104.58715596330275</v>
      </c>
      <c r="AW53" s="157">
        <f>210000+8000+10000</f>
        <v>228000</v>
      </c>
      <c r="AX53" s="157">
        <f t="shared" si="204"/>
        <v>0</v>
      </c>
      <c r="AY53" s="157">
        <f t="shared" si="205"/>
        <v>0</v>
      </c>
      <c r="AZ53" s="157"/>
      <c r="BA53" s="157">
        <f>210000+8000+10000+6000</f>
        <v>234000</v>
      </c>
      <c r="BB53" s="157">
        <f t="shared" ref="BB53:BB54" si="221">BA53/AU53*100</f>
        <v>102.63157894736842</v>
      </c>
      <c r="BC53" s="157">
        <f t="shared" ref="BC53:BC54" si="222">BA53</f>
        <v>234000</v>
      </c>
      <c r="BD53" s="157">
        <f t="shared" si="206"/>
        <v>0</v>
      </c>
      <c r="BE53" s="157">
        <f t="shared" si="207"/>
        <v>0</v>
      </c>
      <c r="BF53" s="157"/>
    </row>
    <row r="54" spans="1:67" hidden="1">
      <c r="A54" s="164"/>
      <c r="B54" s="1716" t="s">
        <v>135</v>
      </c>
      <c r="C54" s="152">
        <v>1000</v>
      </c>
      <c r="D54" s="152">
        <v>2000</v>
      </c>
      <c r="E54" s="153"/>
      <c r="F54" s="154">
        <f>D54</f>
        <v>2000</v>
      </c>
      <c r="G54" s="154"/>
      <c r="H54" s="154">
        <f t="shared" si="208"/>
        <v>0</v>
      </c>
      <c r="I54" s="154"/>
      <c r="J54" s="157">
        <f>930.734+1200</f>
        <v>2130.7339999999999</v>
      </c>
      <c r="K54" s="157">
        <f t="shared" si="153"/>
        <v>213.07339999999999</v>
      </c>
      <c r="L54" s="1693">
        <f t="shared" si="209"/>
        <v>106.5367</v>
      </c>
      <c r="M54" s="1684">
        <f t="shared" si="210"/>
        <v>2130.7339999999999</v>
      </c>
      <c r="N54" s="1684">
        <f t="shared" si="192"/>
        <v>0</v>
      </c>
      <c r="O54" s="1684">
        <f t="shared" si="193"/>
        <v>0</v>
      </c>
      <c r="P54" s="1684">
        <f t="shared" si="211"/>
        <v>0</v>
      </c>
      <c r="Q54" s="157">
        <v>2144.02</v>
      </c>
      <c r="R54" s="1694">
        <f t="shared" si="136"/>
        <v>100.62354099573199</v>
      </c>
      <c r="S54" s="157">
        <f t="shared" si="212"/>
        <v>2144.02</v>
      </c>
      <c r="T54" s="157">
        <f t="shared" si="194"/>
        <v>0</v>
      </c>
      <c r="U54" s="157">
        <f t="shared" si="195"/>
        <v>0</v>
      </c>
      <c r="V54" s="157"/>
      <c r="W54" s="157">
        <v>2304.8200000000002</v>
      </c>
      <c r="X54" s="175">
        <f t="shared" si="213"/>
        <v>107.49993003796607</v>
      </c>
      <c r="Y54" s="157">
        <f>+W54</f>
        <v>2304.8200000000002</v>
      </c>
      <c r="Z54" s="157">
        <f t="shared" si="196"/>
        <v>0</v>
      </c>
      <c r="AA54" s="157">
        <f t="shared" si="197"/>
        <v>0</v>
      </c>
      <c r="AB54" s="157"/>
      <c r="AC54" s="157">
        <v>2477.6799999999998</v>
      </c>
      <c r="AD54" s="157">
        <f t="shared" si="214"/>
        <v>107.49993491899583</v>
      </c>
      <c r="AE54" s="157">
        <f t="shared" si="215"/>
        <v>2477.6799999999998</v>
      </c>
      <c r="AF54" s="157">
        <f t="shared" si="198"/>
        <v>0</v>
      </c>
      <c r="AG54" s="157">
        <f t="shared" si="199"/>
        <v>0</v>
      </c>
      <c r="AH54" s="157"/>
      <c r="AI54" s="157">
        <f t="shared" si="35"/>
        <v>6926.52</v>
      </c>
      <c r="AJ54" s="157"/>
      <c r="AK54" s="157">
        <f t="shared" si="36"/>
        <v>6926.52</v>
      </c>
      <c r="AL54" s="157">
        <f t="shared" si="216"/>
        <v>0</v>
      </c>
      <c r="AM54" s="157">
        <f t="shared" si="217"/>
        <v>0</v>
      </c>
      <c r="AN54" s="157">
        <f t="shared" si="218"/>
        <v>0</v>
      </c>
      <c r="AO54" s="157">
        <f>10000+2000</f>
        <v>12000</v>
      </c>
      <c r="AP54" s="157">
        <f t="shared" si="219"/>
        <v>484.32404507442453</v>
      </c>
      <c r="AQ54" s="157">
        <f>10000+2000</f>
        <v>12000</v>
      </c>
      <c r="AR54" s="157">
        <f t="shared" si="202"/>
        <v>0</v>
      </c>
      <c r="AS54" s="157">
        <f t="shared" si="203"/>
        <v>0</v>
      </c>
      <c r="AT54" s="157"/>
      <c r="AU54" s="157">
        <f>10000+2000+4000</f>
        <v>16000</v>
      </c>
      <c r="AV54" s="157">
        <f t="shared" si="220"/>
        <v>133.33333333333331</v>
      </c>
      <c r="AW54" s="157">
        <f>10000+2000+4000</f>
        <v>16000</v>
      </c>
      <c r="AX54" s="157">
        <f t="shared" si="204"/>
        <v>0</v>
      </c>
      <c r="AY54" s="157">
        <f t="shared" si="205"/>
        <v>0</v>
      </c>
      <c r="AZ54" s="157"/>
      <c r="BA54" s="157">
        <f>10000+2000+4000+6000</f>
        <v>22000</v>
      </c>
      <c r="BB54" s="157">
        <f t="shared" si="221"/>
        <v>137.5</v>
      </c>
      <c r="BC54" s="157">
        <f t="shared" si="222"/>
        <v>22000</v>
      </c>
      <c r="BD54" s="157">
        <f t="shared" si="206"/>
        <v>0</v>
      </c>
      <c r="BE54" s="157">
        <f t="shared" si="207"/>
        <v>0</v>
      </c>
      <c r="BF54" s="157"/>
    </row>
    <row r="55" spans="1:67">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23">O56+O58</f>
        <v>9904812</v>
      </c>
      <c r="P55" s="173">
        <f t="shared" si="223"/>
        <v>0</v>
      </c>
      <c r="Q55" s="173">
        <f>Q56+Q58</f>
        <v>13126069.800000001</v>
      </c>
      <c r="R55" s="157"/>
      <c r="S55" s="157"/>
      <c r="T55" s="173">
        <f>T56+T58</f>
        <v>13126069.800000001</v>
      </c>
      <c r="U55" s="173">
        <f t="shared" ref="U55:V55" si="224">U56+U58</f>
        <v>13126069.800000001</v>
      </c>
      <c r="V55" s="173">
        <f t="shared" si="224"/>
        <v>0</v>
      </c>
      <c r="W55" s="173">
        <f>W56+W58</f>
        <v>13126069.800000001</v>
      </c>
      <c r="X55" s="160"/>
      <c r="Y55" s="157"/>
      <c r="Z55" s="173">
        <f>Z56+Z58</f>
        <v>13126069.800000001</v>
      </c>
      <c r="AA55" s="173">
        <f t="shared" ref="AA55:AB55" si="225">AA56+AA58</f>
        <v>13126069.800000001</v>
      </c>
      <c r="AB55" s="173">
        <f t="shared" si="225"/>
        <v>0</v>
      </c>
      <c r="AC55" s="173">
        <f>AC56+AC58</f>
        <v>13126069.800000001</v>
      </c>
      <c r="AD55" s="157"/>
      <c r="AE55" s="157"/>
      <c r="AF55" s="173">
        <f>AF56+AF58</f>
        <v>13126069.800000001</v>
      </c>
      <c r="AG55" s="173">
        <f t="shared" ref="AG55:AH55" si="226">AG56+AG58</f>
        <v>13126069.800000001</v>
      </c>
      <c r="AH55" s="173">
        <f t="shared" si="226"/>
        <v>0</v>
      </c>
      <c r="AI55" s="173">
        <f>AI56+AI58</f>
        <v>39378209.399999999</v>
      </c>
      <c r="AJ55" s="157"/>
      <c r="AK55" s="173">
        <f>AK56+AK58</f>
        <v>0</v>
      </c>
      <c r="AL55" s="173">
        <f>SUM(AM55:AN55)</f>
        <v>39378209.400000006</v>
      </c>
      <c r="AM55" s="142">
        <f t="shared" ref="AM55:AM56" si="227">+AG55+AA55+U55</f>
        <v>39378209.400000006</v>
      </c>
      <c r="AN55" s="142">
        <f t="shared" ref="AN55:AN56" si="228">+AH55+AB55+V55</f>
        <v>0</v>
      </c>
      <c r="AO55" s="173">
        <f>AO56+AO58</f>
        <v>12746803.800000001</v>
      </c>
      <c r="AP55" s="157"/>
      <c r="AQ55" s="157"/>
      <c r="AR55" s="173">
        <f>AR56+AR58</f>
        <v>12746803.800000001</v>
      </c>
      <c r="AS55" s="173">
        <f t="shared" ref="AS55:AT55" si="229">AS56+AS58</f>
        <v>12746803.800000001</v>
      </c>
      <c r="AT55" s="173">
        <f t="shared" si="229"/>
        <v>0</v>
      </c>
      <c r="AU55" s="173">
        <f>AU56+AU58</f>
        <v>12746803.800000001</v>
      </c>
      <c r="AV55" s="157"/>
      <c r="AW55" s="157"/>
      <c r="AX55" s="173">
        <f>AX56+AX58</f>
        <v>12746803.800000001</v>
      </c>
      <c r="AY55" s="173">
        <f t="shared" ref="AY55:AZ55" si="230">AY56+AY58</f>
        <v>12746803.800000001</v>
      </c>
      <c r="AZ55" s="173">
        <f t="shared" si="230"/>
        <v>0</v>
      </c>
      <c r="BA55" s="173">
        <f>BA56+BA58</f>
        <v>12746803.800000001</v>
      </c>
      <c r="BB55" s="157"/>
      <c r="BC55" s="157"/>
      <c r="BD55" s="173">
        <f>BD56+BD58</f>
        <v>12746803.800000001</v>
      </c>
      <c r="BE55" s="173">
        <f t="shared" ref="BE55:BF55" si="231">BE56+BE58</f>
        <v>12746803.800000001</v>
      </c>
      <c r="BF55" s="173">
        <f t="shared" si="231"/>
        <v>0</v>
      </c>
    </row>
    <row r="56" spans="1:67">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32">6487488+O57</f>
        <v>6617188</v>
      </c>
      <c r="P56" s="173"/>
      <c r="Q56" s="173">
        <f>6487488+Q57</f>
        <v>6617188</v>
      </c>
      <c r="R56" s="157"/>
      <c r="S56" s="157"/>
      <c r="T56" s="173">
        <f>6487488+T57</f>
        <v>6617188</v>
      </c>
      <c r="U56" s="173">
        <f t="shared" ref="U56" si="233">6487488+U57</f>
        <v>6617188</v>
      </c>
      <c r="V56" s="173"/>
      <c r="W56" s="173">
        <f>6487488+W57</f>
        <v>6617188</v>
      </c>
      <c r="X56" s="160"/>
      <c r="Y56" s="157"/>
      <c r="Z56" s="173">
        <f>6487488+Z57</f>
        <v>6617188</v>
      </c>
      <c r="AA56" s="173">
        <f t="shared" ref="AA56" si="234">6487488+AA57</f>
        <v>6617188</v>
      </c>
      <c r="AB56" s="173"/>
      <c r="AC56" s="173">
        <f>6487488+AC57</f>
        <v>6617188</v>
      </c>
      <c r="AD56" s="157"/>
      <c r="AE56" s="157"/>
      <c r="AF56" s="173">
        <f>6487488+AF57</f>
        <v>6617188</v>
      </c>
      <c r="AG56" s="173">
        <f t="shared" ref="AG56" si="235">6487488+AG57</f>
        <v>6617188</v>
      </c>
      <c r="AH56" s="173"/>
      <c r="AI56" s="142">
        <f>+AC56+W56+Q56</f>
        <v>19851564</v>
      </c>
      <c r="AJ56" s="157"/>
      <c r="AK56" s="142">
        <f>+AE56+Y56+S56</f>
        <v>0</v>
      </c>
      <c r="AL56" s="173">
        <f>SUM(AM56:AN56)</f>
        <v>19851564</v>
      </c>
      <c r="AM56" s="142">
        <f t="shared" si="227"/>
        <v>19851564</v>
      </c>
      <c r="AN56" s="142">
        <f t="shared" si="228"/>
        <v>0</v>
      </c>
      <c r="AO56" s="173">
        <f>6487488+AO57</f>
        <v>6617188</v>
      </c>
      <c r="AP56" s="157"/>
      <c r="AQ56" s="157"/>
      <c r="AR56" s="173">
        <f>6487488+AR57</f>
        <v>6617188</v>
      </c>
      <c r="AS56" s="173">
        <f t="shared" ref="AS56" si="236">6487488+AS57</f>
        <v>6617188</v>
      </c>
      <c r="AT56" s="173"/>
      <c r="AU56" s="173">
        <f>6487488+AU57</f>
        <v>6617188</v>
      </c>
      <c r="AV56" s="157"/>
      <c r="AW56" s="157"/>
      <c r="AX56" s="173">
        <f>6487488+AX57</f>
        <v>6617188</v>
      </c>
      <c r="AY56" s="173">
        <f t="shared" ref="AY56" si="237">6487488+AY57</f>
        <v>6617188</v>
      </c>
      <c r="AZ56" s="173"/>
      <c r="BA56" s="173">
        <f>6487488+BA57</f>
        <v>6617188</v>
      </c>
      <c r="BB56" s="157"/>
      <c r="BC56" s="157"/>
      <c r="BD56" s="173">
        <f>6487488+BD57</f>
        <v>6617188</v>
      </c>
      <c r="BE56" s="173">
        <f t="shared" ref="BE56" si="238">6487488+BE57</f>
        <v>6617188</v>
      </c>
      <c r="BF56" s="173"/>
    </row>
    <row r="57" spans="1:67"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57">
        <f t="shared" si="35"/>
        <v>389100</v>
      </c>
      <c r="AJ57" s="171"/>
      <c r="AK57" s="171"/>
      <c r="AL57" s="263">
        <f>SUM(AM57:AN57)</f>
        <v>389100</v>
      </c>
      <c r="AM57" s="157">
        <f t="shared" ref="AM57" si="239">+AG57+AA57+U57</f>
        <v>389100</v>
      </c>
      <c r="AN57" s="157">
        <f t="shared" ref="AN57" si="240">+AH57+AB57+V57</f>
        <v>0</v>
      </c>
      <c r="AO57" s="171">
        <v>129700</v>
      </c>
      <c r="AP57" s="171"/>
      <c r="AQ57" s="171"/>
      <c r="AR57" s="171">
        <f>SUM(AS57:AT57)</f>
        <v>129700</v>
      </c>
      <c r="AS57" s="171">
        <f>AO57</f>
        <v>129700</v>
      </c>
      <c r="AT57" s="171"/>
      <c r="AU57" s="171">
        <v>129700</v>
      </c>
      <c r="AV57" s="171"/>
      <c r="AW57" s="171"/>
      <c r="AX57" s="171">
        <f>SUM(AY57:AZ57)</f>
        <v>129700</v>
      </c>
      <c r="AY57" s="171">
        <f>AU57</f>
        <v>129700</v>
      </c>
      <c r="AZ57" s="171"/>
      <c r="BA57" s="171">
        <v>129700</v>
      </c>
      <c r="BB57" s="171"/>
      <c r="BC57" s="171"/>
      <c r="BD57" s="171">
        <f>SUM(BE57:BF57)</f>
        <v>129700</v>
      </c>
      <c r="BE57" s="171">
        <f>BA57</f>
        <v>129700</v>
      </c>
      <c r="BF57" s="171"/>
    </row>
    <row r="58" spans="1:67">
      <c r="A58" s="1712" t="s">
        <v>33</v>
      </c>
      <c r="B58" s="1713" t="s">
        <v>41</v>
      </c>
      <c r="C58" s="173">
        <f>SUM(C59,C62,C65)</f>
        <v>2639291</v>
      </c>
      <c r="D58" s="173">
        <f t="shared" ref="D58" si="241">SUM(D59,D62,D65)</f>
        <v>2639291</v>
      </c>
      <c r="E58" s="176"/>
      <c r="F58" s="174">
        <f>SUM(F59:F65)</f>
        <v>0</v>
      </c>
      <c r="G58" s="174">
        <f t="shared" ref="G58:J58" si="242">SUM(G59,G62,G65)</f>
        <v>2639291</v>
      </c>
      <c r="H58" s="174">
        <f t="shared" si="242"/>
        <v>2639291</v>
      </c>
      <c r="I58" s="174">
        <f t="shared" si="242"/>
        <v>0</v>
      </c>
      <c r="J58" s="173">
        <f t="shared" si="242"/>
        <v>3287624</v>
      </c>
      <c r="K58" s="157"/>
      <c r="L58" s="157"/>
      <c r="M58" s="157"/>
      <c r="N58" s="173">
        <f t="shared" ref="N58:Q58" si="243">SUM(N59,N62,N65)</f>
        <v>3287624</v>
      </c>
      <c r="O58" s="173">
        <f t="shared" si="243"/>
        <v>3287624</v>
      </c>
      <c r="P58" s="173">
        <f t="shared" si="243"/>
        <v>0</v>
      </c>
      <c r="Q58" s="173">
        <f t="shared" si="243"/>
        <v>6508881.7999999998</v>
      </c>
      <c r="R58" s="157"/>
      <c r="S58" s="157"/>
      <c r="T58" s="173">
        <f t="shared" ref="T58:W58" si="244">SUM(T59,T62,T65)</f>
        <v>6508881.7999999998</v>
      </c>
      <c r="U58" s="173">
        <f t="shared" si="244"/>
        <v>6508881.7999999998</v>
      </c>
      <c r="V58" s="173">
        <f t="shared" si="244"/>
        <v>0</v>
      </c>
      <c r="W58" s="173">
        <f t="shared" si="244"/>
        <v>6508881.7999999998</v>
      </c>
      <c r="X58" s="157"/>
      <c r="Y58" s="157"/>
      <c r="Z58" s="173">
        <f t="shared" ref="Z58:AC58" si="245">SUM(Z59,Z62,Z65)</f>
        <v>6508881.7999999998</v>
      </c>
      <c r="AA58" s="173">
        <f t="shared" si="245"/>
        <v>6508881.7999999998</v>
      </c>
      <c r="AB58" s="173">
        <f t="shared" si="245"/>
        <v>0</v>
      </c>
      <c r="AC58" s="173">
        <f t="shared" si="245"/>
        <v>6508881.7999999998</v>
      </c>
      <c r="AD58" s="157"/>
      <c r="AE58" s="157"/>
      <c r="AF58" s="173">
        <f t="shared" ref="AF58:AO58" si="246">SUM(AF59,AF62,AF65)</f>
        <v>6508881.7999999998</v>
      </c>
      <c r="AG58" s="173">
        <f t="shared" si="246"/>
        <v>6508881.7999999998</v>
      </c>
      <c r="AH58" s="173">
        <f t="shared" si="246"/>
        <v>0</v>
      </c>
      <c r="AI58" s="173">
        <f t="shared" si="246"/>
        <v>19526645.399999999</v>
      </c>
      <c r="AJ58" s="157"/>
      <c r="AK58" s="157"/>
      <c r="AL58" s="173">
        <f t="shared" ref="AL58:AN58" si="247">SUM(AL59,AL62,AL65)</f>
        <v>19526645.399999999</v>
      </c>
      <c r="AM58" s="173">
        <f t="shared" si="247"/>
        <v>19526645.399999999</v>
      </c>
      <c r="AN58" s="173">
        <f t="shared" si="247"/>
        <v>0</v>
      </c>
      <c r="AO58" s="173">
        <f t="shared" si="246"/>
        <v>6129615.7999999998</v>
      </c>
      <c r="AP58" s="157"/>
      <c r="AQ58" s="157"/>
      <c r="AR58" s="173">
        <f t="shared" ref="AR58:AU58" si="248">SUM(AR59,AR62,AR65)</f>
        <v>6129615.7999999998</v>
      </c>
      <c r="AS58" s="173">
        <f t="shared" si="248"/>
        <v>6129615.7999999998</v>
      </c>
      <c r="AT58" s="173">
        <f t="shared" si="248"/>
        <v>0</v>
      </c>
      <c r="AU58" s="173">
        <f t="shared" si="248"/>
        <v>6129615.7999999998</v>
      </c>
      <c r="AV58" s="157"/>
      <c r="AW58" s="157"/>
      <c r="AX58" s="173">
        <f t="shared" ref="AX58:BA58" si="249">SUM(AX59,AX62,AX65)</f>
        <v>6129615.7999999998</v>
      </c>
      <c r="AY58" s="173">
        <f t="shared" si="249"/>
        <v>6129615.7999999998</v>
      </c>
      <c r="AZ58" s="173">
        <f t="shared" si="249"/>
        <v>0</v>
      </c>
      <c r="BA58" s="173">
        <f t="shared" si="249"/>
        <v>6129615.7999999998</v>
      </c>
      <c r="BB58" s="157"/>
      <c r="BC58" s="157"/>
      <c r="BD58" s="173">
        <f t="shared" ref="BD58:BF58" si="250">SUM(BD59,BD62,BD65)</f>
        <v>6129615.7999999998</v>
      </c>
      <c r="BE58" s="173">
        <f t="shared" si="250"/>
        <v>6129615.7999999998</v>
      </c>
      <c r="BF58" s="173">
        <f t="shared" si="250"/>
        <v>0</v>
      </c>
    </row>
    <row r="59" spans="1:67">
      <c r="A59" s="164">
        <v>1</v>
      </c>
      <c r="B59" s="1716" t="s">
        <v>42</v>
      </c>
      <c r="C59" s="152">
        <f>SUM(C60:C61)</f>
        <v>1814491</v>
      </c>
      <c r="D59" s="152">
        <f t="shared" ref="D59" si="251">SUM(D60:D61)</f>
        <v>1814491</v>
      </c>
      <c r="E59" s="153"/>
      <c r="F59" s="154"/>
      <c r="G59" s="154">
        <f>SUM(H59:I59)</f>
        <v>1814491</v>
      </c>
      <c r="H59" s="154">
        <f>C59</f>
        <v>1814491</v>
      </c>
      <c r="I59" s="154"/>
      <c r="J59" s="157">
        <f>SUM(J60:J61)</f>
        <v>1814491</v>
      </c>
      <c r="K59" s="157"/>
      <c r="L59" s="157"/>
      <c r="M59" s="157"/>
      <c r="N59" s="157">
        <f>SUM(N60:N61)</f>
        <v>1814491</v>
      </c>
      <c r="O59" s="157">
        <f t="shared" ref="O59:P59" si="252">SUM(O60:O61)</f>
        <v>1814491</v>
      </c>
      <c r="P59" s="157">
        <f t="shared" si="252"/>
        <v>0</v>
      </c>
      <c r="Q59" s="157">
        <f>SUM(Q60:Q61)</f>
        <v>3101719</v>
      </c>
      <c r="R59" s="157"/>
      <c r="S59" s="157"/>
      <c r="T59" s="157">
        <f>SUM(T60:T61)</f>
        <v>3101719</v>
      </c>
      <c r="U59" s="157">
        <f t="shared" ref="U59:V59" si="253">SUM(U60:U61)</f>
        <v>3101719</v>
      </c>
      <c r="V59" s="157">
        <f t="shared" si="253"/>
        <v>0</v>
      </c>
      <c r="W59" s="157">
        <f>SUM(W60:W61)</f>
        <v>3101719</v>
      </c>
      <c r="X59" s="157"/>
      <c r="Y59" s="157"/>
      <c r="Z59" s="157">
        <f>SUM(Z60:Z61)</f>
        <v>3101719</v>
      </c>
      <c r="AA59" s="157">
        <f t="shared" ref="AA59:AB59" si="254">SUM(AA60:AA61)</f>
        <v>3101719</v>
      </c>
      <c r="AB59" s="157">
        <f t="shared" si="254"/>
        <v>0</v>
      </c>
      <c r="AC59" s="157">
        <f>SUM(AC60:AC61)</f>
        <v>3101719</v>
      </c>
      <c r="AD59" s="157"/>
      <c r="AE59" s="157"/>
      <c r="AF59" s="157">
        <f>SUM(AF60:AF61)</f>
        <v>3101719</v>
      </c>
      <c r="AG59" s="157">
        <f t="shared" ref="AG59:AH59" si="255">SUM(AG60:AG61)</f>
        <v>3101719</v>
      </c>
      <c r="AH59" s="157">
        <f t="shared" si="255"/>
        <v>0</v>
      </c>
      <c r="AI59" s="157">
        <f>SUM(AI60:AI61)</f>
        <v>9305157</v>
      </c>
      <c r="AJ59" s="157"/>
      <c r="AK59" s="157"/>
      <c r="AL59" s="157">
        <f>SUM(AL60:AL61)</f>
        <v>9305157</v>
      </c>
      <c r="AM59" s="157">
        <f t="shared" ref="AM59:AN59" si="256">SUM(AM60:AM61)</f>
        <v>9305157</v>
      </c>
      <c r="AN59" s="157">
        <f t="shared" si="256"/>
        <v>0</v>
      </c>
      <c r="AO59" s="157">
        <f>SUM(AO60:AO61)</f>
        <v>3101719</v>
      </c>
      <c r="AP59" s="157"/>
      <c r="AQ59" s="157"/>
      <c r="AR59" s="157">
        <f>SUM(AR60:AR61)</f>
        <v>3101719</v>
      </c>
      <c r="AS59" s="157">
        <f t="shared" ref="AS59:AT59" si="257">SUM(AS60:AS61)</f>
        <v>3101719</v>
      </c>
      <c r="AT59" s="157">
        <f t="shared" si="257"/>
        <v>0</v>
      </c>
      <c r="AU59" s="157">
        <f>SUM(AU60:AU61)</f>
        <v>3101719</v>
      </c>
      <c r="AV59" s="157"/>
      <c r="AW59" s="157"/>
      <c r="AX59" s="157">
        <f>SUM(AX60:AX61)</f>
        <v>3101719</v>
      </c>
      <c r="AY59" s="157">
        <f t="shared" ref="AY59:AZ59" si="258">SUM(AY60:AY61)</f>
        <v>3101719</v>
      </c>
      <c r="AZ59" s="157">
        <f t="shared" si="258"/>
        <v>0</v>
      </c>
      <c r="BA59" s="157">
        <f>SUM(BA60:BA61)</f>
        <v>3101719</v>
      </c>
      <c r="BB59" s="157"/>
      <c r="BC59" s="157"/>
      <c r="BD59" s="157">
        <f>SUM(BD60:BD61)</f>
        <v>3101719</v>
      </c>
      <c r="BE59" s="157">
        <f t="shared" ref="BE59:BF59" si="259">SUM(BE60:BE61)</f>
        <v>3101719</v>
      </c>
      <c r="BF59" s="157">
        <f t="shared" si="259"/>
        <v>0</v>
      </c>
    </row>
    <row r="60" spans="1:67"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 t="shared" ref="AI60:AI69" si="260">+AC60+W60+Q60</f>
        <v>8911440</v>
      </c>
      <c r="AJ60" s="171"/>
      <c r="AK60" s="171"/>
      <c r="AL60" s="171">
        <f>SUM(AM60:AN60)</f>
        <v>8911440</v>
      </c>
      <c r="AM60" s="157">
        <f t="shared" ref="AM60" si="261">+AG60+AA60+U60</f>
        <v>8911440</v>
      </c>
      <c r="AN60" s="157">
        <f t="shared" ref="AN60" si="262">+AH60+AB60+V60</f>
        <v>0</v>
      </c>
      <c r="AO60" s="171">
        <f>AG60</f>
        <v>2970480</v>
      </c>
      <c r="AP60" s="171"/>
      <c r="AQ60" s="171"/>
      <c r="AR60" s="171">
        <f>SUM(AS60:AT60)</f>
        <v>2970480</v>
      </c>
      <c r="AS60" s="171">
        <f>AO60</f>
        <v>2970480</v>
      </c>
      <c r="AT60" s="171"/>
      <c r="AU60" s="171">
        <f>AS60</f>
        <v>2970480</v>
      </c>
      <c r="AV60" s="171"/>
      <c r="AW60" s="171"/>
      <c r="AX60" s="171">
        <f>SUM(AY60:AZ60)</f>
        <v>2970480</v>
      </c>
      <c r="AY60" s="171">
        <f>AU60</f>
        <v>2970480</v>
      </c>
      <c r="AZ60" s="171"/>
      <c r="BA60" s="171">
        <f>AY60</f>
        <v>2970480</v>
      </c>
      <c r="BB60" s="171"/>
      <c r="BC60" s="171"/>
      <c r="BD60" s="171">
        <f>SUM(BE60:BF60)</f>
        <v>2970480</v>
      </c>
      <c r="BE60" s="171">
        <f>BA60</f>
        <v>2970480</v>
      </c>
      <c r="BF60" s="171"/>
    </row>
    <row r="61" spans="1:67" s="5" customFormat="1" hidden="1">
      <c r="A61" s="1724" t="s">
        <v>101</v>
      </c>
      <c r="B61" s="1690" t="s">
        <v>102</v>
      </c>
      <c r="C61" s="263">
        <f>127705+5216</f>
        <v>132921</v>
      </c>
      <c r="D61" s="263">
        <f>C61</f>
        <v>132921</v>
      </c>
      <c r="E61" s="1533"/>
      <c r="F61" s="170"/>
      <c r="G61" s="170">
        <f t="shared" ref="G61" si="263">SUM(H61:I61)</f>
        <v>132921</v>
      </c>
      <c r="H61" s="170">
        <f t="shared" ref="H61" si="264">D61-F61-I61</f>
        <v>132921</v>
      </c>
      <c r="I61" s="170"/>
      <c r="J61" s="182">
        <f>H61</f>
        <v>132921</v>
      </c>
      <c r="K61" s="258"/>
      <c r="L61" s="258"/>
      <c r="M61" s="182"/>
      <c r="N61" s="171">
        <f t="shared" ref="N61" si="265">SUM(O61:P61)</f>
        <v>132921</v>
      </c>
      <c r="O61" s="171">
        <f t="shared" ref="O61" si="266">J61-M61-P61</f>
        <v>132921</v>
      </c>
      <c r="P61" s="182"/>
      <c r="Q61" s="171">
        <f>127775+3464</f>
        <v>131239</v>
      </c>
      <c r="R61" s="171"/>
      <c r="S61" s="171"/>
      <c r="T61" s="171">
        <f>SUM(U61:V61)</f>
        <v>131239</v>
      </c>
      <c r="U61" s="171">
        <f>Q61</f>
        <v>131239</v>
      </c>
      <c r="V61" s="171"/>
      <c r="W61" s="171">
        <f t="shared" ref="W61" si="267">U61</f>
        <v>131239</v>
      </c>
      <c r="X61" s="171"/>
      <c r="Y61" s="171"/>
      <c r="Z61" s="171">
        <f>SUM(AA61:AB61)</f>
        <v>131239</v>
      </c>
      <c r="AA61" s="171">
        <f>W61</f>
        <v>131239</v>
      </c>
      <c r="AB61" s="171"/>
      <c r="AC61" s="171">
        <f t="shared" ref="AC61" si="268">AA61</f>
        <v>131239</v>
      </c>
      <c r="AD61" s="171"/>
      <c r="AE61" s="171"/>
      <c r="AF61" s="171">
        <f>SUM(AG61:AH61)</f>
        <v>131239</v>
      </c>
      <c r="AG61" s="171">
        <f>AC61</f>
        <v>131239</v>
      </c>
      <c r="AH61" s="171"/>
      <c r="AI61" s="171">
        <f t="shared" si="260"/>
        <v>393717</v>
      </c>
      <c r="AJ61" s="171"/>
      <c r="AK61" s="171"/>
      <c r="AL61" s="171">
        <f>SUM(AM61:AN61)</f>
        <v>393717</v>
      </c>
      <c r="AM61" s="157">
        <f t="shared" ref="AM61" si="269">+AG61+AA61+U61</f>
        <v>393717</v>
      </c>
      <c r="AN61" s="157">
        <f t="shared" ref="AN61" si="270">+AH61+AB61+V61</f>
        <v>0</v>
      </c>
      <c r="AO61" s="171">
        <f t="shared" ref="AO61" si="271">AG61</f>
        <v>131239</v>
      </c>
      <c r="AP61" s="171"/>
      <c r="AQ61" s="171"/>
      <c r="AR61" s="171">
        <f>SUM(AS61:AT61)</f>
        <v>131239</v>
      </c>
      <c r="AS61" s="171">
        <f>AO61</f>
        <v>131239</v>
      </c>
      <c r="AT61" s="171"/>
      <c r="AU61" s="171">
        <f t="shared" ref="AU61" si="272">AS61</f>
        <v>131239</v>
      </c>
      <c r="AV61" s="171"/>
      <c r="AW61" s="171"/>
      <c r="AX61" s="171">
        <f>SUM(AY61:AZ61)</f>
        <v>131239</v>
      </c>
      <c r="AY61" s="171">
        <f>AU61</f>
        <v>131239</v>
      </c>
      <c r="AZ61" s="171"/>
      <c r="BA61" s="171">
        <f t="shared" ref="BA61" si="273">AY61</f>
        <v>131239</v>
      </c>
      <c r="BB61" s="171"/>
      <c r="BC61" s="171"/>
      <c r="BD61" s="171">
        <f>SUM(BE61:BF61)</f>
        <v>131239</v>
      </c>
      <c r="BE61" s="171">
        <f>BA61</f>
        <v>131239</v>
      </c>
      <c r="BF61" s="171"/>
    </row>
    <row r="62" spans="1:67">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274">SUM(O63:O64)</f>
        <v>174485</v>
      </c>
      <c r="P62" s="160">
        <f t="shared" si="274"/>
        <v>0</v>
      </c>
      <c r="Q62" s="157">
        <f>SUM(Q63:Q64)</f>
        <v>195063.8</v>
      </c>
      <c r="R62" s="157"/>
      <c r="S62" s="157"/>
      <c r="T62" s="157">
        <f>SUM(T63:T64)</f>
        <v>195063.8</v>
      </c>
      <c r="U62" s="157">
        <f t="shared" ref="U62:V62" si="275">SUM(U63:U64)</f>
        <v>195063.8</v>
      </c>
      <c r="V62" s="157">
        <f t="shared" si="275"/>
        <v>0</v>
      </c>
      <c r="W62" s="157">
        <f>SUM(W63:W64)</f>
        <v>195063.8</v>
      </c>
      <c r="X62" s="157"/>
      <c r="Y62" s="157"/>
      <c r="Z62" s="157">
        <f>SUM(Z63:Z64)</f>
        <v>195063.8</v>
      </c>
      <c r="AA62" s="157">
        <f t="shared" ref="AA62:AB62" si="276">SUM(AA63:AA64)</f>
        <v>195063.8</v>
      </c>
      <c r="AB62" s="157">
        <f t="shared" si="276"/>
        <v>0</v>
      </c>
      <c r="AC62" s="157">
        <f>SUM(AC63:AC64)</f>
        <v>195063.8</v>
      </c>
      <c r="AD62" s="157"/>
      <c r="AE62" s="157"/>
      <c r="AF62" s="157">
        <f>SUM(AF63:AF64)</f>
        <v>195063.8</v>
      </c>
      <c r="AG62" s="157">
        <f t="shared" ref="AG62:AH62" si="277">SUM(AG63:AG64)</f>
        <v>195063.8</v>
      </c>
      <c r="AH62" s="157">
        <f t="shared" si="277"/>
        <v>0</v>
      </c>
      <c r="AI62" s="157">
        <f>SUM(AI63:AI64)</f>
        <v>585191.4</v>
      </c>
      <c r="AJ62" s="157"/>
      <c r="AK62" s="157"/>
      <c r="AL62" s="157">
        <f>SUM(AL63:AL64)</f>
        <v>585191.4</v>
      </c>
      <c r="AM62" s="157">
        <f t="shared" ref="AM62:AN62" si="278">SUM(AM63:AM64)</f>
        <v>585191.4</v>
      </c>
      <c r="AN62" s="157">
        <f t="shared" si="278"/>
        <v>0</v>
      </c>
      <c r="AO62" s="157">
        <f>SUM(AO63:AO64)</f>
        <v>195063.8</v>
      </c>
      <c r="AP62" s="157"/>
      <c r="AQ62" s="157"/>
      <c r="AR62" s="157">
        <f>SUM(AR63:AR64)</f>
        <v>195063.8</v>
      </c>
      <c r="AS62" s="157">
        <f t="shared" ref="AS62:AT62" si="279">SUM(AS63:AS64)</f>
        <v>195063.8</v>
      </c>
      <c r="AT62" s="157">
        <f t="shared" si="279"/>
        <v>0</v>
      </c>
      <c r="AU62" s="157">
        <f>SUM(AU63:AU64)</f>
        <v>195063.8</v>
      </c>
      <c r="AV62" s="157"/>
      <c r="AW62" s="157"/>
      <c r="AX62" s="157">
        <f>SUM(AX63:AX64)</f>
        <v>195063.8</v>
      </c>
      <c r="AY62" s="157">
        <f t="shared" ref="AY62:AZ62" si="280">SUM(AY63:AY64)</f>
        <v>195063.8</v>
      </c>
      <c r="AZ62" s="157">
        <f t="shared" si="280"/>
        <v>0</v>
      </c>
      <c r="BA62" s="157">
        <f>SUM(BA63:BA64)</f>
        <v>195063.8</v>
      </c>
      <c r="BB62" s="157"/>
      <c r="BC62" s="157"/>
      <c r="BD62" s="157">
        <f>SUM(BD63:BD64)</f>
        <v>195063.8</v>
      </c>
      <c r="BE62" s="157">
        <f t="shared" ref="BE62:BF62" si="281">SUM(BE63:BE64)</f>
        <v>195063.8</v>
      </c>
      <c r="BF62" s="157">
        <f t="shared" si="281"/>
        <v>0</v>
      </c>
    </row>
    <row r="63" spans="1:67"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 t="shared" si="260"/>
        <v>260888.40000000002</v>
      </c>
      <c r="AJ63" s="171"/>
      <c r="AK63" s="171"/>
      <c r="AL63" s="171">
        <f>SUM(AM63:AN63)</f>
        <v>260888.40000000002</v>
      </c>
      <c r="AM63" s="157">
        <f t="shared" ref="AM63" si="282">+AG63+AA63+U63</f>
        <v>260888.40000000002</v>
      </c>
      <c r="AN63" s="157">
        <f t="shared" ref="AN63" si="283">+AH63+AB63+V63</f>
        <v>0</v>
      </c>
      <c r="AO63" s="171">
        <f>AG63</f>
        <v>86962.8</v>
      </c>
      <c r="AP63" s="171"/>
      <c r="AQ63" s="171"/>
      <c r="AR63" s="171">
        <f>SUM(AS63:AT63)</f>
        <v>86962.8</v>
      </c>
      <c r="AS63" s="171">
        <f>AO63</f>
        <v>86962.8</v>
      </c>
      <c r="AT63" s="171"/>
      <c r="AU63" s="171">
        <f>AS63</f>
        <v>86962.8</v>
      </c>
      <c r="AV63" s="171"/>
      <c r="AW63" s="171"/>
      <c r="AX63" s="171">
        <f>SUM(AY63:AZ63)</f>
        <v>86962.8</v>
      </c>
      <c r="AY63" s="171">
        <f>AU63</f>
        <v>86962.8</v>
      </c>
      <c r="AZ63" s="171"/>
      <c r="BA63" s="171">
        <f>AY63</f>
        <v>86962.8</v>
      </c>
      <c r="BB63" s="171"/>
      <c r="BC63" s="171"/>
      <c r="BD63" s="171">
        <f>SUM(BE63:BF63)</f>
        <v>86962.8</v>
      </c>
      <c r="BE63" s="171">
        <f>BA63</f>
        <v>86962.8</v>
      </c>
      <c r="BF63" s="171"/>
    </row>
    <row r="64" spans="1:67" s="5" customFormat="1" hidden="1">
      <c r="A64" s="1724" t="s">
        <v>101</v>
      </c>
      <c r="B64" s="1690" t="s">
        <v>102</v>
      </c>
      <c r="C64" s="263">
        <f>36361+65655</f>
        <v>102016</v>
      </c>
      <c r="D64" s="263">
        <f>C64</f>
        <v>102016</v>
      </c>
      <c r="E64" s="1533"/>
      <c r="F64" s="170"/>
      <c r="G64" s="170">
        <f>SUM(H64:I64)</f>
        <v>102016</v>
      </c>
      <c r="H64" s="170">
        <f t="shared" ref="H64" si="284">D64-F64-I64</f>
        <v>102016</v>
      </c>
      <c r="I64" s="170"/>
      <c r="J64" s="182">
        <f>H64</f>
        <v>102016</v>
      </c>
      <c r="K64" s="258"/>
      <c r="L64" s="258"/>
      <c r="M64" s="182"/>
      <c r="N64" s="171">
        <f t="shared" ref="N64" si="285">SUM(O64:P64)</f>
        <v>102016</v>
      </c>
      <c r="O64" s="171">
        <f t="shared" ref="O64" si="286">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 t="shared" si="260"/>
        <v>324303</v>
      </c>
      <c r="AJ64" s="171"/>
      <c r="AK64" s="171"/>
      <c r="AL64" s="171">
        <f>SUM(AM64:AN64)</f>
        <v>324303</v>
      </c>
      <c r="AM64" s="157">
        <f t="shared" ref="AM64" si="287">+AG64+AA64+U64</f>
        <v>324303</v>
      </c>
      <c r="AN64" s="157">
        <f t="shared" ref="AN64" si="288">+AH64+AB64+V64</f>
        <v>0</v>
      </c>
      <c r="AO64" s="171">
        <f>AG64</f>
        <v>108101</v>
      </c>
      <c r="AP64" s="171"/>
      <c r="AQ64" s="171"/>
      <c r="AR64" s="171">
        <f>SUM(AS64:AT64)</f>
        <v>108101</v>
      </c>
      <c r="AS64" s="171">
        <f>AO64</f>
        <v>108101</v>
      </c>
      <c r="AT64" s="171"/>
      <c r="AU64" s="171">
        <f>AS64</f>
        <v>108101</v>
      </c>
      <c r="AV64" s="171"/>
      <c r="AW64" s="171"/>
      <c r="AX64" s="171">
        <f>SUM(AY64:AZ64)</f>
        <v>108101</v>
      </c>
      <c r="AY64" s="171">
        <f>AU64</f>
        <v>108101</v>
      </c>
      <c r="AZ64" s="171"/>
      <c r="BA64" s="171">
        <f>AY64</f>
        <v>108101</v>
      </c>
      <c r="BB64" s="171"/>
      <c r="BC64" s="171"/>
      <c r="BD64" s="171">
        <f>SUM(BE64:BF64)</f>
        <v>108101</v>
      </c>
      <c r="BE64" s="171">
        <f>BA64</f>
        <v>108101</v>
      </c>
      <c r="BF64" s="171"/>
    </row>
    <row r="65" spans="1:58" s="204" customFormat="1">
      <c r="A65" s="164">
        <v>3</v>
      </c>
      <c r="B65" s="1725" t="s">
        <v>106</v>
      </c>
      <c r="C65" s="152">
        <f>SUM(C66:C67)</f>
        <v>650315</v>
      </c>
      <c r="D65" s="152">
        <f t="shared" ref="D65:I65" si="289">SUM(D66:D67)</f>
        <v>650315</v>
      </c>
      <c r="E65" s="153"/>
      <c r="F65" s="154">
        <f t="shared" si="289"/>
        <v>0</v>
      </c>
      <c r="G65" s="154">
        <f t="shared" si="289"/>
        <v>650315</v>
      </c>
      <c r="H65" s="154">
        <f t="shared" si="289"/>
        <v>650315</v>
      </c>
      <c r="I65" s="154">
        <f t="shared" si="289"/>
        <v>0</v>
      </c>
      <c r="J65" s="202">
        <f>SUM(J66:J67)</f>
        <v>1298648</v>
      </c>
      <c r="K65" s="203"/>
      <c r="L65" s="203"/>
      <c r="M65" s="202"/>
      <c r="N65" s="152">
        <f>SUM(N66:N67)</f>
        <v>1298648</v>
      </c>
      <c r="O65" s="152">
        <f t="shared" ref="O65:P65" si="290">SUM(O66:O67)</f>
        <v>1298648</v>
      </c>
      <c r="P65" s="202">
        <f t="shared" si="290"/>
        <v>0</v>
      </c>
      <c r="Q65" s="152">
        <f>SUM(Q66:Q67)</f>
        <v>3212099</v>
      </c>
      <c r="R65" s="152"/>
      <c r="S65" s="152"/>
      <c r="T65" s="152">
        <f>SUM(T66:T67)</f>
        <v>3212099</v>
      </c>
      <c r="U65" s="152">
        <f>SUM(U66:U67)</f>
        <v>3212099</v>
      </c>
      <c r="V65" s="152">
        <f t="shared" ref="V65" si="291">SUM(V66:V67)</f>
        <v>0</v>
      </c>
      <c r="W65" s="152">
        <f>SUM(W66:W67)</f>
        <v>3212099</v>
      </c>
      <c r="X65" s="152"/>
      <c r="Y65" s="152"/>
      <c r="Z65" s="152">
        <f>SUM(Z66:Z67)</f>
        <v>3212099</v>
      </c>
      <c r="AA65" s="152">
        <f t="shared" ref="AA65:AB65" si="292">SUM(AA66:AA67)</f>
        <v>3212099</v>
      </c>
      <c r="AB65" s="152">
        <f t="shared" si="292"/>
        <v>0</v>
      </c>
      <c r="AC65" s="152">
        <f>SUM(AC66:AC67)</f>
        <v>3212099</v>
      </c>
      <c r="AD65" s="152"/>
      <c r="AE65" s="152"/>
      <c r="AF65" s="152">
        <f>SUM(AF66:AF67)</f>
        <v>3212099</v>
      </c>
      <c r="AG65" s="152">
        <f t="shared" ref="AG65:AH65" si="293">SUM(AG66:AG67)</f>
        <v>3212099</v>
      </c>
      <c r="AH65" s="152">
        <f t="shared" si="293"/>
        <v>0</v>
      </c>
      <c r="AI65" s="152">
        <f>SUM(AI66:AI67)</f>
        <v>9636297</v>
      </c>
      <c r="AJ65" s="152"/>
      <c r="AK65" s="152"/>
      <c r="AL65" s="152">
        <f>SUM(AL66:AL67)</f>
        <v>9636297</v>
      </c>
      <c r="AM65" s="152">
        <f t="shared" ref="AM65:AN65" si="294">SUM(AM66:AM67)</f>
        <v>9636297</v>
      </c>
      <c r="AN65" s="152">
        <f t="shared" si="294"/>
        <v>0</v>
      </c>
      <c r="AO65" s="152">
        <f>SUM(AO66:AO67)</f>
        <v>2832833</v>
      </c>
      <c r="AP65" s="152"/>
      <c r="AQ65" s="152"/>
      <c r="AR65" s="152">
        <f>SUM(AR66:AR67)</f>
        <v>2832833</v>
      </c>
      <c r="AS65" s="152">
        <f t="shared" ref="AS65:AT65" si="295">SUM(AS66:AS67)</f>
        <v>2832833</v>
      </c>
      <c r="AT65" s="152">
        <f t="shared" si="295"/>
        <v>0</v>
      </c>
      <c r="AU65" s="152">
        <f>SUM(AU66:AU67)</f>
        <v>2832833</v>
      </c>
      <c r="AV65" s="152"/>
      <c r="AW65" s="152"/>
      <c r="AX65" s="152">
        <f>SUM(AX66:AX67)</f>
        <v>2832833</v>
      </c>
      <c r="AY65" s="152">
        <f t="shared" ref="AY65:AZ65" si="296">SUM(AY66:AY67)</f>
        <v>2832833</v>
      </c>
      <c r="AZ65" s="152">
        <f t="shared" si="296"/>
        <v>0</v>
      </c>
      <c r="BA65" s="152">
        <f>SUM(BA66:BA67)</f>
        <v>2832833</v>
      </c>
      <c r="BB65" s="152"/>
      <c r="BC65" s="152"/>
      <c r="BD65" s="152">
        <f>SUM(BD66:BD67)</f>
        <v>2832833</v>
      </c>
      <c r="BE65" s="152">
        <f t="shared" ref="BE65:BF65" si="297">SUM(BE66:BE67)</f>
        <v>2832833</v>
      </c>
      <c r="BF65" s="152">
        <f t="shared" si="297"/>
        <v>0</v>
      </c>
    </row>
    <row r="66" spans="1:58" s="5" customFormat="1" ht="16.2">
      <c r="A66" s="1724" t="s">
        <v>99</v>
      </c>
      <c r="B66" s="1690" t="s">
        <v>104</v>
      </c>
      <c r="C66" s="263">
        <v>650315</v>
      </c>
      <c r="D66" s="263">
        <f>C66</f>
        <v>650315</v>
      </c>
      <c r="E66" s="1533"/>
      <c r="F66" s="170"/>
      <c r="G66" s="170">
        <f>SUM(H66:I66)</f>
        <v>650315</v>
      </c>
      <c r="H66" s="170">
        <f>D66-F66-I66</f>
        <v>650315</v>
      </c>
      <c r="I66" s="170"/>
      <c r="J66" s="1726">
        <f>+'Phụ lục số I'!J66</f>
        <v>1160089</v>
      </c>
      <c r="K66" s="258"/>
      <c r="L66" s="258"/>
      <c r="M66" s="182"/>
      <c r="N66" s="249">
        <f>SUM(O66:P66)</f>
        <v>1160089</v>
      </c>
      <c r="O66" s="249">
        <f>J66-M66-P66</f>
        <v>1160089</v>
      </c>
      <c r="P66" s="1726"/>
      <c r="Q66" s="171">
        <f>2832833</f>
        <v>2832833</v>
      </c>
      <c r="R66" s="171"/>
      <c r="S66" s="171"/>
      <c r="T66" s="171">
        <f>SUM(U66:V66)</f>
        <v>2832833</v>
      </c>
      <c r="U66" s="171">
        <f>Q66</f>
        <v>2832833</v>
      </c>
      <c r="V66" s="171"/>
      <c r="W66" s="171">
        <f>U66</f>
        <v>2832833</v>
      </c>
      <c r="X66" s="171"/>
      <c r="Y66" s="171"/>
      <c r="Z66" s="171">
        <f>SUM(AA66:AB66)</f>
        <v>2832833</v>
      </c>
      <c r="AA66" s="171">
        <f>W66</f>
        <v>2832833</v>
      </c>
      <c r="AB66" s="171"/>
      <c r="AC66" s="171">
        <f>AA66</f>
        <v>2832833</v>
      </c>
      <c r="AD66" s="171"/>
      <c r="AE66" s="171"/>
      <c r="AF66" s="171">
        <f>SUM(AG66:AH66)</f>
        <v>2832833</v>
      </c>
      <c r="AG66" s="171">
        <f>AC66</f>
        <v>2832833</v>
      </c>
      <c r="AH66" s="171"/>
      <c r="AI66" s="171">
        <f t="shared" si="260"/>
        <v>8498499</v>
      </c>
      <c r="AJ66" s="171"/>
      <c r="AK66" s="171"/>
      <c r="AL66" s="171">
        <f>SUM(AM66:AN66)</f>
        <v>8498499</v>
      </c>
      <c r="AM66" s="157">
        <f t="shared" ref="AM66" si="298">+AG66+AA66+U66</f>
        <v>8498499</v>
      </c>
      <c r="AN66" s="157">
        <f t="shared" ref="AN66" si="299">+AH66+AB66+V66</f>
        <v>0</v>
      </c>
      <c r="AO66" s="171">
        <f>AG66</f>
        <v>2832833</v>
      </c>
      <c r="AP66" s="171"/>
      <c r="AQ66" s="171"/>
      <c r="AR66" s="171">
        <f>SUM(AS66:AT66)</f>
        <v>2832833</v>
      </c>
      <c r="AS66" s="171">
        <f>AO66</f>
        <v>2832833</v>
      </c>
      <c r="AT66" s="171"/>
      <c r="AU66" s="171">
        <f>AS66</f>
        <v>2832833</v>
      </c>
      <c r="AV66" s="171"/>
      <c r="AW66" s="171"/>
      <c r="AX66" s="171">
        <f>SUM(AY66:AZ66)</f>
        <v>2832833</v>
      </c>
      <c r="AY66" s="171">
        <f>AU66</f>
        <v>2832833</v>
      </c>
      <c r="AZ66" s="171"/>
      <c r="BA66" s="171">
        <f>AY66</f>
        <v>2832833</v>
      </c>
      <c r="BB66" s="171"/>
      <c r="BC66" s="171"/>
      <c r="BD66" s="171">
        <f>SUM(BE66:BF66)</f>
        <v>2832833</v>
      </c>
      <c r="BE66" s="171">
        <f>BA66</f>
        <v>2832833</v>
      </c>
      <c r="BF66" s="171"/>
    </row>
    <row r="67" spans="1:58" s="5" customFormat="1">
      <c r="A67" s="1724" t="s">
        <v>101</v>
      </c>
      <c r="B67" s="1690" t="s">
        <v>105</v>
      </c>
      <c r="C67" s="263"/>
      <c r="D67" s="263"/>
      <c r="E67" s="1533"/>
      <c r="F67" s="170"/>
      <c r="G67" s="170"/>
      <c r="H67" s="170"/>
      <c r="I67" s="170"/>
      <c r="J67" s="182">
        <f>138559</f>
        <v>138559</v>
      </c>
      <c r="K67" s="258"/>
      <c r="L67" s="258"/>
      <c r="M67" s="182"/>
      <c r="N67" s="171">
        <f t="shared" ref="N67" si="300">SUM(O67:P67)</f>
        <v>138559</v>
      </c>
      <c r="O67" s="171">
        <f>J67-M67-P67</f>
        <v>138559</v>
      </c>
      <c r="P67" s="182"/>
      <c r="Q67" s="171">
        <v>379266</v>
      </c>
      <c r="R67" s="171"/>
      <c r="S67" s="171"/>
      <c r="T67" s="171">
        <f>SUM(U67:V67)</f>
        <v>379266</v>
      </c>
      <c r="U67" s="171">
        <f t="shared" ref="U67" si="301">Q67</f>
        <v>379266</v>
      </c>
      <c r="V67" s="171"/>
      <c r="W67" s="171">
        <f>U67</f>
        <v>379266</v>
      </c>
      <c r="X67" s="171"/>
      <c r="Y67" s="171"/>
      <c r="Z67" s="171">
        <f>SUM(AA67:AB67)</f>
        <v>379266</v>
      </c>
      <c r="AA67" s="171">
        <f t="shared" ref="AA67" si="302">W67</f>
        <v>379266</v>
      </c>
      <c r="AB67" s="171"/>
      <c r="AC67" s="171">
        <f>W67</f>
        <v>379266</v>
      </c>
      <c r="AD67" s="171"/>
      <c r="AE67" s="171"/>
      <c r="AF67" s="171">
        <f>SUM(AG67:AH67)</f>
        <v>379266</v>
      </c>
      <c r="AG67" s="171">
        <f t="shared" ref="AG67" si="303">AC67</f>
        <v>379266</v>
      </c>
      <c r="AH67" s="171"/>
      <c r="AI67" s="171">
        <f t="shared" si="260"/>
        <v>1137798</v>
      </c>
      <c r="AJ67" s="171"/>
      <c r="AK67" s="171"/>
      <c r="AL67" s="171">
        <f>SUM(AM67:AN67)</f>
        <v>1137798</v>
      </c>
      <c r="AM67" s="157">
        <f t="shared" ref="AM67" si="304">+AG67+AA67+U67</f>
        <v>1137798</v>
      </c>
      <c r="AN67" s="157">
        <f t="shared" ref="AN67" si="305">+AH67+AB67+V67</f>
        <v>0</v>
      </c>
      <c r="AO67" s="171"/>
      <c r="AP67" s="171"/>
      <c r="AQ67" s="171"/>
      <c r="AR67" s="171">
        <f>SUM(AS67:AT67)</f>
        <v>0</v>
      </c>
      <c r="AS67" s="171">
        <f t="shared" ref="AS67" si="306">AO67</f>
        <v>0</v>
      </c>
      <c r="AT67" s="171"/>
      <c r="AU67" s="171"/>
      <c r="AV67" s="171"/>
      <c r="AW67" s="171"/>
      <c r="AX67" s="171">
        <f>SUM(AY67:AZ67)</f>
        <v>0</v>
      </c>
      <c r="AY67" s="171">
        <f t="shared" ref="AY67" si="307">AU67</f>
        <v>0</v>
      </c>
      <c r="AZ67" s="171"/>
      <c r="BA67" s="171"/>
      <c r="BB67" s="171"/>
      <c r="BC67" s="171"/>
      <c r="BD67" s="171">
        <f>SUM(BE67:BF67)</f>
        <v>0</v>
      </c>
      <c r="BE67" s="171">
        <f t="shared" ref="BE67" si="308">BA67</f>
        <v>0</v>
      </c>
      <c r="BF67" s="171"/>
    </row>
    <row r="68" spans="1:58"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f>+'Phụ lục số II'!P34</f>
        <v>0</v>
      </c>
      <c r="AB68" s="142">
        <f>+'Phụ lục số II'!Q34</f>
        <v>0</v>
      </c>
      <c r="AC68" s="142">
        <f>AF68</f>
        <v>0</v>
      </c>
      <c r="AD68" s="142"/>
      <c r="AE68" s="142"/>
      <c r="AF68" s="142">
        <f>SUM(AG68:AH68)</f>
        <v>0</v>
      </c>
      <c r="AG68" s="142">
        <f>'Phụ lục số II'!U34</f>
        <v>0</v>
      </c>
      <c r="AH68" s="142"/>
      <c r="AI68" s="142">
        <f t="shared" si="260"/>
        <v>0.40000000001455194</v>
      </c>
      <c r="AJ68" s="142"/>
      <c r="AK68" s="142"/>
      <c r="AL68" s="142">
        <f>SUM(AM68:AN68)</f>
        <v>0.40000000001455194</v>
      </c>
      <c r="AM68" s="142">
        <f t="shared" ref="AM68" si="309">+AG68+AA68+U68</f>
        <v>0.40000000001455194</v>
      </c>
      <c r="AN68" s="142">
        <f t="shared" ref="AN68" si="310">+AH68+AB68+V68</f>
        <v>0</v>
      </c>
      <c r="AO68" s="142">
        <f>AR68</f>
        <v>0</v>
      </c>
      <c r="AP68" s="142"/>
      <c r="AQ68" s="142"/>
      <c r="AR68" s="142">
        <f>SUM(AS68:AT68)</f>
        <v>0</v>
      </c>
      <c r="AS68" s="142">
        <f>'Phụ lục số II'!Z34</f>
        <v>0</v>
      </c>
      <c r="AT68" s="142">
        <f>'Phụ lục số II'!AA34</f>
        <v>0</v>
      </c>
      <c r="AU68" s="142">
        <f>AX68</f>
        <v>1088757.7498882432</v>
      </c>
      <c r="AV68" s="142"/>
      <c r="AW68" s="142"/>
      <c r="AX68" s="142">
        <f>SUM(AY68:AZ68)</f>
        <v>1088757.7498882432</v>
      </c>
      <c r="AY68" s="142">
        <f>'Phụ lục số II'!AE34</f>
        <v>508427.53552337422</v>
      </c>
      <c r="AZ68" s="142">
        <f>'Phụ lục số II'!AF34</f>
        <v>580330.21436486894</v>
      </c>
      <c r="BA68" s="142">
        <f>BD68</f>
        <v>1572055.4252528162</v>
      </c>
      <c r="BB68" s="142"/>
      <c r="BC68" s="142"/>
      <c r="BD68" s="142">
        <f>SUM(BE68:BF68)</f>
        <v>1572055.4252528162</v>
      </c>
      <c r="BE68" s="142">
        <f>'Phụ lục số II'!AJ34</f>
        <v>815349.89660284261</v>
      </c>
      <c r="BF68" s="142">
        <f>'Phụ lục số II'!AK34</f>
        <v>756705.52864997357</v>
      </c>
    </row>
    <row r="69" spans="1:58"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 t="shared" si="260"/>
        <v>0</v>
      </c>
      <c r="AJ69" s="142"/>
      <c r="AK69" s="142"/>
      <c r="AL69" s="142">
        <f>SUM(AM69:AN69)</f>
        <v>0</v>
      </c>
      <c r="AM69" s="142">
        <f t="shared" ref="AM69" si="311">+AG69+AA69+U69</f>
        <v>0</v>
      </c>
      <c r="AN69" s="142">
        <f t="shared" ref="AN69" si="312">+AH69+AB69+V69</f>
        <v>0</v>
      </c>
      <c r="AO69" s="142">
        <f>AR69</f>
        <v>0</v>
      </c>
      <c r="AP69" s="142"/>
      <c r="AQ69" s="142"/>
      <c r="AR69" s="142">
        <f>SUM(AS69:AT69)</f>
        <v>0</v>
      </c>
      <c r="AS69" s="142"/>
      <c r="AT69" s="142"/>
      <c r="AU69" s="142">
        <f>AX69</f>
        <v>0</v>
      </c>
      <c r="AV69" s="142"/>
      <c r="AW69" s="142"/>
      <c r="AX69" s="142">
        <f>SUM(AY69:AZ69)</f>
        <v>0</v>
      </c>
      <c r="AY69" s="142"/>
      <c r="AZ69" s="142"/>
      <c r="BA69" s="142">
        <f>BD69</f>
        <v>0</v>
      </c>
      <c r="BB69" s="142"/>
      <c r="BC69" s="142"/>
      <c r="BD69" s="142">
        <f>SUM(BE69:BF69)</f>
        <v>0</v>
      </c>
      <c r="BE69" s="142"/>
      <c r="BF69" s="142"/>
    </row>
    <row r="70" spans="1:58"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13">SUM(N10,N55,N68,N69)</f>
        <v>19382765.032347649</v>
      </c>
      <c r="O70" s="1696">
        <f t="shared" si="313"/>
        <v>14808565.560735388</v>
      </c>
      <c r="P70" s="1696">
        <f t="shared" si="313"/>
        <v>4574199.4716122607</v>
      </c>
      <c r="Q70" s="1696">
        <f>SUM(Q10,Q55,Q68,Q69)</f>
        <v>22782069.899999999</v>
      </c>
      <c r="R70" s="184"/>
      <c r="S70" s="1696">
        <f>SUM(S10,S55,S68,S69)</f>
        <v>1073079.8702548956</v>
      </c>
      <c r="T70" s="1696">
        <f t="shared" ref="T70:V70" si="314">SUM(T10,T55,T68,T69)</f>
        <v>21708990.029745102</v>
      </c>
      <c r="U70" s="1696">
        <f t="shared" si="314"/>
        <v>17982490.264020003</v>
      </c>
      <c r="V70" s="1696">
        <f t="shared" si="314"/>
        <v>3726499.7657251004</v>
      </c>
      <c r="W70" s="1696">
        <f>SUM(W10,W55,W68,W69)</f>
        <v>22953070.030000001</v>
      </c>
      <c r="X70" s="183"/>
      <c r="Y70" s="1696">
        <f>SUM(Y10,Y55,Y68,Y69)</f>
        <v>1093999.8273082429</v>
      </c>
      <c r="Z70" s="1696">
        <f>SUM(Z10,Z55,Z68,Z69)</f>
        <v>21859070.202691756</v>
      </c>
      <c r="AA70" s="1696">
        <f>SUM(AA10,AA55,AA68,AA69)</f>
        <v>18026073.65153978</v>
      </c>
      <c r="AB70" s="1696">
        <f>SUM(AB10,AB55,AB68,AB69)</f>
        <v>3832996.5511519788</v>
      </c>
      <c r="AC70" s="1696">
        <f>SUM(AC10,AC55,AC68,AC69)</f>
        <v>23143070.170000002</v>
      </c>
      <c r="AD70" s="184"/>
      <c r="AE70" s="1696">
        <f>SUM(AE10,AE55,AE68,AE69)</f>
        <v>1119919.9724297295</v>
      </c>
      <c r="AF70" s="1696">
        <f t="shared" ref="AF70:AH70" si="315">SUM(AF10,AF55,AF68,AF69)</f>
        <v>22023150.197570272</v>
      </c>
      <c r="AG70" s="1696">
        <f t="shared" si="315"/>
        <v>18143193.840603478</v>
      </c>
      <c r="AH70" s="1696">
        <f t="shared" si="315"/>
        <v>3879956.3569667954</v>
      </c>
      <c r="AI70" s="1696">
        <f>SUM(AI10,AI55,AI68,AI69)</f>
        <v>68878210.100000009</v>
      </c>
      <c r="AJ70" s="184"/>
      <c r="AK70" s="1696">
        <f>SUM(AK10,AK55,AK68,AK69)</f>
        <v>3286999.6699928679</v>
      </c>
      <c r="AL70" s="1696">
        <f t="shared" ref="AL70:AN70" si="316">SUM(AL10,AL55,AL68,AL69)</f>
        <v>65591210.430007137</v>
      </c>
      <c r="AM70" s="1696">
        <f t="shared" si="316"/>
        <v>54151757.756163262</v>
      </c>
      <c r="AN70" s="1696">
        <f t="shared" si="316"/>
        <v>11439452.673843874</v>
      </c>
      <c r="AO70" s="1696">
        <f>SUM(AO10,AO55,AO68,AO69)</f>
        <v>25772803.800000001</v>
      </c>
      <c r="AP70" s="184"/>
      <c r="AQ70" s="1696">
        <f>SUM(AQ10,AQ55,AQ68,AQ69)</f>
        <v>1318251.1026532419</v>
      </c>
      <c r="AR70" s="1696">
        <f t="shared" ref="AR70:AT70" si="317">SUM(AR10,AR55,AR68,AR69)</f>
        <v>24454552.697346758</v>
      </c>
      <c r="AS70" s="1696">
        <f t="shared" si="317"/>
        <v>19275756.111650225</v>
      </c>
      <c r="AT70" s="1696">
        <f t="shared" si="317"/>
        <v>5178796.5856965333</v>
      </c>
      <c r="AU70" s="1696">
        <f>SUM(AU10,AU55,AU68,AU69)</f>
        <v>27940561.549888246</v>
      </c>
      <c r="AV70" s="184"/>
      <c r="AW70" s="1696">
        <f>SUM(AW10,AW55,AW68,AW69)</f>
        <v>1401972.7519240973</v>
      </c>
      <c r="AX70" s="1696">
        <f t="shared" ref="AX70:AZ70" si="318">SUM(AX10,AX55,AX68,AX69)</f>
        <v>26538588.797964148</v>
      </c>
      <c r="AY70" s="1696">
        <f t="shared" si="318"/>
        <v>20355088.369332533</v>
      </c>
      <c r="AZ70" s="1696">
        <f t="shared" si="318"/>
        <v>6183500.4286316112</v>
      </c>
      <c r="BA70" s="1696">
        <f>SUM(BA10,BA55,BA68,BA69)</f>
        <v>29671859.225252818</v>
      </c>
      <c r="BB70" s="184"/>
      <c r="BC70" s="1696">
        <f>SUM(BC10,BC55,BC68,BC69)</f>
        <v>1494562.8082434654</v>
      </c>
      <c r="BD70" s="1696">
        <f t="shared" ref="BD70:BF70" si="319">SUM(BD10,BD55,BD68,BD69)</f>
        <v>28177296.417009354</v>
      </c>
      <c r="BE70" s="1696">
        <f t="shared" si="319"/>
        <v>21108256.926719714</v>
      </c>
      <c r="BF70" s="1696">
        <f t="shared" si="319"/>
        <v>7069039.4902896369</v>
      </c>
    </row>
    <row r="72" spans="1:58">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c r="AI72" s="198"/>
      <c r="AJ72" s="198"/>
      <c r="AK72" s="198"/>
      <c r="AL72" s="1699">
        <f>+AL70-AL73</f>
        <v>11028146.400000006</v>
      </c>
      <c r="AM72" s="1699">
        <f>+AM70-AM73</f>
        <v>11028146.400000006</v>
      </c>
      <c r="AN72" s="1699">
        <f>+AN70-AN73</f>
        <v>0</v>
      </c>
    </row>
    <row r="73" spans="1:58">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18032941.229745105</v>
      </c>
      <c r="U73" s="1699">
        <f>U11+U56+U66+U68</f>
        <v>14306441.464020004</v>
      </c>
      <c r="V73" s="1699">
        <f>V11+V56+V66+V68</f>
        <v>3726499.7657251004</v>
      </c>
      <c r="Z73" s="1699">
        <f>Z11+Z56+Z66+Z68</f>
        <v>18183021.402691759</v>
      </c>
      <c r="AA73" s="1699">
        <f>AA11+AA56+AA66+AA68</f>
        <v>14350024.851539778</v>
      </c>
      <c r="AB73" s="1699">
        <f>AB11+AB56+AB66+AB68</f>
        <v>3832996.5511519788</v>
      </c>
      <c r="AF73" s="1699">
        <f>AF11+AF56+AF66+AF68</f>
        <v>18347101.397570271</v>
      </c>
      <c r="AG73" s="1699">
        <f>AG11+AG56+AG66+AG68</f>
        <v>14467145.040603476</v>
      </c>
      <c r="AH73" s="1699">
        <f>AH11+AH56+AH66+AH68</f>
        <v>3879956.3569667954</v>
      </c>
      <c r="AI73" s="1699"/>
      <c r="AJ73" s="1699"/>
      <c r="AK73" s="1699"/>
      <c r="AL73" s="1699">
        <f>AL11+AL56+AL66+AL68</f>
        <v>54563064.030007131</v>
      </c>
      <c r="AM73" s="1699">
        <f>AM11+AM56+AM66+AM68</f>
        <v>43123611.356163256</v>
      </c>
      <c r="AN73" s="1699">
        <f>AN11+AN56+AN66+AN68</f>
        <v>11439452.673843874</v>
      </c>
    </row>
    <row r="74" spans="1:58">
      <c r="Z74" s="198"/>
      <c r="AA74" s="198"/>
      <c r="AB74" s="198"/>
    </row>
    <row r="76" spans="1:58">
      <c r="Q76" s="6">
        <f>+Q66+Q68</f>
        <v>2832833.4</v>
      </c>
      <c r="R76" s="6">
        <f t="shared" ref="R76:V76" si="320">+R66+R68</f>
        <v>0</v>
      </c>
      <c r="S76" s="6">
        <f t="shared" si="320"/>
        <v>0</v>
      </c>
      <c r="T76" s="6">
        <f t="shared" si="320"/>
        <v>2832833.4</v>
      </c>
      <c r="U76" s="6">
        <f t="shared" si="320"/>
        <v>2832833.4</v>
      </c>
      <c r="V76" s="6">
        <f t="shared" si="320"/>
        <v>0</v>
      </c>
    </row>
    <row r="77" spans="1:58">
      <c r="O77" s="6"/>
      <c r="P77" s="6"/>
      <c r="T77" s="6"/>
      <c r="Z77" s="6"/>
      <c r="AF77" s="6"/>
      <c r="AR77" s="6"/>
      <c r="AX77" s="6"/>
      <c r="BD77" s="6"/>
    </row>
    <row r="78" spans="1:58">
      <c r="J78" s="1700"/>
      <c r="N78" s="6"/>
      <c r="T78" s="6"/>
      <c r="Z78" s="6"/>
      <c r="AF78" s="6"/>
      <c r="AR78" s="6"/>
      <c r="AX78" s="6"/>
      <c r="BD78" s="6"/>
    </row>
    <row r="79" spans="1:58">
      <c r="J79" s="6"/>
      <c r="K79" s="6">
        <f>1367375-P68</f>
        <v>210976</v>
      </c>
      <c r="M79" s="6055" t="s">
        <v>1421</v>
      </c>
      <c r="N79" s="6055"/>
      <c r="O79" s="6055"/>
      <c r="P79" s="6055"/>
      <c r="S79" s="6057" t="s">
        <v>1423</v>
      </c>
      <c r="T79" s="6057"/>
      <c r="U79" s="6057"/>
      <c r="V79" s="6057"/>
      <c r="Y79" s="6055" t="s">
        <v>1426</v>
      </c>
      <c r="Z79" s="6055"/>
      <c r="AA79" s="6055"/>
      <c r="AB79" s="6055"/>
      <c r="AE79" s="6055" t="s">
        <v>1426</v>
      </c>
      <c r="AF79" s="6055"/>
      <c r="AG79" s="6055"/>
      <c r="AH79" s="6055"/>
      <c r="AI79" s="1701"/>
      <c r="AJ79" s="1701"/>
      <c r="AK79" s="1701"/>
      <c r="AL79" s="1701"/>
      <c r="AM79" s="1701"/>
      <c r="AN79" s="1701"/>
      <c r="AR79" s="6"/>
      <c r="AX79" s="6"/>
      <c r="BD79" s="6"/>
    </row>
    <row r="80" spans="1:58">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c r="AI80" s="6"/>
      <c r="AJ80" s="6"/>
      <c r="AK80" s="6"/>
      <c r="AL80" s="6"/>
      <c r="AM80" s="6"/>
      <c r="AN80" s="6"/>
    </row>
    <row r="81" spans="3:40">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c r="AI81" s="6"/>
      <c r="AJ81" s="6"/>
      <c r="AK81" s="6"/>
      <c r="AL81" s="6"/>
      <c r="AM81" s="6"/>
      <c r="AN81" s="6"/>
    </row>
    <row r="82" spans="3:40">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c r="AI82" s="6"/>
      <c r="AJ82" s="6"/>
      <c r="AK82" s="6"/>
      <c r="AL82" s="6"/>
      <c r="AM82" s="6"/>
      <c r="AN82" s="6"/>
    </row>
    <row r="83" spans="3:40">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c r="AI83" s="1705"/>
      <c r="AJ83" s="1705"/>
      <c r="AK83" s="1705"/>
      <c r="AL83" s="1705"/>
      <c r="AM83" s="1705"/>
      <c r="AN83" s="1705"/>
    </row>
    <row r="84" spans="3:40">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c r="AI84" s="1729"/>
      <c r="AJ84" s="1729"/>
      <c r="AK84" s="1729"/>
      <c r="AL84" s="1729"/>
      <c r="AM84" s="1729"/>
      <c r="AN84" s="1729"/>
    </row>
    <row r="85" spans="3:40">
      <c r="M85" s="189" t="s">
        <v>962</v>
      </c>
      <c r="N85" s="1729">
        <f>N84/2</f>
        <v>-181215.06482617627</v>
      </c>
      <c r="O85" s="1729">
        <f>O84/2</f>
        <v>-13365.300632306142</v>
      </c>
      <c r="P85" s="1729">
        <f>P84/2</f>
        <v>-167849.76419386966</v>
      </c>
      <c r="S85" s="189" t="s">
        <v>1420</v>
      </c>
      <c r="T85" s="1729">
        <f>+T84/2</f>
        <v>138494.91487255227</v>
      </c>
      <c r="U85" s="1729">
        <f t="shared" ref="U85:V85" si="321">+U84/2</f>
        <v>210495.03201000206</v>
      </c>
      <c r="V85" s="1729">
        <f t="shared" si="321"/>
        <v>-72000.117137449794</v>
      </c>
      <c r="Y85" s="189" t="s">
        <v>1420</v>
      </c>
      <c r="Z85" s="1729">
        <f>+Z84/2</f>
        <v>126540.28647332592</v>
      </c>
      <c r="AA85" s="1729">
        <f t="shared" ref="AA85:AB85" si="322">+AA84/2</f>
        <v>28291.893759886734</v>
      </c>
      <c r="AB85" s="1729">
        <f t="shared" si="322"/>
        <v>98248.392713439185</v>
      </c>
      <c r="AE85" s="189" t="s">
        <v>1420</v>
      </c>
      <c r="AF85" s="1729">
        <f>+AF84/2</f>
        <v>105539.99743925733</v>
      </c>
      <c r="AG85" s="1729">
        <f>+AG84/2</f>
        <v>37060.094531849027</v>
      </c>
      <c r="AH85" s="1729">
        <f t="shared" ref="AH85" si="323">+AH84/2</f>
        <v>68479.902907408308</v>
      </c>
      <c r="AI85" s="1729"/>
      <c r="AJ85" s="1729"/>
      <c r="AK85" s="1729"/>
      <c r="AL85" s="1729"/>
      <c r="AM85" s="1729"/>
      <c r="AN85" s="1729"/>
    </row>
    <row r="86" spans="3:40">
      <c r="M86" s="189"/>
      <c r="N86" s="1729"/>
      <c r="O86" s="1729"/>
      <c r="P86" s="1729"/>
      <c r="S86" s="189"/>
      <c r="T86" s="6"/>
      <c r="U86" s="1702"/>
      <c r="V86" s="1702"/>
      <c r="Y86" s="189"/>
      <c r="Z86" s="6"/>
      <c r="AA86" s="1702"/>
      <c r="AB86" s="1702"/>
      <c r="AE86" s="189"/>
      <c r="AF86" s="6"/>
      <c r="AG86" s="1702"/>
      <c r="AH86" s="1702"/>
      <c r="AI86" s="1702"/>
      <c r="AJ86" s="1702"/>
      <c r="AK86" s="1702"/>
      <c r="AL86" s="1702"/>
      <c r="AM86" s="1702"/>
      <c r="AN86" s="1702"/>
    </row>
    <row r="87" spans="3:40">
      <c r="M87" s="6055" t="s">
        <v>1422</v>
      </c>
      <c r="N87" s="6055"/>
      <c r="O87" s="6055"/>
      <c r="P87" s="6055"/>
      <c r="S87" s="6057" t="s">
        <v>1425</v>
      </c>
      <c r="T87" s="6057"/>
      <c r="U87" s="6057"/>
      <c r="V87" s="6057"/>
      <c r="Y87" s="6055" t="s">
        <v>1427</v>
      </c>
      <c r="Z87" s="6055"/>
      <c r="AA87" s="6055"/>
      <c r="AB87" s="6055"/>
      <c r="AE87" s="6055" t="s">
        <v>1427</v>
      </c>
      <c r="AF87" s="6055"/>
      <c r="AG87" s="6055"/>
      <c r="AH87" s="6055"/>
      <c r="AI87" s="1701"/>
      <c r="AJ87" s="1701"/>
      <c r="AK87" s="1701"/>
      <c r="AL87" s="1701"/>
      <c r="AM87" s="1701"/>
      <c r="AN87" s="1701"/>
    </row>
    <row r="88" spans="3:40">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c r="AI88" s="6"/>
      <c r="AJ88" s="6"/>
      <c r="AK88" s="6"/>
      <c r="AL88" s="6"/>
      <c r="AM88" s="6"/>
      <c r="AN88" s="6"/>
    </row>
    <row r="89" spans="3:40">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c r="AI89" s="6"/>
      <c r="AJ89" s="6"/>
      <c r="AK89" s="6"/>
      <c r="AL89" s="6"/>
      <c r="AM89" s="6"/>
      <c r="AN89" s="6"/>
    </row>
    <row r="90" spans="3:40">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c r="AI90" s="6"/>
      <c r="AJ90" s="6"/>
      <c r="AK90" s="6"/>
      <c r="AL90" s="6"/>
      <c r="AM90" s="6"/>
      <c r="AN90" s="6"/>
    </row>
    <row r="91" spans="3:40">
      <c r="N91" s="1704">
        <f>+N12/N90</f>
        <v>0.87913735405296767</v>
      </c>
      <c r="O91" s="1704">
        <f>+O12/O90</f>
        <v>0.97404011633169618</v>
      </c>
      <c r="P91" s="1704">
        <f>+P12/P90</f>
        <v>0.81356773469008781</v>
      </c>
      <c r="T91" s="1704">
        <f>T90/N90</f>
        <v>1.0143804645468746</v>
      </c>
      <c r="U91" s="1704">
        <f t="shared" ref="U91:V91" si="324">U90/O90</f>
        <v>1.2057975847089595</v>
      </c>
      <c r="V91" s="1704">
        <f t="shared" si="324"/>
        <v>0.88212775232650731</v>
      </c>
      <c r="Z91" s="1704">
        <f>Z90/T90</f>
        <v>1.0527699757149824</v>
      </c>
      <c r="AA91" s="1704">
        <f t="shared" ref="AA91:AB91" si="325">AA90/U90</f>
        <v>1.0242909333502193</v>
      </c>
      <c r="AB91" s="1704">
        <f t="shared" si="325"/>
        <v>1.0796662493779368</v>
      </c>
      <c r="AF91" s="1704">
        <f>AF90/Z90</f>
        <v>1.0418062939281967</v>
      </c>
      <c r="AG91" s="1704">
        <f t="shared" ref="AG91:AH91" si="326">AG90/AA90</f>
        <v>1.0310645722620546</v>
      </c>
      <c r="AH91" s="1704">
        <f t="shared" si="326"/>
        <v>1.0514307109243417</v>
      </c>
      <c r="AI91" s="1704"/>
      <c r="AJ91" s="1704"/>
      <c r="AK91" s="1704"/>
      <c r="AL91" s="1704"/>
      <c r="AM91" s="1704"/>
      <c r="AN91" s="1704"/>
    </row>
    <row r="92" spans="3:40">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c r="AI92" s="1670"/>
      <c r="AJ92" s="1670"/>
      <c r="AK92" s="1670"/>
      <c r="AL92" s="1670"/>
      <c r="AM92" s="1670"/>
      <c r="AN92" s="1670"/>
    </row>
    <row r="93" spans="3:40">
      <c r="M93" s="1" t="s">
        <v>962</v>
      </c>
      <c r="N93" s="1729">
        <f>+N92/2</f>
        <v>-285715.06482617627</v>
      </c>
      <c r="O93" s="1729">
        <f t="shared" ref="O93" si="327">+O92/2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c r="AI93" s="1730"/>
      <c r="AJ93" s="1730"/>
      <c r="AK93" s="1730"/>
      <c r="AL93" s="1730"/>
      <c r="AM93" s="1730"/>
      <c r="AN93" s="1730"/>
    </row>
    <row r="94" spans="3:40">
      <c r="C94" s="6"/>
      <c r="N94" s="6"/>
      <c r="O94" s="6"/>
      <c r="P94" s="6"/>
      <c r="T94" s="6"/>
      <c r="U94" s="6"/>
      <c r="V94" s="6"/>
    </row>
    <row r="95" spans="3:40">
      <c r="N95" s="6"/>
      <c r="O95" s="6"/>
      <c r="P95" s="6"/>
      <c r="T95" s="6"/>
      <c r="U95" s="6"/>
      <c r="V95" s="6"/>
    </row>
    <row r="96" spans="3:40">
      <c r="M96" s="6056" t="s">
        <v>1428</v>
      </c>
      <c r="N96" s="6056"/>
      <c r="O96" s="6056"/>
      <c r="P96" s="6056"/>
      <c r="S96" s="6056" t="s">
        <v>1429</v>
      </c>
      <c r="T96" s="6056"/>
      <c r="U96" s="6056"/>
      <c r="V96" s="6056"/>
      <c r="Y96" s="6056" t="s">
        <v>1429</v>
      </c>
      <c r="Z96" s="6056"/>
      <c r="AA96" s="6056"/>
      <c r="AB96" s="6056"/>
      <c r="AE96" s="6056" t="s">
        <v>1429</v>
      </c>
      <c r="AF96" s="6056"/>
      <c r="AG96" s="6056"/>
      <c r="AH96" s="6056"/>
      <c r="AI96" s="1706"/>
      <c r="AJ96" s="1706"/>
      <c r="AK96" s="1706"/>
      <c r="AL96" s="1706"/>
      <c r="AM96" s="1706"/>
      <c r="AN96" s="170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8" spans="10:22" hidden="1"/>
    <row r="109" spans="10:22" hidden="1">
      <c r="U109" s="6">
        <f>+U85</f>
        <v>210495.03201000206</v>
      </c>
      <c r="V109" s="6">
        <f>-V85</f>
        <v>72000.117137449794</v>
      </c>
    </row>
    <row r="110" spans="10:22" hidden="1">
      <c r="T110" s="6">
        <f>+U110+V110</f>
        <v>104500.00000000023</v>
      </c>
      <c r="U110" s="198">
        <f>+U109-U93</f>
        <v>11710.000000000233</v>
      </c>
      <c r="V110" s="6">
        <f>-V93-V109</f>
        <v>92790</v>
      </c>
    </row>
    <row r="111" spans="10:22" hidden="1"/>
  </sheetData>
  <mergeCells count="63">
    <mergeCell ref="AI6:AN6"/>
    <mergeCell ref="AI7:AI8"/>
    <mergeCell ref="AJ7:AJ8"/>
    <mergeCell ref="AK7:AK8"/>
    <mergeCell ref="AL7:AN7"/>
    <mergeCell ref="M87:P87"/>
    <mergeCell ref="S87:V87"/>
    <mergeCell ref="Y87:AB87"/>
    <mergeCell ref="AE87:AH87"/>
    <mergeCell ref="M96:P96"/>
    <mergeCell ref="S96:V96"/>
    <mergeCell ref="Y96:AB96"/>
    <mergeCell ref="AE96:AH96"/>
    <mergeCell ref="BC7:BC8"/>
    <mergeCell ref="BD7:BF7"/>
    <mergeCell ref="M79:P79"/>
    <mergeCell ref="S79:V79"/>
    <mergeCell ref="Y79:AB79"/>
    <mergeCell ref="AE79:AH79"/>
    <mergeCell ref="AU7:AU8"/>
    <mergeCell ref="AV7:AV8"/>
    <mergeCell ref="AW7:AW8"/>
    <mergeCell ref="AX7:AZ7"/>
    <mergeCell ref="BA7:BA8"/>
    <mergeCell ref="BB7:BB8"/>
    <mergeCell ref="AE7:AE8"/>
    <mergeCell ref="AF7:AH7"/>
    <mergeCell ref="AO7:AO8"/>
    <mergeCell ref="AP7:AP8"/>
    <mergeCell ref="AQ7:AQ8"/>
    <mergeCell ref="AR7:AT7"/>
    <mergeCell ref="W7:W8"/>
    <mergeCell ref="X7:X8"/>
    <mergeCell ref="Y7:Y8"/>
    <mergeCell ref="Z7:AB7"/>
    <mergeCell ref="AC7:AC8"/>
    <mergeCell ref="AD7:AD8"/>
    <mergeCell ref="BA6:BF6"/>
    <mergeCell ref="C7:D7"/>
    <mergeCell ref="E7:E8"/>
    <mergeCell ref="F7:F8"/>
    <mergeCell ref="G7:I7"/>
    <mergeCell ref="J7:J8"/>
    <mergeCell ref="T7:V7"/>
    <mergeCell ref="W6:AB6"/>
    <mergeCell ref="AC6:AH6"/>
    <mergeCell ref="AO6:AT6"/>
    <mergeCell ref="AU6:AZ6"/>
    <mergeCell ref="M7:M8"/>
    <mergeCell ref="N7:P7"/>
    <mergeCell ref="Q7:Q8"/>
    <mergeCell ref="R7:R8"/>
    <mergeCell ref="S7:S8"/>
    <mergeCell ref="A1:V1"/>
    <mergeCell ref="A2:V2"/>
    <mergeCell ref="A3:V3"/>
    <mergeCell ref="T5:V5"/>
    <mergeCell ref="A6:A8"/>
    <mergeCell ref="B6:B8"/>
    <mergeCell ref="C6:I6"/>
    <mergeCell ref="J6:P6"/>
    <mergeCell ref="Q6:V6"/>
    <mergeCell ref="K7:L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H137"/>
  <sheetViews>
    <sheetView workbookViewId="0">
      <selection activeCell="A5" sqref="A5"/>
    </sheetView>
  </sheetViews>
  <sheetFormatPr defaultColWidth="9" defaultRowHeight="13.8"/>
  <cols>
    <col min="1" max="1" width="6.109375" style="30" customWidth="1"/>
    <col min="2" max="2" width="91.6640625" style="30" customWidth="1"/>
    <col min="3" max="3" width="14.5546875" style="30" customWidth="1"/>
    <col min="4" max="7" width="11.6640625" style="30" customWidth="1"/>
    <col min="8" max="16384" width="9" style="30"/>
  </cols>
  <sheetData>
    <row r="1" spans="1:8">
      <c r="A1" s="6051" t="s">
        <v>509</v>
      </c>
      <c r="B1" s="6051"/>
      <c r="C1" s="6051"/>
      <c r="F1" s="6052" t="s">
        <v>510</v>
      </c>
      <c r="G1" s="6052"/>
      <c r="H1" s="457"/>
    </row>
    <row r="2" spans="1:8">
      <c r="A2" s="458"/>
    </row>
    <row r="3" spans="1:8">
      <c r="A3" s="6053" t="s">
        <v>631</v>
      </c>
      <c r="B3" s="6053"/>
      <c r="C3" s="6053"/>
      <c r="D3" s="6053"/>
      <c r="E3" s="6053"/>
      <c r="F3" s="6053"/>
      <c r="G3" s="6053"/>
    </row>
    <row r="4" spans="1:8" ht="14.4" thickBot="1">
      <c r="A4" s="6054" t="s">
        <v>511</v>
      </c>
      <c r="B4" s="6054"/>
      <c r="C4" s="6054"/>
      <c r="D4" s="6054"/>
      <c r="E4" s="6054"/>
      <c r="F4" s="6054"/>
      <c r="G4" s="6054"/>
    </row>
    <row r="5" spans="1:8" ht="67.95" customHeight="1" thickBot="1">
      <c r="A5" s="459" t="s">
        <v>247</v>
      </c>
      <c r="B5" s="460" t="s">
        <v>137</v>
      </c>
      <c r="C5" s="460" t="s">
        <v>479</v>
      </c>
      <c r="D5" s="460" t="s">
        <v>632</v>
      </c>
      <c r="E5" s="460" t="s">
        <v>633</v>
      </c>
      <c r="F5" s="460" t="s">
        <v>634</v>
      </c>
      <c r="G5" s="461" t="s">
        <v>635</v>
      </c>
    </row>
    <row r="6" spans="1:8" ht="14.4" thickBot="1">
      <c r="A6" s="462" t="s">
        <v>1</v>
      </c>
      <c r="B6" s="463" t="s">
        <v>37</v>
      </c>
      <c r="C6" s="463" t="s">
        <v>44</v>
      </c>
      <c r="D6" s="463">
        <v>1</v>
      </c>
      <c r="E6" s="463">
        <v>2</v>
      </c>
      <c r="F6" s="463">
        <v>3</v>
      </c>
      <c r="G6" s="464">
        <v>4</v>
      </c>
    </row>
    <row r="7" spans="1:8">
      <c r="A7" s="465">
        <v>1</v>
      </c>
      <c r="B7" s="466" t="s">
        <v>512</v>
      </c>
      <c r="C7" s="467" t="s">
        <v>457</v>
      </c>
      <c r="D7" s="467"/>
      <c r="E7" s="467"/>
      <c r="F7" s="467"/>
      <c r="G7" s="468"/>
    </row>
    <row r="8" spans="1:8">
      <c r="A8" s="469"/>
      <c r="B8" s="470" t="s">
        <v>234</v>
      </c>
      <c r="C8" s="471"/>
      <c r="D8" s="471"/>
      <c r="E8" s="471"/>
      <c r="F8" s="471"/>
      <c r="G8" s="472"/>
    </row>
    <row r="9" spans="1:8">
      <c r="A9" s="469"/>
      <c r="B9" s="470" t="s">
        <v>513</v>
      </c>
      <c r="C9" s="471" t="s">
        <v>457</v>
      </c>
      <c r="D9" s="471"/>
      <c r="E9" s="471"/>
      <c r="F9" s="471"/>
      <c r="G9" s="472"/>
    </row>
    <row r="10" spans="1:8">
      <c r="A10" s="469"/>
      <c r="B10" s="470" t="s">
        <v>514</v>
      </c>
      <c r="C10" s="471" t="s">
        <v>457</v>
      </c>
      <c r="D10" s="471"/>
      <c r="E10" s="471"/>
      <c r="F10" s="471"/>
      <c r="G10" s="472"/>
    </row>
    <row r="11" spans="1:8">
      <c r="A11" s="469"/>
      <c r="B11" s="470" t="s">
        <v>515</v>
      </c>
      <c r="C11" s="471" t="s">
        <v>457</v>
      </c>
      <c r="D11" s="471"/>
      <c r="E11" s="471"/>
      <c r="F11" s="471"/>
      <c r="G11" s="472"/>
    </row>
    <row r="12" spans="1:8">
      <c r="A12" s="469"/>
      <c r="B12" s="470" t="s">
        <v>516</v>
      </c>
      <c r="C12" s="471" t="s">
        <v>457</v>
      </c>
      <c r="D12" s="471"/>
      <c r="E12" s="471"/>
      <c r="F12" s="471"/>
      <c r="G12" s="472"/>
    </row>
    <row r="13" spans="1:8">
      <c r="A13" s="469"/>
      <c r="B13" s="470" t="s">
        <v>517</v>
      </c>
      <c r="C13" s="471" t="s">
        <v>457</v>
      </c>
      <c r="D13" s="471"/>
      <c r="E13" s="471"/>
      <c r="F13" s="471"/>
      <c r="G13" s="472"/>
    </row>
    <row r="14" spans="1:8">
      <c r="A14" s="469">
        <v>2</v>
      </c>
      <c r="B14" s="470" t="s">
        <v>518</v>
      </c>
      <c r="C14" s="471" t="s">
        <v>519</v>
      </c>
      <c r="D14" s="471"/>
      <c r="E14" s="471"/>
      <c r="F14" s="471"/>
      <c r="G14" s="472"/>
    </row>
    <row r="15" spans="1:8">
      <c r="A15" s="469"/>
      <c r="B15" s="470" t="s">
        <v>234</v>
      </c>
      <c r="C15" s="471"/>
      <c r="D15" s="471"/>
      <c r="E15" s="471"/>
      <c r="F15" s="471"/>
      <c r="G15" s="472"/>
    </row>
    <row r="16" spans="1:8">
      <c r="A16" s="469"/>
      <c r="B16" s="473" t="s">
        <v>520</v>
      </c>
      <c r="C16" s="474" t="s">
        <v>519</v>
      </c>
      <c r="D16" s="471"/>
      <c r="E16" s="471"/>
      <c r="F16" s="471"/>
      <c r="G16" s="472"/>
    </row>
    <row r="17" spans="1:7">
      <c r="A17" s="469"/>
      <c r="B17" s="473" t="s">
        <v>521</v>
      </c>
      <c r="C17" s="474" t="s">
        <v>519</v>
      </c>
      <c r="D17" s="471"/>
      <c r="E17" s="471"/>
      <c r="F17" s="471"/>
      <c r="G17" s="472"/>
    </row>
    <row r="18" spans="1:7">
      <c r="A18" s="469"/>
      <c r="B18" s="473" t="s">
        <v>522</v>
      </c>
      <c r="C18" s="474" t="s">
        <v>519</v>
      </c>
      <c r="D18" s="471"/>
      <c r="E18" s="471"/>
      <c r="F18" s="471"/>
      <c r="G18" s="472"/>
    </row>
    <row r="19" spans="1:7">
      <c r="A19" s="469"/>
      <c r="B19" s="473" t="s">
        <v>523</v>
      </c>
      <c r="C19" s="474" t="s">
        <v>519</v>
      </c>
      <c r="D19" s="471"/>
      <c r="E19" s="471"/>
      <c r="F19" s="471"/>
      <c r="G19" s="472"/>
    </row>
    <row r="20" spans="1:7">
      <c r="A20" s="469"/>
      <c r="B20" s="470" t="s">
        <v>524</v>
      </c>
      <c r="C20" s="471" t="s">
        <v>417</v>
      </c>
      <c r="D20" s="471"/>
      <c r="E20" s="471"/>
      <c r="F20" s="471"/>
      <c r="G20" s="472"/>
    </row>
    <row r="21" spans="1:7">
      <c r="A21" s="469"/>
      <c r="B21" s="470" t="s">
        <v>525</v>
      </c>
      <c r="C21" s="471" t="s">
        <v>519</v>
      </c>
      <c r="D21" s="471"/>
      <c r="E21" s="471"/>
      <c r="F21" s="471"/>
      <c r="G21" s="472"/>
    </row>
    <row r="22" spans="1:7">
      <c r="A22" s="469"/>
      <c r="B22" s="470" t="s">
        <v>526</v>
      </c>
      <c r="C22" s="471" t="s">
        <v>519</v>
      </c>
      <c r="D22" s="471"/>
      <c r="E22" s="471"/>
      <c r="F22" s="471"/>
      <c r="G22" s="472"/>
    </row>
    <row r="23" spans="1:7">
      <c r="A23" s="469"/>
      <c r="B23" s="470" t="s">
        <v>527</v>
      </c>
      <c r="C23" s="471" t="s">
        <v>519</v>
      </c>
      <c r="D23" s="471"/>
      <c r="E23" s="471"/>
      <c r="F23" s="471"/>
      <c r="G23" s="472"/>
    </row>
    <row r="24" spans="1:7">
      <c r="A24" s="469"/>
      <c r="B24" s="470" t="s">
        <v>528</v>
      </c>
      <c r="C24" s="471" t="s">
        <v>519</v>
      </c>
      <c r="D24" s="471"/>
      <c r="E24" s="471"/>
      <c r="F24" s="471"/>
      <c r="G24" s="472"/>
    </row>
    <row r="25" spans="1:7">
      <c r="A25" s="469"/>
      <c r="B25" s="470" t="s">
        <v>529</v>
      </c>
      <c r="C25" s="471" t="s">
        <v>519</v>
      </c>
      <c r="D25" s="471"/>
      <c r="E25" s="471"/>
      <c r="F25" s="471"/>
      <c r="G25" s="472"/>
    </row>
    <row r="26" spans="1:7">
      <c r="A26" s="469"/>
      <c r="B26" s="470" t="s">
        <v>530</v>
      </c>
      <c r="C26" s="471" t="s">
        <v>519</v>
      </c>
      <c r="D26" s="471"/>
      <c r="E26" s="471"/>
      <c r="F26" s="471"/>
      <c r="G26" s="472"/>
    </row>
    <row r="27" spans="1:7">
      <c r="A27" s="469"/>
      <c r="B27" s="470" t="s">
        <v>531</v>
      </c>
      <c r="C27" s="471" t="s">
        <v>519</v>
      </c>
      <c r="D27" s="471"/>
      <c r="E27" s="471"/>
      <c r="F27" s="471"/>
      <c r="G27" s="472"/>
    </row>
    <row r="28" spans="1:7">
      <c r="A28" s="469"/>
      <c r="B28" s="470" t="s">
        <v>532</v>
      </c>
      <c r="C28" s="471" t="s">
        <v>519</v>
      </c>
      <c r="D28" s="471"/>
      <c r="E28" s="471"/>
      <c r="F28" s="471"/>
      <c r="G28" s="472"/>
    </row>
    <row r="29" spans="1:7">
      <c r="A29" s="469"/>
      <c r="B29" s="470" t="s">
        <v>533</v>
      </c>
      <c r="C29" s="471" t="s">
        <v>519</v>
      </c>
      <c r="D29" s="471"/>
      <c r="E29" s="471"/>
      <c r="F29" s="471"/>
      <c r="G29" s="472"/>
    </row>
    <row r="30" spans="1:7">
      <c r="A30" s="469"/>
      <c r="B30" s="470" t="s">
        <v>534</v>
      </c>
      <c r="C30" s="471" t="s">
        <v>519</v>
      </c>
      <c r="D30" s="471"/>
      <c r="E30" s="471"/>
      <c r="F30" s="471"/>
      <c r="G30" s="472"/>
    </row>
    <row r="31" spans="1:7">
      <c r="A31" s="469"/>
      <c r="B31" s="470" t="s">
        <v>535</v>
      </c>
      <c r="C31" s="471" t="s">
        <v>519</v>
      </c>
      <c r="D31" s="471"/>
      <c r="E31" s="471"/>
      <c r="F31" s="471"/>
      <c r="G31" s="472"/>
    </row>
    <row r="32" spans="1:7">
      <c r="A32" s="469">
        <v>3</v>
      </c>
      <c r="B32" s="470" t="s">
        <v>536</v>
      </c>
      <c r="C32" s="471" t="s">
        <v>537</v>
      </c>
      <c r="D32" s="471"/>
      <c r="E32" s="471"/>
      <c r="F32" s="471"/>
      <c r="G32" s="472"/>
    </row>
    <row r="33" spans="1:7">
      <c r="A33" s="469"/>
      <c r="B33" s="470" t="s">
        <v>234</v>
      </c>
      <c r="C33" s="471"/>
      <c r="D33" s="471"/>
      <c r="E33" s="471"/>
      <c r="F33" s="471"/>
      <c r="G33" s="472"/>
    </row>
    <row r="34" spans="1:7">
      <c r="A34" s="469"/>
      <c r="B34" s="470" t="s">
        <v>538</v>
      </c>
      <c r="C34" s="471" t="s">
        <v>539</v>
      </c>
      <c r="D34" s="471"/>
      <c r="E34" s="471"/>
      <c r="F34" s="471"/>
      <c r="G34" s="472"/>
    </row>
    <row r="35" spans="1:7">
      <c r="A35" s="469"/>
      <c r="B35" s="470" t="s">
        <v>540</v>
      </c>
      <c r="C35" s="471" t="s">
        <v>539</v>
      </c>
      <c r="D35" s="471"/>
      <c r="E35" s="471"/>
      <c r="F35" s="471"/>
      <c r="G35" s="472"/>
    </row>
    <row r="36" spans="1:7">
      <c r="A36" s="469"/>
      <c r="B36" s="470" t="s">
        <v>541</v>
      </c>
      <c r="C36" s="471" t="s">
        <v>539</v>
      </c>
      <c r="D36" s="471"/>
      <c r="E36" s="471"/>
      <c r="F36" s="471"/>
      <c r="G36" s="472"/>
    </row>
    <row r="37" spans="1:7">
      <c r="A37" s="469"/>
      <c r="B37" s="470" t="s">
        <v>542</v>
      </c>
      <c r="C37" s="471" t="s">
        <v>539</v>
      </c>
      <c r="D37" s="471"/>
      <c r="E37" s="471"/>
      <c r="F37" s="471"/>
      <c r="G37" s="472"/>
    </row>
    <row r="38" spans="1:7">
      <c r="A38" s="469"/>
      <c r="B38" s="470" t="s">
        <v>543</v>
      </c>
      <c r="C38" s="471" t="s">
        <v>539</v>
      </c>
      <c r="D38" s="471"/>
      <c r="E38" s="471"/>
      <c r="F38" s="471"/>
      <c r="G38" s="472"/>
    </row>
    <row r="39" spans="1:7">
      <c r="A39" s="469"/>
      <c r="B39" s="470" t="s">
        <v>544</v>
      </c>
      <c r="C39" s="471" t="s">
        <v>537</v>
      </c>
      <c r="D39" s="471"/>
      <c r="E39" s="471"/>
      <c r="F39" s="471" t="s">
        <v>545</v>
      </c>
      <c r="G39" s="472"/>
    </row>
    <row r="40" spans="1:7">
      <c r="A40" s="469"/>
      <c r="B40" s="470" t="s">
        <v>546</v>
      </c>
      <c r="C40" s="471" t="s">
        <v>537</v>
      </c>
      <c r="D40" s="471"/>
      <c r="E40" s="471"/>
      <c r="F40" s="471"/>
      <c r="G40" s="472"/>
    </row>
    <row r="41" spans="1:7">
      <c r="A41" s="469"/>
      <c r="B41" s="470" t="s">
        <v>547</v>
      </c>
      <c r="C41" s="471" t="s">
        <v>537</v>
      </c>
      <c r="D41" s="471"/>
      <c r="E41" s="471"/>
      <c r="F41" s="471"/>
      <c r="G41" s="472"/>
    </row>
    <row r="42" spans="1:7">
      <c r="A42" s="469">
        <v>4</v>
      </c>
      <c r="B42" s="470" t="s">
        <v>548</v>
      </c>
      <c r="C42" s="471" t="s">
        <v>508</v>
      </c>
      <c r="D42" s="471"/>
      <c r="E42" s="471"/>
      <c r="F42" s="471"/>
      <c r="G42" s="472"/>
    </row>
    <row r="43" spans="1:7">
      <c r="A43" s="469"/>
      <c r="B43" s="470" t="s">
        <v>234</v>
      </c>
      <c r="C43" s="471"/>
      <c r="D43" s="471"/>
      <c r="E43" s="471"/>
      <c r="F43" s="471"/>
      <c r="G43" s="472"/>
    </row>
    <row r="44" spans="1:7">
      <c r="A44" s="469"/>
      <c r="B44" s="470" t="s">
        <v>549</v>
      </c>
      <c r="C44" s="471" t="s">
        <v>508</v>
      </c>
      <c r="D44" s="471"/>
      <c r="E44" s="471"/>
      <c r="F44" s="471"/>
      <c r="G44" s="472"/>
    </row>
    <row r="45" spans="1:7">
      <c r="A45" s="469"/>
      <c r="B45" s="473" t="s">
        <v>550</v>
      </c>
      <c r="C45" s="474" t="s">
        <v>508</v>
      </c>
      <c r="D45" s="471"/>
      <c r="E45" s="471"/>
      <c r="F45" s="471"/>
      <c r="G45" s="472"/>
    </row>
    <row r="46" spans="1:7">
      <c r="A46" s="469"/>
      <c r="B46" s="473" t="s">
        <v>551</v>
      </c>
      <c r="C46" s="474" t="s">
        <v>508</v>
      </c>
      <c r="D46" s="471"/>
      <c r="E46" s="471"/>
      <c r="F46" s="471"/>
      <c r="G46" s="472"/>
    </row>
    <row r="47" spans="1:7">
      <c r="A47" s="469"/>
      <c r="B47" s="470" t="s">
        <v>552</v>
      </c>
      <c r="C47" s="471" t="s">
        <v>508</v>
      </c>
      <c r="D47" s="471"/>
      <c r="E47" s="471"/>
      <c r="F47" s="471"/>
      <c r="G47" s="472"/>
    </row>
    <row r="48" spans="1:7">
      <c r="A48" s="469"/>
      <c r="B48" s="470" t="s">
        <v>553</v>
      </c>
      <c r="C48" s="471" t="s">
        <v>508</v>
      </c>
      <c r="D48" s="471"/>
      <c r="E48" s="471"/>
      <c r="F48" s="471"/>
      <c r="G48" s="472"/>
    </row>
    <row r="49" spans="1:7">
      <c r="A49" s="469"/>
      <c r="B49" s="470" t="s">
        <v>554</v>
      </c>
      <c r="C49" s="471" t="s">
        <v>508</v>
      </c>
      <c r="D49" s="471"/>
      <c r="E49" s="471"/>
      <c r="F49" s="471"/>
      <c r="G49" s="472"/>
    </row>
    <row r="50" spans="1:7">
      <c r="A50" s="469">
        <v>5</v>
      </c>
      <c r="B50" s="470" t="s">
        <v>555</v>
      </c>
      <c r="C50" s="471" t="s">
        <v>556</v>
      </c>
      <c r="D50" s="471"/>
      <c r="E50" s="471"/>
      <c r="F50" s="471"/>
      <c r="G50" s="472"/>
    </row>
    <row r="51" spans="1:7">
      <c r="A51" s="469"/>
      <c r="B51" s="470" t="s">
        <v>557</v>
      </c>
      <c r="C51" s="471" t="s">
        <v>556</v>
      </c>
      <c r="D51" s="471"/>
      <c r="E51" s="471"/>
      <c r="F51" s="471"/>
      <c r="G51" s="472"/>
    </row>
    <row r="52" spans="1:7">
      <c r="A52" s="469"/>
      <c r="B52" s="470" t="s">
        <v>558</v>
      </c>
      <c r="C52" s="471" t="s">
        <v>556</v>
      </c>
      <c r="D52" s="471"/>
      <c r="E52" s="471"/>
      <c r="F52" s="471"/>
      <c r="G52" s="472"/>
    </row>
    <row r="53" spans="1:7">
      <c r="A53" s="469">
        <v>6</v>
      </c>
      <c r="B53" s="470" t="s">
        <v>559</v>
      </c>
      <c r="C53" s="471" t="s">
        <v>417</v>
      </c>
      <c r="D53" s="471"/>
      <c r="E53" s="471"/>
      <c r="F53" s="471"/>
      <c r="G53" s="472"/>
    </row>
    <row r="54" spans="1:7">
      <c r="A54" s="469"/>
      <c r="B54" s="470" t="s">
        <v>234</v>
      </c>
      <c r="C54" s="471"/>
      <c r="D54" s="471"/>
      <c r="E54" s="471"/>
      <c r="F54" s="471"/>
      <c r="G54" s="472"/>
    </row>
    <row r="55" spans="1:7">
      <c r="A55" s="469"/>
      <c r="B55" s="470" t="s">
        <v>560</v>
      </c>
      <c r="C55" s="471" t="s">
        <v>417</v>
      </c>
      <c r="D55" s="471"/>
      <c r="E55" s="471"/>
      <c r="F55" s="471"/>
      <c r="G55" s="472"/>
    </row>
    <row r="56" spans="1:7">
      <c r="A56" s="469"/>
      <c r="B56" s="470" t="s">
        <v>561</v>
      </c>
      <c r="C56" s="471" t="s">
        <v>417</v>
      </c>
      <c r="D56" s="471"/>
      <c r="E56" s="471"/>
      <c r="F56" s="471"/>
      <c r="G56" s="472"/>
    </row>
    <row r="57" spans="1:7">
      <c r="A57" s="469"/>
      <c r="B57" s="470" t="s">
        <v>562</v>
      </c>
      <c r="C57" s="471" t="s">
        <v>417</v>
      </c>
      <c r="D57" s="471"/>
      <c r="E57" s="471"/>
      <c r="F57" s="471"/>
      <c r="G57" s="472"/>
    </row>
    <row r="58" spans="1:7">
      <c r="A58" s="469">
        <v>7</v>
      </c>
      <c r="B58" s="470" t="s">
        <v>563</v>
      </c>
      <c r="C58" s="471"/>
      <c r="D58" s="471"/>
      <c r="E58" s="471"/>
      <c r="F58" s="471"/>
      <c r="G58" s="472"/>
    </row>
    <row r="59" spans="1:7">
      <c r="A59" s="469"/>
      <c r="B59" s="470" t="s">
        <v>564</v>
      </c>
      <c r="C59" s="471" t="s">
        <v>565</v>
      </c>
      <c r="D59" s="471"/>
      <c r="E59" s="471"/>
      <c r="F59" s="471"/>
      <c r="G59" s="472"/>
    </row>
    <row r="60" spans="1:7">
      <c r="A60" s="469"/>
      <c r="B60" s="470" t="s">
        <v>566</v>
      </c>
      <c r="C60" s="471" t="s">
        <v>565</v>
      </c>
      <c r="D60" s="471"/>
      <c r="E60" s="471"/>
      <c r="F60" s="471"/>
      <c r="G60" s="472"/>
    </row>
    <row r="61" spans="1:7">
      <c r="A61" s="469"/>
      <c r="B61" s="470" t="s">
        <v>567</v>
      </c>
      <c r="C61" s="471" t="s">
        <v>565</v>
      </c>
      <c r="D61" s="471"/>
      <c r="E61" s="471"/>
      <c r="F61" s="471"/>
      <c r="G61" s="472"/>
    </row>
    <row r="62" spans="1:7">
      <c r="A62" s="469"/>
      <c r="B62" s="470" t="s">
        <v>568</v>
      </c>
      <c r="C62" s="471" t="s">
        <v>417</v>
      </c>
      <c r="D62" s="471"/>
      <c r="E62" s="471"/>
      <c r="F62" s="471"/>
      <c r="G62" s="472"/>
    </row>
    <row r="63" spans="1:7">
      <c r="A63" s="469"/>
      <c r="B63" s="470" t="s">
        <v>569</v>
      </c>
      <c r="C63" s="471" t="s">
        <v>417</v>
      </c>
      <c r="D63" s="471"/>
      <c r="E63" s="471"/>
      <c r="F63" s="471"/>
      <c r="G63" s="472"/>
    </row>
    <row r="64" spans="1:7">
      <c r="A64" s="469"/>
      <c r="B64" s="470" t="s">
        <v>570</v>
      </c>
      <c r="C64" s="471" t="s">
        <v>417</v>
      </c>
      <c r="D64" s="471"/>
      <c r="E64" s="471"/>
      <c r="F64" s="471"/>
      <c r="G64" s="472"/>
    </row>
    <row r="65" spans="1:7">
      <c r="A65" s="469">
        <v>8</v>
      </c>
      <c r="B65" s="470" t="s">
        <v>422</v>
      </c>
      <c r="C65" s="471" t="s">
        <v>417</v>
      </c>
      <c r="D65" s="471"/>
      <c r="E65" s="471"/>
      <c r="F65" s="471"/>
      <c r="G65" s="472"/>
    </row>
    <row r="66" spans="1:7">
      <c r="A66" s="469">
        <v>9</v>
      </c>
      <c r="B66" s="470" t="s">
        <v>571</v>
      </c>
      <c r="C66" s="471" t="s">
        <v>572</v>
      </c>
      <c r="D66" s="471"/>
      <c r="E66" s="471"/>
      <c r="F66" s="471"/>
      <c r="G66" s="472"/>
    </row>
    <row r="67" spans="1:7">
      <c r="A67" s="469"/>
      <c r="B67" s="470" t="s">
        <v>234</v>
      </c>
      <c r="C67" s="471"/>
      <c r="D67" s="471"/>
      <c r="E67" s="471"/>
      <c r="F67" s="471"/>
      <c r="G67" s="472"/>
    </row>
    <row r="68" spans="1:7">
      <c r="A68" s="469"/>
      <c r="B68" s="470" t="s">
        <v>573</v>
      </c>
      <c r="C68" s="471" t="s">
        <v>572</v>
      </c>
      <c r="D68" s="471"/>
      <c r="E68" s="471"/>
      <c r="F68" s="471"/>
      <c r="G68" s="472"/>
    </row>
    <row r="69" spans="1:7">
      <c r="A69" s="469"/>
      <c r="B69" s="470" t="s">
        <v>574</v>
      </c>
      <c r="C69" s="471" t="s">
        <v>572</v>
      </c>
      <c r="D69" s="471"/>
      <c r="E69" s="471"/>
      <c r="F69" s="471"/>
      <c r="G69" s="472"/>
    </row>
    <row r="70" spans="1:7">
      <c r="A70" s="469">
        <v>10</v>
      </c>
      <c r="B70" s="470" t="s">
        <v>575</v>
      </c>
      <c r="C70" s="471" t="s">
        <v>576</v>
      </c>
      <c r="D70" s="471"/>
      <c r="E70" s="471"/>
      <c r="F70" s="471"/>
      <c r="G70" s="472"/>
    </row>
    <row r="71" spans="1:7">
      <c r="A71" s="469"/>
      <c r="B71" s="470" t="s">
        <v>577</v>
      </c>
      <c r="C71" s="471" t="s">
        <v>565</v>
      </c>
      <c r="D71" s="471"/>
      <c r="E71" s="471"/>
      <c r="F71" s="471"/>
      <c r="G71" s="472"/>
    </row>
    <row r="72" spans="1:7">
      <c r="A72" s="469"/>
      <c r="B72" s="470" t="s">
        <v>578</v>
      </c>
      <c r="C72" s="471" t="s">
        <v>576</v>
      </c>
      <c r="D72" s="471"/>
      <c r="E72" s="471"/>
      <c r="F72" s="471"/>
      <c r="G72" s="472"/>
    </row>
    <row r="73" spans="1:7">
      <c r="A73" s="469">
        <v>11</v>
      </c>
      <c r="B73" s="470" t="s">
        <v>579</v>
      </c>
      <c r="C73" s="471" t="s">
        <v>519</v>
      </c>
      <c r="D73" s="471"/>
      <c r="E73" s="471"/>
      <c r="F73" s="471"/>
      <c r="G73" s="472"/>
    </row>
    <row r="74" spans="1:7">
      <c r="A74" s="469">
        <v>12</v>
      </c>
      <c r="B74" s="470" t="s">
        <v>580</v>
      </c>
      <c r="C74" s="471" t="s">
        <v>519</v>
      </c>
      <c r="D74" s="471"/>
      <c r="E74" s="471"/>
      <c r="F74" s="471"/>
      <c r="G74" s="472"/>
    </row>
    <row r="75" spans="1:7">
      <c r="A75" s="469">
        <v>13</v>
      </c>
      <c r="B75" s="470" t="s">
        <v>581</v>
      </c>
      <c r="C75" s="471" t="s">
        <v>582</v>
      </c>
      <c r="D75" s="471"/>
      <c r="E75" s="471"/>
      <c r="F75" s="471"/>
      <c r="G75" s="472"/>
    </row>
    <row r="76" spans="1:7">
      <c r="A76" s="469"/>
      <c r="B76" s="470" t="s">
        <v>234</v>
      </c>
      <c r="C76" s="471"/>
      <c r="D76" s="471"/>
      <c r="E76" s="471"/>
      <c r="F76" s="471"/>
      <c r="G76" s="472"/>
    </row>
    <row r="77" spans="1:7">
      <c r="A77" s="469"/>
      <c r="B77" s="470" t="s">
        <v>583</v>
      </c>
      <c r="C77" s="471" t="s">
        <v>519</v>
      </c>
      <c r="D77" s="471"/>
      <c r="E77" s="471"/>
      <c r="F77" s="471"/>
      <c r="G77" s="472"/>
    </row>
    <row r="78" spans="1:7">
      <c r="A78" s="469"/>
      <c r="B78" s="470" t="s">
        <v>584</v>
      </c>
      <c r="C78" s="471" t="s">
        <v>519</v>
      </c>
      <c r="D78" s="471"/>
      <c r="E78" s="471"/>
      <c r="F78" s="471"/>
      <c r="G78" s="472"/>
    </row>
    <row r="79" spans="1:7">
      <c r="A79" s="469"/>
      <c r="B79" s="470" t="s">
        <v>585</v>
      </c>
      <c r="C79" s="471" t="s">
        <v>417</v>
      </c>
      <c r="D79" s="471"/>
      <c r="E79" s="471"/>
      <c r="F79" s="471"/>
      <c r="G79" s="472"/>
    </row>
    <row r="80" spans="1:7">
      <c r="A80" s="469">
        <v>14</v>
      </c>
      <c r="B80" s="470" t="s">
        <v>436</v>
      </c>
      <c r="C80" s="471"/>
      <c r="D80" s="471"/>
      <c r="E80" s="471"/>
      <c r="F80" s="471"/>
      <c r="G80" s="472"/>
    </row>
    <row r="81" spans="1:7">
      <c r="A81" s="469"/>
      <c r="B81" s="470" t="s">
        <v>586</v>
      </c>
      <c r="C81" s="471" t="s">
        <v>519</v>
      </c>
      <c r="D81" s="471"/>
      <c r="E81" s="471"/>
      <c r="F81" s="471"/>
      <c r="G81" s="472"/>
    </row>
    <row r="82" spans="1:7">
      <c r="A82" s="469"/>
      <c r="B82" s="470" t="s">
        <v>438</v>
      </c>
      <c r="C82" s="471" t="s">
        <v>587</v>
      </c>
      <c r="D82" s="471"/>
      <c r="E82" s="471"/>
      <c r="F82" s="471"/>
      <c r="G82" s="472"/>
    </row>
    <row r="83" spans="1:7">
      <c r="A83" s="469"/>
      <c r="B83" s="470" t="s">
        <v>234</v>
      </c>
      <c r="C83" s="471"/>
      <c r="D83" s="471"/>
      <c r="E83" s="471"/>
      <c r="F83" s="471"/>
      <c r="G83" s="472"/>
    </row>
    <row r="84" spans="1:7">
      <c r="A84" s="469"/>
      <c r="B84" s="470" t="s">
        <v>588</v>
      </c>
      <c r="C84" s="471" t="s">
        <v>587</v>
      </c>
      <c r="D84" s="471"/>
      <c r="E84" s="471"/>
      <c r="F84" s="471"/>
      <c r="G84" s="472"/>
    </row>
    <row r="85" spans="1:7">
      <c r="A85" s="469"/>
      <c r="B85" s="470" t="s">
        <v>439</v>
      </c>
      <c r="C85" s="471" t="s">
        <v>587</v>
      </c>
      <c r="D85" s="471"/>
      <c r="E85" s="471"/>
      <c r="F85" s="471"/>
      <c r="G85" s="472"/>
    </row>
    <row r="86" spans="1:7">
      <c r="A86" s="469"/>
      <c r="B86" s="470" t="s">
        <v>440</v>
      </c>
      <c r="C86" s="471" t="s">
        <v>587</v>
      </c>
      <c r="D86" s="471"/>
      <c r="E86" s="471"/>
      <c r="F86" s="471"/>
      <c r="G86" s="472"/>
    </row>
    <row r="87" spans="1:7">
      <c r="A87" s="469"/>
      <c r="B87" s="470" t="s">
        <v>441</v>
      </c>
      <c r="C87" s="471" t="s">
        <v>589</v>
      </c>
      <c r="D87" s="471"/>
      <c r="E87" s="471"/>
      <c r="F87" s="471"/>
      <c r="G87" s="472"/>
    </row>
    <row r="88" spans="1:7">
      <c r="A88" s="469">
        <v>15</v>
      </c>
      <c r="B88" s="470" t="s">
        <v>442</v>
      </c>
      <c r="C88" s="471"/>
      <c r="D88" s="471"/>
      <c r="E88" s="471"/>
      <c r="F88" s="471"/>
      <c r="G88" s="472"/>
    </row>
    <row r="89" spans="1:7">
      <c r="A89" s="469"/>
      <c r="B89" s="470" t="s">
        <v>443</v>
      </c>
      <c r="C89" s="471" t="s">
        <v>590</v>
      </c>
      <c r="D89" s="471"/>
      <c r="E89" s="471"/>
      <c r="F89" s="471"/>
      <c r="G89" s="472"/>
    </row>
    <row r="90" spans="1:7">
      <c r="A90" s="469"/>
      <c r="B90" s="470" t="s">
        <v>444</v>
      </c>
      <c r="C90" s="471" t="s">
        <v>591</v>
      </c>
      <c r="D90" s="471"/>
      <c r="E90" s="471"/>
      <c r="F90" s="471"/>
      <c r="G90" s="472"/>
    </row>
    <row r="91" spans="1:7">
      <c r="A91" s="469"/>
      <c r="B91" s="470" t="s">
        <v>234</v>
      </c>
      <c r="C91" s="471"/>
      <c r="D91" s="471"/>
      <c r="E91" s="471"/>
      <c r="F91" s="471"/>
      <c r="G91" s="472"/>
    </row>
    <row r="92" spans="1:7">
      <c r="A92" s="469"/>
      <c r="B92" s="470" t="s">
        <v>445</v>
      </c>
      <c r="C92" s="471" t="s">
        <v>591</v>
      </c>
      <c r="D92" s="471"/>
      <c r="E92" s="471"/>
      <c r="F92" s="471"/>
      <c r="G92" s="472"/>
    </row>
    <row r="93" spans="1:7">
      <c r="A93" s="469"/>
      <c r="B93" s="470" t="s">
        <v>446</v>
      </c>
      <c r="C93" s="471" t="s">
        <v>591</v>
      </c>
      <c r="D93" s="471"/>
      <c r="E93" s="471"/>
      <c r="F93" s="471"/>
      <c r="G93" s="472"/>
    </row>
    <row r="94" spans="1:7">
      <c r="A94" s="469"/>
      <c r="B94" s="470" t="s">
        <v>447</v>
      </c>
      <c r="C94" s="471" t="s">
        <v>591</v>
      </c>
      <c r="D94" s="471"/>
      <c r="E94" s="471"/>
      <c r="F94" s="471"/>
      <c r="G94" s="472"/>
    </row>
    <row r="95" spans="1:7">
      <c r="A95" s="469"/>
      <c r="B95" s="470" t="s">
        <v>448</v>
      </c>
      <c r="C95" s="471" t="s">
        <v>591</v>
      </c>
      <c r="D95" s="471"/>
      <c r="E95" s="471"/>
      <c r="F95" s="471"/>
      <c r="G95" s="472"/>
    </row>
    <row r="96" spans="1:7">
      <c r="A96" s="469"/>
      <c r="B96" s="470" t="s">
        <v>449</v>
      </c>
      <c r="C96" s="471"/>
      <c r="D96" s="471"/>
      <c r="E96" s="471"/>
      <c r="F96" s="471"/>
      <c r="G96" s="472"/>
    </row>
    <row r="97" spans="1:7">
      <c r="A97" s="469"/>
      <c r="B97" s="470" t="s">
        <v>450</v>
      </c>
      <c r="C97" s="471" t="s">
        <v>519</v>
      </c>
      <c r="D97" s="471"/>
      <c r="E97" s="471"/>
      <c r="F97" s="471"/>
      <c r="G97" s="472"/>
    </row>
    <row r="98" spans="1:7">
      <c r="A98" s="469"/>
      <c r="B98" s="470" t="s">
        <v>451</v>
      </c>
      <c r="C98" s="471" t="s">
        <v>519</v>
      </c>
      <c r="D98" s="471"/>
      <c r="E98" s="471"/>
      <c r="F98" s="471"/>
      <c r="G98" s="472"/>
    </row>
    <row r="99" spans="1:7">
      <c r="A99" s="469"/>
      <c r="B99" s="470" t="s">
        <v>452</v>
      </c>
      <c r="C99" s="471" t="s">
        <v>519</v>
      </c>
      <c r="D99" s="471"/>
      <c r="E99" s="471"/>
      <c r="F99" s="471"/>
      <c r="G99" s="472"/>
    </row>
    <row r="100" spans="1:7" ht="27.6">
      <c r="A100" s="469"/>
      <c r="B100" s="470" t="s">
        <v>592</v>
      </c>
      <c r="C100" s="471" t="s">
        <v>432</v>
      </c>
      <c r="D100" s="471"/>
      <c r="E100" s="471"/>
      <c r="F100" s="471"/>
      <c r="G100" s="472"/>
    </row>
    <row r="101" spans="1:7">
      <c r="A101" s="469"/>
      <c r="B101" s="470" t="s">
        <v>593</v>
      </c>
      <c r="C101" s="471" t="s">
        <v>594</v>
      </c>
      <c r="D101" s="471"/>
      <c r="E101" s="471"/>
      <c r="F101" s="471"/>
      <c r="G101" s="472"/>
    </row>
    <row r="102" spans="1:7">
      <c r="A102" s="469"/>
      <c r="B102" s="470" t="s">
        <v>453</v>
      </c>
      <c r="C102" s="471" t="s">
        <v>519</v>
      </c>
      <c r="D102" s="471"/>
      <c r="E102" s="471"/>
      <c r="F102" s="471"/>
      <c r="G102" s="472"/>
    </row>
    <row r="103" spans="1:7" ht="27.6">
      <c r="A103" s="469"/>
      <c r="B103" s="470" t="s">
        <v>454</v>
      </c>
      <c r="C103" s="471" t="s">
        <v>519</v>
      </c>
      <c r="D103" s="471"/>
      <c r="E103" s="471"/>
      <c r="F103" s="471"/>
      <c r="G103" s="472"/>
    </row>
    <row r="104" spans="1:7">
      <c r="A104" s="469"/>
      <c r="B104" s="470" t="s">
        <v>455</v>
      </c>
      <c r="C104" s="471" t="s">
        <v>519</v>
      </c>
      <c r="D104" s="471"/>
      <c r="E104" s="471"/>
      <c r="F104" s="471"/>
      <c r="G104" s="472"/>
    </row>
    <row r="105" spans="1:7">
      <c r="A105" s="469"/>
      <c r="B105" s="470" t="s">
        <v>456</v>
      </c>
      <c r="C105" s="471" t="s">
        <v>519</v>
      </c>
      <c r="D105" s="471"/>
      <c r="E105" s="471"/>
      <c r="F105" s="471"/>
      <c r="G105" s="472"/>
    </row>
    <row r="106" spans="1:7">
      <c r="A106" s="469">
        <v>16</v>
      </c>
      <c r="B106" s="470" t="s">
        <v>595</v>
      </c>
      <c r="C106" s="471"/>
      <c r="D106" s="471"/>
      <c r="E106" s="471"/>
      <c r="F106" s="471"/>
      <c r="G106" s="472"/>
    </row>
    <row r="107" spans="1:7">
      <c r="A107" s="469"/>
      <c r="B107" s="470" t="s">
        <v>596</v>
      </c>
      <c r="C107" s="471" t="s">
        <v>590</v>
      </c>
      <c r="D107" s="471"/>
      <c r="E107" s="471"/>
      <c r="F107" s="471"/>
      <c r="G107" s="472"/>
    </row>
    <row r="108" spans="1:7">
      <c r="A108" s="469"/>
      <c r="B108" s="470" t="s">
        <v>597</v>
      </c>
      <c r="C108" s="471" t="s">
        <v>519</v>
      </c>
      <c r="D108" s="471"/>
      <c r="E108" s="471"/>
      <c r="F108" s="471"/>
      <c r="G108" s="472"/>
    </row>
    <row r="109" spans="1:7">
      <c r="A109" s="475"/>
      <c r="B109" s="470" t="s">
        <v>598</v>
      </c>
      <c r="C109" s="471" t="s">
        <v>519</v>
      </c>
      <c r="D109" s="471"/>
      <c r="E109" s="471"/>
      <c r="F109" s="471"/>
      <c r="G109" s="472"/>
    </row>
    <row r="110" spans="1:7">
      <c r="A110" s="475"/>
      <c r="B110" s="470" t="s">
        <v>599</v>
      </c>
      <c r="C110" s="471" t="s">
        <v>600</v>
      </c>
      <c r="D110" s="471"/>
      <c r="E110" s="471"/>
      <c r="F110" s="471"/>
      <c r="G110" s="472"/>
    </row>
    <row r="111" spans="1:7">
      <c r="A111" s="475"/>
      <c r="B111" s="470" t="s">
        <v>601</v>
      </c>
      <c r="C111" s="471" t="s">
        <v>600</v>
      </c>
      <c r="D111" s="471"/>
      <c r="E111" s="471"/>
      <c r="F111" s="471"/>
      <c r="G111" s="472"/>
    </row>
    <row r="112" spans="1:7">
      <c r="A112" s="469"/>
      <c r="B112" s="470" t="s">
        <v>602</v>
      </c>
      <c r="C112" s="471" t="s">
        <v>600</v>
      </c>
      <c r="D112" s="471"/>
      <c r="E112" s="471"/>
      <c r="F112" s="471"/>
      <c r="G112" s="472"/>
    </row>
    <row r="113" spans="1:7">
      <c r="A113" s="469"/>
      <c r="B113" s="470" t="s">
        <v>603</v>
      </c>
      <c r="C113" s="471" t="s">
        <v>600</v>
      </c>
      <c r="D113" s="471"/>
      <c r="E113" s="471"/>
      <c r="F113" s="471"/>
      <c r="G113" s="472"/>
    </row>
    <row r="114" spans="1:7">
      <c r="A114" s="469"/>
      <c r="B114" s="470" t="s">
        <v>604</v>
      </c>
      <c r="C114" s="471" t="s">
        <v>600</v>
      </c>
      <c r="D114" s="471"/>
      <c r="E114" s="471"/>
      <c r="F114" s="471"/>
      <c r="G114" s="472"/>
    </row>
    <row r="115" spans="1:7">
      <c r="A115" s="469"/>
      <c r="B115" s="470" t="s">
        <v>605</v>
      </c>
      <c r="C115" s="471" t="s">
        <v>600</v>
      </c>
      <c r="D115" s="471"/>
      <c r="E115" s="471"/>
      <c r="F115" s="471"/>
      <c r="G115" s="472"/>
    </row>
    <row r="116" spans="1:7">
      <c r="A116" s="469"/>
      <c r="B116" s="470" t="s">
        <v>606</v>
      </c>
      <c r="C116" s="471" t="s">
        <v>600</v>
      </c>
      <c r="D116" s="471"/>
      <c r="E116" s="471"/>
      <c r="F116" s="471"/>
      <c r="G116" s="472"/>
    </row>
    <row r="117" spans="1:7">
      <c r="A117" s="469"/>
      <c r="B117" s="470" t="s">
        <v>607</v>
      </c>
      <c r="C117" s="471" t="s">
        <v>600</v>
      </c>
      <c r="D117" s="471"/>
      <c r="E117" s="471"/>
      <c r="F117" s="471"/>
      <c r="G117" s="472"/>
    </row>
    <row r="118" spans="1:7">
      <c r="A118" s="469"/>
      <c r="B118" s="470" t="s">
        <v>608</v>
      </c>
      <c r="C118" s="471" t="s">
        <v>519</v>
      </c>
      <c r="D118" s="471"/>
      <c r="E118" s="471"/>
      <c r="F118" s="471"/>
      <c r="G118" s="472"/>
    </row>
    <row r="119" spans="1:7">
      <c r="A119" s="469"/>
      <c r="B119" s="470" t="s">
        <v>609</v>
      </c>
      <c r="C119" s="471" t="s">
        <v>610</v>
      </c>
      <c r="D119" s="471"/>
      <c r="E119" s="471"/>
      <c r="F119" s="471"/>
      <c r="G119" s="472"/>
    </row>
    <row r="120" spans="1:7">
      <c r="A120" s="469"/>
      <c r="B120" s="470" t="s">
        <v>611</v>
      </c>
      <c r="C120" s="471" t="s">
        <v>610</v>
      </c>
      <c r="D120" s="471"/>
      <c r="E120" s="471"/>
      <c r="F120" s="471"/>
      <c r="G120" s="472"/>
    </row>
    <row r="121" spans="1:7">
      <c r="A121" s="469"/>
      <c r="B121" s="470" t="s">
        <v>612</v>
      </c>
      <c r="C121" s="471" t="s">
        <v>519</v>
      </c>
      <c r="D121" s="471"/>
      <c r="E121" s="471"/>
      <c r="F121" s="471"/>
      <c r="G121" s="472"/>
    </row>
    <row r="122" spans="1:7">
      <c r="A122" s="469">
        <v>17</v>
      </c>
      <c r="B122" s="470" t="s">
        <v>613</v>
      </c>
      <c r="C122" s="471"/>
      <c r="D122" s="471"/>
      <c r="E122" s="471"/>
      <c r="F122" s="471"/>
      <c r="G122" s="472"/>
    </row>
    <row r="123" spans="1:7">
      <c r="A123" s="469"/>
      <c r="B123" s="470" t="s">
        <v>614</v>
      </c>
      <c r="C123" s="471" t="s">
        <v>615</v>
      </c>
      <c r="D123" s="471"/>
      <c r="E123" s="471"/>
      <c r="F123" s="471"/>
      <c r="G123" s="472"/>
    </row>
    <row r="124" spans="1:7">
      <c r="A124" s="469"/>
      <c r="B124" s="470" t="s">
        <v>616</v>
      </c>
      <c r="C124" s="471" t="s">
        <v>615</v>
      </c>
      <c r="D124" s="471"/>
      <c r="E124" s="471"/>
      <c r="F124" s="471"/>
      <c r="G124" s="472"/>
    </row>
    <row r="125" spans="1:7">
      <c r="A125" s="469"/>
      <c r="B125" s="470" t="s">
        <v>617</v>
      </c>
      <c r="C125" s="471" t="s">
        <v>618</v>
      </c>
      <c r="D125" s="471"/>
      <c r="E125" s="471"/>
      <c r="F125" s="471"/>
      <c r="G125" s="472"/>
    </row>
    <row r="126" spans="1:7">
      <c r="A126" s="469"/>
      <c r="B126" s="470" t="s">
        <v>619</v>
      </c>
      <c r="C126" s="471" t="s">
        <v>620</v>
      </c>
      <c r="D126" s="471"/>
      <c r="E126" s="471"/>
      <c r="F126" s="471"/>
      <c r="G126" s="472"/>
    </row>
    <row r="127" spans="1:7">
      <c r="A127" s="469"/>
      <c r="B127" s="470" t="s">
        <v>621</v>
      </c>
      <c r="C127" s="471" t="s">
        <v>620</v>
      </c>
      <c r="D127" s="471"/>
      <c r="E127" s="471"/>
      <c r="F127" s="471"/>
      <c r="G127" s="472"/>
    </row>
    <row r="128" spans="1:7">
      <c r="A128" s="469">
        <v>18</v>
      </c>
      <c r="B128" s="470" t="s">
        <v>622</v>
      </c>
      <c r="C128" s="471"/>
      <c r="D128" s="471"/>
      <c r="E128" s="471"/>
      <c r="F128" s="471"/>
      <c r="G128" s="472"/>
    </row>
    <row r="129" spans="1:7">
      <c r="A129" s="469"/>
      <c r="B129" s="476" t="s">
        <v>623</v>
      </c>
      <c r="C129" s="471" t="s">
        <v>537</v>
      </c>
      <c r="D129" s="471"/>
      <c r="E129" s="471"/>
      <c r="F129" s="471"/>
      <c r="G129" s="472"/>
    </row>
    <row r="130" spans="1:7">
      <c r="A130" s="469">
        <v>19</v>
      </c>
      <c r="B130" s="470" t="s">
        <v>624</v>
      </c>
      <c r="C130" s="471"/>
      <c r="D130" s="471"/>
      <c r="E130" s="471"/>
      <c r="F130" s="471"/>
      <c r="G130" s="472"/>
    </row>
    <row r="131" spans="1:7">
      <c r="A131" s="469"/>
      <c r="B131" s="470" t="s">
        <v>625</v>
      </c>
      <c r="C131" s="471" t="s">
        <v>519</v>
      </c>
      <c r="D131" s="471"/>
      <c r="E131" s="471"/>
      <c r="F131" s="471"/>
      <c r="G131" s="472"/>
    </row>
    <row r="132" spans="1:7" ht="14.4" thickBot="1">
      <c r="A132" s="477"/>
      <c r="B132" s="478" t="s">
        <v>626</v>
      </c>
      <c r="C132" s="479" t="s">
        <v>519</v>
      </c>
      <c r="D132" s="479"/>
      <c r="E132" s="479"/>
      <c r="F132" s="479"/>
      <c r="G132" s="480"/>
    </row>
    <row r="133" spans="1:7">
      <c r="A133" s="458"/>
    </row>
    <row r="134" spans="1:7">
      <c r="A134" s="481"/>
      <c r="D134" s="6050" t="s">
        <v>627</v>
      </c>
      <c r="E134" s="6050"/>
      <c r="F134" s="6050"/>
      <c r="G134" s="6050"/>
    </row>
    <row r="135" spans="1:7">
      <c r="A135" s="481"/>
      <c r="D135" s="6049" t="s">
        <v>628</v>
      </c>
      <c r="E135" s="6049"/>
      <c r="F135" s="6049"/>
      <c r="G135" s="6049"/>
    </row>
    <row r="136" spans="1:7">
      <c r="A136" s="481"/>
      <c r="D136" s="6049" t="s">
        <v>629</v>
      </c>
      <c r="E136" s="6049"/>
      <c r="F136" s="6049"/>
      <c r="G136" s="6049"/>
    </row>
    <row r="137" spans="1:7">
      <c r="A137" s="481"/>
      <c r="D137" s="6050" t="s">
        <v>630</v>
      </c>
      <c r="E137" s="6050"/>
      <c r="F137" s="6050"/>
      <c r="G137" s="6050"/>
    </row>
  </sheetData>
  <mergeCells count="8">
    <mergeCell ref="D136:G136"/>
    <mergeCell ref="D137:G137"/>
    <mergeCell ref="A1:C1"/>
    <mergeCell ref="F1:G1"/>
    <mergeCell ref="A3:G3"/>
    <mergeCell ref="A4:G4"/>
    <mergeCell ref="D134:G134"/>
    <mergeCell ref="D135:G135"/>
  </mergeCells>
  <hyperlinks>
    <hyperlink ref="A5" location="'Danh mục file'!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theme="5"/>
  </sheetPr>
  <dimension ref="A1:XFD100"/>
  <sheetViews>
    <sheetView workbookViewId="0">
      <pane xSplit="2" ySplit="11" topLeftCell="M12" activePane="bottomRight" state="frozen"/>
      <selection pane="topRight" activeCell="C1" sqref="C1"/>
      <selection pane="bottomLeft" activeCell="A12" sqref="A12"/>
      <selection pane="bottomRight" activeCell="A6" sqref="A6:A8"/>
    </sheetView>
  </sheetViews>
  <sheetFormatPr defaultColWidth="9.109375" defaultRowHeight="13.8"/>
  <cols>
    <col min="1" max="1" width="9.109375" style="1731"/>
    <col min="2" max="2" width="57.6640625" style="30" customWidth="1"/>
    <col min="3" max="27" width="9.6640625" style="30" customWidth="1"/>
    <col min="28" max="42" width="8.33203125" style="30" hidden="1" customWidth="1"/>
    <col min="43" max="47" width="9.6640625" style="30" customWidth="1"/>
    <col min="48" max="16384" width="9.109375" style="30"/>
  </cols>
  <sheetData>
    <row r="1" spans="1:47" s="1" customFormat="1" ht="15.6">
      <c r="A1" s="6056" t="s">
        <v>1415</v>
      </c>
      <c r="B1" s="6056"/>
      <c r="C1" s="6056"/>
      <c r="D1" s="6056"/>
      <c r="E1" s="6056"/>
      <c r="F1" s="6056"/>
      <c r="G1" s="6056"/>
      <c r="H1" s="6056"/>
      <c r="I1" s="6056"/>
      <c r="J1" s="6056"/>
      <c r="K1" s="6056"/>
      <c r="L1" s="6056"/>
      <c r="M1" s="6056"/>
      <c r="N1" s="6056"/>
      <c r="O1" s="6056"/>
      <c r="P1" s="6056"/>
      <c r="Q1" s="6056"/>
    </row>
    <row r="2" spans="1:47" s="1" customFormat="1" ht="15.6">
      <c r="A2" s="6056" t="s">
        <v>1437</v>
      </c>
      <c r="B2" s="6056"/>
      <c r="C2" s="6056"/>
      <c r="D2" s="6056"/>
      <c r="E2" s="6056"/>
      <c r="F2" s="6056"/>
      <c r="G2" s="6056"/>
      <c r="H2" s="6056"/>
      <c r="I2" s="6056"/>
      <c r="J2" s="6056"/>
      <c r="K2" s="6056"/>
      <c r="L2" s="6056"/>
      <c r="M2" s="6056"/>
      <c r="N2" s="6056"/>
      <c r="O2" s="6056"/>
      <c r="P2" s="6056"/>
      <c r="Q2" s="6056"/>
    </row>
    <row r="3" spans="1:47" s="1" customFormat="1" ht="15.6">
      <c r="A3" s="6059" t="str">
        <f>'Phụ lục số I'!A3:V3</f>
        <v>(Kèm theo Báo cáo số          /BC-UBND ngày            tháng 8 năm 2024 của Ủy ban nhân dân tỉnh Đồng Tháp)</v>
      </c>
      <c r="B3" s="6059"/>
      <c r="C3" s="6059"/>
      <c r="D3" s="6059"/>
      <c r="E3" s="6059"/>
      <c r="F3" s="6059"/>
      <c r="G3" s="6059"/>
      <c r="H3" s="6059"/>
      <c r="I3" s="6059"/>
      <c r="J3" s="6059"/>
      <c r="K3" s="6059"/>
      <c r="L3" s="6059"/>
      <c r="M3" s="6059"/>
      <c r="N3" s="6059"/>
      <c r="O3" s="6059"/>
      <c r="P3" s="6059"/>
      <c r="Q3" s="6059"/>
    </row>
    <row r="4" spans="1:47">
      <c r="B4" s="30" t="s">
        <v>117</v>
      </c>
      <c r="H4" s="32"/>
      <c r="K4" s="30" t="s">
        <v>117</v>
      </c>
      <c r="N4" s="1732"/>
      <c r="W4" s="32"/>
    </row>
    <row r="5" spans="1:47">
      <c r="H5" s="1733"/>
      <c r="I5" s="1732"/>
      <c r="K5" s="1733"/>
      <c r="L5" s="1733"/>
      <c r="M5" s="1734"/>
      <c r="N5" s="1732"/>
      <c r="O5" s="6068" t="s">
        <v>246</v>
      </c>
      <c r="P5" s="6069"/>
      <c r="Q5" s="6069"/>
      <c r="W5" s="32"/>
      <c r="AB5" s="32">
        <f>+AB12-W12</f>
        <v>140079.44579632278</v>
      </c>
      <c r="AH5" s="32">
        <f>+AG12-AB12</f>
        <v>142339.74820876517</v>
      </c>
      <c r="AM5" s="32">
        <f>+AL12-AG12</f>
        <v>132871.69831924653</v>
      </c>
    </row>
    <row r="6" spans="1:47" s="1735" customFormat="1" ht="15" customHeight="1">
      <c r="A6" s="6073" t="s">
        <v>136</v>
      </c>
      <c r="B6" s="6070" t="s">
        <v>137</v>
      </c>
      <c r="C6" s="6074" t="s">
        <v>140</v>
      </c>
      <c r="D6" s="6075"/>
      <c r="E6" s="6075"/>
      <c r="F6" s="6075"/>
      <c r="G6" s="6076"/>
      <c r="H6" s="6077" t="s">
        <v>120</v>
      </c>
      <c r="I6" s="6077"/>
      <c r="J6" s="6077"/>
      <c r="K6" s="6077"/>
      <c r="L6" s="6077"/>
      <c r="M6" s="6077" t="s">
        <v>121</v>
      </c>
      <c r="N6" s="6077"/>
      <c r="O6" s="6077"/>
      <c r="P6" s="6077"/>
      <c r="Q6" s="6077"/>
      <c r="R6" s="6077" t="s">
        <v>187</v>
      </c>
      <c r="S6" s="6077"/>
      <c r="T6" s="6077"/>
      <c r="U6" s="6077"/>
      <c r="V6" s="6077"/>
      <c r="W6" s="6077" t="s">
        <v>188</v>
      </c>
      <c r="X6" s="6077"/>
      <c r="Y6" s="6077"/>
      <c r="Z6" s="6077"/>
      <c r="AA6" s="6077"/>
      <c r="AB6" s="6077" t="s">
        <v>189</v>
      </c>
      <c r="AC6" s="6077"/>
      <c r="AD6" s="6077"/>
      <c r="AE6" s="6077"/>
      <c r="AF6" s="6077"/>
      <c r="AG6" s="6077" t="s">
        <v>190</v>
      </c>
      <c r="AH6" s="6077"/>
      <c r="AI6" s="6077"/>
      <c r="AJ6" s="6077"/>
      <c r="AK6" s="6077"/>
      <c r="AL6" s="6077" t="s">
        <v>193</v>
      </c>
      <c r="AM6" s="6077"/>
      <c r="AN6" s="6077"/>
      <c r="AO6" s="6077"/>
      <c r="AP6" s="6077"/>
      <c r="AQ6" s="6077" t="s">
        <v>1435</v>
      </c>
      <c r="AR6" s="6077"/>
      <c r="AS6" s="6077"/>
      <c r="AT6" s="6077"/>
      <c r="AU6" s="6077"/>
    </row>
    <row r="7" spans="1:47" s="29" customFormat="1" ht="15" customHeight="1">
      <c r="A7" s="6073"/>
      <c r="B7" s="6071"/>
      <c r="C7" s="6070" t="s">
        <v>119</v>
      </c>
      <c r="D7" s="6070" t="s">
        <v>118</v>
      </c>
      <c r="E7" s="6070" t="s">
        <v>69</v>
      </c>
      <c r="F7" s="6074" t="s">
        <v>186</v>
      </c>
      <c r="G7" s="6076"/>
      <c r="H7" s="6077" t="s">
        <v>59</v>
      </c>
      <c r="I7" s="6077" t="s">
        <v>69</v>
      </c>
      <c r="J7" s="6077" t="s">
        <v>1417</v>
      </c>
      <c r="K7" s="6077" t="s">
        <v>186</v>
      </c>
      <c r="L7" s="6077"/>
      <c r="M7" s="6077" t="s">
        <v>59</v>
      </c>
      <c r="N7" s="6077" t="s">
        <v>69</v>
      </c>
      <c r="O7" s="6077" t="s">
        <v>194</v>
      </c>
      <c r="P7" s="6077" t="s">
        <v>186</v>
      </c>
      <c r="Q7" s="6077"/>
      <c r="R7" s="6077" t="s">
        <v>59</v>
      </c>
      <c r="S7" s="6077" t="s">
        <v>69</v>
      </c>
      <c r="T7" s="6077" t="s">
        <v>195</v>
      </c>
      <c r="U7" s="6077" t="s">
        <v>186</v>
      </c>
      <c r="V7" s="6077"/>
      <c r="W7" s="6077" t="s">
        <v>59</v>
      </c>
      <c r="X7" s="6077" t="s">
        <v>69</v>
      </c>
      <c r="Y7" s="6077" t="s">
        <v>196</v>
      </c>
      <c r="Z7" s="6077" t="s">
        <v>186</v>
      </c>
      <c r="AA7" s="6077"/>
      <c r="AB7" s="6077" t="s">
        <v>59</v>
      </c>
      <c r="AC7" s="6077" t="s">
        <v>69</v>
      </c>
      <c r="AD7" s="6077" t="s">
        <v>197</v>
      </c>
      <c r="AE7" s="6077" t="s">
        <v>186</v>
      </c>
      <c r="AF7" s="6077"/>
      <c r="AG7" s="6077" t="s">
        <v>59</v>
      </c>
      <c r="AH7" s="6077" t="s">
        <v>69</v>
      </c>
      <c r="AI7" s="6077" t="s">
        <v>198</v>
      </c>
      <c r="AJ7" s="6077" t="s">
        <v>186</v>
      </c>
      <c r="AK7" s="6077"/>
      <c r="AL7" s="6077" t="s">
        <v>59</v>
      </c>
      <c r="AM7" s="6077" t="s">
        <v>69</v>
      </c>
      <c r="AN7" s="6077" t="s">
        <v>199</v>
      </c>
      <c r="AO7" s="6077" t="s">
        <v>186</v>
      </c>
      <c r="AP7" s="6077"/>
      <c r="AQ7" s="6077" t="s">
        <v>59</v>
      </c>
      <c r="AR7" s="6077" t="s">
        <v>69</v>
      </c>
      <c r="AS7" s="6077" t="s">
        <v>1436</v>
      </c>
      <c r="AT7" s="6077" t="s">
        <v>186</v>
      </c>
      <c r="AU7" s="6077"/>
    </row>
    <row r="8" spans="1:47" s="29" customFormat="1" ht="96" customHeight="1">
      <c r="A8" s="6073"/>
      <c r="B8" s="6072"/>
      <c r="C8" s="6072"/>
      <c r="D8" s="6072"/>
      <c r="E8" s="6072"/>
      <c r="F8" s="1736" t="s">
        <v>138</v>
      </c>
      <c r="G8" s="1736" t="s">
        <v>139</v>
      </c>
      <c r="H8" s="6077"/>
      <c r="I8" s="6077"/>
      <c r="J8" s="6077"/>
      <c r="K8" s="1736" t="s">
        <v>138</v>
      </c>
      <c r="L8" s="1736" t="s">
        <v>139</v>
      </c>
      <c r="M8" s="6077"/>
      <c r="N8" s="6077"/>
      <c r="O8" s="6077"/>
      <c r="P8" s="1736" t="s">
        <v>138</v>
      </c>
      <c r="Q8" s="1736" t="s">
        <v>139</v>
      </c>
      <c r="R8" s="6077"/>
      <c r="S8" s="6077"/>
      <c r="T8" s="6077"/>
      <c r="U8" s="1736" t="s">
        <v>138</v>
      </c>
      <c r="V8" s="1736" t="s">
        <v>139</v>
      </c>
      <c r="W8" s="6077"/>
      <c r="X8" s="6077"/>
      <c r="Y8" s="6077"/>
      <c r="Z8" s="1736" t="s">
        <v>138</v>
      </c>
      <c r="AA8" s="1736" t="s">
        <v>139</v>
      </c>
      <c r="AB8" s="6077"/>
      <c r="AC8" s="6077"/>
      <c r="AD8" s="6077"/>
      <c r="AE8" s="1736" t="s">
        <v>138</v>
      </c>
      <c r="AF8" s="1736" t="s">
        <v>139</v>
      </c>
      <c r="AG8" s="6077"/>
      <c r="AH8" s="6077"/>
      <c r="AI8" s="6077"/>
      <c r="AJ8" s="1736" t="s">
        <v>138</v>
      </c>
      <c r="AK8" s="1736" t="s">
        <v>139</v>
      </c>
      <c r="AL8" s="6077"/>
      <c r="AM8" s="6077"/>
      <c r="AN8" s="6077"/>
      <c r="AO8" s="1736" t="s">
        <v>138</v>
      </c>
      <c r="AP8" s="1736" t="s">
        <v>139</v>
      </c>
      <c r="AQ8" s="6077"/>
      <c r="AR8" s="6077"/>
      <c r="AS8" s="6077"/>
      <c r="AT8" s="1736" t="s">
        <v>138</v>
      </c>
      <c r="AU8" s="1736" t="s">
        <v>139</v>
      </c>
    </row>
    <row r="9" spans="1:47" s="124" customFormat="1">
      <c r="A9" s="1737" t="s">
        <v>1</v>
      </c>
      <c r="B9" s="1738" t="s">
        <v>191</v>
      </c>
      <c r="C9" s="194">
        <f>C10+C35+C45</f>
        <v>17419409</v>
      </c>
      <c r="D9" s="194">
        <f>D10+D35+D45</f>
        <v>19035463.077999998</v>
      </c>
      <c r="E9" s="1739">
        <f>D9/$D$9*100</f>
        <v>100</v>
      </c>
      <c r="F9" s="194">
        <f>F10+F35+F45</f>
        <v>9127059.7300000004</v>
      </c>
      <c r="G9" s="194">
        <f>G10+G35+G45</f>
        <v>9908403.3479999993</v>
      </c>
      <c r="H9" s="194">
        <f>H10+H35+H45</f>
        <v>19320330.094239719</v>
      </c>
      <c r="I9" s="1740">
        <f>H9/$H$9*100</f>
        <v>100</v>
      </c>
      <c r="J9" s="1741">
        <f>H9/D9</f>
        <v>1.0149650688860286</v>
      </c>
      <c r="K9" s="194">
        <f>K10+K35+K45</f>
        <v>9413991.2589892782</v>
      </c>
      <c r="L9" s="194">
        <f>L10+L35+L45</f>
        <v>9906338.8352504428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c r="AQ9" s="194">
        <f>AQ10+AQ35+AQ45</f>
        <v>66192428.464295223</v>
      </c>
      <c r="AR9" s="1740">
        <f>AQ9/$AQ$9*100</f>
        <v>100</v>
      </c>
      <c r="AS9" s="1746">
        <f>((M9/H9)*(R9/M9)*W9/R9)/(1^3)-1</f>
        <v>0.15026795348342059</v>
      </c>
      <c r="AT9" s="194">
        <f>AT10+AT35+AT45</f>
        <v>33129292.793064155</v>
      </c>
      <c r="AU9" s="194">
        <f>AU10+AU35+AU45</f>
        <v>33063135.671231076</v>
      </c>
    </row>
    <row r="10" spans="1:47" s="31" customFormat="1">
      <c r="A10" s="34" t="s">
        <v>3</v>
      </c>
      <c r="B10" s="1747"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17192795.094239719</v>
      </c>
      <c r="I10" s="1749">
        <f>H10/$H$9*100</f>
        <v>88.988102223810785</v>
      </c>
      <c r="J10" s="1750">
        <f t="shared" ref="J10:J47" si="0">H10/D10</f>
        <v>1.0085828837091335</v>
      </c>
      <c r="K10" s="195">
        <f>K11+K17+K31+K32+K33+K34</f>
        <v>7286456.2589892773</v>
      </c>
      <c r="L10" s="195">
        <f>L11+L17+L31+L32+L33+L34</f>
        <v>9906338.8352504428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c r="AQ10" s="1570">
        <f>AQ11+AQ17+AQ31+AQ32+AQ33+AQ34</f>
        <v>55164282.064295225</v>
      </c>
      <c r="AR10" s="1749">
        <f>AQ10/$AQ$9*100</f>
        <v>83.339263030742742</v>
      </c>
      <c r="AS10" s="1758">
        <f>((M10/H10)*(R10/M10)*W10/R10)/(1^3)-1</f>
        <v>7.8795370761990169E-2</v>
      </c>
      <c r="AT10" s="1570">
        <f>AT11+AT17+AT31+AT32+AT33+AT34</f>
        <v>22101146.393064152</v>
      </c>
      <c r="AU10" s="1570">
        <f>AU11+AU17+AU31+AU32+AU33+AU34</f>
        <v>33063135.671231076</v>
      </c>
    </row>
    <row r="11" spans="1:47">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27.593941433533605</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c r="AQ11" s="1760">
        <f>SUM(AQ12:AQ16)</f>
        <v>14666368.97302705</v>
      </c>
      <c r="AR11" s="1749">
        <f>AQ11/$AQ$9*100</f>
        <v>22.157170107360873</v>
      </c>
      <c r="AS11" s="1758">
        <f>((M11/H11)*(R11/M11)*W11/R11)/(1^3)-1</f>
        <v>-9.5264474737610239E-2</v>
      </c>
      <c r="AT11" s="1760">
        <f>SUM(AT12:AT16)</f>
        <v>9405872.8408417106</v>
      </c>
      <c r="AU11" s="1760">
        <f>SUM(AU12:AU16)</f>
        <v>5260496.1321853399</v>
      </c>
    </row>
    <row r="12" spans="1:47">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36" si="3">H12/$H$9*100</f>
        <v>5.9170128222121452</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c r="AQ12" s="1584">
        <f>SUM(AT12:AU12)</f>
        <v>3536368.9730270496</v>
      </c>
      <c r="AR12" s="1767">
        <f t="shared" ref="AR12:AR35" si="4">AQ12/$AQ$9*100</f>
        <v>5.3425581370452333</v>
      </c>
      <c r="AS12" s="1777">
        <f>((M12/H12)*(R12/M12)*W12/R12)/(1^3)-1</f>
        <v>4.3891642616649573E-2</v>
      </c>
      <c r="AT12" s="41">
        <f>+Z12+U12+P12</f>
        <v>1785872.8408417096</v>
      </c>
      <c r="AU12" s="41">
        <f>+AA12+V12+Q12</f>
        <v>1750496.1321853397</v>
      </c>
    </row>
    <row r="13" spans="1:47">
      <c r="A13" s="1764" t="s">
        <v>101</v>
      </c>
      <c r="B13" s="1784" t="s">
        <v>144</v>
      </c>
      <c r="C13" s="1765">
        <f>SUM(F13:G13)</f>
        <v>1770000</v>
      </c>
      <c r="D13" s="196">
        <f t="shared" ref="D13:D34" si="5">SUM(F13:G13)</f>
        <v>1770000</v>
      </c>
      <c r="E13" s="1766">
        <f t="shared" si="2"/>
        <v>9.298434152861013</v>
      </c>
      <c r="F13" s="1765">
        <f>'Phụ lục số I'!H42</f>
        <v>627000</v>
      </c>
      <c r="G13" s="1765">
        <f>'Phụ lục số I'!I42</f>
        <v>1143000</v>
      </c>
      <c r="H13" s="196">
        <f t="shared" ref="H13:H16" si="6">SUM(K13:L13)</f>
        <v>1770000</v>
      </c>
      <c r="I13" s="1767">
        <f t="shared" si="3"/>
        <v>9.1613341561266513</v>
      </c>
      <c r="J13" s="1768">
        <f>H13/D13</f>
        <v>1</v>
      </c>
      <c r="K13" s="196">
        <f>+'Phụ lục số I'!O42</f>
        <v>627000</v>
      </c>
      <c r="L13" s="196">
        <f>+'Phụ lục số I'!P42</f>
        <v>1143000</v>
      </c>
      <c r="M13" s="1769">
        <f t="shared" ref="M13:M16" si="7">SUM(P13:Q13)</f>
        <v>1660000</v>
      </c>
      <c r="N13" s="1767">
        <f t="shared" ref="N13:N36" si="8">M13/$M$9*100</f>
        <v>7.5766580356313158</v>
      </c>
      <c r="O13" s="1770">
        <f t="shared" si="1"/>
        <v>0.93785310734463279</v>
      </c>
      <c r="P13" s="1769">
        <f>'Phụ lục số I'!U42-P61</f>
        <v>400000</v>
      </c>
      <c r="Q13" s="1769">
        <f>'Phụ lục số I'!V42</f>
        <v>1260000</v>
      </c>
      <c r="R13" s="1584">
        <f t="shared" ref="R13:R16" si="9">SUM(U13:V13)</f>
        <v>1570000</v>
      </c>
      <c r="S13" s="1771">
        <f t="shared" ref="S13:S15" si="10">R13/$R$9*100</f>
        <v>7.117122794981408</v>
      </c>
      <c r="T13" s="1772">
        <f>R13/M13</f>
        <v>0.94578313253012047</v>
      </c>
      <c r="U13" s="1584">
        <f>'Phụ lục số I'!AA42-U61</f>
        <v>400000</v>
      </c>
      <c r="V13" s="1584">
        <f>'Phụ lục số I'!AB42-V61</f>
        <v>1170000</v>
      </c>
      <c r="W13" s="1584">
        <f>SUM(Z13:AA13)</f>
        <v>1480000</v>
      </c>
      <c r="X13" s="1771">
        <f t="shared" ref="X13:X34" si="11">W13/$W$9*100</f>
        <v>6.6596001235404865</v>
      </c>
      <c r="Y13" s="1773">
        <f t="shared" ref="Y13:Y34" si="12">W13/R13</f>
        <v>0.9426751592356688</v>
      </c>
      <c r="Z13" s="1584">
        <f>'Phụ lục số I'!AG42-Z61</f>
        <v>400000</v>
      </c>
      <c r="AA13" s="1584">
        <f>'Phụ lục số I'!AH42</f>
        <v>1080000</v>
      </c>
      <c r="AB13" s="1584">
        <f t="shared" ref="AB13:AB16" si="13">SUM(AE13:AF13)</f>
        <v>1660000</v>
      </c>
      <c r="AC13" s="1771">
        <f t="shared" ref="AC13:AC34" si="14">AB13/$AB$9*100</f>
        <v>6.5687703732333498</v>
      </c>
      <c r="AD13" s="1774">
        <f t="shared" ref="AD13:AD34" si="15">AB13/W13</f>
        <v>1.1216216216216217</v>
      </c>
      <c r="AE13" s="1584">
        <f>'Phụ lục số I'!AM42-AE61</f>
        <v>400000</v>
      </c>
      <c r="AF13" s="1584">
        <f>'Phụ lục số I'!AN42</f>
        <v>1260000</v>
      </c>
      <c r="AG13" s="1584">
        <f t="shared" ref="AG13:AG16" si="16">SUM(AJ13:AK13)</f>
        <v>1800000</v>
      </c>
      <c r="AH13" s="1775">
        <f t="shared" ref="AH13:AH34" si="17">AG13/$AG$9*100</f>
        <v>6.6609601370161462</v>
      </c>
      <c r="AI13" s="1776">
        <f t="shared" ref="AI13:AI34" si="18">AG13/AB13</f>
        <v>1.0843373493975903</v>
      </c>
      <c r="AJ13" s="1584">
        <f>'Phụ lục số I'!AS42-AJ61</f>
        <v>450000</v>
      </c>
      <c r="AK13" s="1584">
        <f>'Phụ lục số I'!AT42-AK61</f>
        <v>1350000</v>
      </c>
      <c r="AL13" s="1584">
        <f t="shared" ref="AL13:AL16" si="19">SUM(AO13:AP13)</f>
        <v>1935000</v>
      </c>
      <c r="AM13" s="1771">
        <f t="shared" ref="AM13:AM34" si="20">AL13/$AL$9*100</f>
        <v>6.7501022897945049</v>
      </c>
      <c r="AN13" s="1776">
        <f t="shared" ref="AN13:AN34" si="21">AL13/AG13</f>
        <v>1.075</v>
      </c>
      <c r="AO13" s="1584">
        <f>'Phụ lục số I'!AY42-AO61</f>
        <v>450000</v>
      </c>
      <c r="AP13" s="1584">
        <f>'Phụ lục số I'!AZ42</f>
        <v>1485000</v>
      </c>
      <c r="AQ13" s="1584">
        <f>SUM(AT13:AU13)</f>
        <v>4710000</v>
      </c>
      <c r="AR13" s="1767">
        <f t="shared" si="4"/>
        <v>7.1156174645271033</v>
      </c>
      <c r="AS13" s="1777">
        <f t="shared" ref="AS13:AS35" si="22">((M13/H13)*(R13/M13)*W13/R13)/(1^3)-1</f>
        <v>-0.16384180790960456</v>
      </c>
      <c r="AT13" s="41">
        <f t="shared" ref="AT13:AT16" si="23">+Z13+U13+P13</f>
        <v>1200000</v>
      </c>
      <c r="AU13" s="41">
        <f t="shared" ref="AU13:AU16" si="24">+AA13+V13+Q13</f>
        <v>3510000</v>
      </c>
    </row>
    <row r="14" spans="1:47">
      <c r="A14" s="1764" t="s">
        <v>147</v>
      </c>
      <c r="B14" s="1784" t="s">
        <v>145</v>
      </c>
      <c r="C14" s="1765">
        <v>1850000</v>
      </c>
      <c r="D14" s="196">
        <f t="shared" si="5"/>
        <v>1950000</v>
      </c>
      <c r="E14" s="1766">
        <f t="shared" si="2"/>
        <v>10.24403762603332</v>
      </c>
      <c r="F14" s="1765">
        <f>'Phụ lục số I'!H50</f>
        <v>1950000</v>
      </c>
      <c r="G14" s="1765"/>
      <c r="H14" s="196">
        <f t="shared" si="6"/>
        <v>1950000</v>
      </c>
      <c r="I14" s="1767">
        <f t="shared" si="3"/>
        <v>10.092995256749701</v>
      </c>
      <c r="J14" s="1768">
        <f t="shared" si="0"/>
        <v>1</v>
      </c>
      <c r="K14" s="196">
        <f t="shared" ref="K14:L16" si="25">F14</f>
        <v>1950000</v>
      </c>
      <c r="L14" s="196">
        <f t="shared" si="25"/>
        <v>0</v>
      </c>
      <c r="M14" s="1769">
        <f t="shared" si="7"/>
        <v>1850000</v>
      </c>
      <c r="N14" s="1767">
        <f t="shared" si="8"/>
        <v>8.4438658830830935</v>
      </c>
      <c r="O14" s="1770">
        <f t="shared" si="1"/>
        <v>0.94871794871794868</v>
      </c>
      <c r="P14" s="1769">
        <f>'Phụ lục số I'!U50-P62</f>
        <v>1850000</v>
      </c>
      <c r="Q14" s="1769"/>
      <c r="R14" s="1584">
        <f t="shared" si="9"/>
        <v>1800000</v>
      </c>
      <c r="S14" s="1771">
        <f t="shared" si="10"/>
        <v>8.1597586184500202</v>
      </c>
      <c r="T14" s="1772">
        <f t="shared" ref="T14:T34" si="26">R14/M14</f>
        <v>0.97297297297297303</v>
      </c>
      <c r="U14" s="1584">
        <f>'Phụ lục số I'!AA50-U62</f>
        <v>1800000</v>
      </c>
      <c r="V14" s="1584"/>
      <c r="W14" s="1584">
        <f t="shared" ref="W14:W16" si="27">SUM(Z14:AA14)</f>
        <v>1800000</v>
      </c>
      <c r="X14" s="1771">
        <f t="shared" si="11"/>
        <v>8.0995136637654568</v>
      </c>
      <c r="Y14" s="1773">
        <f t="shared" si="12"/>
        <v>1</v>
      </c>
      <c r="Z14" s="1584">
        <f>'Phụ lục số I'!AG50-Z62</f>
        <v>1800000</v>
      </c>
      <c r="AA14" s="1584"/>
      <c r="AB14" s="1584">
        <f t="shared" si="13"/>
        <v>2000000</v>
      </c>
      <c r="AC14" s="1771">
        <f t="shared" si="14"/>
        <v>7.9141811725703004</v>
      </c>
      <c r="AD14" s="1774">
        <f t="shared" si="15"/>
        <v>1.1111111111111112</v>
      </c>
      <c r="AE14" s="1584">
        <f>'Phụ lục số I'!AM50-AE62</f>
        <v>2000000</v>
      </c>
      <c r="AF14" s="1584"/>
      <c r="AG14" s="1584">
        <f t="shared" si="16"/>
        <v>2100000</v>
      </c>
      <c r="AH14" s="1775">
        <f t="shared" si="17"/>
        <v>7.7711201598521713</v>
      </c>
      <c r="AI14" s="1776">
        <f t="shared" si="18"/>
        <v>1.05</v>
      </c>
      <c r="AJ14" s="1584">
        <f>'Phụ lục số I'!AS50-AJ62</f>
        <v>2100000</v>
      </c>
      <c r="AK14" s="1584">
        <f>'Phụ lục số I'!AT50</f>
        <v>0</v>
      </c>
      <c r="AL14" s="1584">
        <f t="shared" si="19"/>
        <v>2200000</v>
      </c>
      <c r="AM14" s="1771">
        <f t="shared" si="20"/>
        <v>7.6745349031255339</v>
      </c>
      <c r="AN14" s="1776">
        <f t="shared" si="21"/>
        <v>1.0476190476190477</v>
      </c>
      <c r="AO14" s="1584">
        <f>'Phụ lục số I'!AY50-AO62</f>
        <v>2200000</v>
      </c>
      <c r="AP14" s="1584"/>
      <c r="AQ14" s="1584">
        <f t="shared" ref="AQ14:AQ16" si="28">SUM(AT14:AU14)</f>
        <v>5450000</v>
      </c>
      <c r="AR14" s="1767">
        <f t="shared" si="4"/>
        <v>8.2335701022659684</v>
      </c>
      <c r="AS14" s="1777">
        <f t="shared" si="22"/>
        <v>-7.6923076923076761E-2</v>
      </c>
      <c r="AT14" s="41">
        <f t="shared" si="23"/>
        <v>5450000</v>
      </c>
      <c r="AU14" s="41">
        <f t="shared" si="24"/>
        <v>0</v>
      </c>
    </row>
    <row r="15" spans="1:47">
      <c r="A15" s="1764" t="s">
        <v>148</v>
      </c>
      <c r="B15" s="196" t="s">
        <v>146</v>
      </c>
      <c r="C15" s="1765">
        <v>0</v>
      </c>
      <c r="D15" s="196">
        <f t="shared" si="5"/>
        <v>408054.16200000001</v>
      </c>
      <c r="E15" s="1766">
        <f t="shared" si="2"/>
        <v>2.143652404608972</v>
      </c>
      <c r="F15" s="1765">
        <f>'Phụ lục số I'!H48</f>
        <v>408054.16200000001</v>
      </c>
      <c r="G15" s="1765"/>
      <c r="H15" s="196">
        <f t="shared" si="6"/>
        <v>408054.16200000001</v>
      </c>
      <c r="I15" s="1767">
        <f t="shared" si="3"/>
        <v>2.1120454982374226</v>
      </c>
      <c r="J15" s="1768">
        <f t="shared" si="0"/>
        <v>1</v>
      </c>
      <c r="K15" s="196">
        <f t="shared" si="25"/>
        <v>408054.16200000001</v>
      </c>
      <c r="L15" s="196">
        <f t="shared" si="25"/>
        <v>0</v>
      </c>
      <c r="M15" s="1769">
        <f t="shared" si="7"/>
        <v>0</v>
      </c>
      <c r="N15" s="1767">
        <f t="shared" si="8"/>
        <v>0</v>
      </c>
      <c r="O15" s="1770">
        <f t="shared" si="1"/>
        <v>0</v>
      </c>
      <c r="P15" s="1769"/>
      <c r="Q15" s="1769"/>
      <c r="R15" s="1584">
        <f t="shared" si="9"/>
        <v>0</v>
      </c>
      <c r="S15" s="1771">
        <f t="shared" si="10"/>
        <v>0</v>
      </c>
      <c r="T15" s="1772" t="e">
        <f t="shared" si="26"/>
        <v>#DIV/0!</v>
      </c>
      <c r="U15" s="1584"/>
      <c r="V15" s="1584"/>
      <c r="W15" s="1584">
        <f t="shared" si="27"/>
        <v>0</v>
      </c>
      <c r="X15" s="1771">
        <f t="shared" si="11"/>
        <v>0</v>
      </c>
      <c r="Y15" s="1773" t="e">
        <f t="shared" si="12"/>
        <v>#DIV/0!</v>
      </c>
      <c r="Z15" s="1584"/>
      <c r="AA15" s="1584"/>
      <c r="AB15" s="1584">
        <f t="shared" si="13"/>
        <v>0</v>
      </c>
      <c r="AC15" s="1771">
        <f t="shared" si="14"/>
        <v>0</v>
      </c>
      <c r="AD15" s="1774" t="e">
        <f t="shared" si="15"/>
        <v>#DIV/0!</v>
      </c>
      <c r="AE15" s="1584"/>
      <c r="AF15" s="1584"/>
      <c r="AG15" s="1584">
        <f t="shared" si="16"/>
        <v>0</v>
      </c>
      <c r="AH15" s="1775">
        <f t="shared" si="17"/>
        <v>0</v>
      </c>
      <c r="AI15" s="1776" t="e">
        <f t="shared" si="18"/>
        <v>#DIV/0!</v>
      </c>
      <c r="AJ15" s="1584"/>
      <c r="AK15" s="1584"/>
      <c r="AL15" s="1584">
        <f t="shared" si="19"/>
        <v>0</v>
      </c>
      <c r="AM15" s="1771">
        <f t="shared" si="20"/>
        <v>0</v>
      </c>
      <c r="AN15" s="1776" t="e">
        <f t="shared" si="21"/>
        <v>#DIV/0!</v>
      </c>
      <c r="AO15" s="1584"/>
      <c r="AP15" s="1584"/>
      <c r="AQ15" s="1584">
        <f t="shared" si="28"/>
        <v>0</v>
      </c>
      <c r="AR15" s="1767">
        <f t="shared" si="4"/>
        <v>0</v>
      </c>
      <c r="AS15" s="1777" t="e">
        <f t="shared" si="22"/>
        <v>#DIV/0!</v>
      </c>
      <c r="AT15" s="41">
        <f t="shared" si="23"/>
        <v>0</v>
      </c>
      <c r="AU15" s="41">
        <f t="shared" si="24"/>
        <v>0</v>
      </c>
    </row>
    <row r="16" spans="1:47">
      <c r="A16" s="1778" t="s">
        <v>149</v>
      </c>
      <c r="B16" s="1784" t="s">
        <v>185</v>
      </c>
      <c r="C16" s="1765">
        <v>0</v>
      </c>
      <c r="D16" s="196">
        <f t="shared" si="5"/>
        <v>60000</v>
      </c>
      <c r="E16" s="1766">
        <f t="shared" si="2"/>
        <v>0.31520115772410212</v>
      </c>
      <c r="F16" s="1765">
        <v>60000</v>
      </c>
      <c r="G16" s="1765"/>
      <c r="H16" s="196">
        <f t="shared" si="6"/>
        <v>60000</v>
      </c>
      <c r="I16" s="1767">
        <f t="shared" si="3"/>
        <v>0.31055370020768314</v>
      </c>
      <c r="J16" s="1768">
        <f t="shared" si="0"/>
        <v>1</v>
      </c>
      <c r="K16" s="196">
        <f t="shared" si="25"/>
        <v>60000</v>
      </c>
      <c r="L16" s="196">
        <f t="shared" si="25"/>
        <v>0</v>
      </c>
      <c r="M16" s="1769">
        <f t="shared" si="7"/>
        <v>270000</v>
      </c>
      <c r="N16" s="1767">
        <f t="shared" si="8"/>
        <v>1.2323479937472621</v>
      </c>
      <c r="O16" s="1770">
        <f t="shared" si="1"/>
        <v>4.5</v>
      </c>
      <c r="P16" s="1769">
        <f>P59</f>
        <v>270000</v>
      </c>
      <c r="Q16" s="1769">
        <f>Q59</f>
        <v>0</v>
      </c>
      <c r="R16" s="1584">
        <f t="shared" si="9"/>
        <v>350000</v>
      </c>
      <c r="S16" s="1771">
        <f>R16/$R$9*100</f>
        <v>1.5866197313652817</v>
      </c>
      <c r="T16" s="1772">
        <f t="shared" si="26"/>
        <v>1.2962962962962963</v>
      </c>
      <c r="U16" s="1584">
        <f>U59+40000</f>
        <v>350000</v>
      </c>
      <c r="V16" s="1584"/>
      <c r="W16" s="1584">
        <f t="shared" si="27"/>
        <v>350000</v>
      </c>
      <c r="X16" s="1771">
        <f t="shared" si="11"/>
        <v>1.5749054346210611</v>
      </c>
      <c r="Y16" s="1773">
        <f t="shared" si="12"/>
        <v>1</v>
      </c>
      <c r="Z16" s="1584">
        <f>Z59</f>
        <v>350000</v>
      </c>
      <c r="AA16" s="1584"/>
      <c r="AB16" s="1584">
        <f t="shared" si="13"/>
        <v>1050000</v>
      </c>
      <c r="AC16" s="1771">
        <f t="shared" si="14"/>
        <v>4.1549451155994079</v>
      </c>
      <c r="AD16" s="1774">
        <f t="shared" si="15"/>
        <v>3</v>
      </c>
      <c r="AE16" s="1584">
        <f>AE59</f>
        <v>1050000</v>
      </c>
      <c r="AF16" s="1584"/>
      <c r="AG16" s="1584">
        <f t="shared" si="16"/>
        <v>1100000</v>
      </c>
      <c r="AH16" s="1775">
        <f t="shared" si="17"/>
        <v>4.0705867503987569</v>
      </c>
      <c r="AI16" s="1776">
        <f t="shared" si="18"/>
        <v>1.0476190476190477</v>
      </c>
      <c r="AJ16" s="1584">
        <f>AJ59</f>
        <v>1100000</v>
      </c>
      <c r="AK16" s="1584"/>
      <c r="AL16" s="1584">
        <f t="shared" si="19"/>
        <v>1200000</v>
      </c>
      <c r="AM16" s="1771">
        <f t="shared" si="20"/>
        <v>4.1861099471593821</v>
      </c>
      <c r="AN16" s="1776">
        <f t="shared" si="21"/>
        <v>1.0909090909090908</v>
      </c>
      <c r="AO16" s="1584">
        <f>AO59</f>
        <v>1200000</v>
      </c>
      <c r="AP16" s="1584">
        <f>AP59</f>
        <v>0</v>
      </c>
      <c r="AQ16" s="1584">
        <f t="shared" si="28"/>
        <v>970000</v>
      </c>
      <c r="AR16" s="1767">
        <f t="shared" si="4"/>
        <v>1.4654244035225668</v>
      </c>
      <c r="AS16" s="1777">
        <f t="shared" si="22"/>
        <v>4.833333333333333</v>
      </c>
      <c r="AT16" s="41">
        <f t="shared" si="23"/>
        <v>970000</v>
      </c>
      <c r="AU16" s="41">
        <f t="shared" si="24"/>
        <v>0</v>
      </c>
    </row>
    <row r="17" spans="1:47"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11528685.210950801</v>
      </c>
      <c r="I17" s="1749">
        <f t="shared" si="3"/>
        <v>59.671264179839426</v>
      </c>
      <c r="J17" s="1750">
        <f t="shared" si="0"/>
        <v>1.0809853320160541</v>
      </c>
      <c r="K17" s="1570">
        <f>SUM(K18:K30)</f>
        <v>3521951.3289892771</v>
      </c>
      <c r="L17" s="1570">
        <f>SUM(L18:L30)</f>
        <v>8006733.8819615236</v>
      </c>
      <c r="M17" s="1570">
        <f>SUM(M18:M30)</f>
        <v>12923457.19126975</v>
      </c>
      <c r="N17" s="1749">
        <f t="shared" si="8"/>
        <v>58.98591311829594</v>
      </c>
      <c r="O17" s="1752">
        <f>M17/D17</f>
        <v>1.2117659045309159</v>
      </c>
      <c r="P17" s="1570">
        <f>SUM(P18:P30)</f>
        <v>4000399.9484000015</v>
      </c>
      <c r="Q17" s="1570">
        <f>SUM(Q18:Q30)</f>
        <v>8923057.2428697497</v>
      </c>
      <c r="R17" s="1570">
        <f>SUM(R18:R30)</f>
        <v>13129841.369368901</v>
      </c>
      <c r="S17" s="1753">
        <f>R17/$R$9*100</f>
        <v>59.520186818105294</v>
      </c>
      <c r="T17" s="1754">
        <f t="shared" si="26"/>
        <v>1.0159697343400163</v>
      </c>
      <c r="U17" s="1570">
        <f>SUM(U18:U30)</f>
        <v>4012127.1082761595</v>
      </c>
      <c r="V17" s="1570">
        <f>SUM(V18:V30)</f>
        <v>9117714.2610927429</v>
      </c>
      <c r="W17" s="1570">
        <f>SUM(W18:W30)</f>
        <v>13356293.919538178</v>
      </c>
      <c r="X17" s="1753">
        <f t="shared" si="11"/>
        <v>60.099713943648304</v>
      </c>
      <c r="Y17" s="1755">
        <f t="shared" si="12"/>
        <v>1.0172471657348106</v>
      </c>
      <c r="Z17" s="1570">
        <f>SUM(Z18:Z30)</f>
        <v>4111335.2444773396</v>
      </c>
      <c r="AA17" s="1570">
        <f>SUM(AA18:AA30)</f>
        <v>9244958.6750608347</v>
      </c>
      <c r="AB17" s="1570">
        <f>SUM(AB18:AB30)</f>
        <v>14069288.623793686</v>
      </c>
      <c r="AC17" s="1753">
        <f t="shared" si="14"/>
        <v>55.673449568942758</v>
      </c>
      <c r="AD17" s="1756">
        <f t="shared" si="15"/>
        <v>1.0533826755049549</v>
      </c>
      <c r="AE17" s="1570">
        <f>SUM(AE18:AE30)</f>
        <v>4276946.5038457075</v>
      </c>
      <c r="AF17" s="1570">
        <f>SUM(AF18:AF30)</f>
        <v>9792342.1199479736</v>
      </c>
      <c r="AG17" s="1570">
        <f>SUM(AG18:AG30)</f>
        <v>14880445.409413649</v>
      </c>
      <c r="AH17" s="1763">
        <f t="shared" si="17"/>
        <v>55.065585385082905</v>
      </c>
      <c r="AI17" s="1757">
        <f t="shared" si="18"/>
        <v>1.0576544278328437</v>
      </c>
      <c r="AJ17" s="1570">
        <f>SUM(AJ18:AJ30)</f>
        <v>4549829.9632125609</v>
      </c>
      <c r="AK17" s="1570">
        <f>SUM(AK18:AK30)</f>
        <v>10330615.446201088</v>
      </c>
      <c r="AL17" s="1570">
        <f>SUM(AL18:AL30)</f>
        <v>15572571.362742566</v>
      </c>
      <c r="AM17" s="1753">
        <f t="shared" si="20"/>
        <v>54.323746570354992</v>
      </c>
      <c r="AN17" s="1757">
        <f t="shared" si="21"/>
        <v>1.0465124486724748</v>
      </c>
      <c r="AO17" s="1570">
        <f>SUM(AO18:AO30)</f>
        <v>4809085.4488718687</v>
      </c>
      <c r="AP17" s="1570">
        <f>SUM(AP18:AP30)</f>
        <v>10763485.913870698</v>
      </c>
      <c r="AQ17" s="1570">
        <f>SUM(AQ18:AQ30)</f>
        <v>39409592.480176821</v>
      </c>
      <c r="AR17" s="1749">
        <f t="shared" si="4"/>
        <v>59.537916034361395</v>
      </c>
      <c r="AS17" s="1758">
        <f t="shared" si="22"/>
        <v>0.15852707183394843</v>
      </c>
      <c r="AT17" s="1570">
        <f>SUM(AT18:AT30)</f>
        <v>12123862.3011535</v>
      </c>
      <c r="AU17" s="1570">
        <f>SUM(AU18:AU30)</f>
        <v>27285730.179023325</v>
      </c>
    </row>
    <row r="18" spans="1:47">
      <c r="A18" s="1810" t="s">
        <v>99</v>
      </c>
      <c r="B18" s="1811" t="s">
        <v>152</v>
      </c>
      <c r="C18" s="1584">
        <v>4650946</v>
      </c>
      <c r="D18" s="196">
        <f t="shared" si="5"/>
        <v>4797945.7831797441</v>
      </c>
      <c r="E18" s="1766">
        <f t="shared" si="2"/>
        <v>25.205301092595491</v>
      </c>
      <c r="F18" s="1584">
        <f>956676</f>
        <v>956676</v>
      </c>
      <c r="G18" s="1584">
        <v>3841269.7831797441</v>
      </c>
      <c r="H18" s="1584">
        <f t="shared" ref="H18:H31" si="29">SUM(K18:L18)</f>
        <v>5395798.649100964</v>
      </c>
      <c r="I18" s="1767">
        <f t="shared" si="3"/>
        <v>27.92808726756537</v>
      </c>
      <c r="J18" s="1768">
        <f t="shared" si="0"/>
        <v>1.1246060070159869</v>
      </c>
      <c r="K18" s="41">
        <f>(F18*K50)+99552</f>
        <v>1052842.94860096</v>
      </c>
      <c r="L18" s="41">
        <f>(G18*L50)+621647</f>
        <v>4342955.700500004</v>
      </c>
      <c r="M18" s="1584">
        <f t="shared" ref="M18:M31" si="30">SUM(P18:Q18)</f>
        <v>6069834.0480443519</v>
      </c>
      <c r="N18" s="1767">
        <f t="shared" si="8"/>
        <v>27.704251153652887</v>
      </c>
      <c r="O18" s="1770">
        <f>M18/D18</f>
        <v>1.265090170323202</v>
      </c>
      <c r="P18" s="1769">
        <f>+'Phụ lục số II'!P18</f>
        <v>1200270.35836</v>
      </c>
      <c r="Q18" s="1769">
        <f>+'Phụ lục số II'!Q18</f>
        <v>4869563.6896843519</v>
      </c>
      <c r="R18" s="1584">
        <f t="shared" ref="R18:R31" si="31">SUM(U18:V18)</f>
        <v>6125305.9847530071</v>
      </c>
      <c r="S18" s="1771">
        <f>R18/$R$9*100</f>
        <v>27.767232388739917</v>
      </c>
      <c r="T18" s="1772">
        <f t="shared" si="26"/>
        <v>1.0091389544210896</v>
      </c>
      <c r="U18" s="1584">
        <f>+'Phụ lục số II'!U18</f>
        <v>1203151.0072200638</v>
      </c>
      <c r="V18" s="1584">
        <f>+'Phụ lục số II'!V18</f>
        <v>4922154.9775329428</v>
      </c>
      <c r="W18" s="1584">
        <f t="shared" ref="W18:W31" si="32">SUM(Z18:AA18)</f>
        <v>6216594.5722299647</v>
      </c>
      <c r="X18" s="1771">
        <f t="shared" si="11"/>
        <v>27.972995933259316</v>
      </c>
      <c r="Y18" s="1773">
        <f t="shared" si="12"/>
        <v>1.0149035146495851</v>
      </c>
      <c r="Z18" s="1765">
        <f>+'Phụ lục số II'!Z18</f>
        <v>1230943.7954868474</v>
      </c>
      <c r="AA18" s="1765">
        <f>+'Phụ lục số II'!AA18</f>
        <v>4985650.7767431177</v>
      </c>
      <c r="AB18" s="1584">
        <f t="shared" ref="AB18:AB31" si="33">SUM(AE18:AF18)</f>
        <v>6570586.3004330387</v>
      </c>
      <c r="AC18" s="1771">
        <f t="shared" si="14"/>
        <v>26.000405195817748</v>
      </c>
      <c r="AD18" s="1774">
        <f t="shared" si="15"/>
        <v>1.0569430295140019</v>
      </c>
      <c r="AE18" s="1584">
        <f>Z18*$AE$50+20000</f>
        <v>1287055.1005877338</v>
      </c>
      <c r="AF18" s="1584">
        <f>$AF$50*AA18+7000</f>
        <v>5283531.1998453047</v>
      </c>
      <c r="AG18" s="1584">
        <f t="shared" ref="AG18:AG31" si="34">SUM(AJ18:AK18)</f>
        <v>6902275.782411241</v>
      </c>
      <c r="AH18" s="1775">
        <f t="shared" si="17"/>
        <v>25.542102134074007</v>
      </c>
      <c r="AI18" s="1776">
        <f t="shared" si="18"/>
        <v>1.0504809566166633</v>
      </c>
      <c r="AJ18" s="1584">
        <f>AE18*$AJ$50+30000</f>
        <v>1363062.0908544287</v>
      </c>
      <c r="AK18" s="1584">
        <f>AF18*$AK$50+30000</f>
        <v>5539213.6915568123</v>
      </c>
      <c r="AL18" s="1584">
        <f t="shared" ref="AL18:AL31" si="35">SUM(AO18:AP18)</f>
        <v>7160349.935425234</v>
      </c>
      <c r="AM18" s="1771">
        <f t="shared" si="20"/>
        <v>24.97834340818801</v>
      </c>
      <c r="AN18" s="1776">
        <f t="shared" si="21"/>
        <v>1.0373897191519978</v>
      </c>
      <c r="AO18" s="1584">
        <f>AJ18*$AO$50+20000</f>
        <v>1417291.3527023599</v>
      </c>
      <c r="AP18" s="1584">
        <f>AK18*$AP$50+20000-(0.4)</f>
        <v>5743058.5827228744</v>
      </c>
      <c r="AQ18" s="1584">
        <f t="shared" ref="AQ18:AQ31" si="36">SUM(AT18:AU18)</f>
        <v>18411734.605027322</v>
      </c>
      <c r="AR18" s="1767">
        <f t="shared" si="4"/>
        <v>27.815469279781407</v>
      </c>
      <c r="AS18" s="1777">
        <f t="shared" si="22"/>
        <v>0.15211759676498704</v>
      </c>
      <c r="AT18" s="41">
        <f>+Z18+U18+P18</f>
        <v>3634365.1610669112</v>
      </c>
      <c r="AU18" s="1584">
        <f>+AA18+V18+Q18</f>
        <v>14777369.443960411</v>
      </c>
    </row>
    <row r="19" spans="1:47">
      <c r="A19" s="1810" t="s">
        <v>101</v>
      </c>
      <c r="B19" s="1811" t="s">
        <v>153</v>
      </c>
      <c r="C19" s="1584">
        <v>29314</v>
      </c>
      <c r="D19" s="196">
        <f t="shared" si="5"/>
        <v>31218</v>
      </c>
      <c r="E19" s="1766">
        <f t="shared" si="2"/>
        <v>0.16399916236385034</v>
      </c>
      <c r="F19" s="1584">
        <v>31218</v>
      </c>
      <c r="G19" s="1584"/>
      <c r="H19" s="1584">
        <f t="shared" si="29"/>
        <v>31107.539891692453</v>
      </c>
      <c r="I19" s="1767">
        <f t="shared" si="3"/>
        <v>0.16100936029538668</v>
      </c>
      <c r="J19" s="1768">
        <f t="shared" si="0"/>
        <v>0.99646165326710401</v>
      </c>
      <c r="K19" s="41">
        <f>F19*K50</f>
        <v>31107.539891692453</v>
      </c>
      <c r="L19" s="41">
        <f t="shared" ref="L19:L22" si="37">G19</f>
        <v>0</v>
      </c>
      <c r="M19" s="1584">
        <f t="shared" si="30"/>
        <v>33297.115980000002</v>
      </c>
      <c r="N19" s="1767">
        <f t="shared" si="8"/>
        <v>0.15197642250193669</v>
      </c>
      <c r="O19" s="1770">
        <f t="shared" si="1"/>
        <v>1.0665999096674996</v>
      </c>
      <c r="P19" s="1769">
        <f>+'Phụ lục số II'!P19</f>
        <v>33297.115980000002</v>
      </c>
      <c r="Q19" s="1769">
        <f>+'Phụ lục số II'!Q19</f>
        <v>0</v>
      </c>
      <c r="R19" s="1584">
        <f t="shared" si="31"/>
        <v>33377.029058352004</v>
      </c>
      <c r="S19" s="1771">
        <f t="shared" ref="S19:S34" si="38">R19/$R$9*100</f>
        <v>0.15130472250952476</v>
      </c>
      <c r="T19" s="1772">
        <f t="shared" si="26"/>
        <v>1.0024</v>
      </c>
      <c r="U19" s="1584">
        <f>+'Phụ lục số II'!U19</f>
        <v>33377.029058352004</v>
      </c>
      <c r="V19" s="1584">
        <f>+'Phụ lục số II'!V19</f>
        <v>0</v>
      </c>
      <c r="W19" s="1584">
        <f t="shared" si="32"/>
        <v>34148.038429599939</v>
      </c>
      <c r="X19" s="1771">
        <f t="shared" si="11"/>
        <v>0.15365694658407367</v>
      </c>
      <c r="Y19" s="1773">
        <f t="shared" si="12"/>
        <v>1.0231000000000001</v>
      </c>
      <c r="Z19" s="1765">
        <f>+'Phụ lục số II'!Z19</f>
        <v>34148.038429599939</v>
      </c>
      <c r="AA19" s="1765">
        <f>+'Phụ lục số II'!AA19</f>
        <v>0</v>
      </c>
      <c r="AB19" s="1584">
        <f t="shared" si="33"/>
        <v>35149.814659228985</v>
      </c>
      <c r="AC19" s="1771">
        <f t="shared" si="14"/>
        <v>0.1390910006977028</v>
      </c>
      <c r="AD19" s="1774">
        <f t="shared" si="15"/>
        <v>1.0293362745182075</v>
      </c>
      <c r="AE19" s="1584">
        <f t="shared" ref="AE19:AE30" si="39">Z19*$AE$50</f>
        <v>35149.814659228985</v>
      </c>
      <c r="AF19" s="1584">
        <f t="shared" ref="AF19:AF30" si="40">$AF$50*AA19</f>
        <v>0</v>
      </c>
      <c r="AG19" s="1584">
        <f t="shared" si="34"/>
        <v>36406.277712104355</v>
      </c>
      <c r="AH19" s="1775">
        <f t="shared" si="17"/>
        <v>0.1347226469874814</v>
      </c>
      <c r="AI19" s="1776">
        <f t="shared" si="18"/>
        <v>1.0357459367867667</v>
      </c>
      <c r="AJ19" s="1584">
        <f t="shared" ref="AJ19:AJ30" si="41">AE19*$AJ$50</f>
        <v>36406.277712104355</v>
      </c>
      <c r="AK19" s="1584">
        <f t="shared" ref="AK19:AK30" si="42">AF19*$AK$50</f>
        <v>0</v>
      </c>
      <c r="AL19" s="1584">
        <f t="shared" si="35"/>
        <v>37320.513403256889</v>
      </c>
      <c r="AM19" s="1771">
        <f t="shared" si="20"/>
        <v>0.13018981032539059</v>
      </c>
      <c r="AN19" s="1776">
        <f t="shared" si="21"/>
        <v>1.0251120342041606</v>
      </c>
      <c r="AO19" s="1584">
        <f t="shared" ref="AO19:AO30" si="43">AJ19*$AO$50</f>
        <v>37320.513403256889</v>
      </c>
      <c r="AP19" s="1584">
        <f t="shared" ref="AP19:AP30" si="44">AK19*$AP$50</f>
        <v>0</v>
      </c>
      <c r="AQ19" s="1584">
        <f t="shared" si="36"/>
        <v>100822.18346795195</v>
      </c>
      <c r="AR19" s="1767">
        <f t="shared" si="4"/>
        <v>0.15231679182511987</v>
      </c>
      <c r="AS19" s="1777">
        <f t="shared" si="22"/>
        <v>9.7741529818610839E-2</v>
      </c>
      <c r="AT19" s="41">
        <f t="shared" ref="AT19:AT23" si="45">+Z19+U19+P19</f>
        <v>100822.18346795195</v>
      </c>
      <c r="AU19" s="41">
        <f t="shared" ref="AU19:AU23" si="46">+AA19+V19+Q19</f>
        <v>0</v>
      </c>
    </row>
    <row r="20" spans="1:47">
      <c r="A20" s="1810" t="s">
        <v>147</v>
      </c>
      <c r="B20" s="1811" t="s">
        <v>154</v>
      </c>
      <c r="C20" s="1584"/>
      <c r="D20" s="196">
        <f t="shared" si="5"/>
        <v>217777</v>
      </c>
      <c r="E20" s="1766">
        <f t="shared" si="2"/>
        <v>1.1440593754280299</v>
      </c>
      <c r="F20" s="1584">
        <f>148327-F21</f>
        <v>97327</v>
      </c>
      <c r="G20" s="1584">
        <f>219000-G21</f>
        <v>120450</v>
      </c>
      <c r="H20" s="1584">
        <f t="shared" si="29"/>
        <v>213671.02541215951</v>
      </c>
      <c r="I20" s="1767">
        <f t="shared" si="3"/>
        <v>1.1059387928152671</v>
      </c>
      <c r="J20" s="1768">
        <f t="shared" si="0"/>
        <v>0.98114596772000484</v>
      </c>
      <c r="K20" s="41">
        <f>F20*K50</f>
        <v>96982.623327527428</v>
      </c>
      <c r="L20" s="41">
        <f>G20*L50</f>
        <v>116688.40208463209</v>
      </c>
      <c r="M20" s="1584">
        <f t="shared" si="30"/>
        <v>218943.22897</v>
      </c>
      <c r="N20" s="1767">
        <f t="shared" si="8"/>
        <v>0.99931203320639606</v>
      </c>
      <c r="O20" s="1770">
        <f>M20/D20</f>
        <v>1.0053551521510535</v>
      </c>
      <c r="P20" s="1769">
        <f>+'Phụ lục số II'!P20</f>
        <v>102106.72897</v>
      </c>
      <c r="Q20" s="1769">
        <f>+'Phụ lục số II'!Q20</f>
        <v>116836.5</v>
      </c>
      <c r="R20" s="1584">
        <f t="shared" si="31"/>
        <v>220450.11931952799</v>
      </c>
      <c r="S20" s="1771">
        <f t="shared" si="38"/>
        <v>0.99934431169769677</v>
      </c>
      <c r="T20" s="1772">
        <f t="shared" si="26"/>
        <v>1.0068825620075901</v>
      </c>
      <c r="U20" s="1584">
        <f>+'Phụ lục số II'!U20</f>
        <v>102351.78511952799</v>
      </c>
      <c r="V20" s="1584">
        <f>+'Phụ lục số II'!V20</f>
        <v>118098.3342</v>
      </c>
      <c r="W20" s="1584">
        <f t="shared" si="32"/>
        <v>224337.9140669691</v>
      </c>
      <c r="X20" s="1771">
        <f t="shared" si="11"/>
        <v>1.0094600001589205</v>
      </c>
      <c r="Y20" s="1773">
        <f t="shared" si="12"/>
        <v>1.0176357116949708</v>
      </c>
      <c r="Z20" s="1765">
        <f>+'Phụ lục số II'!Z20</f>
        <v>104716.11135578911</v>
      </c>
      <c r="AA20" s="1765">
        <f>+'Phụ lục số II'!AA20</f>
        <v>119621.80271117999</v>
      </c>
      <c r="AB20" s="1584">
        <f t="shared" si="33"/>
        <v>234389.05187015823</v>
      </c>
      <c r="AC20" s="1771">
        <f t="shared" si="14"/>
        <v>0.92749871068370493</v>
      </c>
      <c r="AD20" s="1774">
        <f t="shared" si="15"/>
        <v>1.0448035627191785</v>
      </c>
      <c r="AE20" s="1584">
        <f t="shared" si="39"/>
        <v>107788.09194500172</v>
      </c>
      <c r="AF20" s="1584">
        <f t="shared" si="40"/>
        <v>126600.95992515651</v>
      </c>
      <c r="AG20" s="1584">
        <f t="shared" si="34"/>
        <v>243649.71328731076</v>
      </c>
      <c r="AH20" s="1775">
        <f t="shared" si="17"/>
        <v>0.90163390422343914</v>
      </c>
      <c r="AI20" s="1776">
        <f t="shared" si="18"/>
        <v>1.0395097865845822</v>
      </c>
      <c r="AJ20" s="1584">
        <f t="shared" si="41"/>
        <v>111641.07826603396</v>
      </c>
      <c r="AK20" s="1584">
        <f t="shared" si="42"/>
        <v>132008.6350212768</v>
      </c>
      <c r="AL20" s="1584">
        <f t="shared" si="35"/>
        <v>250834.58559341979</v>
      </c>
      <c r="AM20" s="1771">
        <f t="shared" si="20"/>
        <v>0.87501762820351336</v>
      </c>
      <c r="AN20" s="1776">
        <f t="shared" si="21"/>
        <v>1.0294885317498266</v>
      </c>
      <c r="AO20" s="1584">
        <f t="shared" si="43"/>
        <v>114444.61284203998</v>
      </c>
      <c r="AP20" s="1584">
        <f t="shared" si="44"/>
        <v>136389.97275137983</v>
      </c>
      <c r="AQ20" s="1584">
        <f t="shared" si="36"/>
        <v>663731.26235649711</v>
      </c>
      <c r="AR20" s="1767">
        <f t="shared" si="4"/>
        <v>1.0027298858124229</v>
      </c>
      <c r="AS20" s="1777">
        <f t="shared" si="22"/>
        <v>4.992201742952207E-2</v>
      </c>
      <c r="AT20" s="41">
        <f t="shared" si="45"/>
        <v>309174.62544531713</v>
      </c>
      <c r="AU20" s="41">
        <f t="shared" si="46"/>
        <v>354556.63691117999</v>
      </c>
    </row>
    <row r="21" spans="1:47">
      <c r="A21" s="1810" t="s">
        <v>148</v>
      </c>
      <c r="B21" s="1811" t="s">
        <v>155</v>
      </c>
      <c r="C21" s="1584"/>
      <c r="D21" s="196">
        <f t="shared" si="5"/>
        <v>149550</v>
      </c>
      <c r="E21" s="1766">
        <f t="shared" si="2"/>
        <v>0.78563888562732453</v>
      </c>
      <c r="F21" s="1584">
        <v>51000</v>
      </c>
      <c r="G21" s="1584">
        <v>98550</v>
      </c>
      <c r="H21" s="1584">
        <f t="shared" si="29"/>
        <v>146291.87329495765</v>
      </c>
      <c r="I21" s="1767">
        <f t="shared" si="3"/>
        <v>0.75719137603437736</v>
      </c>
      <c r="J21" s="1768">
        <f t="shared" si="0"/>
        <v>0.97821379668978703</v>
      </c>
      <c r="K21" s="41">
        <f>F21*K50</f>
        <v>50819.544316622305</v>
      </c>
      <c r="L21" s="41">
        <f>G21*L50</f>
        <v>95472.328978335354</v>
      </c>
      <c r="M21" s="1584">
        <f t="shared" si="30"/>
        <v>149098.10999999999</v>
      </c>
      <c r="N21" s="1767">
        <f t="shared" si="8"/>
        <v>0.68052132122225406</v>
      </c>
      <c r="O21" s="1770">
        <f t="shared" si="1"/>
        <v>0.99697833500501498</v>
      </c>
      <c r="P21" s="1769">
        <f>+'Phụ lục số II'!P21</f>
        <v>53504.61</v>
      </c>
      <c r="Q21" s="1769">
        <f>+'Phụ lục số II'!Q21</f>
        <v>95593.5</v>
      </c>
      <c r="R21" s="1584">
        <f t="shared" si="31"/>
        <v>150258.93086399999</v>
      </c>
      <c r="S21" s="1771">
        <f t="shared" si="38"/>
        <v>0.68115367006478322</v>
      </c>
      <c r="T21" s="1772">
        <f t="shared" si="26"/>
        <v>1.0077856175641664</v>
      </c>
      <c r="U21" s="1584">
        <f>+'Phụ lục số II'!U21</f>
        <v>53633.021064</v>
      </c>
      <c r="V21" s="1584">
        <f>+'Phụ lục số II'!V21</f>
        <v>96625.909799999994</v>
      </c>
      <c r="W21" s="1584">
        <f t="shared" si="32"/>
        <v>152744.32788699839</v>
      </c>
      <c r="X21" s="1771">
        <f t="shared" si="11"/>
        <v>0.68730820599078579</v>
      </c>
      <c r="Y21" s="1773">
        <f t="shared" si="12"/>
        <v>1.0165407607302086</v>
      </c>
      <c r="Z21" s="1765">
        <f>+'Phụ lục số II'!Z21</f>
        <v>54871.943850578406</v>
      </c>
      <c r="AA21" s="1765">
        <f>+'Phụ lục số II'!AA21</f>
        <v>97872.384036419986</v>
      </c>
      <c r="AB21" s="1584">
        <f t="shared" si="33"/>
        <v>160064.28583385469</v>
      </c>
      <c r="AC21" s="1771">
        <f t="shared" si="14"/>
        <v>0.63338887867360194</v>
      </c>
      <c r="AD21" s="1774">
        <f t="shared" si="15"/>
        <v>1.0479229444923917</v>
      </c>
      <c r="AE21" s="1584">
        <f t="shared" si="39"/>
        <v>56481.682258726643</v>
      </c>
      <c r="AF21" s="1584">
        <f t="shared" si="40"/>
        <v>103582.60357512806</v>
      </c>
      <c r="AG21" s="1584">
        <f t="shared" si="34"/>
        <v>166507.73791976564</v>
      </c>
      <c r="AH21" s="1775">
        <f t="shared" si="17"/>
        <v>0.61616744710460591</v>
      </c>
      <c r="AI21" s="1776">
        <f t="shared" si="18"/>
        <v>1.0402554014616301</v>
      </c>
      <c r="AJ21" s="1584">
        <f t="shared" si="41"/>
        <v>58500.672902357328</v>
      </c>
      <c r="AK21" s="1584">
        <f t="shared" si="42"/>
        <v>108007.0650174083</v>
      </c>
      <c r="AL21" s="1584">
        <f t="shared" si="35"/>
        <v>171561.53968874033</v>
      </c>
      <c r="AM21" s="1771">
        <f t="shared" si="20"/>
        <v>0.59847955653417917</v>
      </c>
      <c r="AN21" s="1776">
        <f t="shared" si="21"/>
        <v>1.030351753210472</v>
      </c>
      <c r="AO21" s="1584">
        <f t="shared" si="43"/>
        <v>59969.743801247736</v>
      </c>
      <c r="AP21" s="1584">
        <f t="shared" si="44"/>
        <v>111591.79588749258</v>
      </c>
      <c r="AQ21" s="1584">
        <f t="shared" si="36"/>
        <v>452101.3687509984</v>
      </c>
      <c r="AR21" s="1767">
        <f t="shared" si="4"/>
        <v>0.68301069962233796</v>
      </c>
      <c r="AS21" s="1777">
        <f t="shared" si="22"/>
        <v>4.4106719305119224E-2</v>
      </c>
      <c r="AT21" s="41">
        <f t="shared" si="45"/>
        <v>162009.57491457841</v>
      </c>
      <c r="AU21" s="41">
        <f t="shared" si="46"/>
        <v>290091.79383641999</v>
      </c>
    </row>
    <row r="22" spans="1:47">
      <c r="A22" s="1810" t="s">
        <v>149</v>
      </c>
      <c r="B22" s="1811" t="s">
        <v>156</v>
      </c>
      <c r="C22" s="1584"/>
      <c r="D22" s="196">
        <f t="shared" si="5"/>
        <v>828538</v>
      </c>
      <c r="E22" s="1766">
        <f t="shared" si="2"/>
        <v>4.3526022803068685</v>
      </c>
      <c r="F22" s="1584">
        <v>828538</v>
      </c>
      <c r="G22" s="1584"/>
      <c r="H22" s="1584">
        <f t="shared" si="29"/>
        <v>918904.34527461987</v>
      </c>
      <c r="I22" s="1767">
        <f t="shared" si="3"/>
        <v>4.7561524093658614</v>
      </c>
      <c r="J22" s="1768">
        <f t="shared" si="0"/>
        <v>1.1090672308024736</v>
      </c>
      <c r="K22" s="41">
        <f>(F22*K50)+93298</f>
        <v>918904.34527461987</v>
      </c>
      <c r="L22" s="41">
        <f t="shared" si="37"/>
        <v>0</v>
      </c>
      <c r="M22" s="1584">
        <f t="shared" si="30"/>
        <v>1055349.5011800001</v>
      </c>
      <c r="N22" s="1767">
        <f t="shared" si="8"/>
        <v>4.8168808906716558</v>
      </c>
      <c r="O22" s="1770">
        <f t="shared" si="1"/>
        <v>1.2737490630242669</v>
      </c>
      <c r="P22" s="1769">
        <f>+'Phụ lục số II'!P22</f>
        <v>1055349.5011800001</v>
      </c>
      <c r="Q22" s="1769">
        <f>+'Phụ lục số II'!Q22</f>
        <v>0</v>
      </c>
      <c r="R22" s="1584">
        <f t="shared" si="31"/>
        <v>1057882.3399828321</v>
      </c>
      <c r="S22" s="1771">
        <f t="shared" si="38"/>
        <v>4.7955914116561056</v>
      </c>
      <c r="T22" s="1772">
        <f t="shared" si="26"/>
        <v>1.0024</v>
      </c>
      <c r="U22" s="1584">
        <f>+'Phụ lục số II'!U22</f>
        <v>1057882.3399828321</v>
      </c>
      <c r="V22" s="1584">
        <f>+'Phụ lục số II'!V22</f>
        <v>0</v>
      </c>
      <c r="W22" s="1584">
        <f t="shared" si="32"/>
        <v>1082319.4220364357</v>
      </c>
      <c r="X22" s="1771">
        <f t="shared" si="11"/>
        <v>4.8701449707460238</v>
      </c>
      <c r="Y22" s="1773">
        <f t="shared" si="12"/>
        <v>1.0231000000000001</v>
      </c>
      <c r="Z22" s="1765">
        <f>+'Phụ lục số II'!Z22</f>
        <v>1082319.4220364357</v>
      </c>
      <c r="AA22" s="1765">
        <f>+'Phụ lục số II'!AA22</f>
        <v>0</v>
      </c>
      <c r="AB22" s="1584">
        <f t="shared" si="33"/>
        <v>1114070.6417176842</v>
      </c>
      <c r="AC22" s="1771">
        <f t="shared" si="14"/>
        <v>4.4084784487977053</v>
      </c>
      <c r="AD22" s="1774">
        <f t="shared" si="15"/>
        <v>1.0293362745182075</v>
      </c>
      <c r="AE22" s="1584">
        <f t="shared" si="39"/>
        <v>1114070.6417176842</v>
      </c>
      <c r="AF22" s="1584">
        <f t="shared" si="40"/>
        <v>0</v>
      </c>
      <c r="AG22" s="1584">
        <f t="shared" si="34"/>
        <v>1153894.1404525172</v>
      </c>
      <c r="AH22" s="1775">
        <f t="shared" si="17"/>
        <v>4.2700238177170711</v>
      </c>
      <c r="AI22" s="1776">
        <f t="shared" si="18"/>
        <v>1.0357459367867667</v>
      </c>
      <c r="AJ22" s="1584">
        <f t="shared" si="41"/>
        <v>1153894.1404525172</v>
      </c>
      <c r="AK22" s="1584">
        <f t="shared" si="42"/>
        <v>0</v>
      </c>
      <c r="AL22" s="1584">
        <f t="shared" si="35"/>
        <v>1182870.7695755414</v>
      </c>
      <c r="AM22" s="1771">
        <f t="shared" si="20"/>
        <v>4.1263559122702063</v>
      </c>
      <c r="AN22" s="1776">
        <f t="shared" si="21"/>
        <v>1.0251120342041606</v>
      </c>
      <c r="AO22" s="1584">
        <f t="shared" si="43"/>
        <v>1182870.7695755414</v>
      </c>
      <c r="AP22" s="1584">
        <f t="shared" si="44"/>
        <v>0</v>
      </c>
      <c r="AQ22" s="1584">
        <f t="shared" si="36"/>
        <v>3195551.2631992679</v>
      </c>
      <c r="AR22" s="1767">
        <f t="shared" si="4"/>
        <v>4.827668869896466</v>
      </c>
      <c r="AS22" s="1777">
        <f t="shared" si="22"/>
        <v>0.17783687453668362</v>
      </c>
      <c r="AT22" s="41">
        <f t="shared" si="45"/>
        <v>3195551.2631992679</v>
      </c>
      <c r="AU22" s="41">
        <f t="shared" si="46"/>
        <v>0</v>
      </c>
    </row>
    <row r="23" spans="1:47">
      <c r="A23" s="1810" t="s">
        <v>157</v>
      </c>
      <c r="B23" s="1811" t="s">
        <v>158</v>
      </c>
      <c r="C23" s="1584"/>
      <c r="D23" s="196">
        <f t="shared" si="5"/>
        <v>91888</v>
      </c>
      <c r="E23" s="1766">
        <f t="shared" si="2"/>
        <v>0.48272006634920495</v>
      </c>
      <c r="F23" s="1584">
        <v>47888</v>
      </c>
      <c r="G23" s="1584">
        <v>44000</v>
      </c>
      <c r="H23" s="1584">
        <f t="shared" si="29"/>
        <v>98061.455956543519</v>
      </c>
      <c r="I23" s="1767">
        <f t="shared" si="3"/>
        <v>0.50755579991762234</v>
      </c>
      <c r="J23" s="1768">
        <f t="shared" si="0"/>
        <v>1.0671845720501427</v>
      </c>
      <c r="K23" s="41">
        <f>(F23*K50)+3363</f>
        <v>51081.555651655079</v>
      </c>
      <c r="L23" s="41">
        <f>(G23*L50)+4354</f>
        <v>46979.900304888441</v>
      </c>
      <c r="M23" s="1584">
        <f t="shared" si="30"/>
        <v>107732.77968000001</v>
      </c>
      <c r="N23" s="1767">
        <f t="shared" si="8"/>
        <v>0.49171953666468082</v>
      </c>
      <c r="O23" s="1770">
        <f t="shared" si="1"/>
        <v>1.1724357879157237</v>
      </c>
      <c r="P23" s="1769">
        <f>+'Phụ lục số II'!P23</f>
        <v>56344.77968</v>
      </c>
      <c r="Q23" s="1769">
        <f>+'Phụ lục số II'!Q23</f>
        <v>51388</v>
      </c>
      <c r="R23" s="1584">
        <f t="shared" si="31"/>
        <v>108422.99755123199</v>
      </c>
      <c r="S23" s="1771">
        <f t="shared" si="38"/>
        <v>0.49150304928158373</v>
      </c>
      <c r="T23" s="1772">
        <f t="shared" si="26"/>
        <v>1.0064067582149292</v>
      </c>
      <c r="U23" s="1584">
        <f>+'Phụ lục số II'!U23</f>
        <v>56480.007151231999</v>
      </c>
      <c r="V23" s="1584">
        <f>+'Phụ lục số II'!V23</f>
        <v>51942.990399999995</v>
      </c>
      <c r="W23" s="1584">
        <f t="shared" si="32"/>
        <v>110397.75029258546</v>
      </c>
      <c r="X23" s="1771">
        <f t="shared" si="11"/>
        <v>0.49676004830209047</v>
      </c>
      <c r="Y23" s="1773">
        <f t="shared" si="12"/>
        <v>1.0182134121538224</v>
      </c>
      <c r="Z23" s="1765">
        <f>+'Phụ lục số II'!Z23</f>
        <v>57784.695316425466</v>
      </c>
      <c r="AA23" s="1765">
        <f>+'Phụ lục số II'!AA23</f>
        <v>52613.05497615999</v>
      </c>
      <c r="AB23" s="1584">
        <f t="shared" si="33"/>
        <v>115162.56887959846</v>
      </c>
      <c r="AC23" s="1771">
        <f t="shared" si="14"/>
        <v>0.45570871720587425</v>
      </c>
      <c r="AD23" s="1774">
        <f t="shared" si="15"/>
        <v>1.0431604681652016</v>
      </c>
      <c r="AE23" s="1584">
        <f t="shared" si="39"/>
        <v>59479.883001179107</v>
      </c>
      <c r="AF23" s="1584">
        <f t="shared" si="40"/>
        <v>55682.685878419346</v>
      </c>
      <c r="AG23" s="1584">
        <f t="shared" si="34"/>
        <v>119667.18160020109</v>
      </c>
      <c r="AH23" s="1775">
        <f t="shared" si="17"/>
        <v>0.44283240352667302</v>
      </c>
      <c r="AI23" s="1776">
        <f t="shared" si="18"/>
        <v>1.0391152504188419</v>
      </c>
      <c r="AJ23" s="1584">
        <f t="shared" si="41"/>
        <v>61606.04713902354</v>
      </c>
      <c r="AK23" s="1584">
        <f t="shared" si="42"/>
        <v>58061.134461177557</v>
      </c>
      <c r="AL23" s="1584">
        <f t="shared" si="35"/>
        <v>123141.27111971061</v>
      </c>
      <c r="AM23" s="1771">
        <f t="shared" si="20"/>
        <v>0.42956908328339249</v>
      </c>
      <c r="AN23" s="1776">
        <f t="shared" si="21"/>
        <v>1.0290312638189825</v>
      </c>
      <c r="AO23" s="1584">
        <f t="shared" si="43"/>
        <v>63153.100301961829</v>
      </c>
      <c r="AP23" s="1584">
        <f t="shared" si="44"/>
        <v>59988.170817748782</v>
      </c>
      <c r="AQ23" s="1584">
        <f t="shared" si="36"/>
        <v>326553.52752381744</v>
      </c>
      <c r="AR23" s="1767">
        <f t="shared" si="4"/>
        <v>0.49333969926781468</v>
      </c>
      <c r="AS23" s="1777">
        <f t="shared" si="22"/>
        <v>0.12580166402494419</v>
      </c>
      <c r="AT23" s="41">
        <f t="shared" si="45"/>
        <v>170609.48214765746</v>
      </c>
      <c r="AU23" s="41">
        <f t="shared" si="46"/>
        <v>155944.04537615998</v>
      </c>
    </row>
    <row r="24" spans="1:47">
      <c r="A24" s="1810" t="s">
        <v>159</v>
      </c>
      <c r="B24" s="1811" t="s">
        <v>160</v>
      </c>
      <c r="C24" s="1584"/>
      <c r="D24" s="196">
        <f t="shared" si="5"/>
        <v>50073</v>
      </c>
      <c r="E24" s="1766">
        <f t="shared" si="2"/>
        <v>0.26305112617864945</v>
      </c>
      <c r="F24" s="1584">
        <v>18073</v>
      </c>
      <c r="G24" s="1584">
        <v>32000</v>
      </c>
      <c r="H24" s="1584">
        <f t="shared" si="29"/>
        <v>49009.706226687966</v>
      </c>
      <c r="I24" s="1767">
        <f t="shared" si="3"/>
        <v>0.25366909357982459</v>
      </c>
      <c r="J24" s="1768">
        <f t="shared" si="0"/>
        <v>0.97876512744768573</v>
      </c>
      <c r="K24" s="41">
        <f>F24*K50</f>
        <v>18009.051459496372</v>
      </c>
      <c r="L24" s="41">
        <f>G24*L50</f>
        <v>31000.654767191591</v>
      </c>
      <c r="M24" s="1584">
        <f t="shared" si="30"/>
        <v>50000.565029999998</v>
      </c>
      <c r="N24" s="1767">
        <f t="shared" si="8"/>
        <v>0.22821517037388891</v>
      </c>
      <c r="O24" s="1770">
        <f t="shared" si="1"/>
        <v>0.99855341261757824</v>
      </c>
      <c r="P24" s="1769">
        <f>+'Phụ lục số II'!P24</f>
        <v>18960.565030000002</v>
      </c>
      <c r="Q24" s="1769">
        <f>+'Phụ lục số II'!Q24</f>
        <v>31040</v>
      </c>
      <c r="R24" s="1584">
        <f t="shared" si="31"/>
        <v>50381.302386071999</v>
      </c>
      <c r="S24" s="1771">
        <f t="shared" si="38"/>
        <v>0.22838848130749312</v>
      </c>
      <c r="T24" s="1772">
        <f t="shared" si="26"/>
        <v>1.0076146610712011</v>
      </c>
      <c r="U24" s="1584">
        <f>+'Phụ lục số II'!U24</f>
        <v>19006.070386072002</v>
      </c>
      <c r="V24" s="1584">
        <f>+'Phụ lục số II'!V24</f>
        <v>31375.231999999996</v>
      </c>
      <c r="W24" s="1584">
        <f t="shared" si="32"/>
        <v>51225.083104790261</v>
      </c>
      <c r="X24" s="1771">
        <f t="shared" si="11"/>
        <v>0.23049903363042765</v>
      </c>
      <c r="Y24" s="1773">
        <f t="shared" si="12"/>
        <v>1.0167478941344623</v>
      </c>
      <c r="Z24" s="1765">
        <f>+'Phụ lục số II'!Z24</f>
        <v>19445.110611990269</v>
      </c>
      <c r="AA24" s="1765">
        <f>+'Phụ lục số II'!AA24</f>
        <v>31779.972492799992</v>
      </c>
      <c r="AB24" s="1584">
        <f t="shared" si="33"/>
        <v>53649.685714982101</v>
      </c>
      <c r="AC24" s="1771">
        <f t="shared" si="14"/>
        <v>0.21229666629991256</v>
      </c>
      <c r="AD24" s="1774">
        <f t="shared" si="15"/>
        <v>1.0473323314133405</v>
      </c>
      <c r="AE24" s="1584">
        <f t="shared" si="39"/>
        <v>20015.557714940525</v>
      </c>
      <c r="AF24" s="1584">
        <f t="shared" si="40"/>
        <v>33634.128000041579</v>
      </c>
      <c r="AG24" s="1584">
        <f t="shared" si="34"/>
        <v>55801.819796035154</v>
      </c>
      <c r="AH24" s="1775">
        <f t="shared" si="17"/>
        <v>0.20649649846352702</v>
      </c>
      <c r="AI24" s="1776">
        <f t="shared" si="18"/>
        <v>1.040114570148396</v>
      </c>
      <c r="AJ24" s="1584">
        <f t="shared" si="41"/>
        <v>20731.032575770671</v>
      </c>
      <c r="AK24" s="1584">
        <f t="shared" si="42"/>
        <v>35070.787220264487</v>
      </c>
      <c r="AL24" s="1584">
        <f t="shared" si="35"/>
        <v>57486.409954096962</v>
      </c>
      <c r="AM24" s="1771">
        <f t="shared" si="20"/>
        <v>0.20053702711277285</v>
      </c>
      <c r="AN24" s="1776">
        <f t="shared" si="21"/>
        <v>1.0301888032365121</v>
      </c>
      <c r="AO24" s="1584">
        <f t="shared" si="43"/>
        <v>21251.630974900992</v>
      </c>
      <c r="AP24" s="1584">
        <f t="shared" si="44"/>
        <v>36234.778979195966</v>
      </c>
      <c r="AQ24" s="1584">
        <f t="shared" si="36"/>
        <v>151606.95052086227</v>
      </c>
      <c r="AR24" s="1767">
        <f t="shared" si="4"/>
        <v>0.22903971653289679</v>
      </c>
      <c r="AS24" s="1777">
        <f t="shared" si="22"/>
        <v>4.5202818965193625E-2</v>
      </c>
      <c r="AT24" s="41">
        <f t="shared" ref="AT24:AT34" si="47">+Z24+U24+P24</f>
        <v>57411.746028062276</v>
      </c>
      <c r="AU24" s="41">
        <f t="shared" ref="AU24:AU34" si="48">+AA24+V24+Q24</f>
        <v>94195.204492799996</v>
      </c>
    </row>
    <row r="25" spans="1:47">
      <c r="A25" s="1810" t="s">
        <v>161</v>
      </c>
      <c r="B25" s="1811" t="s">
        <v>162</v>
      </c>
      <c r="C25" s="1584"/>
      <c r="D25" s="196">
        <f t="shared" si="5"/>
        <v>53202</v>
      </c>
      <c r="E25" s="1766">
        <f t="shared" si="2"/>
        <v>0.27948886655396138</v>
      </c>
      <c r="F25" s="1584">
        <v>37202</v>
      </c>
      <c r="G25" s="1584">
        <v>16000</v>
      </c>
      <c r="H25" s="1584">
        <f t="shared" si="29"/>
        <v>52570.693808438598</v>
      </c>
      <c r="I25" s="1767">
        <f t="shared" si="3"/>
        <v>0.27210039141159575</v>
      </c>
      <c r="J25" s="1768">
        <f t="shared" si="0"/>
        <v>0.98813378836206534</v>
      </c>
      <c r="K25" s="41">
        <f>F25*K50</f>
        <v>37070.366424842803</v>
      </c>
      <c r="L25" s="41">
        <f>G25*L50</f>
        <v>15500.327383595795</v>
      </c>
      <c r="M25" s="1584">
        <f t="shared" si="30"/>
        <v>54548.99022</v>
      </c>
      <c r="N25" s="1767">
        <f t="shared" si="8"/>
        <v>0.24897532836502231</v>
      </c>
      <c r="O25" s="1770">
        <f t="shared" si="1"/>
        <v>1.0253184132175481</v>
      </c>
      <c r="P25" s="1769">
        <f>+'Phụ lục số II'!P25</f>
        <v>39028.99022</v>
      </c>
      <c r="Q25" s="1769">
        <f>+'Phụ lục số II'!Q25</f>
        <v>15520</v>
      </c>
      <c r="R25" s="1584">
        <f t="shared" si="31"/>
        <v>54810.275796528003</v>
      </c>
      <c r="S25" s="1771">
        <f t="shared" si="38"/>
        <v>0.24846590017241219</v>
      </c>
      <c r="T25" s="1772">
        <f t="shared" si="26"/>
        <v>1.0047899250833832</v>
      </c>
      <c r="U25" s="1584">
        <f>+'Phụ lục số II'!U25</f>
        <v>39122.659796528002</v>
      </c>
      <c r="V25" s="1584">
        <f>+'Phụ lục số II'!V25</f>
        <v>15687.615999999998</v>
      </c>
      <c r="W25" s="1584">
        <f t="shared" si="32"/>
        <v>55916.3794842278</v>
      </c>
      <c r="X25" s="1771">
        <f t="shared" si="11"/>
        <v>0.25160859981155415</v>
      </c>
      <c r="Y25" s="1773">
        <f t="shared" si="12"/>
        <v>1.020180589709236</v>
      </c>
      <c r="Z25" s="1765">
        <f>+'Phụ lục số II'!Z25</f>
        <v>40026.393237827804</v>
      </c>
      <c r="AA25" s="1765">
        <f>+'Phụ lục số II'!AA25</f>
        <v>15889.986246399996</v>
      </c>
      <c r="AB25" s="1584">
        <f t="shared" si="33"/>
        <v>58017.682497847229</v>
      </c>
      <c r="AC25" s="1771">
        <f t="shared" si="14"/>
        <v>0.22958122525031199</v>
      </c>
      <c r="AD25" s="1774">
        <f t="shared" si="15"/>
        <v>1.0375793825172843</v>
      </c>
      <c r="AE25" s="1584">
        <f t="shared" si="39"/>
        <v>41200.618497826443</v>
      </c>
      <c r="AF25" s="1584">
        <f t="shared" si="40"/>
        <v>16817.06400002079</v>
      </c>
      <c r="AG25" s="1584">
        <f t="shared" si="34"/>
        <v>60208.766812357688</v>
      </c>
      <c r="AH25" s="1775">
        <f t="shared" si="17"/>
        <v>0.2228045531311196</v>
      </c>
      <c r="AI25" s="1776">
        <f t="shared" si="18"/>
        <v>1.0377658020826972</v>
      </c>
      <c r="AJ25" s="1584">
        <f t="shared" si="41"/>
        <v>42673.373202225441</v>
      </c>
      <c r="AK25" s="1584">
        <f t="shared" si="42"/>
        <v>17535.393610132243</v>
      </c>
      <c r="AL25" s="1584">
        <f t="shared" si="35"/>
        <v>61862.37789928462</v>
      </c>
      <c r="AM25" s="1771">
        <f t="shared" si="20"/>
        <v>0.2158022628992734</v>
      </c>
      <c r="AN25" s="1776">
        <f t="shared" si="21"/>
        <v>1.0274646230852138</v>
      </c>
      <c r="AO25" s="1584">
        <f t="shared" si="43"/>
        <v>43744.988409686637</v>
      </c>
      <c r="AP25" s="1584">
        <f t="shared" si="44"/>
        <v>18117.389489597983</v>
      </c>
      <c r="AQ25" s="1584">
        <f t="shared" si="36"/>
        <v>165275.64550075581</v>
      </c>
      <c r="AR25" s="1767">
        <f t="shared" si="4"/>
        <v>0.24968965383995079</v>
      </c>
      <c r="AS25" s="1777">
        <f t="shared" si="22"/>
        <v>6.3641649622895979E-2</v>
      </c>
      <c r="AT25" s="41">
        <f t="shared" si="47"/>
        <v>118178.04325435581</v>
      </c>
      <c r="AU25" s="41">
        <f t="shared" si="48"/>
        <v>47097.602246399998</v>
      </c>
    </row>
    <row r="26" spans="1:47">
      <c r="A26" s="1810" t="s">
        <v>163</v>
      </c>
      <c r="B26" s="1811" t="s">
        <v>164</v>
      </c>
      <c r="C26" s="1584"/>
      <c r="D26" s="196">
        <f t="shared" si="5"/>
        <v>151965</v>
      </c>
      <c r="E26" s="1766">
        <f t="shared" si="2"/>
        <v>0.79832573222571968</v>
      </c>
      <c r="F26" s="1584">
        <v>67965</v>
      </c>
      <c r="G26" s="1584">
        <v>84000</v>
      </c>
      <c r="H26" s="1584">
        <f t="shared" si="29"/>
        <v>150523.83502817666</v>
      </c>
      <c r="I26" s="1767">
        <f t="shared" si="3"/>
        <v>0.77909556562418547</v>
      </c>
      <c r="J26" s="1768">
        <f t="shared" si="0"/>
        <v>0.99051646779308833</v>
      </c>
      <c r="K26" s="41">
        <f>(F26*K50)+1422.6</f>
        <v>69147.116264298733</v>
      </c>
      <c r="L26" s="41">
        <f>G26*L50</f>
        <v>81376.718763877929</v>
      </c>
      <c r="M26" s="1584">
        <f t="shared" si="30"/>
        <v>155618.76115000001</v>
      </c>
      <c r="N26" s="1767">
        <f t="shared" si="8"/>
        <v>0.71028321515791437</v>
      </c>
      <c r="O26" s="1770">
        <f t="shared" si="1"/>
        <v>1.0240434386207351</v>
      </c>
      <c r="P26" s="1769">
        <f>+'Phụ lục số II'!P26</f>
        <v>74148.761150000006</v>
      </c>
      <c r="Q26" s="1769">
        <f>+'Phụ lục số II'!Q26</f>
        <v>81470</v>
      </c>
      <c r="R26" s="1584">
        <f t="shared" si="31"/>
        <v>176676.59417676</v>
      </c>
      <c r="S26" s="1771">
        <f t="shared" si="38"/>
        <v>0.80091020111789679</v>
      </c>
      <c r="T26" s="1772">
        <f t="shared" si="26"/>
        <v>1.1353168015934947</v>
      </c>
      <c r="U26" s="1584">
        <f>+'Phụ lục số II'!U26</f>
        <v>94326.718176759998</v>
      </c>
      <c r="V26" s="1584">
        <f>+'Phụ lục số II'!V26</f>
        <v>82349.875999999989</v>
      </c>
      <c r="W26" s="1584">
        <f t="shared" si="32"/>
        <v>179917.85476704314</v>
      </c>
      <c r="X26" s="1771">
        <f t="shared" si="11"/>
        <v>0.80958173502279718</v>
      </c>
      <c r="Y26" s="1773">
        <f t="shared" si="12"/>
        <v>1.0183457271484435</v>
      </c>
      <c r="Z26" s="1765">
        <f>+'Phụ lục số II'!Z26</f>
        <v>96505.665366643167</v>
      </c>
      <c r="AA26" s="1765">
        <f>+'Phụ lục số II'!AA26</f>
        <v>83412.189400399977</v>
      </c>
      <c r="AB26" s="1584">
        <f t="shared" si="33"/>
        <v>197615.53232139698</v>
      </c>
      <c r="AC26" s="1771">
        <f t="shared" si="14"/>
        <v>0.78198256265272892</v>
      </c>
      <c r="AD26" s="1774">
        <f t="shared" si="15"/>
        <v>1.0983653210920545</v>
      </c>
      <c r="AE26" s="1584">
        <f>Z26*$AE$50+5000</f>
        <v>104336.78205840128</v>
      </c>
      <c r="AF26" s="1584">
        <f>$AF$50*AA26+5000</f>
        <v>93278.750262995716</v>
      </c>
      <c r="AG26" s="1584">
        <f t="shared" si="34"/>
        <v>215329.4875958979</v>
      </c>
      <c r="AH26" s="1775">
        <f t="shared" si="17"/>
        <v>0.7968339628891048</v>
      </c>
      <c r="AI26" s="1776">
        <f t="shared" si="18"/>
        <v>1.0896384766238485</v>
      </c>
      <c r="AJ26" s="1584">
        <f>AE26*$AJ$50+10000</f>
        <v>118066.39807439555</v>
      </c>
      <c r="AK26" s="1584">
        <f t="shared" si="42"/>
        <v>97263.089521502348</v>
      </c>
      <c r="AL26" s="1584">
        <f t="shared" si="35"/>
        <v>221522.51569545834</v>
      </c>
      <c r="AM26" s="1771">
        <f t="shared" si="20"/>
        <v>0.77276467206044042</v>
      </c>
      <c r="AN26" s="1776">
        <f t="shared" si="21"/>
        <v>1.02876070606355</v>
      </c>
      <c r="AO26" s="1584">
        <f t="shared" si="43"/>
        <v>121031.28550120181</v>
      </c>
      <c r="AP26" s="1584">
        <f t="shared" si="44"/>
        <v>100491.23019425652</v>
      </c>
      <c r="AQ26" s="1584">
        <f t="shared" si="36"/>
        <v>512213.21009380312</v>
      </c>
      <c r="AR26" s="1767">
        <f t="shared" si="4"/>
        <v>0.77382447203926863</v>
      </c>
      <c r="AS26" s="1777">
        <f t="shared" si="22"/>
        <v>0.19527817460513264</v>
      </c>
      <c r="AT26" s="41">
        <f t="shared" si="47"/>
        <v>264981.14469340316</v>
      </c>
      <c r="AU26" s="41">
        <f t="shared" si="48"/>
        <v>247232.06540039997</v>
      </c>
    </row>
    <row r="27" spans="1:47">
      <c r="A27" s="1810" t="s">
        <v>165</v>
      </c>
      <c r="B27" s="1811" t="s">
        <v>166</v>
      </c>
      <c r="C27" s="1584"/>
      <c r="D27" s="196">
        <f t="shared" si="5"/>
        <v>2068978.6115313373</v>
      </c>
      <c r="E27" s="1766">
        <f t="shared" si="2"/>
        <v>10.869074227684715</v>
      </c>
      <c r="F27" s="1584">
        <v>545710</v>
      </c>
      <c r="G27" s="1584">
        <v>1523268.6115313373</v>
      </c>
      <c r="H27" s="1584">
        <f t="shared" si="29"/>
        <v>2008453.7245475873</v>
      </c>
      <c r="I27" s="1767">
        <f t="shared" si="3"/>
        <v>10.395545597569267</v>
      </c>
      <c r="J27" s="1768">
        <f t="shared" si="0"/>
        <v>0.97074648976726108</v>
      </c>
      <c r="K27" s="41">
        <f>(F27*K50)+9233-25076</f>
        <v>527936.08880439133</v>
      </c>
      <c r="L27" s="41">
        <f>(G27*L50)+9066-(19438)+15192</f>
        <v>1480517.6357431959</v>
      </c>
      <c r="M27" s="1584">
        <f t="shared" si="30"/>
        <v>2055242.3712853971</v>
      </c>
      <c r="N27" s="1767">
        <f t="shared" si="8"/>
        <v>9.3806437515478702</v>
      </c>
      <c r="O27" s="1770">
        <f t="shared" si="1"/>
        <v>0.99336085923296547</v>
      </c>
      <c r="P27" s="1769">
        <f>+'Phụ lục số II'!P27</f>
        <v>560474.81810000003</v>
      </c>
      <c r="Q27" s="1769">
        <f>+'Phụ lục số II'!Q27</f>
        <v>1494767.5531853971</v>
      </c>
      <c r="R27" s="1584">
        <f t="shared" si="31"/>
        <v>2053249.2004232393</v>
      </c>
      <c r="S27" s="1771">
        <f t="shared" si="38"/>
        <v>9.3077876994328577</v>
      </c>
      <c r="T27" s="1772">
        <f t="shared" si="26"/>
        <v>0.99903020155189226</v>
      </c>
      <c r="U27" s="1584">
        <f>+'Phụ lục số II'!U27</f>
        <v>543946.15766343998</v>
      </c>
      <c r="V27" s="1584">
        <f>+'Phụ lục số II'!V27</f>
        <v>1509303.0427597992</v>
      </c>
      <c r="W27" s="1584">
        <f t="shared" si="32"/>
        <v>2101438.2659168658</v>
      </c>
      <c r="X27" s="1771">
        <f t="shared" si="11"/>
        <v>9.4559044157518013</v>
      </c>
      <c r="Y27" s="1773">
        <f t="shared" si="12"/>
        <v>1.0234696623691333</v>
      </c>
      <c r="Z27" s="1765">
        <f>+'Phụ lục số II'!Z27</f>
        <v>563039.31390546553</v>
      </c>
      <c r="AA27" s="1765">
        <f>+'Phụ lục số II'!AA27</f>
        <v>1538398.9520114004</v>
      </c>
      <c r="AB27" s="1584">
        <f t="shared" si="33"/>
        <v>2203711.3540701689</v>
      </c>
      <c r="AC27" s="1771">
        <f t="shared" si="14"/>
        <v>8.7202854540807664</v>
      </c>
      <c r="AD27" s="1774">
        <f t="shared" si="15"/>
        <v>1.0486681382994048</v>
      </c>
      <c r="AE27" s="1584">
        <f>Z27*$AE$50+20000-10000</f>
        <v>589556.78978273948</v>
      </c>
      <c r="AF27" s="1584">
        <f>$AF$50*AA27-14000</f>
        <v>1614154.5642874292</v>
      </c>
      <c r="AG27" s="1584">
        <f t="shared" si="34"/>
        <v>2373733.1434633313</v>
      </c>
      <c r="AH27" s="1775">
        <f t="shared" si="17"/>
        <v>8.7840788025129335</v>
      </c>
      <c r="AI27" s="1776">
        <f t="shared" si="18"/>
        <v>1.0771524769245022</v>
      </c>
      <c r="AJ27" s="1584">
        <f>AE27*$AJ$50+50000-20000</f>
        <v>640631.04952252237</v>
      </c>
      <c r="AK27" s="1584">
        <f>AF27*$AK$50+50000</f>
        <v>1733102.0939408087</v>
      </c>
      <c r="AL27" s="1584">
        <f t="shared" si="35"/>
        <v>2517341.9718126338</v>
      </c>
      <c r="AM27" s="1771">
        <f t="shared" si="20"/>
        <v>8.7815585571722341</v>
      </c>
      <c r="AN27" s="1776">
        <f t="shared" si="21"/>
        <v>1.0604991461423392</v>
      </c>
      <c r="AO27" s="1584">
        <f>AJ27*$AO$50+50000+50000-(50000)</f>
        <v>706718.59835037927</v>
      </c>
      <c r="AP27" s="1584">
        <f>AK27*$AP$50+50000-30000</f>
        <v>1810623.3734622546</v>
      </c>
      <c r="AQ27" s="1584">
        <f t="shared" si="36"/>
        <v>6209929.8376255017</v>
      </c>
      <c r="AR27" s="1767">
        <f t="shared" si="4"/>
        <v>9.3816316785766407</v>
      </c>
      <c r="AS27" s="1777">
        <f t="shared" si="22"/>
        <v>4.6296581411266358E-2</v>
      </c>
      <c r="AT27" s="41">
        <f t="shared" si="47"/>
        <v>1667460.2896689055</v>
      </c>
      <c r="AU27" s="41">
        <f t="shared" si="48"/>
        <v>4542469.5479565961</v>
      </c>
    </row>
    <row r="28" spans="1:47">
      <c r="A28" s="1810" t="s">
        <v>167</v>
      </c>
      <c r="B28" s="1811" t="s">
        <v>168</v>
      </c>
      <c r="C28" s="1584"/>
      <c r="D28" s="196">
        <f t="shared" si="5"/>
        <v>1570458</v>
      </c>
      <c r="E28" s="1766">
        <f t="shared" si="2"/>
        <v>8.2501696626179655</v>
      </c>
      <c r="F28" s="1584">
        <v>515458</v>
      </c>
      <c r="G28" s="1584">
        <v>1055000</v>
      </c>
      <c r="H28" s="1584">
        <f t="shared" si="29"/>
        <v>1827172.5677256028</v>
      </c>
      <c r="I28" s="1767">
        <f t="shared" si="3"/>
        <v>9.4572533637526579</v>
      </c>
      <c r="J28" s="1768">
        <f t="shared" si="0"/>
        <v>1.163464777616213</v>
      </c>
      <c r="K28" s="41">
        <f>(F28*K50)+55932.6</f>
        <v>569566.73086975492</v>
      </c>
      <c r="L28" s="41">
        <f>(G28*L50)+235553</f>
        <v>1257605.8368558479</v>
      </c>
      <c r="M28" s="1584">
        <f t="shared" si="30"/>
        <v>2329419.1423800001</v>
      </c>
      <c r="N28" s="1767">
        <f t="shared" si="8"/>
        <v>10.632055580401708</v>
      </c>
      <c r="O28" s="1770">
        <f t="shared" si="1"/>
        <v>1.4832737598713241</v>
      </c>
      <c r="P28" s="1769">
        <f>+'Phụ lục số II'!P28</f>
        <v>701861.14237999998</v>
      </c>
      <c r="Q28" s="1769">
        <f>+'Phụ lục số II'!Q28</f>
        <v>1627558</v>
      </c>
      <c r="R28" s="1584">
        <f t="shared" si="31"/>
        <v>2448577.2355217119</v>
      </c>
      <c r="S28" s="1771">
        <f t="shared" si="38"/>
        <v>11.09988844471601</v>
      </c>
      <c r="T28" s="1772">
        <f t="shared" si="26"/>
        <v>1.0511535648410471</v>
      </c>
      <c r="U28" s="1584">
        <f>+'Phụ lục số II'!U28</f>
        <v>703545.60912171192</v>
      </c>
      <c r="V28" s="1584">
        <f>+'Phụ lục số II'!V28</f>
        <v>1745031.6264</v>
      </c>
      <c r="W28" s="1584">
        <f t="shared" si="32"/>
        <v>2487340.0470729833</v>
      </c>
      <c r="X28" s="1771">
        <f t="shared" si="11"/>
        <v>11.192358165388134</v>
      </c>
      <c r="Y28" s="1773">
        <f t="shared" si="12"/>
        <v>1.0158307489708456</v>
      </c>
      <c r="Z28" s="1765">
        <f>+'Phụ lục số II'!Z28</f>
        <v>719797.51269242354</v>
      </c>
      <c r="AA28" s="1765">
        <f>+'Phụ lục số II'!AA28</f>
        <v>1767542.5343805598</v>
      </c>
      <c r="AB28" s="1584">
        <f t="shared" si="33"/>
        <v>2611580.8802950475</v>
      </c>
      <c r="AC28" s="1771">
        <f t="shared" si="14"/>
        <v>10.334262116737818</v>
      </c>
      <c r="AD28" s="1774">
        <f t="shared" si="15"/>
        <v>1.0499492754793485</v>
      </c>
      <c r="AE28" s="1584">
        <f t="shared" si="39"/>
        <v>740913.69012229145</v>
      </c>
      <c r="AF28" s="1584">
        <f t="shared" si="40"/>
        <v>1870667.1901727559</v>
      </c>
      <c r="AG28" s="1584">
        <f t="shared" si="34"/>
        <v>2717969.8286601333</v>
      </c>
      <c r="AH28" s="1775">
        <f t="shared" si="17"/>
        <v>10.057938156843196</v>
      </c>
      <c r="AI28" s="1776">
        <f t="shared" si="18"/>
        <v>1.0407373745028592</v>
      </c>
      <c r="AJ28" s="1584">
        <f t="shared" si="41"/>
        <v>767398.34405385295</v>
      </c>
      <c r="AK28" s="1584">
        <f t="shared" si="42"/>
        <v>1950571.4846062802</v>
      </c>
      <c r="AL28" s="1584">
        <f t="shared" si="35"/>
        <v>2826979.803167955</v>
      </c>
      <c r="AM28" s="1771">
        <f t="shared" si="20"/>
        <v>9.8617068953833744</v>
      </c>
      <c r="AN28" s="1776">
        <f t="shared" si="21"/>
        <v>1.0401071319329398</v>
      </c>
      <c r="AO28" s="1584">
        <f>AJ28*$AO$50+25000</f>
        <v>811669.27751794958</v>
      </c>
      <c r="AP28" s="1584">
        <f t="shared" si="44"/>
        <v>2015310.5256500053</v>
      </c>
      <c r="AQ28" s="1584">
        <f t="shared" si="36"/>
        <v>7265336.4249746958</v>
      </c>
      <c r="AR28" s="1767">
        <f t="shared" si="4"/>
        <v>10.976083811298269</v>
      </c>
      <c r="AS28" s="1777">
        <f t="shared" si="22"/>
        <v>0.36130548969938414</v>
      </c>
      <c r="AT28" s="41">
        <f t="shared" si="47"/>
        <v>2125204.2641941356</v>
      </c>
      <c r="AU28" s="41">
        <f t="shared" si="48"/>
        <v>5140132.1607805602</v>
      </c>
    </row>
    <row r="29" spans="1:47">
      <c r="A29" s="1810" t="s">
        <v>169</v>
      </c>
      <c r="B29" s="1811" t="s">
        <v>170</v>
      </c>
      <c r="C29" s="1584"/>
      <c r="D29" s="196">
        <f t="shared" si="5"/>
        <v>601385</v>
      </c>
      <c r="E29" s="1766">
        <f t="shared" si="2"/>
        <v>3.1592874706318193</v>
      </c>
      <c r="F29" s="1584">
        <v>77385</v>
      </c>
      <c r="G29" s="1584">
        <v>524000</v>
      </c>
      <c r="H29" s="1584">
        <f t="shared" si="29"/>
        <v>586189.90685083717</v>
      </c>
      <c r="I29" s="1767">
        <f t="shared" si="3"/>
        <v>3.0340574099487432</v>
      </c>
      <c r="J29" s="1768">
        <f t="shared" si="0"/>
        <v>0.97473316901957507</v>
      </c>
      <c r="K29" s="41">
        <f>(F29*K50)+1443</f>
        <v>78554.185038074836</v>
      </c>
      <c r="L29" s="41">
        <f>G29*L50</f>
        <v>507635.72181276232</v>
      </c>
      <c r="M29" s="1584">
        <f t="shared" si="30"/>
        <v>592350.37734999997</v>
      </c>
      <c r="N29" s="1767">
        <f t="shared" si="8"/>
        <v>2.7036362930470599</v>
      </c>
      <c r="O29" s="1770">
        <f t="shared" si="1"/>
        <v>0.98497697373562687</v>
      </c>
      <c r="P29" s="1769">
        <f>+'Phụ lục số II'!P29</f>
        <v>84070.377349999995</v>
      </c>
      <c r="Q29" s="1769">
        <f>+'Phụ lục số II'!Q29</f>
        <v>508280</v>
      </c>
      <c r="R29" s="1584">
        <f t="shared" si="31"/>
        <v>598041.57025563996</v>
      </c>
      <c r="S29" s="1771">
        <f t="shared" si="38"/>
        <v>2.7110415872693565</v>
      </c>
      <c r="T29" s="1772">
        <f t="shared" si="26"/>
        <v>1.0096078151095316</v>
      </c>
      <c r="U29" s="1584">
        <f>+'Phụ lục số II'!U29</f>
        <v>84272.146255639993</v>
      </c>
      <c r="V29" s="1584">
        <f>+'Phụ lục số II'!V29</f>
        <v>513769.42399999994</v>
      </c>
      <c r="W29" s="1584">
        <f t="shared" si="32"/>
        <v>606615.8824037452</v>
      </c>
      <c r="X29" s="1771">
        <f t="shared" si="11"/>
        <v>2.7296075712145962</v>
      </c>
      <c r="Y29" s="1773">
        <f t="shared" si="12"/>
        <v>1.0143373179634319</v>
      </c>
      <c r="Z29" s="1765">
        <f>+'Phụ lục số II'!Z29</f>
        <v>86218.832834145287</v>
      </c>
      <c r="AA29" s="1765">
        <f>+'Phụ lục số II'!AA29</f>
        <v>520397.04956959991</v>
      </c>
      <c r="AB29" s="1584">
        <f t="shared" si="33"/>
        <v>659507.01818348805</v>
      </c>
      <c r="AC29" s="1771">
        <f t="shared" si="14"/>
        <v>2.6097290132428701</v>
      </c>
      <c r="AD29" s="1774">
        <f t="shared" si="15"/>
        <v>1.0871904895898195</v>
      </c>
      <c r="AE29" s="1584">
        <f>Z29*$AE$50+10000</f>
        <v>98748.172182807219</v>
      </c>
      <c r="AF29" s="1584">
        <f>$AF$50*AA29+10000</f>
        <v>560758.84600068082</v>
      </c>
      <c r="AG29" s="1584">
        <f t="shared" si="34"/>
        <v>776989.30212862371</v>
      </c>
      <c r="AH29" s="1775">
        <f t="shared" si="17"/>
        <v>2.8752748713148653</v>
      </c>
      <c r="AI29" s="1776">
        <f t="shared" si="18"/>
        <v>1.1781365181961563</v>
      </c>
      <c r="AJ29" s="1584">
        <f>AE29*$AJ$50+50000</f>
        <v>152278.01810346259</v>
      </c>
      <c r="AK29" s="1584">
        <f>AF29*$AK$50+40000</f>
        <v>624711.28402516118</v>
      </c>
      <c r="AL29" s="1584">
        <f t="shared" si="35"/>
        <v>901547.3438393136</v>
      </c>
      <c r="AM29" s="1771">
        <f t="shared" si="20"/>
        <v>3.1449802532340589</v>
      </c>
      <c r="AN29" s="1776">
        <f t="shared" si="21"/>
        <v>1.1603085671443008</v>
      </c>
      <c r="AO29" s="1584">
        <f>AJ29*$AO$50+50000</f>
        <v>206102.02890261853</v>
      </c>
      <c r="AP29" s="1584">
        <f>AK29*$AP$50+50000</f>
        <v>695445.31493669504</v>
      </c>
      <c r="AQ29" s="1584">
        <f t="shared" si="36"/>
        <v>1797007.8300093852</v>
      </c>
      <c r="AR29" s="1767">
        <f t="shared" si="4"/>
        <v>2.71482384269782</v>
      </c>
      <c r="AS29" s="1777">
        <f t="shared" si="22"/>
        <v>3.4845321139426844E-2</v>
      </c>
      <c r="AT29" s="41">
        <f t="shared" si="47"/>
        <v>254561.35643978528</v>
      </c>
      <c r="AU29" s="41">
        <f t="shared" si="48"/>
        <v>1542446.4735695999</v>
      </c>
    </row>
    <row r="30" spans="1:47">
      <c r="A30" s="1810" t="s">
        <v>171</v>
      </c>
      <c r="B30" s="1811" t="s">
        <v>172</v>
      </c>
      <c r="C30" s="1584"/>
      <c r="D30" s="196">
        <f t="shared" si="5"/>
        <v>52000</v>
      </c>
      <c r="E30" s="1766">
        <f t="shared" si="2"/>
        <v>0.27317433669422186</v>
      </c>
      <c r="F30" s="1584">
        <v>20000</v>
      </c>
      <c r="G30" s="1584">
        <v>32000</v>
      </c>
      <c r="H30" s="1584">
        <f t="shared" si="29"/>
        <v>50929.88783253367</v>
      </c>
      <c r="I30" s="1767">
        <f t="shared" si="3"/>
        <v>0.26360775195925984</v>
      </c>
      <c r="J30" s="1768">
        <f t="shared" si="0"/>
        <v>0.97942091985641677</v>
      </c>
      <c r="K30" s="41">
        <f>F30*K50</f>
        <v>19929.233065342079</v>
      </c>
      <c r="L30" s="41">
        <f>G30*L50</f>
        <v>31000.654767191591</v>
      </c>
      <c r="M30" s="1584">
        <f t="shared" si="30"/>
        <v>52022.2</v>
      </c>
      <c r="N30" s="1767">
        <f t="shared" si="8"/>
        <v>0.23744242148266231</v>
      </c>
      <c r="O30" s="1770">
        <f t="shared" si="1"/>
        <v>1.0004269230769229</v>
      </c>
      <c r="P30" s="1769">
        <f>+'Phụ lục số II'!P30</f>
        <v>20982.2</v>
      </c>
      <c r="Q30" s="1769">
        <f>+'Phụ lục số II'!Q30</f>
        <v>31040</v>
      </c>
      <c r="R30" s="1584">
        <f t="shared" si="31"/>
        <v>52407.789279999997</v>
      </c>
      <c r="S30" s="1771">
        <f t="shared" si="38"/>
        <v>0.23757495013966257</v>
      </c>
      <c r="T30" s="1772">
        <f t="shared" si="26"/>
        <v>1.007412014101672</v>
      </c>
      <c r="U30" s="1584">
        <f>+'Phụ lục số II'!U30</f>
        <v>21032.557280000001</v>
      </c>
      <c r="V30" s="1584">
        <f>+'Phụ lục số II'!V30</f>
        <v>31375.231999999996</v>
      </c>
      <c r="W30" s="1584">
        <f t="shared" si="32"/>
        <v>53298.381845967997</v>
      </c>
      <c r="X30" s="1771">
        <f t="shared" si="11"/>
        <v>0.23982831778778141</v>
      </c>
      <c r="Y30" s="1773">
        <f t="shared" si="12"/>
        <v>1.0169935152427403</v>
      </c>
      <c r="Z30" s="1765">
        <f>+'Phụ lục số II'!Z30</f>
        <v>21518.409353168005</v>
      </c>
      <c r="AA30" s="1765">
        <f>+'Phụ lục số II'!AA30</f>
        <v>31779.972492799992</v>
      </c>
      <c r="AB30" s="1584">
        <f t="shared" si="33"/>
        <v>55783.80731718929</v>
      </c>
      <c r="AC30" s="1771">
        <f t="shared" si="14"/>
        <v>0.22074157880199444</v>
      </c>
      <c r="AD30" s="1774">
        <f t="shared" si="15"/>
        <v>1.0466322876068574</v>
      </c>
      <c r="AE30" s="1584">
        <f t="shared" si="39"/>
        <v>22149.679317147707</v>
      </c>
      <c r="AF30" s="1584">
        <f t="shared" si="40"/>
        <v>33634.128000041579</v>
      </c>
      <c r="AG30" s="1584">
        <f t="shared" si="34"/>
        <v>58012.227574130113</v>
      </c>
      <c r="AH30" s="1775">
        <f t="shared" si="17"/>
        <v>0.21467618629488311</v>
      </c>
      <c r="AI30" s="1776">
        <f t="shared" si="18"/>
        <v>1.0399474393038453</v>
      </c>
      <c r="AJ30" s="1584">
        <f t="shared" si="41"/>
        <v>22941.440353865622</v>
      </c>
      <c r="AK30" s="1584">
        <f t="shared" si="42"/>
        <v>35070.787220264487</v>
      </c>
      <c r="AL30" s="1584">
        <f t="shared" si="35"/>
        <v>59752.325567920576</v>
      </c>
      <c r="AM30" s="1771">
        <f t="shared" si="20"/>
        <v>0.20844150368814848</v>
      </c>
      <c r="AN30" s="1776">
        <f t="shared" si="21"/>
        <v>1.0299953659177612</v>
      </c>
      <c r="AO30" s="1584">
        <f t="shared" si="43"/>
        <v>23517.546588724606</v>
      </c>
      <c r="AP30" s="1584">
        <f t="shared" si="44"/>
        <v>36234.778979195966</v>
      </c>
      <c r="AQ30" s="1584">
        <f t="shared" si="36"/>
        <v>157728.371125968</v>
      </c>
      <c r="AR30" s="1767">
        <f t="shared" si="4"/>
        <v>0.23828763317098731</v>
      </c>
      <c r="AS30" s="1777">
        <f t="shared" si="22"/>
        <v>4.6504991749095392E-2</v>
      </c>
      <c r="AT30" s="41">
        <f t="shared" si="47"/>
        <v>63533.166633168003</v>
      </c>
      <c r="AU30" s="41">
        <f t="shared" si="48"/>
        <v>94195.204492799996</v>
      </c>
    </row>
    <row r="31" spans="1:47" s="31" customFormat="1">
      <c r="A31" s="1812">
        <v>3</v>
      </c>
      <c r="B31" s="1813" t="s">
        <v>173</v>
      </c>
      <c r="C31" s="1570">
        <f t="shared" ref="C31" si="49">SUM(F31:G31)</f>
        <v>3000</v>
      </c>
      <c r="D31" s="195">
        <f t="shared" si="5"/>
        <v>3000</v>
      </c>
      <c r="E31" s="1748">
        <f t="shared" si="2"/>
        <v>1.5760057886205107E-2</v>
      </c>
      <c r="F31" s="1570">
        <v>3000</v>
      </c>
      <c r="G31" s="1570"/>
      <c r="H31" s="1570">
        <f t="shared" si="29"/>
        <v>3000</v>
      </c>
      <c r="I31" s="1749">
        <f t="shared" si="3"/>
        <v>1.5527685010384155E-2</v>
      </c>
      <c r="J31" s="1750">
        <f t="shared" si="0"/>
        <v>1</v>
      </c>
      <c r="K31" s="38">
        <f>F31</f>
        <v>3000</v>
      </c>
      <c r="L31" s="38">
        <f>G31</f>
        <v>0</v>
      </c>
      <c r="M31" s="1570">
        <f t="shared" si="30"/>
        <v>3000</v>
      </c>
      <c r="N31" s="1749">
        <f t="shared" si="8"/>
        <v>1.3692755486080692E-2</v>
      </c>
      <c r="O31" s="1752">
        <f t="shared" si="1"/>
        <v>1</v>
      </c>
      <c r="P31" s="1751">
        <f>+'Phụ lục số II'!P31</f>
        <v>3000</v>
      </c>
      <c r="Q31" s="1751">
        <f>+'Phụ lục số II'!Q31</f>
        <v>0</v>
      </c>
      <c r="R31" s="1570">
        <f t="shared" si="31"/>
        <v>3000</v>
      </c>
      <c r="S31" s="1753">
        <f t="shared" si="38"/>
        <v>1.3599597697416702E-2</v>
      </c>
      <c r="T31" s="1754">
        <f t="shared" si="26"/>
        <v>1</v>
      </c>
      <c r="U31" s="1570">
        <f>+'Phụ lục số II'!U31</f>
        <v>3000</v>
      </c>
      <c r="V31" s="1570">
        <f>+'Phụ lục số II'!V31</f>
        <v>0</v>
      </c>
      <c r="W31" s="1570">
        <f t="shared" si="32"/>
        <v>3000</v>
      </c>
      <c r="X31" s="1753">
        <f t="shared" si="11"/>
        <v>1.3499189439609094E-2</v>
      </c>
      <c r="Y31" s="1755">
        <f t="shared" si="12"/>
        <v>1</v>
      </c>
      <c r="Z31" s="1760">
        <f>+'Phụ lục số II'!Z31</f>
        <v>3000</v>
      </c>
      <c r="AA31" s="1760">
        <f>+'Phụ lục số II'!AA31</f>
        <v>0</v>
      </c>
      <c r="AB31" s="1570">
        <f t="shared" si="33"/>
        <v>3000</v>
      </c>
      <c r="AC31" s="1753">
        <f t="shared" si="14"/>
        <v>1.187127175885545E-2</v>
      </c>
      <c r="AD31" s="1756">
        <f t="shared" si="15"/>
        <v>1</v>
      </c>
      <c r="AE31" s="1570">
        <f>Z31</f>
        <v>3000</v>
      </c>
      <c r="AF31" s="1570"/>
      <c r="AG31" s="1570">
        <f t="shared" si="34"/>
        <v>3000</v>
      </c>
      <c r="AH31" s="1763">
        <f t="shared" si="17"/>
        <v>1.1101600228360245E-2</v>
      </c>
      <c r="AI31" s="1757">
        <f t="shared" si="18"/>
        <v>1</v>
      </c>
      <c r="AJ31" s="1570">
        <f>AE31</f>
        <v>3000</v>
      </c>
      <c r="AK31" s="1570"/>
      <c r="AL31" s="1570">
        <f t="shared" si="35"/>
        <v>3000</v>
      </c>
      <c r="AM31" s="1753">
        <f t="shared" si="20"/>
        <v>1.0465274867898456E-2</v>
      </c>
      <c r="AN31" s="1757">
        <f t="shared" si="21"/>
        <v>1</v>
      </c>
      <c r="AO31" s="1570">
        <f>AJ31</f>
        <v>3000</v>
      </c>
      <c r="AP31" s="1570"/>
      <c r="AQ31" s="1570">
        <f t="shared" si="36"/>
        <v>9000</v>
      </c>
      <c r="AR31" s="1749">
        <f t="shared" si="4"/>
        <v>1.3596721269797012E-2</v>
      </c>
      <c r="AS31" s="1758">
        <f t="shared" si="22"/>
        <v>0</v>
      </c>
      <c r="AT31" s="38">
        <f t="shared" si="47"/>
        <v>9000</v>
      </c>
      <c r="AU31" s="38">
        <f t="shared" si="48"/>
        <v>0</v>
      </c>
    </row>
    <row r="32" spans="1:47" s="31" customFormat="1">
      <c r="A32" s="1812">
        <v>4</v>
      </c>
      <c r="B32" s="1813" t="s">
        <v>174</v>
      </c>
      <c r="C32" s="1570">
        <v>1400</v>
      </c>
      <c r="D32" s="195">
        <f t="shared" si="5"/>
        <v>2000</v>
      </c>
      <c r="E32" s="1748">
        <f t="shared" si="2"/>
        <v>1.0506705257470071E-2</v>
      </c>
      <c r="F32" s="1570">
        <v>2000</v>
      </c>
      <c r="G32" s="1570"/>
      <c r="H32" s="1570">
        <f t="shared" ref="H32:H34" si="50">SUM(K32:L32)</f>
        <v>2000</v>
      </c>
      <c r="I32" s="1749">
        <f t="shared" si="3"/>
        <v>1.0351790006922771E-2</v>
      </c>
      <c r="J32" s="1750">
        <f t="shared" si="0"/>
        <v>1</v>
      </c>
      <c r="K32" s="38">
        <f t="shared" ref="K32:L32" si="51">F32</f>
        <v>2000</v>
      </c>
      <c r="L32" s="38">
        <f t="shared" si="51"/>
        <v>0</v>
      </c>
      <c r="M32" s="1570">
        <f t="shared" ref="M32:M34" si="52">SUM(P32:Q32)</f>
        <v>2000</v>
      </c>
      <c r="N32" s="1749">
        <f t="shared" si="8"/>
        <v>9.128503657387127E-3</v>
      </c>
      <c r="O32" s="1752">
        <f t="shared" si="1"/>
        <v>1</v>
      </c>
      <c r="P32" s="1751">
        <f>+'Phụ lục số II'!P32</f>
        <v>2000</v>
      </c>
      <c r="Q32" s="1751">
        <f>+'Phụ lục số II'!Q32</f>
        <v>0</v>
      </c>
      <c r="R32" s="1570">
        <f t="shared" ref="R32:R34" si="53">SUM(U32:V32)</f>
        <v>2000</v>
      </c>
      <c r="S32" s="1753">
        <f t="shared" si="38"/>
        <v>9.0663984649444682E-3</v>
      </c>
      <c r="T32" s="1754">
        <f t="shared" si="26"/>
        <v>1</v>
      </c>
      <c r="U32" s="1570">
        <f>+'Phụ lục số II'!U32</f>
        <v>2000</v>
      </c>
      <c r="V32" s="1570">
        <f>+'Phụ lục số II'!V32</f>
        <v>0</v>
      </c>
      <c r="W32" s="1570">
        <f t="shared" ref="W32:W34" si="54">SUM(Z32:AA32)</f>
        <v>2000</v>
      </c>
      <c r="X32" s="1753">
        <f t="shared" si="11"/>
        <v>8.999459626406062E-3</v>
      </c>
      <c r="Y32" s="1755">
        <f t="shared" si="12"/>
        <v>1</v>
      </c>
      <c r="Z32" s="1760">
        <f>+'Phụ lục số II'!Z32</f>
        <v>2000</v>
      </c>
      <c r="AA32" s="1760">
        <f>+'Phụ lục số II'!AA32</f>
        <v>0</v>
      </c>
      <c r="AB32" s="1570">
        <f t="shared" ref="AB32:AB34" si="55">SUM(AE32:AF32)</f>
        <v>2000</v>
      </c>
      <c r="AC32" s="1753">
        <f t="shared" si="14"/>
        <v>7.9141811725703011E-3</v>
      </c>
      <c r="AD32" s="1756">
        <f t="shared" si="15"/>
        <v>1</v>
      </c>
      <c r="AE32" s="1570">
        <f>Z32</f>
        <v>2000</v>
      </c>
      <c r="AF32" s="1570"/>
      <c r="AG32" s="1570">
        <f t="shared" ref="AG32:AG34" si="56">SUM(AJ32:AK32)</f>
        <v>2000</v>
      </c>
      <c r="AH32" s="1763">
        <f t="shared" si="17"/>
        <v>7.4010668189068299E-3</v>
      </c>
      <c r="AI32" s="1757">
        <f t="shared" si="18"/>
        <v>1</v>
      </c>
      <c r="AJ32" s="1570">
        <f>AE32</f>
        <v>2000</v>
      </c>
      <c r="AK32" s="1570"/>
      <c r="AL32" s="1570">
        <f t="shared" ref="AL32:AL34" si="57">SUM(AO32:AP32)</f>
        <v>2000</v>
      </c>
      <c r="AM32" s="1753">
        <f t="shared" si="20"/>
        <v>6.9768499119323034E-3</v>
      </c>
      <c r="AN32" s="1757">
        <f t="shared" si="21"/>
        <v>1</v>
      </c>
      <c r="AO32" s="1570">
        <f>AJ32</f>
        <v>2000</v>
      </c>
      <c r="AP32" s="1570"/>
      <c r="AQ32" s="1570">
        <f t="shared" ref="AQ32:AQ34" si="58">SUM(AT32:AU32)</f>
        <v>6000</v>
      </c>
      <c r="AR32" s="1749">
        <f t="shared" si="4"/>
        <v>9.0644808465313413E-3</v>
      </c>
      <c r="AS32" s="1758">
        <f t="shared" si="22"/>
        <v>0</v>
      </c>
      <c r="AT32" s="38">
        <f t="shared" si="47"/>
        <v>6000</v>
      </c>
      <c r="AU32" s="38">
        <f t="shared" si="48"/>
        <v>0</v>
      </c>
    </row>
    <row r="33" spans="1:47" s="31" customFormat="1">
      <c r="A33" s="1812">
        <v>5</v>
      </c>
      <c r="B33" s="1813" t="s">
        <v>175</v>
      </c>
      <c r="C33" s="1570">
        <v>308869</v>
      </c>
      <c r="D33" s="195">
        <f t="shared" si="5"/>
        <v>327868.91231904214</v>
      </c>
      <c r="E33" s="1748">
        <f t="shared" si="2"/>
        <v>1.7224110124117371</v>
      </c>
      <c r="F33" s="1570">
        <v>152264.36799999999</v>
      </c>
      <c r="G33" s="1570">
        <v>175604.54431904212</v>
      </c>
      <c r="H33" s="1570">
        <f t="shared" si="50"/>
        <v>327868.91231904214</v>
      </c>
      <c r="I33" s="1749">
        <f t="shared" si="3"/>
        <v>1.6970150650624491</v>
      </c>
      <c r="J33" s="1750">
        <f t="shared" si="0"/>
        <v>1</v>
      </c>
      <c r="K33" s="38">
        <f>F33</f>
        <v>152264.36799999999</v>
      </c>
      <c r="L33" s="38">
        <f>G33</f>
        <v>175604.54431904212</v>
      </c>
      <c r="M33" s="1570">
        <f t="shared" si="52"/>
        <v>354094.47910195083</v>
      </c>
      <c r="N33" s="1749">
        <f>M33/$M$9*100</f>
        <v>1.6161763737713739</v>
      </c>
      <c r="O33" s="1752">
        <f t="shared" si="1"/>
        <v>1.0799879640842227</v>
      </c>
      <c r="P33" s="1751">
        <f>+'Phụ lục số II'!P33</f>
        <v>183758.07111247999</v>
      </c>
      <c r="Q33" s="1751">
        <f>+'Phụ lục số II'!Q33</f>
        <v>170336.40798947084</v>
      </c>
      <c r="R33" s="1570">
        <f t="shared" si="53"/>
        <v>356375.03167890699</v>
      </c>
      <c r="S33" s="1753">
        <f t="shared" si="38"/>
        <v>1.615519020079089</v>
      </c>
      <c r="T33" s="1754">
        <f t="shared" si="26"/>
        <v>1.0064405200068074</v>
      </c>
      <c r="U33" s="1570">
        <f>+'Phụ lục số II'!U33</f>
        <v>184199.09048314992</v>
      </c>
      <c r="V33" s="1570">
        <f>+'Phụ lục số II'!V33</f>
        <v>172175.9411957571</v>
      </c>
      <c r="W33" s="1570">
        <f t="shared" si="54"/>
        <v>362851.10031049303</v>
      </c>
      <c r="X33" s="1753">
        <f t="shared" si="11"/>
        <v>1.6327319138206491</v>
      </c>
      <c r="Y33" s="1755">
        <f t="shared" si="12"/>
        <v>1.0181720604866082</v>
      </c>
      <c r="Z33" s="1760">
        <f>+'Phụ lục số II'!Z33</f>
        <v>188454.08947331071</v>
      </c>
      <c r="AA33" s="1760">
        <f>+'Phụ lục số II'!AA33</f>
        <v>174397.01083718234</v>
      </c>
      <c r="AB33" s="1570">
        <f t="shared" si="55"/>
        <v>388554.57695830194</v>
      </c>
      <c r="AC33" s="1753">
        <f t="shared" si="14"/>
        <v>1.5375456587397056</v>
      </c>
      <c r="AD33" s="1756">
        <f t="shared" si="15"/>
        <v>1.0708375326017046</v>
      </c>
      <c r="AE33" s="1570">
        <f>Z33*$AE$50</f>
        <v>193982.6303761786</v>
      </c>
      <c r="AF33" s="1570">
        <f>$AF$50*AA33+10000</f>
        <v>194571.94658212332</v>
      </c>
      <c r="AG33" s="1570">
        <f t="shared" si="56"/>
        <v>413799.67800673621</v>
      </c>
      <c r="AH33" s="1763">
        <f t="shared" si="17"/>
        <v>1.5312795332849929</v>
      </c>
      <c r="AI33" s="1757">
        <f t="shared" si="18"/>
        <v>1.0649718277572715</v>
      </c>
      <c r="AJ33" s="1570">
        <f>AE33*$AJ$50+10000</f>
        <v>210916.72121933621</v>
      </c>
      <c r="AK33" s="1570">
        <f>AF33*$AK$50</f>
        <v>202882.95678739998</v>
      </c>
      <c r="AL33" s="1570">
        <f t="shared" si="57"/>
        <v>455829.86689569859</v>
      </c>
      <c r="AM33" s="1753">
        <f t="shared" si="20"/>
        <v>1.5901282833536843</v>
      </c>
      <c r="AN33" s="1757">
        <f t="shared" si="21"/>
        <v>1.1015713426637277</v>
      </c>
      <c r="AO33" s="1570">
        <f>AJ33*$AO$50+20000</f>
        <v>236213.26913682561</v>
      </c>
      <c r="AP33" s="1570">
        <f>AK33*$AP$50+10000</f>
        <v>219616.59775887299</v>
      </c>
      <c r="AQ33" s="1570">
        <f t="shared" si="58"/>
        <v>1073320.6110913509</v>
      </c>
      <c r="AR33" s="1749">
        <f t="shared" si="4"/>
        <v>1.621515686904144</v>
      </c>
      <c r="AS33" s="1758">
        <f t="shared" si="22"/>
        <v>0.10669565389417124</v>
      </c>
      <c r="AT33" s="38">
        <f t="shared" si="47"/>
        <v>556411.25106894062</v>
      </c>
      <c r="AU33" s="38">
        <f t="shared" si="48"/>
        <v>516909.36002241028</v>
      </c>
    </row>
    <row r="34" spans="1:47" s="31" customFormat="1">
      <c r="A34" s="1812">
        <v>6</v>
      </c>
      <c r="B34" s="1813" t="s">
        <v>1419</v>
      </c>
      <c r="C34" s="1570"/>
      <c r="D34" s="195">
        <f t="shared" si="5"/>
        <v>717399.2</v>
      </c>
      <c r="E34" s="1748">
        <f t="shared" si="2"/>
        <v>3.7687509731724114</v>
      </c>
      <c r="F34" s="1570">
        <v>79139.200000000012</v>
      </c>
      <c r="G34" s="1570">
        <f>638260</f>
        <v>638260</v>
      </c>
      <c r="H34" s="1570">
        <f t="shared" si="50"/>
        <v>0.40000000001455194</v>
      </c>
      <c r="I34" s="1749">
        <f t="shared" si="3"/>
        <v>2.0703580014598734E-6</v>
      </c>
      <c r="J34" s="1750">
        <f t="shared" si="0"/>
        <v>5.5756962095100188E-7</v>
      </c>
      <c r="K34" s="38">
        <f>F34-79139.2+0.4</f>
        <v>0.40000000001455194</v>
      </c>
      <c r="L34" s="38">
        <f>G34-623068-15192</f>
        <v>0</v>
      </c>
      <c r="M34" s="1570">
        <f t="shared" si="52"/>
        <v>0</v>
      </c>
      <c r="N34" s="1749">
        <f t="shared" si="8"/>
        <v>0</v>
      </c>
      <c r="O34" s="1752">
        <f t="shared" si="1"/>
        <v>0</v>
      </c>
      <c r="P34" s="1570"/>
      <c r="Q34" s="1570">
        <f>612464-612464</f>
        <v>0</v>
      </c>
      <c r="R34" s="1570">
        <f t="shared" si="53"/>
        <v>0</v>
      </c>
      <c r="S34" s="1753">
        <f t="shared" si="38"/>
        <v>0</v>
      </c>
      <c r="T34" s="1754" t="e">
        <f t="shared" si="26"/>
        <v>#DIV/0!</v>
      </c>
      <c r="U34" s="38"/>
      <c r="V34" s="38"/>
      <c r="W34" s="1570">
        <f t="shared" si="54"/>
        <v>0</v>
      </c>
      <c r="X34" s="1753">
        <f t="shared" si="11"/>
        <v>0</v>
      </c>
      <c r="Y34" s="1755" t="e">
        <f t="shared" si="12"/>
        <v>#DIV/0!</v>
      </c>
      <c r="Z34" s="1570"/>
      <c r="AA34" s="1570"/>
      <c r="AB34" s="1570">
        <f t="shared" si="55"/>
        <v>1088757.7498882432</v>
      </c>
      <c r="AC34" s="1753">
        <f t="shared" si="14"/>
        <v>4.3083130428277698</v>
      </c>
      <c r="AD34" s="1756" t="e">
        <f t="shared" si="15"/>
        <v>#DIV/0!</v>
      </c>
      <c r="AE34" s="1570">
        <f>Z34+'Phụ lục số III-CĐC'!S76+261410.4-(10000)-(8136)+(10739)-50000</f>
        <v>508427.53552337422</v>
      </c>
      <c r="AF34" s="1570">
        <f>AA34+'Phụ lục số III-CĐC'!T76+40373-14000-(5462.9)</f>
        <v>580330.21436486894</v>
      </c>
      <c r="AG34" s="1570">
        <f t="shared" si="56"/>
        <v>1572055.4252528162</v>
      </c>
      <c r="AH34" s="1763">
        <f t="shared" si="17"/>
        <v>5.8174436226605417</v>
      </c>
      <c r="AI34" s="1757">
        <f t="shared" si="18"/>
        <v>1.4438982642504099</v>
      </c>
      <c r="AJ34" s="1570">
        <f>AE34+'Phụ lục số III-CĐC'!V76+172585-(14957.4)-(50000)-20000+18842.4</f>
        <v>815349.89660284261</v>
      </c>
      <c r="AK34" s="1570">
        <f>AF34+'Phụ lục số III-CĐC'!W76+20318.5-(11130)</f>
        <v>756705.52864997357</v>
      </c>
      <c r="AL34" s="1570">
        <f t="shared" si="57"/>
        <v>2013128.5970931321</v>
      </c>
      <c r="AM34" s="1753">
        <f t="shared" si="20"/>
        <v>7.0226480376688105</v>
      </c>
      <c r="AN34" s="1757">
        <f t="shared" si="21"/>
        <v>1.2805710058024087</v>
      </c>
      <c r="AO34" s="1570">
        <f>'Phụ lục số III-CĐC'!Y76+AJ34+100843-12513.9-(35000)+8877</f>
        <v>1028179.0947566982</v>
      </c>
      <c r="AP34" s="1570">
        <f>AK34+'Phụ lục số III-CĐC'!Z76-51426.5-7411.4</f>
        <v>984949.50233643386</v>
      </c>
      <c r="AQ34" s="1570">
        <f t="shared" si="58"/>
        <v>0</v>
      </c>
      <c r="AR34" s="1749">
        <f t="shared" si="4"/>
        <v>0</v>
      </c>
      <c r="AS34" s="1758" t="e">
        <f t="shared" si="22"/>
        <v>#DIV/0!</v>
      </c>
      <c r="AT34" s="38">
        <f t="shared" si="47"/>
        <v>0</v>
      </c>
      <c r="AU34" s="38">
        <f t="shared" si="48"/>
        <v>0</v>
      </c>
    </row>
    <row r="35" spans="1:47" s="31" customFormat="1">
      <c r="A35" s="1780" t="s">
        <v>33</v>
      </c>
      <c r="B35" s="1781" t="s">
        <v>177</v>
      </c>
      <c r="C35" s="1760">
        <f>SUM(C36,C39,C42)</f>
        <v>1988976</v>
      </c>
      <c r="D35" s="1760">
        <f>SUM(D36,D39,D42)</f>
        <v>1988976</v>
      </c>
      <c r="E35" s="1748">
        <f t="shared" si="2"/>
        <v>10.448792298090897</v>
      </c>
      <c r="F35" s="1760">
        <f>SUM(F36,F39,F42)</f>
        <v>1988976</v>
      </c>
      <c r="G35" s="1760">
        <f t="shared" ref="G35" si="59">SUM(G36,G39,G42)</f>
        <v>0</v>
      </c>
      <c r="H35" s="1760">
        <f>SUM(H36,H39,H42)</f>
        <v>2127535</v>
      </c>
      <c r="I35" s="1749">
        <f>H35/$H$9*100</f>
        <v>11.011897776189219</v>
      </c>
      <c r="J35" s="1750">
        <f t="shared" si="0"/>
        <v>1.0696634851300368</v>
      </c>
      <c r="K35" s="1760">
        <f>SUM(K36,K39,K42)</f>
        <v>2127535</v>
      </c>
      <c r="L35" s="1760">
        <f t="shared" ref="L35" si="60">SUM(L36,L39,L42)</f>
        <v>0</v>
      </c>
      <c r="M35" s="1760">
        <f>SUM(M36,M39,M42)</f>
        <v>3676048.8</v>
      </c>
      <c r="N35" s="1749">
        <f t="shared" si="8"/>
        <v>16.778412457766777</v>
      </c>
      <c r="O35" s="1752">
        <f t="shared" si="1"/>
        <v>1.8482117431281222</v>
      </c>
      <c r="P35" s="1760">
        <f>SUM(P36,P39,P42)</f>
        <v>3676048.8</v>
      </c>
      <c r="Q35" s="1760">
        <f t="shared" ref="Q35" si="61">SUM(Q36,Q39,Q42)</f>
        <v>0</v>
      </c>
      <c r="R35" s="1760">
        <f>SUM(R36,R39,R42)</f>
        <v>3676048.8</v>
      </c>
      <c r="S35" s="1759"/>
      <c r="T35" s="1759"/>
      <c r="U35" s="1760">
        <f>SUM(U36,U39,U42)</f>
        <v>3676048.8</v>
      </c>
      <c r="V35" s="1760">
        <f t="shared" ref="V35" si="62">SUM(V36,V39,V42)</f>
        <v>0</v>
      </c>
      <c r="W35" s="1760">
        <f>SUM(W36,W39,W42)</f>
        <v>3676048.8</v>
      </c>
      <c r="X35" s="1759"/>
      <c r="Y35" s="1782"/>
      <c r="Z35" s="1760">
        <f>SUM(Z36,Z39,Z42)</f>
        <v>3676048.8</v>
      </c>
      <c r="AA35" s="1760">
        <f t="shared" ref="AA35" si="63">SUM(AA36,AA39,AA42)</f>
        <v>0</v>
      </c>
      <c r="AB35" s="1760">
        <f>SUM(AB36,AB39,AB42)</f>
        <v>3676048.8</v>
      </c>
      <c r="AC35" s="1759"/>
      <c r="AD35" s="1759"/>
      <c r="AE35" s="1760">
        <f>SUM(AE36,AE39,AE42)</f>
        <v>3676048.8</v>
      </c>
      <c r="AF35" s="1760">
        <f t="shared" ref="AF35" si="64">SUM(AF36,AF39,AF42)</f>
        <v>0</v>
      </c>
      <c r="AG35" s="1760">
        <f>SUM(AG36,AG39,AG42)</f>
        <v>3676048.8</v>
      </c>
      <c r="AH35" s="1759"/>
      <c r="AI35" s="1759"/>
      <c r="AJ35" s="1760">
        <f>SUM(AJ36,AJ39,AJ42)</f>
        <v>3676048.8</v>
      </c>
      <c r="AK35" s="1760">
        <f t="shared" ref="AK35" si="65">SUM(AK36,AK39,AK42)</f>
        <v>0</v>
      </c>
      <c r="AL35" s="1760">
        <f>SUM(AL36,AL39,AL42)</f>
        <v>3676048.8</v>
      </c>
      <c r="AM35" s="1759"/>
      <c r="AN35" s="1759"/>
      <c r="AO35" s="1760">
        <f>SUM(AO36,AO39,AO42)</f>
        <v>3676048.8</v>
      </c>
      <c r="AP35" s="1760">
        <f t="shared" ref="AP35" si="66">SUM(AP36,AP39,AP42)</f>
        <v>0</v>
      </c>
      <c r="AQ35" s="1760">
        <f>SUM(AQ36,AQ39,AQ42)</f>
        <v>11028146.4</v>
      </c>
      <c r="AR35" s="1749">
        <f t="shared" si="4"/>
        <v>16.660736969257261</v>
      </c>
      <c r="AS35" s="1758">
        <f t="shared" si="22"/>
        <v>0.72784410127212951</v>
      </c>
      <c r="AT35" s="1760">
        <f>SUM(AT36,AT39,AT42)</f>
        <v>11028146.4</v>
      </c>
      <c r="AU35" s="1760">
        <f t="shared" ref="AU35" si="67">SUM(AU36,AU39,AU42)</f>
        <v>0</v>
      </c>
    </row>
    <row r="36" spans="1:47">
      <c r="A36" s="1783">
        <v>1</v>
      </c>
      <c r="B36" s="1821" t="s">
        <v>178</v>
      </c>
      <c r="C36" s="1765">
        <f>SUM(C37:C38)</f>
        <v>1814491</v>
      </c>
      <c r="D36" s="1765">
        <f>SUM(D37:D38)</f>
        <v>1814491</v>
      </c>
      <c r="E36" s="1748">
        <f t="shared" si="2"/>
        <v>9.5321610646660631</v>
      </c>
      <c r="F36" s="1765">
        <f>SUM(F37:F38)</f>
        <v>1814491</v>
      </c>
      <c r="G36" s="1765">
        <f t="shared" ref="G36" si="68">SUM(G37:G38)</f>
        <v>0</v>
      </c>
      <c r="H36" s="1765">
        <f>SUM(H37:H38)</f>
        <v>1814491</v>
      </c>
      <c r="I36" s="1767">
        <f t="shared" si="3"/>
        <v>9.3916149007256529</v>
      </c>
      <c r="J36" s="1768">
        <f t="shared" si="0"/>
        <v>1</v>
      </c>
      <c r="K36" s="1765">
        <f>SUM(K37:K38)</f>
        <v>1814491</v>
      </c>
      <c r="L36" s="1765">
        <f t="shared" ref="L36" si="69">SUM(L37:L38)</f>
        <v>0</v>
      </c>
      <c r="M36" s="1765">
        <f>SUM(M37:M38)</f>
        <v>3101719</v>
      </c>
      <c r="N36" s="1767">
        <f t="shared" si="8"/>
        <v>14.15702661784357</v>
      </c>
      <c r="O36" s="1773"/>
      <c r="P36" s="1765">
        <f>SUM(P37:P38)</f>
        <v>3101719</v>
      </c>
      <c r="Q36" s="1765">
        <f t="shared" ref="Q36" si="70">SUM(Q37:Q38)</f>
        <v>0</v>
      </c>
      <c r="R36" s="1765">
        <f>SUM(R37:R38)</f>
        <v>3101719</v>
      </c>
      <c r="S36" s="1785"/>
      <c r="T36" s="1785"/>
      <c r="U36" s="1765">
        <f>SUM(U37:U38)</f>
        <v>3101719</v>
      </c>
      <c r="V36" s="1765">
        <f t="shared" ref="V36" si="71">SUM(V37:V38)</f>
        <v>0</v>
      </c>
      <c r="W36" s="1765">
        <f>SUM(W37:W38)</f>
        <v>3101719</v>
      </c>
      <c r="X36" s="1785"/>
      <c r="Y36" s="1786"/>
      <c r="Z36" s="1765">
        <f>SUM(Z37:Z38)</f>
        <v>3101719</v>
      </c>
      <c r="AA36" s="1765">
        <f t="shared" ref="AA36" si="72">SUM(AA37:AA38)</f>
        <v>0</v>
      </c>
      <c r="AB36" s="1765">
        <f>SUM(AB37:AB38)</f>
        <v>3101719</v>
      </c>
      <c r="AC36" s="1785"/>
      <c r="AD36" s="1785"/>
      <c r="AE36" s="1765">
        <f>SUM(AE37:AE38)</f>
        <v>3101719</v>
      </c>
      <c r="AF36" s="1765">
        <f t="shared" ref="AF36" si="73">SUM(AF37:AF38)</f>
        <v>0</v>
      </c>
      <c r="AG36" s="1765">
        <f>SUM(AG37:AG38)</f>
        <v>3101719</v>
      </c>
      <c r="AH36" s="1785"/>
      <c r="AI36" s="1785"/>
      <c r="AJ36" s="1765">
        <f>SUM(AJ37:AJ38)</f>
        <v>3101719</v>
      </c>
      <c r="AK36" s="1765">
        <f t="shared" ref="AK36" si="74">SUM(AK37:AK38)</f>
        <v>0</v>
      </c>
      <c r="AL36" s="1765">
        <f>SUM(AL37:AL38)</f>
        <v>3101719</v>
      </c>
      <c r="AM36" s="1785"/>
      <c r="AN36" s="1785"/>
      <c r="AO36" s="1765">
        <f>SUM(AO37:AO38)</f>
        <v>3101719</v>
      </c>
      <c r="AP36" s="1765">
        <f t="shared" ref="AP36" si="75">SUM(AP37:AP38)</f>
        <v>0</v>
      </c>
      <c r="AQ36" s="1765">
        <f>SUM(AQ37:AQ38)</f>
        <v>9305157</v>
      </c>
      <c r="AR36" s="1785"/>
      <c r="AS36" s="1786"/>
      <c r="AT36" s="1765">
        <f>SUM(AT37:AT38)</f>
        <v>9305157</v>
      </c>
      <c r="AU36" s="1765">
        <f t="shared" ref="AU36" si="76">SUM(AU37:AU38)</f>
        <v>0</v>
      </c>
    </row>
    <row r="37" spans="1:47" hidden="1">
      <c r="A37" s="1814" t="s">
        <v>99</v>
      </c>
      <c r="B37" s="1815" t="s">
        <v>100</v>
      </c>
      <c r="C37" s="1765">
        <f>SUM(F37:G37)</f>
        <v>1681570</v>
      </c>
      <c r="D37" s="196">
        <f t="shared" ref="D37:D47" si="77">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c r="AQ37" s="1765">
        <f>SUM(AT37:AU37)</f>
        <v>8911440</v>
      </c>
      <c r="AR37" s="35"/>
      <c r="AS37" s="35"/>
      <c r="AT37" s="41">
        <f>+Z37+U37+P37</f>
        <v>8911440</v>
      </c>
      <c r="AU37" s="41">
        <f t="shared" ref="AU37" si="78">+AA37+V37+Q37</f>
        <v>0</v>
      </c>
    </row>
    <row r="38" spans="1:47" hidden="1">
      <c r="A38" s="1814" t="s">
        <v>101</v>
      </c>
      <c r="B38" s="1815" t="s">
        <v>102</v>
      </c>
      <c r="C38" s="1765">
        <f>SUM(F38:G38)</f>
        <v>132921</v>
      </c>
      <c r="D38" s="196">
        <f t="shared" si="77"/>
        <v>132921</v>
      </c>
      <c r="E38" s="1748">
        <f t="shared" si="2"/>
        <v>0.69828088476408967</v>
      </c>
      <c r="F38" s="1765">
        <f>'Phụ lục số I'!H61</f>
        <v>132921</v>
      </c>
      <c r="G38" s="1765"/>
      <c r="H38" s="1765">
        <f>SUM(K38:L38)</f>
        <v>132921</v>
      </c>
      <c r="I38" s="35"/>
      <c r="J38" s="1768">
        <f t="shared" si="0"/>
        <v>1</v>
      </c>
      <c r="K38" s="41">
        <f t="shared" ref="K38:L38" si="79">F38</f>
        <v>132921</v>
      </c>
      <c r="L38" s="41">
        <f t="shared" si="79"/>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c r="AQ38" s="1765">
        <f>SUM(AT38:AU38)</f>
        <v>393717</v>
      </c>
      <c r="AR38" s="35"/>
      <c r="AS38" s="35"/>
      <c r="AT38" s="41">
        <f>+Z38+U38+P38</f>
        <v>393717</v>
      </c>
      <c r="AU38" s="41">
        <f t="shared" ref="AU38" si="80">+AA38+V38+Q38</f>
        <v>0</v>
      </c>
    </row>
    <row r="39" spans="1:47">
      <c r="A39" s="1783">
        <v>2</v>
      </c>
      <c r="B39" s="1784" t="s">
        <v>179</v>
      </c>
      <c r="C39" s="1765">
        <f>SUM(C40:C41)</f>
        <v>174485</v>
      </c>
      <c r="D39" s="1765">
        <f>SUM(D40:D41)</f>
        <v>174485</v>
      </c>
      <c r="E39" s="1748">
        <f t="shared" si="2"/>
        <v>0.91663123342483266</v>
      </c>
      <c r="F39" s="1765">
        <f>SUM(F40:F41)</f>
        <v>174485</v>
      </c>
      <c r="G39" s="1765">
        <f t="shared" ref="G39" si="81">SUM(G40:G41)</f>
        <v>0</v>
      </c>
      <c r="H39" s="1765">
        <f>SUM(H40:H41)</f>
        <v>174485</v>
      </c>
      <c r="I39" s="1767">
        <f t="shared" ref="I39" si="82">H39/$H$9*100</f>
        <v>0.9031160396789597</v>
      </c>
      <c r="J39" s="1768">
        <f t="shared" si="0"/>
        <v>1</v>
      </c>
      <c r="K39" s="1765">
        <f>SUM(K40:K41)</f>
        <v>174485</v>
      </c>
      <c r="L39" s="1765">
        <f t="shared" ref="L39" si="83">SUM(L40:L41)</f>
        <v>0</v>
      </c>
      <c r="M39" s="1765">
        <f>SUM(M40:M41)</f>
        <v>195063.8</v>
      </c>
      <c r="N39" s="1767">
        <f t="shared" ref="N39" si="84">M39/$M$9*100</f>
        <v>0.89032030586191546</v>
      </c>
      <c r="O39" s="1773"/>
      <c r="P39" s="1765">
        <f>SUM(P40:P41)</f>
        <v>195063.8</v>
      </c>
      <c r="Q39" s="1765">
        <f t="shared" ref="Q39" si="85">SUM(Q40:Q41)</f>
        <v>0</v>
      </c>
      <c r="R39" s="1765">
        <f>SUM(R40:R41)</f>
        <v>195063.8</v>
      </c>
      <c r="S39" s="1785"/>
      <c r="T39" s="1785"/>
      <c r="U39" s="1765">
        <f>SUM(U40:U41)</f>
        <v>195063.8</v>
      </c>
      <c r="V39" s="1765">
        <f t="shared" ref="V39" si="86">SUM(V40:V41)</f>
        <v>0</v>
      </c>
      <c r="W39" s="1765">
        <f>SUM(W40:W41)</f>
        <v>195063.8</v>
      </c>
      <c r="X39" s="1785"/>
      <c r="Y39" s="1786"/>
      <c r="Z39" s="1765">
        <f>SUM(Z40:Z41)</f>
        <v>195063.8</v>
      </c>
      <c r="AA39" s="1765">
        <f t="shared" ref="AA39" si="87">SUM(AA40:AA41)</f>
        <v>0</v>
      </c>
      <c r="AB39" s="1765">
        <f>SUM(AB40:AB41)</f>
        <v>195063.8</v>
      </c>
      <c r="AC39" s="1785"/>
      <c r="AD39" s="1785"/>
      <c r="AE39" s="1765">
        <f>SUM(AE40:AE41)</f>
        <v>195063.8</v>
      </c>
      <c r="AF39" s="1765">
        <f t="shared" ref="AF39" si="88">SUM(AF40:AF41)</f>
        <v>0</v>
      </c>
      <c r="AG39" s="1765">
        <f>SUM(AG40:AG41)</f>
        <v>195063.8</v>
      </c>
      <c r="AH39" s="1785"/>
      <c r="AI39" s="1785"/>
      <c r="AJ39" s="1765">
        <f>SUM(AJ40:AJ41)</f>
        <v>195063.8</v>
      </c>
      <c r="AK39" s="1765">
        <f t="shared" ref="AK39" si="89">SUM(AK40:AK41)</f>
        <v>0</v>
      </c>
      <c r="AL39" s="1765">
        <f>SUM(AL40:AL41)</f>
        <v>195063.8</v>
      </c>
      <c r="AM39" s="1785"/>
      <c r="AN39" s="1785"/>
      <c r="AO39" s="1765">
        <f>SUM(AO40:AO41)</f>
        <v>195063.8</v>
      </c>
      <c r="AP39" s="1765">
        <f t="shared" ref="AP39" si="90">SUM(AP40:AP41)</f>
        <v>0</v>
      </c>
      <c r="AQ39" s="1765">
        <f>SUM(AQ40:AQ41)</f>
        <v>585191.4</v>
      </c>
      <c r="AR39" s="1785"/>
      <c r="AS39" s="35"/>
      <c r="AT39" s="41">
        <f>SUM(AT40:AT41)</f>
        <v>585191.4</v>
      </c>
      <c r="AU39" s="41">
        <f t="shared" ref="AU39" si="91">SUM(AU40:AU41)</f>
        <v>0</v>
      </c>
    </row>
    <row r="40" spans="1:47" hidden="1">
      <c r="A40" s="1814" t="s">
        <v>99</v>
      </c>
      <c r="B40" s="1815" t="s">
        <v>103</v>
      </c>
      <c r="C40" s="1765">
        <f>SUM(F40:G40)</f>
        <v>72469</v>
      </c>
      <c r="D40" s="196">
        <f t="shared" si="77"/>
        <v>72469</v>
      </c>
      <c r="E40" s="1748">
        <f t="shared" si="2"/>
        <v>0.38070521165179927</v>
      </c>
      <c r="F40" s="1765">
        <f>'Phụ lục số I'!H63</f>
        <v>72469</v>
      </c>
      <c r="G40" s="1765"/>
      <c r="H40" s="1765">
        <f>SUM(K40:L40)</f>
        <v>72469</v>
      </c>
      <c r="I40" s="35"/>
      <c r="J40" s="1768">
        <f t="shared" si="0"/>
        <v>1</v>
      </c>
      <c r="K40" s="41">
        <f t="shared" ref="K40:L41" si="92">F40</f>
        <v>72469</v>
      </c>
      <c r="L40" s="41">
        <f t="shared" si="92"/>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c r="AQ40" s="1765">
        <f>SUM(AT40:AU40)</f>
        <v>260888.40000000002</v>
      </c>
      <c r="AR40" s="35"/>
      <c r="AS40" s="35"/>
      <c r="AT40" s="41">
        <f>+Z40+U40+P40</f>
        <v>260888.40000000002</v>
      </c>
      <c r="AU40" s="41">
        <f t="shared" ref="AU40:AU41" si="93">+AA40+V40+Q40</f>
        <v>0</v>
      </c>
    </row>
    <row r="41" spans="1:47" hidden="1">
      <c r="A41" s="1814" t="s">
        <v>101</v>
      </c>
      <c r="B41" s="1815" t="s">
        <v>102</v>
      </c>
      <c r="C41" s="1765">
        <f>SUM(F41:G41)</f>
        <v>102016</v>
      </c>
      <c r="D41" s="196">
        <f t="shared" si="77"/>
        <v>102016</v>
      </c>
      <c r="E41" s="1748">
        <f t="shared" si="2"/>
        <v>0.53592602177303339</v>
      </c>
      <c r="F41" s="1765">
        <f>'Phụ lục số I'!H64</f>
        <v>102016</v>
      </c>
      <c r="G41" s="1765"/>
      <c r="H41" s="1765">
        <f>SUM(K41:L41)</f>
        <v>102016</v>
      </c>
      <c r="I41" s="35"/>
      <c r="J41" s="1768">
        <f t="shared" si="0"/>
        <v>1</v>
      </c>
      <c r="K41" s="41">
        <f t="shared" si="92"/>
        <v>102016</v>
      </c>
      <c r="L41" s="41">
        <f t="shared" si="92"/>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c r="AQ41" s="1765">
        <f>SUM(AT41:AU41)</f>
        <v>324303</v>
      </c>
      <c r="AR41" s="35"/>
      <c r="AS41" s="35"/>
      <c r="AT41" s="41">
        <f>+Z41+U41+P41</f>
        <v>324303</v>
      </c>
      <c r="AU41" s="41">
        <f t="shared" si="93"/>
        <v>0</v>
      </c>
    </row>
    <row r="42" spans="1:47">
      <c r="A42" s="1783">
        <v>3</v>
      </c>
      <c r="B42" s="1784" t="s">
        <v>180</v>
      </c>
      <c r="C42" s="1765">
        <f>SUM(C43:C44)</f>
        <v>0</v>
      </c>
      <c r="D42" s="1765">
        <f>SUM(D43:D44)</f>
        <v>0</v>
      </c>
      <c r="E42" s="1785"/>
      <c r="F42" s="1765">
        <f>SUM(F43:F44)</f>
        <v>0</v>
      </c>
      <c r="G42" s="1765">
        <f>SUM(G43:G44)</f>
        <v>0</v>
      </c>
      <c r="H42" s="1765">
        <f>SUM(H43:H44)</f>
        <v>138559</v>
      </c>
      <c r="I42" s="1767">
        <f t="shared" ref="I42" si="94">H42/$H$9*100</f>
        <v>0.71716683578460605</v>
      </c>
      <c r="J42" s="1768" t="e">
        <f t="shared" si="0"/>
        <v>#DIV/0!</v>
      </c>
      <c r="K42" s="1765">
        <f>SUM(K43:K44)</f>
        <v>138559</v>
      </c>
      <c r="L42" s="1765">
        <f>SUM(L43:L44)</f>
        <v>0</v>
      </c>
      <c r="M42" s="1765">
        <f>SUM(M43:M44)</f>
        <v>379266</v>
      </c>
      <c r="N42" s="1767">
        <f t="shared" ref="N42" si="95">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c r="AQ42" s="1765">
        <f>SUM(AQ43:AQ44)</f>
        <v>1137798</v>
      </c>
      <c r="AR42" s="1785"/>
      <c r="AS42" s="35"/>
      <c r="AT42" s="1765">
        <f>SUM(AT43:AT44)</f>
        <v>1137798</v>
      </c>
      <c r="AU42" s="1765">
        <f t="shared" ref="AU42" si="96">SUM(AU43:AU44)</f>
        <v>0</v>
      </c>
    </row>
    <row r="43" spans="1:47" hidden="1">
      <c r="A43" s="1814" t="s">
        <v>99</v>
      </c>
      <c r="B43" s="1815" t="s">
        <v>104</v>
      </c>
      <c r="C43" s="1765">
        <f>SUM(F43:G43)</f>
        <v>0</v>
      </c>
      <c r="D43" s="196">
        <f t="shared" si="77"/>
        <v>0</v>
      </c>
      <c r="E43" s="1785"/>
      <c r="F43" s="1765"/>
      <c r="G43" s="1765"/>
      <c r="H43" s="1765">
        <f>SUM(K43:L43)</f>
        <v>0</v>
      </c>
      <c r="I43" s="35"/>
      <c r="J43" s="1768" t="e">
        <f t="shared" si="0"/>
        <v>#DIV/0!</v>
      </c>
      <c r="K43" s="41">
        <f t="shared" ref="K43:L44" si="97">F43</f>
        <v>0</v>
      </c>
      <c r="L43" s="41">
        <f t="shared" si="97"/>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c r="AQ43" s="1765">
        <f>SUM(AT43:AU43)</f>
        <v>0</v>
      </c>
      <c r="AR43" s="35"/>
      <c r="AS43" s="35"/>
      <c r="AT43" s="41">
        <f>+Z43+U43+P43</f>
        <v>0</v>
      </c>
      <c r="AU43" s="41">
        <f>+AA43+V43+Q43</f>
        <v>0</v>
      </c>
    </row>
    <row r="44" spans="1:47" hidden="1">
      <c r="A44" s="1814" t="s">
        <v>101</v>
      </c>
      <c r="B44" s="1815" t="s">
        <v>105</v>
      </c>
      <c r="C44" s="1765">
        <f t="shared" ref="C44" si="98">SUM(F44:G44)</f>
        <v>0</v>
      </c>
      <c r="D44" s="196">
        <f t="shared" si="77"/>
        <v>0</v>
      </c>
      <c r="E44" s="1785"/>
      <c r="F44" s="1765"/>
      <c r="G44" s="1765"/>
      <c r="H44" s="1765">
        <f>SUM(K44:L44)</f>
        <v>138559</v>
      </c>
      <c r="I44" s="35"/>
      <c r="J44" s="1768" t="e">
        <f t="shared" si="0"/>
        <v>#DIV/0!</v>
      </c>
      <c r="K44" s="41">
        <f>'Phụ lục số I'!O67</f>
        <v>138559</v>
      </c>
      <c r="L44" s="41">
        <f t="shared" si="97"/>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c r="AQ44" s="1765">
        <f>SUM(AT44:AU44)</f>
        <v>1137798</v>
      </c>
      <c r="AR44" s="35"/>
      <c r="AS44" s="35"/>
      <c r="AT44" s="41">
        <f>+Z44+U44+P44</f>
        <v>1137798</v>
      </c>
      <c r="AU44" s="41">
        <f>+AA44+V44+Q44</f>
        <v>0</v>
      </c>
    </row>
    <row r="45" spans="1:47" s="31" customFormat="1">
      <c r="A45" s="1780" t="s">
        <v>182</v>
      </c>
      <c r="B45" s="1781" t="s">
        <v>181</v>
      </c>
      <c r="C45" s="1570"/>
      <c r="D45" s="195">
        <f t="shared" si="77"/>
        <v>0</v>
      </c>
      <c r="E45" s="1789"/>
      <c r="F45" s="1570"/>
      <c r="G45" s="1570"/>
      <c r="H45" s="1759"/>
      <c r="I45" s="1759"/>
      <c r="J45" s="1750"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c r="AQ45" s="1760">
        <f>SUM(AT45:AU45)</f>
        <v>0</v>
      </c>
      <c r="AR45" s="1759"/>
      <c r="AS45" s="1759"/>
      <c r="AT45" s="1759"/>
      <c r="AU45" s="1759"/>
    </row>
    <row r="46" spans="1:47" s="31" customFormat="1">
      <c r="A46" s="1812" t="s">
        <v>37</v>
      </c>
      <c r="B46" s="1816" t="s">
        <v>183</v>
      </c>
      <c r="C46" s="1570"/>
      <c r="D46" s="195">
        <f t="shared" si="77"/>
        <v>0</v>
      </c>
      <c r="E46" s="1789"/>
      <c r="F46" s="1570"/>
      <c r="G46" s="1570"/>
      <c r="H46" s="1759"/>
      <c r="I46" s="1759"/>
      <c r="J46" s="1750"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c r="AQ46" s="1570"/>
      <c r="AR46" s="1759"/>
      <c r="AS46" s="1759"/>
      <c r="AT46" s="1759"/>
      <c r="AU46" s="1759"/>
    </row>
    <row r="47" spans="1:47" s="31" customFormat="1">
      <c r="A47" s="1817" t="s">
        <v>44</v>
      </c>
      <c r="B47" s="1818" t="s">
        <v>184</v>
      </c>
      <c r="C47" s="1791"/>
      <c r="D47" s="1792">
        <f t="shared" si="77"/>
        <v>0</v>
      </c>
      <c r="E47" s="1793"/>
      <c r="F47" s="1791"/>
      <c r="G47" s="1791"/>
      <c r="H47" s="1794"/>
      <c r="I47" s="1794"/>
      <c r="J47" s="1819"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c r="AQ47" s="1791"/>
      <c r="AR47" s="1794"/>
      <c r="AS47" s="1794"/>
      <c r="AT47" s="1794"/>
      <c r="AU47" s="1794"/>
    </row>
    <row r="49" spans="1:48">
      <c r="H49" s="32"/>
      <c r="O49" s="32"/>
      <c r="AV49" s="30" t="s">
        <v>117</v>
      </c>
    </row>
    <row r="50" spans="1:48">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8">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c r="AQ51" s="32">
        <f>+'Phụ lục số IX'!AL70</f>
        <v>65591210.430007137</v>
      </c>
    </row>
    <row r="52" spans="1:48">
      <c r="H52" s="32"/>
      <c r="M52" s="32">
        <f>M51-M9</f>
        <v>0.19594352319836617</v>
      </c>
      <c r="R52" s="32">
        <f>R51-R9</f>
        <v>0.13032336533069611</v>
      </c>
      <c r="W52" s="32">
        <f>W51-W9</f>
        <v>-0.36055499315261841</v>
      </c>
      <c r="AB52" s="32">
        <f>AB51-AB9</f>
        <v>-616133.23736639321</v>
      </c>
      <c r="AG52" s="32">
        <f>AG51-AG9</f>
        <v>-284136.44699073583</v>
      </c>
      <c r="AL52" s="32">
        <f>AL51-AL9</f>
        <v>-288529.84032297134</v>
      </c>
      <c r="AQ52" s="32">
        <f>+AQ9-AQ51</f>
        <v>601218.034288086</v>
      </c>
    </row>
    <row r="53" spans="1:48">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c r="AQ53" s="30">
        <f>+'Phụ lục số IX'!AL73</f>
        <v>54563064.030007131</v>
      </c>
    </row>
    <row r="54" spans="1:48">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c r="AQ54" s="32">
        <f>+AQ10-AQ53</f>
        <v>601218.03428809345</v>
      </c>
    </row>
    <row r="59" spans="1:48">
      <c r="A59" s="1799" t="s">
        <v>312</v>
      </c>
      <c r="B59" s="31" t="s">
        <v>311</v>
      </c>
      <c r="M59" s="1733">
        <f>SUM(M60:M65)</f>
        <v>270000</v>
      </c>
      <c r="N59" s="1733"/>
      <c r="O59" s="1733"/>
      <c r="P59" s="1733">
        <f>SUM(P60:P65)</f>
        <v>270000</v>
      </c>
      <c r="Q59" s="1733">
        <f t="shared" ref="Q59" si="99">SUM(Q60:Q65)</f>
        <v>0</v>
      </c>
      <c r="R59" s="1733">
        <f>SUM(R60:R65)</f>
        <v>310000</v>
      </c>
      <c r="U59" s="1733">
        <f>SUM(U60:U65)</f>
        <v>310000</v>
      </c>
      <c r="V59" s="1733">
        <f t="shared" ref="V59" si="100">SUM(V60:V65)</f>
        <v>0</v>
      </c>
      <c r="W59" s="1733">
        <f>SUM(W60:W65)</f>
        <v>350000</v>
      </c>
      <c r="X59" s="32"/>
      <c r="Y59" s="32"/>
      <c r="Z59" s="1733">
        <f>SUM(Z60:Z65)</f>
        <v>350000</v>
      </c>
      <c r="AA59" s="1733">
        <f t="shared" ref="AA59" si="101">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8">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8">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8">
      <c r="A62" s="1731">
        <v>3</v>
      </c>
      <c r="B62" s="30" t="s">
        <v>314</v>
      </c>
      <c r="M62" s="1733">
        <f t="shared" ref="M62:M65" si="102">SUM(P62:Q62)</f>
        <v>100000</v>
      </c>
      <c r="N62" s="1733"/>
      <c r="O62" s="1733"/>
      <c r="P62" s="1733">
        <v>100000</v>
      </c>
      <c r="Q62" s="1733"/>
      <c r="R62" s="1733">
        <f t="shared" ref="R62:R65" si="103">SUM(U62:V62)</f>
        <v>150000</v>
      </c>
      <c r="U62" s="1733">
        <v>150000</v>
      </c>
      <c r="V62" s="1733"/>
      <c r="W62" s="1733">
        <f t="shared" ref="W62:W65" si="104">SUM(Z62:AA62)</f>
        <v>200000</v>
      </c>
      <c r="X62" s="32"/>
      <c r="Y62" s="32"/>
      <c r="Z62" s="32">
        <v>200000</v>
      </c>
      <c r="AA62" s="32"/>
      <c r="AB62" s="1733">
        <f t="shared" ref="AB62:AB65" si="105">SUM(AE62:AF62)</f>
        <v>800000</v>
      </c>
      <c r="AC62" s="32"/>
      <c r="AD62" s="32"/>
      <c r="AE62" s="32">
        <v>800000</v>
      </c>
      <c r="AG62" s="1733">
        <f t="shared" ref="AG62:AG65" si="106">SUM(AJ62:AK62)</f>
        <v>800000</v>
      </c>
      <c r="AH62" s="32"/>
      <c r="AI62" s="32"/>
      <c r="AJ62" s="32">
        <v>800000</v>
      </c>
      <c r="AL62" s="1733">
        <f t="shared" ref="AL62:AL65" si="107">SUM(AO62:AP62)</f>
        <v>800000</v>
      </c>
      <c r="AM62" s="32"/>
      <c r="AN62" s="32"/>
      <c r="AO62" s="32">
        <v>800000</v>
      </c>
    </row>
    <row r="63" spans="1:48">
      <c r="A63" s="1731">
        <v>4</v>
      </c>
      <c r="B63" s="30" t="s">
        <v>316</v>
      </c>
      <c r="M63" s="1733">
        <f t="shared" si="102"/>
        <v>30000</v>
      </c>
      <c r="N63" s="1733"/>
      <c r="O63" s="1733"/>
      <c r="P63" s="1733">
        <v>30000</v>
      </c>
      <c r="Q63" s="1733"/>
      <c r="R63" s="1733">
        <f t="shared" si="103"/>
        <v>30000</v>
      </c>
      <c r="U63" s="1733">
        <v>30000</v>
      </c>
      <c r="V63" s="1733"/>
      <c r="W63" s="1733">
        <f t="shared" si="104"/>
        <v>30000</v>
      </c>
      <c r="X63" s="32"/>
      <c r="Y63" s="32"/>
      <c r="Z63" s="32">
        <v>30000</v>
      </c>
      <c r="AA63" s="32"/>
      <c r="AB63" s="1733">
        <f t="shared" si="105"/>
        <v>60000</v>
      </c>
      <c r="AC63" s="32"/>
      <c r="AD63" s="32"/>
      <c r="AE63" s="32">
        <v>60000</v>
      </c>
      <c r="AG63" s="1733">
        <f t="shared" si="106"/>
        <v>100000</v>
      </c>
      <c r="AH63" s="32"/>
      <c r="AI63" s="32"/>
      <c r="AJ63" s="32">
        <v>100000</v>
      </c>
      <c r="AL63" s="1733">
        <f t="shared" si="107"/>
        <v>200000</v>
      </c>
      <c r="AM63" s="32"/>
      <c r="AN63" s="32"/>
      <c r="AO63" s="32">
        <f>100000+50000+50000</f>
        <v>200000</v>
      </c>
    </row>
    <row r="64" spans="1:48">
      <c r="A64" s="1731">
        <v>5</v>
      </c>
      <c r="M64" s="1733">
        <f t="shared" si="102"/>
        <v>0</v>
      </c>
      <c r="N64" s="1733"/>
      <c r="O64" s="1733"/>
      <c r="P64" s="1733"/>
      <c r="Q64" s="1733"/>
      <c r="R64" s="1733">
        <f t="shared" si="103"/>
        <v>0</v>
      </c>
      <c r="U64" s="1733"/>
      <c r="V64" s="1733"/>
      <c r="W64" s="1733">
        <f t="shared" si="104"/>
        <v>0</v>
      </c>
      <c r="X64" s="32"/>
      <c r="Y64" s="32"/>
      <c r="Z64" s="32"/>
      <c r="AA64" s="32"/>
      <c r="AB64" s="1733">
        <f t="shared" si="105"/>
        <v>50000</v>
      </c>
      <c r="AC64" s="32"/>
      <c r="AD64" s="32"/>
      <c r="AE64" s="32">
        <v>50000</v>
      </c>
      <c r="AG64" s="1733">
        <f t="shared" si="106"/>
        <v>50000</v>
      </c>
      <c r="AH64" s="32"/>
      <c r="AI64" s="32"/>
      <c r="AJ64" s="32">
        <v>50000</v>
      </c>
      <c r="AL64" s="1733">
        <f t="shared" si="107"/>
        <v>35000</v>
      </c>
      <c r="AM64" s="32"/>
      <c r="AN64" s="32"/>
      <c r="AO64" s="32">
        <v>35000</v>
      </c>
    </row>
    <row r="65" spans="1:41 16384:16384">
      <c r="A65" s="1731">
        <v>6</v>
      </c>
      <c r="M65" s="1733">
        <f t="shared" si="102"/>
        <v>0</v>
      </c>
      <c r="N65" s="1733"/>
      <c r="O65" s="1733"/>
      <c r="P65" s="1733"/>
      <c r="Q65" s="1733"/>
      <c r="R65" s="1733">
        <f t="shared" si="103"/>
        <v>0</v>
      </c>
      <c r="U65" s="1733"/>
      <c r="V65" s="1733"/>
      <c r="W65" s="1733">
        <f t="shared" si="104"/>
        <v>0</v>
      </c>
      <c r="X65" s="32"/>
      <c r="Y65" s="32"/>
      <c r="Z65" s="32"/>
      <c r="AA65" s="32"/>
      <c r="AB65" s="1733">
        <f t="shared" si="105"/>
        <v>0</v>
      </c>
      <c r="AC65" s="32"/>
      <c r="AD65" s="32"/>
      <c r="AE65" s="32"/>
      <c r="AG65" s="1733">
        <f t="shared" si="106"/>
        <v>0</v>
      </c>
      <c r="AH65" s="32"/>
      <c r="AI65" s="32"/>
      <c r="AJ65" s="32"/>
      <c r="AL65" s="1733">
        <f t="shared" si="107"/>
        <v>0</v>
      </c>
      <c r="AM65" s="32"/>
      <c r="AN65" s="32"/>
      <c r="AO65" s="32"/>
    </row>
    <row r="66" spans="1:41 16384:16384">
      <c r="H66" s="32">
        <f>+H17-C17</f>
        <v>1101707.2109508011</v>
      </c>
    </row>
    <row r="67" spans="1:41 16384:16384">
      <c r="A67" s="1731" t="s">
        <v>312</v>
      </c>
      <c r="B67" s="30" t="s">
        <v>942</v>
      </c>
      <c r="H67" s="6067" t="s">
        <v>1430</v>
      </c>
      <c r="I67" s="6067"/>
      <c r="J67" s="6067"/>
      <c r="K67" s="6067"/>
      <c r="L67" s="6067"/>
      <c r="M67" s="6067" t="s">
        <v>1431</v>
      </c>
      <c r="N67" s="6067"/>
      <c r="O67" s="6067"/>
      <c r="P67" s="6067"/>
      <c r="Q67" s="6067"/>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08">SUM(K71:L71)</f>
        <v>0</v>
      </c>
      <c r="I71" s="1804"/>
      <c r="J71" s="1804"/>
      <c r="K71" s="1804"/>
      <c r="L71" s="1804"/>
      <c r="M71" s="1805">
        <f t="shared" ref="M71:M74" si="109">SUM(P71:Q71)</f>
        <v>0</v>
      </c>
      <c r="P71" s="32">
        <f t="shared" ref="P71:Q72" si="110">+K71/6*12</f>
        <v>0</v>
      </c>
      <c r="Q71" s="32">
        <f t="shared" si="110"/>
        <v>0</v>
      </c>
    </row>
    <row r="72" spans="1:41 16384:16384" hidden="1">
      <c r="B72" s="30" t="s">
        <v>947</v>
      </c>
      <c r="H72" s="1804">
        <f t="shared" si="108"/>
        <v>0</v>
      </c>
      <c r="I72" s="1804"/>
      <c r="J72" s="1804"/>
      <c r="K72" s="1804"/>
      <c r="L72" s="1804"/>
      <c r="M72" s="1805">
        <f t="shared" si="109"/>
        <v>0</v>
      </c>
      <c r="P72" s="32">
        <f t="shared" si="110"/>
        <v>0</v>
      </c>
      <c r="Q72" s="32">
        <f t="shared" si="110"/>
        <v>0</v>
      </c>
    </row>
    <row r="73" spans="1:41 16384:16384" s="31" customFormat="1">
      <c r="A73" s="1799">
        <v>3</v>
      </c>
      <c r="B73" s="31" t="s">
        <v>949</v>
      </c>
      <c r="H73" s="1800">
        <f t="shared" si="108"/>
        <v>7717</v>
      </c>
      <c r="I73" s="1800"/>
      <c r="J73" s="1800"/>
      <c r="K73" s="1800">
        <v>3363</v>
      </c>
      <c r="L73" s="1800">
        <v>4354</v>
      </c>
      <c r="M73" s="1801">
        <f t="shared" si="109"/>
        <v>14813</v>
      </c>
      <c r="P73" s="32">
        <v>6105</v>
      </c>
      <c r="Q73" s="32">
        <v>8708</v>
      </c>
    </row>
    <row r="74" spans="1:41 16384:16384" s="31" customFormat="1">
      <c r="A74" s="1799">
        <v>4</v>
      </c>
      <c r="B74" s="31" t="s">
        <v>950</v>
      </c>
      <c r="H74" s="1800">
        <f t="shared" si="108"/>
        <v>18299</v>
      </c>
      <c r="I74" s="1800"/>
      <c r="J74" s="1800"/>
      <c r="K74" s="1800">
        <v>9233</v>
      </c>
      <c r="L74" s="1800">
        <v>9066</v>
      </c>
      <c r="M74" s="1801">
        <f t="shared" si="109"/>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11">+K77/6*12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12">SUM(K79:L79)</f>
        <v>93298</v>
      </c>
      <c r="I79" s="1800"/>
      <c r="J79" s="1800"/>
      <c r="K79" s="1800">
        <v>93298</v>
      </c>
      <c r="L79" s="1800"/>
      <c r="M79" s="1801">
        <f t="shared" ref="M79:M82" si="113">SUM(P79:Q79)</f>
        <v>186122</v>
      </c>
      <c r="P79" s="1802">
        <v>186122</v>
      </c>
      <c r="Q79" s="1802"/>
    </row>
    <row r="80" spans="1:41 16384:16384" s="31" customFormat="1">
      <c r="A80" s="1799">
        <v>8</v>
      </c>
      <c r="B80" s="31" t="s">
        <v>954</v>
      </c>
      <c r="H80" s="1800">
        <f t="shared" si="112"/>
        <v>0</v>
      </c>
      <c r="I80" s="1800"/>
      <c r="J80" s="1800"/>
      <c r="K80" s="1800"/>
      <c r="L80" s="1800"/>
      <c r="M80" s="1801">
        <f t="shared" si="113"/>
        <v>0</v>
      </c>
      <c r="P80" s="1802"/>
      <c r="Q80" s="1802"/>
    </row>
    <row r="81" spans="1:18" s="31" customFormat="1">
      <c r="A81" s="1799">
        <v>9</v>
      </c>
      <c r="B81" s="31" t="s">
        <v>955</v>
      </c>
      <c r="H81" s="1800">
        <f t="shared" si="112"/>
        <v>1423</v>
      </c>
      <c r="I81" s="1800"/>
      <c r="J81" s="1800"/>
      <c r="K81" s="1800">
        <v>1423</v>
      </c>
      <c r="L81" s="1800"/>
      <c r="M81" s="1801">
        <f t="shared" si="113"/>
        <v>2846</v>
      </c>
      <c r="P81" s="1802">
        <v>2846</v>
      </c>
      <c r="Q81" s="1802">
        <f t="shared" ref="Q81:Q82" si="114">+L81/6*12</f>
        <v>0</v>
      </c>
    </row>
    <row r="82" spans="1:18" s="31" customFormat="1">
      <c r="A82" s="1799">
        <v>10</v>
      </c>
      <c r="B82" s="31" t="s">
        <v>956</v>
      </c>
      <c r="H82" s="1800">
        <f t="shared" si="112"/>
        <v>0</v>
      </c>
      <c r="I82" s="1800"/>
      <c r="J82" s="1800"/>
      <c r="K82" s="1800"/>
      <c r="L82" s="1800"/>
      <c r="M82" s="1801">
        <f t="shared" si="113"/>
        <v>0</v>
      </c>
      <c r="P82" s="1802"/>
      <c r="Q82" s="1802">
        <f t="shared" si="114"/>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53">
    <mergeCell ref="AN7:AN8"/>
    <mergeCell ref="AO7:AP7"/>
    <mergeCell ref="H67:L67"/>
    <mergeCell ref="M67:Q67"/>
    <mergeCell ref="AQ6:AU6"/>
    <mergeCell ref="AQ7:AQ8"/>
    <mergeCell ref="AR7:AR8"/>
    <mergeCell ref="AS7:AS8"/>
    <mergeCell ref="AT7:AU7"/>
    <mergeCell ref="AG7:AG8"/>
    <mergeCell ref="AH7:AH8"/>
    <mergeCell ref="AI7:AI8"/>
    <mergeCell ref="AJ7:AK7"/>
    <mergeCell ref="AL7:AL8"/>
    <mergeCell ref="AM7:AM8"/>
    <mergeCell ref="Y7:Y8"/>
    <mergeCell ref="Z7:AA7"/>
    <mergeCell ref="AB7:AB8"/>
    <mergeCell ref="AC7:AC8"/>
    <mergeCell ref="AD7:AD8"/>
    <mergeCell ref="AE7:AF7"/>
    <mergeCell ref="X7:X8"/>
    <mergeCell ref="J7:J8"/>
    <mergeCell ref="K7:L7"/>
    <mergeCell ref="M7:M8"/>
    <mergeCell ref="N7:N8"/>
    <mergeCell ref="O7:O8"/>
    <mergeCell ref="P7:Q7"/>
    <mergeCell ref="R7:R8"/>
    <mergeCell ref="S7:S8"/>
    <mergeCell ref="T7:T8"/>
    <mergeCell ref="U7:V7"/>
    <mergeCell ref="W7:W8"/>
    <mergeCell ref="R6:V6"/>
    <mergeCell ref="W6:AA6"/>
    <mergeCell ref="AB6:AF6"/>
    <mergeCell ref="AG6:AK6"/>
    <mergeCell ref="AL6:AP6"/>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5"/>
  </sheetPr>
  <dimension ref="A1:AC101"/>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130.5546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20" width="13.5546875" style="47" customWidth="1"/>
    <col min="21" max="21" width="14.33203125" style="47" customWidth="1"/>
    <col min="22" max="23" width="13.5546875" style="47" customWidth="1"/>
    <col min="24" max="24" width="14.33203125" style="47" customWidth="1"/>
    <col min="25" max="26" width="13.5546875" style="47" customWidth="1"/>
    <col min="27" max="27" width="14.33203125" style="47" customWidth="1"/>
    <col min="28" max="29" width="13.5546875" style="47" customWidth="1"/>
    <col min="30" max="16384" width="9.109375" style="47"/>
  </cols>
  <sheetData>
    <row r="1" spans="1:29">
      <c r="A1" s="6080" t="s">
        <v>1438</v>
      </c>
      <c r="B1" s="6080"/>
      <c r="C1" s="6080"/>
      <c r="D1" s="6080"/>
      <c r="E1" s="6080"/>
      <c r="F1" s="6080"/>
      <c r="G1" s="6080"/>
      <c r="H1" s="6080"/>
      <c r="I1" s="6080"/>
      <c r="J1" s="6080"/>
      <c r="K1" s="6080"/>
      <c r="L1" s="49"/>
      <c r="M1" s="49"/>
      <c r="N1" s="49"/>
      <c r="O1" s="49"/>
      <c r="P1" s="49"/>
      <c r="Q1" s="49"/>
      <c r="R1" s="49"/>
      <c r="S1" s="49"/>
      <c r="T1" s="49"/>
    </row>
    <row r="2" spans="1:29">
      <c r="A2" s="6081" t="s">
        <v>232</v>
      </c>
      <c r="B2" s="6081"/>
      <c r="C2" s="6081"/>
      <c r="D2" s="6081"/>
      <c r="E2" s="6081"/>
      <c r="F2" s="6081"/>
      <c r="G2" s="6081"/>
      <c r="H2" s="6081"/>
      <c r="I2" s="6081"/>
      <c r="J2" s="6081"/>
      <c r="K2" s="6081"/>
      <c r="L2" s="1822"/>
      <c r="M2" s="1822"/>
      <c r="N2" s="1822"/>
      <c r="O2" s="1822"/>
      <c r="P2" s="1822"/>
      <c r="Q2" s="1822"/>
      <c r="R2" s="1822"/>
      <c r="S2" s="1822"/>
      <c r="T2" s="1822"/>
    </row>
    <row r="3" spans="1:29">
      <c r="A3" s="6082"/>
      <c r="B3" s="6082"/>
      <c r="C3" s="6082"/>
      <c r="D3" s="6082"/>
      <c r="E3" s="6082"/>
      <c r="F3" s="6082"/>
      <c r="G3" s="6082"/>
      <c r="H3" s="6082"/>
      <c r="I3" s="6082"/>
      <c r="J3" s="6082"/>
      <c r="K3" s="6082"/>
      <c r="L3" s="679"/>
      <c r="M3" s="679"/>
    </row>
    <row r="4" spans="1:29">
      <c r="I4" s="679"/>
      <c r="J4" s="679"/>
      <c r="L4" s="679"/>
      <c r="M4" s="679"/>
      <c r="O4" s="679"/>
      <c r="P4" s="679"/>
      <c r="U4" s="679">
        <f>+U10-W19-W28</f>
        <v>21358175.897346757</v>
      </c>
      <c r="V4" s="679">
        <f>+U4-U33</f>
        <v>-236867.23736638576</v>
      </c>
      <c r="X4" s="679">
        <f>+X10-Z19-Z28</f>
        <v>23442211.997964147</v>
      </c>
      <c r="Y4" s="679">
        <f>+X4-X33</f>
        <v>95129.553009264171</v>
      </c>
      <c r="AA4" s="679">
        <f>+AA10-AC19-AC28</f>
        <v>25080919.617009349</v>
      </c>
      <c r="AB4" s="679">
        <f>+AA4-AA33</f>
        <v>90736.159677024931</v>
      </c>
    </row>
    <row r="5" spans="1:29" ht="18.600000000000001" thickBot="1">
      <c r="I5" s="679"/>
      <c r="J5" s="679"/>
      <c r="L5" s="679"/>
    </row>
    <row r="6" spans="1:29" ht="18.600000000000001" thickTop="1">
      <c r="A6" s="6083" t="s">
        <v>200</v>
      </c>
      <c r="B6" s="6085" t="s">
        <v>201</v>
      </c>
      <c r="C6" s="6078" t="s">
        <v>219</v>
      </c>
      <c r="D6" s="6078"/>
      <c r="E6" s="6078"/>
      <c r="F6" s="6078" t="s">
        <v>223</v>
      </c>
      <c r="G6" s="6078"/>
      <c r="H6" s="6078"/>
      <c r="I6" s="6078" t="s">
        <v>224</v>
      </c>
      <c r="J6" s="6078"/>
      <c r="K6" s="6078"/>
      <c r="L6" s="6078" t="s">
        <v>225</v>
      </c>
      <c r="M6" s="6078"/>
      <c r="N6" s="6078"/>
      <c r="O6" s="6078" t="s">
        <v>226</v>
      </c>
      <c r="P6" s="6078"/>
      <c r="Q6" s="6078"/>
      <c r="R6" s="6225" t="s">
        <v>1439</v>
      </c>
      <c r="S6" s="6226"/>
      <c r="T6" s="6227"/>
      <c r="U6" s="6228" t="s">
        <v>227</v>
      </c>
      <c r="V6" s="6078"/>
      <c r="W6" s="6078"/>
      <c r="X6" s="6078" t="s">
        <v>228</v>
      </c>
      <c r="Y6" s="6078"/>
      <c r="Z6" s="6078"/>
      <c r="AA6" s="6078" t="s">
        <v>229</v>
      </c>
      <c r="AB6" s="6078"/>
      <c r="AC6" s="6079"/>
    </row>
    <row r="7" spans="1:29">
      <c r="A7" s="6084"/>
      <c r="B7" s="6086"/>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1"/>
      <c r="S7" s="51"/>
      <c r="T7" s="1640"/>
      <c r="U7" s="1825" t="s">
        <v>220</v>
      </c>
      <c r="V7" s="51" t="s">
        <v>221</v>
      </c>
      <c r="W7" s="51" t="s">
        <v>222</v>
      </c>
      <c r="X7" s="50" t="s">
        <v>220</v>
      </c>
      <c r="Y7" s="51" t="s">
        <v>221</v>
      </c>
      <c r="Z7" s="51" t="s">
        <v>222</v>
      </c>
      <c r="AA7" s="50" t="s">
        <v>220</v>
      </c>
      <c r="AB7" s="51" t="s">
        <v>221</v>
      </c>
      <c r="AC7" s="1640" t="s">
        <v>222</v>
      </c>
    </row>
    <row r="8" spans="1:29"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+O8+L8+I8</f>
        <v>87816111.774007142</v>
      </c>
      <c r="S8" s="1642">
        <f t="shared" ref="S8:T8" si="5">+P8+M8+J8</f>
        <v>54752975.756163262</v>
      </c>
      <c r="T8" s="1643">
        <f t="shared" si="5"/>
        <v>33063136.017843876</v>
      </c>
      <c r="U8" s="1826">
        <f>SUM(V8:W8)</f>
        <v>31862853.145346757</v>
      </c>
      <c r="V8" s="1642">
        <f>SUM(V12+V18+V30+V31)</f>
        <v>19476162.111650225</v>
      </c>
      <c r="W8" s="1642">
        <f t="shared" ref="W8" si="6">SUM(W12+W18+W30+W31)</f>
        <v>12386691.033696532</v>
      </c>
      <c r="X8" s="1642">
        <f>SUM(Y8:Z8)</f>
        <v>33946889.245964147</v>
      </c>
      <c r="Y8" s="1642">
        <f>SUM(Y12+Y18+Y30+Y31)</f>
        <v>20555494.369332533</v>
      </c>
      <c r="Z8" s="1642">
        <f t="shared" ref="Z8" si="7">SUM(Z12+Z18+Z30+Z31)</f>
        <v>13391394.876631612</v>
      </c>
      <c r="AA8" s="1642">
        <f>SUM(AB8:AC8)</f>
        <v>35585596.865009353</v>
      </c>
      <c r="AB8" s="1642">
        <f>SUM(AB12+AB18+AB30+AB31)</f>
        <v>21308662.926719714</v>
      </c>
      <c r="AC8" s="1643">
        <f t="shared" ref="AC8" si="8">SUM(AC12+AC18+AC30+AC31)</f>
        <v>14276933.938289637</v>
      </c>
    </row>
    <row r="9" spans="1:29">
      <c r="A9" s="611"/>
      <c r="B9" s="1923" t="s">
        <v>234</v>
      </c>
      <c r="C9" s="195"/>
      <c r="D9" s="195"/>
      <c r="E9" s="195"/>
      <c r="F9" s="45"/>
      <c r="G9" s="45"/>
      <c r="H9" s="45"/>
      <c r="I9" s="46"/>
      <c r="J9" s="46"/>
      <c r="K9" s="46"/>
      <c r="L9" s="46"/>
      <c r="M9" s="46"/>
      <c r="N9" s="46"/>
      <c r="O9" s="46"/>
      <c r="P9" s="46"/>
      <c r="Q9" s="46"/>
      <c r="R9" s="1654">
        <f t="shared" ref="R9:R61" si="9">+O9+L9+I9</f>
        <v>0</v>
      </c>
      <c r="S9" s="1654">
        <f t="shared" ref="S9:S60" si="10">+P9+M9+J9</f>
        <v>0</v>
      </c>
      <c r="T9" s="1655">
        <f t="shared" ref="T9:T60" si="11">+Q9+N9+K9</f>
        <v>0</v>
      </c>
      <c r="U9" s="1827"/>
      <c r="V9" s="46"/>
      <c r="W9" s="46"/>
      <c r="X9" s="46"/>
      <c r="Y9" s="46"/>
      <c r="Z9" s="46"/>
      <c r="AA9" s="46"/>
      <c r="AB9" s="46"/>
      <c r="AC9" s="1645"/>
    </row>
    <row r="10" spans="1:29">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1654">
        <f t="shared" si="9"/>
        <v>75529566.330007136</v>
      </c>
      <c r="S10" s="1654">
        <f t="shared" si="10"/>
        <v>43724829.356163256</v>
      </c>
      <c r="T10" s="1655">
        <f t="shared" si="11"/>
        <v>31804736.973843873</v>
      </c>
      <c r="U10" s="1828">
        <f>SUM(V10:W10)</f>
        <v>28146603.997346759</v>
      </c>
      <c r="V10" s="195">
        <f>SUM(V12,V19,V28,V30)</f>
        <v>16179379.311650224</v>
      </c>
      <c r="W10" s="195">
        <f>SUM(W12,W19,W28,W30)</f>
        <v>11967224.685696533</v>
      </c>
      <c r="X10" s="45">
        <f>SUM(Y10:Z10)</f>
        <v>30230640.097964149</v>
      </c>
      <c r="Y10" s="195">
        <f>SUM(Y12,Y19,Y28,Y30)</f>
        <v>17258711.569332536</v>
      </c>
      <c r="Z10" s="195">
        <f>SUM(Z12,Z19,Z28,Z30)</f>
        <v>12971928.528631613</v>
      </c>
      <c r="AA10" s="45">
        <f>SUM(AB10:AC10)</f>
        <v>31869347.717009351</v>
      </c>
      <c r="AB10" s="195">
        <f>SUM(AB12,AB19,AB28,AB30)</f>
        <v>18011880.126719717</v>
      </c>
      <c r="AC10" s="1646">
        <f>SUM(AC12,AC19,AC28,AC30)</f>
        <v>13857467.590289636</v>
      </c>
    </row>
    <row r="11" spans="1:29">
      <c r="A11" s="611"/>
      <c r="B11" s="1923" t="s">
        <v>236</v>
      </c>
      <c r="C11" s="195">
        <f>SUM(D11:E11)</f>
        <v>17545290.100000001</v>
      </c>
      <c r="D11" s="195">
        <f>D10-D14-D15-D16</f>
        <v>9199353</v>
      </c>
      <c r="E11" s="195">
        <f t="shared" ref="E11" si="12">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13">N10-N14-N15-N16</f>
        <v>9451424.6511519793</v>
      </c>
      <c r="O11" s="45">
        <f>SUM(P11:Q11)</f>
        <v>21698935.497570269</v>
      </c>
      <c r="P11" s="195">
        <f>P10-P14-P15-P16</f>
        <v>12110551.040603476</v>
      </c>
      <c r="Q11" s="195">
        <f t="shared" ref="Q11" si="14">Q10-Q14-Q15-Q16</f>
        <v>9588384.456966795</v>
      </c>
      <c r="R11" s="1654">
        <f t="shared" si="9"/>
        <v>64421566.330007128</v>
      </c>
      <c r="S11" s="1654">
        <f t="shared" si="10"/>
        <v>36126829.356163256</v>
      </c>
      <c r="T11" s="1655">
        <f t="shared" si="11"/>
        <v>28294736.973843873</v>
      </c>
      <c r="U11" s="1828">
        <f>SUM(V11:W11)</f>
        <v>23426603.997346759</v>
      </c>
      <c r="V11" s="195">
        <f>V10-V14-V15-V16</f>
        <v>12719379.311650224</v>
      </c>
      <c r="W11" s="195">
        <f t="shared" ref="W11" si="15">W10-W14-W15-W16</f>
        <v>10707224.685696533</v>
      </c>
      <c r="X11" s="45">
        <f>SUM(Y11:Z11)</f>
        <v>25250640.097964149</v>
      </c>
      <c r="Y11" s="195">
        <f>Y10-Y14-Y15-Y16</f>
        <v>13628711.569332536</v>
      </c>
      <c r="Z11" s="195">
        <f t="shared" ref="Z11" si="16">Z10-Z14-Z15-Z16</f>
        <v>11621928.528631613</v>
      </c>
      <c r="AA11" s="45">
        <f>SUM(AB11:AC11)</f>
        <v>26609347.717009351</v>
      </c>
      <c r="AB11" s="195">
        <f>AB10-AB14-AB15-AB16</f>
        <v>14236880.126719717</v>
      </c>
      <c r="AC11" s="1646">
        <f t="shared" ref="AC11" si="17">AC10-AC14-AC15-AC16</f>
        <v>12372467.590289636</v>
      </c>
    </row>
    <row r="12" spans="1:29"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1654">
        <f t="shared" si="9"/>
        <v>26213000.630007133</v>
      </c>
      <c r="S12" s="1654">
        <f t="shared" si="10"/>
        <v>14773547.956163257</v>
      </c>
      <c r="T12" s="1655">
        <f t="shared" si="11"/>
        <v>11439452.673843876</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1654">
        <f t="shared" si="9"/>
        <v>0</v>
      </c>
      <c r="S13" s="1654">
        <f t="shared" si="10"/>
        <v>0</v>
      </c>
      <c r="T13" s="1655">
        <f t="shared" si="11"/>
        <v>0</v>
      </c>
      <c r="U13" s="1827"/>
      <c r="V13" s="46"/>
      <c r="W13" s="46"/>
      <c r="X13" s="46"/>
      <c r="Y13" s="46"/>
      <c r="Z13" s="46"/>
      <c r="AA13" s="46"/>
      <c r="AB13" s="46"/>
      <c r="AC13" s="1645"/>
    </row>
    <row r="14" spans="1:29"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620">
        <f t="shared" si="9"/>
        <v>5100000</v>
      </c>
      <c r="S14" s="1620">
        <f t="shared" si="10"/>
        <v>1590000</v>
      </c>
      <c r="T14" s="1838">
        <f t="shared" si="11"/>
        <v>3510000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I'!H50</f>
        <v>1950000</v>
      </c>
      <c r="E15" s="1639">
        <f>'Phụ lục số I'!I50</f>
        <v>0</v>
      </c>
      <c r="F15" s="193">
        <f t="shared" ref="F15:F17" si="18">SUM(G15:H15)</f>
        <v>1950000</v>
      </c>
      <c r="G15" s="193">
        <f>'Phụ lục số I'!O50</f>
        <v>1950000</v>
      </c>
      <c r="H15" s="193">
        <f>'Phụ lục số I'!P50</f>
        <v>0</v>
      </c>
      <c r="I15" s="193">
        <f t="shared" ref="I15:I17" si="19">SUM(J15:K15)</f>
        <v>1950000</v>
      </c>
      <c r="J15" s="193">
        <f>'Phụ lục số I'!U50</f>
        <v>1950000</v>
      </c>
      <c r="K15" s="193">
        <f>'Phụ lục số I'!V50</f>
        <v>0</v>
      </c>
      <c r="L15" s="193">
        <f t="shared" ref="L15:L17" si="20">SUM(M15:N15)</f>
        <v>1950000</v>
      </c>
      <c r="M15" s="193">
        <f>'Phụ lục số I'!AA50</f>
        <v>1950000</v>
      </c>
      <c r="N15" s="193">
        <f>'Phụ lục số I'!AB50</f>
        <v>0</v>
      </c>
      <c r="O15" s="193">
        <f t="shared" ref="O15:O17" si="21">SUM(P15:Q15)</f>
        <v>2000000</v>
      </c>
      <c r="P15" s="193">
        <f>'Phụ lục số I'!AG50</f>
        <v>2000000</v>
      </c>
      <c r="Q15" s="193">
        <f>'Phụ lục số I'!AH50</f>
        <v>0</v>
      </c>
      <c r="R15" s="1620">
        <f t="shared" si="9"/>
        <v>5900000</v>
      </c>
      <c r="S15" s="1620">
        <f t="shared" si="10"/>
        <v>5900000</v>
      </c>
      <c r="T15" s="1838">
        <f t="shared" si="11"/>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I'!H47</f>
        <v>445054.16200000001</v>
      </c>
      <c r="E16" s="1639">
        <f>'Phụ lục số I'!I47</f>
        <v>0</v>
      </c>
      <c r="F16" s="193">
        <f t="shared" si="18"/>
        <v>445054.16200000001</v>
      </c>
      <c r="G16" s="193">
        <f>'Phụ lục số I'!O47</f>
        <v>445054.16200000001</v>
      </c>
      <c r="H16" s="193">
        <f>'Phụ lục số I'!P47</f>
        <v>0</v>
      </c>
      <c r="I16" s="193">
        <f t="shared" si="19"/>
        <v>37000</v>
      </c>
      <c r="J16" s="193">
        <f>'Phụ lục số I'!U47</f>
        <v>37000</v>
      </c>
      <c r="K16" s="193">
        <f>'Phụ lục số I'!V47</f>
        <v>0</v>
      </c>
      <c r="L16" s="193">
        <f t="shared" si="20"/>
        <v>34000</v>
      </c>
      <c r="M16" s="193">
        <f>'Phụ lục số I'!AA47</f>
        <v>34000</v>
      </c>
      <c r="N16" s="193">
        <f>'Phụ lục số I'!AB47</f>
        <v>0</v>
      </c>
      <c r="O16" s="193">
        <f t="shared" si="21"/>
        <v>37000</v>
      </c>
      <c r="P16" s="193">
        <f>'Phụ lục số I'!AG47</f>
        <v>37000</v>
      </c>
      <c r="Q16" s="193">
        <f>'Phụ lục số I'!AH47</f>
        <v>0</v>
      </c>
      <c r="R16" s="1620">
        <f t="shared" si="9"/>
        <v>108000</v>
      </c>
      <c r="S16" s="1620">
        <f t="shared" si="10"/>
        <v>108000</v>
      </c>
      <c r="T16" s="1838">
        <f t="shared" si="1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29" s="1649" customFormat="1">
      <c r="A17" s="614"/>
      <c r="B17" s="1925" t="s">
        <v>245</v>
      </c>
      <c r="C17" s="1639">
        <f t="shared" ref="C17" si="25">SUM(D17:E17)</f>
        <v>4727930</v>
      </c>
      <c r="D17" s="1639">
        <f>D12-D14-D15-D16</f>
        <v>1931850.0000000005</v>
      </c>
      <c r="E17" s="1639">
        <f t="shared" ref="E17" si="26">E12-E14-E15-E16</f>
        <v>2796080</v>
      </c>
      <c r="F17" s="193">
        <f t="shared" si="18"/>
        <v>4156499.8703476484</v>
      </c>
      <c r="G17" s="1639">
        <f>G12-G14-G15-G16</f>
        <v>1881699.3987353877</v>
      </c>
      <c r="H17" s="1639">
        <f t="shared" ref="H17" si="27">H12-H14-H15-H16</f>
        <v>2274800.4716122607</v>
      </c>
      <c r="I17" s="193">
        <f t="shared" si="19"/>
        <v>4795919.8297451045</v>
      </c>
      <c r="J17" s="1639">
        <f>J12-J14-J15-J16</f>
        <v>2329420.0640200041</v>
      </c>
      <c r="K17" s="1639">
        <f t="shared" ref="K17" si="28">K12-K14-K15-K16</f>
        <v>2466499.7657251004</v>
      </c>
      <c r="L17" s="193">
        <f t="shared" si="20"/>
        <v>5049000.4026917564</v>
      </c>
      <c r="M17" s="1639">
        <f>M12-M14-M15-M16</f>
        <v>2386003.8515397776</v>
      </c>
      <c r="N17" s="1639">
        <f t="shared" ref="N17" si="29">N12-N14-N15-N16</f>
        <v>2662996.5511519788</v>
      </c>
      <c r="O17" s="193">
        <f t="shared" si="21"/>
        <v>5260080.397570271</v>
      </c>
      <c r="P17" s="1639">
        <f>P12-P14-P15-P16</f>
        <v>2460124.0406034756</v>
      </c>
      <c r="Q17" s="1639">
        <f t="shared" ref="Q17" si="30">Q12-Q14-Q15-Q16</f>
        <v>2799956.3569667954</v>
      </c>
      <c r="R17" s="1620">
        <f t="shared" si="9"/>
        <v>15105000.630007131</v>
      </c>
      <c r="S17" s="1620">
        <f t="shared" si="10"/>
        <v>7175547.9561632574</v>
      </c>
      <c r="T17" s="1838">
        <f t="shared" si="11"/>
        <v>7929452.6738438746</v>
      </c>
      <c r="U17" s="1829">
        <f t="shared" si="22"/>
        <v>6987748.8973467574</v>
      </c>
      <c r="V17" s="1639">
        <f>V12-V14-V15-V16</f>
        <v>3068952.311650224</v>
      </c>
      <c r="W17" s="1639">
        <f t="shared" ref="W17" si="31">W12-W14-W15-W16</f>
        <v>3918796.5856965333</v>
      </c>
      <c r="X17" s="193">
        <f t="shared" si="23"/>
        <v>7723027.2480759034</v>
      </c>
      <c r="Y17" s="1639">
        <f>Y12-Y14-Y15-Y16</f>
        <v>3469857.0338091608</v>
      </c>
      <c r="Z17" s="1639">
        <f t="shared" ref="Z17" si="32">Z12-Z14-Z15-Z16</f>
        <v>4253170.2142667426</v>
      </c>
      <c r="AA17" s="193">
        <f t="shared" si="24"/>
        <v>8598437.1917565353</v>
      </c>
      <c r="AB17" s="1639">
        <f>AB12-AB14-AB15-AB16</f>
        <v>3771103.2301168721</v>
      </c>
      <c r="AC17" s="1650">
        <f t="shared" ref="AC17" si="33">AC12-AC14-AC15-AC16</f>
        <v>4827333.9616396632</v>
      </c>
    </row>
    <row r="18" spans="1:29">
      <c r="A18" s="611" t="s">
        <v>33</v>
      </c>
      <c r="B18" s="1923" t="s">
        <v>203</v>
      </c>
      <c r="C18" s="195">
        <f>SUM(C19:C20)</f>
        <v>14339802.447999999</v>
      </c>
      <c r="D18" s="195">
        <f t="shared" ref="D18:H18" si="34">SUM(D19:D20)</f>
        <v>9256479</v>
      </c>
      <c r="E18" s="195">
        <f t="shared" si="34"/>
        <v>5083323.4479999999</v>
      </c>
      <c r="F18" s="195">
        <f>SUM(F19:F20)</f>
        <v>15283777.447999999</v>
      </c>
      <c r="G18" s="195">
        <f t="shared" si="34"/>
        <v>9904812</v>
      </c>
      <c r="H18" s="195">
        <f t="shared" si="34"/>
        <v>5378965.4479999999</v>
      </c>
      <c r="I18" s="195">
        <f>SUM(I19:I20)</f>
        <v>20534370.248</v>
      </c>
      <c r="J18" s="195">
        <f>SUM(J19:J20)</f>
        <v>13326475.800000001</v>
      </c>
      <c r="K18" s="195">
        <f t="shared" ref="K18:AC18" si="35">SUM(K19:K20)</f>
        <v>7207894.4479999999</v>
      </c>
      <c r="L18" s="195">
        <f>SUM(L19:L20)</f>
        <v>20534370.248</v>
      </c>
      <c r="M18" s="195">
        <f t="shared" si="35"/>
        <v>13326475.800000001</v>
      </c>
      <c r="N18" s="195">
        <f t="shared" si="35"/>
        <v>7207894.4479999999</v>
      </c>
      <c r="O18" s="195">
        <f>SUM(O19:O20)</f>
        <v>20534370.248</v>
      </c>
      <c r="P18" s="195">
        <f t="shared" si="35"/>
        <v>13326475.800000001</v>
      </c>
      <c r="Q18" s="195">
        <f t="shared" si="35"/>
        <v>7207894.4479999999</v>
      </c>
      <c r="R18" s="195">
        <f t="shared" si="9"/>
        <v>61603110.744000003</v>
      </c>
      <c r="S18" s="195">
        <f t="shared" si="10"/>
        <v>39979427.400000006</v>
      </c>
      <c r="T18" s="1646">
        <f t="shared" si="11"/>
        <v>21623683.344000001</v>
      </c>
      <c r="U18" s="1830">
        <f>SUM(U19:U20)</f>
        <v>20155104.248</v>
      </c>
      <c r="V18" s="195">
        <f t="shared" si="35"/>
        <v>12947209.800000001</v>
      </c>
      <c r="W18" s="195">
        <f t="shared" si="35"/>
        <v>7207894.4479999999</v>
      </c>
      <c r="X18" s="195">
        <f>SUM(X19:X20)</f>
        <v>20155104.248</v>
      </c>
      <c r="Y18" s="195">
        <f t="shared" si="35"/>
        <v>12947209.800000001</v>
      </c>
      <c r="Z18" s="195">
        <f t="shared" si="35"/>
        <v>7207894.4479999999</v>
      </c>
      <c r="AA18" s="195">
        <f>SUM(AA19:AA20)</f>
        <v>20155104.248</v>
      </c>
      <c r="AB18" s="195">
        <f t="shared" si="35"/>
        <v>12947209.800000001</v>
      </c>
      <c r="AC18" s="1646">
        <f t="shared" si="35"/>
        <v>7207894.4479999999</v>
      </c>
    </row>
    <row r="19" spans="1:29"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195">
        <f t="shared" si="9"/>
        <v>33144333</v>
      </c>
      <c r="S19" s="195">
        <f t="shared" si="10"/>
        <v>19851564</v>
      </c>
      <c r="T19" s="1646">
        <f t="shared" si="11"/>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29" s="49" customFormat="1" ht="17.399999999999999">
      <c r="A20" s="611">
        <v>2</v>
      </c>
      <c r="B20" s="1923" t="s">
        <v>207</v>
      </c>
      <c r="C20" s="195">
        <f>SUM(C21,C24,C27)</f>
        <v>3291691.4479999999</v>
      </c>
      <c r="D20" s="195">
        <f t="shared" ref="D20:H20" si="36">SUM(D21,D24,D27)</f>
        <v>2639291</v>
      </c>
      <c r="E20" s="195">
        <f t="shared" si="36"/>
        <v>652400.44799999997</v>
      </c>
      <c r="F20" s="195">
        <f>SUM(F21,F24,F27)</f>
        <v>4235666.4479999999</v>
      </c>
      <c r="G20" s="195">
        <f t="shared" si="36"/>
        <v>3287624</v>
      </c>
      <c r="H20" s="195">
        <f t="shared" si="36"/>
        <v>948042.44799999997</v>
      </c>
      <c r="I20" s="195">
        <f>SUM(I21,I24,I27)</f>
        <v>9486259.2479999997</v>
      </c>
      <c r="J20" s="195">
        <f t="shared" ref="J20:Q20" si="37">SUM(J21,J24,J27)</f>
        <v>6709287.7999999998</v>
      </c>
      <c r="K20" s="195">
        <f t="shared" si="37"/>
        <v>2776971.4479999999</v>
      </c>
      <c r="L20" s="195">
        <f>SUM(L21,L24,L27)</f>
        <v>9486259.2479999997</v>
      </c>
      <c r="M20" s="195">
        <f t="shared" si="37"/>
        <v>6709287.7999999998</v>
      </c>
      <c r="N20" s="195">
        <f t="shared" si="37"/>
        <v>2776971.4479999999</v>
      </c>
      <c r="O20" s="195">
        <f>SUM(O21,O24,O27)</f>
        <v>9486259.2479999997</v>
      </c>
      <c r="P20" s="195">
        <f t="shared" si="37"/>
        <v>6709287.7999999998</v>
      </c>
      <c r="Q20" s="195">
        <f t="shared" si="37"/>
        <v>2776971.4479999999</v>
      </c>
      <c r="R20" s="195">
        <f t="shared" si="9"/>
        <v>28458777.743999999</v>
      </c>
      <c r="S20" s="195">
        <f t="shared" si="10"/>
        <v>20127863.399999999</v>
      </c>
      <c r="T20" s="1646">
        <f t="shared" si="11"/>
        <v>8330914.3439999996</v>
      </c>
      <c r="U20" s="1830">
        <f>SUM(U21,U24,U27)</f>
        <v>9106993.2479999997</v>
      </c>
      <c r="V20" s="195">
        <f t="shared" ref="V20:W20" si="38">SUM(V21,V24,V27)</f>
        <v>6330021.7999999998</v>
      </c>
      <c r="W20" s="195">
        <f t="shared" si="38"/>
        <v>2776971.4479999999</v>
      </c>
      <c r="X20" s="195">
        <f>SUM(X21,X24,X27)</f>
        <v>9106993.2479999997</v>
      </c>
      <c r="Y20" s="195">
        <f t="shared" ref="Y20:Z20" si="39">SUM(Y21,Y24,Y27)</f>
        <v>6330021.7999999998</v>
      </c>
      <c r="Z20" s="195">
        <f t="shared" si="39"/>
        <v>2776971.4479999999</v>
      </c>
      <c r="AA20" s="195">
        <f>SUM(AA21,AA24,AA27)</f>
        <v>9106993.2479999997</v>
      </c>
      <c r="AB20" s="195">
        <f t="shared" ref="AB20:AC20" si="40">SUM(AB21,AB24,AB27)</f>
        <v>6330021.7999999998</v>
      </c>
      <c r="AC20" s="1646">
        <f t="shared" si="40"/>
        <v>2776971.4479999999</v>
      </c>
    </row>
    <row r="21" spans="1:29">
      <c r="A21" s="1926" t="s">
        <v>204</v>
      </c>
      <c r="B21" s="1927" t="s">
        <v>42</v>
      </c>
      <c r="C21" s="196">
        <f>SUM(C22:C23)</f>
        <v>1814491</v>
      </c>
      <c r="D21" s="196">
        <f t="shared" ref="D21:Q21" si="41">SUM(D22:D23)</f>
        <v>1814491</v>
      </c>
      <c r="E21" s="196">
        <f t="shared" si="41"/>
        <v>0</v>
      </c>
      <c r="F21" s="196">
        <f>SUM(F22:F23)</f>
        <v>1814491</v>
      </c>
      <c r="G21" s="196">
        <f t="shared" si="41"/>
        <v>1814491</v>
      </c>
      <c r="H21" s="196">
        <f t="shared" si="41"/>
        <v>0</v>
      </c>
      <c r="I21" s="196">
        <f>SUM(I22:I23)</f>
        <v>3101719</v>
      </c>
      <c r="J21" s="196">
        <f>SUM(J22:J23)</f>
        <v>3101719</v>
      </c>
      <c r="K21" s="196">
        <f t="shared" si="41"/>
        <v>0</v>
      </c>
      <c r="L21" s="196">
        <f>SUM(L22:L23)</f>
        <v>3101719</v>
      </c>
      <c r="M21" s="196">
        <f t="shared" si="41"/>
        <v>3101719</v>
      </c>
      <c r="N21" s="196">
        <f t="shared" si="41"/>
        <v>0</v>
      </c>
      <c r="O21" s="196">
        <f>SUM(O22:O23)</f>
        <v>3101719</v>
      </c>
      <c r="P21" s="196">
        <f t="shared" si="41"/>
        <v>3101719</v>
      </c>
      <c r="Q21" s="196">
        <f t="shared" si="41"/>
        <v>0</v>
      </c>
      <c r="R21" s="196">
        <f t="shared" si="9"/>
        <v>9305157</v>
      </c>
      <c r="S21" s="196">
        <f t="shared" si="10"/>
        <v>9305157</v>
      </c>
      <c r="T21" s="1652">
        <f t="shared" si="11"/>
        <v>0</v>
      </c>
      <c r="U21" s="1831">
        <f>SUM(U22:U23)</f>
        <v>3101719</v>
      </c>
      <c r="V21" s="196">
        <f t="shared" ref="V21:W21" si="42">SUM(V22:V23)</f>
        <v>3101719</v>
      </c>
      <c r="W21" s="196">
        <f t="shared" si="42"/>
        <v>0</v>
      </c>
      <c r="X21" s="196">
        <f>SUM(X22:X23)</f>
        <v>3101719</v>
      </c>
      <c r="Y21" s="196">
        <f t="shared" ref="Y21:Z21" si="43">SUM(Y22:Y23)</f>
        <v>3101719</v>
      </c>
      <c r="Z21" s="196">
        <f t="shared" si="43"/>
        <v>0</v>
      </c>
      <c r="AA21" s="196">
        <f>SUM(AA22:AA23)</f>
        <v>3101719</v>
      </c>
      <c r="AB21" s="196">
        <f t="shared" ref="AB21:AC21" si="44">SUM(AB22:AB23)</f>
        <v>3101719</v>
      </c>
      <c r="AC21" s="1652">
        <f t="shared" si="44"/>
        <v>0</v>
      </c>
    </row>
    <row r="22" spans="1:29"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196">
        <f t="shared" si="9"/>
        <v>8911440</v>
      </c>
      <c r="S22" s="196">
        <f t="shared" si="10"/>
        <v>8911440</v>
      </c>
      <c r="T22" s="1652">
        <f t="shared" si="11"/>
        <v>0</v>
      </c>
      <c r="U22" s="1827">
        <f>SUM(V22:W22)</f>
        <v>2970480</v>
      </c>
      <c r="V22" s="46">
        <f>'Phụ lục số I'!AM60</f>
        <v>2970480</v>
      </c>
      <c r="W22" s="46"/>
      <c r="X22" s="46">
        <f>SUM(Y22:Z22)</f>
        <v>2970480</v>
      </c>
      <c r="Y22" s="46">
        <f>'Phụ lục số I'!AS60</f>
        <v>2970480</v>
      </c>
      <c r="Z22" s="46"/>
      <c r="AA22" s="46">
        <f>SUM(AB22:AC22)</f>
        <v>2970480</v>
      </c>
      <c r="AB22" s="46">
        <f>'Phụ lục số I'!AY60</f>
        <v>2970480</v>
      </c>
      <c r="AC22" s="1645"/>
    </row>
    <row r="23" spans="1:29" hidden="1">
      <c r="A23" s="1926" t="s">
        <v>101</v>
      </c>
      <c r="B23" s="1927" t="s">
        <v>102</v>
      </c>
      <c r="C23" s="196">
        <f t="shared" ref="C23" si="45">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196">
        <f t="shared" si="9"/>
        <v>393717</v>
      </c>
      <c r="S23" s="196">
        <f t="shared" si="10"/>
        <v>393717</v>
      </c>
      <c r="T23" s="1652">
        <f t="shared" si="11"/>
        <v>0</v>
      </c>
      <c r="U23" s="1827">
        <f>SUM(V23:W23)</f>
        <v>131239</v>
      </c>
      <c r="V23" s="46">
        <f>'Phụ lục số I'!AM61</f>
        <v>131239</v>
      </c>
      <c r="W23" s="46"/>
      <c r="X23" s="46">
        <f>SUM(Y23:Z23)</f>
        <v>131239</v>
      </c>
      <c r="Y23" s="46">
        <f>'Phụ lục số I'!AS61</f>
        <v>131239</v>
      </c>
      <c r="Z23" s="46"/>
      <c r="AA23" s="46">
        <f>SUM(AB23:AC23)</f>
        <v>131239</v>
      </c>
      <c r="AB23" s="46">
        <f>'Phụ lục số I'!AY61</f>
        <v>131239</v>
      </c>
      <c r="AC23" s="1645"/>
    </row>
    <row r="24" spans="1:29">
      <c r="A24" s="1926" t="s">
        <v>206</v>
      </c>
      <c r="B24" s="1927" t="s">
        <v>43</v>
      </c>
      <c r="C24" s="196">
        <f>SUM(C25:C26)</f>
        <v>500283</v>
      </c>
      <c r="D24" s="196">
        <f t="shared" ref="D24:AC24" si="46">SUM(D25:D26)</f>
        <v>174485</v>
      </c>
      <c r="E24" s="196">
        <f t="shared" si="46"/>
        <v>325798</v>
      </c>
      <c r="F24" s="196">
        <f>SUM(F25:F26)</f>
        <v>500283</v>
      </c>
      <c r="G24" s="196">
        <f t="shared" si="46"/>
        <v>174485</v>
      </c>
      <c r="H24" s="196">
        <f t="shared" si="46"/>
        <v>325798</v>
      </c>
      <c r="I24" s="196">
        <f>SUM(I25:I26)</f>
        <v>520861.8</v>
      </c>
      <c r="J24" s="196">
        <f t="shared" si="46"/>
        <v>195063.8</v>
      </c>
      <c r="K24" s="196">
        <f t="shared" si="46"/>
        <v>325798</v>
      </c>
      <c r="L24" s="196">
        <f>SUM(L25:L26)</f>
        <v>520861.8</v>
      </c>
      <c r="M24" s="196">
        <f t="shared" si="46"/>
        <v>195063.8</v>
      </c>
      <c r="N24" s="196">
        <f t="shared" si="46"/>
        <v>325798</v>
      </c>
      <c r="O24" s="196">
        <f>SUM(O25:O26)</f>
        <v>520861.8</v>
      </c>
      <c r="P24" s="196">
        <f t="shared" si="46"/>
        <v>195063.8</v>
      </c>
      <c r="Q24" s="196">
        <f t="shared" si="46"/>
        <v>325798</v>
      </c>
      <c r="R24" s="196">
        <f t="shared" si="9"/>
        <v>1562585.4</v>
      </c>
      <c r="S24" s="196">
        <f t="shared" si="10"/>
        <v>585191.39999999991</v>
      </c>
      <c r="T24" s="1652">
        <f t="shared" si="11"/>
        <v>977394</v>
      </c>
      <c r="U24" s="1831">
        <f>SUM(U25:U26)</f>
        <v>520861.8</v>
      </c>
      <c r="V24" s="196">
        <f t="shared" si="46"/>
        <v>195063.8</v>
      </c>
      <c r="W24" s="196">
        <f t="shared" si="46"/>
        <v>325798</v>
      </c>
      <c r="X24" s="196">
        <f>SUM(X25:X26)</f>
        <v>520861.8</v>
      </c>
      <c r="Y24" s="196">
        <f t="shared" si="46"/>
        <v>195063.8</v>
      </c>
      <c r="Z24" s="196">
        <f t="shared" si="46"/>
        <v>325798</v>
      </c>
      <c r="AA24" s="196">
        <f>SUM(AA25:AA26)</f>
        <v>520861.8</v>
      </c>
      <c r="AB24" s="196">
        <f t="shared" si="46"/>
        <v>195063.8</v>
      </c>
      <c r="AC24" s="1652">
        <f t="shared" si="46"/>
        <v>325798</v>
      </c>
    </row>
    <row r="25" spans="1:29">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196">
        <f t="shared" si="9"/>
        <v>1238282.3999999999</v>
      </c>
      <c r="S25" s="196">
        <f t="shared" si="10"/>
        <v>260888.40000000002</v>
      </c>
      <c r="T25" s="1652">
        <f t="shared" si="11"/>
        <v>977394</v>
      </c>
      <c r="U25" s="1827">
        <f>SUM(V25:W25)</f>
        <v>412760.8</v>
      </c>
      <c r="V25" s="46">
        <f>'Phụ lục số I'!AM63</f>
        <v>86962.8</v>
      </c>
      <c r="W25" s="46">
        <f>N25</f>
        <v>325798</v>
      </c>
      <c r="X25" s="46">
        <f>SUM(Y25:Z25)</f>
        <v>412760.8</v>
      </c>
      <c r="Y25" s="46">
        <f>'Phụ lục số I'!AS63</f>
        <v>86962.8</v>
      </c>
      <c r="Z25" s="46">
        <f>W25</f>
        <v>325798</v>
      </c>
      <c r="AA25" s="46">
        <f>SUM(AB25:AC25)</f>
        <v>412760.8</v>
      </c>
      <c r="AB25" s="46">
        <f>'Phụ lục số I'!AY63</f>
        <v>86962.8</v>
      </c>
      <c r="AC25" s="1645">
        <f>Z25</f>
        <v>325798</v>
      </c>
    </row>
    <row r="26" spans="1:29">
      <c r="A26" s="1926" t="s">
        <v>101</v>
      </c>
      <c r="B26" s="1927" t="s">
        <v>102</v>
      </c>
      <c r="C26" s="196">
        <f t="shared" ref="C26" si="47">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196">
        <f t="shared" si="9"/>
        <v>324303</v>
      </c>
      <c r="S26" s="196">
        <f t="shared" si="10"/>
        <v>324303</v>
      </c>
      <c r="T26" s="1652">
        <f t="shared" si="11"/>
        <v>0</v>
      </c>
      <c r="U26" s="1827">
        <f>SUM(V26:W26)</f>
        <v>108101</v>
      </c>
      <c r="V26" s="46">
        <f>'Phụ lục số I'!AM64</f>
        <v>108101</v>
      </c>
      <c r="W26" s="46"/>
      <c r="X26" s="46">
        <f>SUM(Y26:Z26)</f>
        <v>108101</v>
      </c>
      <c r="Y26" s="46">
        <f>'Phụ lục số I'!AS64</f>
        <v>108101</v>
      </c>
      <c r="Z26" s="46"/>
      <c r="AA26" s="46">
        <f>SUM(AB26:AC26)</f>
        <v>108101</v>
      </c>
      <c r="AB26" s="46">
        <f>'Phụ lục số I'!AY64</f>
        <v>108101</v>
      </c>
      <c r="AC26" s="1645"/>
    </row>
    <row r="27" spans="1:29">
      <c r="A27" s="1926" t="s">
        <v>237</v>
      </c>
      <c r="B27" s="46" t="s">
        <v>106</v>
      </c>
      <c r="C27" s="196">
        <f>SUM(C28:C29)</f>
        <v>976917.44799999997</v>
      </c>
      <c r="D27" s="196">
        <f t="shared" ref="D27:AC27" si="48">SUM(D28:D29)</f>
        <v>650315</v>
      </c>
      <c r="E27" s="196">
        <f t="shared" si="48"/>
        <v>326602.44799999997</v>
      </c>
      <c r="F27" s="196">
        <f>SUM(F28:F29)</f>
        <v>1920892.4480000001</v>
      </c>
      <c r="G27" s="196">
        <f>SUM(G28:G29)</f>
        <v>1298648</v>
      </c>
      <c r="H27" s="196">
        <f t="shared" si="48"/>
        <v>622244.44799999997</v>
      </c>
      <c r="I27" s="196">
        <f>SUM(I28:I29)</f>
        <v>5863678.4479999999</v>
      </c>
      <c r="J27" s="196">
        <f t="shared" si="48"/>
        <v>3412505</v>
      </c>
      <c r="K27" s="196">
        <f t="shared" si="48"/>
        <v>2451173.4479999999</v>
      </c>
      <c r="L27" s="196">
        <f>SUM(L28:L29)</f>
        <v>5863678.4479999999</v>
      </c>
      <c r="M27" s="196">
        <f t="shared" si="48"/>
        <v>3412505</v>
      </c>
      <c r="N27" s="196">
        <f t="shared" si="48"/>
        <v>2451173.4479999999</v>
      </c>
      <c r="O27" s="196">
        <f>SUM(O28:O29)</f>
        <v>5863678.4479999999</v>
      </c>
      <c r="P27" s="196">
        <f t="shared" si="48"/>
        <v>3412505</v>
      </c>
      <c r="Q27" s="196">
        <f t="shared" si="48"/>
        <v>2451173.4479999999</v>
      </c>
      <c r="R27" s="196">
        <f t="shared" si="9"/>
        <v>17591035.344000001</v>
      </c>
      <c r="S27" s="196">
        <f t="shared" si="10"/>
        <v>10237515</v>
      </c>
      <c r="T27" s="1652">
        <f t="shared" si="11"/>
        <v>7353520.3439999996</v>
      </c>
      <c r="U27" s="1831">
        <f>SUM(U28:U29)</f>
        <v>5484412.4479999999</v>
      </c>
      <c r="V27" s="196">
        <f t="shared" si="48"/>
        <v>3033239</v>
      </c>
      <c r="W27" s="196">
        <f t="shared" si="48"/>
        <v>2451173.4479999999</v>
      </c>
      <c r="X27" s="196">
        <f>SUM(X28:X29)</f>
        <v>5484412.4479999999</v>
      </c>
      <c r="Y27" s="196">
        <f t="shared" si="48"/>
        <v>3033239</v>
      </c>
      <c r="Z27" s="196">
        <f t="shared" si="48"/>
        <v>2451173.4479999999</v>
      </c>
      <c r="AA27" s="196">
        <f>SUM(AA28:AA29)</f>
        <v>5484412.4479999999</v>
      </c>
      <c r="AB27" s="196">
        <f t="shared" si="48"/>
        <v>3033239</v>
      </c>
      <c r="AC27" s="1652">
        <f t="shared" si="48"/>
        <v>2451173.4479999999</v>
      </c>
    </row>
    <row r="28" spans="1:29">
      <c r="A28" s="1926" t="s">
        <v>99</v>
      </c>
      <c r="B28" s="1927" t="s">
        <v>104</v>
      </c>
      <c r="C28" s="196">
        <f t="shared" ref="C28:C33" si="49">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196">
        <f t="shared" si="9"/>
        <v>16172232.299999999</v>
      </c>
      <c r="S28" s="196">
        <f t="shared" si="10"/>
        <v>9099717</v>
      </c>
      <c r="T28" s="1652">
        <f t="shared" si="11"/>
        <v>7072515.3000000007</v>
      </c>
      <c r="U28" s="1827">
        <f>SUM(V28:W28)</f>
        <v>5390744.0999999996</v>
      </c>
      <c r="V28" s="46">
        <f>'Phụ lục số I'!AM66</f>
        <v>3033239</v>
      </c>
      <c r="W28" s="46">
        <f>N28</f>
        <v>2357505.1</v>
      </c>
      <c r="X28" s="46">
        <f>SUM(Y28:Z28)</f>
        <v>5390744.0999999996</v>
      </c>
      <c r="Y28" s="46">
        <f>'Phụ lục số I'!AS66</f>
        <v>3033239</v>
      </c>
      <c r="Z28" s="46">
        <f>W28</f>
        <v>2357505.1</v>
      </c>
      <c r="AA28" s="46">
        <f>SUM(AB28:AC28)</f>
        <v>5390744.0999999996</v>
      </c>
      <c r="AB28" s="46">
        <f>'Phụ lục số I'!AY66</f>
        <v>3033239</v>
      </c>
      <c r="AC28" s="1645">
        <f>Z28</f>
        <v>2357505.1</v>
      </c>
    </row>
    <row r="29" spans="1:29">
      <c r="A29" s="1926" t="s">
        <v>101</v>
      </c>
      <c r="B29" s="1927" t="s">
        <v>105</v>
      </c>
      <c r="C29" s="196">
        <f t="shared" si="49"/>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196">
        <f t="shared" si="9"/>
        <v>1418803.044</v>
      </c>
      <c r="S29" s="196">
        <f t="shared" si="10"/>
        <v>1137798</v>
      </c>
      <c r="T29" s="1652">
        <f t="shared" si="11"/>
        <v>281005.04399999999</v>
      </c>
      <c r="U29" s="1827">
        <f>SUM(V29:W29)</f>
        <v>93668.347999999998</v>
      </c>
      <c r="V29" s="46">
        <f>'Phụ lục số I'!AM67</f>
        <v>0</v>
      </c>
      <c r="W29" s="46">
        <f>N29</f>
        <v>93668.347999999998</v>
      </c>
      <c r="X29" s="46">
        <f>SUM(Y29:Z29)</f>
        <v>93668.347999999998</v>
      </c>
      <c r="Y29" s="46">
        <f>'Phụ lục số I'!AS67</f>
        <v>0</v>
      </c>
      <c r="Z29" s="46">
        <f>W29</f>
        <v>93668.347999999998</v>
      </c>
      <c r="AA29" s="46">
        <f>SUM(AB29:AC29)</f>
        <v>93668.347999999998</v>
      </c>
      <c r="AB29" s="46">
        <f>'Phụ lục số I'!AY67</f>
        <v>0</v>
      </c>
      <c r="AC29" s="1645">
        <f>Z29</f>
        <v>93668.347999999998</v>
      </c>
    </row>
    <row r="30" spans="1:29">
      <c r="A30" s="611" t="s">
        <v>182</v>
      </c>
      <c r="B30" s="45" t="s">
        <v>45</v>
      </c>
      <c r="C30" s="195">
        <f t="shared" si="49"/>
        <v>886000</v>
      </c>
      <c r="D30" s="195">
        <f>'Phụ lục số I'!H68</f>
        <v>0</v>
      </c>
      <c r="E30" s="195">
        <f>'Phụ lục số I'!I68</f>
        <v>886000</v>
      </c>
      <c r="F30" s="45">
        <f>SUM(G30:H30)</f>
        <v>1156399</v>
      </c>
      <c r="G30" s="45">
        <f>'Phụ lục số I'!O68</f>
        <v>0</v>
      </c>
      <c r="H30" s="45">
        <f>'Phụ lục số I'!P68</f>
        <v>1156399</v>
      </c>
      <c r="I30" s="45">
        <f t="shared" ref="I30:I33" si="50">SUM(J30:K30)</f>
        <v>0.40000000001455194</v>
      </c>
      <c r="J30" s="45">
        <f>'Phụ lục số I'!U68</f>
        <v>0.40000000001455194</v>
      </c>
      <c r="K30" s="45">
        <f>'Phụ lục số I'!V68</f>
        <v>0</v>
      </c>
      <c r="L30" s="45">
        <f>SUM(M30:N30)</f>
        <v>0</v>
      </c>
      <c r="M30" s="45">
        <f>'Phụ lục số I'!AA68</f>
        <v>0</v>
      </c>
      <c r="N30" s="45">
        <f>'Phụ lục số I'!AB68</f>
        <v>0</v>
      </c>
      <c r="O30" s="45">
        <f t="shared" ref="O30:O33" si="51">SUM(P30:Q30)</f>
        <v>0</v>
      </c>
      <c r="P30" s="45">
        <f>'Phụ lục số I'!AG68</f>
        <v>0</v>
      </c>
      <c r="Q30" s="45">
        <f>'Phụ lục số I'!AH68</f>
        <v>0</v>
      </c>
      <c r="R30" s="195">
        <f t="shared" si="9"/>
        <v>0.40000000001455194</v>
      </c>
      <c r="S30" s="195">
        <f t="shared" si="10"/>
        <v>0.40000000001455194</v>
      </c>
      <c r="T30" s="1646">
        <f t="shared" si="11"/>
        <v>0</v>
      </c>
      <c r="U30" s="1828">
        <f t="shared" ref="U30:U33" si="52">SUM(V30:W30)</f>
        <v>0</v>
      </c>
      <c r="V30" s="45">
        <f>'Phụ lục số I'!AM68</f>
        <v>0</v>
      </c>
      <c r="W30" s="45">
        <f>'Phụ lục số I'!AN68</f>
        <v>0</v>
      </c>
      <c r="X30" s="45">
        <f t="shared" ref="X30:X33" si="53">SUM(Y30:Z30)</f>
        <v>1088757.7498882432</v>
      </c>
      <c r="Y30" s="45">
        <f>'Phụ lục số I'!AS68</f>
        <v>508427.53552337422</v>
      </c>
      <c r="Z30" s="45">
        <f>'Phụ lục số I'!AT68</f>
        <v>580330.21436486894</v>
      </c>
      <c r="AA30" s="45">
        <f t="shared" ref="AA30:AA33" si="54">SUM(AB30:AC30)</f>
        <v>1572055.4252528162</v>
      </c>
      <c r="AB30" s="45">
        <f>'Phụ lục số I'!AY68</f>
        <v>815349.89660284261</v>
      </c>
      <c r="AC30" s="1647">
        <f>'Phụ lục số I'!AZ68</f>
        <v>756705.52864997357</v>
      </c>
    </row>
    <row r="31" spans="1:29">
      <c r="A31" s="611" t="s">
        <v>215</v>
      </c>
      <c r="B31" s="45" t="s">
        <v>47</v>
      </c>
      <c r="C31" s="195">
        <f t="shared" si="49"/>
        <v>0</v>
      </c>
      <c r="D31" s="195">
        <f>'Phụ lục số I'!H69</f>
        <v>0</v>
      </c>
      <c r="E31" s="195">
        <f>'Phụ lục số I'!I69</f>
        <v>0</v>
      </c>
      <c r="F31" s="45">
        <f t="shared" ref="F31:F33" si="55">SUM(G31:H31)</f>
        <v>0</v>
      </c>
      <c r="G31" s="45">
        <f>'Phụ lục số I'!O69</f>
        <v>0</v>
      </c>
      <c r="H31" s="45">
        <f>'Phụ lục số I'!P69</f>
        <v>0</v>
      </c>
      <c r="I31" s="45">
        <f t="shared" si="50"/>
        <v>0</v>
      </c>
      <c r="J31" s="45">
        <f>'Phụ lục số I'!U69</f>
        <v>0</v>
      </c>
      <c r="K31" s="45">
        <f>'Phụ lục số I'!V69</f>
        <v>0</v>
      </c>
      <c r="L31" s="45">
        <f t="shared" ref="L31:L32" si="56">SUM(M31:N31)</f>
        <v>0</v>
      </c>
      <c r="M31" s="45">
        <f>'Phụ lục số I'!AA69</f>
        <v>0</v>
      </c>
      <c r="N31" s="46"/>
      <c r="O31" s="45">
        <f t="shared" si="51"/>
        <v>0</v>
      </c>
      <c r="P31" s="45">
        <f>'Phụ lục số I'!AG69</f>
        <v>0</v>
      </c>
      <c r="Q31" s="46"/>
      <c r="R31" s="195">
        <f t="shared" si="9"/>
        <v>0</v>
      </c>
      <c r="S31" s="195">
        <f t="shared" si="10"/>
        <v>0</v>
      </c>
      <c r="T31" s="1646">
        <f t="shared" si="11"/>
        <v>0</v>
      </c>
      <c r="U31" s="1828">
        <f t="shared" si="52"/>
        <v>0</v>
      </c>
      <c r="V31" s="45">
        <f>'Phụ lục số I'!AM69</f>
        <v>0</v>
      </c>
      <c r="W31" s="46"/>
      <c r="X31" s="45">
        <f t="shared" si="53"/>
        <v>0</v>
      </c>
      <c r="Y31" s="45">
        <f>'Phụ lục số I'!AS69</f>
        <v>0</v>
      </c>
      <c r="Z31" s="46"/>
      <c r="AA31" s="45">
        <f t="shared" si="54"/>
        <v>0</v>
      </c>
      <c r="AB31" s="45">
        <f>'Phụ lục số I'!AY69</f>
        <v>0</v>
      </c>
      <c r="AC31" s="1645"/>
    </row>
    <row r="32" spans="1:29" s="1644" customFormat="1">
      <c r="A32" s="606" t="s">
        <v>37</v>
      </c>
      <c r="B32" s="1928" t="s">
        <v>238</v>
      </c>
      <c r="C32" s="1654">
        <f t="shared" si="49"/>
        <v>24118786.526000001</v>
      </c>
      <c r="D32" s="1654">
        <f>D33+D51+D61+D62</f>
        <v>14210383.177999999</v>
      </c>
      <c r="E32" s="1654">
        <f t="shared" ref="E32" si="57">E33+E51+E61+E62</f>
        <v>9908403.3479999993</v>
      </c>
      <c r="F32" s="1654">
        <f t="shared" si="55"/>
        <v>24761730.542239718</v>
      </c>
      <c r="G32" s="1654">
        <f>G33+G51+G61+G62</f>
        <v>14808565.706989277</v>
      </c>
      <c r="H32" s="1654">
        <f t="shared" ref="H32" si="58">H33+H51+H61+H62</f>
        <v>9953164.8352504428</v>
      </c>
      <c r="I32" s="1654">
        <f t="shared" si="50"/>
        <v>29117290.281801574</v>
      </c>
      <c r="J32" s="1654">
        <f>J33+J51+J61+J62</f>
        <v>18182896.22197248</v>
      </c>
      <c r="K32" s="1654">
        <f t="shared" ref="K32" si="59">K33+K51+K61+K62</f>
        <v>10934394.059829095</v>
      </c>
      <c r="L32" s="1654">
        <f t="shared" si="56"/>
        <v>29267370.52036839</v>
      </c>
      <c r="M32" s="1654">
        <f>M33+M51+M61+M62</f>
        <v>18226479.909110013</v>
      </c>
      <c r="N32" s="1654">
        <f t="shared" ref="N32" si="60">N33+N51+N61+N62</f>
        <v>11040890.611258375</v>
      </c>
      <c r="O32" s="1654">
        <f t="shared" si="51"/>
        <v>29431451.006125256</v>
      </c>
      <c r="P32" s="1654">
        <f>P33+P51+P61+P62</f>
        <v>18343600.005981654</v>
      </c>
      <c r="Q32" s="1654">
        <f t="shared" ref="Q32" si="61">Q33+Q51+Q61+Q62</f>
        <v>11087851.000143604</v>
      </c>
      <c r="R32" s="1654">
        <f t="shared" si="9"/>
        <v>87816111.80829522</v>
      </c>
      <c r="S32" s="1654">
        <f t="shared" si="10"/>
        <v>54752976.137064144</v>
      </c>
      <c r="T32" s="1655">
        <f t="shared" si="11"/>
        <v>33063135.671231076</v>
      </c>
      <c r="U32" s="1832">
        <f t="shared" si="52"/>
        <v>32478986.382713139</v>
      </c>
      <c r="V32" s="1654">
        <f>V33+V51+V61+V62</f>
        <v>19980911.898574758</v>
      </c>
      <c r="W32" s="1654">
        <f t="shared" ref="W32" si="62">W33+W51+W61+W62</f>
        <v>12498074.484138383</v>
      </c>
      <c r="X32" s="1654">
        <f t="shared" si="53"/>
        <v>34231025.692954883</v>
      </c>
      <c r="Y32" s="1654">
        <f>Y33+Y51+Y61+Y62</f>
        <v>20871337.495845124</v>
      </c>
      <c r="Z32" s="1654">
        <f t="shared" ref="Z32" si="63">Z33+Z51+Z61+Z62</f>
        <v>13359688.197109757</v>
      </c>
      <c r="AA32" s="1654">
        <f t="shared" si="54"/>
        <v>35874126.705332324</v>
      </c>
      <c r="AB32" s="1654">
        <f>AB33+AB51+AB61+AB62</f>
        <v>21617710.900453247</v>
      </c>
      <c r="AC32" s="1655">
        <f t="shared" ref="AC32" si="64">AC33+AC51+AC61+AC62</f>
        <v>14256415.804879077</v>
      </c>
    </row>
    <row r="33" spans="1:29">
      <c r="A33" s="611" t="s">
        <v>3</v>
      </c>
      <c r="B33" s="1923" t="s">
        <v>142</v>
      </c>
      <c r="C33" s="195">
        <f t="shared" si="49"/>
        <v>17046487.078000002</v>
      </c>
      <c r="D33" s="195">
        <f>SUM(D34,D40,D45,D46,D47,D48,D49,D50)</f>
        <v>7138083.7300000004</v>
      </c>
      <c r="E33" s="195">
        <f t="shared" ref="E33" si="65">SUM(E34,E40,E45,E46,E47,E48,E49,E50)</f>
        <v>9908403.3479999993</v>
      </c>
      <c r="F33" s="195">
        <f t="shared" si="55"/>
        <v>17255230.094239719</v>
      </c>
      <c r="G33" s="195">
        <f>SUM(G34,G40,G45,G46,G47,G48,G49,G50)</f>
        <v>7302065.2589892773</v>
      </c>
      <c r="H33" s="195">
        <f t="shared" ref="H33" si="66">SUM(H34,H40,H45,H46,H47,H48,H49,H50)</f>
        <v>9953164.8352504428</v>
      </c>
      <c r="I33" s="195">
        <f t="shared" si="50"/>
        <v>18233347.033801578</v>
      </c>
      <c r="J33" s="195">
        <f>SUM(J34,J40,J45,J46,J47,J48,J49,J50)</f>
        <v>7298952.9739724817</v>
      </c>
      <c r="K33" s="195">
        <f t="shared" ref="K33" si="67">SUM(K34,K40,K45,K46,K47,K48,K49,K50)</f>
        <v>10934394.059829095</v>
      </c>
      <c r="L33" s="195">
        <f>SUM(M33:N33)</f>
        <v>18383427.272368386</v>
      </c>
      <c r="M33" s="195">
        <f>SUM(M34,M40,M45,M46,M47,M48,M49,M50)</f>
        <v>7342536.6611100128</v>
      </c>
      <c r="N33" s="195">
        <f t="shared" ref="N33" si="68">SUM(N34,N40,N45,N46,N47,N48,N49,N50)</f>
        <v>11040890.611258375</v>
      </c>
      <c r="O33" s="195">
        <f t="shared" si="51"/>
        <v>18547507.75812526</v>
      </c>
      <c r="P33" s="195">
        <f>SUM(P34,P40,P45,P46,P47,P48,P49,P50)</f>
        <v>7459656.7579816561</v>
      </c>
      <c r="Q33" s="195">
        <f t="shared" ref="Q33" si="69">SUM(Q34,Q40,Q45,Q46,Q47,Q48,Q49,Q50)</f>
        <v>11087851.000143604</v>
      </c>
      <c r="R33" s="195">
        <f t="shared" si="9"/>
        <v>55164282.064295225</v>
      </c>
      <c r="S33" s="195">
        <f t="shared" si="10"/>
        <v>22101146.393064149</v>
      </c>
      <c r="T33" s="1646">
        <f t="shared" si="11"/>
        <v>33063135.671231076</v>
      </c>
      <c r="U33" s="1830">
        <f t="shared" si="52"/>
        <v>21595043.134713143</v>
      </c>
      <c r="V33" s="195">
        <f>SUM(V34,V40,V45,V46,V47,V48,V49,V50)</f>
        <v>9096968.6505747605</v>
      </c>
      <c r="W33" s="195">
        <f t="shared" ref="W33" si="70">SUM(W34,W40,W45,W46,W47,W48,W49,W50)</f>
        <v>12498074.484138383</v>
      </c>
      <c r="X33" s="195">
        <f t="shared" si="53"/>
        <v>23347082.444954883</v>
      </c>
      <c r="Y33" s="195">
        <f>SUM(Y34,Y40,Y45,Y46,Y47,Y48,Y49,Y50)</f>
        <v>9987394.2478451263</v>
      </c>
      <c r="Z33" s="195">
        <f t="shared" ref="Z33" si="71">SUM(Z34,Z40,Z45,Z46,Z47,Z48,Z49,Z50)</f>
        <v>13359688.197109757</v>
      </c>
      <c r="AA33" s="195">
        <f t="shared" si="54"/>
        <v>24990183.457332324</v>
      </c>
      <c r="AB33" s="195">
        <f>SUM(AB34,AB40,AB45,AB46,AB47,AB48,AB49,AB50)</f>
        <v>10733767.652453247</v>
      </c>
      <c r="AC33" s="1646">
        <f t="shared" ref="AC33" si="72">SUM(AC34,AC40,AC45,AC46,AC47,AC48,AC49,AC50)</f>
        <v>14256415.804879077</v>
      </c>
    </row>
    <row r="34" spans="1:29">
      <c r="A34" s="611">
        <v>1</v>
      </c>
      <c r="B34" s="1923" t="s">
        <v>208</v>
      </c>
      <c r="C34" s="195">
        <f>SUM(C35:C39)</f>
        <v>5331240.5709698759</v>
      </c>
      <c r="D34" s="195">
        <f t="shared" ref="D34:E34" si="73">SUM(D35:D39)</f>
        <v>3607240.162</v>
      </c>
      <c r="E34" s="195">
        <f t="shared" si="73"/>
        <v>1724000.4089698761</v>
      </c>
      <c r="F34" s="195">
        <f>SUM(F35:F39)</f>
        <v>5331240.5709698759</v>
      </c>
      <c r="G34" s="195">
        <f t="shared" ref="G34:H34" si="74">SUM(G35:G39)</f>
        <v>3607240.162</v>
      </c>
      <c r="H34" s="195">
        <f t="shared" si="74"/>
        <v>1724000.4089698761</v>
      </c>
      <c r="I34" s="195">
        <f>SUM(I35:I39)</f>
        <v>4950795.363429876</v>
      </c>
      <c r="J34" s="195">
        <f t="shared" ref="J34:K34" si="75">SUM(J35:J39)</f>
        <v>3109794.9544600002</v>
      </c>
      <c r="K34" s="195">
        <f t="shared" si="75"/>
        <v>1841000.4089698761</v>
      </c>
      <c r="L34" s="195">
        <f>SUM(L35:L39)</f>
        <v>4892210.8713205801</v>
      </c>
      <c r="M34" s="195">
        <f t="shared" ref="M34:N34" si="76">SUM(M35:M39)</f>
        <v>3141210.4623507038</v>
      </c>
      <c r="N34" s="195">
        <f t="shared" si="76"/>
        <v>1751000.4089698761</v>
      </c>
      <c r="O34" s="195">
        <f>SUM(O35:O39)</f>
        <v>4823362.7382765934</v>
      </c>
      <c r="P34" s="195">
        <f t="shared" ref="P34:Q34" si="77">SUM(P35:P39)</f>
        <v>3154867.4240310052</v>
      </c>
      <c r="Q34" s="195">
        <f t="shared" si="77"/>
        <v>1668495.3142455874</v>
      </c>
      <c r="R34" s="195">
        <f t="shared" si="9"/>
        <v>14666368.973027049</v>
      </c>
      <c r="S34" s="195">
        <f t="shared" si="10"/>
        <v>9405872.8408417087</v>
      </c>
      <c r="T34" s="1646">
        <f t="shared" si="11"/>
        <v>5260496.1321853399</v>
      </c>
      <c r="U34" s="1830">
        <f>SUM(U35:U39)</f>
        <v>6043442.1840729155</v>
      </c>
      <c r="V34" s="195">
        <f t="shared" ref="V34:W34" si="78">SUM(V35:V39)</f>
        <v>4112611.9808295001</v>
      </c>
      <c r="W34" s="195">
        <f t="shared" si="78"/>
        <v>1930830.2032434158</v>
      </c>
      <c r="X34" s="195">
        <f>SUM(X35:X39)</f>
        <v>6475781.9322816804</v>
      </c>
      <c r="Y34" s="195">
        <f t="shared" ref="Y34:Z34" si="79">SUM(Y35:Y39)</f>
        <v>4406297.6668103859</v>
      </c>
      <c r="Z34" s="195">
        <f t="shared" si="79"/>
        <v>2069484.2654712955</v>
      </c>
      <c r="AA34" s="195">
        <f>SUM(AA35:AA39)</f>
        <v>6943653.6306009274</v>
      </c>
      <c r="AB34" s="195">
        <f t="shared" ref="AB34:AC34" si="80">SUM(AB35:AB39)</f>
        <v>4655289.839687855</v>
      </c>
      <c r="AC34" s="1646">
        <f t="shared" si="80"/>
        <v>2288363.7909130724</v>
      </c>
    </row>
    <row r="35" spans="1:29">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196">
        <f t="shared" si="9"/>
        <v>3536368.9730270491</v>
      </c>
      <c r="S35" s="196">
        <f t="shared" si="10"/>
        <v>1785872.8408417096</v>
      </c>
      <c r="T35" s="1652">
        <f t="shared" si="11"/>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1656">
        <f>'Phụ lục số II'!AP12</f>
        <v>803363.79091307241</v>
      </c>
    </row>
    <row r="36" spans="1:29">
      <c r="A36" s="603" t="s">
        <v>29</v>
      </c>
      <c r="B36" s="1929" t="s">
        <v>144</v>
      </c>
      <c r="C36" s="196">
        <f t="shared" ref="C36:C39" si="81">SUM(D36:E36)</f>
        <v>1770000</v>
      </c>
      <c r="D36" s="196">
        <f>'Phụ lục số II'!F13</f>
        <v>627000</v>
      </c>
      <c r="E36" s="196">
        <f>'Phụ lục số II'!G13</f>
        <v>1143000</v>
      </c>
      <c r="F36" s="46">
        <f t="shared" ref="F36:F39" si="82">SUM(G36:H36)</f>
        <v>1770000</v>
      </c>
      <c r="G36" s="46">
        <f>'Phụ lục số II'!K13</f>
        <v>627000</v>
      </c>
      <c r="H36" s="46">
        <f>'Phụ lục số II'!L13</f>
        <v>1143000</v>
      </c>
      <c r="I36" s="46">
        <f t="shared" ref="I36:I39" si="83">SUM(J36:K36)</f>
        <v>1660000</v>
      </c>
      <c r="J36" s="328">
        <f>'Phụ lục số II'!P13</f>
        <v>400000</v>
      </c>
      <c r="K36" s="328">
        <f>'Phụ lục số II'!Q13</f>
        <v>1260000</v>
      </c>
      <c r="L36" s="46">
        <f t="shared" ref="L36:L39" si="84">SUM(M36:N36)</f>
        <v>1570000</v>
      </c>
      <c r="M36" s="328">
        <f>'Phụ lục số II'!U13</f>
        <v>400000</v>
      </c>
      <c r="N36" s="328">
        <f>'Phụ lục số II'!V13</f>
        <v>1170000</v>
      </c>
      <c r="O36" s="46">
        <f t="shared" ref="O36:O39" si="85">SUM(P36:Q36)</f>
        <v>1480000</v>
      </c>
      <c r="P36" s="328">
        <f>'Phụ lục số II'!Z13</f>
        <v>400000</v>
      </c>
      <c r="Q36" s="328">
        <f>'Phụ lục số II'!AA13</f>
        <v>1080000</v>
      </c>
      <c r="R36" s="196">
        <f t="shared" si="9"/>
        <v>4710000</v>
      </c>
      <c r="S36" s="196">
        <f t="shared" si="10"/>
        <v>1200000</v>
      </c>
      <c r="T36" s="1652">
        <f t="shared" si="11"/>
        <v>3510000</v>
      </c>
      <c r="U36" s="1827">
        <f t="shared" ref="U36:U39" si="86">SUM(V36:W36)</f>
        <v>1660000</v>
      </c>
      <c r="V36" s="46">
        <f>'Phụ lục số II'!AE13</f>
        <v>400000</v>
      </c>
      <c r="W36" s="46">
        <f>'Phụ lục số II'!AF13</f>
        <v>1260000</v>
      </c>
      <c r="X36" s="46">
        <f t="shared" ref="X36:X39" si="87">SUM(Y36:Z36)</f>
        <v>1800000</v>
      </c>
      <c r="Y36" s="328">
        <f>'Phụ lục số II'!AJ13</f>
        <v>450000</v>
      </c>
      <c r="Z36" s="328">
        <f>'Phụ lục số II'!AK13</f>
        <v>1350000</v>
      </c>
      <c r="AA36" s="46">
        <f t="shared" ref="AA36:AA39" si="88">SUM(AB36:AC36)</f>
        <v>1935000</v>
      </c>
      <c r="AB36" s="328">
        <f>'Phụ lục số II'!AO13</f>
        <v>450000</v>
      </c>
      <c r="AC36" s="1656">
        <f>'Phụ lục số II'!AP13</f>
        <v>1485000</v>
      </c>
    </row>
    <row r="37" spans="1:29">
      <c r="A37" s="603" t="s">
        <v>29</v>
      </c>
      <c r="B37" s="46" t="s">
        <v>145</v>
      </c>
      <c r="C37" s="196">
        <f t="shared" si="81"/>
        <v>1950000</v>
      </c>
      <c r="D37" s="196">
        <f>'Phụ lục số II'!F14</f>
        <v>1950000</v>
      </c>
      <c r="E37" s="196">
        <f>'Phụ lục số II'!G14</f>
        <v>0</v>
      </c>
      <c r="F37" s="46">
        <f t="shared" si="82"/>
        <v>1950000</v>
      </c>
      <c r="G37" s="46">
        <f>'Phụ lục số II'!K14</f>
        <v>1950000</v>
      </c>
      <c r="H37" s="46">
        <f>'Phụ lục số II'!L14</f>
        <v>0</v>
      </c>
      <c r="I37" s="46">
        <f t="shared" si="83"/>
        <v>1850000</v>
      </c>
      <c r="J37" s="328">
        <f>'Phụ lục số II'!P14</f>
        <v>1850000</v>
      </c>
      <c r="K37" s="328">
        <f>'Phụ lục số II'!Q14</f>
        <v>0</v>
      </c>
      <c r="L37" s="46">
        <f t="shared" si="84"/>
        <v>1850000</v>
      </c>
      <c r="M37" s="328">
        <f>'Phụ lục số II'!U14</f>
        <v>1850000</v>
      </c>
      <c r="N37" s="328">
        <f>'Phụ lục số II'!V14</f>
        <v>0</v>
      </c>
      <c r="O37" s="46">
        <f t="shared" si="85"/>
        <v>1850000</v>
      </c>
      <c r="P37" s="328">
        <f>'Phụ lục số II'!Z14</f>
        <v>1850000</v>
      </c>
      <c r="Q37" s="328">
        <f>'Phụ lục số II'!AA14</f>
        <v>0</v>
      </c>
      <c r="R37" s="196">
        <f t="shared" si="9"/>
        <v>5550000</v>
      </c>
      <c r="S37" s="196">
        <f t="shared" si="10"/>
        <v>5550000</v>
      </c>
      <c r="T37" s="1652">
        <f t="shared" si="11"/>
        <v>0</v>
      </c>
      <c r="U37" s="1827">
        <f t="shared" si="86"/>
        <v>2000000</v>
      </c>
      <c r="V37" s="46">
        <f>'Phụ lục số II'!AE14</f>
        <v>2000000</v>
      </c>
      <c r="W37" s="46">
        <f>'Phụ lục số II'!AF14</f>
        <v>0</v>
      </c>
      <c r="X37" s="46">
        <f t="shared" si="87"/>
        <v>2100000</v>
      </c>
      <c r="Y37" s="328">
        <f>'Phụ lục số II'!AJ14</f>
        <v>2100000</v>
      </c>
      <c r="Z37" s="328">
        <f>'Phụ lục số II'!AK14</f>
        <v>0</v>
      </c>
      <c r="AA37" s="46">
        <f t="shared" si="88"/>
        <v>2200000</v>
      </c>
      <c r="AB37" s="328">
        <f>'Phụ lục số II'!AO14</f>
        <v>2200000</v>
      </c>
      <c r="AC37" s="1656">
        <f>'Phụ lục số II'!AP14</f>
        <v>0</v>
      </c>
    </row>
    <row r="38" spans="1:29">
      <c r="A38" s="603" t="s">
        <v>29</v>
      </c>
      <c r="B38" s="46" t="s">
        <v>146</v>
      </c>
      <c r="C38" s="196">
        <f t="shared" si="81"/>
        <v>408054.16200000001</v>
      </c>
      <c r="D38" s="196">
        <f>'Phụ lục số II'!F15</f>
        <v>408054.16200000001</v>
      </c>
      <c r="E38" s="196">
        <f>'Phụ lục số II'!G15</f>
        <v>0</v>
      </c>
      <c r="F38" s="46">
        <f t="shared" si="82"/>
        <v>408054.16200000001</v>
      </c>
      <c r="G38" s="46">
        <f>'Phụ lục số II'!K15</f>
        <v>408054.16200000001</v>
      </c>
      <c r="H38" s="46">
        <f>'Phụ lục số II'!L15</f>
        <v>0</v>
      </c>
      <c r="I38" s="46">
        <f t="shared" si="83"/>
        <v>0</v>
      </c>
      <c r="J38" s="328">
        <f>'Phụ lục số II'!P15</f>
        <v>0</v>
      </c>
      <c r="K38" s="328">
        <f>'Phụ lục số II'!Q15</f>
        <v>0</v>
      </c>
      <c r="L38" s="46">
        <f t="shared" si="84"/>
        <v>0</v>
      </c>
      <c r="M38" s="328">
        <f>'Phụ lục số II'!U15</f>
        <v>0</v>
      </c>
      <c r="N38" s="328">
        <f>'Phụ lục số II'!V15</f>
        <v>0</v>
      </c>
      <c r="O38" s="46">
        <f t="shared" si="85"/>
        <v>0</v>
      </c>
      <c r="P38" s="328">
        <f>'Phụ lục số II'!Z15</f>
        <v>0</v>
      </c>
      <c r="Q38" s="328">
        <f>'Phụ lục số II'!AA15</f>
        <v>0</v>
      </c>
      <c r="R38" s="196">
        <f t="shared" si="9"/>
        <v>0</v>
      </c>
      <c r="S38" s="196">
        <f t="shared" si="10"/>
        <v>0</v>
      </c>
      <c r="T38" s="1652">
        <f t="shared" si="11"/>
        <v>0</v>
      </c>
      <c r="U38" s="1827">
        <f t="shared" si="86"/>
        <v>0</v>
      </c>
      <c r="V38" s="46">
        <f>'Phụ lục số II'!AE15</f>
        <v>0</v>
      </c>
      <c r="W38" s="46">
        <f>'Phụ lục số II'!AF15</f>
        <v>0</v>
      </c>
      <c r="X38" s="46">
        <f t="shared" si="87"/>
        <v>0</v>
      </c>
      <c r="Y38" s="328">
        <f>'Phụ lục số II'!AJ15</f>
        <v>0</v>
      </c>
      <c r="Z38" s="328">
        <f>'Phụ lục số II'!AK15</f>
        <v>0</v>
      </c>
      <c r="AA38" s="46">
        <f t="shared" si="88"/>
        <v>0</v>
      </c>
      <c r="AB38" s="328">
        <f>'Phụ lục số II'!AO15</f>
        <v>0</v>
      </c>
      <c r="AC38" s="1656">
        <f>'Phụ lục số II'!AP15</f>
        <v>0</v>
      </c>
    </row>
    <row r="39" spans="1:29">
      <c r="A39" s="603" t="s">
        <v>29</v>
      </c>
      <c r="B39" s="46" t="s">
        <v>321</v>
      </c>
      <c r="C39" s="196">
        <f t="shared" si="81"/>
        <v>60000</v>
      </c>
      <c r="D39" s="196">
        <f>'Phụ lục số II'!F16</f>
        <v>60000</v>
      </c>
      <c r="E39" s="196">
        <f>'Phụ lục số II'!G16</f>
        <v>0</v>
      </c>
      <c r="F39" s="46">
        <f t="shared" si="82"/>
        <v>60000</v>
      </c>
      <c r="G39" s="46">
        <f>'Phụ lục số II'!K16</f>
        <v>60000</v>
      </c>
      <c r="H39" s="46">
        <f>'Phụ lục số II'!L16</f>
        <v>0</v>
      </c>
      <c r="I39" s="46">
        <f t="shared" si="83"/>
        <v>270000</v>
      </c>
      <c r="J39" s="328">
        <f>'Phụ lục số II'!P16</f>
        <v>270000</v>
      </c>
      <c r="K39" s="328">
        <f>'Phụ lục số II'!Q16</f>
        <v>0</v>
      </c>
      <c r="L39" s="46">
        <f t="shared" si="84"/>
        <v>300000</v>
      </c>
      <c r="M39" s="328">
        <f>'Phụ lục số II'!U16</f>
        <v>300000</v>
      </c>
      <c r="N39" s="328">
        <f>'Phụ lục số II'!V16</f>
        <v>0</v>
      </c>
      <c r="O39" s="46">
        <f t="shared" si="85"/>
        <v>300000</v>
      </c>
      <c r="P39" s="328">
        <f>'Phụ lục số II'!Z16</f>
        <v>300000</v>
      </c>
      <c r="Q39" s="328">
        <f>'Phụ lục số II'!AA16</f>
        <v>0</v>
      </c>
      <c r="R39" s="196">
        <f t="shared" si="9"/>
        <v>870000</v>
      </c>
      <c r="S39" s="196">
        <f t="shared" si="10"/>
        <v>870000</v>
      </c>
      <c r="T39" s="1652">
        <f t="shared" si="11"/>
        <v>0</v>
      </c>
      <c r="U39" s="1827">
        <f t="shared" si="86"/>
        <v>1050000</v>
      </c>
      <c r="V39" s="46">
        <f>'Phụ lục số II'!AE16</f>
        <v>1050000</v>
      </c>
      <c r="W39" s="46">
        <f>'Phụ lục số II'!AF16</f>
        <v>0</v>
      </c>
      <c r="X39" s="46">
        <f t="shared" si="87"/>
        <v>1100000</v>
      </c>
      <c r="Y39" s="328">
        <f>'Phụ lục số II'!AJ16</f>
        <v>1100000</v>
      </c>
      <c r="Z39" s="328">
        <f>'Phụ lục số II'!AK16</f>
        <v>0</v>
      </c>
      <c r="AA39" s="46">
        <f t="shared" si="88"/>
        <v>1200000</v>
      </c>
      <c r="AB39" s="328">
        <f>'Phụ lục số II'!AO16</f>
        <v>1200000</v>
      </c>
      <c r="AC39" s="1656">
        <f>'Phụ lục số II'!AP16</f>
        <v>0</v>
      </c>
    </row>
    <row r="40" spans="1:29">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195">
        <f t="shared" si="9"/>
        <v>39409592.480176829</v>
      </c>
      <c r="S40" s="195">
        <f t="shared" si="10"/>
        <v>12123862.301153501</v>
      </c>
      <c r="T40" s="1646">
        <f t="shared" si="11"/>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1657">
        <f>'Phụ lục số II'!AP17</f>
        <v>10763485.913870698</v>
      </c>
    </row>
    <row r="41" spans="1:29">
      <c r="A41" s="611"/>
      <c r="B41" s="1923" t="s">
        <v>234</v>
      </c>
      <c r="C41" s="196"/>
      <c r="D41" s="196"/>
      <c r="E41" s="196"/>
      <c r="F41" s="46"/>
      <c r="G41" s="46"/>
      <c r="H41" s="46"/>
      <c r="I41" s="328"/>
      <c r="J41" s="328"/>
      <c r="K41" s="328"/>
      <c r="L41" s="46"/>
      <c r="M41" s="46"/>
      <c r="N41" s="46"/>
      <c r="O41" s="328">
        <f t="shared" ref="O41:O43" si="89">SUM(P41:Q41)</f>
        <v>0</v>
      </c>
      <c r="P41" s="328"/>
      <c r="Q41" s="328"/>
      <c r="R41" s="195">
        <f t="shared" si="9"/>
        <v>0</v>
      </c>
      <c r="S41" s="195">
        <f t="shared" si="10"/>
        <v>0</v>
      </c>
      <c r="T41" s="1646">
        <f t="shared" si="11"/>
        <v>0</v>
      </c>
      <c r="U41" s="1827"/>
      <c r="V41" s="46"/>
      <c r="W41" s="46"/>
      <c r="X41" s="297"/>
      <c r="Y41" s="297"/>
      <c r="Z41" s="297"/>
      <c r="AA41" s="328"/>
      <c r="AB41" s="328"/>
      <c r="AC41" s="1656"/>
    </row>
    <row r="42" spans="1:29">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9"/>
        <v>6216594.5722299647</v>
      </c>
      <c r="P42" s="328">
        <f>'Phụ lục số II'!Z18</f>
        <v>1230943.7954868474</v>
      </c>
      <c r="Q42" s="328">
        <f>'Phụ lục số II'!AA18</f>
        <v>4985650.7767431177</v>
      </c>
      <c r="R42" s="196">
        <f t="shared" si="9"/>
        <v>18411734.605027325</v>
      </c>
      <c r="S42" s="196">
        <f t="shared" si="10"/>
        <v>3634365.1610669112</v>
      </c>
      <c r="T42" s="1652">
        <f t="shared" si="11"/>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1656">
        <f>'Phụ lục số II'!AP18</f>
        <v>5743058.5827228744</v>
      </c>
    </row>
    <row r="43" spans="1:29">
      <c r="A43" s="603" t="s">
        <v>29</v>
      </c>
      <c r="B43" s="1930" t="s">
        <v>241</v>
      </c>
      <c r="C43" s="196">
        <f t="shared" ref="C43:C44" si="90">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9"/>
        <v>34148.038429599939</v>
      </c>
      <c r="P43" s="328">
        <f>'Phụ lục số II'!Z19</f>
        <v>34148.038429599939</v>
      </c>
      <c r="Q43" s="328">
        <f>'Phụ lục số II'!AA19</f>
        <v>0</v>
      </c>
      <c r="R43" s="196">
        <f t="shared" si="9"/>
        <v>100822.18346795195</v>
      </c>
      <c r="S43" s="196">
        <f t="shared" si="10"/>
        <v>100822.18346795195</v>
      </c>
      <c r="T43" s="1652">
        <f t="shared" si="11"/>
        <v>0</v>
      </c>
      <c r="U43" s="1827">
        <f>SUM(V43:W43)</f>
        <v>35149.814659228985</v>
      </c>
      <c r="V43" s="46">
        <f>'Phụ lục số II'!AE19</f>
        <v>35149.814659228985</v>
      </c>
      <c r="W43" s="46"/>
      <c r="X43" s="297">
        <f t="shared" ref="X43:X44" si="91">SUM(Y43:Z43)</f>
        <v>36406.277712104355</v>
      </c>
      <c r="Y43" s="328">
        <f>'Phụ lục số II'!AJ19</f>
        <v>36406.277712104355</v>
      </c>
      <c r="Z43" s="328">
        <f>'Phụ lục số II'!AK19</f>
        <v>0</v>
      </c>
      <c r="AA43" s="328">
        <f t="shared" ref="AA43:AA44" si="92">SUM(AB43:AC43)</f>
        <v>37320.513403256889</v>
      </c>
      <c r="AB43" s="328">
        <f>'Phụ lục số II'!AO19</f>
        <v>37320.513403256889</v>
      </c>
      <c r="AC43" s="1656"/>
    </row>
    <row r="44" spans="1:29">
      <c r="A44" s="603" t="s">
        <v>29</v>
      </c>
      <c r="B44" s="1929" t="s">
        <v>240</v>
      </c>
      <c r="C44" s="196">
        <f t="shared" si="90"/>
        <v>5835814.6115313368</v>
      </c>
      <c r="D44" s="196">
        <f>D40-D42-D43</f>
        <v>2306546</v>
      </c>
      <c r="E44" s="196">
        <f t="shared" ref="E44" si="93">E40-E42-E43</f>
        <v>3529268.6115313368</v>
      </c>
      <c r="F44" s="196">
        <f t="shared" ref="F44" si="94">SUM(G44:H44)</f>
        <v>6164214.0219581444</v>
      </c>
      <c r="G44" s="196">
        <f>G40-G42-G43</f>
        <v>2453609.8404966248</v>
      </c>
      <c r="H44" s="196">
        <f t="shared" ref="H44" si="95">H40-H42-H43</f>
        <v>3710604.1814615196</v>
      </c>
      <c r="I44" s="196">
        <f t="shared" ref="I44" si="96">SUM(J44:K44)</f>
        <v>6820326.0272453995</v>
      </c>
      <c r="J44" s="196">
        <f>J40-J42-J43</f>
        <v>2766832.4740600018</v>
      </c>
      <c r="K44" s="196">
        <f t="shared" ref="K44" si="97">K40-K42-K43</f>
        <v>4053493.5531853978</v>
      </c>
      <c r="L44" s="196">
        <f t="shared" ref="L44" si="98">SUM(M44:N44)</f>
        <v>6971158.3555575442</v>
      </c>
      <c r="M44" s="196">
        <f>M40-M42-M43</f>
        <v>2775599.0719977436</v>
      </c>
      <c r="N44" s="196">
        <f t="shared" ref="N44" si="99">N40-N42-N43</f>
        <v>4195559.2835598001</v>
      </c>
      <c r="O44" s="196">
        <f t="shared" ref="O44" si="100">SUM(P44:Q44)</f>
        <v>7105551.3088786099</v>
      </c>
      <c r="P44" s="196">
        <f>P40-P42-P43</f>
        <v>2846243.4105608924</v>
      </c>
      <c r="Q44" s="196">
        <f>Q40-Q42-Q43</f>
        <v>4259307.898317717</v>
      </c>
      <c r="R44" s="196">
        <f t="shared" si="9"/>
        <v>20897035.691681553</v>
      </c>
      <c r="S44" s="196">
        <f t="shared" si="10"/>
        <v>8388674.9566186368</v>
      </c>
      <c r="T44" s="1652">
        <f t="shared" si="11"/>
        <v>12508360.735062914</v>
      </c>
      <c r="U44" s="1831">
        <f t="shared" ref="U44" si="101">SUM(V44:W44)</f>
        <v>7463552.5087014139</v>
      </c>
      <c r="V44" s="196">
        <f>V40-V42-V43</f>
        <v>2954741.5885987445</v>
      </c>
      <c r="W44" s="196">
        <f>W40-W42-W43</f>
        <v>4508810.9201026689</v>
      </c>
      <c r="X44" s="297">
        <f t="shared" si="91"/>
        <v>7941763.3492903039</v>
      </c>
      <c r="Y44" s="196">
        <f>Y40-Y42-Y43</f>
        <v>3150361.5946460278</v>
      </c>
      <c r="Z44" s="196">
        <f>Z40-Z42-Z43</f>
        <v>4791401.7546442756</v>
      </c>
      <c r="AA44" s="328">
        <f t="shared" si="92"/>
        <v>8374900.9139140751</v>
      </c>
      <c r="AB44" s="196">
        <f>AB40-AB42-AB43</f>
        <v>3354473.5827662521</v>
      </c>
      <c r="AC44" s="1652">
        <f>AC40-AC42-AC43</f>
        <v>5020427.3311478235</v>
      </c>
    </row>
    <row r="45" spans="1:29">
      <c r="A45" s="611">
        <v>3</v>
      </c>
      <c r="B45" s="1931" t="s">
        <v>210</v>
      </c>
      <c r="C45" s="195"/>
      <c r="D45" s="195"/>
      <c r="E45" s="195"/>
      <c r="F45" s="46"/>
      <c r="G45" s="46"/>
      <c r="H45" s="46"/>
      <c r="I45" s="328"/>
      <c r="J45" s="328"/>
      <c r="K45" s="328"/>
      <c r="L45" s="328"/>
      <c r="M45" s="297"/>
      <c r="N45" s="297"/>
      <c r="O45" s="328"/>
      <c r="P45" s="328"/>
      <c r="Q45" s="328"/>
      <c r="R45" s="195">
        <f t="shared" si="9"/>
        <v>0</v>
      </c>
      <c r="S45" s="195">
        <f t="shared" si="10"/>
        <v>0</v>
      </c>
      <c r="T45" s="1646">
        <f t="shared" si="11"/>
        <v>0</v>
      </c>
      <c r="U45" s="1833"/>
      <c r="V45" s="297"/>
      <c r="W45" s="297"/>
      <c r="X45" s="297"/>
      <c r="Y45" s="297"/>
      <c r="Z45" s="297"/>
      <c r="AA45" s="328"/>
      <c r="AB45" s="328"/>
      <c r="AC45" s="1656"/>
    </row>
    <row r="46" spans="1:29">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195">
        <f t="shared" si="9"/>
        <v>0</v>
      </c>
      <c r="S46" s="195">
        <f t="shared" si="10"/>
        <v>0</v>
      </c>
      <c r="T46" s="1646">
        <f t="shared" si="11"/>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1657">
        <f>'Phụ lục số II'!AP34</f>
        <v>984949.50233643386</v>
      </c>
    </row>
    <row r="47" spans="1:29">
      <c r="A47" s="611">
        <v>5</v>
      </c>
      <c r="B47" s="45" t="s">
        <v>212</v>
      </c>
      <c r="C47" s="195">
        <f t="shared" ref="C47:C50" si="102">SUM(D47:E47)</f>
        <v>0</v>
      </c>
      <c r="D47" s="195"/>
      <c r="E47" s="195"/>
      <c r="F47" s="45">
        <f t="shared" ref="F47:F50" si="103">SUM(G47:H47)</f>
        <v>0</v>
      </c>
      <c r="G47" s="45"/>
      <c r="H47" s="45"/>
      <c r="I47" s="328"/>
      <c r="J47" s="328"/>
      <c r="K47" s="328"/>
      <c r="L47" s="328"/>
      <c r="M47" s="297"/>
      <c r="N47" s="297"/>
      <c r="O47" s="328"/>
      <c r="P47" s="328"/>
      <c r="Q47" s="328"/>
      <c r="R47" s="195">
        <f t="shared" si="9"/>
        <v>0</v>
      </c>
      <c r="S47" s="195">
        <f t="shared" si="10"/>
        <v>0</v>
      </c>
      <c r="T47" s="1646">
        <f t="shared" si="11"/>
        <v>0</v>
      </c>
      <c r="U47" s="1833"/>
      <c r="V47" s="297"/>
      <c r="W47" s="297"/>
      <c r="X47" s="297"/>
      <c r="Y47" s="297"/>
      <c r="Z47" s="297"/>
      <c r="AA47" s="328"/>
      <c r="AB47" s="328"/>
      <c r="AC47" s="1656"/>
    </row>
    <row r="48" spans="1:29">
      <c r="A48" s="611">
        <v>6</v>
      </c>
      <c r="B48" s="1923" t="s">
        <v>174</v>
      </c>
      <c r="C48" s="195">
        <f t="shared" si="102"/>
        <v>2000</v>
      </c>
      <c r="D48" s="195">
        <f>'Phụ lục số II'!F32</f>
        <v>2000</v>
      </c>
      <c r="E48" s="195">
        <f>'Phụ lục số II'!G32</f>
        <v>0</v>
      </c>
      <c r="F48" s="45">
        <f t="shared" si="103"/>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195">
        <f t="shared" si="9"/>
        <v>6000</v>
      </c>
      <c r="S48" s="195">
        <f t="shared" si="10"/>
        <v>6000</v>
      </c>
      <c r="T48" s="1646">
        <f t="shared" si="11"/>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1657"/>
    </row>
    <row r="49" spans="1:29">
      <c r="A49" s="1932">
        <v>7</v>
      </c>
      <c r="B49" s="1923" t="s">
        <v>175</v>
      </c>
      <c r="C49" s="195">
        <f t="shared" si="102"/>
        <v>327868.91231904214</v>
      </c>
      <c r="D49" s="195">
        <f>'Phụ lục số II'!F33</f>
        <v>152264.36799999999</v>
      </c>
      <c r="E49" s="195">
        <f>'Phụ lục số II'!G33</f>
        <v>175604.54431904212</v>
      </c>
      <c r="F49" s="45">
        <f t="shared" si="103"/>
        <v>327868.91231904214</v>
      </c>
      <c r="G49" s="45">
        <f>'Phụ lục số II'!K33</f>
        <v>152264.36799999999</v>
      </c>
      <c r="H49" s="45">
        <f>'Phụ lục số II'!L33</f>
        <v>175604.54431904212</v>
      </c>
      <c r="I49" s="45">
        <f t="shared" ref="I49:I50" si="104">SUM(J49:K49)</f>
        <v>354094.47910195083</v>
      </c>
      <c r="J49" s="329">
        <f>'Phụ lục số II'!P33</f>
        <v>183758.07111247999</v>
      </c>
      <c r="K49" s="329">
        <f>'Phụ lục số II'!Q33</f>
        <v>170336.40798947084</v>
      </c>
      <c r="L49" s="45">
        <f t="shared" ref="L49:L50" si="105">SUM(M49:N49)</f>
        <v>356375.03167890699</v>
      </c>
      <c r="M49" s="329">
        <f>'Phụ lục số II'!U33</f>
        <v>184199.09048314992</v>
      </c>
      <c r="N49" s="329">
        <f>'Phụ lục số II'!V33</f>
        <v>172175.9411957571</v>
      </c>
      <c r="O49" s="329">
        <f t="shared" ref="O49:O50" si="106">SUM(P49:Q49)</f>
        <v>362851.10031049303</v>
      </c>
      <c r="P49" s="329">
        <f>'Phụ lục số II'!Z33</f>
        <v>188454.08947331071</v>
      </c>
      <c r="Q49" s="329">
        <f>'Phụ lục số II'!AA33</f>
        <v>174397.01083718234</v>
      </c>
      <c r="R49" s="195">
        <f t="shared" si="9"/>
        <v>1073320.6110913509</v>
      </c>
      <c r="S49" s="195">
        <f t="shared" si="10"/>
        <v>556411.25106894062</v>
      </c>
      <c r="T49" s="1646">
        <f t="shared" si="11"/>
        <v>516909.36002241028</v>
      </c>
      <c r="U49" s="1834">
        <f t="shared" ref="U49:U50" si="107">SUM(V49:W49)</f>
        <v>388554.57695830194</v>
      </c>
      <c r="V49" s="329">
        <f>'Phụ lục số II'!AE33</f>
        <v>193982.6303761786</v>
      </c>
      <c r="W49" s="329">
        <f>'Phụ lục số II'!AF33</f>
        <v>194571.94658212332</v>
      </c>
      <c r="X49" s="329">
        <f t="shared" ref="X49:X50" si="108">SUM(Y49:Z49)</f>
        <v>413799.67800673621</v>
      </c>
      <c r="Y49" s="329">
        <f>'Phụ lục số II'!AJ33</f>
        <v>210916.72121933621</v>
      </c>
      <c r="Z49" s="329">
        <f>'Phụ lục số II'!AK33</f>
        <v>202882.95678739998</v>
      </c>
      <c r="AA49" s="329">
        <f t="shared" ref="AA49:AA50" si="109">SUM(AB49:AC49)</f>
        <v>455829.86689569859</v>
      </c>
      <c r="AB49" s="329">
        <f>'Phụ lục số II'!AO33</f>
        <v>236213.26913682561</v>
      </c>
      <c r="AC49" s="1657">
        <f>'Phụ lục số II'!AP33</f>
        <v>219616.59775887299</v>
      </c>
    </row>
    <row r="50" spans="1:29">
      <c r="A50" s="1932">
        <v>8</v>
      </c>
      <c r="B50" s="1923" t="s">
        <v>213</v>
      </c>
      <c r="C50" s="195">
        <f t="shared" si="102"/>
        <v>3000</v>
      </c>
      <c r="D50" s="195">
        <f>'Phụ lục số II'!F31</f>
        <v>3000</v>
      </c>
      <c r="E50" s="195">
        <f>'Phụ lục số II'!G31</f>
        <v>0</v>
      </c>
      <c r="F50" s="45">
        <f t="shared" si="103"/>
        <v>3000</v>
      </c>
      <c r="G50" s="45">
        <f>'Phụ lục số II'!K31</f>
        <v>3000</v>
      </c>
      <c r="H50" s="45"/>
      <c r="I50" s="45">
        <f t="shared" si="104"/>
        <v>3000</v>
      </c>
      <c r="J50" s="329">
        <f>'Phụ lục số II'!P31</f>
        <v>3000</v>
      </c>
      <c r="K50" s="329">
        <f>'Phụ lục số II'!Q31</f>
        <v>0</v>
      </c>
      <c r="L50" s="45">
        <f t="shared" si="105"/>
        <v>3000</v>
      </c>
      <c r="M50" s="329">
        <f>'Phụ lục số II'!U31</f>
        <v>3000</v>
      </c>
      <c r="N50" s="329">
        <f>'Phụ lục số II'!V31</f>
        <v>0</v>
      </c>
      <c r="O50" s="329">
        <f t="shared" si="106"/>
        <v>3000</v>
      </c>
      <c r="P50" s="329">
        <f>'Phụ lục số II'!Z31</f>
        <v>3000</v>
      </c>
      <c r="Q50" s="329">
        <f>'Phụ lục số II'!AA31</f>
        <v>0</v>
      </c>
      <c r="R50" s="195">
        <f t="shared" si="9"/>
        <v>9000</v>
      </c>
      <c r="S50" s="195">
        <f t="shared" si="10"/>
        <v>9000</v>
      </c>
      <c r="T50" s="1646">
        <f t="shared" si="11"/>
        <v>0</v>
      </c>
      <c r="U50" s="1834">
        <f t="shared" si="107"/>
        <v>3000</v>
      </c>
      <c r="V50" s="329">
        <f>'Phụ lục số II'!AE31</f>
        <v>3000</v>
      </c>
      <c r="W50" s="330"/>
      <c r="X50" s="329">
        <f t="shared" si="108"/>
        <v>3000</v>
      </c>
      <c r="Y50" s="329">
        <f>'Phụ lục số II'!AJ31</f>
        <v>3000</v>
      </c>
      <c r="Z50" s="330"/>
      <c r="AA50" s="329">
        <f t="shared" si="109"/>
        <v>3000</v>
      </c>
      <c r="AB50" s="329">
        <f>'Phụ lục số II'!AO31</f>
        <v>3000</v>
      </c>
      <c r="AC50" s="1657"/>
    </row>
    <row r="51" spans="1:29">
      <c r="A51" s="611" t="s">
        <v>33</v>
      </c>
      <c r="B51" s="1923" t="s">
        <v>214</v>
      </c>
      <c r="C51" s="195">
        <f>SUM(D51:E51)</f>
        <v>1988976</v>
      </c>
      <c r="D51" s="195">
        <f>SUM(D52,D55,D58)</f>
        <v>1988976</v>
      </c>
      <c r="E51" s="195">
        <f t="shared" ref="E51" si="110">SUM(E52,E55,E58)</f>
        <v>0</v>
      </c>
      <c r="F51" s="195">
        <f>SUM(G51:H51)</f>
        <v>2127535</v>
      </c>
      <c r="G51" s="195">
        <f>SUM(G52,G55,G58)</f>
        <v>2127535</v>
      </c>
      <c r="H51" s="195">
        <f t="shared" ref="H51" si="111">SUM(H52,H55,H58)</f>
        <v>0</v>
      </c>
      <c r="I51" s="195">
        <f>SUM(J51:K51)</f>
        <v>3676048.8</v>
      </c>
      <c r="J51" s="195">
        <f>SUM(J52,J55,J58)</f>
        <v>3676048.8</v>
      </c>
      <c r="K51" s="195">
        <f t="shared" ref="K51" si="112">SUM(K52,K55,K58)</f>
        <v>0</v>
      </c>
      <c r="L51" s="195">
        <f>SUM(M51:N51)</f>
        <v>3676048.8</v>
      </c>
      <c r="M51" s="195">
        <f>SUM(M52,M55,M58)</f>
        <v>3676048.8</v>
      </c>
      <c r="N51" s="195">
        <f t="shared" ref="N51" si="113">SUM(N52,N55,N58)</f>
        <v>0</v>
      </c>
      <c r="O51" s="195">
        <f>SUM(P51:Q51)</f>
        <v>3676048.8</v>
      </c>
      <c r="P51" s="195">
        <f>SUM(P52,P55,P58)</f>
        <v>3676048.8</v>
      </c>
      <c r="Q51" s="195">
        <f t="shared" ref="Q51" si="114">SUM(Q52,Q55,Q58)</f>
        <v>0</v>
      </c>
      <c r="R51" s="195">
        <f t="shared" si="9"/>
        <v>11028146.399999999</v>
      </c>
      <c r="S51" s="195">
        <f t="shared" si="10"/>
        <v>11028146.399999999</v>
      </c>
      <c r="T51" s="1646">
        <f t="shared" si="11"/>
        <v>0</v>
      </c>
      <c r="U51" s="1830">
        <f>SUM(V51:W51)</f>
        <v>3676048.8</v>
      </c>
      <c r="V51" s="195">
        <f>SUM(V52,V55,V58)</f>
        <v>3676048.8</v>
      </c>
      <c r="W51" s="195">
        <f t="shared" ref="W51" si="115">SUM(W52,W55,W58)</f>
        <v>0</v>
      </c>
      <c r="X51" s="195">
        <f>SUM(Y51:Z51)</f>
        <v>3676048.8</v>
      </c>
      <c r="Y51" s="195">
        <f>SUM(Y52,Y55,Y58)</f>
        <v>3676048.8</v>
      </c>
      <c r="Z51" s="195">
        <f t="shared" ref="Z51" si="116">SUM(Z52,Z55,Z58)</f>
        <v>0</v>
      </c>
      <c r="AA51" s="195">
        <f>SUM(AB51:AC51)</f>
        <v>3676048.8</v>
      </c>
      <c r="AB51" s="195">
        <f>SUM(AB52,AB55,AB58)</f>
        <v>3676048.8</v>
      </c>
      <c r="AC51" s="1646">
        <f t="shared" ref="AC51" si="117">SUM(AC52,AC55,AC58)</f>
        <v>0</v>
      </c>
    </row>
    <row r="52" spans="1:29">
      <c r="A52" s="603">
        <v>1</v>
      </c>
      <c r="B52" s="46" t="s">
        <v>178</v>
      </c>
      <c r="C52" s="196">
        <f t="shared" ref="C52" si="118">SUM(D52:E52)</f>
        <v>1814491</v>
      </c>
      <c r="D52" s="196">
        <f>SUM(D53:D54)</f>
        <v>1814491</v>
      </c>
      <c r="E52" s="196">
        <f t="shared" ref="E52" si="119">SUM(E53:E54)</f>
        <v>0</v>
      </c>
      <c r="F52" s="196">
        <f t="shared" ref="F52" si="120">SUM(G52:H52)</f>
        <v>1814491</v>
      </c>
      <c r="G52" s="196">
        <f>SUM(G53:G54)</f>
        <v>1814491</v>
      </c>
      <c r="H52" s="196">
        <f t="shared" ref="H52" si="121">SUM(H53:H54)</f>
        <v>0</v>
      </c>
      <c r="I52" s="196">
        <f t="shared" ref="I52" si="122">SUM(J52:K52)</f>
        <v>3101719</v>
      </c>
      <c r="J52" s="196">
        <f>SUM(J53:J54)</f>
        <v>3101719</v>
      </c>
      <c r="K52" s="196">
        <f t="shared" ref="K52" si="123">SUM(K53:K54)</f>
        <v>0</v>
      </c>
      <c r="L52" s="196">
        <f t="shared" ref="L52" si="124">SUM(M52:N52)</f>
        <v>3101719</v>
      </c>
      <c r="M52" s="196">
        <f>SUM(M53:M54)</f>
        <v>3101719</v>
      </c>
      <c r="N52" s="196">
        <f t="shared" ref="N52" si="125">SUM(N53:N54)</f>
        <v>0</v>
      </c>
      <c r="O52" s="328">
        <f>SUM(O53:O54)</f>
        <v>3101719</v>
      </c>
      <c r="P52" s="328">
        <f t="shared" ref="P52:Q52" si="126">SUM(P53:P54)</f>
        <v>3101719</v>
      </c>
      <c r="Q52" s="328">
        <f t="shared" si="126"/>
        <v>0</v>
      </c>
      <c r="R52" s="196">
        <f t="shared" si="9"/>
        <v>9305157</v>
      </c>
      <c r="S52" s="196">
        <f t="shared" si="10"/>
        <v>9305157</v>
      </c>
      <c r="T52" s="1652">
        <f t="shared" si="11"/>
        <v>0</v>
      </c>
      <c r="U52" s="1835">
        <f>SUM(U53:U54)</f>
        <v>3101719</v>
      </c>
      <c r="V52" s="328">
        <f t="shared" ref="V52:W52" si="127">SUM(V53:V54)</f>
        <v>3101719</v>
      </c>
      <c r="W52" s="328">
        <f t="shared" si="127"/>
        <v>0</v>
      </c>
      <c r="X52" s="328">
        <f>SUM(X53:X54)</f>
        <v>3101719</v>
      </c>
      <c r="Y52" s="328">
        <f t="shared" ref="Y52:Z52" si="128">SUM(Y53:Y54)</f>
        <v>3101719</v>
      </c>
      <c r="Z52" s="328">
        <f t="shared" si="128"/>
        <v>0</v>
      </c>
      <c r="AA52" s="328">
        <f>SUM(AA53:AA54)</f>
        <v>3101719</v>
      </c>
      <c r="AB52" s="328">
        <f t="shared" ref="AB52:AC52" si="129">SUM(AB53:AB54)</f>
        <v>3101719</v>
      </c>
      <c r="AC52" s="1656">
        <f t="shared" si="129"/>
        <v>0</v>
      </c>
    </row>
    <row r="53" spans="1:29"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196">
        <f t="shared" si="9"/>
        <v>8911440</v>
      </c>
      <c r="S53" s="196">
        <f t="shared" si="10"/>
        <v>8911440</v>
      </c>
      <c r="T53" s="1652">
        <f t="shared" si="11"/>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1656"/>
    </row>
    <row r="54" spans="1:29"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196">
        <f t="shared" si="9"/>
        <v>393717</v>
      </c>
      <c r="S54" s="196">
        <f t="shared" si="10"/>
        <v>393717</v>
      </c>
      <c r="T54" s="1652">
        <f t="shared" si="11"/>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1656"/>
    </row>
    <row r="55" spans="1:29">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Q55" si="138">SUM(P56:P57)</f>
        <v>195063.8</v>
      </c>
      <c r="Q55" s="328">
        <f t="shared" si="138"/>
        <v>0</v>
      </c>
      <c r="R55" s="196">
        <f t="shared" si="9"/>
        <v>585191.39999999991</v>
      </c>
      <c r="S55" s="196">
        <f t="shared" si="10"/>
        <v>585191.39999999991</v>
      </c>
      <c r="T55" s="1652">
        <f t="shared" si="11"/>
        <v>0</v>
      </c>
      <c r="U55" s="1835">
        <f>SUM(U56:U57)</f>
        <v>195063.8</v>
      </c>
      <c r="V55" s="328">
        <f t="shared" ref="V55:W55" si="139">SUM(V56:V57)</f>
        <v>195063.8</v>
      </c>
      <c r="W55" s="328">
        <f t="shared" si="139"/>
        <v>0</v>
      </c>
      <c r="X55" s="328">
        <f>SUM(X56:X57)</f>
        <v>195063.8</v>
      </c>
      <c r="Y55" s="328">
        <f t="shared" ref="Y55:Z55" si="140">SUM(Y56:Y57)</f>
        <v>195063.8</v>
      </c>
      <c r="Z55" s="328">
        <f t="shared" si="140"/>
        <v>0</v>
      </c>
      <c r="AA55" s="328">
        <f>SUM(AA56:AA57)</f>
        <v>195063.8</v>
      </c>
      <c r="AB55" s="328">
        <f t="shared" ref="AB55:AC55" si="141">SUM(AB56:AB57)</f>
        <v>195063.8</v>
      </c>
      <c r="AC55" s="1656">
        <f t="shared" si="141"/>
        <v>0</v>
      </c>
    </row>
    <row r="56" spans="1:29"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196">
        <f t="shared" si="9"/>
        <v>260888.40000000002</v>
      </c>
      <c r="S56" s="196">
        <f t="shared" si="10"/>
        <v>260888.40000000002</v>
      </c>
      <c r="T56" s="1652">
        <f t="shared" si="11"/>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1656"/>
    </row>
    <row r="57" spans="1:29" hidden="1">
      <c r="A57" s="603" t="s">
        <v>101</v>
      </c>
      <c r="B57" s="46" t="s">
        <v>102</v>
      </c>
      <c r="C57" s="196">
        <f t="shared" ref="C57:C62" si="142">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196">
        <f t="shared" si="9"/>
        <v>324303</v>
      </c>
      <c r="S57" s="196">
        <f t="shared" si="10"/>
        <v>324303</v>
      </c>
      <c r="T57" s="1652">
        <f t="shared" si="11"/>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1656"/>
    </row>
    <row r="58" spans="1:29">
      <c r="A58" s="603">
        <v>3</v>
      </c>
      <c r="B58" s="46" t="s">
        <v>180</v>
      </c>
      <c r="C58" s="196">
        <f t="shared" si="142"/>
        <v>0</v>
      </c>
      <c r="D58" s="196">
        <f>SUM(D59:D60)</f>
        <v>0</v>
      </c>
      <c r="E58" s="196">
        <f t="shared" ref="E58" si="143">SUM(E59:E60)</f>
        <v>0</v>
      </c>
      <c r="F58" s="46">
        <f>SUM(F59:F60)</f>
        <v>138559</v>
      </c>
      <c r="G58" s="46">
        <f t="shared" ref="G58:N58" si="144">SUM(G59:G60)</f>
        <v>138559</v>
      </c>
      <c r="H58" s="46">
        <f t="shared" si="144"/>
        <v>0</v>
      </c>
      <c r="I58" s="46">
        <f>SUM(I59:I60)</f>
        <v>379266</v>
      </c>
      <c r="J58" s="46">
        <f t="shared" si="144"/>
        <v>379266</v>
      </c>
      <c r="K58" s="46">
        <f t="shared" si="144"/>
        <v>0</v>
      </c>
      <c r="L58" s="46">
        <f>SUM(L59:L60)</f>
        <v>379266</v>
      </c>
      <c r="M58" s="46">
        <f t="shared" si="144"/>
        <v>379266</v>
      </c>
      <c r="N58" s="46">
        <f t="shared" si="144"/>
        <v>0</v>
      </c>
      <c r="O58" s="328">
        <f>SUM(O59:O60)</f>
        <v>379266</v>
      </c>
      <c r="P58" s="328">
        <f t="shared" ref="P58:Q58" si="145">SUM(P59:P60)</f>
        <v>379266</v>
      </c>
      <c r="Q58" s="328">
        <f t="shared" si="145"/>
        <v>0</v>
      </c>
      <c r="R58" s="196">
        <f t="shared" si="9"/>
        <v>1137798</v>
      </c>
      <c r="S58" s="196">
        <f t="shared" si="10"/>
        <v>1137798</v>
      </c>
      <c r="T58" s="1652">
        <f t="shared" si="11"/>
        <v>0</v>
      </c>
      <c r="U58" s="1833">
        <f>SUM(U59:U60)</f>
        <v>379266</v>
      </c>
      <c r="V58" s="297">
        <f t="shared" ref="V58:W58" si="146">SUM(V59:V60)</f>
        <v>379266</v>
      </c>
      <c r="W58" s="297">
        <f t="shared" si="146"/>
        <v>0</v>
      </c>
      <c r="X58" s="297">
        <f>SUM(X59:X60)</f>
        <v>379266</v>
      </c>
      <c r="Y58" s="297">
        <f t="shared" ref="Y58:Z58" si="147">SUM(Y59:Y60)</f>
        <v>379266</v>
      </c>
      <c r="Z58" s="297">
        <f t="shared" si="147"/>
        <v>0</v>
      </c>
      <c r="AA58" s="328">
        <f>SUM(AA59:AA60)</f>
        <v>379266</v>
      </c>
      <c r="AB58" s="328">
        <f t="shared" ref="AB58:AC58" si="148">SUM(AB59:AB60)</f>
        <v>379266</v>
      </c>
      <c r="AC58" s="1656">
        <f t="shared" si="148"/>
        <v>0</v>
      </c>
    </row>
    <row r="59" spans="1:29" hidden="1">
      <c r="A59" s="603" t="s">
        <v>99</v>
      </c>
      <c r="B59" s="46" t="s">
        <v>104</v>
      </c>
      <c r="C59" s="196">
        <f t="shared" si="142"/>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196">
        <f t="shared" si="9"/>
        <v>0</v>
      </c>
      <c r="S59" s="196">
        <f t="shared" si="10"/>
        <v>0</v>
      </c>
      <c r="T59" s="1652">
        <f t="shared" si="11"/>
        <v>0</v>
      </c>
      <c r="U59" s="1835">
        <f>SUM(V59:W59)</f>
        <v>0</v>
      </c>
      <c r="V59" s="328">
        <f>'Phụ lục số II'!AE43</f>
        <v>0</v>
      </c>
      <c r="W59" s="297"/>
      <c r="X59" s="328">
        <f>SUM(Y59:Z59)</f>
        <v>0</v>
      </c>
      <c r="Y59" s="328">
        <f>'Phụ lục số II'!AJ43</f>
        <v>0</v>
      </c>
      <c r="Z59" s="297"/>
      <c r="AA59" s="328">
        <f>SUM(AB59:AC59)</f>
        <v>0</v>
      </c>
      <c r="AB59" s="328">
        <f>'Phụ lục số II'!AO43</f>
        <v>0</v>
      </c>
      <c r="AC59" s="1656"/>
    </row>
    <row r="60" spans="1:29" hidden="1">
      <c r="A60" s="603" t="s">
        <v>101</v>
      </c>
      <c r="B60" s="46" t="s">
        <v>105</v>
      </c>
      <c r="C60" s="196">
        <f t="shared" si="142"/>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196">
        <f t="shared" si="9"/>
        <v>1137798</v>
      </c>
      <c r="S60" s="196">
        <f t="shared" si="10"/>
        <v>1137798</v>
      </c>
      <c r="T60" s="1652">
        <f t="shared" si="11"/>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1656"/>
    </row>
    <row r="61" spans="1:29">
      <c r="A61" s="611" t="s">
        <v>182</v>
      </c>
      <c r="B61" s="1933" t="s">
        <v>181</v>
      </c>
      <c r="C61" s="195">
        <f t="shared" si="142"/>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195">
        <f t="shared" si="9"/>
        <v>0</v>
      </c>
      <c r="S61" s="196">
        <f t="shared" ref="S61:S62" si="149">+P61+M61+J61</f>
        <v>0</v>
      </c>
      <c r="T61" s="1652">
        <f t="shared" ref="T61:T62" si="150">+Q61+N61+K61</f>
        <v>0</v>
      </c>
      <c r="U61" s="1834">
        <f>SUM(V61:W61)</f>
        <v>0</v>
      </c>
      <c r="V61" s="329">
        <f>'Phụ lục số II'!AE45</f>
        <v>0</v>
      </c>
      <c r="W61" s="297"/>
      <c r="X61" s="329">
        <f>SUM(Y61:Z61)</f>
        <v>0</v>
      </c>
      <c r="Y61" s="329">
        <f>'Phụ lục số II'!AJ45</f>
        <v>0</v>
      </c>
      <c r="Z61" s="297"/>
      <c r="AA61" s="329">
        <f>SUM(AB61:AC61)</f>
        <v>0</v>
      </c>
      <c r="AB61" s="329">
        <f>'Phụ lục số II'!AO45</f>
        <v>0</v>
      </c>
      <c r="AC61" s="1656"/>
    </row>
    <row r="62" spans="1:29">
      <c r="A62" s="611" t="s">
        <v>215</v>
      </c>
      <c r="B62" s="1923" t="s">
        <v>216</v>
      </c>
      <c r="C62" s="195">
        <f t="shared" si="142"/>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911">
        <f>SUM(S62:T62)</f>
        <v>21623683.344000001</v>
      </c>
      <c r="S62" s="1570">
        <f t="shared" si="149"/>
        <v>21623683.344000001</v>
      </c>
      <c r="T62" s="1837">
        <f t="shared" si="150"/>
        <v>0</v>
      </c>
      <c r="U62" s="1834">
        <f>SUM(V62:W62)</f>
        <v>7207894.4479999999</v>
      </c>
      <c r="V62" s="329">
        <f>W18</f>
        <v>7207894.4479999999</v>
      </c>
      <c r="W62" s="330"/>
      <c r="X62" s="329">
        <f>SUM(Y62:Z62)</f>
        <v>7207894.4479999999</v>
      </c>
      <c r="Y62" s="329">
        <f>Z18</f>
        <v>7207894.4479999999</v>
      </c>
      <c r="Z62" s="330"/>
      <c r="AA62" s="329">
        <f>SUM(AB62:AC62)</f>
        <v>7207894.4479999999</v>
      </c>
      <c r="AB62" s="329">
        <f>AC18</f>
        <v>7207894.4479999999</v>
      </c>
      <c r="AC62" s="1659"/>
    </row>
    <row r="63" spans="1:29" ht="18.600000000000001" thickBot="1">
      <c r="A63" s="632" t="s">
        <v>44</v>
      </c>
      <c r="B63" s="1934" t="s">
        <v>217</v>
      </c>
      <c r="C63" s="1823">
        <f>D63+E63</f>
        <v>8.4000000730156898E-2</v>
      </c>
      <c r="D63" s="1823">
        <f>D8-D32</f>
        <v>-1.5999998897314072E-2</v>
      </c>
      <c r="E63" s="1823">
        <f t="shared" ref="E63" si="151">E8-E32</f>
        <v>9.999999962747097E-2</v>
      </c>
      <c r="F63" s="1823">
        <f>G63+H63</f>
        <v>-6.1892071738839149E-2</v>
      </c>
      <c r="G63" s="1823">
        <f>G8-G32</f>
        <v>-0.14625388942658901</v>
      </c>
      <c r="H63" s="1823">
        <f>H8-H32</f>
        <v>8.4361817687749863E-2</v>
      </c>
      <c r="I63" s="1823">
        <f>J63+K63</f>
        <v>0.19594352878630161</v>
      </c>
      <c r="J63" s="1823">
        <f>J8-J32</f>
        <v>4.2047522962093353E-2</v>
      </c>
      <c r="K63" s="1823">
        <f>K8-K32</f>
        <v>0.15389600582420826</v>
      </c>
      <c r="L63" s="1823">
        <f>M63+N63</f>
        <v>0.13032337091863155</v>
      </c>
      <c r="M63" s="1823">
        <f>M8-M32</f>
        <v>-0.25757023319602013</v>
      </c>
      <c r="N63" s="1823">
        <f>N8-N32</f>
        <v>0.38789360411465168</v>
      </c>
      <c r="O63" s="1823">
        <f>P63+Q63</f>
        <v>-0.36055498383939266</v>
      </c>
      <c r="P63" s="1823">
        <f>P8-P32</f>
        <v>-0.16537817567586899</v>
      </c>
      <c r="Q63" s="1823">
        <f>Q8-Q32</f>
        <v>-0.19517680816352367</v>
      </c>
      <c r="R63" s="1823">
        <f>S63+T63</f>
        <v>0</v>
      </c>
      <c r="S63" s="1823"/>
      <c r="T63" s="1824"/>
      <c r="U63" s="1836">
        <f>V63+W63</f>
        <v>-616133.2373663839</v>
      </c>
      <c r="V63" s="1823">
        <f>V8-V32</f>
        <v>-504749.78692453355</v>
      </c>
      <c r="W63" s="1823">
        <f>W8-W32</f>
        <v>-111383.45044185035</v>
      </c>
      <c r="X63" s="1823">
        <f>Y63+Z63</f>
        <v>-284136.44699073583</v>
      </c>
      <c r="Y63" s="1823">
        <f>Y8-Y32</f>
        <v>-315843.1265125908</v>
      </c>
      <c r="Z63" s="1823">
        <f>Z8-Z32</f>
        <v>31706.679521854967</v>
      </c>
      <c r="AA63" s="1823">
        <f>AB63+AC63</f>
        <v>-288529.84032297321</v>
      </c>
      <c r="AB63" s="1823">
        <f>AB8-AB32</f>
        <v>-309047.97373353317</v>
      </c>
      <c r="AC63" s="1824">
        <f>AC8-AC32</f>
        <v>20518.133410559967</v>
      </c>
    </row>
    <row r="64" spans="1:29" ht="18.600000000000001" thickTop="1"/>
    <row r="65" spans="1:29" hidden="1">
      <c r="E65" s="679"/>
      <c r="F65" s="679"/>
      <c r="I65" s="679">
        <f>+I11-I33</f>
        <v>3001428.2959435284</v>
      </c>
      <c r="L65" s="679">
        <f>+L11-L33</f>
        <v>3104428.2303233705</v>
      </c>
      <c r="O65" s="679">
        <f>+O11-O33</f>
        <v>3151427.7394450083</v>
      </c>
      <c r="U65" s="679">
        <f>+U11-U33</f>
        <v>1831560.8626336157</v>
      </c>
      <c r="X65" s="679">
        <f>+X11-X33</f>
        <v>1903557.6530092657</v>
      </c>
      <c r="AA65" s="679">
        <f>+AA11-AA33</f>
        <v>1619164.2596770264</v>
      </c>
    </row>
    <row r="66" spans="1:29" hidden="1">
      <c r="F66" s="679"/>
      <c r="G66" s="679"/>
      <c r="H66" s="679"/>
      <c r="I66" s="679">
        <f>+I33-C33</f>
        <v>1186859.9558015764</v>
      </c>
    </row>
    <row r="67" spans="1:29" hidden="1">
      <c r="F67" s="679"/>
      <c r="H67" s="679"/>
      <c r="J67" s="679">
        <f>-J63</f>
        <v>-4.2047522962093353E-2</v>
      </c>
    </row>
    <row r="68" spans="1:29" hidden="1">
      <c r="G68" s="679"/>
      <c r="H68" s="679"/>
      <c r="J68" s="679">
        <f>+J46-J63</f>
        <v>-4.2047522962093353E-2</v>
      </c>
    </row>
    <row r="69" spans="1:29" s="49" customFormat="1" ht="17.399999999999999" hidden="1">
      <c r="A69" s="319" t="s">
        <v>3</v>
      </c>
      <c r="B69" s="49" t="s">
        <v>291</v>
      </c>
      <c r="F69" s="6080" t="s">
        <v>304</v>
      </c>
      <c r="G69" s="6080"/>
      <c r="H69" s="6080"/>
      <c r="I69" s="6080" t="s">
        <v>297</v>
      </c>
      <c r="J69" s="6080"/>
      <c r="K69" s="6080"/>
      <c r="L69" s="6080" t="s">
        <v>299</v>
      </c>
      <c r="M69" s="6080"/>
      <c r="N69" s="6080"/>
      <c r="O69" s="6080" t="s">
        <v>300</v>
      </c>
      <c r="P69" s="6080"/>
      <c r="Q69" s="6080"/>
      <c r="R69" s="319"/>
      <c r="S69" s="319"/>
      <c r="T69" s="319"/>
      <c r="U69" s="6080" t="s">
        <v>301</v>
      </c>
      <c r="V69" s="6080"/>
      <c r="W69" s="6080"/>
      <c r="X69" s="6080" t="s">
        <v>302</v>
      </c>
      <c r="Y69" s="6080"/>
      <c r="Z69" s="6080"/>
      <c r="AA69" s="6080" t="s">
        <v>303</v>
      </c>
      <c r="AB69" s="6080"/>
      <c r="AC69" s="6080"/>
    </row>
    <row r="70" spans="1:29"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c r="S70" s="321"/>
      <c r="T70" s="321"/>
      <c r="U70" s="321">
        <f>SUM(V70:W70)</f>
        <v>2810668.4997764863</v>
      </c>
      <c r="V70" s="321">
        <f>V12-P12</f>
        <v>1511828.2710467484</v>
      </c>
      <c r="W70" s="321">
        <f>W12-Q12</f>
        <v>1298840.2287297379</v>
      </c>
      <c r="X70" s="321">
        <f>SUM(Y70:Z70)</f>
        <v>995278.35072914604</v>
      </c>
      <c r="Y70" s="321">
        <f>Y12-V12</f>
        <v>570904.72215893678</v>
      </c>
      <c r="Z70" s="321">
        <f>Z12-W12</f>
        <v>424373.62857020926</v>
      </c>
      <c r="AA70" s="321">
        <f>SUM(AB70:AC70)</f>
        <v>1155409.9436806319</v>
      </c>
      <c r="AB70" s="321">
        <f>AB12-Y12</f>
        <v>446246.1963077113</v>
      </c>
      <c r="AC70" s="321">
        <f>AC12-Z12</f>
        <v>709163.74737292062</v>
      </c>
    </row>
    <row r="71" spans="1:29" hidden="1">
      <c r="A71" s="317">
        <v>2</v>
      </c>
      <c r="B71" s="47" t="s">
        <v>293</v>
      </c>
      <c r="F71" s="314">
        <f>SUM(F72:F74)</f>
        <v>0</v>
      </c>
      <c r="G71" s="314">
        <f>SUM(G72:G74)</f>
        <v>0</v>
      </c>
      <c r="H71" s="314">
        <f t="shared" ref="H71" si="152">SUM(H72:H74)</f>
        <v>0</v>
      </c>
      <c r="I71" s="314">
        <f>SUM(I72:I74)</f>
        <v>-378054.16200000001</v>
      </c>
      <c r="J71" s="314">
        <f t="shared" ref="J71:K71" si="153">SUM(J72:J74)</f>
        <v>-495054.16200000001</v>
      </c>
      <c r="K71" s="314">
        <f t="shared" si="153"/>
        <v>117000</v>
      </c>
      <c r="L71" s="315">
        <f>SUM(L72:L74)</f>
        <v>-103000</v>
      </c>
      <c r="M71" s="315">
        <f t="shared" ref="M71:N71" si="154">SUM(M72:M74)</f>
        <v>-13000</v>
      </c>
      <c r="N71" s="315">
        <f t="shared" si="154"/>
        <v>-90000</v>
      </c>
      <c r="O71" s="314">
        <f>SUM(O72:O74)</f>
        <v>-47000</v>
      </c>
      <c r="P71" s="314">
        <f t="shared" ref="P71:Q71" si="155">SUM(P72:P74)</f>
        <v>43000</v>
      </c>
      <c r="Q71" s="314">
        <f t="shared" si="155"/>
        <v>-90000</v>
      </c>
      <c r="R71" s="314"/>
      <c r="S71" s="314"/>
      <c r="T71" s="314"/>
      <c r="U71" s="314">
        <f>SUM(U72:U74)</f>
        <v>1083000</v>
      </c>
      <c r="V71" s="314">
        <f t="shared" ref="V71:W71" si="156">SUM(V72:V74)</f>
        <v>903000</v>
      </c>
      <c r="W71" s="314">
        <f t="shared" si="156"/>
        <v>180000</v>
      </c>
      <c r="X71" s="314">
        <f>SUM(X72:X74)</f>
        <v>260000</v>
      </c>
      <c r="Y71" s="314">
        <f t="shared" ref="Y71:Z71" si="157">SUM(Y72:Y74)</f>
        <v>170000</v>
      </c>
      <c r="Z71" s="314">
        <f t="shared" si="157"/>
        <v>90000</v>
      </c>
      <c r="AA71" s="314">
        <f>SUM(AA72:AA74)</f>
        <v>280000</v>
      </c>
      <c r="AB71" s="314">
        <f t="shared" ref="AB71:AC71" si="158">SUM(AB72:AB74)</f>
        <v>145000</v>
      </c>
      <c r="AC71" s="314">
        <f t="shared" si="158"/>
        <v>135000</v>
      </c>
    </row>
    <row r="72" spans="1:29"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c r="S72" s="314"/>
      <c r="T72" s="314"/>
      <c r="U72" s="314">
        <f>SUM(V72:W72)</f>
        <v>200000</v>
      </c>
      <c r="V72" s="314">
        <f t="shared" ref="V72:W74" si="159">V14-P14</f>
        <v>20000</v>
      </c>
      <c r="W72" s="314">
        <f t="shared" si="159"/>
        <v>180000</v>
      </c>
      <c r="X72" s="314">
        <f>SUM(Y72:Z72)</f>
        <v>150000</v>
      </c>
      <c r="Y72" s="314">
        <f>Y14-V14</f>
        <v>60000</v>
      </c>
      <c r="Z72" s="314">
        <f>Z14-W14</f>
        <v>90000</v>
      </c>
      <c r="AA72" s="314">
        <f>SUM(AB72:AC72)</f>
        <v>150000</v>
      </c>
      <c r="AB72" s="314">
        <f>AB14-Y14</f>
        <v>15000</v>
      </c>
      <c r="AC72" s="314">
        <f>AC14-Z14</f>
        <v>135000</v>
      </c>
    </row>
    <row r="73" spans="1:29" hidden="1">
      <c r="A73" s="317"/>
      <c r="B73" s="47" t="s">
        <v>295</v>
      </c>
      <c r="F73" s="314">
        <f t="shared" ref="F73:F74" si="160">SUM(G73:H73)</f>
        <v>0</v>
      </c>
      <c r="G73" s="314">
        <f t="shared" ref="G73:H74" si="161">G15-D15</f>
        <v>0</v>
      </c>
      <c r="H73" s="314">
        <f t="shared" si="161"/>
        <v>0</v>
      </c>
      <c r="I73" s="314">
        <f t="shared" ref="I73:I74" si="162">SUM(J73:K73)</f>
        <v>0</v>
      </c>
      <c r="J73" s="314">
        <f t="shared" ref="J73:K74" si="163">J15-D15</f>
        <v>0</v>
      </c>
      <c r="K73" s="314">
        <f t="shared" si="163"/>
        <v>0</v>
      </c>
      <c r="L73" s="315">
        <f t="shared" ref="L73:L74" si="164">SUM(M73:N73)</f>
        <v>0</v>
      </c>
      <c r="M73" s="315">
        <f t="shared" ref="M73:N74" si="165">M15-J15</f>
        <v>0</v>
      </c>
      <c r="N73" s="315">
        <f t="shared" si="165"/>
        <v>0</v>
      </c>
      <c r="O73" s="314">
        <f t="shared" ref="O73:O74" si="166">SUM(P73:Q73)</f>
        <v>50000</v>
      </c>
      <c r="P73" s="314">
        <f t="shared" ref="P73:Q74" si="167">P15-M15</f>
        <v>50000</v>
      </c>
      <c r="Q73" s="314">
        <f t="shared" si="167"/>
        <v>0</v>
      </c>
      <c r="R73" s="314"/>
      <c r="S73" s="314"/>
      <c r="T73" s="314"/>
      <c r="U73" s="314">
        <f t="shared" ref="U73:U74" si="168">SUM(V73:W73)</f>
        <v>800000</v>
      </c>
      <c r="V73" s="314">
        <f t="shared" si="159"/>
        <v>800000</v>
      </c>
      <c r="W73" s="314">
        <f t="shared" si="159"/>
        <v>0</v>
      </c>
      <c r="X73" s="314">
        <f t="shared" ref="X73:X74" si="169">SUM(Y73:Z73)</f>
        <v>100000</v>
      </c>
      <c r="Y73" s="314">
        <f t="shared" ref="Y73:Z74" si="170">Y15-V15</f>
        <v>100000</v>
      </c>
      <c r="Z73" s="314">
        <f t="shared" si="170"/>
        <v>0</v>
      </c>
      <c r="AA73" s="314">
        <f t="shared" ref="AA73:AA74" si="171">SUM(AB73:AC73)</f>
        <v>100000</v>
      </c>
      <c r="AB73" s="314">
        <f t="shared" ref="AB73:AC74" si="172">AB15-Y15</f>
        <v>100000</v>
      </c>
      <c r="AC73" s="314">
        <f t="shared" si="172"/>
        <v>0</v>
      </c>
    </row>
    <row r="74" spans="1:29" hidden="1">
      <c r="A74" s="317"/>
      <c r="B74" s="47" t="s">
        <v>296</v>
      </c>
      <c r="F74" s="314">
        <f t="shared" si="160"/>
        <v>0</v>
      </c>
      <c r="G74" s="314">
        <f t="shared" si="161"/>
        <v>0</v>
      </c>
      <c r="H74" s="314">
        <f t="shared" si="161"/>
        <v>0</v>
      </c>
      <c r="I74" s="314">
        <f t="shared" si="162"/>
        <v>-408054.16200000001</v>
      </c>
      <c r="J74" s="314">
        <f t="shared" si="163"/>
        <v>-408054.16200000001</v>
      </c>
      <c r="K74" s="314">
        <f t="shared" si="163"/>
        <v>0</v>
      </c>
      <c r="L74" s="315">
        <f t="shared" si="164"/>
        <v>-3000</v>
      </c>
      <c r="M74" s="315">
        <f t="shared" si="165"/>
        <v>-3000</v>
      </c>
      <c r="N74" s="315">
        <f t="shared" si="165"/>
        <v>0</v>
      </c>
      <c r="O74" s="314">
        <f t="shared" si="166"/>
        <v>3000</v>
      </c>
      <c r="P74" s="314">
        <f t="shared" si="167"/>
        <v>3000</v>
      </c>
      <c r="Q74" s="314">
        <f t="shared" si="167"/>
        <v>0</v>
      </c>
      <c r="R74" s="314"/>
      <c r="S74" s="314"/>
      <c r="T74" s="314"/>
      <c r="U74" s="314">
        <f t="shared" si="168"/>
        <v>83000</v>
      </c>
      <c r="V74" s="314">
        <f t="shared" si="159"/>
        <v>83000</v>
      </c>
      <c r="W74" s="314">
        <f t="shared" si="159"/>
        <v>0</v>
      </c>
      <c r="X74" s="314">
        <f t="shared" si="169"/>
        <v>10000</v>
      </c>
      <c r="Y74" s="314">
        <f t="shared" si="170"/>
        <v>10000</v>
      </c>
      <c r="Z74" s="314">
        <f t="shared" si="170"/>
        <v>0</v>
      </c>
      <c r="AA74" s="314">
        <f t="shared" si="171"/>
        <v>30000</v>
      </c>
      <c r="AB74" s="314">
        <f t="shared" si="172"/>
        <v>30000</v>
      </c>
      <c r="AC74" s="314">
        <f t="shared" si="172"/>
        <v>0</v>
      </c>
    </row>
    <row r="75" spans="1:29"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c r="S75" s="327"/>
      <c r="T75" s="327"/>
      <c r="U75" s="327">
        <f>SUM(V75:W75)</f>
        <v>1727668.4997764863</v>
      </c>
      <c r="V75" s="327">
        <f>V70-V71</f>
        <v>608828.27104674838</v>
      </c>
      <c r="W75" s="327">
        <f>W70-W71</f>
        <v>1118840.2287297379</v>
      </c>
      <c r="X75" s="327">
        <f>SUM(Y75:Z75)</f>
        <v>735278.35072914604</v>
      </c>
      <c r="Y75" s="327">
        <f>Y70-Y71</f>
        <v>400904.72215893678</v>
      </c>
      <c r="Z75" s="327">
        <f>Z70-Z71</f>
        <v>334373.62857020926</v>
      </c>
      <c r="AA75" s="327">
        <f>SUM(AB75:AC75)</f>
        <v>875409.94368063193</v>
      </c>
      <c r="AB75" s="327">
        <f>AB70-AB71</f>
        <v>301246.1963077113</v>
      </c>
      <c r="AC75" s="327">
        <f>AC70-AC71</f>
        <v>574163.74737292062</v>
      </c>
    </row>
    <row r="76" spans="1:29"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c r="S76" s="314"/>
      <c r="T76" s="314"/>
      <c r="U76" s="314">
        <f>SUM(V76:W76)</f>
        <v>863834.24988824315</v>
      </c>
      <c r="V76" s="314">
        <f>V75*50%</f>
        <v>304414.13552337419</v>
      </c>
      <c r="W76" s="314">
        <f>W75*50%</f>
        <v>559420.11436486896</v>
      </c>
      <c r="X76" s="314">
        <f>SUM(Y76:Z76)</f>
        <v>367639.17536457302</v>
      </c>
      <c r="Y76" s="314">
        <f>Y75*50%</f>
        <v>200452.36107946839</v>
      </c>
      <c r="Z76" s="314">
        <f>Z75*50%</f>
        <v>167186.81428510463</v>
      </c>
      <c r="AA76" s="314">
        <f>SUM(AB76:AC76)</f>
        <v>437704.97184031596</v>
      </c>
      <c r="AB76" s="314">
        <f>AB75*50%</f>
        <v>150623.09815385565</v>
      </c>
      <c r="AC76" s="314">
        <f>AC75*50%</f>
        <v>287081.87368646031</v>
      </c>
    </row>
    <row r="77" spans="1:29"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c r="S77" s="321"/>
      <c r="T77" s="321"/>
      <c r="U77" s="321">
        <f>SUM(V77:W77)</f>
        <v>1727668.4997764863</v>
      </c>
      <c r="V77" s="321">
        <f>V11-P11</f>
        <v>608828.27104674838</v>
      </c>
      <c r="W77" s="321">
        <f>W11-Q11</f>
        <v>1118840.2287297379</v>
      </c>
      <c r="X77" s="321">
        <f>SUM(Y77:Z77)</f>
        <v>1824036.100617392</v>
      </c>
      <c r="Y77" s="321">
        <f>Y11-V11</f>
        <v>909332.25768231228</v>
      </c>
      <c r="Z77" s="321">
        <f>Z11-W11</f>
        <v>914703.84293507971</v>
      </c>
      <c r="AA77" s="321">
        <f>SUM(AB77:AC77)</f>
        <v>1358707.6190452036</v>
      </c>
      <c r="AB77" s="321">
        <f>AB11-Y11</f>
        <v>608168.55738718063</v>
      </c>
      <c r="AC77" s="321">
        <f>AC11-Z11</f>
        <v>750539.06165802293</v>
      </c>
    </row>
    <row r="78" spans="1:29" s="49" customFormat="1" ht="17.399999999999999" hidden="1">
      <c r="B78" s="318"/>
      <c r="I78" s="321">
        <f t="shared" ref="I78" si="173">I77/2</f>
        <v>1844742.6148725525</v>
      </c>
      <c r="J78" s="321">
        <f>J77/2</f>
        <v>1390247.2320100022</v>
      </c>
      <c r="K78" s="321">
        <f t="shared" ref="K78:AC78" si="174">K77/2</f>
        <v>454495.38286255021</v>
      </c>
      <c r="L78" s="321">
        <f t="shared" si="174"/>
        <v>126540.0864733262</v>
      </c>
      <c r="M78" s="321">
        <f>M77/2</f>
        <v>28291.693759886548</v>
      </c>
      <c r="N78" s="321">
        <f t="shared" si="174"/>
        <v>98248.392713439651</v>
      </c>
      <c r="O78" s="321">
        <f t="shared" si="174"/>
        <v>105539.99743925687</v>
      </c>
      <c r="P78" s="321">
        <f>P77/2</f>
        <v>37060.094531849027</v>
      </c>
      <c r="Q78" s="321">
        <f t="shared" si="174"/>
        <v>68479.902907407843</v>
      </c>
      <c r="R78" s="321"/>
      <c r="S78" s="321"/>
      <c r="T78" s="321"/>
      <c r="U78" s="321">
        <f t="shared" si="174"/>
        <v>863834.24988824315</v>
      </c>
      <c r="V78" s="321">
        <f t="shared" si="174"/>
        <v>304414.13552337419</v>
      </c>
      <c r="W78" s="321">
        <f t="shared" si="174"/>
        <v>559420.11436486896</v>
      </c>
      <c r="X78" s="321">
        <f t="shared" si="174"/>
        <v>912018.05030869599</v>
      </c>
      <c r="Y78" s="321">
        <f t="shared" si="174"/>
        <v>454666.12884115614</v>
      </c>
      <c r="Z78" s="321">
        <f t="shared" si="174"/>
        <v>457351.92146753985</v>
      </c>
      <c r="AA78" s="321">
        <f t="shared" si="174"/>
        <v>679353.80952260178</v>
      </c>
      <c r="AB78" s="321">
        <f t="shared" si="174"/>
        <v>304084.27869359031</v>
      </c>
      <c r="AC78" s="321">
        <f t="shared" si="174"/>
        <v>375269.53082901146</v>
      </c>
    </row>
    <row r="79" spans="1:29" hidden="1">
      <c r="A79" s="1638" t="s">
        <v>33</v>
      </c>
      <c r="B79" s="49" t="s">
        <v>307</v>
      </c>
      <c r="I79" s="320">
        <f>(I78-I76)*2</f>
        <v>3621495.4000000008</v>
      </c>
      <c r="J79" s="320">
        <f>(J78-J76)*2</f>
        <v>2382924.4000000008</v>
      </c>
      <c r="K79" s="320">
        <f>(K78-K76)*2</f>
        <v>1238571</v>
      </c>
    </row>
    <row r="80" spans="1:29"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75">N11/K11</f>
        <v>1.0212315847597895</v>
      </c>
      <c r="O80" s="322">
        <f>O11/L11</f>
        <v>1.0098232229294388</v>
      </c>
      <c r="P80" s="322">
        <f>P11/M11</f>
        <v>1.006157987361695</v>
      </c>
      <c r="Q80" s="322">
        <f t="shared" ref="Q80" si="176">Q11/N11</f>
        <v>1.0144909165411504</v>
      </c>
      <c r="R80" s="322"/>
      <c r="S80" s="322"/>
      <c r="T80" s="322"/>
      <c r="U80" s="322">
        <f>U11/O11</f>
        <v>1.0796199656877152</v>
      </c>
      <c r="V80" s="322">
        <f>V11/P11</f>
        <v>1.0502725490364153</v>
      </c>
      <c r="W80" s="322">
        <f>W11/Q11</f>
        <v>1.1166870429269034</v>
      </c>
      <c r="X80" s="322">
        <f>X11/U11</f>
        <v>1.0778617379123314</v>
      </c>
      <c r="Y80" s="322">
        <f t="shared" ref="Y80:Z80" si="177">Y11/V11</f>
        <v>1.0714918735735333</v>
      </c>
      <c r="Z80" s="322">
        <f t="shared" si="177"/>
        <v>1.0854286586660506</v>
      </c>
      <c r="AA80" s="322">
        <f>AA11/X11</f>
        <v>1.0538088386581039</v>
      </c>
      <c r="AB80" s="322">
        <f t="shared" ref="AB80:AC80" si="178">AB11/Y11</f>
        <v>1.0446240684083217</v>
      </c>
      <c r="AC80" s="322">
        <f t="shared" si="178"/>
        <v>1.0645795626611372</v>
      </c>
    </row>
    <row r="81" spans="2:29"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AC81" si="179">(K80-1)/2</f>
        <v>5.4457082220587316E-2</v>
      </c>
      <c r="L81" s="323">
        <f t="shared" si="179"/>
        <v>5.959097024025084E-3</v>
      </c>
      <c r="M81" s="323">
        <f t="shared" si="179"/>
        <v>2.3616071777923242E-3</v>
      </c>
      <c r="N81" s="323">
        <f t="shared" si="179"/>
        <v>1.061579237989474E-2</v>
      </c>
      <c r="O81" s="323">
        <f t="shared" si="179"/>
        <v>4.911611464719412E-3</v>
      </c>
      <c r="P81" s="323">
        <f t="shared" si="179"/>
        <v>3.0789936808475193E-3</v>
      </c>
      <c r="Q81" s="323">
        <f t="shared" si="179"/>
        <v>7.2454582705752113E-3</v>
      </c>
      <c r="R81" s="323"/>
      <c r="S81" s="323"/>
      <c r="T81" s="323"/>
      <c r="U81" s="323">
        <f t="shared" si="179"/>
        <v>3.9809982843857616E-2</v>
      </c>
      <c r="V81" s="323">
        <f t="shared" si="179"/>
        <v>2.5136274518207657E-2</v>
      </c>
      <c r="W81" s="323">
        <f t="shared" si="179"/>
        <v>5.8343521463451675E-2</v>
      </c>
      <c r="X81" s="323">
        <f t="shared" si="179"/>
        <v>3.893086895616571E-2</v>
      </c>
      <c r="Y81" s="323">
        <f t="shared" si="179"/>
        <v>3.574593678676663E-2</v>
      </c>
      <c r="Z81" s="323">
        <f t="shared" si="179"/>
        <v>4.2714329333025325E-2</v>
      </c>
      <c r="AA81" s="323">
        <f t="shared" si="179"/>
        <v>2.6904419329051965E-2</v>
      </c>
      <c r="AB81" s="323">
        <f t="shared" si="179"/>
        <v>2.2312034204160835E-2</v>
      </c>
      <c r="AC81" s="323">
        <f t="shared" si="179"/>
        <v>3.228978133056859E-2</v>
      </c>
    </row>
    <row r="82" spans="2:29"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AC82" si="180">1+K81</f>
        <v>1.0544570822205874</v>
      </c>
      <c r="L82" s="325">
        <f t="shared" si="180"/>
        <v>1.0059590970240251</v>
      </c>
      <c r="M82" s="325">
        <f>1+M81</f>
        <v>1.0023616071777923</v>
      </c>
      <c r="N82" s="325">
        <f>1+N81</f>
        <v>1.0106157923798946</v>
      </c>
      <c r="O82" s="325">
        <f t="shared" si="180"/>
        <v>1.0049116114647194</v>
      </c>
      <c r="P82" s="325">
        <f>1+P81</f>
        <v>1.0030789936808475</v>
      </c>
      <c r="Q82" s="325">
        <f t="shared" si="180"/>
        <v>1.0072454582705752</v>
      </c>
      <c r="R82" s="325"/>
      <c r="S82" s="325"/>
      <c r="T82" s="325"/>
      <c r="U82" s="325">
        <f t="shared" si="180"/>
        <v>1.0398099828438576</v>
      </c>
      <c r="V82" s="325">
        <f t="shared" si="180"/>
        <v>1.0251362745182075</v>
      </c>
      <c r="W82" s="325">
        <f t="shared" si="180"/>
        <v>1.0583435214634518</v>
      </c>
      <c r="X82" s="325">
        <f t="shared" si="180"/>
        <v>1.0389308689561658</v>
      </c>
      <c r="Y82" s="325">
        <f t="shared" si="180"/>
        <v>1.0357459367867667</v>
      </c>
      <c r="Z82" s="325">
        <f t="shared" si="180"/>
        <v>1.0427143293330254</v>
      </c>
      <c r="AA82" s="325">
        <f t="shared" si="180"/>
        <v>1.026904419329052</v>
      </c>
      <c r="AB82" s="325">
        <f t="shared" si="180"/>
        <v>1.0223120342041607</v>
      </c>
      <c r="AC82" s="325">
        <f t="shared" si="180"/>
        <v>1.0322897813305687</v>
      </c>
    </row>
    <row r="83" spans="2:29" hidden="1">
      <c r="G83" s="1536">
        <v>0.99646165326710401</v>
      </c>
      <c r="H83" s="1536">
        <v>0.96877046147473722</v>
      </c>
      <c r="J83" s="1535">
        <v>1.0075661772535063</v>
      </c>
      <c r="K83" s="1535">
        <v>0.92711446182149504</v>
      </c>
      <c r="M83" s="325">
        <v>1.0948950321230209</v>
      </c>
      <c r="N83" s="325">
        <v>0.9159158232807536</v>
      </c>
    </row>
    <row r="84" spans="2:29" hidden="1"/>
    <row r="85" spans="2:29" hidden="1">
      <c r="J85" s="1637">
        <f>+J17/D17</f>
        <v>1.2057975847089595</v>
      </c>
      <c r="K85" s="1637">
        <f>+K17/E17</f>
        <v>0.88212775232650731</v>
      </c>
    </row>
    <row r="86" spans="2:29" hidden="1"/>
    <row r="87" spans="2:29" hidden="1">
      <c r="F87" s="679">
        <f>-G63</f>
        <v>0.14625388942658901</v>
      </c>
      <c r="G87" s="47">
        <f>153728</f>
        <v>153728</v>
      </c>
      <c r="J87" s="679">
        <f>+J17-D17</f>
        <v>397570.06402000366</v>
      </c>
      <c r="K87" s="679">
        <f>+K17-E17</f>
        <v>-329580.23427489959</v>
      </c>
      <c r="N87" s="47" t="s">
        <v>117</v>
      </c>
    </row>
    <row r="88" spans="2:29" hidden="1">
      <c r="F88" s="679">
        <f>+F87-G87</f>
        <v>-153727.85374611057</v>
      </c>
      <c r="G88" s="47">
        <v>81641</v>
      </c>
      <c r="J88" s="47">
        <f>J87/2</f>
        <v>198785.03201000183</v>
      </c>
      <c r="K88" s="47">
        <f>K87/2</f>
        <v>-164790.11713744979</v>
      </c>
    </row>
    <row r="89" spans="2:29" hidden="1">
      <c r="G89" s="47">
        <f>+G87-G88</f>
        <v>72087</v>
      </c>
    </row>
    <row r="90" spans="2:29" hidden="1">
      <c r="B90" s="47" t="s">
        <v>117</v>
      </c>
      <c r="G90" s="47">
        <f>+G88-G89</f>
        <v>9554</v>
      </c>
    </row>
    <row r="91" spans="2:29" hidden="1">
      <c r="D91" s="679">
        <f>+D17+D19</f>
        <v>8549038</v>
      </c>
      <c r="E91" s="314">
        <f>+E17+E19</f>
        <v>7227003</v>
      </c>
      <c r="J91" s="679">
        <f>J17+J19</f>
        <v>8946608.0640200041</v>
      </c>
      <c r="K91" s="679">
        <f>K17+K19</f>
        <v>6897422.7657251004</v>
      </c>
    </row>
    <row r="92" spans="2:29" hidden="1">
      <c r="J92" s="47">
        <f>+J91/D91</f>
        <v>1.0465046551459947</v>
      </c>
      <c r="K92" s="47">
        <f>+K91/E91</f>
        <v>0.95439600145801795</v>
      </c>
    </row>
    <row r="93" spans="2:29" hidden="1">
      <c r="J93" s="47">
        <f>+(J92-1)/2</f>
        <v>2.3252327572997333E-2</v>
      </c>
      <c r="K93" s="47">
        <f>+(K92-1)/2</f>
        <v>-2.2801999270991025E-2</v>
      </c>
    </row>
    <row r="94" spans="2:29" hidden="1">
      <c r="J94" s="1536">
        <f>1+J93</f>
        <v>1.0232523275729974</v>
      </c>
      <c r="K94" s="1536">
        <f>1+K93</f>
        <v>0.97719800072900898</v>
      </c>
    </row>
    <row r="95" spans="2:29" hidden="1"/>
    <row r="96" spans="2:29"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c r="R96" s="314"/>
      <c r="S96" s="314"/>
      <c r="T96" s="314"/>
    </row>
    <row r="97" spans="10:20" hidden="1">
      <c r="J97" s="47">
        <f>+J96/D96</f>
        <v>1.3022489151160961</v>
      </c>
      <c r="K97" s="47">
        <f>+K96/E96</f>
        <v>1.1089141644411746</v>
      </c>
      <c r="M97" s="47">
        <f>+M96/J96</f>
        <v>1.0047232143555846</v>
      </c>
      <c r="N97" s="47">
        <f>+N96/K96</f>
        <v>1.0212315847597895</v>
      </c>
      <c r="P97" s="47">
        <f>+P96/M96</f>
        <v>1.006157987361695</v>
      </c>
      <c r="Q97" s="47">
        <f>+Q96/N96</f>
        <v>1.0144909165411504</v>
      </c>
    </row>
    <row r="98" spans="10:20"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10:20" hidden="1">
      <c r="J99" s="1536">
        <f>1+J98</f>
        <v>1.1511244575580482</v>
      </c>
      <c r="K99" s="1536">
        <f>1+K98</f>
        <v>1.0544570822205874</v>
      </c>
      <c r="M99" s="1536">
        <f>1+M98</f>
        <v>1.0023616071777923</v>
      </c>
      <c r="N99" s="1536">
        <f>1+N98</f>
        <v>1.0106157923798946</v>
      </c>
      <c r="P99" s="1536">
        <f>1+P98</f>
        <v>1.0030789936808475</v>
      </c>
      <c r="Q99" s="1536">
        <f>1+Q98</f>
        <v>1.0072454582705752</v>
      </c>
      <c r="R99" s="1536"/>
      <c r="S99" s="1536"/>
      <c r="T99" s="1536"/>
    </row>
    <row r="100" spans="10:20" hidden="1"/>
    <row r="101" spans="10:20" hidden="1"/>
  </sheetData>
  <mergeCells count="21">
    <mergeCell ref="X69:Z69"/>
    <mergeCell ref="AA69:AC69"/>
    <mergeCell ref="R6:T6"/>
    <mergeCell ref="L6:N6"/>
    <mergeCell ref="O6:Q6"/>
    <mergeCell ref="U6:W6"/>
    <mergeCell ref="X6:Z6"/>
    <mergeCell ref="AA6:AC6"/>
    <mergeCell ref="F69:H69"/>
    <mergeCell ref="I69:K69"/>
    <mergeCell ref="L69:N69"/>
    <mergeCell ref="O69:Q69"/>
    <mergeCell ref="U69:W69"/>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sheetPr>
  <dimension ref="A1:AC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3.8"/>
  <cols>
    <col min="1" max="1" width="5.6640625" style="30" customWidth="1"/>
    <col min="2" max="2" width="124.441406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16384" width="9.109375" style="30"/>
  </cols>
  <sheetData>
    <row r="1" spans="1:29">
      <c r="A1" s="6067" t="str">
        <f>'Phụ lục số XI năm -CĐC'!A1:K1</f>
        <v>CÂN ĐỐI NGÂN SÁCH ĐỊA PHƯƠNG NĂM 2024 - 2025; KẾ HOẠCH 03  NĂM 2025 - 2027</v>
      </c>
      <c r="B1" s="6067"/>
      <c r="C1" s="6067"/>
      <c r="D1" s="6067"/>
      <c r="E1" s="6067"/>
      <c r="F1" s="6067"/>
      <c r="G1" s="6067"/>
      <c r="H1" s="6067"/>
      <c r="I1" s="6067"/>
      <c r="J1" s="6067"/>
      <c r="K1" s="6067"/>
      <c r="L1" s="31"/>
      <c r="M1" s="31"/>
      <c r="N1" s="31"/>
      <c r="O1" s="31"/>
      <c r="P1" s="31"/>
      <c r="Q1" s="31"/>
      <c r="R1" s="31"/>
      <c r="S1" s="31"/>
      <c r="T1" s="31"/>
    </row>
    <row r="2" spans="1:29" ht="14.4">
      <c r="A2" s="6093" t="s">
        <v>231</v>
      </c>
      <c r="B2" s="6093"/>
      <c r="C2" s="6093"/>
      <c r="D2" s="6093"/>
      <c r="E2" s="6093"/>
      <c r="F2" s="6093"/>
      <c r="G2" s="6093"/>
      <c r="H2" s="6093"/>
      <c r="I2" s="6093"/>
      <c r="J2" s="6093"/>
      <c r="K2" s="6093"/>
      <c r="L2" s="1844"/>
      <c r="M2" s="1844"/>
      <c r="N2" s="1844"/>
      <c r="O2" s="1844"/>
      <c r="P2" s="1844"/>
      <c r="Q2" s="1844"/>
      <c r="R2" s="1844"/>
      <c r="S2" s="1844"/>
      <c r="T2" s="1844"/>
    </row>
    <row r="3" spans="1:29">
      <c r="A3" s="6094"/>
      <c r="B3" s="6094"/>
      <c r="C3" s="6094"/>
      <c r="D3" s="6094"/>
      <c r="E3" s="6094"/>
      <c r="F3" s="6094"/>
      <c r="G3" s="6094"/>
      <c r="H3" s="6094"/>
      <c r="I3" s="6094"/>
      <c r="J3" s="6094"/>
      <c r="K3" s="6094"/>
    </row>
    <row r="5" spans="1:29" ht="14.4" thickBot="1">
      <c r="I5" s="32"/>
      <c r="L5" s="32"/>
      <c r="O5" s="32"/>
      <c r="S5" s="32"/>
      <c r="T5" s="32"/>
      <c r="U5" s="32">
        <f>+U10-U33</f>
        <v>-236867.23736638576</v>
      </c>
      <c r="X5" s="32">
        <f>+X10-X33</f>
        <v>95129.553009264171</v>
      </c>
      <c r="AA5" s="32">
        <f>+AA10-AA33</f>
        <v>90736.159677028656</v>
      </c>
    </row>
    <row r="6" spans="1:29" ht="14.4" thickTop="1">
      <c r="A6" s="6229" t="s">
        <v>200</v>
      </c>
      <c r="B6" s="6231" t="s">
        <v>201</v>
      </c>
      <c r="C6" s="6233" t="s">
        <v>219</v>
      </c>
      <c r="D6" s="6233"/>
      <c r="E6" s="6233"/>
      <c r="F6" s="6233" t="s">
        <v>223</v>
      </c>
      <c r="G6" s="6233"/>
      <c r="H6" s="6233"/>
      <c r="I6" s="6234" t="s">
        <v>224</v>
      </c>
      <c r="J6" s="6234"/>
      <c r="K6" s="6234"/>
      <c r="L6" s="6234" t="s">
        <v>225</v>
      </c>
      <c r="M6" s="6234"/>
      <c r="N6" s="6234"/>
      <c r="O6" s="6234" t="s">
        <v>226</v>
      </c>
      <c r="P6" s="6234"/>
      <c r="Q6" s="6234"/>
      <c r="R6" s="6235" t="s">
        <v>1439</v>
      </c>
      <c r="S6" s="6236"/>
      <c r="T6" s="6237"/>
      <c r="U6" s="6238" t="s">
        <v>227</v>
      </c>
      <c r="V6" s="6234"/>
      <c r="W6" s="6234"/>
      <c r="X6" s="6234" t="s">
        <v>228</v>
      </c>
      <c r="Y6" s="6234"/>
      <c r="Z6" s="6234"/>
      <c r="AA6" s="6234" t="s">
        <v>229</v>
      </c>
      <c r="AB6" s="6234"/>
      <c r="AC6" s="6239"/>
    </row>
    <row r="7" spans="1:29">
      <c r="A7" s="6230"/>
      <c r="B7" s="6232"/>
      <c r="C7" s="1845" t="s">
        <v>220</v>
      </c>
      <c r="D7" s="1846" t="s">
        <v>221</v>
      </c>
      <c r="E7" s="1846" t="s">
        <v>222</v>
      </c>
      <c r="F7" s="1847" t="s">
        <v>220</v>
      </c>
      <c r="G7" s="1848" t="s">
        <v>221</v>
      </c>
      <c r="H7" s="1848" t="s">
        <v>222</v>
      </c>
      <c r="I7" s="1847" t="s">
        <v>220</v>
      </c>
      <c r="J7" s="1848" t="s">
        <v>221</v>
      </c>
      <c r="K7" s="1848" t="s">
        <v>222</v>
      </c>
      <c r="L7" s="1847" t="s">
        <v>220</v>
      </c>
      <c r="M7" s="1848" t="s">
        <v>221</v>
      </c>
      <c r="N7" s="1848" t="s">
        <v>222</v>
      </c>
      <c r="O7" s="1847" t="s">
        <v>220</v>
      </c>
      <c r="P7" s="1848" t="s">
        <v>221</v>
      </c>
      <c r="Q7" s="1848" t="s">
        <v>222</v>
      </c>
      <c r="R7" s="1848"/>
      <c r="S7" s="1848"/>
      <c r="T7" s="1849"/>
      <c r="U7" s="1850" t="s">
        <v>220</v>
      </c>
      <c r="V7" s="1848" t="s">
        <v>221</v>
      </c>
      <c r="W7" s="1848" t="s">
        <v>222</v>
      </c>
      <c r="X7" s="1847" t="s">
        <v>220</v>
      </c>
      <c r="Y7" s="1848" t="s">
        <v>221</v>
      </c>
      <c r="Z7" s="1848" t="s">
        <v>222</v>
      </c>
      <c r="AA7" s="1851" t="s">
        <v>220</v>
      </c>
      <c r="AB7" s="1852" t="s">
        <v>221</v>
      </c>
      <c r="AC7" s="1853" t="s">
        <v>222</v>
      </c>
    </row>
    <row r="8" spans="1:29" s="123" customFormat="1" ht="17.399999999999999">
      <c r="A8" s="1854" t="s">
        <v>1</v>
      </c>
      <c r="B8" s="1855" t="s">
        <v>233</v>
      </c>
      <c r="C8" s="1856">
        <f>SUM(D8:E8)</f>
        <v>19035463.162</v>
      </c>
      <c r="D8" s="1856">
        <f>SUM(D12+D18+D30+D31)</f>
        <v>14210383.162</v>
      </c>
      <c r="E8" s="1856">
        <f t="shared" ref="E8" si="0">SUM(E12+E18+E30+E31)</f>
        <v>4825080</v>
      </c>
      <c r="F8" s="1857">
        <f>SUM(G8:H8)</f>
        <v>19382765.032347649</v>
      </c>
      <c r="G8" s="1857">
        <f>SUM(G12+G18+G30+G31)</f>
        <v>14808565.560735388</v>
      </c>
      <c r="H8" s="1857">
        <f t="shared" ref="H8" si="1">SUM(H12+H18+H30+H31)</f>
        <v>4574199.4716122607</v>
      </c>
      <c r="I8" s="1857">
        <f>SUM(J8:K8)</f>
        <v>21909396.029745102</v>
      </c>
      <c r="J8" s="1857">
        <f>SUM(J12+J18+J30+J31)</f>
        <v>18182896.264020003</v>
      </c>
      <c r="K8" s="1857">
        <f t="shared" ref="K8" si="2">SUM(K12+K18+K30+K31)</f>
        <v>3726499.7657251004</v>
      </c>
      <c r="L8" s="1642">
        <f>SUM(M8:N8)</f>
        <v>22059476.20269176</v>
      </c>
      <c r="M8" s="1642">
        <f>SUM(M12+M18+M30+M31)</f>
        <v>18226479.65153978</v>
      </c>
      <c r="N8" s="1642">
        <f t="shared" ref="N8" si="3">SUM(N12+N18+N30+N31)</f>
        <v>3832996.5511519788</v>
      </c>
      <c r="O8" s="1857">
        <f>SUM(P8:Q8)</f>
        <v>22223556.197570272</v>
      </c>
      <c r="P8" s="1857">
        <f>SUM(P12+P18+P30+P31)</f>
        <v>18343599.840603478</v>
      </c>
      <c r="Q8" s="1857">
        <f t="shared" ref="Q8" si="4">SUM(Q12+Q18+Q30+Q31)</f>
        <v>3879956.3569667954</v>
      </c>
      <c r="R8" s="1857">
        <f>SUM(S8:T8)</f>
        <v>66192428.430007137</v>
      </c>
      <c r="S8" s="1857">
        <f>SUM(S12+S18+S30+S31)</f>
        <v>54752975.756163262</v>
      </c>
      <c r="T8" s="1858">
        <f t="shared" ref="T8" si="5">SUM(T12+T18+T30+T31)</f>
        <v>11439452.673843876</v>
      </c>
      <c r="U8" s="1859">
        <f>SUM(V8:W8)</f>
        <v>24654958.697346758</v>
      </c>
      <c r="V8" s="1857">
        <f>SUM(V12+V18+V30+V31)</f>
        <v>19476162.111650225</v>
      </c>
      <c r="W8" s="1857">
        <f t="shared" ref="W8" si="6">SUM(W12+W18+W30+W31)</f>
        <v>5178796.5856965333</v>
      </c>
      <c r="X8" s="1857">
        <f>SUM(Y8:Z8)</f>
        <v>26738994.797964144</v>
      </c>
      <c r="Y8" s="1857">
        <f>SUM(Y12+Y18+Y30+Y31)</f>
        <v>20555494.369332533</v>
      </c>
      <c r="Z8" s="1857">
        <f t="shared" ref="Z8" si="7">SUM(Z12+Z18+Z30+Z31)</f>
        <v>6183500.4286316112</v>
      </c>
      <c r="AA8" s="1857">
        <f>SUM(AB8:AC8)</f>
        <v>28377702.41700935</v>
      </c>
      <c r="AB8" s="1857">
        <f>SUM(AB12+AB18+AB30+AB31)</f>
        <v>21308662.926719714</v>
      </c>
      <c r="AC8" s="1858">
        <f t="shared" ref="AC8" si="8">SUM(AC12+AC18+AC30+AC31)</f>
        <v>7069039.4902896369</v>
      </c>
    </row>
    <row r="9" spans="1:29" s="124" customFormat="1" ht="18">
      <c r="A9" s="1860"/>
      <c r="B9" s="1861" t="s">
        <v>234</v>
      </c>
      <c r="C9" s="1862"/>
      <c r="D9" s="1862"/>
      <c r="E9" s="1862"/>
      <c r="F9" s="298"/>
      <c r="G9" s="298"/>
      <c r="H9" s="298"/>
      <c r="I9" s="299"/>
      <c r="J9" s="299"/>
      <c r="K9" s="299"/>
      <c r="L9" s="46"/>
      <c r="M9" s="46"/>
      <c r="N9" s="46"/>
      <c r="O9" s="299"/>
      <c r="P9" s="300"/>
      <c r="Q9" s="300"/>
      <c r="R9" s="299"/>
      <c r="S9" s="300"/>
      <c r="T9" s="301"/>
      <c r="U9" s="1863"/>
      <c r="V9" s="300"/>
      <c r="W9" s="300"/>
      <c r="X9" s="299"/>
      <c r="Y9" s="300"/>
      <c r="Z9" s="300"/>
      <c r="AA9" s="299"/>
      <c r="AB9" s="300"/>
      <c r="AC9" s="301"/>
    </row>
    <row r="10" spans="1:29" s="124" customFormat="1" ht="17.399999999999999">
      <c r="A10" s="1864"/>
      <c r="B10" s="1865" t="s">
        <v>235</v>
      </c>
      <c r="C10" s="1862">
        <f>SUM(D10:E10)</f>
        <v>17046487.162</v>
      </c>
      <c r="D10" s="1862">
        <f>SUM(D12,D19,D28,D30)</f>
        <v>12221407.162</v>
      </c>
      <c r="E10" s="1862">
        <f t="shared" ref="E10" si="9">SUM(E12,E19,E28,E30)</f>
        <v>4825080</v>
      </c>
      <c r="F10" s="298">
        <f>SUM(G10:H10)</f>
        <v>17255230.032347649</v>
      </c>
      <c r="G10" s="344">
        <f>SUM(G12,G19,G28,G30)</f>
        <v>12681030.560735388</v>
      </c>
      <c r="H10" s="344">
        <f>SUM(H12,H19,H28,H30)</f>
        <v>4574199.4716122607</v>
      </c>
      <c r="I10" s="298">
        <f>SUM(J10:K10)</f>
        <v>18233347.229745105</v>
      </c>
      <c r="J10" s="344">
        <f>SUM(J12,J19,J28,J30)</f>
        <v>14506847.464020004</v>
      </c>
      <c r="K10" s="344">
        <f>SUM(K12,K19,K28,K30)</f>
        <v>3726499.7657251004</v>
      </c>
      <c r="L10" s="45">
        <f>SUM(M10:N10)</f>
        <v>18383427.402691755</v>
      </c>
      <c r="M10" s="195">
        <f>SUM(M12,M19,M28,M30)</f>
        <v>14550430.851539778</v>
      </c>
      <c r="N10" s="195">
        <f>SUM(N12,N19,N28,N30)</f>
        <v>3832996.5511519788</v>
      </c>
      <c r="O10" s="298">
        <f>SUM(P10:Q10)</f>
        <v>18547507.397570271</v>
      </c>
      <c r="P10" s="344">
        <f>SUM(P12,P19,P28,P30)</f>
        <v>14667551.040603476</v>
      </c>
      <c r="Q10" s="344">
        <f>SUM(Q12,Q19,Q28,Q30)</f>
        <v>3879956.3569667954</v>
      </c>
      <c r="R10" s="298">
        <f>SUM(S10:T10)</f>
        <v>55164282.030007131</v>
      </c>
      <c r="S10" s="344">
        <f>SUM(S12,S19,S28,S30)</f>
        <v>43724829.356163256</v>
      </c>
      <c r="T10" s="349">
        <f>SUM(T12,T19,T28,T30)</f>
        <v>11439452.673843876</v>
      </c>
      <c r="U10" s="1840">
        <f>SUM(V10:W10)</f>
        <v>21358175.897346757</v>
      </c>
      <c r="V10" s="344">
        <f>SUM(V12,V19,V28,V30)</f>
        <v>16179379.311650224</v>
      </c>
      <c r="W10" s="344">
        <f>SUM(W12,W19,W28,W30)</f>
        <v>5178796.5856965333</v>
      </c>
      <c r="X10" s="298">
        <f>SUM(Y10:Z10)</f>
        <v>23442211.997964147</v>
      </c>
      <c r="Y10" s="344">
        <f>SUM(Y12,Y19,Y28,Y30)</f>
        <v>17258711.569332536</v>
      </c>
      <c r="Z10" s="344">
        <f>SUM(Z12,Z19,Z28,Z30)</f>
        <v>6183500.4286316112</v>
      </c>
      <c r="AA10" s="298">
        <f>SUM(AB10:AC10)</f>
        <v>25080919.617009353</v>
      </c>
      <c r="AB10" s="344">
        <f>SUM(AB12,AB19,AB28,AB30)</f>
        <v>18011880.126719717</v>
      </c>
      <c r="AC10" s="349">
        <f>SUM(AC12,AC19,AC28,AC30)</f>
        <v>7069039.4902896369</v>
      </c>
    </row>
    <row r="11" spans="1:29" s="124" customFormat="1" ht="17.399999999999999">
      <c r="A11" s="1864"/>
      <c r="B11" s="1865" t="s">
        <v>236</v>
      </c>
      <c r="C11" s="1862">
        <f>SUM(D11:E11)</f>
        <v>12881433</v>
      </c>
      <c r="D11" s="1862">
        <f>D10-D14-D15-D16</f>
        <v>9199353</v>
      </c>
      <c r="E11" s="1862">
        <f t="shared" ref="E11" si="10">E10-E14-E15-E16</f>
        <v>3682080</v>
      </c>
      <c r="F11" s="298">
        <f>SUM(G11:H11)</f>
        <v>13090175.870347649</v>
      </c>
      <c r="G11" s="344">
        <f>G10-G14-G15-G16</f>
        <v>9658976.3987353873</v>
      </c>
      <c r="H11" s="344">
        <f t="shared" ref="H11" si="11">H10-H14-H15-H16</f>
        <v>3431199.4716122607</v>
      </c>
      <c r="I11" s="298">
        <f>SUM(J11:K11)</f>
        <v>14446347.229745105</v>
      </c>
      <c r="J11" s="344">
        <f>J10-J14-J15-J16</f>
        <v>11979847.464020004</v>
      </c>
      <c r="K11" s="344">
        <f t="shared" ref="K11" si="12">K10-K14-K15-K16</f>
        <v>2466499.7657251004</v>
      </c>
      <c r="L11" s="45">
        <f>SUM(M11:N11)</f>
        <v>14699427.402691755</v>
      </c>
      <c r="M11" s="195">
        <f>M10-M14-M15-M16</f>
        <v>12036430.851539778</v>
      </c>
      <c r="N11" s="195">
        <f t="shared" ref="N11" si="13">N10-N14-N15-N16</f>
        <v>2662996.5511519788</v>
      </c>
      <c r="O11" s="298">
        <f>SUM(P11:Q11)</f>
        <v>14910507.397570271</v>
      </c>
      <c r="P11" s="344">
        <f>P10-P14-P15-P16</f>
        <v>12110551.040603476</v>
      </c>
      <c r="Q11" s="344">
        <f t="shared" ref="Q11" si="14">Q10-Q14-Q15-Q16</f>
        <v>2799956.3569667954</v>
      </c>
      <c r="R11" s="298">
        <f>SUM(S11:T11)</f>
        <v>44056282.030007131</v>
      </c>
      <c r="S11" s="344">
        <f>S10-S14-S15-S16</f>
        <v>36126829.356163256</v>
      </c>
      <c r="T11" s="349">
        <f t="shared" ref="T11" si="15">T10-T14-T15-T16</f>
        <v>7929452.6738438755</v>
      </c>
      <c r="U11" s="1840">
        <f>SUM(V11:W11)</f>
        <v>16638175.897346757</v>
      </c>
      <c r="V11" s="344">
        <f>V10-V14-V15-V16</f>
        <v>12719379.311650224</v>
      </c>
      <c r="W11" s="344">
        <f t="shared" ref="W11" si="16">W10-W14-W15-W16</f>
        <v>3918796.5856965333</v>
      </c>
      <c r="X11" s="298">
        <f>SUM(Y11:Z11)</f>
        <v>18462211.997964147</v>
      </c>
      <c r="Y11" s="344">
        <f>Y10-Y14-Y15-Y16</f>
        <v>13628711.569332536</v>
      </c>
      <c r="Z11" s="344">
        <f t="shared" ref="Z11" si="17">Z10-Z14-Z15-Z16</f>
        <v>4833500.4286316112</v>
      </c>
      <c r="AA11" s="298">
        <f>SUM(AB11:AC11)</f>
        <v>19820919.617009353</v>
      </c>
      <c r="AB11" s="344">
        <f>AB10-AB14-AB15-AB16</f>
        <v>14236880.126719717</v>
      </c>
      <c r="AC11" s="349">
        <f t="shared" ref="AC11" si="18">AC10-AC14-AC15-AC16</f>
        <v>5584039.4902896369</v>
      </c>
    </row>
    <row r="12" spans="1:29" s="124" customFormat="1" ht="18">
      <c r="A12" s="1864" t="s">
        <v>3</v>
      </c>
      <c r="B12" s="1865" t="s">
        <v>202</v>
      </c>
      <c r="C12" s="1862">
        <f>SUM(D12:E12)</f>
        <v>8892984.1620000005</v>
      </c>
      <c r="D12" s="1862">
        <f>'Phụ lục số I'!H10</f>
        <v>4953904.1620000005</v>
      </c>
      <c r="E12" s="1862">
        <f>'Phụ lục số I'!I10</f>
        <v>3939080</v>
      </c>
      <c r="F12" s="298">
        <f>SUM(G12:H12)</f>
        <v>8321554.0323476484</v>
      </c>
      <c r="G12" s="298">
        <f>'Phụ lục số I'!O10</f>
        <v>4903753.5607353877</v>
      </c>
      <c r="H12" s="298">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26213000.630007133</v>
      </c>
      <c r="S12" s="300">
        <f>+P12+M12+J12</f>
        <v>14773547.956163257</v>
      </c>
      <c r="T12" s="301">
        <f>+Q12+N12+K12</f>
        <v>11439452.673843876</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29" ht="18">
      <c r="A13" s="1864"/>
      <c r="B13" s="1865" t="s">
        <v>186</v>
      </c>
      <c r="C13" s="1866"/>
      <c r="D13" s="1866"/>
      <c r="E13" s="1866"/>
      <c r="F13" s="299"/>
      <c r="G13" s="299"/>
      <c r="H13" s="299"/>
      <c r="I13" s="299"/>
      <c r="J13" s="299"/>
      <c r="K13" s="299"/>
      <c r="L13" s="46"/>
      <c r="M13" s="46"/>
      <c r="N13" s="46"/>
      <c r="O13" s="299"/>
      <c r="P13" s="300"/>
      <c r="Q13" s="300"/>
      <c r="R13" s="299"/>
      <c r="S13" s="300">
        <f t="shared" ref="S13:S31" si="19">+P13+M13+J13</f>
        <v>0</v>
      </c>
      <c r="T13" s="301">
        <f t="shared" ref="T13:T31" si="20">+Q13+N13+K13</f>
        <v>0</v>
      </c>
      <c r="U13" s="1863"/>
      <c r="V13" s="300"/>
      <c r="W13" s="300"/>
      <c r="X13" s="299"/>
      <c r="Y13" s="300"/>
      <c r="Z13" s="300"/>
      <c r="AA13" s="299"/>
      <c r="AB13" s="300"/>
      <c r="AC13" s="301"/>
    </row>
    <row r="14" spans="1:29" s="29" customFormat="1" ht="18">
      <c r="A14" s="1867"/>
      <c r="B14" s="1868" t="s">
        <v>242</v>
      </c>
      <c r="C14" s="1869">
        <f>SUM(D14:E14)</f>
        <v>1770000</v>
      </c>
      <c r="D14" s="1869">
        <f>'Phụ lục số I'!H42</f>
        <v>627000</v>
      </c>
      <c r="E14" s="1869">
        <f>'Phụ lục số I'!I42</f>
        <v>1143000</v>
      </c>
      <c r="F14" s="304">
        <f>SUM(G14:H14)</f>
        <v>1770000</v>
      </c>
      <c r="G14" s="304">
        <f>'Phụ lục số I'!O42</f>
        <v>627000</v>
      </c>
      <c r="H14" s="304">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5100000</v>
      </c>
      <c r="S14" s="300">
        <f t="shared" si="19"/>
        <v>1590000</v>
      </c>
      <c r="T14" s="301">
        <f t="shared" si="20"/>
        <v>3510000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29" ht="18">
      <c r="A15" s="1867"/>
      <c r="B15" s="1871" t="s">
        <v>243</v>
      </c>
      <c r="C15" s="1869">
        <f>SUM(D15:E15)</f>
        <v>1950000</v>
      </c>
      <c r="D15" s="1869">
        <f>'Phụ lục số I'!H50</f>
        <v>1950000</v>
      </c>
      <c r="E15" s="1869">
        <f>'Phụ lục số I'!I50</f>
        <v>0</v>
      </c>
      <c r="F15" s="304">
        <f t="shared" ref="F15:F17" si="21">SUM(G15:H15)</f>
        <v>1950000</v>
      </c>
      <c r="G15" s="304">
        <f>'Phụ lục số I'!O50</f>
        <v>1950000</v>
      </c>
      <c r="H15" s="304">
        <f>'Phụ lục số I'!P50</f>
        <v>0</v>
      </c>
      <c r="I15" s="304">
        <f t="shared" ref="I15:I17" si="22">SUM(J15:K15)</f>
        <v>1950000</v>
      </c>
      <c r="J15" s="304">
        <f>'Phụ lục số I'!U50</f>
        <v>1950000</v>
      </c>
      <c r="K15" s="304">
        <f>'Phụ lục số I'!V50</f>
        <v>0</v>
      </c>
      <c r="L15" s="193">
        <f t="shared" ref="L15:L17" si="23">SUM(M15:N15)</f>
        <v>1950000</v>
      </c>
      <c r="M15" s="193">
        <f>'Phụ lục số I'!AA50</f>
        <v>1950000</v>
      </c>
      <c r="N15" s="193">
        <f>'Phụ lục số I'!AB50</f>
        <v>0</v>
      </c>
      <c r="O15" s="304">
        <f t="shared" ref="O15:O17" si="24">SUM(P15:Q15)</f>
        <v>2000000</v>
      </c>
      <c r="P15" s="305">
        <f>'Phụ lục số I'!AG50</f>
        <v>2000000</v>
      </c>
      <c r="Q15" s="305">
        <f>'Phụ lục số I'!AH50</f>
        <v>0</v>
      </c>
      <c r="R15" s="304">
        <f t="shared" ref="R15:R17" si="25">SUM(S15:T15)</f>
        <v>5900000</v>
      </c>
      <c r="S15" s="300">
        <f t="shared" si="19"/>
        <v>5900000</v>
      </c>
      <c r="T15" s="301">
        <f t="shared" si="20"/>
        <v>0</v>
      </c>
      <c r="U15" s="1870">
        <f t="shared" ref="U15:U17" si="26">SUM(V15:W15)</f>
        <v>2800000</v>
      </c>
      <c r="V15" s="305">
        <f>'Phụ lục số I'!AM50</f>
        <v>2800000</v>
      </c>
      <c r="W15" s="305">
        <f>'Phụ lục số I'!AN50</f>
        <v>0</v>
      </c>
      <c r="X15" s="304">
        <f t="shared" ref="X15:X17" si="27">SUM(Y15:Z15)</f>
        <v>2900000</v>
      </c>
      <c r="Y15" s="305">
        <f>'Phụ lục số I'!AS50</f>
        <v>2900000</v>
      </c>
      <c r="Z15" s="305">
        <f>'Phụ lục số I'!AT50</f>
        <v>0</v>
      </c>
      <c r="AA15" s="304">
        <f t="shared" ref="AA15:AA17" si="28">SUM(AB15:AC15)</f>
        <v>3000000</v>
      </c>
      <c r="AB15" s="305">
        <f>'Phụ lục số I'!AY50</f>
        <v>3000000</v>
      </c>
      <c r="AC15" s="306">
        <f>'Phụ lục số I'!AZ50</f>
        <v>0</v>
      </c>
    </row>
    <row r="16" spans="1:29" ht="18">
      <c r="A16" s="1867"/>
      <c r="B16" s="1871" t="s">
        <v>244</v>
      </c>
      <c r="C16" s="1869">
        <f>SUM(D16:E16)</f>
        <v>445054.16200000001</v>
      </c>
      <c r="D16" s="1869">
        <f>'Phụ lục số I'!H47</f>
        <v>445054.16200000001</v>
      </c>
      <c r="E16" s="1869">
        <f>'Phụ lục số I'!I47</f>
        <v>0</v>
      </c>
      <c r="F16" s="304">
        <f t="shared" si="21"/>
        <v>445054.16200000001</v>
      </c>
      <c r="G16" s="304">
        <f>'Phụ lục số I'!O47</f>
        <v>445054.16200000001</v>
      </c>
      <c r="H16" s="304">
        <f>'Phụ lục số I'!P47</f>
        <v>0</v>
      </c>
      <c r="I16" s="304">
        <f t="shared" si="22"/>
        <v>37000</v>
      </c>
      <c r="J16" s="304">
        <f>'Phụ lục số I'!U47</f>
        <v>37000</v>
      </c>
      <c r="K16" s="304">
        <f>'Phụ lục số I'!V47</f>
        <v>0</v>
      </c>
      <c r="L16" s="193">
        <f t="shared" si="23"/>
        <v>34000</v>
      </c>
      <c r="M16" s="193">
        <f>'Phụ lục số I'!AA47</f>
        <v>34000</v>
      </c>
      <c r="N16" s="193">
        <f>'Phụ lục số I'!AB47</f>
        <v>0</v>
      </c>
      <c r="O16" s="304">
        <f t="shared" si="24"/>
        <v>37000</v>
      </c>
      <c r="P16" s="305">
        <f>'Phụ lục số I'!AG47</f>
        <v>37000</v>
      </c>
      <c r="Q16" s="305">
        <f>'Phụ lục số I'!AH47</f>
        <v>0</v>
      </c>
      <c r="R16" s="304">
        <f t="shared" si="25"/>
        <v>108000</v>
      </c>
      <c r="S16" s="300">
        <f t="shared" si="19"/>
        <v>108000</v>
      </c>
      <c r="T16" s="301">
        <f t="shared" si="20"/>
        <v>0</v>
      </c>
      <c r="U16" s="1870">
        <f t="shared" si="26"/>
        <v>120000</v>
      </c>
      <c r="V16" s="305">
        <f>'Phụ lục số I'!AM47</f>
        <v>120000</v>
      </c>
      <c r="W16" s="305">
        <f>'Phụ lục số I'!AN47</f>
        <v>0</v>
      </c>
      <c r="X16" s="304">
        <f t="shared" si="27"/>
        <v>130000</v>
      </c>
      <c r="Y16" s="305">
        <f>'Phụ lục số I'!AS47</f>
        <v>130000</v>
      </c>
      <c r="Z16" s="305">
        <f>'Phụ lục số I'!AT47</f>
        <v>0</v>
      </c>
      <c r="AA16" s="304">
        <f t="shared" si="28"/>
        <v>160000</v>
      </c>
      <c r="AB16" s="305">
        <f>'Phụ lục số I'!AY47</f>
        <v>160000</v>
      </c>
      <c r="AC16" s="306">
        <f>'Phụ lục số I'!AZ47</f>
        <v>0</v>
      </c>
    </row>
    <row r="17" spans="1:29" ht="18">
      <c r="A17" s="1867"/>
      <c r="B17" s="1871" t="s">
        <v>245</v>
      </c>
      <c r="C17" s="1869">
        <f t="shared" ref="C17" si="29">SUM(D17:E17)</f>
        <v>4727930</v>
      </c>
      <c r="D17" s="1869">
        <f>D12-D14-D15-D16</f>
        <v>1931850.0000000005</v>
      </c>
      <c r="E17" s="1869">
        <f t="shared" ref="E17" si="30">E12-E14-E15-E16</f>
        <v>2796080</v>
      </c>
      <c r="F17" s="304">
        <f t="shared" si="21"/>
        <v>4156499.8703476484</v>
      </c>
      <c r="G17" s="1872">
        <f>G12-G14-G15-G16</f>
        <v>1881699.3987353877</v>
      </c>
      <c r="H17" s="1872">
        <f t="shared" ref="H17" si="31">H12-H14-H15-H16</f>
        <v>2274800.4716122607</v>
      </c>
      <c r="I17" s="305">
        <f t="shared" si="22"/>
        <v>4795919.8297451045</v>
      </c>
      <c r="J17" s="1872">
        <f>J12-J14-J15-J16</f>
        <v>2329420.0640200041</v>
      </c>
      <c r="K17" s="1872">
        <f t="shared" ref="K17" si="32">K12-K14-K15-K16</f>
        <v>2466499.7657251004</v>
      </c>
      <c r="L17" s="193">
        <f t="shared" si="23"/>
        <v>5049000.4026917564</v>
      </c>
      <c r="M17" s="1639">
        <f>M12-M14-M15-M16</f>
        <v>2386003.8515397776</v>
      </c>
      <c r="N17" s="1639">
        <f t="shared" ref="N17" si="33">N12-N14-N15-N16</f>
        <v>2662996.5511519788</v>
      </c>
      <c r="O17" s="305">
        <f t="shared" si="24"/>
        <v>5260080.397570271</v>
      </c>
      <c r="P17" s="1872">
        <f>P12-P14-P15-P16</f>
        <v>2460124.0406034756</v>
      </c>
      <c r="Q17" s="1872">
        <f t="shared" ref="Q17" si="34">Q12-Q14-Q15-Q16</f>
        <v>2799956.3569667954</v>
      </c>
      <c r="R17" s="305">
        <f t="shared" si="25"/>
        <v>15105000.630007133</v>
      </c>
      <c r="S17" s="300">
        <f t="shared" si="19"/>
        <v>7175547.9561632574</v>
      </c>
      <c r="T17" s="301">
        <f t="shared" si="20"/>
        <v>7929452.6738438746</v>
      </c>
      <c r="U17" s="1873">
        <f t="shared" si="26"/>
        <v>6987748.8973467574</v>
      </c>
      <c r="V17" s="1872">
        <f>V12-V14-V15-V16</f>
        <v>3068952.311650224</v>
      </c>
      <c r="W17" s="1872">
        <f t="shared" ref="W17" si="35">W12-W14-W15-W16</f>
        <v>3918796.5856965333</v>
      </c>
      <c r="X17" s="305">
        <f t="shared" si="27"/>
        <v>7723027.2480759034</v>
      </c>
      <c r="Y17" s="1872">
        <f>Y12-Y14-Y15-Y16</f>
        <v>3469857.0338091608</v>
      </c>
      <c r="Z17" s="1872">
        <f t="shared" ref="Z17" si="36">Z12-Z14-Z15-Z16</f>
        <v>4253170.2142667426</v>
      </c>
      <c r="AA17" s="305">
        <f t="shared" si="28"/>
        <v>8598437.1917565353</v>
      </c>
      <c r="AB17" s="1872">
        <f>AB12-AB14-AB15-AB16</f>
        <v>3771103.2301168721</v>
      </c>
      <c r="AC17" s="1874">
        <f t="shared" ref="AC17" si="37">AC12-AC14-AC15-AC16</f>
        <v>4827333.9616396632</v>
      </c>
    </row>
    <row r="18" spans="1:29" s="124" customFormat="1" ht="17.399999999999999">
      <c r="A18" s="1864" t="s">
        <v>33</v>
      </c>
      <c r="B18" s="1865" t="s">
        <v>203</v>
      </c>
      <c r="C18" s="1862">
        <f>SUM(C19:C20)</f>
        <v>9256479</v>
      </c>
      <c r="D18" s="1862">
        <f t="shared" ref="D18:E18" si="38">SUM(D19:D20)</f>
        <v>9256479</v>
      </c>
      <c r="E18" s="1862">
        <f t="shared" si="38"/>
        <v>0</v>
      </c>
      <c r="F18" s="344">
        <f>SUM(F19:F20)</f>
        <v>9904812</v>
      </c>
      <c r="G18" s="344">
        <f t="shared" ref="G18:H18" si="39">SUM(G19:G20)</f>
        <v>9904812</v>
      </c>
      <c r="H18" s="343">
        <f t="shared" si="39"/>
        <v>0</v>
      </c>
      <c r="I18" s="344">
        <f>SUM(I19:I20)</f>
        <v>13326475.800000001</v>
      </c>
      <c r="J18" s="344">
        <f t="shared" ref="J18:K18" si="40">SUM(J19:J20)</f>
        <v>13326475.800000001</v>
      </c>
      <c r="K18" s="343">
        <f t="shared" si="40"/>
        <v>0</v>
      </c>
      <c r="L18" s="195">
        <f>SUM(L19:L20)</f>
        <v>13326475.800000001</v>
      </c>
      <c r="M18" s="195">
        <f t="shared" ref="M18:N18" si="41">SUM(M19:M20)</f>
        <v>13326475.800000001</v>
      </c>
      <c r="N18" s="1579">
        <f t="shared" si="41"/>
        <v>0</v>
      </c>
      <c r="O18" s="344">
        <f>SUM(O19:O20)</f>
        <v>13326475.800000001</v>
      </c>
      <c r="P18" s="344">
        <f t="shared" ref="P18:Q18" si="42">SUM(P19:P20)</f>
        <v>13326475.800000001</v>
      </c>
      <c r="Q18" s="343">
        <f t="shared" si="42"/>
        <v>0</v>
      </c>
      <c r="R18" s="344">
        <f>SUM(R19:R20)</f>
        <v>39979427.399999999</v>
      </c>
      <c r="S18" s="346">
        <f t="shared" si="19"/>
        <v>39979427.400000006</v>
      </c>
      <c r="T18" s="348">
        <f t="shared" si="20"/>
        <v>0</v>
      </c>
      <c r="U18" s="1839">
        <f>SUM(U19:U20)</f>
        <v>12947209.800000001</v>
      </c>
      <c r="V18" s="344">
        <f t="shared" ref="V18:AC18" si="43">SUM(V19:V20)</f>
        <v>12947209.800000001</v>
      </c>
      <c r="W18" s="343">
        <f t="shared" si="43"/>
        <v>0</v>
      </c>
      <c r="X18" s="344">
        <f>SUM(X19:X20)</f>
        <v>12947209.800000001</v>
      </c>
      <c r="Y18" s="344">
        <f t="shared" si="43"/>
        <v>12947209.800000001</v>
      </c>
      <c r="Z18" s="343">
        <f t="shared" si="43"/>
        <v>0</v>
      </c>
      <c r="AA18" s="344">
        <f>SUM(AA19:AA20)</f>
        <v>12947209.800000001</v>
      </c>
      <c r="AB18" s="344">
        <f t="shared" si="43"/>
        <v>12947209.800000001</v>
      </c>
      <c r="AC18" s="345">
        <f t="shared" si="43"/>
        <v>0</v>
      </c>
    </row>
    <row r="19" spans="1:29" s="124" customFormat="1" ht="17.399999999999999">
      <c r="A19" s="1864">
        <v>1</v>
      </c>
      <c r="B19" s="1865" t="s">
        <v>205</v>
      </c>
      <c r="C19" s="1862">
        <f>SUM(D19:E19)</f>
        <v>6617188</v>
      </c>
      <c r="D19" s="1862">
        <f>'Phụ lục số I'!H56</f>
        <v>6617188</v>
      </c>
      <c r="E19" s="1862"/>
      <c r="F19" s="298">
        <f>SUM(G19:H19)</f>
        <v>6617188</v>
      </c>
      <c r="G19" s="298">
        <f>'Phụ lục số I'!O56</f>
        <v>6617188</v>
      </c>
      <c r="H19" s="298">
        <f>E19</f>
        <v>0</v>
      </c>
      <c r="I19" s="298">
        <f>SUM(J19:K19)</f>
        <v>6617188</v>
      </c>
      <c r="J19" s="298">
        <f>'Phụ lục số I'!U56</f>
        <v>6617188</v>
      </c>
      <c r="K19" s="298">
        <f>H19</f>
        <v>0</v>
      </c>
      <c r="L19" s="45">
        <f>SUM(M19:N19)</f>
        <v>6617188</v>
      </c>
      <c r="M19" s="45">
        <f>'Phụ lục số I'!AA56</f>
        <v>6617188</v>
      </c>
      <c r="N19" s="1651">
        <f>K19</f>
        <v>0</v>
      </c>
      <c r="O19" s="298">
        <f>SUM(P19:Q19)</f>
        <v>6617188</v>
      </c>
      <c r="P19" s="346">
        <f>'Phụ lục số I'!AG56</f>
        <v>6617188</v>
      </c>
      <c r="Q19" s="346">
        <f>N19</f>
        <v>0</v>
      </c>
      <c r="R19" s="298">
        <f>SUM(S19:T19)</f>
        <v>19851564</v>
      </c>
      <c r="S19" s="346">
        <f t="shared" si="19"/>
        <v>19851564</v>
      </c>
      <c r="T19" s="348">
        <f t="shared" si="20"/>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ht="17.399999999999999">
      <c r="A20" s="1864">
        <v>2</v>
      </c>
      <c r="B20" s="1865" t="s">
        <v>207</v>
      </c>
      <c r="C20" s="1862">
        <f>SUM(C21,C24,C27)</f>
        <v>2639291</v>
      </c>
      <c r="D20" s="1862">
        <f t="shared" ref="D20:E20" si="44">SUM(D21,D24,D27)</f>
        <v>2639291</v>
      </c>
      <c r="E20" s="1862">
        <f t="shared" si="44"/>
        <v>0</v>
      </c>
      <c r="F20" s="344">
        <f>SUM(F21,F24,F27)</f>
        <v>3287624</v>
      </c>
      <c r="G20" s="344">
        <f t="shared" ref="G20:H20" si="45">SUM(G21,G24,G27)</f>
        <v>3287624</v>
      </c>
      <c r="H20" s="344">
        <f t="shared" si="45"/>
        <v>0</v>
      </c>
      <c r="I20" s="344">
        <f>SUM(I21,I24,I27)</f>
        <v>6709287.7999999998</v>
      </c>
      <c r="J20" s="344">
        <f t="shared" ref="J20:K20" si="46">SUM(J21,J24,J27)</f>
        <v>6709287.7999999998</v>
      </c>
      <c r="K20" s="344">
        <f t="shared" si="46"/>
        <v>0</v>
      </c>
      <c r="L20" s="195">
        <f>SUM(L21,L24,L27)</f>
        <v>6709287.7999999998</v>
      </c>
      <c r="M20" s="195">
        <f t="shared" ref="M20:N20" si="47">SUM(M21,M24,M27)</f>
        <v>6709287.7999999998</v>
      </c>
      <c r="N20" s="195">
        <f t="shared" si="47"/>
        <v>0</v>
      </c>
      <c r="O20" s="344">
        <f>SUM(O21,O24,O27)</f>
        <v>6709287.7999999998</v>
      </c>
      <c r="P20" s="344">
        <f t="shared" ref="P20:Q20" si="48">SUM(P21,P24,P27)</f>
        <v>6709287.7999999998</v>
      </c>
      <c r="Q20" s="344">
        <f t="shared" si="48"/>
        <v>0</v>
      </c>
      <c r="R20" s="344">
        <f>SUM(R21,R24,R27)</f>
        <v>20127863.399999999</v>
      </c>
      <c r="S20" s="346">
        <f t="shared" si="19"/>
        <v>20127863.399999999</v>
      </c>
      <c r="T20" s="348">
        <f t="shared" si="20"/>
        <v>0</v>
      </c>
      <c r="U20" s="1839">
        <f>SUM(U21,U24,U27)</f>
        <v>6330021.7999999998</v>
      </c>
      <c r="V20" s="344">
        <f t="shared" ref="V20:W20" si="49">SUM(V21,V24,V27)</f>
        <v>6330021.7999999998</v>
      </c>
      <c r="W20" s="344">
        <f t="shared" si="49"/>
        <v>0</v>
      </c>
      <c r="X20" s="344">
        <f>SUM(X21,X24,X27)</f>
        <v>6330021.7999999998</v>
      </c>
      <c r="Y20" s="344">
        <f t="shared" ref="Y20:Z20" si="50">SUM(Y21,Y24,Y27)</f>
        <v>6330021.7999999998</v>
      </c>
      <c r="Z20" s="344">
        <f t="shared" si="50"/>
        <v>0</v>
      </c>
      <c r="AA20" s="344">
        <f>SUM(AA21,AA24,AA27)</f>
        <v>6330021.7999999998</v>
      </c>
      <c r="AB20" s="344">
        <f t="shared" ref="AB20:AC20" si="51">SUM(AB21,AB24,AB27)</f>
        <v>6330021.7999999998</v>
      </c>
      <c r="AC20" s="349">
        <f t="shared" si="51"/>
        <v>0</v>
      </c>
    </row>
    <row r="21" spans="1:29" s="29" customFormat="1" ht="18">
      <c r="A21" s="1875" t="s">
        <v>204</v>
      </c>
      <c r="B21" s="1876" t="s">
        <v>42</v>
      </c>
      <c r="C21" s="1877">
        <f>SUM(C22:C23)</f>
        <v>1814491</v>
      </c>
      <c r="D21" s="1877">
        <f t="shared" ref="D21:E21" si="52">SUM(D22:D23)</f>
        <v>1814491</v>
      </c>
      <c r="E21" s="1877">
        <f t="shared" si="52"/>
        <v>0</v>
      </c>
      <c r="F21" s="350">
        <f>SUM(F22:F23)</f>
        <v>1814491</v>
      </c>
      <c r="G21" s="350">
        <f t="shared" ref="G21:H21" si="53">SUM(G22:G23)</f>
        <v>1814491</v>
      </c>
      <c r="H21" s="350">
        <f t="shared" si="53"/>
        <v>0</v>
      </c>
      <c r="I21" s="350">
        <f>SUM(I22:I23)</f>
        <v>3101719</v>
      </c>
      <c r="J21" s="350">
        <f t="shared" ref="J21:K21" si="54">SUM(J22:J23)</f>
        <v>3101719</v>
      </c>
      <c r="K21" s="350">
        <f t="shared" si="54"/>
        <v>0</v>
      </c>
      <c r="L21" s="196">
        <f>SUM(L22:L23)</f>
        <v>3101719</v>
      </c>
      <c r="M21" s="196">
        <f t="shared" ref="M21:N21" si="55">SUM(M22:M23)</f>
        <v>3101719</v>
      </c>
      <c r="N21" s="196">
        <f t="shared" si="55"/>
        <v>0</v>
      </c>
      <c r="O21" s="350">
        <f>SUM(O22:O23)</f>
        <v>3101719</v>
      </c>
      <c r="P21" s="350">
        <f t="shared" ref="P21:Q21" si="56">SUM(P22:P23)</f>
        <v>3101719</v>
      </c>
      <c r="Q21" s="350">
        <f t="shared" si="56"/>
        <v>0</v>
      </c>
      <c r="R21" s="350">
        <f>SUM(R22:R23)</f>
        <v>9305157</v>
      </c>
      <c r="S21" s="300">
        <f t="shared" si="19"/>
        <v>9305157</v>
      </c>
      <c r="T21" s="301">
        <f t="shared" si="20"/>
        <v>0</v>
      </c>
      <c r="U21" s="1841">
        <f>SUM(U22:U23)</f>
        <v>3101719</v>
      </c>
      <c r="V21" s="350">
        <f t="shared" ref="V21:W21" si="57">SUM(V22:V23)</f>
        <v>3101719</v>
      </c>
      <c r="W21" s="350">
        <f t="shared" si="57"/>
        <v>0</v>
      </c>
      <c r="X21" s="350">
        <f>SUM(X22:X23)</f>
        <v>3101719</v>
      </c>
      <c r="Y21" s="350">
        <f t="shared" ref="Y21:Z21" si="58">SUM(Y22:Y23)</f>
        <v>3101719</v>
      </c>
      <c r="Z21" s="350">
        <f t="shared" si="58"/>
        <v>0</v>
      </c>
      <c r="AA21" s="350">
        <f>SUM(AA22:AA23)</f>
        <v>3101719</v>
      </c>
      <c r="AB21" s="350">
        <f t="shared" ref="AB21:AC21" si="59">SUM(AB22:AB23)</f>
        <v>3101719</v>
      </c>
      <c r="AC21" s="351">
        <f t="shared" si="59"/>
        <v>0</v>
      </c>
    </row>
    <row r="22" spans="1:29" s="29" customFormat="1" ht="18" hidden="1">
      <c r="A22" s="1875" t="s">
        <v>99</v>
      </c>
      <c r="B22" s="1876" t="s">
        <v>100</v>
      </c>
      <c r="C22" s="1877">
        <f>SUM(D22:E22)</f>
        <v>1681570</v>
      </c>
      <c r="D22" s="1877">
        <f>'Phụ lục số I'!H60</f>
        <v>1681570</v>
      </c>
      <c r="E22" s="1877"/>
      <c r="F22" s="299">
        <f>SUM(G22:H22)</f>
        <v>1681570</v>
      </c>
      <c r="G22" s="299">
        <f>'Phụ lục số I'!O60</f>
        <v>1681570</v>
      </c>
      <c r="H22" s="299"/>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8911440</v>
      </c>
      <c r="S22" s="300">
        <f t="shared" si="19"/>
        <v>8911440</v>
      </c>
      <c r="T22" s="301">
        <f t="shared" si="20"/>
        <v>0</v>
      </c>
      <c r="U22" s="1842">
        <f>SUM(V22:W22)</f>
        <v>2970480</v>
      </c>
      <c r="V22" s="300">
        <f>'Phụ lục số I'!AM60</f>
        <v>2970480</v>
      </c>
      <c r="W22" s="300"/>
      <c r="X22" s="300">
        <f>SUM(Y22:Z22)</f>
        <v>2970480</v>
      </c>
      <c r="Y22" s="300">
        <f>'Phụ lục số I'!AS60</f>
        <v>2970480</v>
      </c>
      <c r="Z22" s="300"/>
      <c r="AA22" s="300">
        <f>SUM(AB22:AC22)</f>
        <v>2970480</v>
      </c>
      <c r="AB22" s="300">
        <f>'Phụ lục số I'!AY60</f>
        <v>2970480</v>
      </c>
      <c r="AC22" s="301"/>
    </row>
    <row r="23" spans="1:29" s="29" customFormat="1" ht="18" hidden="1">
      <c r="A23" s="1875" t="s">
        <v>101</v>
      </c>
      <c r="B23" s="1876" t="s">
        <v>102</v>
      </c>
      <c r="C23" s="1877">
        <f t="shared" ref="C23" si="60">SUM(D23:E23)</f>
        <v>132921</v>
      </c>
      <c r="D23" s="1877">
        <f>'Phụ lục số I'!H61</f>
        <v>132921</v>
      </c>
      <c r="E23" s="1877"/>
      <c r="F23" s="299">
        <f>SUM(G23:H23)</f>
        <v>132921</v>
      </c>
      <c r="G23" s="299">
        <f>'Phụ lục số I'!O61</f>
        <v>132921</v>
      </c>
      <c r="H23" s="299"/>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393717</v>
      </c>
      <c r="S23" s="300">
        <f t="shared" si="19"/>
        <v>393717</v>
      </c>
      <c r="T23" s="301">
        <f t="shared" si="20"/>
        <v>0</v>
      </c>
      <c r="U23" s="1842">
        <f>SUM(V23:W23)</f>
        <v>131239</v>
      </c>
      <c r="V23" s="300">
        <f>'Phụ lục số I'!AM61</f>
        <v>131239</v>
      </c>
      <c r="W23" s="300"/>
      <c r="X23" s="300">
        <f>SUM(Y23:Z23)</f>
        <v>131239</v>
      </c>
      <c r="Y23" s="300">
        <f>'Phụ lục số I'!AS61</f>
        <v>131239</v>
      </c>
      <c r="Z23" s="300"/>
      <c r="AA23" s="300">
        <f>SUM(AB23:AC23)</f>
        <v>131239</v>
      </c>
      <c r="AB23" s="300">
        <f>'Phụ lục số I'!AY61</f>
        <v>131239</v>
      </c>
      <c r="AC23" s="301"/>
    </row>
    <row r="24" spans="1:29" s="29" customFormat="1" ht="18">
      <c r="A24" s="1875" t="s">
        <v>206</v>
      </c>
      <c r="B24" s="1876" t="s">
        <v>43</v>
      </c>
      <c r="C24" s="1877">
        <f>SUM(C25:C26)</f>
        <v>174485</v>
      </c>
      <c r="D24" s="1877">
        <f t="shared" ref="D24:E24" si="61">SUM(D25:D26)</f>
        <v>174485</v>
      </c>
      <c r="E24" s="1877">
        <f t="shared" si="61"/>
        <v>0</v>
      </c>
      <c r="F24" s="350">
        <f>SUM(F25:F26)</f>
        <v>174485</v>
      </c>
      <c r="G24" s="350">
        <f t="shared" ref="G24:H24" si="62">SUM(G25:G26)</f>
        <v>174485</v>
      </c>
      <c r="H24" s="350">
        <f t="shared" si="62"/>
        <v>0</v>
      </c>
      <c r="I24" s="350">
        <f>SUM(I25:I26)</f>
        <v>195063.8</v>
      </c>
      <c r="J24" s="350">
        <f t="shared" ref="J24:K24" si="63">SUM(J25:J26)</f>
        <v>195063.8</v>
      </c>
      <c r="K24" s="350">
        <f t="shared" si="63"/>
        <v>0</v>
      </c>
      <c r="L24" s="196">
        <f>SUM(L25:L26)</f>
        <v>195063.8</v>
      </c>
      <c r="M24" s="196">
        <f t="shared" ref="M24:N24" si="64">SUM(M25:M26)</f>
        <v>195063.8</v>
      </c>
      <c r="N24" s="196">
        <f t="shared" si="64"/>
        <v>0</v>
      </c>
      <c r="O24" s="350">
        <f>SUM(O25:O26)</f>
        <v>195063.8</v>
      </c>
      <c r="P24" s="350">
        <f t="shared" ref="P24:Q24" si="65">SUM(P25:P26)</f>
        <v>195063.8</v>
      </c>
      <c r="Q24" s="350">
        <f t="shared" si="65"/>
        <v>0</v>
      </c>
      <c r="R24" s="350">
        <f>SUM(R25:R26)</f>
        <v>585191.4</v>
      </c>
      <c r="S24" s="300">
        <f t="shared" si="19"/>
        <v>585191.39999999991</v>
      </c>
      <c r="T24" s="301">
        <f t="shared" si="20"/>
        <v>0</v>
      </c>
      <c r="U24" s="1841">
        <f>SUM(U25:U26)</f>
        <v>195063.8</v>
      </c>
      <c r="V24" s="350">
        <f t="shared" ref="V24:AC24" si="66">SUM(V25:V26)</f>
        <v>195063.8</v>
      </c>
      <c r="W24" s="350">
        <f t="shared" si="66"/>
        <v>0</v>
      </c>
      <c r="X24" s="350">
        <f>SUM(X25:X26)</f>
        <v>195063.8</v>
      </c>
      <c r="Y24" s="350">
        <f t="shared" si="66"/>
        <v>195063.8</v>
      </c>
      <c r="Z24" s="350">
        <f t="shared" si="66"/>
        <v>0</v>
      </c>
      <c r="AA24" s="350">
        <f>SUM(AA25:AA26)</f>
        <v>195063.8</v>
      </c>
      <c r="AB24" s="350">
        <f t="shared" si="66"/>
        <v>195063.8</v>
      </c>
      <c r="AC24" s="351">
        <f t="shared" si="66"/>
        <v>0</v>
      </c>
    </row>
    <row r="25" spans="1:29" s="29" customFormat="1" ht="18" hidden="1">
      <c r="A25" s="1875" t="s">
        <v>99</v>
      </c>
      <c r="B25" s="1876" t="s">
        <v>103</v>
      </c>
      <c r="C25" s="1877">
        <f>SUM(D25:E25)</f>
        <v>72469</v>
      </c>
      <c r="D25" s="1877">
        <f>'Phụ lục số I'!H63</f>
        <v>72469</v>
      </c>
      <c r="E25" s="1877"/>
      <c r="F25" s="299">
        <f>SUM(G25:H25)</f>
        <v>72469</v>
      </c>
      <c r="G25" s="299">
        <f>'Phụ lục số I'!O63</f>
        <v>72469</v>
      </c>
      <c r="H25" s="299">
        <f>E25</f>
        <v>0</v>
      </c>
      <c r="I25" s="300">
        <f>SUM(J25:K25)</f>
        <v>86962.8</v>
      </c>
      <c r="J25" s="300">
        <f>'Phụ lục số I'!U63</f>
        <v>86962.8</v>
      </c>
      <c r="K25" s="352">
        <f>H25</f>
        <v>0</v>
      </c>
      <c r="L25" s="46">
        <f>SUM(M25:N25)</f>
        <v>86962.8</v>
      </c>
      <c r="M25" s="46">
        <f>'Phụ lục số I'!AA63</f>
        <v>86962.8</v>
      </c>
      <c r="N25" s="1653">
        <f>K25</f>
        <v>0</v>
      </c>
      <c r="O25" s="300">
        <f>SUM(P25:Q25)</f>
        <v>86962.8</v>
      </c>
      <c r="P25" s="300">
        <f>'Phụ lục số I'!AG63</f>
        <v>86962.8</v>
      </c>
      <c r="Q25" s="352">
        <f>N25</f>
        <v>0</v>
      </c>
      <c r="R25" s="300">
        <f>SUM(S25:T25)</f>
        <v>260888.40000000002</v>
      </c>
      <c r="S25" s="300">
        <f t="shared" si="19"/>
        <v>260888.40000000002</v>
      </c>
      <c r="T25" s="301">
        <f t="shared" si="20"/>
        <v>0</v>
      </c>
      <c r="U25" s="1842">
        <f>SUM(V25:W25)</f>
        <v>86962.8</v>
      </c>
      <c r="V25" s="300">
        <f>'Phụ lục số I'!AM63</f>
        <v>86962.8</v>
      </c>
      <c r="W25" s="352">
        <f>N25</f>
        <v>0</v>
      </c>
      <c r="X25" s="300">
        <f>SUM(Y25:Z25)</f>
        <v>86962.8</v>
      </c>
      <c r="Y25" s="300">
        <f>'Phụ lục số I'!AS63</f>
        <v>86962.8</v>
      </c>
      <c r="Z25" s="300">
        <f>W25</f>
        <v>0</v>
      </c>
      <c r="AA25" s="300">
        <f>SUM(AB25:AC25)</f>
        <v>86962.8</v>
      </c>
      <c r="AB25" s="300">
        <f>'Phụ lục số I'!AY63</f>
        <v>86962.8</v>
      </c>
      <c r="AC25" s="301">
        <f>Z25</f>
        <v>0</v>
      </c>
    </row>
    <row r="26" spans="1:29" s="29" customFormat="1" ht="18" hidden="1">
      <c r="A26" s="1875" t="s">
        <v>101</v>
      </c>
      <c r="B26" s="1876" t="s">
        <v>102</v>
      </c>
      <c r="C26" s="1877">
        <f t="shared" ref="C26" si="67">SUM(D26:E26)</f>
        <v>102016</v>
      </c>
      <c r="D26" s="1877">
        <f>'Phụ lục số I'!H64</f>
        <v>102016</v>
      </c>
      <c r="E26" s="1877"/>
      <c r="F26" s="299">
        <f>SUM(G26:H26)</f>
        <v>102016</v>
      </c>
      <c r="G26" s="299">
        <f>'Phụ lục số I'!O64</f>
        <v>102016</v>
      </c>
      <c r="H26" s="299"/>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324303</v>
      </c>
      <c r="S26" s="300">
        <f t="shared" si="19"/>
        <v>324303</v>
      </c>
      <c r="T26" s="301">
        <f t="shared" si="20"/>
        <v>0</v>
      </c>
      <c r="U26" s="1842">
        <f>SUM(V26:W26)</f>
        <v>108101</v>
      </c>
      <c r="V26" s="300">
        <f>'Phụ lục số I'!AM64</f>
        <v>108101</v>
      </c>
      <c r="W26" s="300"/>
      <c r="X26" s="300">
        <f>SUM(Y26:Z26)</f>
        <v>108101</v>
      </c>
      <c r="Y26" s="300">
        <f>'Phụ lục số I'!AS64</f>
        <v>108101</v>
      </c>
      <c r="Z26" s="300"/>
      <c r="AA26" s="300">
        <f>SUM(AB26:AC26)</f>
        <v>108101</v>
      </c>
      <c r="AB26" s="300">
        <f>'Phụ lục số I'!AY64</f>
        <v>108101</v>
      </c>
      <c r="AC26" s="301"/>
    </row>
    <row r="27" spans="1:29" s="29" customFormat="1" ht="18">
      <c r="A27" s="1875" t="s">
        <v>237</v>
      </c>
      <c r="B27" s="1878" t="s">
        <v>106</v>
      </c>
      <c r="C27" s="1877">
        <f>SUM(C28:C29)</f>
        <v>650315</v>
      </c>
      <c r="D27" s="1877">
        <f t="shared" ref="D27:E27" si="68">SUM(D28:D29)</f>
        <v>650315</v>
      </c>
      <c r="E27" s="1877">
        <f t="shared" si="68"/>
        <v>0</v>
      </c>
      <c r="F27" s="350">
        <f>SUM(F28:F29)</f>
        <v>1298648</v>
      </c>
      <c r="G27" s="350">
        <f t="shared" ref="G27:H27" si="69">SUM(G28:G29)</f>
        <v>1298648</v>
      </c>
      <c r="H27" s="350">
        <f t="shared" si="69"/>
        <v>0</v>
      </c>
      <c r="I27" s="350">
        <f>SUM(I28:I29)</f>
        <v>3412505</v>
      </c>
      <c r="J27" s="350">
        <f t="shared" ref="J27:K27" si="70">SUM(J28:J29)</f>
        <v>3412505</v>
      </c>
      <c r="K27" s="350">
        <f t="shared" si="70"/>
        <v>0</v>
      </c>
      <c r="L27" s="196">
        <f>SUM(L28:L29)</f>
        <v>3412505</v>
      </c>
      <c r="M27" s="196">
        <f t="shared" ref="M27:N27" si="71">SUM(M28:M29)</f>
        <v>3412505</v>
      </c>
      <c r="N27" s="196">
        <f t="shared" si="71"/>
        <v>0</v>
      </c>
      <c r="O27" s="350">
        <f>SUM(O28:O29)</f>
        <v>3412505</v>
      </c>
      <c r="P27" s="350">
        <f t="shared" ref="P27:Q27" si="72">SUM(P28:P29)</f>
        <v>3412505</v>
      </c>
      <c r="Q27" s="350">
        <f t="shared" si="72"/>
        <v>0</v>
      </c>
      <c r="R27" s="350">
        <f>SUM(R28:R29)</f>
        <v>10237515</v>
      </c>
      <c r="S27" s="300">
        <f t="shared" si="19"/>
        <v>10237515</v>
      </c>
      <c r="T27" s="301">
        <f t="shared" si="20"/>
        <v>0</v>
      </c>
      <c r="U27" s="1841">
        <f>SUM(U28:U29)</f>
        <v>3033239</v>
      </c>
      <c r="V27" s="350">
        <f t="shared" ref="V27:AC27" si="73">SUM(V28:V29)</f>
        <v>3033239</v>
      </c>
      <c r="W27" s="350">
        <f t="shared" si="73"/>
        <v>0</v>
      </c>
      <c r="X27" s="350">
        <f>SUM(X28:X29)</f>
        <v>3033239</v>
      </c>
      <c r="Y27" s="350">
        <f t="shared" si="73"/>
        <v>3033239</v>
      </c>
      <c r="Z27" s="350">
        <f t="shared" si="73"/>
        <v>0</v>
      </c>
      <c r="AA27" s="350">
        <f>SUM(AA28:AA29)</f>
        <v>3033239</v>
      </c>
      <c r="AB27" s="350">
        <f t="shared" si="73"/>
        <v>3033239</v>
      </c>
      <c r="AC27" s="351">
        <f t="shared" si="73"/>
        <v>0</v>
      </c>
    </row>
    <row r="28" spans="1:29" s="29" customFormat="1" ht="18" hidden="1">
      <c r="A28" s="1875" t="s">
        <v>99</v>
      </c>
      <c r="B28" s="1876" t="s">
        <v>104</v>
      </c>
      <c r="C28" s="1877">
        <f t="shared" ref="C28:C33" si="74">SUM(D28:E28)</f>
        <v>650315</v>
      </c>
      <c r="D28" s="1877">
        <f>'Phụ lục số I'!H66</f>
        <v>650315</v>
      </c>
      <c r="E28" s="1877"/>
      <c r="F28" s="299">
        <f>SUM(G28:H28)</f>
        <v>1160089</v>
      </c>
      <c r="G28" s="299">
        <f>'Phụ lục số I'!O66</f>
        <v>1160089</v>
      </c>
      <c r="H28" s="299">
        <f>E28</f>
        <v>0</v>
      </c>
      <c r="I28" s="300">
        <f>SUM(J28:K28)</f>
        <v>3033239</v>
      </c>
      <c r="J28" s="300">
        <f>'Phụ lục số I'!U66</f>
        <v>3033239</v>
      </c>
      <c r="K28" s="352">
        <f>H28</f>
        <v>0</v>
      </c>
      <c r="L28" s="46">
        <f>SUM(M28:N28)</f>
        <v>3033239</v>
      </c>
      <c r="M28" s="46">
        <f>'Phụ lục số I'!AA66</f>
        <v>3033239</v>
      </c>
      <c r="N28" s="1653">
        <f>K28</f>
        <v>0</v>
      </c>
      <c r="O28" s="300">
        <f>SUM(P28:Q28)</f>
        <v>3033239</v>
      </c>
      <c r="P28" s="300">
        <f>'Phụ lục số I'!AG66</f>
        <v>3033239</v>
      </c>
      <c r="Q28" s="352">
        <f>N28</f>
        <v>0</v>
      </c>
      <c r="R28" s="300">
        <f>SUM(S28:T28)</f>
        <v>9099717</v>
      </c>
      <c r="S28" s="300">
        <f t="shared" si="19"/>
        <v>9099717</v>
      </c>
      <c r="T28" s="301">
        <f t="shared" si="20"/>
        <v>0</v>
      </c>
      <c r="U28" s="1842">
        <f>SUM(V28:W28)</f>
        <v>3033239</v>
      </c>
      <c r="V28" s="300">
        <f>'Phụ lục số I'!AM66</f>
        <v>3033239</v>
      </c>
      <c r="W28" s="352">
        <f>N28</f>
        <v>0</v>
      </c>
      <c r="X28" s="300">
        <f>SUM(Y28:Z28)</f>
        <v>3033239</v>
      </c>
      <c r="Y28" s="300">
        <f>'Phụ lục số I'!AS66</f>
        <v>3033239</v>
      </c>
      <c r="Z28" s="300">
        <f>W28</f>
        <v>0</v>
      </c>
      <c r="AA28" s="300">
        <f>SUM(AB28:AC28)</f>
        <v>3033239</v>
      </c>
      <c r="AB28" s="300">
        <f>'Phụ lục số I'!AY66</f>
        <v>3033239</v>
      </c>
      <c r="AC28" s="301">
        <f>Z28</f>
        <v>0</v>
      </c>
    </row>
    <row r="29" spans="1:29" s="29" customFormat="1" ht="18" hidden="1">
      <c r="A29" s="1875" t="s">
        <v>101</v>
      </c>
      <c r="B29" s="1876" t="s">
        <v>105</v>
      </c>
      <c r="C29" s="1877">
        <f t="shared" si="74"/>
        <v>0</v>
      </c>
      <c r="D29" s="1877">
        <f>'Phụ lục số I'!H67</f>
        <v>0</v>
      </c>
      <c r="E29" s="1877"/>
      <c r="F29" s="299">
        <f>SUM(G29:H29)</f>
        <v>138559</v>
      </c>
      <c r="G29" s="299">
        <f>'Phụ lục số I'!O67</f>
        <v>138559</v>
      </c>
      <c r="H29" s="299">
        <f>E29</f>
        <v>0</v>
      </c>
      <c r="I29" s="300">
        <f>SUM(J29:K29)</f>
        <v>379266</v>
      </c>
      <c r="J29" s="300">
        <f>'Phụ lục số I'!U67</f>
        <v>379266</v>
      </c>
      <c r="K29" s="352">
        <f>H29</f>
        <v>0</v>
      </c>
      <c r="L29" s="46">
        <f>SUM(M29:N29)</f>
        <v>379266</v>
      </c>
      <c r="M29" s="46">
        <f>'Phụ lục số I'!AA67</f>
        <v>379266</v>
      </c>
      <c r="N29" s="1653">
        <f>K29</f>
        <v>0</v>
      </c>
      <c r="O29" s="300">
        <f>SUM(P29:Q29)</f>
        <v>379266</v>
      </c>
      <c r="P29" s="300">
        <f>'Phụ lục số I'!AG67</f>
        <v>379266</v>
      </c>
      <c r="Q29" s="352">
        <f>N29</f>
        <v>0</v>
      </c>
      <c r="R29" s="300">
        <f>SUM(S29:T29)</f>
        <v>1137798</v>
      </c>
      <c r="S29" s="300">
        <f t="shared" si="19"/>
        <v>1137798</v>
      </c>
      <c r="T29" s="301">
        <f t="shared" si="20"/>
        <v>0</v>
      </c>
      <c r="U29" s="1842">
        <f>SUM(V29:W29)</f>
        <v>0</v>
      </c>
      <c r="V29" s="300">
        <f>'Phụ lục số I'!AM67</f>
        <v>0</v>
      </c>
      <c r="W29" s="352">
        <f>N29</f>
        <v>0</v>
      </c>
      <c r="X29" s="300">
        <f>SUM(Y29:Z29)</f>
        <v>0</v>
      </c>
      <c r="Y29" s="300">
        <f>'Phụ lục số I'!AS67</f>
        <v>0</v>
      </c>
      <c r="Z29" s="300">
        <f>W29</f>
        <v>0</v>
      </c>
      <c r="AA29" s="300">
        <f>SUM(AB29:AC29)</f>
        <v>0</v>
      </c>
      <c r="AB29" s="300">
        <f>'Phụ lục số I'!AY67</f>
        <v>0</v>
      </c>
      <c r="AC29" s="301">
        <f>Z29</f>
        <v>0</v>
      </c>
    </row>
    <row r="30" spans="1:29" s="124" customFormat="1" ht="18">
      <c r="A30" s="1864" t="s">
        <v>182</v>
      </c>
      <c r="B30" s="1879" t="s">
        <v>45</v>
      </c>
      <c r="C30" s="1862">
        <f t="shared" si="74"/>
        <v>886000</v>
      </c>
      <c r="D30" s="1862">
        <f>'Phụ lục số I'!H68</f>
        <v>0</v>
      </c>
      <c r="E30" s="1862">
        <f>'Phụ lục số I'!I68</f>
        <v>886000</v>
      </c>
      <c r="F30" s="298">
        <f>SUM(G30:H30)</f>
        <v>1156399</v>
      </c>
      <c r="G30" s="298">
        <f>'Phụ lục số I'!O68</f>
        <v>0</v>
      </c>
      <c r="H30" s="298">
        <f>'Phụ lục số I'!P68</f>
        <v>1156399</v>
      </c>
      <c r="I30" s="346">
        <f t="shared" ref="I30:I31" si="75">SUM(J30:K30)</f>
        <v>0.40000000001455194</v>
      </c>
      <c r="J30" s="346">
        <f>'Phụ lục số I'!U68</f>
        <v>0.40000000001455194</v>
      </c>
      <c r="K30" s="346">
        <f>'Phụ lục số I'!V68</f>
        <v>0</v>
      </c>
      <c r="L30" s="45">
        <f t="shared" ref="L30:L33" si="76">SUM(M30:N30)</f>
        <v>0</v>
      </c>
      <c r="M30" s="45">
        <f>'Phụ lục số I'!AA68</f>
        <v>0</v>
      </c>
      <c r="N30" s="45">
        <f>'Phụ lục số I'!AB68</f>
        <v>0</v>
      </c>
      <c r="O30" s="346">
        <f t="shared" ref="O30:O33" si="77">SUM(P30:Q30)</f>
        <v>0</v>
      </c>
      <c r="P30" s="346">
        <f>'Phụ lục số I'!AG68</f>
        <v>0</v>
      </c>
      <c r="Q30" s="346">
        <f>'Phụ lục số I'!AH68</f>
        <v>0</v>
      </c>
      <c r="R30" s="346">
        <f t="shared" ref="R30:R33" si="78">SUM(S30:T30)</f>
        <v>0.40000000001455194</v>
      </c>
      <c r="S30" s="300">
        <f t="shared" si="19"/>
        <v>0.40000000001455194</v>
      </c>
      <c r="T30" s="301">
        <f t="shared" si="20"/>
        <v>0</v>
      </c>
      <c r="U30" s="1843">
        <f t="shared" ref="U30:U33" si="79">SUM(V30:W30)</f>
        <v>0</v>
      </c>
      <c r="V30" s="346">
        <f>'Phụ lục số I'!AM68</f>
        <v>0</v>
      </c>
      <c r="W30" s="346">
        <f>'Phụ lục số I'!AN68</f>
        <v>0</v>
      </c>
      <c r="X30" s="346">
        <f t="shared" ref="X30:X33" si="80">SUM(Y30:Z30)</f>
        <v>1088757.7498882432</v>
      </c>
      <c r="Y30" s="346">
        <f>'Phụ lục số I'!AS68</f>
        <v>508427.53552337422</v>
      </c>
      <c r="Z30" s="346">
        <f>'Phụ lục số I'!AT68</f>
        <v>580330.21436486894</v>
      </c>
      <c r="AA30" s="346">
        <f t="shared" ref="AA30:AA33" si="81">SUM(AB30:AC30)</f>
        <v>1572055.4252528162</v>
      </c>
      <c r="AB30" s="346">
        <f>'Phụ lục số I'!AY68</f>
        <v>815349.89660284261</v>
      </c>
      <c r="AC30" s="348">
        <f>'Phụ lục số I'!AZ68</f>
        <v>756705.52864997357</v>
      </c>
    </row>
    <row r="31" spans="1:29" s="124" customFormat="1" ht="18">
      <c r="A31" s="1864" t="s">
        <v>215</v>
      </c>
      <c r="B31" s="1879" t="s">
        <v>47</v>
      </c>
      <c r="C31" s="1862">
        <f t="shared" si="74"/>
        <v>0</v>
      </c>
      <c r="D31" s="1862">
        <f>'Phụ lục số I'!H69</f>
        <v>0</v>
      </c>
      <c r="E31" s="1862">
        <f>'Phụ lục số I'!I69</f>
        <v>0</v>
      </c>
      <c r="F31" s="298">
        <f t="shared" ref="F31:F33" si="82">SUM(G31:H31)</f>
        <v>0</v>
      </c>
      <c r="G31" s="298">
        <f>'Phụ lục số I'!O69</f>
        <v>0</v>
      </c>
      <c r="H31" s="298">
        <f>'Phụ lục số I'!P69</f>
        <v>0</v>
      </c>
      <c r="I31" s="346">
        <f t="shared" si="75"/>
        <v>0</v>
      </c>
      <c r="J31" s="346">
        <f>'Phụ lục số I'!U69</f>
        <v>0</v>
      </c>
      <c r="K31" s="346">
        <f>'Phụ lục số I'!V69</f>
        <v>0</v>
      </c>
      <c r="L31" s="45">
        <f t="shared" si="76"/>
        <v>0</v>
      </c>
      <c r="M31" s="45">
        <f>'Phụ lục số I'!AA69</f>
        <v>0</v>
      </c>
      <c r="N31" s="46"/>
      <c r="O31" s="346">
        <f t="shared" si="77"/>
        <v>0</v>
      </c>
      <c r="P31" s="346">
        <f>'Phụ lục số I'!AG69</f>
        <v>0</v>
      </c>
      <c r="Q31" s="346">
        <f>'Phụ lục số I'!AH69</f>
        <v>0</v>
      </c>
      <c r="R31" s="346">
        <f t="shared" si="78"/>
        <v>0</v>
      </c>
      <c r="S31" s="300">
        <f t="shared" si="19"/>
        <v>0</v>
      </c>
      <c r="T31" s="301">
        <f t="shared" si="20"/>
        <v>0</v>
      </c>
      <c r="U31" s="1843">
        <f t="shared" si="79"/>
        <v>0</v>
      </c>
      <c r="V31" s="346">
        <f>'Phụ lục số I'!AM69</f>
        <v>0</v>
      </c>
      <c r="W31" s="346">
        <f>'Phụ lục số I'!AN69</f>
        <v>0</v>
      </c>
      <c r="X31" s="346">
        <f t="shared" si="80"/>
        <v>0</v>
      </c>
      <c r="Y31" s="346">
        <f>'Phụ lục số I'!AS69</f>
        <v>0</v>
      </c>
      <c r="Z31" s="346">
        <f>'Phụ lục số I'!AT69</f>
        <v>0</v>
      </c>
      <c r="AA31" s="346">
        <f t="shared" si="81"/>
        <v>0</v>
      </c>
      <c r="AB31" s="346">
        <f>'Phụ lục số I'!AY69</f>
        <v>0</v>
      </c>
      <c r="AC31" s="348">
        <f>'Phụ lục số I'!AZ69</f>
        <v>0</v>
      </c>
    </row>
    <row r="32" spans="1:29" s="124" customFormat="1" ht="17.399999999999999">
      <c r="A32" s="1880" t="s">
        <v>37</v>
      </c>
      <c r="B32" s="1881" t="s">
        <v>238</v>
      </c>
      <c r="C32" s="1862">
        <f t="shared" si="74"/>
        <v>19035463.078000002</v>
      </c>
      <c r="D32" s="1862">
        <f>D33+D51+D61+D62</f>
        <v>9127059.7300000004</v>
      </c>
      <c r="E32" s="1862">
        <f t="shared" ref="E32" si="83">E33+E51+E61+E62</f>
        <v>9908403.3479999993</v>
      </c>
      <c r="F32" s="1882">
        <f t="shared" si="82"/>
        <v>19382765.094239719</v>
      </c>
      <c r="G32" s="1882">
        <f>G33+G51+G61+G62</f>
        <v>9429600.2589892782</v>
      </c>
      <c r="H32" s="1882">
        <f t="shared" ref="H32" si="84">H33+H51+H61+H62</f>
        <v>9953164.8352504428</v>
      </c>
      <c r="I32" s="1883">
        <f t="shared" ref="I32:I33" si="85">SUM(J32:K32)</f>
        <v>21909395.833801575</v>
      </c>
      <c r="J32" s="1883">
        <f>J33+J51+J61+J62</f>
        <v>10975001.773972481</v>
      </c>
      <c r="K32" s="1883">
        <f t="shared" ref="K32" si="86">K33+K51+K61+K62</f>
        <v>10934394.059829095</v>
      </c>
      <c r="L32" s="1654">
        <f t="shared" si="76"/>
        <v>22059476.072368387</v>
      </c>
      <c r="M32" s="1654">
        <f>M33+M51+M61+M62</f>
        <v>11018585.461110013</v>
      </c>
      <c r="N32" s="1654">
        <f t="shared" ref="N32" si="87">N33+N51+N61+N62</f>
        <v>11040890.611258375</v>
      </c>
      <c r="O32" s="1654">
        <f t="shared" si="77"/>
        <v>22223556.558125257</v>
      </c>
      <c r="P32" s="1654">
        <f>P33+P51+P61+P62</f>
        <v>11135705.557981655</v>
      </c>
      <c r="Q32" s="1654">
        <f t="shared" ref="Q32" si="88">Q33+Q51+Q61+Q62</f>
        <v>11087851.000143604</v>
      </c>
      <c r="R32" s="1654">
        <f t="shared" si="78"/>
        <v>66192428.464295231</v>
      </c>
      <c r="S32" s="1654">
        <f>S33+S51+S61+S62</f>
        <v>33129292.793064155</v>
      </c>
      <c r="T32" s="1884">
        <f t="shared" ref="T32" si="89">T33+T51+T61+T62</f>
        <v>33063135.671231076</v>
      </c>
      <c r="U32" s="1832">
        <f t="shared" si="79"/>
        <v>25271091.93471314</v>
      </c>
      <c r="V32" s="1654">
        <f>V33+V51+V61+V62</f>
        <v>12773017.450574759</v>
      </c>
      <c r="W32" s="1654">
        <f t="shared" ref="W32" si="90">W33+W51+W61+W62</f>
        <v>12498074.484138383</v>
      </c>
      <c r="X32" s="1654">
        <f t="shared" si="80"/>
        <v>27023131.244954884</v>
      </c>
      <c r="Y32" s="1654">
        <f>Y33+Y51+Y61+Y62</f>
        <v>13663443.047845125</v>
      </c>
      <c r="Z32" s="1654">
        <f t="shared" ref="Z32" si="91">Z33+Z51+Z61+Z62</f>
        <v>13359688.197109757</v>
      </c>
      <c r="AA32" s="1654">
        <f t="shared" si="81"/>
        <v>28666232.257332325</v>
      </c>
      <c r="AB32" s="1654">
        <f>AB33+AB51+AB61+AB62</f>
        <v>14409816.452453248</v>
      </c>
      <c r="AC32" s="1884">
        <f t="shared" ref="AC32" si="92">AC33+AC51+AC61+AC62</f>
        <v>14256415.804879077</v>
      </c>
    </row>
    <row r="33" spans="1:29" s="124" customFormat="1" ht="17.399999999999999">
      <c r="A33" s="1864" t="s">
        <v>3</v>
      </c>
      <c r="B33" s="1865" t="s">
        <v>142</v>
      </c>
      <c r="C33" s="1862">
        <f t="shared" si="74"/>
        <v>17046487.078000002</v>
      </c>
      <c r="D33" s="1862">
        <f>SUM(D34,D40,D45,D46,D47,D48,D49,D50)</f>
        <v>7138083.7300000004</v>
      </c>
      <c r="E33" s="1862">
        <f t="shared" ref="E33" si="93">SUM(E34,E40,E45,E46,E47,E48,E49,E50)</f>
        <v>9908403.3479999993</v>
      </c>
      <c r="F33" s="344">
        <f t="shared" si="82"/>
        <v>17255230.094239719</v>
      </c>
      <c r="G33" s="344">
        <f>SUM(G34,G40,G45,G46,G47,G48,G49,G50)</f>
        <v>7302065.2589892773</v>
      </c>
      <c r="H33" s="344">
        <f t="shared" ref="H33" si="94">SUM(H34,H40,H45,H46,H47,H48,H49,H50)</f>
        <v>9953164.8352504428</v>
      </c>
      <c r="I33" s="1885">
        <f t="shared" si="85"/>
        <v>18233347.033801578</v>
      </c>
      <c r="J33" s="1885">
        <f>SUM(J34,J40,J45,J46,J47,J48,J49,J50)</f>
        <v>7298952.9739724817</v>
      </c>
      <c r="K33" s="1885">
        <f t="shared" ref="K33" si="95">SUM(K34,K40,K45,K46,K47,K48,K49,K50)</f>
        <v>10934394.059829095</v>
      </c>
      <c r="L33" s="195">
        <f t="shared" si="76"/>
        <v>18383427.272368386</v>
      </c>
      <c r="M33" s="195">
        <f>SUM(M34,M40,M45,M46,M47,M48,M49,M50)</f>
        <v>7342536.6611100128</v>
      </c>
      <c r="N33" s="195">
        <f t="shared" ref="N33" si="96">SUM(N34,N40,N45,N46,N47,N48,N49,N50)</f>
        <v>11040890.611258375</v>
      </c>
      <c r="O33" s="195">
        <f t="shared" si="77"/>
        <v>18547507.75812526</v>
      </c>
      <c r="P33" s="195">
        <f>SUM(P34,P40,P45,P46,P47,P48,P49,P50)</f>
        <v>7459656.7579816561</v>
      </c>
      <c r="Q33" s="195">
        <f t="shared" ref="Q33" si="97">SUM(Q34,Q40,Q45,Q46,Q47,Q48,Q49,Q50)</f>
        <v>11087851.000143604</v>
      </c>
      <c r="R33" s="195">
        <f t="shared" si="78"/>
        <v>55164282.064295232</v>
      </c>
      <c r="S33" s="195">
        <f>SUM(S34,S40,S45,S46,S47,S48,S49,S50)</f>
        <v>22101146.393064156</v>
      </c>
      <c r="T33" s="1886">
        <f t="shared" ref="T33" si="98">SUM(T34,T40,T45,T46,T47,T48,T49,T50)</f>
        <v>33063135.671231076</v>
      </c>
      <c r="U33" s="1830">
        <f t="shared" si="79"/>
        <v>21595043.134713143</v>
      </c>
      <c r="V33" s="195">
        <f>SUM(V34,V40,V45,V46,V47,V48,V49,V50)</f>
        <v>9096968.6505747605</v>
      </c>
      <c r="W33" s="195">
        <f t="shared" ref="W33" si="99">SUM(W34,W40,W45,W46,W47,W48,W49,W50)</f>
        <v>12498074.484138383</v>
      </c>
      <c r="X33" s="195">
        <f t="shared" si="80"/>
        <v>23347082.444954883</v>
      </c>
      <c r="Y33" s="195">
        <f>SUM(Y34,Y40,Y45,Y46,Y47,Y48,Y49,Y50)</f>
        <v>9987394.2478451263</v>
      </c>
      <c r="Z33" s="195">
        <f t="shared" ref="Z33" si="100">SUM(Z34,Z40,Z45,Z46,Z47,Z48,Z49,Z50)</f>
        <v>13359688.197109757</v>
      </c>
      <c r="AA33" s="195">
        <f t="shared" si="81"/>
        <v>24990183.457332324</v>
      </c>
      <c r="AB33" s="195">
        <f>SUM(AB34,AB40,AB45,AB46,AB47,AB48,AB49,AB50)</f>
        <v>10733767.652453247</v>
      </c>
      <c r="AC33" s="1886">
        <f t="shared" ref="AC33" si="101">SUM(AC34,AC40,AC45,AC46,AC47,AC48,AC49,AC50)</f>
        <v>14256415.804879077</v>
      </c>
    </row>
    <row r="34" spans="1:29" s="124" customFormat="1" ht="17.399999999999999">
      <c r="A34" s="1864">
        <v>1</v>
      </c>
      <c r="B34" s="1865" t="s">
        <v>208</v>
      </c>
      <c r="C34" s="1862">
        <f>SUM(C35:C39)</f>
        <v>5331240.5709698759</v>
      </c>
      <c r="D34" s="1862">
        <f t="shared" ref="D34:E34" si="102">SUM(D35:D39)</f>
        <v>3607240.162</v>
      </c>
      <c r="E34" s="1862">
        <f t="shared" si="102"/>
        <v>1724000.4089698761</v>
      </c>
      <c r="F34" s="344">
        <f>SUM(F35:F39)</f>
        <v>5331240.5709698759</v>
      </c>
      <c r="G34" s="344">
        <f t="shared" ref="G34:H34" si="103">SUM(G35:G39)</f>
        <v>3607240.162</v>
      </c>
      <c r="H34" s="344">
        <f t="shared" si="103"/>
        <v>1724000.4089698761</v>
      </c>
      <c r="I34" s="1885">
        <f>SUM(I35:I39)</f>
        <v>4950795.363429876</v>
      </c>
      <c r="J34" s="1885">
        <f t="shared" ref="J34:K34" si="104">SUM(J35:J39)</f>
        <v>3109794.9544600002</v>
      </c>
      <c r="K34" s="1885">
        <f t="shared" si="104"/>
        <v>1841000.4089698761</v>
      </c>
      <c r="L34" s="195">
        <f>SUM(L35:L39)</f>
        <v>4892210.8713205801</v>
      </c>
      <c r="M34" s="195">
        <f t="shared" ref="M34:N34" si="105">SUM(M35:M39)</f>
        <v>3141210.4623507038</v>
      </c>
      <c r="N34" s="195">
        <f t="shared" si="105"/>
        <v>1751000.4089698761</v>
      </c>
      <c r="O34" s="195">
        <f>SUM(O35:O39)</f>
        <v>4823362.7382765934</v>
      </c>
      <c r="P34" s="195">
        <f t="shared" ref="P34:Q34" si="106">SUM(P35:P39)</f>
        <v>3154867.4240310052</v>
      </c>
      <c r="Q34" s="195">
        <f t="shared" si="106"/>
        <v>1668495.3142455874</v>
      </c>
      <c r="R34" s="195">
        <f>SUM(R35:R39)</f>
        <v>14666368.97302705</v>
      </c>
      <c r="S34" s="195">
        <f t="shared" ref="S34:T34" si="107">SUM(S35:S39)</f>
        <v>9405872.8408417106</v>
      </c>
      <c r="T34" s="1886">
        <f t="shared" si="107"/>
        <v>5260496.1321853399</v>
      </c>
      <c r="U34" s="1830">
        <f>SUM(U35:U39)</f>
        <v>6043442.1840729155</v>
      </c>
      <c r="V34" s="195">
        <f t="shared" ref="V34:W34" si="108">SUM(V35:V39)</f>
        <v>4112611.9808295001</v>
      </c>
      <c r="W34" s="195">
        <f t="shared" si="108"/>
        <v>1930830.2032434158</v>
      </c>
      <c r="X34" s="195">
        <f>SUM(X35:X39)</f>
        <v>6475781.9322816804</v>
      </c>
      <c r="Y34" s="195">
        <f t="shared" ref="Y34:Z34" si="109">SUM(Y35:Y39)</f>
        <v>4406297.6668103859</v>
      </c>
      <c r="Z34" s="195">
        <f t="shared" si="109"/>
        <v>2069484.2654712955</v>
      </c>
      <c r="AA34" s="195">
        <f>SUM(AA35:AA39)</f>
        <v>6943653.6306009274</v>
      </c>
      <c r="AB34" s="195">
        <f t="shared" ref="AB34:AC34" si="110">SUM(AB35:AB39)</f>
        <v>4655289.839687855</v>
      </c>
      <c r="AC34" s="1886">
        <f t="shared" si="110"/>
        <v>2288363.7909130724</v>
      </c>
    </row>
    <row r="35" spans="1:29" ht="18">
      <c r="A35" s="1887" t="s">
        <v>29</v>
      </c>
      <c r="B35" s="1888" t="s">
        <v>143</v>
      </c>
      <c r="C35" s="1877">
        <f>SUM(D35:E35)</f>
        <v>1143186.4089698761</v>
      </c>
      <c r="D35" s="1877">
        <f>'Phụ lục số II'!F12</f>
        <v>562186</v>
      </c>
      <c r="E35" s="1877">
        <f>'Phụ lục số II'!G12</f>
        <v>581000.40896987612</v>
      </c>
      <c r="F35" s="299">
        <f>SUM(G35:H35)</f>
        <v>1143186.4089698761</v>
      </c>
      <c r="G35" s="299">
        <f>'Phụ lục số II'!K12</f>
        <v>562186</v>
      </c>
      <c r="H35" s="299">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3536368.9730270496</v>
      </c>
      <c r="S35" s="300">
        <f t="shared" ref="S35:S36" si="111">+P35+M35+J35</f>
        <v>1785872.8408417096</v>
      </c>
      <c r="T35" s="301">
        <f t="shared" ref="T35:T36" si="112">+Q35+N35+K35</f>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360">
        <f>'Phụ lục số II'!AP12</f>
        <v>803363.79091307241</v>
      </c>
    </row>
    <row r="36" spans="1:29" ht="18">
      <c r="A36" s="1887" t="s">
        <v>29</v>
      </c>
      <c r="B36" s="1888" t="s">
        <v>144</v>
      </c>
      <c r="C36" s="1877">
        <f t="shared" ref="C36:C39" si="113">SUM(D36:E36)</f>
        <v>1770000</v>
      </c>
      <c r="D36" s="1877">
        <f>'Phụ lục số II'!F13</f>
        <v>627000</v>
      </c>
      <c r="E36" s="1877">
        <f>'Phụ lục số II'!G13</f>
        <v>1143000</v>
      </c>
      <c r="F36" s="299">
        <f t="shared" ref="F36:F39" si="114">SUM(G36:H36)</f>
        <v>1770000</v>
      </c>
      <c r="G36" s="299">
        <f>'Phụ lục số II'!K13</f>
        <v>627000</v>
      </c>
      <c r="H36" s="299">
        <f>'Phụ lục số II'!L13</f>
        <v>1143000</v>
      </c>
      <c r="I36" s="333">
        <f t="shared" ref="I36:I39" si="115">SUM(J36:K36)</f>
        <v>1660000</v>
      </c>
      <c r="J36" s="333">
        <f>'Phụ lục số II'!P13</f>
        <v>400000</v>
      </c>
      <c r="K36" s="333">
        <f>'Phụ lục số II'!Q13</f>
        <v>1260000</v>
      </c>
      <c r="L36" s="46">
        <f t="shared" ref="L36:L39" si="116">SUM(M36:N36)</f>
        <v>1570000</v>
      </c>
      <c r="M36" s="328">
        <f>'Phụ lục số II'!U13</f>
        <v>400000</v>
      </c>
      <c r="N36" s="328">
        <f>'Phụ lục số II'!V13</f>
        <v>1170000</v>
      </c>
      <c r="O36" s="46">
        <f t="shared" ref="O36:O39" si="117">SUM(P36:Q36)</f>
        <v>1480000</v>
      </c>
      <c r="P36" s="328">
        <f>'Phụ lục số II'!Z13</f>
        <v>400000</v>
      </c>
      <c r="Q36" s="328">
        <f>'Phụ lục số II'!AA13</f>
        <v>1080000</v>
      </c>
      <c r="R36" s="46">
        <f t="shared" ref="R36:R39" si="118">SUM(S36:T36)</f>
        <v>4710000</v>
      </c>
      <c r="S36" s="300">
        <f t="shared" si="111"/>
        <v>1200000</v>
      </c>
      <c r="T36" s="301">
        <f t="shared" si="112"/>
        <v>3510000</v>
      </c>
      <c r="U36" s="1827">
        <f t="shared" ref="U36:U39" si="119">SUM(V36:W36)</f>
        <v>1660000</v>
      </c>
      <c r="V36" s="46">
        <f>'Phụ lục số II'!AE13</f>
        <v>400000</v>
      </c>
      <c r="W36" s="46">
        <f>'Phụ lục số II'!AF13</f>
        <v>1260000</v>
      </c>
      <c r="X36" s="46">
        <f t="shared" ref="X36:X39" si="120">SUM(Y36:Z36)</f>
        <v>1800000</v>
      </c>
      <c r="Y36" s="328">
        <f>'Phụ lục số II'!AJ13</f>
        <v>450000</v>
      </c>
      <c r="Z36" s="328">
        <f>'Phụ lục số II'!AK13</f>
        <v>1350000</v>
      </c>
      <c r="AA36" s="46">
        <f t="shared" ref="AA36:AA39" si="121">SUM(AB36:AC36)</f>
        <v>1935000</v>
      </c>
      <c r="AB36" s="328">
        <f>'Phụ lục số II'!AO13</f>
        <v>450000</v>
      </c>
      <c r="AC36" s="360">
        <f>'Phụ lục số II'!AP13</f>
        <v>1485000</v>
      </c>
    </row>
    <row r="37" spans="1:29" ht="18">
      <c r="A37" s="1887" t="s">
        <v>29</v>
      </c>
      <c r="B37" s="1878" t="s">
        <v>145</v>
      </c>
      <c r="C37" s="1877">
        <f t="shared" si="113"/>
        <v>1950000</v>
      </c>
      <c r="D37" s="1877">
        <f>'Phụ lục số II'!F14</f>
        <v>1950000</v>
      </c>
      <c r="E37" s="1877">
        <f>'Phụ lục số II'!G14</f>
        <v>0</v>
      </c>
      <c r="F37" s="299">
        <f t="shared" si="114"/>
        <v>1950000</v>
      </c>
      <c r="G37" s="299">
        <f>'Phụ lục số II'!K14</f>
        <v>1950000</v>
      </c>
      <c r="H37" s="299">
        <f>'Phụ lục số II'!L14</f>
        <v>0</v>
      </c>
      <c r="I37" s="333">
        <f t="shared" si="115"/>
        <v>1850000</v>
      </c>
      <c r="J37" s="333">
        <f>'Phụ lục số II'!P14</f>
        <v>1850000</v>
      </c>
      <c r="K37" s="333">
        <f>'Phụ lục số II'!Q14</f>
        <v>0</v>
      </c>
      <c r="L37" s="46">
        <f t="shared" si="116"/>
        <v>1850000</v>
      </c>
      <c r="M37" s="328">
        <f>'Phụ lục số II'!U14</f>
        <v>1850000</v>
      </c>
      <c r="N37" s="328">
        <f>'Phụ lục số II'!V14</f>
        <v>0</v>
      </c>
      <c r="O37" s="46">
        <f t="shared" si="117"/>
        <v>1850000</v>
      </c>
      <c r="P37" s="328">
        <f>'Phụ lục số II'!Z14</f>
        <v>1850000</v>
      </c>
      <c r="Q37" s="328">
        <f>'Phụ lục số II'!AA14</f>
        <v>0</v>
      </c>
      <c r="R37" s="46">
        <f t="shared" si="118"/>
        <v>5550000</v>
      </c>
      <c r="S37" s="300">
        <f t="shared" ref="S37:S39" si="122">+P37+M37+J37</f>
        <v>5550000</v>
      </c>
      <c r="T37" s="301">
        <f t="shared" ref="T37:T39" si="123">+Q37+N37+K37</f>
        <v>0</v>
      </c>
      <c r="U37" s="1827">
        <f t="shared" si="119"/>
        <v>2000000</v>
      </c>
      <c r="V37" s="46">
        <f>'Phụ lục số II'!AE14</f>
        <v>2000000</v>
      </c>
      <c r="W37" s="46">
        <f>'Phụ lục số II'!AF14</f>
        <v>0</v>
      </c>
      <c r="X37" s="46">
        <f t="shared" si="120"/>
        <v>2100000</v>
      </c>
      <c r="Y37" s="328">
        <f>'Phụ lục số II'!AJ14</f>
        <v>2100000</v>
      </c>
      <c r="Z37" s="328">
        <f>'Phụ lục số II'!AK14</f>
        <v>0</v>
      </c>
      <c r="AA37" s="46">
        <f t="shared" si="121"/>
        <v>2200000</v>
      </c>
      <c r="AB37" s="328">
        <f>'Phụ lục số II'!AO14</f>
        <v>2200000</v>
      </c>
      <c r="AC37" s="360">
        <f>'Phụ lục số II'!AP14</f>
        <v>0</v>
      </c>
    </row>
    <row r="38" spans="1:29" ht="18">
      <c r="A38" s="1887" t="s">
        <v>29</v>
      </c>
      <c r="B38" s="1878" t="s">
        <v>146</v>
      </c>
      <c r="C38" s="1877">
        <f t="shared" si="113"/>
        <v>408054.16200000001</v>
      </c>
      <c r="D38" s="1877">
        <f>'Phụ lục số II'!F15</f>
        <v>408054.16200000001</v>
      </c>
      <c r="E38" s="1877">
        <f>'Phụ lục số II'!G15</f>
        <v>0</v>
      </c>
      <c r="F38" s="299">
        <f t="shared" si="114"/>
        <v>408054.16200000001</v>
      </c>
      <c r="G38" s="299">
        <f>'Phụ lục số II'!K15</f>
        <v>408054.16200000001</v>
      </c>
      <c r="H38" s="299">
        <f>'Phụ lục số II'!L15</f>
        <v>0</v>
      </c>
      <c r="I38" s="333">
        <f t="shared" si="115"/>
        <v>0</v>
      </c>
      <c r="J38" s="333">
        <f>'Phụ lục số II'!P15</f>
        <v>0</v>
      </c>
      <c r="K38" s="333">
        <f>'Phụ lục số II'!Q15</f>
        <v>0</v>
      </c>
      <c r="L38" s="46">
        <f t="shared" si="116"/>
        <v>0</v>
      </c>
      <c r="M38" s="328">
        <f>'Phụ lục số II'!U15</f>
        <v>0</v>
      </c>
      <c r="N38" s="328">
        <f>'Phụ lục số II'!V15</f>
        <v>0</v>
      </c>
      <c r="O38" s="46">
        <f t="shared" si="117"/>
        <v>0</v>
      </c>
      <c r="P38" s="328">
        <f>'Phụ lục số II'!Z15</f>
        <v>0</v>
      </c>
      <c r="Q38" s="328">
        <f>'Phụ lục số II'!AA15</f>
        <v>0</v>
      </c>
      <c r="R38" s="46">
        <f t="shared" si="118"/>
        <v>0</v>
      </c>
      <c r="S38" s="300">
        <f t="shared" si="122"/>
        <v>0</v>
      </c>
      <c r="T38" s="301">
        <f t="shared" si="123"/>
        <v>0</v>
      </c>
      <c r="U38" s="1827">
        <f t="shared" si="119"/>
        <v>0</v>
      </c>
      <c r="V38" s="46">
        <f>'Phụ lục số II'!AE15</f>
        <v>0</v>
      </c>
      <c r="W38" s="46">
        <f>'Phụ lục số II'!AF15</f>
        <v>0</v>
      </c>
      <c r="X38" s="46">
        <f t="shared" si="120"/>
        <v>0</v>
      </c>
      <c r="Y38" s="328">
        <f>'Phụ lục số II'!AJ15</f>
        <v>0</v>
      </c>
      <c r="Z38" s="328">
        <f>'Phụ lục số II'!AK15</f>
        <v>0</v>
      </c>
      <c r="AA38" s="46">
        <f t="shared" si="121"/>
        <v>0</v>
      </c>
      <c r="AB38" s="328">
        <f>'Phụ lục số II'!AO15</f>
        <v>0</v>
      </c>
      <c r="AC38" s="360">
        <f>'Phụ lục số II'!AP15</f>
        <v>0</v>
      </c>
    </row>
    <row r="39" spans="1:29" ht="18">
      <c r="A39" s="1887" t="s">
        <v>29</v>
      </c>
      <c r="B39" s="1878" t="s">
        <v>218</v>
      </c>
      <c r="C39" s="1877">
        <f t="shared" si="113"/>
        <v>60000</v>
      </c>
      <c r="D39" s="1877">
        <f>'Phụ lục số II'!F16</f>
        <v>60000</v>
      </c>
      <c r="E39" s="1877">
        <f>'Phụ lục số II'!G16</f>
        <v>0</v>
      </c>
      <c r="F39" s="299">
        <f t="shared" si="114"/>
        <v>60000</v>
      </c>
      <c r="G39" s="299">
        <f>'Phụ lục số II'!K16</f>
        <v>60000</v>
      </c>
      <c r="H39" s="299">
        <f>'Phụ lục số II'!L16</f>
        <v>0</v>
      </c>
      <c r="I39" s="333">
        <f t="shared" si="115"/>
        <v>270000</v>
      </c>
      <c r="J39" s="333">
        <f>'Phụ lục số II'!P16</f>
        <v>270000</v>
      </c>
      <c r="K39" s="333">
        <f>'Phụ lục số II'!Q16</f>
        <v>0</v>
      </c>
      <c r="L39" s="46">
        <f t="shared" si="116"/>
        <v>300000</v>
      </c>
      <c r="M39" s="328">
        <f>'Phụ lục số II'!U16</f>
        <v>300000</v>
      </c>
      <c r="N39" s="328">
        <f>'Phụ lục số II'!V16</f>
        <v>0</v>
      </c>
      <c r="O39" s="46">
        <f t="shared" si="117"/>
        <v>300000</v>
      </c>
      <c r="P39" s="328">
        <f>'Phụ lục số II'!Z16</f>
        <v>300000</v>
      </c>
      <c r="Q39" s="328">
        <f>'Phụ lục số II'!AA16</f>
        <v>0</v>
      </c>
      <c r="R39" s="46">
        <f t="shared" si="118"/>
        <v>870000</v>
      </c>
      <c r="S39" s="300">
        <f t="shared" si="122"/>
        <v>870000</v>
      </c>
      <c r="T39" s="301">
        <f t="shared" si="123"/>
        <v>0</v>
      </c>
      <c r="U39" s="1827">
        <f t="shared" si="119"/>
        <v>1050000</v>
      </c>
      <c r="V39" s="46">
        <f>'Phụ lục số II'!AE16</f>
        <v>1050000</v>
      </c>
      <c r="W39" s="46">
        <f>'Phụ lục số II'!AF16</f>
        <v>0</v>
      </c>
      <c r="X39" s="46">
        <f t="shared" si="120"/>
        <v>1100000</v>
      </c>
      <c r="Y39" s="328">
        <f>'Phụ lục số II'!AJ16</f>
        <v>1100000</v>
      </c>
      <c r="Z39" s="328">
        <f>'Phụ lục số II'!AK16</f>
        <v>0</v>
      </c>
      <c r="AA39" s="46">
        <f t="shared" si="121"/>
        <v>1200000</v>
      </c>
      <c r="AB39" s="328">
        <f>'Phụ lục số II'!AO16</f>
        <v>1200000</v>
      </c>
      <c r="AC39" s="360">
        <f>'Phụ lục số II'!AP16</f>
        <v>0</v>
      </c>
    </row>
    <row r="40" spans="1:29" ht="17.399999999999999">
      <c r="A40" s="1864">
        <v>2</v>
      </c>
      <c r="B40" s="1865" t="s">
        <v>209</v>
      </c>
      <c r="C40" s="1889">
        <f>SUM(D40:E40)</f>
        <v>10664978.394711081</v>
      </c>
      <c r="D40" s="1889">
        <f>'Phụ lục số II'!F17</f>
        <v>3294440</v>
      </c>
      <c r="E40" s="1889">
        <f>'Phụ lục số II'!G17</f>
        <v>7370538.3947110809</v>
      </c>
      <c r="F40" s="344">
        <f>SUM(G40:H40)</f>
        <v>11591120.210950801</v>
      </c>
      <c r="G40" s="298">
        <f>'Phụ lục số II'!K17</f>
        <v>3537560.3289892771</v>
      </c>
      <c r="H40" s="298">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329">
        <f>SUM(S40:T40)</f>
        <v>39409592.480176829</v>
      </c>
      <c r="S40" s="346">
        <f t="shared" ref="S40" si="124">+P40+M40+J40</f>
        <v>12123862.301153501</v>
      </c>
      <c r="T40" s="348">
        <f t="shared" ref="T40" si="125">+Q40+N40+K40</f>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361">
        <f>'Phụ lục số II'!AP17</f>
        <v>10763485.913870698</v>
      </c>
    </row>
    <row r="41" spans="1:29" ht="18">
      <c r="A41" s="1864"/>
      <c r="B41" s="1865" t="s">
        <v>234</v>
      </c>
      <c r="C41" s="1890"/>
      <c r="D41" s="1890"/>
      <c r="E41" s="1890"/>
      <c r="F41" s="299"/>
      <c r="G41" s="299"/>
      <c r="H41" s="299"/>
      <c r="I41" s="333"/>
      <c r="J41" s="333"/>
      <c r="K41" s="333"/>
      <c r="L41" s="46"/>
      <c r="M41" s="46"/>
      <c r="N41" s="46"/>
      <c r="O41" s="328">
        <f t="shared" ref="O41:O43" si="126">SUM(P41:Q41)</f>
        <v>0</v>
      </c>
      <c r="P41" s="297"/>
      <c r="Q41" s="297"/>
      <c r="R41" s="328">
        <f t="shared" ref="R41:R43" si="127">SUM(S41:T41)</f>
        <v>0</v>
      </c>
      <c r="S41" s="346">
        <f t="shared" ref="S41:S62" si="128">+P41+M41+J41</f>
        <v>0</v>
      </c>
      <c r="T41" s="348">
        <f t="shared" ref="T41:T62" si="129">+Q41+N41+K41</f>
        <v>0</v>
      </c>
      <c r="U41" s="1827"/>
      <c r="V41" s="46"/>
      <c r="W41" s="46"/>
      <c r="X41" s="297"/>
      <c r="Y41" s="297"/>
      <c r="Z41" s="297"/>
      <c r="AA41" s="328"/>
      <c r="AB41" s="328"/>
      <c r="AC41" s="360"/>
    </row>
    <row r="42" spans="1:29" ht="18">
      <c r="A42" s="1887" t="s">
        <v>29</v>
      </c>
      <c r="B42" s="1888" t="s">
        <v>239</v>
      </c>
      <c r="C42" s="1891">
        <f>SUM(D42:E42)</f>
        <v>4797945.7831797441</v>
      </c>
      <c r="D42" s="1891">
        <f>'Phụ lục số II'!F18</f>
        <v>956676</v>
      </c>
      <c r="E42" s="1891">
        <f>'Phụ lục số II'!G18</f>
        <v>3841269.7831797441</v>
      </c>
      <c r="F42" s="350">
        <f t="shared" ref="F42:F43" si="130">SUM(G42:H42)</f>
        <v>5395798.649100964</v>
      </c>
      <c r="G42" s="299">
        <f>'Phụ lục số II'!K18</f>
        <v>1052842.94860096</v>
      </c>
      <c r="H42" s="299">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26"/>
        <v>6216594.5722299647</v>
      </c>
      <c r="P42" s="328">
        <f>'Phụ lục số II'!Z18</f>
        <v>1230943.7954868474</v>
      </c>
      <c r="Q42" s="328">
        <f>'Phụ lục số II'!AA18</f>
        <v>4985650.7767431177</v>
      </c>
      <c r="R42" s="328">
        <f t="shared" si="127"/>
        <v>18411734.605027322</v>
      </c>
      <c r="S42" s="300">
        <f t="shared" si="128"/>
        <v>3634365.1610669112</v>
      </c>
      <c r="T42" s="301">
        <f t="shared" si="129"/>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360">
        <f>'Phụ lục số II'!AP18</f>
        <v>5743058.5827228744</v>
      </c>
    </row>
    <row r="43" spans="1:29" ht="18">
      <c r="A43" s="1887" t="s">
        <v>29</v>
      </c>
      <c r="B43" s="1892" t="s">
        <v>241</v>
      </c>
      <c r="C43" s="1891">
        <f t="shared" ref="C43:C44" si="131">SUM(D43:E43)</f>
        <v>31218</v>
      </c>
      <c r="D43" s="1891">
        <f>'Phụ lục số II'!F19</f>
        <v>31218</v>
      </c>
      <c r="E43" s="1891">
        <f>'Phụ lục số II'!G19</f>
        <v>0</v>
      </c>
      <c r="F43" s="350">
        <f t="shared" si="130"/>
        <v>31107.539891692453</v>
      </c>
      <c r="G43" s="299">
        <f>'Phụ lục số II'!K19</f>
        <v>31107.539891692453</v>
      </c>
      <c r="H43" s="299">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26"/>
        <v>34148.038429599939</v>
      </c>
      <c r="P43" s="328">
        <f>'Phụ lục số II'!Z19</f>
        <v>34148.038429599939</v>
      </c>
      <c r="Q43" s="328">
        <f>'Phụ lục số II'!AA19</f>
        <v>0</v>
      </c>
      <c r="R43" s="328">
        <f t="shared" si="127"/>
        <v>100822.18346795195</v>
      </c>
      <c r="S43" s="300">
        <f t="shared" si="128"/>
        <v>100822.18346795195</v>
      </c>
      <c r="T43" s="301">
        <f t="shared" si="129"/>
        <v>0</v>
      </c>
      <c r="U43" s="1827">
        <f>SUM(V43:W43)</f>
        <v>35149.814659228985</v>
      </c>
      <c r="V43" s="46">
        <f>'Phụ lục số II'!AE19</f>
        <v>35149.814659228985</v>
      </c>
      <c r="W43" s="46"/>
      <c r="X43" s="297">
        <f t="shared" ref="X43:X44" si="132">SUM(Y43:Z43)</f>
        <v>36406.277712104355</v>
      </c>
      <c r="Y43" s="328">
        <f>'Phụ lục số II'!AJ19</f>
        <v>36406.277712104355</v>
      </c>
      <c r="Z43" s="328">
        <f>'Phụ lục số II'!AK19</f>
        <v>0</v>
      </c>
      <c r="AA43" s="328">
        <f t="shared" ref="AA43:AA44" si="133">SUM(AB43:AC43)</f>
        <v>37320.513403256889</v>
      </c>
      <c r="AB43" s="328">
        <f>'Phụ lục số II'!AO19</f>
        <v>37320.513403256889</v>
      </c>
      <c r="AC43" s="360"/>
    </row>
    <row r="44" spans="1:29" ht="18">
      <c r="A44" s="1887" t="s">
        <v>29</v>
      </c>
      <c r="B44" s="1888" t="s">
        <v>240</v>
      </c>
      <c r="C44" s="1891">
        <f t="shared" si="131"/>
        <v>5835814.6115313368</v>
      </c>
      <c r="D44" s="1891">
        <f>D40-D42-D43</f>
        <v>2306546</v>
      </c>
      <c r="E44" s="1891">
        <f t="shared" ref="E44" si="134">E40-E42-E43</f>
        <v>3529268.6115313368</v>
      </c>
      <c r="F44" s="350">
        <f>SUM(G44:H44)</f>
        <v>6164214.0219581444</v>
      </c>
      <c r="G44" s="350">
        <f>G40-G42-G43</f>
        <v>2453609.8404966248</v>
      </c>
      <c r="H44" s="350">
        <f t="shared" ref="H44" si="135">H40-H42-H43</f>
        <v>3710604.1814615196</v>
      </c>
      <c r="I44" s="1893">
        <f t="shared" ref="I44" si="136">SUM(J44:K44)</f>
        <v>6820326.0272453995</v>
      </c>
      <c r="J44" s="1893">
        <f>J40-J42-J43</f>
        <v>2766832.4740600018</v>
      </c>
      <c r="K44" s="1893">
        <f t="shared" ref="K44" si="137">K40-K42-K43</f>
        <v>4053493.5531853978</v>
      </c>
      <c r="L44" s="196">
        <f t="shared" ref="L44" si="138">SUM(M44:N44)</f>
        <v>6971158.3555575442</v>
      </c>
      <c r="M44" s="196">
        <f>M40-M42-M43</f>
        <v>2775599.0719977436</v>
      </c>
      <c r="N44" s="196">
        <f t="shared" ref="N44" si="139">N40-N42-N43</f>
        <v>4195559.2835598001</v>
      </c>
      <c r="O44" s="196">
        <f t="shared" ref="O44" si="140">SUM(P44:Q44)</f>
        <v>7105551.3088786099</v>
      </c>
      <c r="P44" s="196">
        <f>P40-P42-P43</f>
        <v>2846243.4105608924</v>
      </c>
      <c r="Q44" s="196">
        <f>Q40-Q42-Q43</f>
        <v>4259307.898317717</v>
      </c>
      <c r="R44" s="196">
        <f t="shared" ref="R44" si="141">SUM(S44:T44)</f>
        <v>20897035.691681549</v>
      </c>
      <c r="S44" s="300">
        <f t="shared" si="128"/>
        <v>8388674.9566186368</v>
      </c>
      <c r="T44" s="301">
        <f t="shared" si="129"/>
        <v>12508360.735062914</v>
      </c>
      <c r="U44" s="1831">
        <f t="shared" ref="U44" si="142">SUM(V44:W44)</f>
        <v>7463552.5087014139</v>
      </c>
      <c r="V44" s="196">
        <f>V40-V42-V43</f>
        <v>2954741.5885987445</v>
      </c>
      <c r="W44" s="196">
        <f>W40-W42-W43</f>
        <v>4508810.9201026689</v>
      </c>
      <c r="X44" s="297">
        <f t="shared" si="132"/>
        <v>7941763.3492903039</v>
      </c>
      <c r="Y44" s="196">
        <f>Y40-Y42-Y43</f>
        <v>3150361.5946460278</v>
      </c>
      <c r="Z44" s="196">
        <f>Z40-Z42-Z43</f>
        <v>4791401.7546442756</v>
      </c>
      <c r="AA44" s="328">
        <f t="shared" si="133"/>
        <v>8374900.9139140751</v>
      </c>
      <c r="AB44" s="196">
        <f>AB40-AB42-AB43</f>
        <v>3354473.5827662521</v>
      </c>
      <c r="AC44" s="1894">
        <f>AC40-AC42-AC43</f>
        <v>5020427.3311478235</v>
      </c>
    </row>
    <row r="45" spans="1:29" s="31" customFormat="1" ht="18">
      <c r="A45" s="1895">
        <v>3</v>
      </c>
      <c r="B45" s="1896" t="s">
        <v>210</v>
      </c>
      <c r="C45" s="1897"/>
      <c r="D45" s="1897"/>
      <c r="E45" s="1897"/>
      <c r="F45" s="299"/>
      <c r="G45" s="299"/>
      <c r="H45" s="299"/>
      <c r="I45" s="333"/>
      <c r="J45" s="333"/>
      <c r="K45" s="333"/>
      <c r="L45" s="328"/>
      <c r="M45" s="297"/>
      <c r="N45" s="297"/>
      <c r="O45" s="297"/>
      <c r="P45" s="297"/>
      <c r="Q45" s="297"/>
      <c r="R45" s="297"/>
      <c r="S45" s="300">
        <f t="shared" si="128"/>
        <v>0</v>
      </c>
      <c r="T45" s="301">
        <f t="shared" si="129"/>
        <v>0</v>
      </c>
      <c r="U45" s="1833"/>
      <c r="V45" s="297"/>
      <c r="W45" s="297"/>
      <c r="X45" s="297"/>
      <c r="Y45" s="297"/>
      <c r="Z45" s="297"/>
      <c r="AA45" s="328"/>
      <c r="AB45" s="328"/>
      <c r="AC45" s="360"/>
    </row>
    <row r="46" spans="1:29" s="31" customFormat="1" ht="17.399999999999999">
      <c r="A46" s="1895">
        <v>4</v>
      </c>
      <c r="B46" s="1896" t="s">
        <v>176</v>
      </c>
      <c r="C46" s="1898">
        <f>SUM(D46:E46)</f>
        <v>717399.2</v>
      </c>
      <c r="D46" s="1898">
        <f>'Phụ lục số II'!F34</f>
        <v>79139.200000000012</v>
      </c>
      <c r="E46" s="1898">
        <f>'Phụ lục số II'!G34</f>
        <v>638260</v>
      </c>
      <c r="F46" s="298">
        <f>SUM(G46:H46)</f>
        <v>0.40000000001455194</v>
      </c>
      <c r="G46" s="298">
        <f>'Phụ lục số II'!K34</f>
        <v>0.40000000001455194</v>
      </c>
      <c r="H46" s="298">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329">
        <f>SUM(S46:T46)</f>
        <v>0</v>
      </c>
      <c r="S46" s="346">
        <f t="shared" si="128"/>
        <v>0</v>
      </c>
      <c r="T46" s="348">
        <f t="shared" si="129"/>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361">
        <f>'Phụ lục số II'!AP34</f>
        <v>984949.50233643386</v>
      </c>
    </row>
    <row r="47" spans="1:29" s="31" customFormat="1" ht="18">
      <c r="A47" s="1895">
        <v>5</v>
      </c>
      <c r="B47" s="1899" t="s">
        <v>212</v>
      </c>
      <c r="C47" s="1898">
        <f t="shared" ref="C47:C50" si="143">SUM(D47:E47)</f>
        <v>0</v>
      </c>
      <c r="D47" s="1897"/>
      <c r="E47" s="1897"/>
      <c r="F47" s="298">
        <f t="shared" ref="F47:F50" si="144">SUM(G47:H47)</f>
        <v>0</v>
      </c>
      <c r="G47" s="298"/>
      <c r="H47" s="298"/>
      <c r="I47" s="333"/>
      <c r="J47" s="333"/>
      <c r="K47" s="333"/>
      <c r="L47" s="328"/>
      <c r="M47" s="297"/>
      <c r="N47" s="297"/>
      <c r="O47" s="297"/>
      <c r="P47" s="297"/>
      <c r="Q47" s="297"/>
      <c r="R47" s="297"/>
      <c r="S47" s="346">
        <f t="shared" si="128"/>
        <v>0</v>
      </c>
      <c r="T47" s="348">
        <f t="shared" si="129"/>
        <v>0</v>
      </c>
      <c r="U47" s="1833"/>
      <c r="V47" s="297"/>
      <c r="W47" s="297"/>
      <c r="X47" s="297"/>
      <c r="Y47" s="297"/>
      <c r="Z47" s="297"/>
      <c r="AA47" s="328"/>
      <c r="AB47" s="328"/>
      <c r="AC47" s="360"/>
    </row>
    <row r="48" spans="1:29" s="31" customFormat="1" ht="17.399999999999999">
      <c r="A48" s="1895">
        <v>6</v>
      </c>
      <c r="B48" s="1900" t="s">
        <v>174</v>
      </c>
      <c r="C48" s="1898">
        <f t="shared" si="143"/>
        <v>2000</v>
      </c>
      <c r="D48" s="1898">
        <f>'Phụ lục số II'!F32</f>
        <v>2000</v>
      </c>
      <c r="E48" s="1898">
        <f>'Phụ lục số II'!G32</f>
        <v>0</v>
      </c>
      <c r="F48" s="298">
        <f t="shared" si="144"/>
        <v>2000</v>
      </c>
      <c r="G48" s="298">
        <f>'Phụ lục số II'!K32</f>
        <v>2000</v>
      </c>
      <c r="H48" s="298"/>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6000</v>
      </c>
      <c r="S48" s="346">
        <f t="shared" si="128"/>
        <v>6000</v>
      </c>
      <c r="T48" s="348">
        <f t="shared" si="129"/>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361"/>
    </row>
    <row r="49" spans="1:29" s="31" customFormat="1" ht="17.399999999999999">
      <c r="A49" s="1901">
        <v>7</v>
      </c>
      <c r="B49" s="1900" t="s">
        <v>175</v>
      </c>
      <c r="C49" s="1898">
        <f t="shared" si="143"/>
        <v>327868.91231904214</v>
      </c>
      <c r="D49" s="1898">
        <f>'Phụ lục số II'!F33</f>
        <v>152264.36799999999</v>
      </c>
      <c r="E49" s="1898">
        <f>'Phụ lục số II'!G33</f>
        <v>175604.54431904212</v>
      </c>
      <c r="F49" s="298">
        <f t="shared" si="144"/>
        <v>327868.91231904214</v>
      </c>
      <c r="G49" s="298">
        <f>'Phụ lục số II'!K33</f>
        <v>152264.36799999999</v>
      </c>
      <c r="H49" s="298">
        <f>'Phụ lục số II'!L33</f>
        <v>175604.54431904212</v>
      </c>
      <c r="I49" s="334">
        <f t="shared" ref="I49:I50" si="145">SUM(J49:K49)</f>
        <v>354094.47910195083</v>
      </c>
      <c r="J49" s="334">
        <f>'Phụ lục số II'!P33</f>
        <v>183758.07111247999</v>
      </c>
      <c r="K49" s="334">
        <f>'Phụ lục số II'!Q33</f>
        <v>170336.40798947084</v>
      </c>
      <c r="L49" s="45">
        <f t="shared" ref="L49:L50" si="146">SUM(M49:N49)</f>
        <v>356375.03167890699</v>
      </c>
      <c r="M49" s="329">
        <f>'Phụ lục số II'!U33</f>
        <v>184199.09048314992</v>
      </c>
      <c r="N49" s="329">
        <f>'Phụ lục số II'!V33</f>
        <v>172175.9411957571</v>
      </c>
      <c r="O49" s="329">
        <f t="shared" ref="O49:O50" si="147">SUM(P49:Q49)</f>
        <v>362851.10031049303</v>
      </c>
      <c r="P49" s="329">
        <f>'Phụ lục số II'!Z33</f>
        <v>188454.08947331071</v>
      </c>
      <c r="Q49" s="329">
        <f>'Phụ lục số II'!AA33</f>
        <v>174397.01083718234</v>
      </c>
      <c r="R49" s="329">
        <f t="shared" ref="R49:R50" si="148">SUM(S49:T49)</f>
        <v>1073320.6110913509</v>
      </c>
      <c r="S49" s="346">
        <f t="shared" si="128"/>
        <v>556411.25106894062</v>
      </c>
      <c r="T49" s="348">
        <f t="shared" si="129"/>
        <v>516909.36002241028</v>
      </c>
      <c r="U49" s="1834">
        <f t="shared" ref="U49:U50" si="149">SUM(V49:W49)</f>
        <v>388554.57695830194</v>
      </c>
      <c r="V49" s="329">
        <f>'Phụ lục số II'!AE33</f>
        <v>193982.6303761786</v>
      </c>
      <c r="W49" s="329">
        <f>'Phụ lục số II'!AF33</f>
        <v>194571.94658212332</v>
      </c>
      <c r="X49" s="329">
        <f t="shared" ref="X49:X50" si="150">SUM(Y49:Z49)</f>
        <v>413799.67800673621</v>
      </c>
      <c r="Y49" s="329">
        <f>'Phụ lục số II'!AJ33</f>
        <v>210916.72121933621</v>
      </c>
      <c r="Z49" s="329">
        <f>'Phụ lục số II'!AK33</f>
        <v>202882.95678739998</v>
      </c>
      <c r="AA49" s="329">
        <f t="shared" ref="AA49:AA50" si="151">SUM(AB49:AC49)</f>
        <v>455829.86689569859</v>
      </c>
      <c r="AB49" s="329">
        <f>'Phụ lục số II'!AO33</f>
        <v>236213.26913682561</v>
      </c>
      <c r="AC49" s="361">
        <f>'Phụ lục số II'!AP33</f>
        <v>219616.59775887299</v>
      </c>
    </row>
    <row r="50" spans="1:29" s="31" customFormat="1" ht="17.399999999999999">
      <c r="A50" s="1901">
        <v>8</v>
      </c>
      <c r="B50" s="1900" t="s">
        <v>213</v>
      </c>
      <c r="C50" s="1898">
        <f t="shared" si="143"/>
        <v>3000</v>
      </c>
      <c r="D50" s="1898">
        <f>'Phụ lục số II'!F31</f>
        <v>3000</v>
      </c>
      <c r="E50" s="1898">
        <f>'Phụ lục số II'!G31</f>
        <v>0</v>
      </c>
      <c r="F50" s="298">
        <f t="shared" si="144"/>
        <v>3000</v>
      </c>
      <c r="G50" s="298">
        <f>'Phụ lục số II'!K31</f>
        <v>3000</v>
      </c>
      <c r="H50" s="298"/>
      <c r="I50" s="334">
        <f t="shared" si="145"/>
        <v>3000</v>
      </c>
      <c r="J50" s="334">
        <f>'Phụ lục số II'!P31</f>
        <v>3000</v>
      </c>
      <c r="K50" s="334">
        <f>'Phụ lục số II'!Q31</f>
        <v>0</v>
      </c>
      <c r="L50" s="45">
        <f t="shared" si="146"/>
        <v>3000</v>
      </c>
      <c r="M50" s="329">
        <f>'Phụ lục số II'!U31</f>
        <v>3000</v>
      </c>
      <c r="N50" s="329">
        <f>'Phụ lục số II'!V31</f>
        <v>0</v>
      </c>
      <c r="O50" s="329">
        <f t="shared" si="147"/>
        <v>3000</v>
      </c>
      <c r="P50" s="329">
        <f>'Phụ lục số II'!Z31</f>
        <v>3000</v>
      </c>
      <c r="Q50" s="329">
        <f>'Phụ lục số II'!AA31</f>
        <v>0</v>
      </c>
      <c r="R50" s="329">
        <f t="shared" si="148"/>
        <v>9000</v>
      </c>
      <c r="S50" s="346">
        <f t="shared" si="128"/>
        <v>9000</v>
      </c>
      <c r="T50" s="348">
        <f t="shared" si="129"/>
        <v>0</v>
      </c>
      <c r="U50" s="1834">
        <f t="shared" si="149"/>
        <v>3000</v>
      </c>
      <c r="V50" s="329">
        <f>'Phụ lục số II'!AE31</f>
        <v>3000</v>
      </c>
      <c r="W50" s="330"/>
      <c r="X50" s="329">
        <f t="shared" si="150"/>
        <v>3000</v>
      </c>
      <c r="Y50" s="329">
        <f>'Phụ lục số II'!AJ31</f>
        <v>3000</v>
      </c>
      <c r="Z50" s="330"/>
      <c r="AA50" s="329">
        <f t="shared" si="151"/>
        <v>3000</v>
      </c>
      <c r="AB50" s="329">
        <f>'Phụ lục số II'!AO31</f>
        <v>3000</v>
      </c>
      <c r="AC50" s="361"/>
    </row>
    <row r="51" spans="1:29" s="31" customFormat="1" ht="17.399999999999999">
      <c r="A51" s="1895" t="s">
        <v>33</v>
      </c>
      <c r="B51" s="1900" t="s">
        <v>214</v>
      </c>
      <c r="C51" s="1902">
        <f>SUM(D51:E51)</f>
        <v>1988976</v>
      </c>
      <c r="D51" s="1902">
        <f>SUM(D52,D55,D58)</f>
        <v>1988976</v>
      </c>
      <c r="E51" s="1902">
        <f t="shared" ref="E51" si="152">SUM(E52,E55,E58)</f>
        <v>0</v>
      </c>
      <c r="F51" s="344">
        <f>SUM(G51:H51)</f>
        <v>2127535</v>
      </c>
      <c r="G51" s="344">
        <f>SUM(G52,G55,G58)</f>
        <v>2127535</v>
      </c>
      <c r="H51" s="344">
        <f t="shared" ref="H51" si="153">SUM(H52,H55,H58)</f>
        <v>0</v>
      </c>
      <c r="I51" s="1885">
        <f>SUM(J51:K51)</f>
        <v>3676048.8</v>
      </c>
      <c r="J51" s="1885">
        <f>SUM(J52,J55,J58)</f>
        <v>3676048.8</v>
      </c>
      <c r="K51" s="1885">
        <f t="shared" ref="K51" si="154">SUM(K52,K55,K58)</f>
        <v>0</v>
      </c>
      <c r="L51" s="195">
        <f>SUM(M51:N51)</f>
        <v>3676048.8</v>
      </c>
      <c r="M51" s="195">
        <f>SUM(M52,M55,M58)</f>
        <v>3676048.8</v>
      </c>
      <c r="N51" s="195">
        <f t="shared" ref="N51" si="155">SUM(N52,N55,N58)</f>
        <v>0</v>
      </c>
      <c r="O51" s="195">
        <f>SUM(P51:Q51)</f>
        <v>3676048.8</v>
      </c>
      <c r="P51" s="195">
        <f>SUM(P52,P55,P58)</f>
        <v>3676048.8</v>
      </c>
      <c r="Q51" s="195">
        <f t="shared" ref="Q51" si="156">SUM(Q52,Q55,Q58)</f>
        <v>0</v>
      </c>
      <c r="R51" s="195">
        <f>SUM(S51:T51)</f>
        <v>11028146.399999999</v>
      </c>
      <c r="S51" s="346">
        <f t="shared" si="128"/>
        <v>11028146.399999999</v>
      </c>
      <c r="T51" s="348">
        <f t="shared" si="129"/>
        <v>0</v>
      </c>
      <c r="U51" s="1830">
        <f>SUM(V51:W51)</f>
        <v>3676048.8</v>
      </c>
      <c r="V51" s="195">
        <f>SUM(V52,V55,V58)</f>
        <v>3676048.8</v>
      </c>
      <c r="W51" s="195">
        <f t="shared" ref="W51" si="157">SUM(W52,W55,W58)</f>
        <v>0</v>
      </c>
      <c r="X51" s="195">
        <f>SUM(Y51:Z51)</f>
        <v>3676048.8</v>
      </c>
      <c r="Y51" s="195">
        <f>SUM(Y52,Y55,Y58)</f>
        <v>3676048.8</v>
      </c>
      <c r="Z51" s="195">
        <f t="shared" ref="Z51" si="158">SUM(Z52,Z55,Z58)</f>
        <v>0</v>
      </c>
      <c r="AA51" s="195">
        <f>SUM(AB51:AC51)</f>
        <v>3676048.8</v>
      </c>
      <c r="AB51" s="195">
        <f>SUM(AB52,AB55,AB58)</f>
        <v>3676048.8</v>
      </c>
      <c r="AC51" s="1886">
        <f t="shared" ref="AC51" si="159">SUM(AC52,AC55,AC58)</f>
        <v>0</v>
      </c>
    </row>
    <row r="52" spans="1:29" ht="18">
      <c r="A52" s="1887">
        <v>1</v>
      </c>
      <c r="B52" s="1903" t="s">
        <v>178</v>
      </c>
      <c r="C52" s="1866">
        <f t="shared" ref="C52" si="160">SUM(D52:E52)</f>
        <v>1814491</v>
      </c>
      <c r="D52" s="1866">
        <f>SUM(D53:D54)</f>
        <v>1814491</v>
      </c>
      <c r="E52" s="1866">
        <f t="shared" ref="E52" si="161">SUM(E53:E54)</f>
        <v>0</v>
      </c>
      <c r="F52" s="350">
        <f t="shared" ref="F52" si="162">SUM(G52:H52)</f>
        <v>1814491</v>
      </c>
      <c r="G52" s="350">
        <f>SUM(G53:G54)</f>
        <v>1814491</v>
      </c>
      <c r="H52" s="350">
        <f t="shared" ref="H52" si="163">SUM(H53:H54)</f>
        <v>0</v>
      </c>
      <c r="I52" s="1893">
        <f t="shared" ref="I52" si="164">SUM(J52:K52)</f>
        <v>3101719</v>
      </c>
      <c r="J52" s="1893">
        <f>SUM(J53:J54)</f>
        <v>3101719</v>
      </c>
      <c r="K52" s="1893">
        <f t="shared" ref="K52" si="165">SUM(K53:K54)</f>
        <v>0</v>
      </c>
      <c r="L52" s="196">
        <f t="shared" ref="L52" si="166">SUM(M52:N52)</f>
        <v>3101719</v>
      </c>
      <c r="M52" s="196">
        <f>SUM(M53:M54)</f>
        <v>3101719</v>
      </c>
      <c r="N52" s="196">
        <f t="shared" ref="N52" si="167">SUM(N53:N54)</f>
        <v>0</v>
      </c>
      <c r="O52" s="328">
        <f>SUM(O53:O54)</f>
        <v>3101719</v>
      </c>
      <c r="P52" s="328">
        <f t="shared" ref="P52:Q52" si="168">SUM(P53:P54)</f>
        <v>3101719</v>
      </c>
      <c r="Q52" s="328">
        <f t="shared" si="168"/>
        <v>0</v>
      </c>
      <c r="R52" s="328">
        <f>SUM(R53:R54)</f>
        <v>9305157</v>
      </c>
      <c r="S52" s="300">
        <f t="shared" si="128"/>
        <v>9305157</v>
      </c>
      <c r="T52" s="301">
        <f t="shared" si="129"/>
        <v>0</v>
      </c>
      <c r="U52" s="1835">
        <f>SUM(U53:U54)</f>
        <v>3101719</v>
      </c>
      <c r="V52" s="328">
        <f t="shared" ref="V52:W52" si="169">SUM(V53:V54)</f>
        <v>3101719</v>
      </c>
      <c r="W52" s="328">
        <f t="shared" si="169"/>
        <v>0</v>
      </c>
      <c r="X52" s="328">
        <f>SUM(X53:X54)</f>
        <v>3101719</v>
      </c>
      <c r="Y52" s="328">
        <f t="shared" ref="Y52:Z52" si="170">SUM(Y53:Y54)</f>
        <v>3101719</v>
      </c>
      <c r="Z52" s="328">
        <f t="shared" si="170"/>
        <v>0</v>
      </c>
      <c r="AA52" s="328">
        <f>SUM(AA53:AA54)</f>
        <v>3101719</v>
      </c>
      <c r="AB52" s="328">
        <f t="shared" ref="AB52:AC52" si="171">SUM(AB53:AB54)</f>
        <v>3101719</v>
      </c>
      <c r="AC52" s="360">
        <f t="shared" si="171"/>
        <v>0</v>
      </c>
    </row>
    <row r="53" spans="1:29" ht="18" hidden="1">
      <c r="A53" s="1887" t="s">
        <v>99</v>
      </c>
      <c r="B53" s="1903" t="s">
        <v>100</v>
      </c>
      <c r="C53" s="1866">
        <f>SUM(D53:E53)</f>
        <v>1681570</v>
      </c>
      <c r="D53" s="1866">
        <f>'Phụ lục số II'!F37</f>
        <v>1681570</v>
      </c>
      <c r="E53" s="1866"/>
      <c r="F53" s="299">
        <f>SUM(G53:H53)</f>
        <v>1681570</v>
      </c>
      <c r="G53" s="299">
        <f>'Phụ lục số II'!K37</f>
        <v>1681570</v>
      </c>
      <c r="H53" s="299">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8911440</v>
      </c>
      <c r="S53" s="300">
        <f t="shared" si="128"/>
        <v>8911440</v>
      </c>
      <c r="T53" s="301">
        <f t="shared" si="129"/>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360"/>
    </row>
    <row r="54" spans="1:29" ht="18" hidden="1">
      <c r="A54" s="1887" t="s">
        <v>101</v>
      </c>
      <c r="B54" s="1903" t="s">
        <v>102</v>
      </c>
      <c r="C54" s="1866">
        <f t="shared" ref="C54:C55" si="172">SUM(D54:E54)</f>
        <v>132921</v>
      </c>
      <c r="D54" s="1866">
        <f>'Phụ lục số II'!F38</f>
        <v>132921</v>
      </c>
      <c r="E54" s="1866"/>
      <c r="F54" s="299">
        <f>SUM(G54:H54)</f>
        <v>132921</v>
      </c>
      <c r="G54" s="299">
        <f>'Phụ lục số II'!K38</f>
        <v>132921</v>
      </c>
      <c r="H54" s="299">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393717</v>
      </c>
      <c r="S54" s="346">
        <f t="shared" si="128"/>
        <v>393717</v>
      </c>
      <c r="T54" s="348">
        <f t="shared" si="129"/>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360"/>
    </row>
    <row r="55" spans="1:29" ht="18">
      <c r="A55" s="1887">
        <v>2</v>
      </c>
      <c r="B55" s="1903" t="s">
        <v>179</v>
      </c>
      <c r="C55" s="1866">
        <f t="shared" si="172"/>
        <v>174485</v>
      </c>
      <c r="D55" s="1866">
        <f>SUM(D56:D57)</f>
        <v>174485</v>
      </c>
      <c r="E55" s="1866">
        <f t="shared" ref="E55" si="173">SUM(E56:E57)</f>
        <v>0</v>
      </c>
      <c r="F55" s="350">
        <f t="shared" ref="F55" si="174">SUM(G55:H55)</f>
        <v>174485</v>
      </c>
      <c r="G55" s="350">
        <f>SUM(G56:G57)</f>
        <v>174485</v>
      </c>
      <c r="H55" s="350">
        <f t="shared" ref="H55" si="175">SUM(H56:H57)</f>
        <v>0</v>
      </c>
      <c r="I55" s="1893">
        <f t="shared" ref="I55" si="176">SUM(J55:K55)</f>
        <v>195063.8</v>
      </c>
      <c r="J55" s="1893">
        <f>SUM(J56:J57)</f>
        <v>195063.8</v>
      </c>
      <c r="K55" s="1893">
        <f t="shared" ref="K55" si="177">SUM(K56:K57)</f>
        <v>0</v>
      </c>
      <c r="L55" s="196">
        <f t="shared" ref="L55" si="178">SUM(M55:N55)</f>
        <v>195063.8</v>
      </c>
      <c r="M55" s="196">
        <f>SUM(M56:M57)</f>
        <v>195063.8</v>
      </c>
      <c r="N55" s="196">
        <f t="shared" ref="N55" si="179">SUM(N56:N57)</f>
        <v>0</v>
      </c>
      <c r="O55" s="328">
        <f>SUM(O56:O57)</f>
        <v>195063.8</v>
      </c>
      <c r="P55" s="328">
        <f t="shared" ref="P55:Q55" si="180">SUM(P56:P57)</f>
        <v>195063.8</v>
      </c>
      <c r="Q55" s="328">
        <f t="shared" si="180"/>
        <v>0</v>
      </c>
      <c r="R55" s="328">
        <f>SUM(R56:R57)</f>
        <v>585191.4</v>
      </c>
      <c r="S55" s="300">
        <f t="shared" si="128"/>
        <v>585191.39999999991</v>
      </c>
      <c r="T55" s="301">
        <f t="shared" si="129"/>
        <v>0</v>
      </c>
      <c r="U55" s="1835">
        <f>SUM(U56:U57)</f>
        <v>195063.8</v>
      </c>
      <c r="V55" s="328">
        <f t="shared" ref="V55:W55" si="181">SUM(V56:V57)</f>
        <v>195063.8</v>
      </c>
      <c r="W55" s="328">
        <f t="shared" si="181"/>
        <v>0</v>
      </c>
      <c r="X55" s="328">
        <f>SUM(X56:X57)</f>
        <v>195063.8</v>
      </c>
      <c r="Y55" s="328">
        <f t="shared" ref="Y55:Z55" si="182">SUM(Y56:Y57)</f>
        <v>195063.8</v>
      </c>
      <c r="Z55" s="328">
        <f t="shared" si="182"/>
        <v>0</v>
      </c>
      <c r="AA55" s="328">
        <f>SUM(AA56:AA57)</f>
        <v>195063.8</v>
      </c>
      <c r="AB55" s="328">
        <f t="shared" ref="AB55:AC55" si="183">SUM(AB56:AB57)</f>
        <v>195063.8</v>
      </c>
      <c r="AC55" s="360">
        <f t="shared" si="183"/>
        <v>0</v>
      </c>
    </row>
    <row r="56" spans="1:29" ht="18" hidden="1">
      <c r="A56" s="1887" t="s">
        <v>99</v>
      </c>
      <c r="B56" s="1903" t="s">
        <v>103</v>
      </c>
      <c r="C56" s="1866">
        <f>SUM(D56:E56)</f>
        <v>72469</v>
      </c>
      <c r="D56" s="1866">
        <f>'Phụ lục số II'!F40</f>
        <v>72469</v>
      </c>
      <c r="E56" s="1866"/>
      <c r="F56" s="299">
        <f>SUM(G56:H56)</f>
        <v>72469</v>
      </c>
      <c r="G56" s="299">
        <f>'Phụ lục số II'!K40</f>
        <v>72469</v>
      </c>
      <c r="H56" s="299">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260888.40000000002</v>
      </c>
      <c r="S56" s="300">
        <f t="shared" si="128"/>
        <v>260888.40000000002</v>
      </c>
      <c r="T56" s="301">
        <f t="shared" si="129"/>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360"/>
    </row>
    <row r="57" spans="1:29" ht="18" hidden="1">
      <c r="A57" s="1887" t="s">
        <v>101</v>
      </c>
      <c r="B57" s="1903" t="s">
        <v>102</v>
      </c>
      <c r="C57" s="1866">
        <f t="shared" ref="C57:C61" si="184">SUM(D57:E57)</f>
        <v>102016</v>
      </c>
      <c r="D57" s="1866">
        <f>'Phụ lục số II'!F41</f>
        <v>102016</v>
      </c>
      <c r="E57" s="1866"/>
      <c r="F57" s="299">
        <f>SUM(G57:H57)</f>
        <v>102016</v>
      </c>
      <c r="G57" s="299">
        <f>'Phụ lục số II'!K41</f>
        <v>102016</v>
      </c>
      <c r="H57" s="299">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324303</v>
      </c>
      <c r="S57" s="346">
        <f t="shared" si="128"/>
        <v>324303</v>
      </c>
      <c r="T57" s="348">
        <f t="shared" si="129"/>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360"/>
    </row>
    <row r="58" spans="1:29" ht="18">
      <c r="A58" s="1887">
        <v>3</v>
      </c>
      <c r="B58" s="1903" t="s">
        <v>180</v>
      </c>
      <c r="C58" s="1866">
        <f t="shared" si="184"/>
        <v>0</v>
      </c>
      <c r="D58" s="1866">
        <f>SUM(D59:D60)</f>
        <v>0</v>
      </c>
      <c r="E58" s="1866">
        <f t="shared" ref="E58" si="185">SUM(E59:E60)</f>
        <v>0</v>
      </c>
      <c r="F58" s="299">
        <f>SUM(F59:F60)</f>
        <v>138559</v>
      </c>
      <c r="G58" s="299">
        <f t="shared" ref="G58:H58" si="186">SUM(G59:G60)</f>
        <v>138559</v>
      </c>
      <c r="H58" s="299">
        <f t="shared" si="186"/>
        <v>0</v>
      </c>
      <c r="I58" s="333">
        <f>SUM(I59:I60)</f>
        <v>379266</v>
      </c>
      <c r="J58" s="333">
        <f t="shared" ref="J58:K58" si="187">SUM(J59:J60)</f>
        <v>379266</v>
      </c>
      <c r="K58" s="333">
        <f t="shared" si="187"/>
        <v>0</v>
      </c>
      <c r="L58" s="46">
        <f>SUM(L59:L60)</f>
        <v>379266</v>
      </c>
      <c r="M58" s="46">
        <f t="shared" ref="M58:N58" si="188">SUM(M59:M60)</f>
        <v>379266</v>
      </c>
      <c r="N58" s="46">
        <f t="shared" si="188"/>
        <v>0</v>
      </c>
      <c r="O58" s="328">
        <f>SUM(O59:O60)</f>
        <v>379266</v>
      </c>
      <c r="P58" s="328">
        <f t="shared" ref="P58:Q58" si="189">SUM(P59:P60)</f>
        <v>379266</v>
      </c>
      <c r="Q58" s="328">
        <f t="shared" si="189"/>
        <v>0</v>
      </c>
      <c r="R58" s="328">
        <f>SUM(R59:R60)</f>
        <v>1137798</v>
      </c>
      <c r="S58" s="346">
        <f t="shared" si="128"/>
        <v>1137798</v>
      </c>
      <c r="T58" s="348">
        <f t="shared" si="129"/>
        <v>0</v>
      </c>
      <c r="U58" s="1833">
        <f>SUM(U59:U60)</f>
        <v>379266</v>
      </c>
      <c r="V58" s="297">
        <f t="shared" ref="V58:W58" si="190">SUM(V59:V60)</f>
        <v>379266</v>
      </c>
      <c r="W58" s="297">
        <f t="shared" si="190"/>
        <v>0</v>
      </c>
      <c r="X58" s="297">
        <f>SUM(X59:X60)</f>
        <v>379266</v>
      </c>
      <c r="Y58" s="297">
        <f t="shared" ref="Y58:Z58" si="191">SUM(Y59:Y60)</f>
        <v>379266</v>
      </c>
      <c r="Z58" s="297">
        <f t="shared" si="191"/>
        <v>0</v>
      </c>
      <c r="AA58" s="328">
        <f>SUM(AA59:AA60)</f>
        <v>379266</v>
      </c>
      <c r="AB58" s="328">
        <f t="shared" ref="AB58:AC58" si="192">SUM(AB59:AB60)</f>
        <v>379266</v>
      </c>
      <c r="AC58" s="360">
        <f t="shared" si="192"/>
        <v>0</v>
      </c>
    </row>
    <row r="59" spans="1:29" ht="18" hidden="1">
      <c r="A59" s="1887" t="s">
        <v>99</v>
      </c>
      <c r="B59" s="1903" t="s">
        <v>104</v>
      </c>
      <c r="C59" s="1866">
        <f t="shared" si="184"/>
        <v>0</v>
      </c>
      <c r="D59" s="1866"/>
      <c r="E59" s="1866"/>
      <c r="F59" s="299">
        <f>SUM(G59:H59)</f>
        <v>0</v>
      </c>
      <c r="G59" s="299">
        <f>'Phụ lục số II'!K43</f>
        <v>0</v>
      </c>
      <c r="H59" s="299">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00">
        <f t="shared" si="128"/>
        <v>0</v>
      </c>
      <c r="T59" s="301">
        <f t="shared" si="129"/>
        <v>0</v>
      </c>
      <c r="U59" s="1835">
        <f>SUM(V59:W59)</f>
        <v>0</v>
      </c>
      <c r="V59" s="328">
        <f>'Phụ lục số II'!AE43</f>
        <v>0</v>
      </c>
      <c r="W59" s="297"/>
      <c r="X59" s="328">
        <f>SUM(Y59:Z59)</f>
        <v>0</v>
      </c>
      <c r="Y59" s="328">
        <f>'Phụ lục số II'!AJ43</f>
        <v>0</v>
      </c>
      <c r="Z59" s="297"/>
      <c r="AA59" s="328">
        <f>SUM(AB59:AC59)</f>
        <v>0</v>
      </c>
      <c r="AB59" s="328">
        <f>'Phụ lục số II'!AO43</f>
        <v>0</v>
      </c>
      <c r="AC59" s="360"/>
    </row>
    <row r="60" spans="1:29" ht="18" hidden="1">
      <c r="A60" s="1887" t="s">
        <v>101</v>
      </c>
      <c r="B60" s="1903" t="s">
        <v>105</v>
      </c>
      <c r="C60" s="1866">
        <f t="shared" si="184"/>
        <v>0</v>
      </c>
      <c r="D60" s="1866"/>
      <c r="E60" s="1866"/>
      <c r="F60" s="299">
        <f>SUM(G60:H60)</f>
        <v>138559</v>
      </c>
      <c r="G60" s="299">
        <f>'Phụ lục số II'!K44</f>
        <v>138559</v>
      </c>
      <c r="H60" s="299">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1137798</v>
      </c>
      <c r="S60" s="300">
        <f t="shared" si="128"/>
        <v>1137798</v>
      </c>
      <c r="T60" s="301">
        <f t="shared" si="129"/>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360"/>
    </row>
    <row r="61" spans="1:29" ht="18">
      <c r="A61" s="1864" t="s">
        <v>182</v>
      </c>
      <c r="B61" s="1904" t="s">
        <v>181</v>
      </c>
      <c r="C61" s="1902">
        <f t="shared" si="184"/>
        <v>0</v>
      </c>
      <c r="D61" s="1866"/>
      <c r="E61" s="1866"/>
      <c r="F61" s="298">
        <f>SUM(G61:H61)</f>
        <v>0</v>
      </c>
      <c r="G61" s="299"/>
      <c r="H61" s="299"/>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46">
        <f t="shared" si="128"/>
        <v>0</v>
      </c>
      <c r="T61" s="348">
        <f t="shared" si="129"/>
        <v>0</v>
      </c>
      <c r="U61" s="1834">
        <f>SUM(V61:W61)</f>
        <v>0</v>
      </c>
      <c r="V61" s="329">
        <f>'Phụ lục số II'!AE45</f>
        <v>0</v>
      </c>
      <c r="W61" s="297"/>
      <c r="X61" s="329">
        <f>SUM(Y61:Z61)</f>
        <v>0</v>
      </c>
      <c r="Y61" s="329">
        <f>'Phụ lục số II'!AJ45</f>
        <v>0</v>
      </c>
      <c r="Z61" s="297"/>
      <c r="AA61" s="329">
        <f>SUM(AB61:AC61)</f>
        <v>0</v>
      </c>
      <c r="AB61" s="329">
        <f>'Phụ lục số II'!AO45</f>
        <v>0</v>
      </c>
      <c r="AC61" s="360"/>
    </row>
    <row r="62" spans="1:29" ht="17.399999999999999">
      <c r="A62" s="1864" t="s">
        <v>215</v>
      </c>
      <c r="B62" s="1865" t="s">
        <v>216</v>
      </c>
      <c r="C62" s="1866"/>
      <c r="D62" s="1866"/>
      <c r="E62" s="1866"/>
      <c r="F62" s="298">
        <f>SUM(G62:H62)</f>
        <v>0</v>
      </c>
      <c r="G62" s="298">
        <f>H18</f>
        <v>0</v>
      </c>
      <c r="H62" s="298"/>
      <c r="I62" s="1905">
        <f>SUM(J62:K62)</f>
        <v>0</v>
      </c>
      <c r="J62" s="1906"/>
      <c r="K62" s="1906"/>
      <c r="L62" s="1907"/>
      <c r="M62" s="1907"/>
      <c r="N62" s="1907"/>
      <c r="O62" s="1907"/>
      <c r="P62" s="1907"/>
      <c r="Q62" s="1907"/>
      <c r="R62" s="1907"/>
      <c r="S62" s="346">
        <f t="shared" si="128"/>
        <v>0</v>
      </c>
      <c r="T62" s="348">
        <f t="shared" si="129"/>
        <v>0</v>
      </c>
      <c r="U62" s="1908"/>
      <c r="V62" s="1907"/>
      <c r="W62" s="1907"/>
      <c r="X62" s="1907"/>
      <c r="Y62" s="1907"/>
      <c r="Z62" s="1907"/>
      <c r="AA62" s="1909"/>
      <c r="AB62" s="1909"/>
      <c r="AC62" s="1910"/>
    </row>
    <row r="63" spans="1:29" s="48" customFormat="1" ht="17.399999999999999">
      <c r="A63" s="1880" t="s">
        <v>44</v>
      </c>
      <c r="B63" s="1911" t="s">
        <v>217</v>
      </c>
      <c r="C63" s="1912">
        <f>SUM(D63:E63)</f>
        <v>8.4000000730156898E-2</v>
      </c>
      <c r="D63" s="1912">
        <f>D8-D32</f>
        <v>5083323.432</v>
      </c>
      <c r="E63" s="1912">
        <f>E8-E32</f>
        <v>-5083323.3479999993</v>
      </c>
      <c r="F63" s="1913">
        <f>G63+H63</f>
        <v>-0.16189207229763269</v>
      </c>
      <c r="G63" s="1913">
        <f>G8-G32-0.1</f>
        <v>5378965.2017461099</v>
      </c>
      <c r="H63" s="1913">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1914">
        <f>S63+T63</f>
        <v>-3.4288085997104645E-2</v>
      </c>
      <c r="S63" s="338">
        <f>+J63+M63+P63</f>
        <v>21623682.963099115</v>
      </c>
      <c r="T63" s="363">
        <f>+K63+N63+Q63</f>
        <v>-21623682.997387201</v>
      </c>
      <c r="U63" s="1915">
        <f>V63+W63</f>
        <v>-616133.2373663839</v>
      </c>
      <c r="V63" s="338">
        <f>V8-V32</f>
        <v>6703144.6610754654</v>
      </c>
      <c r="W63" s="338">
        <f>W8-W32</f>
        <v>-7319277.8984418493</v>
      </c>
      <c r="X63" s="338">
        <f>Y63+Z63</f>
        <v>-284136.44699073769</v>
      </c>
      <c r="Y63" s="338">
        <f>Y8-Y32</f>
        <v>6892051.3214874081</v>
      </c>
      <c r="Z63" s="338">
        <f>Z8-Z32</f>
        <v>-7176187.7684781458</v>
      </c>
      <c r="AA63" s="338">
        <f>AB63+AC63</f>
        <v>-288529.84032297414</v>
      </c>
      <c r="AB63" s="338">
        <f>AB8-AB32</f>
        <v>6898846.4742664658</v>
      </c>
      <c r="AC63" s="363">
        <f>AC8-AC32</f>
        <v>-7187376.3145894399</v>
      </c>
    </row>
    <row r="64" spans="1:29" ht="14.4" thickBot="1">
      <c r="A64" s="1916"/>
      <c r="B64" s="1917"/>
      <c r="C64" s="1917"/>
      <c r="D64" s="1917"/>
      <c r="E64" s="1917"/>
      <c r="F64" s="1918"/>
      <c r="G64" s="1918"/>
      <c r="H64" s="1918"/>
      <c r="I64" s="1917"/>
      <c r="J64" s="1917"/>
      <c r="K64" s="1917"/>
      <c r="L64" s="1917"/>
      <c r="M64" s="1917"/>
      <c r="N64" s="1917"/>
      <c r="O64" s="1917"/>
      <c r="P64" s="1917"/>
      <c r="Q64" s="1917"/>
      <c r="R64" s="1917"/>
      <c r="S64" s="1917"/>
      <c r="T64" s="1919"/>
      <c r="U64" s="1920"/>
      <c r="V64" s="1917"/>
      <c r="W64" s="1917"/>
      <c r="X64" s="1917"/>
      <c r="Y64" s="1917"/>
      <c r="Z64" s="1917"/>
      <c r="AA64" s="1917"/>
      <c r="AB64" s="1917"/>
      <c r="AC64" s="1919"/>
    </row>
    <row r="65" spans="1:29" ht="14.4" thickTop="1"/>
    <row r="66" spans="1:29">
      <c r="G66" s="32"/>
    </row>
    <row r="67" spans="1:29" s="31" customFormat="1" hidden="1">
      <c r="B67" s="31" t="s">
        <v>734</v>
      </c>
    </row>
    <row r="68" spans="1:29" hidden="1"/>
    <row r="69" spans="1:29" hidden="1">
      <c r="A69" s="672"/>
      <c r="B69" s="672"/>
      <c r="C69" s="672"/>
      <c r="D69" s="672"/>
      <c r="E69" s="672"/>
      <c r="F69" s="672"/>
      <c r="G69" s="672"/>
      <c r="H69" s="672"/>
      <c r="I69" s="6090" t="s">
        <v>746</v>
      </c>
      <c r="J69" s="6090"/>
      <c r="K69" s="6090"/>
      <c r="L69" s="6087" t="s">
        <v>747</v>
      </c>
      <c r="M69" s="6088"/>
      <c r="N69" s="6089"/>
      <c r="O69" s="6087" t="s">
        <v>748</v>
      </c>
      <c r="P69" s="6088"/>
      <c r="Q69" s="6089"/>
      <c r="R69" s="1921"/>
      <c r="S69" s="1921"/>
      <c r="T69" s="1921"/>
      <c r="U69" s="6087" t="s">
        <v>749</v>
      </c>
      <c r="V69" s="6088"/>
      <c r="W69" s="6089"/>
      <c r="X69" s="6087" t="s">
        <v>750</v>
      </c>
      <c r="Y69" s="6088"/>
      <c r="Z69" s="6089"/>
      <c r="AA69" s="6087" t="s">
        <v>751</v>
      </c>
      <c r="AB69" s="6088"/>
      <c r="AC69" s="6089"/>
    </row>
    <row r="70" spans="1:29" hidden="1">
      <c r="A70" s="671" t="s">
        <v>247</v>
      </c>
      <c r="B70" s="671" t="s">
        <v>735</v>
      </c>
      <c r="C70" s="672"/>
      <c r="D70" s="672"/>
      <c r="E70" s="672"/>
      <c r="F70" s="672"/>
      <c r="G70" s="672"/>
      <c r="H70" s="672"/>
      <c r="I70" s="678">
        <f>+I71+I77+I81+I82+I83+I84</f>
        <v>1186859.9558015796</v>
      </c>
      <c r="J70" s="678">
        <f>+J71+J77+J81+J82+J83+J84</f>
        <v>160869.24397248175</v>
      </c>
      <c r="K70" s="678">
        <f t="shared" ref="K70" si="193">+K71+K77+K81+K82+K83+K84</f>
        <v>1025990.7118290975</v>
      </c>
      <c r="L70" s="678">
        <f>+L71+L77+L81+L82+L83+L84</f>
        <v>150080.23856681105</v>
      </c>
      <c r="M70" s="678">
        <f>+M71+M77+M81+M82+M83+M84</f>
        <v>43583.68713753156</v>
      </c>
      <c r="N70" s="678">
        <f t="shared" ref="N70" si="194">+N71+N77+N81+N82+N83+N84</f>
        <v>106496.5514292795</v>
      </c>
      <c r="O70" s="678">
        <f>+O71+O77+O81+O82+O83+O84</f>
        <v>164080.48575687091</v>
      </c>
      <c r="P70" s="678">
        <f t="shared" ref="P70:Q70" si="195">+P71+P77+P81+P82+P83+P84</f>
        <v>117120.09687164251</v>
      </c>
      <c r="Q70" s="678">
        <f t="shared" si="195"/>
        <v>46960.3888852284</v>
      </c>
      <c r="R70" s="678"/>
      <c r="S70" s="678"/>
      <c r="T70" s="678"/>
      <c r="U70" s="678">
        <f>+U71+U77+U81+U82+U83+U84</f>
        <v>3047535.3765878812</v>
      </c>
      <c r="V70" s="678">
        <f t="shared" ref="V70:W70" si="196">+V71+V77+V81+V82+V83+V84</f>
        <v>1637311.8925931044</v>
      </c>
      <c r="W70" s="678">
        <f t="shared" si="196"/>
        <v>1410223.4839947771</v>
      </c>
      <c r="X70" s="678">
        <f>+X71+X77+X81+X82+X83+X84</f>
        <v>1752039.3102417402</v>
      </c>
      <c r="Y70" s="678">
        <f t="shared" ref="Y70:Z70" si="197">+Y71+Y77+Y81+Y82+Y83+Y84</f>
        <v>890425.59727036522</v>
      </c>
      <c r="Z70" s="678">
        <f t="shared" si="197"/>
        <v>861613.71297137521</v>
      </c>
      <c r="AA70" s="678">
        <f>+AA71+AA77+AA81+AA82+AA83+AA84</f>
        <v>1643101.0123774426</v>
      </c>
      <c r="AB70" s="678">
        <f t="shared" ref="AB70:AC70" si="198">+AB71+AB77+AB81+AB82+AB83+AB84</f>
        <v>746373.40460812242</v>
      </c>
      <c r="AC70" s="678">
        <f t="shared" si="198"/>
        <v>896727.60776932025</v>
      </c>
    </row>
    <row r="71" spans="1:29" ht="17.399999999999999" hidden="1">
      <c r="A71" s="33" t="s">
        <v>3</v>
      </c>
      <c r="B71" s="673" t="s">
        <v>736</v>
      </c>
      <c r="C71" s="674"/>
      <c r="D71" s="674"/>
      <c r="E71" s="674"/>
      <c r="F71" s="674"/>
      <c r="G71" s="674"/>
      <c r="H71" s="674"/>
      <c r="I71" s="676">
        <f>SUM(I72:I76)</f>
        <v>-380445.20753999997</v>
      </c>
      <c r="J71" s="676">
        <f t="shared" ref="J71:K71" si="199">SUM(J72:J76)</f>
        <v>-497445.20753999997</v>
      </c>
      <c r="K71" s="676">
        <f t="shared" si="199"/>
        <v>117000</v>
      </c>
      <c r="L71" s="676">
        <f>SUM(L72:L76)</f>
        <v>-58584.492109296029</v>
      </c>
      <c r="M71" s="676">
        <f t="shared" ref="M71:N71" si="200">SUM(M72:M76)</f>
        <v>31415.507890703971</v>
      </c>
      <c r="N71" s="676">
        <f t="shared" si="200"/>
        <v>-90000</v>
      </c>
      <c r="O71" s="676">
        <f>SUM(O72:O76)</f>
        <v>-68848.133043987327</v>
      </c>
      <c r="P71" s="676">
        <f t="shared" ref="P71:Q71" si="201">SUM(P72:P76)</f>
        <v>13656.961680301349</v>
      </c>
      <c r="Q71" s="676">
        <f t="shared" si="201"/>
        <v>-82505.094724288676</v>
      </c>
      <c r="R71" s="676"/>
      <c r="S71" s="676"/>
      <c r="T71" s="676"/>
      <c r="U71" s="676">
        <f>SUM(U72:U76)</f>
        <v>1220079.445796323</v>
      </c>
      <c r="V71" s="676">
        <f t="shared" ref="V71:W71" si="202">SUM(V72:V76)</f>
        <v>957744.55679849465</v>
      </c>
      <c r="W71" s="676">
        <f t="shared" si="202"/>
        <v>262334.88899782824</v>
      </c>
      <c r="X71" s="676">
        <f>SUM(X72:X76)</f>
        <v>432339.74820876529</v>
      </c>
      <c r="Y71" s="676">
        <f t="shared" ref="Y71:Z71" si="203">SUM(Y72:Y76)</f>
        <v>293685.68598088564</v>
      </c>
      <c r="Z71" s="676">
        <f t="shared" si="203"/>
        <v>138654.06222787965</v>
      </c>
      <c r="AA71" s="676">
        <f>SUM(AA72:AA76)</f>
        <v>467871.69831924641</v>
      </c>
      <c r="AB71" s="676">
        <f t="shared" ref="AB71:AC71" si="204">SUM(AB72:AB76)</f>
        <v>248992.17287746933</v>
      </c>
      <c r="AC71" s="676">
        <f t="shared" si="204"/>
        <v>218879.52544177708</v>
      </c>
    </row>
    <row r="72" spans="1:29"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c r="S72" s="41"/>
      <c r="T72" s="41"/>
      <c r="U72" s="41">
        <f>SUM(V72:W72)</f>
        <v>140079.44579632289</v>
      </c>
      <c r="V72" s="41">
        <f t="shared" ref="V72:W76" si="205">+V35-P35</f>
        <v>57744.556798494654</v>
      </c>
      <c r="W72" s="41">
        <f t="shared" si="205"/>
        <v>82334.888997828239</v>
      </c>
      <c r="X72" s="41">
        <f>SUM(Y72:Z72)</f>
        <v>142339.74820876529</v>
      </c>
      <c r="Y72" s="41">
        <f>+Y35-V35</f>
        <v>93685.685980885639</v>
      </c>
      <c r="Z72" s="41">
        <f>+Z35-W35</f>
        <v>48654.062227879651</v>
      </c>
      <c r="AA72" s="41">
        <f>SUM(AB72:AC72)</f>
        <v>132871.69831924641</v>
      </c>
      <c r="AB72" s="41">
        <f>+AB35-Y35</f>
        <v>48992.172877469333</v>
      </c>
      <c r="AC72" s="41">
        <f>+AC35-Z35</f>
        <v>83879.525441777078</v>
      </c>
    </row>
    <row r="73" spans="1:29" ht="18" hidden="1">
      <c r="A73" s="34"/>
      <c r="B73" s="669" t="str">
        <f t="shared" ref="B73:B76" si="206">+B36</f>
        <v>Chi đầu tư từ nguồn thu tiền sử dụng đất</v>
      </c>
      <c r="C73" s="35"/>
      <c r="D73" s="35"/>
      <c r="E73" s="35"/>
      <c r="F73" s="35"/>
      <c r="G73" s="35"/>
      <c r="H73" s="35"/>
      <c r="I73" s="41">
        <f t="shared" ref="I73:I76" si="207">SUM(J73:K73)</f>
        <v>-110000</v>
      </c>
      <c r="J73" s="41">
        <f t="shared" ref="J73:K76" si="208">+J36-D36</f>
        <v>-227000</v>
      </c>
      <c r="K73" s="41">
        <f t="shared" si="208"/>
        <v>117000</v>
      </c>
      <c r="L73" s="41">
        <f t="shared" ref="L73:L76" si="209">SUM(M73:N73)</f>
        <v>-90000</v>
      </c>
      <c r="M73" s="41">
        <f t="shared" ref="M73:N76" si="210">+M36-J36</f>
        <v>0</v>
      </c>
      <c r="N73" s="41">
        <f t="shared" si="210"/>
        <v>-90000</v>
      </c>
      <c r="O73" s="41">
        <f t="shared" ref="O73:O76" si="211">SUM(P73:Q73)</f>
        <v>-90000</v>
      </c>
      <c r="P73" s="41">
        <f t="shared" ref="P73:Q76" si="212">+P36-M36</f>
        <v>0</v>
      </c>
      <c r="Q73" s="41">
        <f t="shared" si="212"/>
        <v>-90000</v>
      </c>
      <c r="R73" s="41"/>
      <c r="S73" s="41"/>
      <c r="T73" s="41"/>
      <c r="U73" s="41">
        <f t="shared" ref="U73:U76" si="213">SUM(V73:W73)</f>
        <v>180000</v>
      </c>
      <c r="V73" s="41">
        <f t="shared" si="205"/>
        <v>0</v>
      </c>
      <c r="W73" s="41">
        <f t="shared" si="205"/>
        <v>180000</v>
      </c>
      <c r="X73" s="41">
        <f t="shared" ref="X73:X76" si="214">SUM(Y73:Z73)</f>
        <v>140000</v>
      </c>
      <c r="Y73" s="41">
        <f t="shared" ref="Y73:Z76" si="215">+Y36-V36</f>
        <v>50000</v>
      </c>
      <c r="Z73" s="41">
        <f t="shared" si="215"/>
        <v>90000</v>
      </c>
      <c r="AA73" s="41">
        <f t="shared" ref="AA73:AA76" si="216">SUM(AB73:AC73)</f>
        <v>135000</v>
      </c>
      <c r="AB73" s="41">
        <f t="shared" ref="AB73:AC76" si="217">+AB36-Y36</f>
        <v>0</v>
      </c>
      <c r="AC73" s="41">
        <f t="shared" si="217"/>
        <v>135000</v>
      </c>
    </row>
    <row r="74" spans="1:29" ht="18" hidden="1">
      <c r="A74" s="34"/>
      <c r="B74" s="669" t="str">
        <f t="shared" si="206"/>
        <v>Chi đầu tư từ nguồn thu xổ số kiến thiết</v>
      </c>
      <c r="C74" s="35"/>
      <c r="D74" s="35"/>
      <c r="E74" s="35"/>
      <c r="F74" s="35"/>
      <c r="G74" s="35"/>
      <c r="H74" s="35"/>
      <c r="I74" s="41">
        <f t="shared" si="207"/>
        <v>-100000</v>
      </c>
      <c r="J74" s="41">
        <f t="shared" si="208"/>
        <v>-100000</v>
      </c>
      <c r="K74" s="41">
        <f t="shared" si="208"/>
        <v>0</v>
      </c>
      <c r="L74" s="41">
        <f t="shared" si="209"/>
        <v>0</v>
      </c>
      <c r="M74" s="41">
        <f t="shared" si="210"/>
        <v>0</v>
      </c>
      <c r="N74" s="41">
        <f t="shared" si="210"/>
        <v>0</v>
      </c>
      <c r="O74" s="41">
        <f t="shared" si="211"/>
        <v>0</v>
      </c>
      <c r="P74" s="41">
        <f t="shared" si="212"/>
        <v>0</v>
      </c>
      <c r="Q74" s="41">
        <f t="shared" si="212"/>
        <v>0</v>
      </c>
      <c r="R74" s="41"/>
      <c r="S74" s="41"/>
      <c r="T74" s="41"/>
      <c r="U74" s="41">
        <f t="shared" si="213"/>
        <v>150000</v>
      </c>
      <c r="V74" s="41">
        <f t="shared" si="205"/>
        <v>150000</v>
      </c>
      <c r="W74" s="41">
        <f t="shared" si="205"/>
        <v>0</v>
      </c>
      <c r="X74" s="41">
        <f t="shared" si="214"/>
        <v>100000</v>
      </c>
      <c r="Y74" s="41">
        <f t="shared" si="215"/>
        <v>100000</v>
      </c>
      <c r="Z74" s="41">
        <f t="shared" si="215"/>
        <v>0</v>
      </c>
      <c r="AA74" s="41">
        <f t="shared" si="216"/>
        <v>100000</v>
      </c>
      <c r="AB74" s="41">
        <f t="shared" si="217"/>
        <v>100000</v>
      </c>
      <c r="AC74" s="41">
        <f t="shared" si="217"/>
        <v>0</v>
      </c>
    </row>
    <row r="75" spans="1:29" ht="18" hidden="1">
      <c r="A75" s="34"/>
      <c r="B75" s="669" t="str">
        <f t="shared" si="206"/>
        <v>Chi đầu tư từ nguồn thu thoái vốn doanh nghiệp nhà nước địa phương quản lý;…</v>
      </c>
      <c r="C75" s="35"/>
      <c r="D75" s="35"/>
      <c r="E75" s="35"/>
      <c r="F75" s="35"/>
      <c r="G75" s="35"/>
      <c r="H75" s="35"/>
      <c r="I75" s="41">
        <f t="shared" si="207"/>
        <v>-408054.16200000001</v>
      </c>
      <c r="J75" s="41">
        <f t="shared" si="208"/>
        <v>-408054.16200000001</v>
      </c>
      <c r="K75" s="41">
        <f t="shared" si="208"/>
        <v>0</v>
      </c>
      <c r="L75" s="41">
        <f t="shared" si="209"/>
        <v>0</v>
      </c>
      <c r="M75" s="41">
        <f t="shared" si="210"/>
        <v>0</v>
      </c>
      <c r="N75" s="41">
        <f t="shared" si="210"/>
        <v>0</v>
      </c>
      <c r="O75" s="41">
        <f t="shared" si="211"/>
        <v>0</v>
      </c>
      <c r="P75" s="41">
        <f t="shared" si="212"/>
        <v>0</v>
      </c>
      <c r="Q75" s="41">
        <f t="shared" si="212"/>
        <v>0</v>
      </c>
      <c r="R75" s="41"/>
      <c r="S75" s="41"/>
      <c r="T75" s="41"/>
      <c r="U75" s="41">
        <f t="shared" si="213"/>
        <v>0</v>
      </c>
      <c r="V75" s="41">
        <f t="shared" si="205"/>
        <v>0</v>
      </c>
      <c r="W75" s="41">
        <f t="shared" si="205"/>
        <v>0</v>
      </c>
      <c r="X75" s="41">
        <f t="shared" si="214"/>
        <v>0</v>
      </c>
      <c r="Y75" s="41">
        <f t="shared" si="215"/>
        <v>0</v>
      </c>
      <c r="Z75" s="41">
        <f t="shared" si="215"/>
        <v>0</v>
      </c>
      <c r="AA75" s="41">
        <f t="shared" si="216"/>
        <v>0</v>
      </c>
      <c r="AB75" s="41">
        <f t="shared" si="217"/>
        <v>0</v>
      </c>
      <c r="AC75" s="41">
        <f t="shared" si="217"/>
        <v>0</v>
      </c>
    </row>
    <row r="76" spans="1:29" ht="18" hidden="1">
      <c r="A76" s="34"/>
      <c r="B76" s="669" t="str">
        <f t="shared" si="206"/>
        <v>Chi đầu tư phát triển khác (Ủy thác qua NH Chính sách xã hội chi nhánh tỉnh Đồng Tháp)</v>
      </c>
      <c r="C76" s="35"/>
      <c r="D76" s="35"/>
      <c r="E76" s="35"/>
      <c r="F76" s="35"/>
      <c r="G76" s="35"/>
      <c r="H76" s="35"/>
      <c r="I76" s="41">
        <f t="shared" si="207"/>
        <v>210000</v>
      </c>
      <c r="J76" s="41">
        <f>+J39-D39</f>
        <v>210000</v>
      </c>
      <c r="K76" s="41">
        <f t="shared" si="208"/>
        <v>0</v>
      </c>
      <c r="L76" s="41">
        <f t="shared" si="209"/>
        <v>30000</v>
      </c>
      <c r="M76" s="41">
        <f t="shared" si="210"/>
        <v>30000</v>
      </c>
      <c r="N76" s="41">
        <f t="shared" si="210"/>
        <v>0</v>
      </c>
      <c r="O76" s="41">
        <f t="shared" si="211"/>
        <v>0</v>
      </c>
      <c r="P76" s="41">
        <f t="shared" si="212"/>
        <v>0</v>
      </c>
      <c r="Q76" s="41">
        <f t="shared" si="212"/>
        <v>0</v>
      </c>
      <c r="R76" s="41"/>
      <c r="S76" s="41"/>
      <c r="T76" s="41"/>
      <c r="U76" s="41">
        <f t="shared" si="213"/>
        <v>750000</v>
      </c>
      <c r="V76" s="41">
        <f t="shared" si="205"/>
        <v>750000</v>
      </c>
      <c r="W76" s="41">
        <f t="shared" si="205"/>
        <v>0</v>
      </c>
      <c r="X76" s="41">
        <f t="shared" si="214"/>
        <v>50000</v>
      </c>
      <c r="Y76" s="41">
        <f t="shared" si="215"/>
        <v>50000</v>
      </c>
      <c r="Z76" s="41">
        <f t="shared" si="215"/>
        <v>0</v>
      </c>
      <c r="AA76" s="41">
        <f t="shared" si="216"/>
        <v>100000</v>
      </c>
      <c r="AB76" s="41">
        <f t="shared" si="217"/>
        <v>100000</v>
      </c>
      <c r="AC76" s="41">
        <f t="shared" si="217"/>
        <v>0</v>
      </c>
    </row>
    <row r="77" spans="1:29" ht="17.399999999999999" hidden="1">
      <c r="A77" s="34" t="s">
        <v>33</v>
      </c>
      <c r="B77" s="668" t="s">
        <v>737</v>
      </c>
      <c r="C77" s="35"/>
      <c r="D77" s="35"/>
      <c r="E77" s="35"/>
      <c r="F77" s="35"/>
      <c r="G77" s="35"/>
      <c r="H77" s="35"/>
      <c r="I77" s="38">
        <f>SUM(I78:I80)</f>
        <v>2258478.7965586707</v>
      </c>
      <c r="J77" s="38">
        <f t="shared" ref="J77:K77" si="218">SUM(J78:J80)</f>
        <v>705959.94840000174</v>
      </c>
      <c r="K77" s="38">
        <f t="shared" si="218"/>
        <v>1552518.8481586687</v>
      </c>
      <c r="L77" s="38">
        <f>SUM(L78:L80)</f>
        <v>206384.17809915089</v>
      </c>
      <c r="M77" s="38">
        <f t="shared" ref="M77:N77" si="219">SUM(M78:M80)</f>
        <v>11727.159876157653</v>
      </c>
      <c r="N77" s="38">
        <f t="shared" si="219"/>
        <v>194657.01822299324</v>
      </c>
      <c r="O77" s="38">
        <f>SUM(O78:O80)</f>
        <v>226452.5501692722</v>
      </c>
      <c r="P77" s="38">
        <f t="shared" ref="P77:Q77" si="220">SUM(P78:P80)</f>
        <v>99208.136201180372</v>
      </c>
      <c r="Q77" s="38">
        <f t="shared" si="220"/>
        <v>127244.41396809183</v>
      </c>
      <c r="R77" s="38"/>
      <c r="S77" s="38"/>
      <c r="T77" s="38"/>
      <c r="U77" s="38">
        <f>SUM(U78:U80)</f>
        <v>712994.7042555064</v>
      </c>
      <c r="V77" s="38">
        <f t="shared" ref="V77:W77" si="221">SUM(V78:V80)</f>
        <v>165611.25936836749</v>
      </c>
      <c r="W77" s="38">
        <f t="shared" si="221"/>
        <v>547383.4448871389</v>
      </c>
      <c r="X77" s="38">
        <f>SUM(X78:X80)</f>
        <v>811156.78561996785</v>
      </c>
      <c r="Y77" s="38">
        <f t="shared" ref="Y77:Z77" si="222">SUM(Y78:Y80)</f>
        <v>272883.45936685358</v>
      </c>
      <c r="Z77" s="38">
        <f t="shared" si="222"/>
        <v>538273.32625311427</v>
      </c>
      <c r="AA77" s="38">
        <f>SUM(AA78:AA80)</f>
        <v>692125.95332891797</v>
      </c>
      <c r="AB77" s="38">
        <f t="shared" ref="AB77:AC77" si="223">SUM(AB78:AB80)</f>
        <v>259255.48565930806</v>
      </c>
      <c r="AC77" s="38">
        <f t="shared" si="223"/>
        <v>432870.46766960993</v>
      </c>
    </row>
    <row r="78" spans="1:29" ht="18" hidden="1">
      <c r="A78" s="34"/>
      <c r="B78" s="669" t="s">
        <v>738</v>
      </c>
      <c r="C78" s="35"/>
      <c r="D78" s="35"/>
      <c r="E78" s="35"/>
      <c r="F78" s="35"/>
      <c r="G78" s="35"/>
      <c r="H78" s="35"/>
      <c r="I78" s="41">
        <f>SUM(J78:K78)</f>
        <v>1271888.2648646077</v>
      </c>
      <c r="J78" s="41">
        <f t="shared" ref="J78:K80" si="224">+J42-D42</f>
        <v>243594.35835999995</v>
      </c>
      <c r="K78" s="41">
        <f t="shared" si="22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c r="S78" s="41"/>
      <c r="T78" s="41"/>
      <c r="U78" s="41">
        <f>SUM(V78:W78)</f>
        <v>353991.72820307338</v>
      </c>
      <c r="V78" s="41">
        <f t="shared" ref="V78:W80" si="225">+V42-P42</f>
        <v>56111.305100886384</v>
      </c>
      <c r="W78" s="41">
        <f t="shared" si="225"/>
        <v>297880.42310218699</v>
      </c>
      <c r="X78" s="41">
        <f>SUM(Y78:Z78)</f>
        <v>331689.48197820247</v>
      </c>
      <c r="Y78" s="41">
        <f>+Y42-V42</f>
        <v>76006.99026669492</v>
      </c>
      <c r="Z78" s="41">
        <f>+Z42-W42</f>
        <v>255682.49171150755</v>
      </c>
      <c r="AA78" s="41">
        <f>SUM(AB78:AC78)</f>
        <v>258074.15301399329</v>
      </c>
      <c r="AB78" s="41">
        <f>+AB42-Y42</f>
        <v>54229.261847931193</v>
      </c>
      <c r="AC78" s="41">
        <f>+AC42-Z42</f>
        <v>203844.89116606209</v>
      </c>
    </row>
    <row r="79" spans="1:29" ht="18" hidden="1">
      <c r="A79" s="34"/>
      <c r="B79" s="669" t="s">
        <v>739</v>
      </c>
      <c r="C79" s="35"/>
      <c r="D79" s="35"/>
      <c r="E79" s="35"/>
      <c r="F79" s="35"/>
      <c r="G79" s="35"/>
      <c r="H79" s="35"/>
      <c r="I79" s="41">
        <f t="shared" ref="I79:I80" si="226">SUM(J79:K79)</f>
        <v>2079.1159800000023</v>
      </c>
      <c r="J79" s="41">
        <f t="shared" si="224"/>
        <v>2079.1159800000023</v>
      </c>
      <c r="K79" s="41">
        <f t="shared" si="224"/>
        <v>0</v>
      </c>
      <c r="L79" s="41">
        <f t="shared" ref="L79:L80" si="227">SUM(M79:N79)</f>
        <v>79.913078352001321</v>
      </c>
      <c r="M79" s="41">
        <f t="shared" ref="M79:N80" si="228">+M43-J43</f>
        <v>79.913078352001321</v>
      </c>
      <c r="N79" s="41">
        <f t="shared" si="228"/>
        <v>0</v>
      </c>
      <c r="O79" s="41">
        <f t="shared" ref="O79:O80" si="229">SUM(P79:Q79)</f>
        <v>771.00937124793563</v>
      </c>
      <c r="P79" s="41">
        <f t="shared" ref="P79:Q80" si="230">+P43-M43</f>
        <v>771.00937124793563</v>
      </c>
      <c r="Q79" s="41">
        <f t="shared" si="230"/>
        <v>0</v>
      </c>
      <c r="R79" s="41"/>
      <c r="S79" s="41"/>
      <c r="T79" s="41"/>
      <c r="U79" s="41">
        <f t="shared" ref="U79:U80" si="231">SUM(V79:W79)</f>
        <v>1001.7762296290457</v>
      </c>
      <c r="V79" s="41">
        <f t="shared" si="225"/>
        <v>1001.7762296290457</v>
      </c>
      <c r="W79" s="41">
        <f t="shared" si="225"/>
        <v>0</v>
      </c>
      <c r="X79" s="41">
        <f t="shared" ref="X79:X80" si="232">SUM(Y79:Z79)</f>
        <v>1256.4630528753696</v>
      </c>
      <c r="Y79" s="41">
        <f t="shared" ref="Y79:Z80" si="233">+Y43-V43</f>
        <v>1256.4630528753696</v>
      </c>
      <c r="Z79" s="41">
        <f t="shared" si="233"/>
        <v>0</v>
      </c>
      <c r="AA79" s="41">
        <f t="shared" ref="AA79:AA80" si="234">SUM(AB79:AC79)</f>
        <v>914.23569115253486</v>
      </c>
      <c r="AB79" s="41">
        <f t="shared" ref="AB79:AC80" si="235">+AB43-Y43</f>
        <v>914.23569115253486</v>
      </c>
      <c r="AC79" s="41">
        <f t="shared" si="235"/>
        <v>0</v>
      </c>
    </row>
    <row r="80" spans="1:29" ht="18" hidden="1">
      <c r="A80" s="34"/>
      <c r="B80" s="669" t="s">
        <v>740</v>
      </c>
      <c r="C80" s="35"/>
      <c r="D80" s="35"/>
      <c r="E80" s="35"/>
      <c r="F80" s="35"/>
      <c r="G80" s="35"/>
      <c r="H80" s="35"/>
      <c r="I80" s="41">
        <f t="shared" si="226"/>
        <v>984511.41571406275</v>
      </c>
      <c r="J80" s="41">
        <f t="shared" si="224"/>
        <v>460286.47406000178</v>
      </c>
      <c r="K80" s="41">
        <f t="shared" si="224"/>
        <v>524224.94165406097</v>
      </c>
      <c r="L80" s="41">
        <f t="shared" si="227"/>
        <v>150832.32831214415</v>
      </c>
      <c r="M80" s="41">
        <f t="shared" si="228"/>
        <v>8766.5979377417825</v>
      </c>
      <c r="N80" s="41">
        <f t="shared" si="228"/>
        <v>142065.73037440237</v>
      </c>
      <c r="O80" s="41">
        <f t="shared" si="229"/>
        <v>134392.95332106575</v>
      </c>
      <c r="P80" s="41">
        <f t="shared" si="230"/>
        <v>70644.338563148864</v>
      </c>
      <c r="Q80" s="41">
        <f t="shared" si="230"/>
        <v>63748.61475791689</v>
      </c>
      <c r="R80" s="41"/>
      <c r="S80" s="41"/>
      <c r="T80" s="41"/>
      <c r="U80" s="41">
        <f t="shared" si="231"/>
        <v>358001.19982280396</v>
      </c>
      <c r="V80" s="41">
        <f t="shared" si="225"/>
        <v>108498.17803785205</v>
      </c>
      <c r="W80" s="41">
        <f t="shared" si="225"/>
        <v>249503.02178495191</v>
      </c>
      <c r="X80" s="41">
        <f t="shared" si="232"/>
        <v>478210.84058889002</v>
      </c>
      <c r="Y80" s="41">
        <f t="shared" si="233"/>
        <v>195620.0060472833</v>
      </c>
      <c r="Z80" s="41">
        <f t="shared" si="233"/>
        <v>282590.83454160672</v>
      </c>
      <c r="AA80" s="41">
        <f t="shared" si="234"/>
        <v>433137.56462377217</v>
      </c>
      <c r="AB80" s="41">
        <f t="shared" si="235"/>
        <v>204111.98812022433</v>
      </c>
      <c r="AC80" s="41">
        <f t="shared" si="235"/>
        <v>229025.57650354784</v>
      </c>
    </row>
    <row r="81" spans="1:29"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c r="S81" s="38"/>
      <c r="T81" s="38"/>
      <c r="U81" s="38">
        <f>SUM(V81:W81)</f>
        <v>1088757.7498882432</v>
      </c>
      <c r="V81" s="38">
        <f>+V46-P46</f>
        <v>508427.53552337422</v>
      </c>
      <c r="W81" s="38">
        <f>+W46-Q46</f>
        <v>580330.21436486894</v>
      </c>
      <c r="X81" s="38">
        <f>SUM(Y81:Z81)</f>
        <v>483297.67536457302</v>
      </c>
      <c r="Y81" s="38">
        <f>+Y46-V46</f>
        <v>306922.36107946839</v>
      </c>
      <c r="Z81" s="38">
        <f>+Z46-W46</f>
        <v>176375.31428510463</v>
      </c>
      <c r="AA81" s="38">
        <f>SUM(AB81:AC81)</f>
        <v>441073.17184031592</v>
      </c>
      <c r="AB81" s="38">
        <f>+AB46-Y46</f>
        <v>212829.19815385563</v>
      </c>
      <c r="AC81" s="38">
        <f>+AC46-Z46</f>
        <v>228243.97368646029</v>
      </c>
    </row>
    <row r="82" spans="1:29"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36">+M48-J48</f>
        <v>0</v>
      </c>
      <c r="N82" s="38">
        <f t="shared" si="236"/>
        <v>0</v>
      </c>
      <c r="O82" s="38">
        <f>SUM(P82:Q82)</f>
        <v>0</v>
      </c>
      <c r="P82" s="38">
        <f t="shared" ref="P82:Q84" si="237">+P48-M48</f>
        <v>0</v>
      </c>
      <c r="Q82" s="38">
        <f t="shared" si="237"/>
        <v>0</v>
      </c>
      <c r="R82" s="38"/>
      <c r="S82" s="38"/>
      <c r="T82" s="38"/>
      <c r="U82" s="38">
        <f>SUM(V82:W82)</f>
        <v>0</v>
      </c>
      <c r="V82" s="38">
        <f t="shared" ref="V82:W84" si="238">+V48-P48</f>
        <v>0</v>
      </c>
      <c r="W82" s="38">
        <f t="shared" si="238"/>
        <v>0</v>
      </c>
      <c r="X82" s="38">
        <f>SUM(Y82:Z82)</f>
        <v>0</v>
      </c>
      <c r="Y82" s="38">
        <f t="shared" ref="Y82:Z84" si="239">+Y48-V48</f>
        <v>0</v>
      </c>
      <c r="Z82" s="38">
        <f t="shared" si="239"/>
        <v>0</v>
      </c>
      <c r="AA82" s="38">
        <f>SUM(AB82:AC82)</f>
        <v>0</v>
      </c>
      <c r="AB82" s="38">
        <f t="shared" ref="AB82:AC84" si="240">+AB48-Y48</f>
        <v>0</v>
      </c>
      <c r="AC82" s="38">
        <f t="shared" si="240"/>
        <v>0</v>
      </c>
    </row>
    <row r="83" spans="1:29"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36"/>
        <v>441.0193706699356</v>
      </c>
      <c r="N83" s="38">
        <f t="shared" si="236"/>
        <v>1839.5332062862581</v>
      </c>
      <c r="O83" s="38">
        <f>SUM(P83:Q83)</f>
        <v>6476.0686315860366</v>
      </c>
      <c r="P83" s="38">
        <f t="shared" si="237"/>
        <v>4254.9989901607914</v>
      </c>
      <c r="Q83" s="38">
        <f t="shared" si="237"/>
        <v>2221.0696414252452</v>
      </c>
      <c r="R83" s="38"/>
      <c r="S83" s="38"/>
      <c r="T83" s="38"/>
      <c r="U83" s="38">
        <f>SUM(V83:W83)</f>
        <v>25703.476647808857</v>
      </c>
      <c r="V83" s="38">
        <f t="shared" si="238"/>
        <v>5528.5409028678841</v>
      </c>
      <c r="W83" s="38">
        <f t="shared" si="238"/>
        <v>20174.935744940973</v>
      </c>
      <c r="X83" s="38">
        <f>SUM(Y83:Z83)</f>
        <v>25245.10104843427</v>
      </c>
      <c r="Y83" s="38">
        <f t="shared" si="239"/>
        <v>16934.09084315761</v>
      </c>
      <c r="Z83" s="38">
        <f t="shared" si="239"/>
        <v>8311.0102052766597</v>
      </c>
      <c r="AA83" s="38">
        <f>SUM(AB83:AC83)</f>
        <v>42030.18888896241</v>
      </c>
      <c r="AB83" s="38">
        <f t="shared" si="240"/>
        <v>25296.547917489399</v>
      </c>
      <c r="AC83" s="38">
        <f t="shared" si="240"/>
        <v>16733.640971473011</v>
      </c>
    </row>
    <row r="84" spans="1:29"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36"/>
        <v>0</v>
      </c>
      <c r="N84" s="677">
        <f t="shared" si="236"/>
        <v>0</v>
      </c>
      <c r="O84" s="677">
        <f>SUM(P84:Q84)</f>
        <v>0</v>
      </c>
      <c r="P84" s="677">
        <f t="shared" si="237"/>
        <v>0</v>
      </c>
      <c r="Q84" s="677">
        <f t="shared" si="237"/>
        <v>0</v>
      </c>
      <c r="R84" s="677"/>
      <c r="S84" s="677"/>
      <c r="T84" s="677"/>
      <c r="U84" s="677">
        <f>SUM(V84:W84)</f>
        <v>0</v>
      </c>
      <c r="V84" s="677">
        <f t="shared" si="238"/>
        <v>0</v>
      </c>
      <c r="W84" s="677">
        <f t="shared" si="238"/>
        <v>0</v>
      </c>
      <c r="X84" s="677">
        <f>SUM(Y84:Z84)</f>
        <v>0</v>
      </c>
      <c r="Y84" s="677">
        <f t="shared" si="239"/>
        <v>0</v>
      </c>
      <c r="Z84" s="677">
        <f t="shared" si="239"/>
        <v>0</v>
      </c>
      <c r="AA84" s="677">
        <f>SUM(AB84:AC84)</f>
        <v>0</v>
      </c>
      <c r="AB84" s="677">
        <f t="shared" si="240"/>
        <v>0</v>
      </c>
      <c r="AC84" s="677">
        <f t="shared" si="240"/>
        <v>0</v>
      </c>
    </row>
    <row r="85" spans="1:29" hidden="1"/>
    <row r="86" spans="1:29" hidden="1">
      <c r="J86" s="32"/>
    </row>
    <row r="90" spans="1:29">
      <c r="B90" s="30" t="s">
        <v>117</v>
      </c>
    </row>
  </sheetData>
  <mergeCells count="20">
    <mergeCell ref="AA69:AC69"/>
    <mergeCell ref="R6:T6"/>
    <mergeCell ref="L6:N6"/>
    <mergeCell ref="O6:Q6"/>
    <mergeCell ref="U6:W6"/>
    <mergeCell ref="X6:Z6"/>
    <mergeCell ref="AA6:AC6"/>
    <mergeCell ref="I69:K69"/>
    <mergeCell ref="L69:N69"/>
    <mergeCell ref="O69:Q69"/>
    <mergeCell ref="U69:W69"/>
    <mergeCell ref="X69:Z69"/>
    <mergeCell ref="A1:K1"/>
    <mergeCell ref="A2:K2"/>
    <mergeCell ref="A3:K3"/>
    <mergeCell ref="A6:A7"/>
    <mergeCell ref="B6:B7"/>
    <mergeCell ref="C6:E6"/>
    <mergeCell ref="F6:H6"/>
    <mergeCell ref="I6:K6"/>
  </mergeCells>
  <conditionalFormatting sqref="B71:B84">
    <cfRule type="expression" dxfId="3"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sheetPr>
  <dimension ref="A1:G9"/>
  <sheetViews>
    <sheetView workbookViewId="0">
      <selection activeCell="D14" sqref="D14"/>
    </sheetView>
  </sheetViews>
  <sheetFormatPr defaultColWidth="8.6640625" defaultRowHeight="13.8"/>
  <cols>
    <col min="1" max="1" width="6" style="1731" customWidth="1"/>
    <col min="2" max="2" width="54.88671875" style="30" customWidth="1"/>
    <col min="3" max="5" width="26.109375" style="30" customWidth="1"/>
    <col min="6" max="6" width="8.6640625" style="30"/>
    <col min="7" max="7" width="10.109375" style="30" bestFit="1" customWidth="1"/>
    <col min="8" max="16384" width="8.6640625" style="30"/>
  </cols>
  <sheetData>
    <row r="1" spans="1:7" ht="39" customHeight="1">
      <c r="A1" s="6240" t="s">
        <v>1453</v>
      </c>
      <c r="B1" s="6241"/>
      <c r="C1" s="6241"/>
      <c r="D1" s="6241"/>
      <c r="E1" s="6241"/>
    </row>
    <row r="3" spans="1:7" ht="14.4">
      <c r="D3" s="6242" t="s">
        <v>964</v>
      </c>
      <c r="E3" s="6242"/>
    </row>
    <row r="4" spans="1:7">
      <c r="A4" s="1736" t="s">
        <v>247</v>
      </c>
      <c r="B4" s="1736" t="s">
        <v>221</v>
      </c>
      <c r="C4" s="1736" t="s">
        <v>1454</v>
      </c>
      <c r="D4" s="1736" t="s">
        <v>407</v>
      </c>
      <c r="E4" s="1736" t="s">
        <v>1455</v>
      </c>
    </row>
    <row r="5" spans="1:7">
      <c r="A5" s="2185" t="s">
        <v>1</v>
      </c>
      <c r="B5" s="2185" t="s">
        <v>37</v>
      </c>
      <c r="C5" s="2185">
        <v>1</v>
      </c>
      <c r="D5" s="2185">
        <v>5</v>
      </c>
      <c r="E5" s="2185">
        <v>9</v>
      </c>
    </row>
    <row r="6" spans="1:7" s="124" customFormat="1" ht="27.75" customHeight="1">
      <c r="A6" s="1737"/>
      <c r="B6" s="1737" t="s">
        <v>387</v>
      </c>
      <c r="C6" s="2186">
        <f>C7+C8+C9</f>
        <v>108038.69359299999</v>
      </c>
      <c r="D6" s="2186">
        <f t="shared" ref="D6:E6" si="0">D7+D8+D9</f>
        <v>131519.40954525</v>
      </c>
      <c r="E6" s="2186">
        <f t="shared" si="0"/>
        <v>131519.40954525</v>
      </c>
    </row>
    <row r="7" spans="1:7" s="29" customFormat="1" ht="27.75" customHeight="1">
      <c r="A7" s="1778">
        <v>1</v>
      </c>
      <c r="B7" s="2187" t="s">
        <v>1456</v>
      </c>
      <c r="C7" s="2188">
        <f>17168.566672/40%</f>
        <v>42921.416680000002</v>
      </c>
      <c r="D7" s="2188">
        <f>27675.7520673333/40%</f>
        <v>69189.380168333242</v>
      </c>
      <c r="E7" s="2188">
        <f>D7</f>
        <v>69189.380168333242</v>
      </c>
      <c r="G7" s="2189"/>
    </row>
    <row r="8" spans="1:7" s="29" customFormat="1" ht="27.75" customHeight="1">
      <c r="A8" s="1778">
        <v>2</v>
      </c>
      <c r="B8" s="2190" t="s">
        <v>648</v>
      </c>
      <c r="C8" s="2188">
        <v>49928</v>
      </c>
      <c r="D8" s="2188">
        <v>35766</v>
      </c>
      <c r="E8" s="2188">
        <f t="shared" ref="E8:E9" si="1">D8</f>
        <v>35766</v>
      </c>
      <c r="G8" s="2189"/>
    </row>
    <row r="9" spans="1:7" s="29" customFormat="1" ht="27.75" customHeight="1">
      <c r="A9" s="2191">
        <v>3</v>
      </c>
      <c r="B9" s="2192" t="s">
        <v>954</v>
      </c>
      <c r="C9" s="2193">
        <f>6075.7107652/40%</f>
        <v>15189.276913</v>
      </c>
      <c r="D9" s="2193">
        <f>10625.6117507667/40%</f>
        <v>26564.029376916751</v>
      </c>
      <c r="E9" s="2193">
        <f t="shared" si="1"/>
        <v>26564.029376916751</v>
      </c>
      <c r="G9" s="2189"/>
    </row>
  </sheetData>
  <mergeCells count="2">
    <mergeCell ref="A1:E1"/>
    <mergeCell ref="D3:E3"/>
  </mergeCells>
  <printOptions horizontalCentered="1"/>
  <pageMargins left="0" right="0" top="0.59055118110236227" bottom="0" header="0" footer="0"/>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sqref="A1:K1"/>
    </sheetView>
  </sheetViews>
  <sheetFormatPr defaultRowHeight="18"/>
  <cols>
    <col min="1" max="1" width="6.44140625" style="386" bestFit="1" customWidth="1"/>
    <col min="2" max="2" width="66.33203125" style="381" customWidth="1"/>
    <col min="3" max="3" width="12.44140625" style="381" customWidth="1"/>
    <col min="4" max="4" width="12.109375" style="381" customWidth="1"/>
    <col min="5" max="5" width="10.44140625" style="381" hidden="1" customWidth="1"/>
    <col min="6" max="7" width="10.6640625" style="381" hidden="1" customWidth="1"/>
    <col min="8" max="10" width="10.6640625" style="381" bestFit="1" customWidth="1"/>
    <col min="11" max="11" width="12.109375" style="381" hidden="1" customWidth="1"/>
    <col min="12" max="23" width="14.6640625" style="381" hidden="1" customWidth="1"/>
    <col min="24" max="25" width="0" style="381" hidden="1" customWidth="1"/>
    <col min="26" max="26" width="10" style="381" hidden="1" customWidth="1"/>
    <col min="27" max="48" width="0" style="381" hidden="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45" t="s">
        <v>939</v>
      </c>
      <c r="B1" s="6045"/>
      <c r="C1" s="6045"/>
      <c r="D1" s="6045"/>
      <c r="E1" s="6045"/>
      <c r="F1" s="6045"/>
      <c r="G1" s="6045"/>
      <c r="H1" s="6045"/>
      <c r="I1" s="6045"/>
      <c r="J1" s="6045"/>
      <c r="K1" s="6045"/>
      <c r="L1" s="382"/>
      <c r="M1" s="382"/>
      <c r="N1" s="382"/>
      <c r="O1" s="382"/>
      <c r="P1" s="382"/>
      <c r="Q1" s="382"/>
      <c r="R1" s="382"/>
      <c r="S1" s="382"/>
      <c r="T1" s="382"/>
      <c r="U1" s="382"/>
      <c r="V1" s="382"/>
      <c r="W1" s="382"/>
    </row>
    <row r="2" spans="1:48">
      <c r="A2" s="382"/>
      <c r="B2" s="382"/>
      <c r="C2" s="382"/>
      <c r="Y2" s="381">
        <v>82290</v>
      </c>
      <c r="AA2" s="6043" t="s">
        <v>478</v>
      </c>
      <c r="AB2" s="6043"/>
      <c r="AC2" s="6043"/>
      <c r="AD2" s="6043"/>
      <c r="AE2" s="6043"/>
      <c r="AF2" s="6043"/>
      <c r="AG2" s="6043"/>
      <c r="AH2" s="6043"/>
      <c r="AI2" s="6043"/>
      <c r="AJ2" s="6043"/>
      <c r="AK2" s="6043"/>
      <c r="AL2" s="6043"/>
      <c r="AM2" s="6043"/>
      <c r="AN2" s="6043"/>
      <c r="AO2" s="6043"/>
      <c r="AP2" s="6043"/>
      <c r="AQ2" s="6043"/>
      <c r="AR2" s="6043"/>
    </row>
    <row r="3" spans="1:48" ht="36.75" customHeight="1">
      <c r="A3" s="6245" t="s">
        <v>247</v>
      </c>
      <c r="B3" s="6243" t="s">
        <v>137</v>
      </c>
      <c r="C3" s="6243" t="s">
        <v>479</v>
      </c>
      <c r="D3" s="6243" t="s">
        <v>938</v>
      </c>
      <c r="E3" s="1040"/>
      <c r="F3" s="1041"/>
      <c r="G3" s="1041"/>
      <c r="H3" s="6243" t="s">
        <v>940</v>
      </c>
      <c r="I3" s="6243" t="s">
        <v>407</v>
      </c>
      <c r="J3" s="6243" t="s">
        <v>408</v>
      </c>
      <c r="K3" s="6044" t="s">
        <v>483</v>
      </c>
      <c r="L3" s="431"/>
      <c r="M3" s="431"/>
      <c r="N3" s="431"/>
      <c r="O3" s="431"/>
      <c r="P3" s="431"/>
      <c r="Q3" s="431"/>
      <c r="R3" s="431"/>
      <c r="S3" s="431"/>
      <c r="T3" s="431"/>
      <c r="U3" s="431"/>
      <c r="V3" s="431"/>
      <c r="W3" s="431"/>
      <c r="Y3" s="6041" t="s">
        <v>484</v>
      </c>
      <c r="Z3" s="6042"/>
      <c r="AA3" s="6046" t="s">
        <v>322</v>
      </c>
      <c r="AB3" s="6047"/>
      <c r="AC3" s="6046" t="s">
        <v>323</v>
      </c>
      <c r="AD3" s="6047"/>
      <c r="AE3" s="6046" t="s">
        <v>324</v>
      </c>
      <c r="AF3" s="6047"/>
      <c r="AG3" s="6039" t="s">
        <v>290</v>
      </c>
      <c r="AH3" s="6040"/>
      <c r="AI3" s="6039" t="s">
        <v>411</v>
      </c>
      <c r="AJ3" s="6040"/>
      <c r="AK3" s="6039" t="s">
        <v>491</v>
      </c>
      <c r="AL3" s="6040"/>
      <c r="AM3" s="6039" t="s">
        <v>412</v>
      </c>
      <c r="AN3" s="6040"/>
      <c r="AO3" s="6039" t="s">
        <v>487</v>
      </c>
      <c r="AP3" s="6040"/>
      <c r="AQ3" s="6039" t="s">
        <v>488</v>
      </c>
      <c r="AR3" s="6040"/>
      <c r="AS3" s="6039" t="s">
        <v>489</v>
      </c>
      <c r="AT3" s="6040"/>
      <c r="AU3" s="6039" t="s">
        <v>490</v>
      </c>
      <c r="AV3" s="6040"/>
    </row>
    <row r="4" spans="1:48" ht="52.2">
      <c r="A4" s="6246"/>
      <c r="B4" s="6244"/>
      <c r="C4" s="6244"/>
      <c r="D4" s="6244"/>
      <c r="E4" s="1042" t="s">
        <v>482</v>
      </c>
      <c r="F4" s="1042" t="s">
        <v>85</v>
      </c>
      <c r="G4" s="1042" t="s">
        <v>86</v>
      </c>
      <c r="H4" s="6244"/>
      <c r="I4" s="6244"/>
      <c r="J4" s="6244"/>
      <c r="K4" s="6044"/>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c r="A5" s="890">
        <v>1</v>
      </c>
      <c r="B5" s="891" t="s">
        <v>415</v>
      </c>
      <c r="C5" s="892" t="s">
        <v>416</v>
      </c>
      <c r="D5" s="1043">
        <f t="shared" ref="D5:K5" si="0">SUM(D6:D8)</f>
        <v>147704</v>
      </c>
      <c r="E5" s="1043">
        <f t="shared" si="0"/>
        <v>109728.86</v>
      </c>
      <c r="F5" s="1043">
        <f t="shared" si="0"/>
        <v>86844.3</v>
      </c>
      <c r="G5" s="1043">
        <f t="shared" si="0"/>
        <v>99721</v>
      </c>
      <c r="H5" s="1043">
        <f t="shared" si="0"/>
        <v>110108</v>
      </c>
      <c r="I5" s="1043">
        <f t="shared" si="0"/>
        <v>124127</v>
      </c>
      <c r="J5" s="1043">
        <f t="shared" si="0"/>
        <v>127844</v>
      </c>
      <c r="K5" s="884">
        <f t="shared" si="0"/>
        <v>211428</v>
      </c>
      <c r="Z5" s="434">
        <f t="shared" ref="Z5:AH5" si="1">SUM(Z6:Z8)</f>
        <v>85423</v>
      </c>
      <c r="AA5" s="410">
        <f t="shared" si="1"/>
        <v>94200.377999999997</v>
      </c>
      <c r="AB5" s="432">
        <f t="shared" si="1"/>
        <v>90348.445999999996</v>
      </c>
      <c r="AC5" s="445">
        <f t="shared" si="1"/>
        <v>99308</v>
      </c>
      <c r="AD5" s="446">
        <f t="shared" si="1"/>
        <v>99095</v>
      </c>
      <c r="AE5" s="445">
        <f t="shared" si="1"/>
        <v>109632.1</v>
      </c>
      <c r="AF5" s="445">
        <f t="shared" si="1"/>
        <v>0</v>
      </c>
      <c r="AG5" s="445">
        <f t="shared" si="1"/>
        <v>121118</v>
      </c>
      <c r="AH5" s="445">
        <f t="shared" si="1"/>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1044"/>
      <c r="B6" s="886" t="s">
        <v>419</v>
      </c>
      <c r="C6" s="1045"/>
      <c r="D6" s="1046">
        <v>40155.5</v>
      </c>
      <c r="E6" s="1047">
        <f>SUM(F6:J6)/5</f>
        <v>38812</v>
      </c>
      <c r="F6" s="1046">
        <v>32592</v>
      </c>
      <c r="G6" s="1048">
        <v>35521</v>
      </c>
      <c r="H6" s="1048">
        <v>38881</v>
      </c>
      <c r="I6" s="1048">
        <v>44153</v>
      </c>
      <c r="J6" s="1048">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1044"/>
      <c r="B7" s="886" t="s">
        <v>420</v>
      </c>
      <c r="C7" s="1045"/>
      <c r="D7" s="1046">
        <f>25961+7679</f>
        <v>33640</v>
      </c>
      <c r="E7" s="1047">
        <f>SUM(F7:J7)/5</f>
        <v>21070.959999999999</v>
      </c>
      <c r="F7" s="1046">
        <f>12678.4+2799.4</f>
        <v>15477.8</v>
      </c>
      <c r="G7" s="1048">
        <f>15606+3639</f>
        <v>19245</v>
      </c>
      <c r="H7" s="1048">
        <f>17314+4037</f>
        <v>21351</v>
      </c>
      <c r="I7" s="1048">
        <f>19333+4528</f>
        <v>23861</v>
      </c>
      <c r="J7" s="1048">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1044"/>
      <c r="B8" s="886" t="s">
        <v>421</v>
      </c>
      <c r="C8" s="1045"/>
      <c r="D8" s="1046">
        <v>73908.5</v>
      </c>
      <c r="E8" s="1047">
        <f t="shared" ref="E8:E9" si="2">SUM(F8:J8)/5</f>
        <v>49845.9</v>
      </c>
      <c r="F8" s="1046">
        <v>38774.5</v>
      </c>
      <c r="G8" s="1048">
        <v>44955</v>
      </c>
      <c r="H8" s="1048">
        <v>49876</v>
      </c>
      <c r="I8" s="1048">
        <v>56113</v>
      </c>
      <c r="J8" s="1048">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1044"/>
      <c r="B9" s="886" t="s">
        <v>486</v>
      </c>
      <c r="C9" s="1045"/>
      <c r="D9" s="1046">
        <v>10153</v>
      </c>
      <c r="E9" s="1047">
        <f t="shared" si="2"/>
        <v>6970.8</v>
      </c>
      <c r="F9" s="1046">
        <v>5751</v>
      </c>
      <c r="G9" s="1048">
        <v>6410</v>
      </c>
      <c r="H9" s="1048">
        <v>6858</v>
      </c>
      <c r="I9" s="1048">
        <v>7776</v>
      </c>
      <c r="J9" s="1048">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2232">
        <v>7.5</v>
      </c>
      <c r="E10" s="2233">
        <f>SUM(F10:J10)/5</f>
        <v>8.5267594853834598</v>
      </c>
      <c r="F10" s="2234">
        <f>+F5/Z5*100-100</f>
        <v>1.6638376081383228</v>
      </c>
      <c r="G10" s="2235">
        <f>+G5/F5*100-100</f>
        <v>14.827340424184428</v>
      </c>
      <c r="H10" s="2235">
        <f>+H5/G5*100-100</f>
        <v>10.416060809658958</v>
      </c>
      <c r="I10" s="2235">
        <f>+I5/H5*100-100</f>
        <v>12.732044901369562</v>
      </c>
      <c r="J10" s="223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3">+D5/D5*100</f>
        <v>100</v>
      </c>
      <c r="E11" s="896">
        <f t="shared" si="3"/>
        <v>100</v>
      </c>
      <c r="F11" s="896">
        <f t="shared" si="3"/>
        <v>100</v>
      </c>
      <c r="G11" s="896">
        <f t="shared" si="3"/>
        <v>100</v>
      </c>
      <c r="H11" s="896">
        <f t="shared" si="3"/>
        <v>100</v>
      </c>
      <c r="I11" s="896">
        <f>+I5/I5*100</f>
        <v>100</v>
      </c>
      <c r="J11" s="896">
        <f t="shared" si="3"/>
        <v>100</v>
      </c>
      <c r="K11" s="896">
        <f t="shared" si="3"/>
        <v>100</v>
      </c>
      <c r="Z11" s="436">
        <f t="shared" ref="Z11:AE11" si="4">SUM(Z12:Z14)</f>
        <v>100</v>
      </c>
      <c r="AA11" s="441">
        <f t="shared" si="4"/>
        <v>100</v>
      </c>
      <c r="AB11" s="436">
        <f t="shared" si="4"/>
        <v>100</v>
      </c>
      <c r="AC11" s="441">
        <f t="shared" si="4"/>
        <v>100</v>
      </c>
      <c r="AD11" s="448">
        <f t="shared" si="4"/>
        <v>100</v>
      </c>
      <c r="AE11" s="441">
        <f t="shared" si="4"/>
        <v>99.999999999999986</v>
      </c>
      <c r="AF11" s="415"/>
      <c r="AG11" s="441">
        <f>SUM(AG12:AG14)</f>
        <v>100</v>
      </c>
      <c r="AH11" s="415">
        <f t="shared" ref="AH11" si="5">SUM(AH12:AH14)</f>
        <v>100</v>
      </c>
      <c r="AI11" s="415"/>
      <c r="AJ11" s="415">
        <f>SUM(AJ12:AJ14)</f>
        <v>100</v>
      </c>
      <c r="AK11" s="415"/>
      <c r="AL11" s="415"/>
      <c r="AM11" s="415"/>
      <c r="AN11" s="415">
        <f>SUM(AN12:AN14)</f>
        <v>100</v>
      </c>
      <c r="AO11" s="415"/>
      <c r="AP11" s="415">
        <f t="shared" ref="AP11:AR11" si="6">SUM(AP12:AP14)</f>
        <v>100</v>
      </c>
      <c r="AQ11" s="415"/>
      <c r="AR11" s="415">
        <f t="shared" si="6"/>
        <v>100</v>
      </c>
    </row>
    <row r="12" spans="1:48">
      <c r="A12" s="890" t="s">
        <v>29</v>
      </c>
      <c r="B12" s="886" t="s">
        <v>419</v>
      </c>
      <c r="C12" s="892" t="s">
        <v>417</v>
      </c>
      <c r="D12" s="897">
        <f t="shared" ref="D12:K12" si="7">+D6/D5*100</f>
        <v>27.186467529653903</v>
      </c>
      <c r="E12" s="897">
        <f t="shared" si="7"/>
        <v>35.370822224891427</v>
      </c>
      <c r="F12" s="897">
        <f t="shared" si="7"/>
        <v>37.529233352102551</v>
      </c>
      <c r="G12" s="897">
        <f t="shared" si="7"/>
        <v>35.620380862606673</v>
      </c>
      <c r="H12" s="897">
        <f t="shared" si="7"/>
        <v>35.311693973189961</v>
      </c>
      <c r="I12" s="897">
        <f t="shared" si="7"/>
        <v>35.570826653346977</v>
      </c>
      <c r="J12" s="897">
        <f t="shared" si="7"/>
        <v>33.566690654234847</v>
      </c>
      <c r="K12" s="897">
        <f t="shared" si="7"/>
        <v>29.150822029248729</v>
      </c>
      <c r="Z12" s="440">
        <f t="shared" ref="Z12:AE12" si="8">Z6/Z5*100</f>
        <v>36.915116537700619</v>
      </c>
      <c r="AA12" s="442">
        <f t="shared" si="8"/>
        <v>35.86392721269123</v>
      </c>
      <c r="AB12" s="440">
        <f t="shared" si="8"/>
        <v>36.161488599372262</v>
      </c>
      <c r="AC12" s="442">
        <f t="shared" si="8"/>
        <v>35.078744914810486</v>
      </c>
      <c r="AD12" s="447">
        <f t="shared" si="8"/>
        <v>35.846410010595889</v>
      </c>
      <c r="AE12" s="442">
        <f t="shared" si="8"/>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9">+D7/D5*100</f>
        <v>22.775280290310352</v>
      </c>
      <c r="E13" s="897">
        <f t="shared" si="9"/>
        <v>19.202751217865561</v>
      </c>
      <c r="F13" s="897">
        <f t="shared" si="9"/>
        <v>17.822470789677617</v>
      </c>
      <c r="G13" s="897">
        <f t="shared" si="9"/>
        <v>19.298843774129821</v>
      </c>
      <c r="H13" s="897">
        <f t="shared" si="9"/>
        <v>19.390961601336869</v>
      </c>
      <c r="I13" s="897">
        <f t="shared" si="9"/>
        <v>19.223053807793629</v>
      </c>
      <c r="J13" s="897">
        <f t="shared" si="9"/>
        <v>19.88360814742968</v>
      </c>
      <c r="K13" s="897">
        <f t="shared" si="9"/>
        <v>22.072289384565906</v>
      </c>
      <c r="Z13" s="440">
        <f t="shared" ref="Z13:AE13" si="10">+Z7/Z5*100</f>
        <v>18.788850777893543</v>
      </c>
      <c r="AA13" s="442">
        <f t="shared" si="10"/>
        <v>19.681202340822878</v>
      </c>
      <c r="AB13" s="440">
        <f t="shared" si="10"/>
        <v>19.742475703455931</v>
      </c>
      <c r="AC13" s="442">
        <f t="shared" si="10"/>
        <v>20.008458533048699</v>
      </c>
      <c r="AD13" s="447">
        <f t="shared" si="10"/>
        <v>18.956556839396537</v>
      </c>
      <c r="AE13" s="442">
        <f t="shared" si="10"/>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1">+D8/D5*100</f>
        <v>50.038252180035748</v>
      </c>
      <c r="E14" s="897">
        <f t="shared" si="11"/>
        <v>45.426426557243012</v>
      </c>
      <c r="F14" s="897">
        <f t="shared" si="11"/>
        <v>44.648295858219825</v>
      </c>
      <c r="G14" s="897">
        <f t="shared" si="11"/>
        <v>45.080775363263506</v>
      </c>
      <c r="H14" s="897">
        <f t="shared" si="11"/>
        <v>45.29734442547317</v>
      </c>
      <c r="I14" s="897">
        <f t="shared" si="11"/>
        <v>45.206119538859397</v>
      </c>
      <c r="J14" s="897">
        <f t="shared" si="11"/>
        <v>46.54970119833547</v>
      </c>
      <c r="K14" s="897">
        <f t="shared" si="11"/>
        <v>48.776888586185372</v>
      </c>
      <c r="Z14" s="440">
        <f t="shared" ref="Z14:AE14" si="12">+Z8/Z5*100</f>
        <v>44.296032684405837</v>
      </c>
      <c r="AA14" s="442">
        <f t="shared" si="12"/>
        <v>44.454870446485899</v>
      </c>
      <c r="AB14" s="440">
        <f t="shared" si="12"/>
        <v>44.096035697171814</v>
      </c>
      <c r="AC14" s="442">
        <f t="shared" si="12"/>
        <v>44.912796552140819</v>
      </c>
      <c r="AD14" s="447">
        <f t="shared" si="12"/>
        <v>45.19703315000757</v>
      </c>
      <c r="AE14" s="442">
        <f t="shared" si="12"/>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1043">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3">+G16/G5*100</f>
        <v>20.621534080083435</v>
      </c>
      <c r="H17" s="901">
        <f t="shared" si="13"/>
        <v>20.642460130054129</v>
      </c>
      <c r="I17" s="901">
        <f t="shared" si="13"/>
        <v>19.337452770146704</v>
      </c>
      <c r="J17" s="901">
        <f t="shared" si="13"/>
        <v>27.254309940239668</v>
      </c>
      <c r="K17" s="901">
        <f t="shared" si="13"/>
        <v>113.15010310838677</v>
      </c>
      <c r="Z17" s="435">
        <f t="shared" ref="Z17:AE17" si="14">+Z16/Z5*100</f>
        <v>22.200110040621379</v>
      </c>
      <c r="AA17" s="435">
        <f>+AA16/AA5*100</f>
        <v>25.239999567729971</v>
      </c>
      <c r="AB17" s="435">
        <f>+AB16/AB5*100</f>
        <v>20.38883989216594</v>
      </c>
      <c r="AC17" s="435">
        <f t="shared" si="14"/>
        <v>23.434164417770976</v>
      </c>
      <c r="AD17" s="449">
        <f t="shared" si="14"/>
        <v>20.751803824612743</v>
      </c>
      <c r="AE17" s="435">
        <f t="shared" si="14"/>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5">+Z18/Z5*100</f>
        <v>1.2092761902532105</v>
      </c>
      <c r="AA19" s="435">
        <f t="shared" si="15"/>
        <v>1.2844959072244913</v>
      </c>
      <c r="AB19" s="435">
        <f t="shared" si="15"/>
        <v>1.4654374907566203</v>
      </c>
      <c r="AC19" s="435">
        <f t="shared" si="15"/>
        <v>1.0814838683691141</v>
      </c>
      <c r="AD19" s="449">
        <f t="shared" si="15"/>
        <v>1.7457994853423482</v>
      </c>
      <c r="AE19" s="435">
        <f t="shared" si="15"/>
        <v>1.4001373685261889</v>
      </c>
      <c r="AF19" s="414"/>
      <c r="AG19" s="414"/>
      <c r="AH19" s="414">
        <f>AH18/AE18*100-100</f>
        <v>-11.400651465798049</v>
      </c>
      <c r="AI19" s="414"/>
      <c r="AJ19" s="414">
        <f t="shared" ref="AJ19" si="16">AJ18/AH18*100-100</f>
        <v>4.4117647058823621</v>
      </c>
      <c r="AK19" s="414"/>
      <c r="AL19" s="414"/>
      <c r="AM19" s="414"/>
      <c r="AN19" s="414">
        <f t="shared" ref="AN19" si="17">AN18/AJ18*100-100</f>
        <v>4.3661971830985919</v>
      </c>
      <c r="AO19" s="414"/>
      <c r="AP19" s="414">
        <f t="shared" ref="AP19" si="18">AP18/AN18*100-100</f>
        <v>4.2510121457489873</v>
      </c>
      <c r="AQ19" s="414"/>
      <c r="AR19" s="414">
        <f t="shared" ref="AR19" si="19">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0">+Z20/Z5*100</f>
        <v>0.36055863175023123</v>
      </c>
      <c r="AA21" s="437">
        <f t="shared" si="20"/>
        <v>0.41401107753516664</v>
      </c>
      <c r="AB21" s="437">
        <f t="shared" si="20"/>
        <v>0.44383718564456548</v>
      </c>
      <c r="AC21" s="437">
        <f t="shared" si="20"/>
        <v>0.4833447456398276</v>
      </c>
      <c r="AD21" s="450">
        <f t="shared" si="20"/>
        <v>0.80321913315505333</v>
      </c>
      <c r="AE21" s="437">
        <f t="shared" si="20"/>
        <v>0.73883470260991069</v>
      </c>
      <c r="AF21" s="412"/>
      <c r="AG21" s="412"/>
      <c r="AH21" s="412">
        <f>AH20/AD20*100-100</f>
        <v>-44.720145737797601</v>
      </c>
      <c r="AI21" s="412"/>
      <c r="AJ21" s="412">
        <f>AJ20/AE20*100-100</f>
        <v>-43.827160493827158</v>
      </c>
      <c r="AK21" s="412"/>
      <c r="AL21" s="412"/>
      <c r="AM21" s="412"/>
      <c r="AN21" s="412">
        <f t="shared" ref="AN21" si="21">AN20/AH20*100-100</f>
        <v>6.818181818181813</v>
      </c>
      <c r="AO21" s="412"/>
      <c r="AP21" s="412">
        <f t="shared" ref="AP21" si="22">AP20/AJ20*100-100</f>
        <v>6.5934065934065984</v>
      </c>
      <c r="AQ21" s="412"/>
      <c r="AR21" s="412">
        <f t="shared" ref="AR21" si="23">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4">SUM(F27:F29)</f>
        <v>869086</v>
      </c>
      <c r="G26" s="911">
        <f t="shared" si="24"/>
        <v>867337</v>
      </c>
      <c r="H26" s="911">
        <f t="shared" si="24"/>
        <v>872025</v>
      </c>
      <c r="I26" s="911">
        <f t="shared" si="24"/>
        <v>876385</v>
      </c>
      <c r="J26" s="911">
        <f t="shared" si="24"/>
        <v>907000</v>
      </c>
      <c r="K26" s="911">
        <f t="shared" si="24"/>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5">+D26/D26*100</f>
        <v>100</v>
      </c>
      <c r="E30" s="518"/>
      <c r="F30" s="918">
        <f t="shared" si="25"/>
        <v>100</v>
      </c>
      <c r="G30" s="918">
        <f t="shared" si="25"/>
        <v>100</v>
      </c>
      <c r="H30" s="918">
        <f t="shared" si="25"/>
        <v>100</v>
      </c>
      <c r="I30" s="918">
        <f t="shared" si="25"/>
        <v>100</v>
      </c>
      <c r="J30" s="918">
        <f t="shared" si="25"/>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6">+F27/F26*100</f>
        <v>35.678057177310421</v>
      </c>
      <c r="G31" s="895">
        <f t="shared" si="26"/>
        <v>31.983531199522215</v>
      </c>
      <c r="H31" s="895">
        <f t="shared" si="26"/>
        <v>28.886098449012355</v>
      </c>
      <c r="I31" s="895">
        <f t="shared" si="26"/>
        <v>26.099145923309962</v>
      </c>
      <c r="J31" s="895">
        <f t="shared" si="26"/>
        <v>39.900000000000006</v>
      </c>
      <c r="K31" s="895">
        <f t="shared" si="26"/>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7">+F28/F26*100</f>
        <v>27.842929238303228</v>
      </c>
      <c r="G32" s="895">
        <f t="shared" si="27"/>
        <v>30.605635410457527</v>
      </c>
      <c r="H32" s="895">
        <f t="shared" si="27"/>
        <v>30.500616381411085</v>
      </c>
      <c r="I32" s="895">
        <f t="shared" si="27"/>
        <v>30.409580264381518</v>
      </c>
      <c r="J32" s="895">
        <f t="shared" si="27"/>
        <v>24</v>
      </c>
      <c r="K32" s="895">
        <f t="shared" si="27"/>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8">+F29/F26*100</f>
        <v>36.479013584386358</v>
      </c>
      <c r="G33" s="895">
        <f t="shared" si="28"/>
        <v>37.410833390020258</v>
      </c>
      <c r="H33" s="895">
        <f t="shared" si="28"/>
        <v>40.613285169576564</v>
      </c>
      <c r="I33" s="895">
        <f t="shared" si="28"/>
        <v>43.491273812308521</v>
      </c>
      <c r="J33" s="895">
        <f t="shared" si="28"/>
        <v>36.1</v>
      </c>
      <c r="K33" s="895">
        <f t="shared" si="28"/>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1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890">
        <v>15</v>
      </c>
      <c r="B41" s="920" t="s">
        <v>507</v>
      </c>
      <c r="C41" s="892" t="s">
        <v>417</v>
      </c>
      <c r="D41" s="518"/>
      <c r="E41" s="518"/>
      <c r="F41" s="518"/>
      <c r="G41" s="518"/>
      <c r="H41" s="518"/>
      <c r="I41" s="518"/>
      <c r="J41" s="518"/>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53">
        <v>17</v>
      </c>
      <c r="B43" s="952" t="s">
        <v>874</v>
      </c>
      <c r="C43" s="951"/>
      <c r="D43" s="1049"/>
      <c r="E43" s="518"/>
      <c r="F43" s="518"/>
      <c r="G43" s="518"/>
      <c r="H43" s="518"/>
      <c r="I43" s="518"/>
      <c r="J43" s="518"/>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58"/>
      <c r="B67" s="959" t="s">
        <v>886</v>
      </c>
      <c r="C67" s="962" t="s">
        <v>894</v>
      </c>
      <c r="D67" s="976">
        <v>2.25</v>
      </c>
      <c r="E67" s="518"/>
      <c r="F67" s="982">
        <v>2.1</v>
      </c>
      <c r="G67" s="982">
        <v>2.1</v>
      </c>
      <c r="H67" s="982">
        <v>2.1</v>
      </c>
      <c r="I67" s="975">
        <v>2.25</v>
      </c>
      <c r="J67" s="976">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22">
        <v>91</v>
      </c>
      <c r="J82" s="1023">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50">
        <v>95</v>
      </c>
      <c r="J83" s="1023">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50">
        <v>95</v>
      </c>
      <c r="J84" s="1023">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50">
        <v>86</v>
      </c>
      <c r="J85" s="1023">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50">
        <v>86</v>
      </c>
      <c r="J86" s="1023">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51"/>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1052"/>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1" si="29">B130/100</f>
        <v>2510.61</v>
      </c>
    </row>
    <row r="131" spans="2:3">
      <c r="B131" s="427">
        <v>239481</v>
      </c>
      <c r="C131" s="428">
        <f t="shared" si="29"/>
        <v>2394.81</v>
      </c>
    </row>
    <row r="132" spans="2:3">
      <c r="B132" s="427">
        <v>338385</v>
      </c>
      <c r="C132" s="428">
        <f>B132/100</f>
        <v>3383.85</v>
      </c>
    </row>
    <row r="133" spans="2:3">
      <c r="B133" s="427">
        <v>152573</v>
      </c>
      <c r="C133" s="428">
        <f t="shared" si="29"/>
        <v>1525.73</v>
      </c>
    </row>
    <row r="134" spans="2:3">
      <c r="B134" s="427">
        <v>235826</v>
      </c>
      <c r="C134" s="428">
        <f t="shared" si="29"/>
        <v>2358.2600000000002</v>
      </c>
    </row>
    <row r="135" spans="2:3">
      <c r="B135" s="427">
        <v>143896</v>
      </c>
      <c r="C135" s="428">
        <f t="shared" si="29"/>
        <v>1438.96</v>
      </c>
    </row>
    <row r="136" spans="2:3">
      <c r="B136" s="427">
        <v>162170</v>
      </c>
      <c r="C136" s="428">
        <f t="shared" si="29"/>
        <v>1621.7</v>
      </c>
    </row>
    <row r="137" spans="2:3">
      <c r="B137" s="427">
        <v>331188</v>
      </c>
      <c r="C137" s="428">
        <f t="shared" si="29"/>
        <v>3311.88</v>
      </c>
    </row>
    <row r="138" spans="2:3">
      <c r="B138" s="427">
        <v>353668</v>
      </c>
      <c r="C138" s="428">
        <f t="shared" si="29"/>
        <v>3536.68</v>
      </c>
    </row>
    <row r="139" spans="2:3">
      <c r="B139" s="427">
        <v>634878</v>
      </c>
      <c r="C139" s="428">
        <f t="shared" si="29"/>
        <v>6348.78</v>
      </c>
    </row>
    <row r="140" spans="2:3">
      <c r="B140" s="427">
        <v>266901</v>
      </c>
      <c r="C140" s="428">
        <f t="shared" si="29"/>
        <v>2669.01</v>
      </c>
    </row>
    <row r="141" spans="2:3">
      <c r="B141" s="427">
        <v>522119</v>
      </c>
      <c r="C141" s="428">
        <f t="shared" si="29"/>
        <v>5221.1899999999996</v>
      </c>
    </row>
    <row r="142" spans="2:3">
      <c r="B142" s="427"/>
      <c r="C142" s="426">
        <f>SUM(C129:C141)</f>
        <v>40816.400000000001</v>
      </c>
    </row>
    <row r="143" spans="2:3">
      <c r="B143" s="427">
        <f>33123597</f>
        <v>33123597</v>
      </c>
      <c r="C143" s="667">
        <f>B143/100</f>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2">
    <mergeCell ref="A1:K1"/>
    <mergeCell ref="AA2:AR2"/>
    <mergeCell ref="A3:A4"/>
    <mergeCell ref="B3:B4"/>
    <mergeCell ref="C3:C4"/>
    <mergeCell ref="D3:D4"/>
    <mergeCell ref="K3:K4"/>
    <mergeCell ref="Y3:Z3"/>
    <mergeCell ref="AA3:AB3"/>
    <mergeCell ref="H3:H4"/>
    <mergeCell ref="I3:I4"/>
    <mergeCell ref="AC3:AD3"/>
    <mergeCell ref="AE3:AF3"/>
    <mergeCell ref="AG3:AH3"/>
    <mergeCell ref="AO3:AP3"/>
    <mergeCell ref="AQ3:AR3"/>
    <mergeCell ref="AS3:AT3"/>
    <mergeCell ref="AU3:AV3"/>
    <mergeCell ref="J3:J4"/>
    <mergeCell ref="AI3:AJ3"/>
    <mergeCell ref="AK3:AL3"/>
    <mergeCell ref="AM3:AN3"/>
  </mergeCells>
  <hyperlinks>
    <hyperlink ref="A3:A4" location="'Danh mục file'!A1" display="STT"/>
  </hyperlinks>
  <printOptions horizontalCentered="1"/>
  <pageMargins left="0" right="0" top="0.39370078740157483" bottom="0" header="0" footer="0"/>
  <pageSetup paperSize="9" scale="70" orientation="portrait" r:id="rId1"/>
  <headerFooter>
    <oddHeader>&amp;R&amp;A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FS24"/>
  <sheetViews>
    <sheetView workbookViewId="0">
      <selection activeCell="A4" sqref="A4:A6"/>
    </sheetView>
  </sheetViews>
  <sheetFormatPr defaultColWidth="9.109375" defaultRowHeight="18"/>
  <cols>
    <col min="1" max="1" width="9.109375" style="317"/>
    <col min="2" max="2" width="64" style="47" customWidth="1"/>
    <col min="3" max="4" width="12.88671875" style="47" customWidth="1"/>
    <col min="5" max="5" width="10.6640625" style="47" customWidth="1"/>
    <col min="6" max="9" width="11.33203125" style="47" customWidth="1"/>
    <col min="10" max="10" width="18.44140625" style="47" customWidth="1"/>
    <col min="11" max="16384" width="9.109375" style="47"/>
  </cols>
  <sheetData>
    <row r="1" spans="1:175">
      <c r="A1" s="6247" t="s">
        <v>1443</v>
      </c>
      <c r="B1" s="6248"/>
      <c r="C1" s="6248"/>
      <c r="D1" s="6248"/>
      <c r="E1" s="6248"/>
      <c r="F1" s="6248"/>
      <c r="G1" s="6248"/>
      <c r="H1" s="6248"/>
      <c r="I1" s="6248"/>
      <c r="J1" s="6248"/>
    </row>
    <row r="2" spans="1:175">
      <c r="A2" s="6247"/>
      <c r="B2" s="6247"/>
      <c r="C2" s="6247"/>
      <c r="D2" s="6247"/>
      <c r="E2" s="6247"/>
      <c r="F2" s="6247"/>
      <c r="G2" s="6247"/>
      <c r="H2" s="6247"/>
      <c r="I2" s="6247"/>
      <c r="J2" s="6247"/>
    </row>
    <row r="3" spans="1:175">
      <c r="I3" s="6251" t="s">
        <v>964</v>
      </c>
      <c r="J3" s="6251"/>
    </row>
    <row r="4" spans="1:175">
      <c r="A4" s="6253" t="s">
        <v>965</v>
      </c>
      <c r="B4" s="6254" t="s">
        <v>963</v>
      </c>
      <c r="C4" s="6254" t="s">
        <v>966</v>
      </c>
      <c r="D4" s="6254" t="s">
        <v>967</v>
      </c>
      <c r="E4" s="6254" t="s">
        <v>974</v>
      </c>
      <c r="F4" s="6255" t="s">
        <v>975</v>
      </c>
      <c r="G4" s="6255"/>
      <c r="H4" s="6255"/>
      <c r="I4" s="6255"/>
      <c r="J4" s="6255" t="s">
        <v>979</v>
      </c>
    </row>
    <row r="5" spans="1:175">
      <c r="A5" s="6253"/>
      <c r="B5" s="6254"/>
      <c r="C5" s="6254"/>
      <c r="D5" s="6254"/>
      <c r="E5" s="6254"/>
      <c r="F5" s="6257" t="s">
        <v>968</v>
      </c>
      <c r="G5" s="6257" t="s">
        <v>969</v>
      </c>
      <c r="H5" s="6249" t="s">
        <v>978</v>
      </c>
      <c r="I5" s="6255" t="s">
        <v>970</v>
      </c>
      <c r="J5" s="6255"/>
    </row>
    <row r="6" spans="1:175" ht="139.5" customHeight="1">
      <c r="A6" s="6253"/>
      <c r="B6" s="6254"/>
      <c r="C6" s="6254"/>
      <c r="D6" s="6254"/>
      <c r="E6" s="6254"/>
      <c r="F6" s="6257"/>
      <c r="G6" s="6257"/>
      <c r="H6" s="6250"/>
      <c r="I6" s="6255"/>
      <c r="J6" s="6255"/>
    </row>
    <row r="7" spans="1:175">
      <c r="A7" s="1071">
        <v>1</v>
      </c>
      <c r="B7" s="1071">
        <v>2</v>
      </c>
      <c r="C7" s="1071">
        <v>3</v>
      </c>
      <c r="D7" s="1071">
        <v>4</v>
      </c>
      <c r="E7" s="1071">
        <v>5</v>
      </c>
      <c r="F7" s="1071">
        <v>6</v>
      </c>
      <c r="G7" s="1071">
        <v>7</v>
      </c>
      <c r="H7" s="1071">
        <v>8</v>
      </c>
      <c r="I7" s="1071">
        <v>9</v>
      </c>
      <c r="J7" s="1071">
        <v>10</v>
      </c>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row>
    <row r="8" spans="1:175" s="49" customFormat="1" ht="114.75" customHeight="1">
      <c r="A8" s="1077">
        <v>1</v>
      </c>
      <c r="B8" s="1078" t="s">
        <v>973</v>
      </c>
      <c r="C8" s="2045"/>
      <c r="D8" s="2045"/>
      <c r="E8" s="2046">
        <f>SUM(E9:E10)</f>
        <v>101263</v>
      </c>
      <c r="F8" s="2047">
        <f>+F9</f>
        <v>13000</v>
      </c>
      <c r="G8" s="2047">
        <f>+G9</f>
        <v>6456</v>
      </c>
      <c r="H8" s="2047">
        <f>+H9</f>
        <v>7544</v>
      </c>
      <c r="I8" s="2047">
        <f>+I9</f>
        <v>14000</v>
      </c>
      <c r="J8" s="2048">
        <f>+E8-I8</f>
        <v>87263</v>
      </c>
    </row>
    <row r="9" spans="1:175">
      <c r="A9" s="1079" t="s">
        <v>29</v>
      </c>
      <c r="B9" s="1080" t="s">
        <v>976</v>
      </c>
      <c r="C9" s="1080"/>
      <c r="D9" s="1080"/>
      <c r="E9" s="1081">
        <f>+'Biểu Nợ vay'!I22</f>
        <v>101263</v>
      </c>
      <c r="F9" s="1082">
        <v>13000</v>
      </c>
      <c r="G9" s="1081">
        <v>6456</v>
      </c>
      <c r="H9" s="1087">
        <f>14000-G9</f>
        <v>7544</v>
      </c>
      <c r="I9" s="1083">
        <f>+H9+G9</f>
        <v>14000</v>
      </c>
      <c r="J9" s="328">
        <f>+E9-I9</f>
        <v>87263</v>
      </c>
    </row>
    <row r="10" spans="1:175">
      <c r="A10" s="1079" t="s">
        <v>29</v>
      </c>
      <c r="B10" s="1080" t="s">
        <v>977</v>
      </c>
      <c r="C10" s="1080"/>
      <c r="D10" s="1080"/>
      <c r="E10" s="1083"/>
      <c r="F10" s="1082">
        <v>3000</v>
      </c>
      <c r="G10" s="1083">
        <v>1547</v>
      </c>
      <c r="H10" s="1083">
        <f>+F10-G10</f>
        <v>1453</v>
      </c>
      <c r="I10" s="1083">
        <f>+H10+G10</f>
        <v>3000</v>
      </c>
      <c r="J10" s="328"/>
    </row>
    <row r="11" spans="1:175" s="49" customFormat="1" ht="17.399999999999999">
      <c r="A11" s="2049">
        <v>2</v>
      </c>
      <c r="B11" s="369" t="s">
        <v>1374</v>
      </c>
      <c r="C11" s="2050"/>
      <c r="D11" s="2050"/>
      <c r="E11" s="2051">
        <f>SUM(E13:E15)</f>
        <v>225231.34026</v>
      </c>
      <c r="F11" s="2052">
        <f t="shared" ref="F11:J11" si="0">SUM(F13:F15)</f>
        <v>0</v>
      </c>
      <c r="G11" s="2052">
        <f t="shared" si="0"/>
        <v>0</v>
      </c>
      <c r="H11" s="2052">
        <f t="shared" si="0"/>
        <v>59326</v>
      </c>
      <c r="I11" s="2052">
        <f t="shared" si="0"/>
        <v>59326</v>
      </c>
      <c r="J11" s="2052">
        <f t="shared" si="0"/>
        <v>165905.34026</v>
      </c>
    </row>
    <row r="12" spans="1:175">
      <c r="A12" s="1079"/>
      <c r="B12" s="369" t="s">
        <v>186</v>
      </c>
      <c r="C12" s="1080"/>
      <c r="D12" s="1080"/>
      <c r="E12" s="1083"/>
      <c r="F12" s="1083"/>
      <c r="G12" s="1083"/>
      <c r="H12" s="1083"/>
      <c r="I12" s="1083"/>
      <c r="J12" s="328"/>
    </row>
    <row r="13" spans="1:175">
      <c r="A13" s="1079" t="s">
        <v>29</v>
      </c>
      <c r="B13" s="370" t="s">
        <v>367</v>
      </c>
      <c r="C13" s="1080"/>
      <c r="D13" s="1080"/>
      <c r="E13" s="1083"/>
      <c r="F13" s="1083"/>
      <c r="G13" s="1083"/>
      <c r="H13" s="1083"/>
      <c r="I13" s="1083"/>
      <c r="J13" s="328"/>
    </row>
    <row r="14" spans="1:175">
      <c r="A14" s="1079" t="s">
        <v>29</v>
      </c>
      <c r="B14" s="370" t="s">
        <v>368</v>
      </c>
      <c r="C14" s="1080"/>
      <c r="D14" s="1080"/>
      <c r="E14" s="1081">
        <f>+'Biểu Nợ vay'!I37</f>
        <v>225231.34026</v>
      </c>
      <c r="F14" s="1083"/>
      <c r="G14" s="1083">
        <v>0</v>
      </c>
      <c r="H14" s="1083">
        <f>+'Biểu Nợ vay'!J37</f>
        <v>59326</v>
      </c>
      <c r="I14" s="1083">
        <f>+G14+H14</f>
        <v>59326</v>
      </c>
      <c r="J14" s="328">
        <f>+E14-I14</f>
        <v>165905.34026</v>
      </c>
    </row>
    <row r="15" spans="1:175">
      <c r="A15" s="1079" t="s">
        <v>29</v>
      </c>
      <c r="B15" s="370" t="s">
        <v>369</v>
      </c>
      <c r="C15" s="1080"/>
      <c r="D15" s="1080"/>
      <c r="E15" s="1083"/>
      <c r="F15" s="1083"/>
      <c r="G15" s="1083"/>
      <c r="H15" s="1083"/>
      <c r="I15" s="1083"/>
      <c r="J15" s="328"/>
    </row>
    <row r="16" spans="1:175">
      <c r="A16" s="1084"/>
      <c r="B16" s="1085" t="s">
        <v>387</v>
      </c>
      <c r="C16" s="921"/>
      <c r="D16" s="921"/>
      <c r="E16" s="1086">
        <f>+E11+E8</f>
        <v>326494.34025999997</v>
      </c>
      <c r="F16" s="1086">
        <f t="shared" ref="F16:I16" si="1">+F11+F8</f>
        <v>13000</v>
      </c>
      <c r="G16" s="1086">
        <f t="shared" si="1"/>
        <v>6456</v>
      </c>
      <c r="H16" s="1086">
        <f t="shared" si="1"/>
        <v>66870</v>
      </c>
      <c r="I16" s="1086">
        <f t="shared" si="1"/>
        <v>73326</v>
      </c>
      <c r="J16" s="1086">
        <f>+J11+J8</f>
        <v>253168.34026</v>
      </c>
    </row>
    <row r="17" spans="2:175">
      <c r="B17" s="6256"/>
      <c r="C17" s="6256"/>
      <c r="D17" s="6256"/>
      <c r="E17" s="6256"/>
      <c r="F17" s="6256"/>
      <c r="G17" s="6256"/>
      <c r="H17" s="6256"/>
      <c r="I17" s="6256"/>
      <c r="J17" s="6256"/>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c r="BF17" s="1070"/>
      <c r="BG17" s="1070"/>
      <c r="BH17" s="1070"/>
      <c r="BI17" s="1070"/>
      <c r="BJ17" s="1070"/>
      <c r="BK17" s="1070"/>
      <c r="BL17" s="1070"/>
      <c r="BM17" s="1070"/>
      <c r="BN17" s="1070"/>
      <c r="BO17" s="1070"/>
      <c r="BP17" s="1070"/>
      <c r="BQ17" s="1070"/>
      <c r="BR17" s="1070"/>
      <c r="BS17" s="1070"/>
      <c r="BT17" s="1070"/>
      <c r="BU17" s="1070"/>
      <c r="BV17" s="1070"/>
      <c r="BW17" s="1070"/>
      <c r="BX17" s="1070"/>
      <c r="BY17" s="1070"/>
      <c r="BZ17" s="1070"/>
      <c r="CA17" s="1070"/>
      <c r="CB17" s="1070"/>
      <c r="CC17" s="1070"/>
      <c r="CD17" s="1070"/>
      <c r="CE17" s="1070"/>
      <c r="CF17" s="1070"/>
      <c r="CG17" s="1070"/>
      <c r="CH17" s="1070"/>
      <c r="CI17" s="1070"/>
      <c r="CJ17" s="1070"/>
      <c r="CK17" s="1070"/>
      <c r="CL17" s="1070"/>
      <c r="CM17" s="1070"/>
      <c r="CN17" s="1070"/>
      <c r="CO17" s="1070"/>
      <c r="CP17" s="1070"/>
      <c r="CQ17" s="1070"/>
      <c r="CR17" s="1070"/>
      <c r="CS17" s="1070"/>
      <c r="CT17" s="1070"/>
      <c r="CU17" s="1070"/>
      <c r="CV17" s="1070"/>
      <c r="CW17" s="1070"/>
      <c r="CX17" s="1070"/>
      <c r="CY17" s="1070"/>
      <c r="CZ17" s="1070"/>
      <c r="DA17" s="1070"/>
      <c r="DB17" s="1070"/>
      <c r="DC17" s="1070"/>
      <c r="DD17" s="1070"/>
      <c r="DE17" s="1070"/>
      <c r="DF17" s="1070"/>
      <c r="DG17" s="1070"/>
      <c r="DH17" s="1070"/>
      <c r="DI17" s="1070"/>
      <c r="DJ17" s="1070"/>
      <c r="DK17" s="1070"/>
      <c r="DL17" s="1070"/>
      <c r="DM17" s="1070"/>
      <c r="DN17" s="1070"/>
      <c r="DO17" s="1070"/>
      <c r="DP17" s="1070"/>
      <c r="DQ17" s="1070"/>
      <c r="DR17" s="1070"/>
      <c r="DS17" s="1070"/>
      <c r="DT17" s="1070"/>
      <c r="DU17" s="1070"/>
      <c r="DV17" s="1070"/>
      <c r="DW17" s="1070"/>
      <c r="DX17" s="1070"/>
      <c r="DY17" s="1070"/>
      <c r="DZ17" s="1070"/>
      <c r="EA17" s="1070"/>
      <c r="EB17" s="1070"/>
      <c r="EC17" s="1070"/>
      <c r="ED17" s="1070"/>
      <c r="EE17" s="1070"/>
      <c r="EF17" s="1070"/>
      <c r="EG17" s="1070"/>
      <c r="EH17" s="1070"/>
      <c r="EI17" s="1070"/>
      <c r="EJ17" s="1070"/>
      <c r="EK17" s="1070"/>
      <c r="EL17" s="1070"/>
      <c r="EM17" s="1070"/>
      <c r="EN17" s="1070"/>
      <c r="EO17" s="1070"/>
      <c r="EP17" s="1070"/>
      <c r="EQ17" s="1070"/>
      <c r="ER17" s="1070"/>
      <c r="ES17" s="1070"/>
      <c r="ET17" s="1070"/>
      <c r="EU17" s="1070"/>
      <c r="EV17" s="1070"/>
      <c r="EW17" s="1070"/>
      <c r="EX17" s="1070"/>
      <c r="EY17" s="1070"/>
      <c r="EZ17" s="1070"/>
      <c r="FA17" s="1070"/>
      <c r="FB17" s="1070"/>
      <c r="FC17" s="1070"/>
      <c r="FD17" s="1070"/>
      <c r="FE17" s="1070"/>
      <c r="FF17" s="1070"/>
      <c r="FG17" s="1070"/>
      <c r="FH17" s="1070"/>
      <c r="FI17" s="1070"/>
      <c r="FJ17" s="1070"/>
      <c r="FK17" s="1070"/>
      <c r="FL17" s="1070"/>
      <c r="FM17" s="1070"/>
      <c r="FN17" s="1070"/>
      <c r="FO17" s="1070"/>
      <c r="FP17" s="1070"/>
      <c r="FQ17" s="1070"/>
      <c r="FR17" s="1070"/>
      <c r="FS17" s="1070"/>
    </row>
    <row r="19" spans="2:175" hidden="1">
      <c r="B19" s="1073"/>
      <c r="C19" s="1074"/>
      <c r="D19" s="1074"/>
      <c r="E19" s="1074"/>
      <c r="F19" s="6252" t="s">
        <v>971</v>
      </c>
      <c r="G19" s="6252"/>
      <c r="H19" s="6252"/>
      <c r="I19" s="6252"/>
      <c r="J19" s="6252"/>
    </row>
    <row r="20" spans="2:175" hidden="1">
      <c r="B20" s="1075"/>
      <c r="C20" s="1076"/>
      <c r="D20" s="1076"/>
      <c r="E20" s="1076"/>
      <c r="F20" s="6259" t="s">
        <v>972</v>
      </c>
      <c r="G20" s="6259"/>
      <c r="H20" s="6259"/>
      <c r="I20" s="6259"/>
      <c r="J20" s="6259"/>
    </row>
    <row r="21" spans="2:175" hidden="1">
      <c r="F21" s="6080" t="s">
        <v>629</v>
      </c>
      <c r="G21" s="6080"/>
      <c r="H21" s="6080"/>
      <c r="I21" s="6080"/>
      <c r="J21" s="6080"/>
    </row>
    <row r="22" spans="2:175" hidden="1">
      <c r="F22" s="6258" t="s">
        <v>630</v>
      </c>
      <c r="G22" s="6258"/>
      <c r="H22" s="6258"/>
      <c r="I22" s="6258"/>
      <c r="J22" s="6258"/>
    </row>
    <row r="23" spans="2:175" hidden="1"/>
    <row r="24" spans="2:175" hidden="1"/>
  </sheetData>
  <mergeCells count="19">
    <mergeCell ref="F22:J22"/>
    <mergeCell ref="G5:G6"/>
    <mergeCell ref="F20:J20"/>
    <mergeCell ref="F21:J21"/>
    <mergeCell ref="A1:J1"/>
    <mergeCell ref="H5:H6"/>
    <mergeCell ref="I3:J3"/>
    <mergeCell ref="A2:J2"/>
    <mergeCell ref="F19:J19"/>
    <mergeCell ref="A4:A6"/>
    <mergeCell ref="D4:D6"/>
    <mergeCell ref="E4:E6"/>
    <mergeCell ref="F4:I4"/>
    <mergeCell ref="B17:J17"/>
    <mergeCell ref="J4:J6"/>
    <mergeCell ref="F5:F6"/>
    <mergeCell ref="I5:I6"/>
    <mergeCell ref="B4:B6"/>
    <mergeCell ref="C4:C6"/>
  </mergeCells>
  <hyperlinks>
    <hyperlink ref="A4:A6"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00000"/>
  </sheetPr>
  <dimension ref="A5:AB103"/>
  <sheetViews>
    <sheetView workbookViewId="0">
      <pane xSplit="2" ySplit="10" topLeftCell="G11" activePane="bottomRight" state="frozen"/>
      <selection activeCell="A51" sqref="A51"/>
      <selection pane="topRight" activeCell="A51" sqref="A51"/>
      <selection pane="bottomLeft" activeCell="A51" sqref="A51"/>
      <selection pane="bottomRight" activeCell="A6" sqref="A6:A7"/>
    </sheetView>
  </sheetViews>
  <sheetFormatPr defaultRowHeight="14.4"/>
  <cols>
    <col min="1" max="1" width="4.33203125" customWidth="1"/>
    <col min="2" max="2" width="69.5546875" customWidth="1"/>
    <col min="3" max="6" width="9" hidden="1" customWidth="1"/>
    <col min="7" max="12" width="9" customWidth="1"/>
    <col min="13" max="28" width="9" hidden="1" customWidth="1"/>
  </cols>
  <sheetData>
    <row r="5" spans="1:28" ht="15" thickBot="1"/>
    <row r="6" spans="1:28" ht="49.5" customHeight="1">
      <c r="A6" s="6205" t="s">
        <v>247</v>
      </c>
      <c r="B6" s="6199" t="s">
        <v>248</v>
      </c>
      <c r="C6" s="6198" t="s">
        <v>322</v>
      </c>
      <c r="D6" s="6198"/>
      <c r="E6" s="6198" t="s">
        <v>323</v>
      </c>
      <c r="F6" s="6198"/>
      <c r="G6" s="6198" t="s">
        <v>324</v>
      </c>
      <c r="H6" s="6198"/>
      <c r="I6" s="6198" t="s">
        <v>290</v>
      </c>
      <c r="J6" s="6198"/>
      <c r="K6" s="6198" t="s">
        <v>325</v>
      </c>
      <c r="L6" s="6198"/>
      <c r="M6" s="6198" t="s">
        <v>326</v>
      </c>
      <c r="N6" s="6198"/>
      <c r="O6" s="6199" t="s">
        <v>358</v>
      </c>
      <c r="P6" s="6199"/>
      <c r="Q6" s="6199" t="s">
        <v>359</v>
      </c>
      <c r="R6" s="6199"/>
      <c r="S6" s="6199" t="s">
        <v>360</v>
      </c>
      <c r="T6" s="6199"/>
      <c r="U6" s="6199" t="s">
        <v>361</v>
      </c>
      <c r="V6" s="6263"/>
      <c r="W6" s="6260" t="s">
        <v>364</v>
      </c>
      <c r="X6" s="6261"/>
      <c r="Y6" s="6262" t="s">
        <v>365</v>
      </c>
      <c r="Z6" s="6261"/>
      <c r="AA6" s="6262" t="s">
        <v>366</v>
      </c>
      <c r="AB6" s="6261"/>
    </row>
    <row r="7" spans="1:28" ht="34.799999999999997">
      <c r="A7" s="6206"/>
      <c r="B7" s="6207"/>
      <c r="C7" s="482" t="s">
        <v>327</v>
      </c>
      <c r="D7" s="482" t="s">
        <v>328</v>
      </c>
      <c r="E7" s="482" t="s">
        <v>327</v>
      </c>
      <c r="F7" s="482" t="s">
        <v>328</v>
      </c>
      <c r="G7" s="482" t="s">
        <v>327</v>
      </c>
      <c r="H7" s="482" t="s">
        <v>328</v>
      </c>
      <c r="I7" s="482" t="s">
        <v>327</v>
      </c>
      <c r="J7" s="482" t="s">
        <v>328</v>
      </c>
      <c r="K7" s="482" t="s">
        <v>327</v>
      </c>
      <c r="L7" s="482" t="s">
        <v>328</v>
      </c>
      <c r="M7" s="482" t="s">
        <v>327</v>
      </c>
      <c r="N7" s="482" t="s">
        <v>328</v>
      </c>
      <c r="O7" s="63" t="s">
        <v>327</v>
      </c>
      <c r="P7" s="63" t="s">
        <v>328</v>
      </c>
      <c r="Q7" s="63" t="s">
        <v>327</v>
      </c>
      <c r="R7" s="63" t="s">
        <v>328</v>
      </c>
      <c r="S7" s="63" t="s">
        <v>327</v>
      </c>
      <c r="T7" s="63" t="s">
        <v>328</v>
      </c>
      <c r="U7" s="63" t="s">
        <v>327</v>
      </c>
      <c r="V7" s="556" t="s">
        <v>328</v>
      </c>
      <c r="W7" s="540" t="s">
        <v>327</v>
      </c>
      <c r="X7" s="538" t="s">
        <v>328</v>
      </c>
      <c r="Y7" s="538" t="s">
        <v>327</v>
      </c>
      <c r="Z7" s="538" t="s">
        <v>328</v>
      </c>
      <c r="AA7" s="538" t="s">
        <v>327</v>
      </c>
      <c r="AB7" s="538" t="s">
        <v>328</v>
      </c>
    </row>
    <row r="8" spans="1:28" ht="18">
      <c r="A8" s="557"/>
      <c r="B8" s="63"/>
      <c r="C8" s="482"/>
      <c r="D8" s="482"/>
      <c r="E8" s="482"/>
      <c r="F8" s="482"/>
      <c r="G8" s="482">
        <v>1</v>
      </c>
      <c r="H8" s="482">
        <v>2</v>
      </c>
      <c r="I8" s="482"/>
      <c r="J8" s="482">
        <v>3</v>
      </c>
      <c r="K8" s="482">
        <v>5</v>
      </c>
      <c r="L8" s="482"/>
      <c r="M8" s="482"/>
      <c r="N8" s="482">
        <v>6</v>
      </c>
      <c r="O8" s="482"/>
      <c r="P8" s="483"/>
      <c r="Q8" s="483"/>
      <c r="R8" s="483"/>
      <c r="S8" s="483"/>
      <c r="T8" s="483"/>
      <c r="U8" s="483"/>
      <c r="V8" s="558"/>
      <c r="W8" s="541"/>
      <c r="X8" s="536"/>
      <c r="Y8" s="537"/>
      <c r="Z8" s="537"/>
      <c r="AA8" s="537"/>
      <c r="AB8" s="537"/>
    </row>
    <row r="9" spans="1:28" s="365" customFormat="1" ht="18">
      <c r="A9" s="559"/>
      <c r="B9" s="364" t="s">
        <v>362</v>
      </c>
      <c r="C9" s="485">
        <f>'Biểu số 1'!AU73</f>
        <v>6480440</v>
      </c>
      <c r="D9" s="485">
        <f>'Biểu số 1'!AV73</f>
        <v>6073802</v>
      </c>
      <c r="E9" s="485">
        <f>'Biểu số 1'!AW73</f>
        <v>5809777</v>
      </c>
      <c r="F9" s="485">
        <f>'Biểu số 1'!AX73</f>
        <v>6865963</v>
      </c>
      <c r="G9" s="485">
        <f>'Biểu số 1'!AY73</f>
        <v>6704000</v>
      </c>
      <c r="H9" s="485">
        <f>'Biểu số 1'!AZ73</f>
        <v>7489211</v>
      </c>
      <c r="I9" s="485">
        <f>'Phụ lục số I'!G10</f>
        <v>8892984.1620000005</v>
      </c>
      <c r="J9" s="485">
        <f>'Phụ lục số I'!N10</f>
        <v>8321554.0323476475</v>
      </c>
      <c r="K9" s="485">
        <f>'Phụ lục số I'!T10</f>
        <v>8582919.8297451045</v>
      </c>
      <c r="L9" s="485">
        <f>K9</f>
        <v>8582919.8297451045</v>
      </c>
      <c r="M9" s="485">
        <f>'Phụ lục số I'!Z10</f>
        <v>8733000.4026917573</v>
      </c>
      <c r="N9" s="485">
        <f>'Phụ lục số I'!AF10</f>
        <v>8897080.397570271</v>
      </c>
      <c r="O9" s="486">
        <f>'Phụ lục số I'!AF10</f>
        <v>8897080.397570271</v>
      </c>
      <c r="P9" s="487">
        <f>O9</f>
        <v>8897080.397570271</v>
      </c>
      <c r="Q9" s="487">
        <f>'Phụ lục số I'!AL10</f>
        <v>11707748.897346757</v>
      </c>
      <c r="R9" s="487">
        <f>Q9</f>
        <v>11707748.897346757</v>
      </c>
      <c r="S9" s="487">
        <f>'Phụ lục số I'!AR10</f>
        <v>12703027.248075902</v>
      </c>
      <c r="T9" s="487">
        <f>S9</f>
        <v>12703027.248075902</v>
      </c>
      <c r="U9" s="487">
        <f>'Phụ lục số I'!AX10</f>
        <v>13858437.191756533</v>
      </c>
      <c r="V9" s="560">
        <f>U9</f>
        <v>13858437.191756533</v>
      </c>
      <c r="W9" s="542">
        <f>C9+E9+G9+I9+K9</f>
        <v>36470120.991745107</v>
      </c>
      <c r="X9" s="534">
        <f>D9+F9+H9+J9+L9</f>
        <v>37333449.862092756</v>
      </c>
      <c r="Y9" s="535"/>
      <c r="Z9" s="535"/>
      <c r="AA9" s="535"/>
      <c r="AB9" s="535"/>
    </row>
    <row r="10" spans="1:28" ht="17.399999999999999">
      <c r="A10" s="561" t="s">
        <v>1</v>
      </c>
      <c r="B10" s="366" t="s">
        <v>363</v>
      </c>
      <c r="C10" s="489">
        <f t="shared" ref="C10:X10" si="0">C9*20%</f>
        <v>1296088</v>
      </c>
      <c r="D10" s="489">
        <f t="shared" si="0"/>
        <v>1214760.4000000001</v>
      </c>
      <c r="E10" s="489">
        <f t="shared" si="0"/>
        <v>1161955.4000000001</v>
      </c>
      <c r="F10" s="489">
        <f t="shared" si="0"/>
        <v>1373192.6</v>
      </c>
      <c r="G10" s="489">
        <f t="shared" si="0"/>
        <v>1340800</v>
      </c>
      <c r="H10" s="489">
        <f t="shared" si="0"/>
        <v>1497842.2000000002</v>
      </c>
      <c r="I10" s="489">
        <f t="shared" si="0"/>
        <v>1778596.8324000002</v>
      </c>
      <c r="J10" s="489">
        <f t="shared" si="0"/>
        <v>1664310.8064695296</v>
      </c>
      <c r="K10" s="489">
        <f t="shared" si="0"/>
        <v>1716583.965949021</v>
      </c>
      <c r="L10" s="489">
        <f t="shared" si="0"/>
        <v>1716583.965949021</v>
      </c>
      <c r="M10" s="489">
        <f t="shared" si="0"/>
        <v>1746600.0805383516</v>
      </c>
      <c r="N10" s="489">
        <f t="shared" si="0"/>
        <v>1779416.0795140543</v>
      </c>
      <c r="O10" s="489">
        <f t="shared" si="0"/>
        <v>1779416.0795140543</v>
      </c>
      <c r="P10" s="489">
        <f t="shared" si="0"/>
        <v>1779416.0795140543</v>
      </c>
      <c r="Q10" s="489">
        <f t="shared" si="0"/>
        <v>2341549.7794693517</v>
      </c>
      <c r="R10" s="489">
        <f t="shared" si="0"/>
        <v>2341549.7794693517</v>
      </c>
      <c r="S10" s="489">
        <f t="shared" si="0"/>
        <v>2540605.4496151805</v>
      </c>
      <c r="T10" s="489">
        <f t="shared" si="0"/>
        <v>2540605.4496151805</v>
      </c>
      <c r="U10" s="489">
        <f t="shared" si="0"/>
        <v>2771687.4383513071</v>
      </c>
      <c r="V10" s="562">
        <f t="shared" si="0"/>
        <v>2771687.4383513071</v>
      </c>
      <c r="W10" s="543">
        <f t="shared" si="0"/>
        <v>7294024.1983490214</v>
      </c>
      <c r="X10" s="490">
        <f t="shared" si="0"/>
        <v>7466689.9724185513</v>
      </c>
      <c r="Y10" s="484"/>
      <c r="Z10" s="484"/>
      <c r="AA10" s="484"/>
      <c r="AB10" s="484"/>
    </row>
    <row r="11" spans="1:28" ht="18">
      <c r="A11" s="563" t="s">
        <v>37</v>
      </c>
      <c r="B11" s="367" t="s">
        <v>329</v>
      </c>
      <c r="C11" s="524">
        <v>123200</v>
      </c>
      <c r="D11" s="524">
        <v>123200</v>
      </c>
      <c r="E11" s="580">
        <v>72661</v>
      </c>
      <c r="F11" s="580">
        <v>286642.34025999997</v>
      </c>
      <c r="G11" s="524">
        <v>247800</v>
      </c>
      <c r="H11" s="524">
        <v>247800</v>
      </c>
      <c r="I11" s="524"/>
      <c r="J11" s="524">
        <v>0</v>
      </c>
      <c r="K11" s="524">
        <v>0</v>
      </c>
      <c r="L11" s="524"/>
      <c r="M11" s="524"/>
      <c r="N11" s="524">
        <v>0</v>
      </c>
      <c r="O11" s="524"/>
      <c r="P11" s="581"/>
      <c r="Q11" s="581"/>
      <c r="R11" s="581"/>
      <c r="S11" s="581"/>
      <c r="T11" s="581"/>
      <c r="U11" s="581"/>
      <c r="V11" s="582"/>
      <c r="W11" s="544"/>
      <c r="X11" s="488"/>
      <c r="Y11" s="484"/>
      <c r="Z11" s="484"/>
      <c r="AA11" s="484"/>
      <c r="AB11" s="484"/>
    </row>
    <row r="12" spans="1:28" ht="18">
      <c r="A12" s="563" t="s">
        <v>44</v>
      </c>
      <c r="B12" s="367" t="s">
        <v>330</v>
      </c>
      <c r="C12" s="524">
        <v>123200</v>
      </c>
      <c r="D12" s="524">
        <v>123200</v>
      </c>
      <c r="E12" s="580">
        <v>72661</v>
      </c>
      <c r="F12" s="580">
        <v>286642.34025999997</v>
      </c>
      <c r="G12" s="524">
        <f>247800</f>
        <v>247800</v>
      </c>
      <c r="H12" s="524">
        <f>247800</f>
        <v>247800</v>
      </c>
      <c r="I12" s="524"/>
      <c r="J12" s="524">
        <v>0</v>
      </c>
      <c r="K12" s="524">
        <v>0</v>
      </c>
      <c r="L12" s="524"/>
      <c r="M12" s="524"/>
      <c r="N12" s="524">
        <v>0</v>
      </c>
      <c r="O12" s="524"/>
      <c r="P12" s="581"/>
      <c r="Q12" s="581"/>
      <c r="R12" s="581"/>
      <c r="S12" s="581"/>
      <c r="T12" s="581"/>
      <c r="U12" s="581"/>
      <c r="V12" s="582"/>
      <c r="W12" s="544"/>
      <c r="X12" s="488"/>
      <c r="Y12" s="484"/>
      <c r="Z12" s="484"/>
      <c r="AA12" s="484"/>
      <c r="AB12" s="484"/>
    </row>
    <row r="13" spans="1:28" ht="17.399999999999999">
      <c r="A13" s="563" t="s">
        <v>3</v>
      </c>
      <c r="B13" s="367" t="s">
        <v>331</v>
      </c>
      <c r="C13" s="491">
        <f t="shared" ref="C13:F13" si="1">SUM(C15,C20:C23)</f>
        <v>438283.16586000001</v>
      </c>
      <c r="D13" s="491">
        <f t="shared" si="1"/>
        <v>438283.16586000001</v>
      </c>
      <c r="E13" s="491">
        <f t="shared" si="1"/>
        <v>406330.14125300001</v>
      </c>
      <c r="F13" s="491">
        <f t="shared" si="1"/>
        <v>406330.14125300001</v>
      </c>
      <c r="G13" s="491">
        <f t="shared" ref="G13:V13" si="2">SUM(G15,G20:G23)</f>
        <v>367690.65598299995</v>
      </c>
      <c r="H13" s="491">
        <f t="shared" si="2"/>
        <v>367690.65598299995</v>
      </c>
      <c r="I13" s="491">
        <f t="shared" si="2"/>
        <v>326494.34025999997</v>
      </c>
      <c r="J13" s="491">
        <f t="shared" si="2"/>
        <v>326493.97387699998</v>
      </c>
      <c r="K13" s="491">
        <f t="shared" si="2"/>
        <v>253167.63361699998</v>
      </c>
      <c r="L13" s="491">
        <f t="shared" si="2"/>
        <v>253168</v>
      </c>
      <c r="M13" s="491">
        <f t="shared" si="2"/>
        <v>66419.633616999985</v>
      </c>
      <c r="N13" s="491">
        <f t="shared" si="2"/>
        <v>66419.633616999985</v>
      </c>
      <c r="O13" s="491">
        <f t="shared" si="2"/>
        <v>45419.633616999985</v>
      </c>
      <c r="P13" s="491">
        <f t="shared" si="2"/>
        <v>45419.633616999985</v>
      </c>
      <c r="Q13" s="491">
        <f t="shared" si="2"/>
        <v>23419.633616999985</v>
      </c>
      <c r="R13" s="491">
        <f t="shared" si="2"/>
        <v>23419.633616999985</v>
      </c>
      <c r="S13" s="491">
        <f t="shared" si="2"/>
        <v>1419.633616999985</v>
      </c>
      <c r="T13" s="491">
        <f t="shared" si="2"/>
        <v>1419.633616999985</v>
      </c>
      <c r="U13" s="491">
        <f t="shared" si="2"/>
        <v>0</v>
      </c>
      <c r="V13" s="525">
        <f t="shared" si="2"/>
        <v>0</v>
      </c>
      <c r="W13" s="545">
        <f t="shared" ref="W13:AB13" si="3">SUM(W15,W20:W23)</f>
        <v>0</v>
      </c>
      <c r="X13" s="491">
        <f t="shared" si="3"/>
        <v>1791965.9369729997</v>
      </c>
      <c r="Y13" s="491">
        <f t="shared" si="3"/>
        <v>0</v>
      </c>
      <c r="Z13" s="491">
        <f t="shared" si="3"/>
        <v>0</v>
      </c>
      <c r="AA13" s="491">
        <f t="shared" si="3"/>
        <v>0</v>
      </c>
      <c r="AB13" s="525">
        <f t="shared" si="3"/>
        <v>0</v>
      </c>
    </row>
    <row r="14" spans="1:28" ht="18">
      <c r="A14" s="564"/>
      <c r="B14" s="368" t="s">
        <v>332</v>
      </c>
      <c r="C14" s="539">
        <f>C13/C10</f>
        <v>0.33815849375968299</v>
      </c>
      <c r="D14" s="539">
        <f t="shared" ref="D14:V14" si="4">D13/D10</f>
        <v>0.360798035447978</v>
      </c>
      <c r="E14" s="539">
        <f t="shared" si="4"/>
        <v>0.34969512707028166</v>
      </c>
      <c r="F14" s="539">
        <f t="shared" si="4"/>
        <v>0.29590178482828994</v>
      </c>
      <c r="G14" s="539">
        <f t="shared" si="4"/>
        <v>0.27423229115677206</v>
      </c>
      <c r="H14" s="539">
        <f t="shared" si="4"/>
        <v>0.24548023549009362</v>
      </c>
      <c r="I14" s="539">
        <f t="shared" si="4"/>
        <v>0.1835684930459679</v>
      </c>
      <c r="J14" s="539">
        <f t="shared" si="4"/>
        <v>0.19617367898342578</v>
      </c>
      <c r="K14" s="539">
        <f t="shared" si="4"/>
        <v>0.14748339646586128</v>
      </c>
      <c r="L14" s="539">
        <f t="shared" si="4"/>
        <v>0.14748360990313394</v>
      </c>
      <c r="M14" s="539">
        <f t="shared" si="4"/>
        <v>3.8027957491292209E-2</v>
      </c>
      <c r="N14" s="539">
        <f t="shared" si="4"/>
        <v>3.7326645736020722E-2</v>
      </c>
      <c r="O14" s="539">
        <f t="shared" si="4"/>
        <v>2.5525021460637672E-2</v>
      </c>
      <c r="P14" s="539">
        <f t="shared" si="4"/>
        <v>2.5525021460637672E-2</v>
      </c>
      <c r="Q14" s="539">
        <f t="shared" si="4"/>
        <v>1.0001766275627676E-2</v>
      </c>
      <c r="R14" s="539">
        <f t="shared" si="4"/>
        <v>1.0001766275627676E-2</v>
      </c>
      <c r="S14" s="539">
        <f t="shared" si="4"/>
        <v>5.5877767923981012E-4</v>
      </c>
      <c r="T14" s="539">
        <f t="shared" si="4"/>
        <v>5.5877767923981012E-4</v>
      </c>
      <c r="U14" s="539">
        <f t="shared" si="4"/>
        <v>0</v>
      </c>
      <c r="V14" s="565">
        <f t="shared" si="4"/>
        <v>0</v>
      </c>
      <c r="W14" s="546"/>
      <c r="X14" s="494"/>
      <c r="Y14" s="494"/>
      <c r="Z14" s="494"/>
      <c r="AA14" s="494"/>
      <c r="AB14" s="526"/>
    </row>
    <row r="15" spans="1:28" ht="17.399999999999999">
      <c r="A15" s="566">
        <v>1</v>
      </c>
      <c r="B15" s="369" t="s">
        <v>333</v>
      </c>
      <c r="C15" s="497">
        <f t="shared" ref="C15" si="5">SUM(C17:C19)</f>
        <v>411715.34425999998</v>
      </c>
      <c r="D15" s="497">
        <f t="shared" ref="D15:J15" si="6">SUM(D17:D19)</f>
        <v>411715.34425999998</v>
      </c>
      <c r="E15" s="497">
        <f t="shared" si="6"/>
        <v>339054.01225999999</v>
      </c>
      <c r="F15" s="497">
        <f t="shared" si="6"/>
        <v>339054.01225999999</v>
      </c>
      <c r="G15" s="497">
        <f t="shared" si="6"/>
        <v>272642.68025999999</v>
      </c>
      <c r="H15" s="497">
        <f t="shared" si="6"/>
        <v>272642.68025999999</v>
      </c>
      <c r="I15" s="497">
        <f t="shared" si="6"/>
        <v>225231.34026</v>
      </c>
      <c r="J15" s="497">
        <f t="shared" si="6"/>
        <v>225231.34026</v>
      </c>
      <c r="K15" s="497">
        <f t="shared" ref="K15:V15" si="7">SUM(K17:K19)</f>
        <v>165905</v>
      </c>
      <c r="L15" s="497">
        <f t="shared" si="7"/>
        <v>165905</v>
      </c>
      <c r="M15" s="497">
        <f t="shared" si="7"/>
        <v>0</v>
      </c>
      <c r="N15" s="497">
        <f t="shared" si="7"/>
        <v>0</v>
      </c>
      <c r="O15" s="497">
        <f t="shared" si="7"/>
        <v>0</v>
      </c>
      <c r="P15" s="497">
        <f t="shared" si="7"/>
        <v>0</v>
      </c>
      <c r="Q15" s="497">
        <f t="shared" si="7"/>
        <v>0</v>
      </c>
      <c r="R15" s="497">
        <f t="shared" si="7"/>
        <v>0</v>
      </c>
      <c r="S15" s="497">
        <f t="shared" si="7"/>
        <v>0</v>
      </c>
      <c r="T15" s="497">
        <f t="shared" si="7"/>
        <v>0</v>
      </c>
      <c r="U15" s="497">
        <f t="shared" si="7"/>
        <v>0</v>
      </c>
      <c r="V15" s="527">
        <f t="shared" si="7"/>
        <v>0</v>
      </c>
      <c r="W15" s="547">
        <f t="shared" ref="W15:AB15" si="8">SUM(W17:W19)</f>
        <v>0</v>
      </c>
      <c r="X15" s="497">
        <f t="shared" si="8"/>
        <v>1414548.3770399997</v>
      </c>
      <c r="Y15" s="497">
        <f t="shared" si="8"/>
        <v>0</v>
      </c>
      <c r="Z15" s="497">
        <f t="shared" si="8"/>
        <v>0</v>
      </c>
      <c r="AA15" s="497">
        <f t="shared" si="8"/>
        <v>0</v>
      </c>
      <c r="AB15" s="527">
        <f t="shared" si="8"/>
        <v>0</v>
      </c>
    </row>
    <row r="16" spans="1:28" ht="17.399999999999999">
      <c r="A16" s="566"/>
      <c r="B16" s="369" t="s">
        <v>234</v>
      </c>
      <c r="C16" s="497"/>
      <c r="D16" s="497"/>
      <c r="E16" s="497"/>
      <c r="F16" s="497"/>
      <c r="G16" s="497"/>
      <c r="H16" s="497"/>
      <c r="I16" s="497"/>
      <c r="J16" s="497"/>
      <c r="K16" s="497"/>
      <c r="L16" s="497"/>
      <c r="M16" s="497"/>
      <c r="N16" s="497"/>
      <c r="O16" s="498"/>
      <c r="P16" s="493"/>
      <c r="Q16" s="493"/>
      <c r="R16" s="493"/>
      <c r="S16" s="493"/>
      <c r="T16" s="493"/>
      <c r="U16" s="493"/>
      <c r="V16" s="526"/>
      <c r="W16" s="546"/>
      <c r="X16" s="494"/>
      <c r="Y16" s="494"/>
      <c r="Z16" s="494"/>
      <c r="AA16" s="494"/>
      <c r="AB16" s="526"/>
    </row>
    <row r="17" spans="1:28" ht="18">
      <c r="A17" s="567"/>
      <c r="B17" s="370" t="s">
        <v>367</v>
      </c>
      <c r="C17" s="499">
        <v>6250</v>
      </c>
      <c r="D17" s="499">
        <v>6250</v>
      </c>
      <c r="E17" s="499">
        <v>0</v>
      </c>
      <c r="F17" s="499">
        <v>0</v>
      </c>
      <c r="G17" s="499">
        <v>0</v>
      </c>
      <c r="H17" s="499">
        <v>0</v>
      </c>
      <c r="I17" s="499">
        <v>0</v>
      </c>
      <c r="J17" s="500">
        <v>0</v>
      </c>
      <c r="K17" s="520"/>
      <c r="L17" s="520"/>
      <c r="M17" s="500"/>
      <c r="N17" s="500">
        <v>0</v>
      </c>
      <c r="O17" s="500"/>
      <c r="P17" s="493"/>
      <c r="Q17" s="493"/>
      <c r="R17" s="493"/>
      <c r="S17" s="493"/>
      <c r="T17" s="493"/>
      <c r="U17" s="493"/>
      <c r="V17" s="526"/>
      <c r="W17" s="544"/>
      <c r="X17" s="534">
        <f>D17+F17+H17+J17+L17</f>
        <v>6250</v>
      </c>
      <c r="Y17" s="494"/>
      <c r="Z17" s="494"/>
      <c r="AA17" s="494"/>
      <c r="AB17" s="526"/>
    </row>
    <row r="18" spans="1:28" ht="18">
      <c r="A18" s="567"/>
      <c r="B18" s="370" t="s">
        <v>368</v>
      </c>
      <c r="C18" s="499">
        <v>225231.34026</v>
      </c>
      <c r="D18" s="499">
        <v>225231.34026</v>
      </c>
      <c r="E18" s="499">
        <v>225231.34026</v>
      </c>
      <c r="F18" s="499">
        <v>225231.34026</v>
      </c>
      <c r="G18" s="501">
        <v>225231.34026</v>
      </c>
      <c r="H18" s="501">
        <v>225231.34026</v>
      </c>
      <c r="I18" s="1088">
        <v>225231.34026</v>
      </c>
      <c r="J18" s="500">
        <v>225231.34026</v>
      </c>
      <c r="K18" s="520">
        <f>I55</f>
        <v>165905</v>
      </c>
      <c r="L18" s="520">
        <f t="shared" ref="L18" si="9">+K18</f>
        <v>165905</v>
      </c>
      <c r="M18" s="500"/>
      <c r="N18" s="500">
        <v>0</v>
      </c>
      <c r="O18" s="500"/>
      <c r="P18" s="493"/>
      <c r="Q18" s="493"/>
      <c r="R18" s="493"/>
      <c r="S18" s="493"/>
      <c r="T18" s="493"/>
      <c r="U18" s="493"/>
      <c r="V18" s="526"/>
      <c r="W18" s="544"/>
      <c r="X18" s="534">
        <f t="shared" ref="X18:X19" si="10">D18+F18+H18+J18+L18</f>
        <v>1066830.3610399999</v>
      </c>
      <c r="Y18" s="494"/>
      <c r="Z18" s="494"/>
      <c r="AA18" s="494"/>
      <c r="AB18" s="526"/>
    </row>
    <row r="19" spans="1:28" ht="18">
      <c r="A19" s="567"/>
      <c r="B19" s="370" t="s">
        <v>369</v>
      </c>
      <c r="C19" s="499">
        <v>180234.00399999999</v>
      </c>
      <c r="D19" s="499">
        <v>180234.00399999999</v>
      </c>
      <c r="E19" s="499">
        <v>113822.67199999999</v>
      </c>
      <c r="F19" s="499">
        <v>113822.67199999999</v>
      </c>
      <c r="G19" s="501">
        <v>47411.34</v>
      </c>
      <c r="H19" s="501">
        <v>47411.34</v>
      </c>
      <c r="I19" s="501">
        <v>0</v>
      </c>
      <c r="J19" s="500">
        <v>0</v>
      </c>
      <c r="K19" s="520"/>
      <c r="L19" s="520"/>
      <c r="M19" s="500"/>
      <c r="N19" s="500">
        <f>47412.002668-47412.002668</f>
        <v>0</v>
      </c>
      <c r="O19" s="500"/>
      <c r="P19" s="493"/>
      <c r="Q19" s="493"/>
      <c r="R19" s="493"/>
      <c r="S19" s="493"/>
      <c r="T19" s="493"/>
      <c r="U19" s="493"/>
      <c r="V19" s="526"/>
      <c r="W19" s="544"/>
      <c r="X19" s="534">
        <f t="shared" si="10"/>
        <v>341468.01599999995</v>
      </c>
      <c r="Y19" s="494"/>
      <c r="Z19" s="494"/>
      <c r="AA19" s="494"/>
      <c r="AB19" s="526"/>
    </row>
    <row r="20" spans="1:28" ht="17.399999999999999">
      <c r="A20" s="566">
        <v>2</v>
      </c>
      <c r="B20" s="369" t="s">
        <v>334</v>
      </c>
      <c r="C20" s="492">
        <v>0</v>
      </c>
      <c r="D20" s="492">
        <v>0</v>
      </c>
      <c r="E20" s="492">
        <v>0</v>
      </c>
      <c r="F20" s="492">
        <v>0</v>
      </c>
      <c r="G20" s="492">
        <v>0</v>
      </c>
      <c r="H20" s="492">
        <v>0</v>
      </c>
      <c r="I20" s="492"/>
      <c r="J20" s="492">
        <v>0</v>
      </c>
      <c r="K20" s="492">
        <v>0</v>
      </c>
      <c r="L20" s="492"/>
      <c r="M20" s="492"/>
      <c r="N20" s="492">
        <v>0</v>
      </c>
      <c r="O20" s="492"/>
      <c r="P20" s="493"/>
      <c r="Q20" s="493"/>
      <c r="R20" s="493"/>
      <c r="S20" s="493"/>
      <c r="T20" s="493"/>
      <c r="U20" s="493"/>
      <c r="V20" s="526"/>
      <c r="W20" s="546"/>
      <c r="X20" s="494"/>
      <c r="Y20" s="494"/>
      <c r="Z20" s="494"/>
      <c r="AA20" s="494"/>
      <c r="AB20" s="526"/>
    </row>
    <row r="21" spans="1:28" ht="17.399999999999999">
      <c r="A21" s="566">
        <v>3</v>
      </c>
      <c r="B21" s="371" t="s">
        <v>335</v>
      </c>
      <c r="C21" s="502">
        <v>0</v>
      </c>
      <c r="D21" s="502">
        <v>0</v>
      </c>
      <c r="E21" s="502">
        <v>0</v>
      </c>
      <c r="F21" s="502">
        <v>0</v>
      </c>
      <c r="G21" s="502">
        <v>0</v>
      </c>
      <c r="H21" s="502">
        <v>0</v>
      </c>
      <c r="I21" s="502"/>
      <c r="J21" s="492">
        <v>0</v>
      </c>
      <c r="K21" s="492">
        <v>0</v>
      </c>
      <c r="L21" s="492"/>
      <c r="M21" s="492"/>
      <c r="N21" s="492">
        <v>0</v>
      </c>
      <c r="O21" s="492"/>
      <c r="P21" s="568"/>
      <c r="Q21" s="493"/>
      <c r="R21" s="493"/>
      <c r="S21" s="493"/>
      <c r="T21" s="493"/>
      <c r="U21" s="493"/>
      <c r="V21" s="526"/>
      <c r="W21" s="546"/>
      <c r="X21" s="494"/>
      <c r="Y21" s="494"/>
      <c r="Z21" s="494"/>
      <c r="AA21" s="494"/>
      <c r="AB21" s="526"/>
    </row>
    <row r="22" spans="1:28" s="47" customFormat="1" ht="18">
      <c r="A22" s="566">
        <v>4</v>
      </c>
      <c r="B22" s="371" t="s">
        <v>336</v>
      </c>
      <c r="C22" s="502">
        <v>26567.821599999999</v>
      </c>
      <c r="D22" s="502">
        <v>26567.821599999999</v>
      </c>
      <c r="E22" s="502">
        <v>67276.128992999991</v>
      </c>
      <c r="F22" s="502">
        <v>67276.128992999991</v>
      </c>
      <c r="G22" s="502">
        <v>95047.975722999981</v>
      </c>
      <c r="H22" s="502">
        <v>95047.975722999981</v>
      </c>
      <c r="I22" s="502">
        <v>101263</v>
      </c>
      <c r="J22" s="492">
        <f>H59</f>
        <v>101262.63361699998</v>
      </c>
      <c r="K22" s="492">
        <f>J59</f>
        <v>87262.633616999985</v>
      </c>
      <c r="L22" s="492">
        <v>87263</v>
      </c>
      <c r="M22" s="492">
        <f>K59</f>
        <v>66419.633616999985</v>
      </c>
      <c r="N22" s="492">
        <f>K59</f>
        <v>66419.633616999985</v>
      </c>
      <c r="O22" s="517">
        <f>M59</f>
        <v>45419.633616999985</v>
      </c>
      <c r="P22" s="517">
        <f>+N59</f>
        <v>45419.633616999985</v>
      </c>
      <c r="Q22" s="517">
        <f>+O59</f>
        <v>23419.633616999985</v>
      </c>
      <c r="R22" s="517">
        <f>+P59</f>
        <v>23419.633616999985</v>
      </c>
      <c r="S22" s="517">
        <f>+Q59</f>
        <v>1419.633616999985</v>
      </c>
      <c r="T22" s="517">
        <f>+R59</f>
        <v>1419.633616999985</v>
      </c>
      <c r="U22" s="518"/>
      <c r="V22" s="528"/>
      <c r="W22" s="548"/>
      <c r="X22" s="534">
        <f t="shared" ref="X22" si="11">D22+F22+H22+J22+L22</f>
        <v>377417.55993299995</v>
      </c>
      <c r="Y22" s="519"/>
      <c r="Z22" s="519"/>
      <c r="AA22" s="519"/>
      <c r="AB22" s="528"/>
    </row>
    <row r="23" spans="1:28" ht="17.399999999999999">
      <c r="A23" s="566">
        <v>5</v>
      </c>
      <c r="B23" s="371" t="s">
        <v>337</v>
      </c>
      <c r="C23" s="502">
        <v>0</v>
      </c>
      <c r="D23" s="502">
        <v>0</v>
      </c>
      <c r="E23" s="502">
        <v>0</v>
      </c>
      <c r="F23" s="502">
        <v>0</v>
      </c>
      <c r="G23" s="502">
        <v>0</v>
      </c>
      <c r="H23" s="502">
        <v>0</v>
      </c>
      <c r="I23" s="502"/>
      <c r="J23" s="492">
        <v>0</v>
      </c>
      <c r="K23" s="492">
        <v>0</v>
      </c>
      <c r="L23" s="492"/>
      <c r="M23" s="492"/>
      <c r="N23" s="492">
        <v>0</v>
      </c>
      <c r="O23" s="492"/>
      <c r="P23" s="493"/>
      <c r="Q23" s="493"/>
      <c r="R23" s="493"/>
      <c r="S23" s="493"/>
      <c r="T23" s="493"/>
      <c r="U23" s="493"/>
      <c r="V23" s="526"/>
      <c r="W23" s="546"/>
      <c r="X23" s="494"/>
      <c r="Y23" s="494"/>
      <c r="Z23" s="494"/>
      <c r="AA23" s="494"/>
      <c r="AB23" s="526"/>
    </row>
    <row r="24" spans="1:28" ht="17.399999999999999">
      <c r="A24" s="566" t="s">
        <v>33</v>
      </c>
      <c r="B24" s="372" t="s">
        <v>338</v>
      </c>
      <c r="C24" s="503">
        <f t="shared" ref="C24:F24" si="12">C25</f>
        <v>303684.36466700002</v>
      </c>
      <c r="D24" s="503">
        <f t="shared" si="12"/>
        <v>78453.02440699999</v>
      </c>
      <c r="E24" s="503">
        <f t="shared" si="12"/>
        <v>78566.410449999996</v>
      </c>
      <c r="F24" s="503">
        <f t="shared" si="12"/>
        <v>78566.410449999996</v>
      </c>
      <c r="G24" s="504">
        <f t="shared" ref="G24:L24" si="13">G25</f>
        <v>59911.34</v>
      </c>
      <c r="H24" s="504">
        <f t="shared" si="13"/>
        <v>59621.915305999995</v>
      </c>
      <c r="I24" s="504">
        <f t="shared" si="13"/>
        <v>239231.34026</v>
      </c>
      <c r="J24" s="503">
        <f t="shared" si="13"/>
        <v>73326</v>
      </c>
      <c r="K24" s="503">
        <f t="shared" si="13"/>
        <v>186748</v>
      </c>
      <c r="L24" s="503">
        <f t="shared" si="13"/>
        <v>186748.34026</v>
      </c>
      <c r="M24" s="503">
        <f t="shared" ref="M24:V24" si="14">M25</f>
        <v>21000</v>
      </c>
      <c r="N24" s="503">
        <f t="shared" si="14"/>
        <v>21000</v>
      </c>
      <c r="O24" s="503">
        <f t="shared" si="14"/>
        <v>22000</v>
      </c>
      <c r="P24" s="503">
        <f t="shared" si="14"/>
        <v>22000</v>
      </c>
      <c r="Q24" s="503">
        <f t="shared" si="14"/>
        <v>22000</v>
      </c>
      <c r="R24" s="503">
        <f t="shared" si="14"/>
        <v>22000</v>
      </c>
      <c r="S24" s="503">
        <f t="shared" si="14"/>
        <v>1419.633616999985</v>
      </c>
      <c r="T24" s="503">
        <f t="shared" si="14"/>
        <v>1419.633616999985</v>
      </c>
      <c r="U24" s="503">
        <f t="shared" si="14"/>
        <v>0</v>
      </c>
      <c r="V24" s="529">
        <f t="shared" si="14"/>
        <v>0</v>
      </c>
      <c r="W24" s="549">
        <f t="shared" ref="W24" si="15">W25</f>
        <v>0</v>
      </c>
      <c r="X24" s="503">
        <f t="shared" ref="X24" si="16">X25</f>
        <v>476715.69042299996</v>
      </c>
      <c r="Y24" s="503">
        <f t="shared" ref="Y24" si="17">Y25</f>
        <v>65000.346163000002</v>
      </c>
      <c r="Z24" s="503">
        <f t="shared" ref="Z24" si="18">Z25</f>
        <v>65000.346163000002</v>
      </c>
      <c r="AA24" s="503">
        <f t="shared" ref="AA24" si="19">AA25</f>
        <v>65000.346163000002</v>
      </c>
      <c r="AB24" s="529">
        <f t="shared" ref="AB24" si="20">AB25</f>
        <v>65000.346163000002</v>
      </c>
    </row>
    <row r="25" spans="1:28" ht="17.399999999999999">
      <c r="A25" s="566">
        <v>1</v>
      </c>
      <c r="B25" s="372" t="s">
        <v>339</v>
      </c>
      <c r="C25" s="503">
        <f>SUM(C26,C31:C34)</f>
        <v>303684.36466700002</v>
      </c>
      <c r="D25" s="503">
        <f t="shared" ref="D25:F25" si="21">SUM(D26,D31:D34)</f>
        <v>78453.02440699999</v>
      </c>
      <c r="E25" s="503">
        <f t="shared" si="21"/>
        <v>78566.410449999996</v>
      </c>
      <c r="F25" s="503">
        <f t="shared" si="21"/>
        <v>78566.410449999996</v>
      </c>
      <c r="G25" s="503">
        <f t="shared" ref="G25:L25" si="22">SUM(G26,G31:G34)</f>
        <v>59911.34</v>
      </c>
      <c r="H25" s="503">
        <f t="shared" si="22"/>
        <v>59621.915305999995</v>
      </c>
      <c r="I25" s="503">
        <f t="shared" si="22"/>
        <v>239231.34026</v>
      </c>
      <c r="J25" s="503">
        <f t="shared" si="22"/>
        <v>73326</v>
      </c>
      <c r="K25" s="503">
        <f t="shared" si="22"/>
        <v>186748</v>
      </c>
      <c r="L25" s="503">
        <f t="shared" si="22"/>
        <v>186748.34026</v>
      </c>
      <c r="M25" s="503">
        <f t="shared" ref="M25:V25" si="23">SUM(M26,M31:M34)</f>
        <v>21000</v>
      </c>
      <c r="N25" s="503">
        <f t="shared" si="23"/>
        <v>21000</v>
      </c>
      <c r="O25" s="503">
        <f t="shared" si="23"/>
        <v>22000</v>
      </c>
      <c r="P25" s="503">
        <f t="shared" si="23"/>
        <v>22000</v>
      </c>
      <c r="Q25" s="503">
        <f t="shared" si="23"/>
        <v>22000</v>
      </c>
      <c r="R25" s="503">
        <f t="shared" si="23"/>
        <v>22000</v>
      </c>
      <c r="S25" s="503">
        <f t="shared" si="23"/>
        <v>1419.633616999985</v>
      </c>
      <c r="T25" s="503">
        <f t="shared" si="23"/>
        <v>1419.633616999985</v>
      </c>
      <c r="U25" s="503">
        <f t="shared" si="23"/>
        <v>0</v>
      </c>
      <c r="V25" s="529">
        <f t="shared" si="23"/>
        <v>0</v>
      </c>
      <c r="W25" s="549">
        <f t="shared" ref="W25" si="24">SUM(W26,W31:W34)</f>
        <v>0</v>
      </c>
      <c r="X25" s="503">
        <f t="shared" ref="X25" si="25">SUM(X26,X31:X34)</f>
        <v>476715.69042299996</v>
      </c>
      <c r="Y25" s="503">
        <f t="shared" ref="Y25" si="26">SUM(Y26,Y31:Y34)</f>
        <v>65000.346163000002</v>
      </c>
      <c r="Z25" s="503">
        <f t="shared" ref="Z25" si="27">SUM(Z26,Z31:Z34)</f>
        <v>65000.346163000002</v>
      </c>
      <c r="AA25" s="503">
        <f t="shared" ref="AA25" si="28">SUM(AA26,AA31:AA34)</f>
        <v>65000.346163000002</v>
      </c>
      <c r="AB25" s="529">
        <f t="shared" ref="AB25" si="29">SUM(AB26,AB31:AB34)</f>
        <v>65000.346163000002</v>
      </c>
    </row>
    <row r="26" spans="1:28" ht="18">
      <c r="A26" s="566" t="s">
        <v>29</v>
      </c>
      <c r="B26" s="373" t="s">
        <v>340</v>
      </c>
      <c r="C26" s="505">
        <f t="shared" ref="C26" si="30">SUM(C28:C30)</f>
        <v>297892.67226000002</v>
      </c>
      <c r="D26" s="505">
        <f t="shared" ref="D26:G26" si="31">SUM(D28:D30)</f>
        <v>72661.331999999995</v>
      </c>
      <c r="E26" s="505">
        <f t="shared" si="31"/>
        <v>66411.331999999995</v>
      </c>
      <c r="F26" s="505">
        <f t="shared" si="31"/>
        <v>66411.331999999995</v>
      </c>
      <c r="G26" s="505">
        <f t="shared" si="31"/>
        <v>47411.34</v>
      </c>
      <c r="H26" s="505">
        <f>SUM(H28:H30)</f>
        <v>47411.34</v>
      </c>
      <c r="I26" s="505">
        <f>SUM(I28:I30)</f>
        <v>225231.34026</v>
      </c>
      <c r="J26" s="505">
        <f>SUM(J28:J30)</f>
        <v>59326</v>
      </c>
      <c r="K26" s="505">
        <f>SUM(K28:K30)</f>
        <v>165905</v>
      </c>
      <c r="L26" s="505">
        <f t="shared" ref="L26:V26" si="32">SUM(L28:L30)</f>
        <v>165905.34026</v>
      </c>
      <c r="M26" s="505">
        <f t="shared" si="32"/>
        <v>0</v>
      </c>
      <c r="N26" s="505">
        <f t="shared" si="32"/>
        <v>0</v>
      </c>
      <c r="O26" s="505">
        <f t="shared" si="32"/>
        <v>0</v>
      </c>
      <c r="P26" s="505">
        <f t="shared" si="32"/>
        <v>0</v>
      </c>
      <c r="Q26" s="505">
        <f t="shared" si="32"/>
        <v>0</v>
      </c>
      <c r="R26" s="505">
        <f t="shared" si="32"/>
        <v>0</v>
      </c>
      <c r="S26" s="505">
        <f t="shared" si="32"/>
        <v>0</v>
      </c>
      <c r="T26" s="505">
        <f t="shared" si="32"/>
        <v>0</v>
      </c>
      <c r="U26" s="505">
        <f t="shared" si="32"/>
        <v>0</v>
      </c>
      <c r="V26" s="530">
        <f t="shared" si="32"/>
        <v>0</v>
      </c>
      <c r="W26" s="550">
        <f t="shared" ref="W26:AB26" si="33">SUM(W28:W30)</f>
        <v>0</v>
      </c>
      <c r="X26" s="505">
        <f t="shared" si="33"/>
        <v>411715.34425999998</v>
      </c>
      <c r="Y26" s="505">
        <f t="shared" si="33"/>
        <v>0</v>
      </c>
      <c r="Z26" s="505">
        <f t="shared" si="33"/>
        <v>0</v>
      </c>
      <c r="AA26" s="505">
        <f t="shared" si="33"/>
        <v>0</v>
      </c>
      <c r="AB26" s="530">
        <f t="shared" si="33"/>
        <v>0</v>
      </c>
    </row>
    <row r="27" spans="1:28" ht="18">
      <c r="A27" s="566"/>
      <c r="B27" s="373" t="s">
        <v>234</v>
      </c>
      <c r="C27" s="505"/>
      <c r="D27" s="505"/>
      <c r="E27" s="505"/>
      <c r="F27" s="505"/>
      <c r="G27" s="505"/>
      <c r="H27" s="505"/>
      <c r="I27" s="505"/>
      <c r="J27" s="505"/>
      <c r="K27" s="505">
        <v>0</v>
      </c>
      <c r="L27" s="505">
        <v>0</v>
      </c>
      <c r="M27" s="505"/>
      <c r="N27" s="505"/>
      <c r="O27" s="505"/>
      <c r="P27" s="493"/>
      <c r="Q27" s="493"/>
      <c r="R27" s="493"/>
      <c r="S27" s="493"/>
      <c r="T27" s="493"/>
      <c r="U27" s="493"/>
      <c r="V27" s="526"/>
      <c r="W27" s="546"/>
      <c r="X27" s="494"/>
      <c r="Y27" s="494"/>
      <c r="Z27" s="494"/>
      <c r="AA27" s="494"/>
      <c r="AB27" s="526"/>
    </row>
    <row r="28" spans="1:28" ht="18">
      <c r="A28" s="569"/>
      <c r="B28" s="370" t="s">
        <v>367</v>
      </c>
      <c r="C28" s="506">
        <v>6250</v>
      </c>
      <c r="D28" s="506">
        <v>6250</v>
      </c>
      <c r="E28" s="506">
        <v>0</v>
      </c>
      <c r="F28" s="506">
        <v>0</v>
      </c>
      <c r="G28" s="506">
        <v>0</v>
      </c>
      <c r="H28" s="506">
        <v>0</v>
      </c>
      <c r="I28" s="506">
        <v>0</v>
      </c>
      <c r="J28" s="506">
        <v>0</v>
      </c>
      <c r="K28" s="506">
        <f>+J54</f>
        <v>0</v>
      </c>
      <c r="L28" s="506">
        <f>+J54</f>
        <v>0</v>
      </c>
      <c r="M28" s="506"/>
      <c r="N28" s="506">
        <v>0</v>
      </c>
      <c r="O28" s="506"/>
      <c r="P28" s="493"/>
      <c r="Q28" s="493"/>
      <c r="R28" s="493"/>
      <c r="S28" s="493"/>
      <c r="T28" s="493"/>
      <c r="U28" s="493"/>
      <c r="V28" s="526"/>
      <c r="W28" s="546"/>
      <c r="X28" s="534">
        <f t="shared" ref="X28:X32" si="34">D28+F28+H28+J28+L28</f>
        <v>6250</v>
      </c>
      <c r="Y28" s="494"/>
      <c r="Z28" s="494"/>
      <c r="AA28" s="494"/>
      <c r="AB28" s="526"/>
    </row>
    <row r="29" spans="1:28" ht="18">
      <c r="A29" s="569"/>
      <c r="B29" s="370" t="s">
        <v>368</v>
      </c>
      <c r="C29" s="506">
        <v>225231.34026000003</v>
      </c>
      <c r="D29" s="506">
        <v>0</v>
      </c>
      <c r="E29" s="506">
        <v>0</v>
      </c>
      <c r="F29" s="506">
        <v>0</v>
      </c>
      <c r="G29" s="501">
        <v>0</v>
      </c>
      <c r="H29" s="501">
        <v>0</v>
      </c>
      <c r="I29" s="501">
        <v>225231.34026</v>
      </c>
      <c r="J29" s="506">
        <v>59326</v>
      </c>
      <c r="K29" s="506">
        <f>+I55</f>
        <v>165905</v>
      </c>
      <c r="L29" s="506">
        <f>+J55</f>
        <v>165905.34026</v>
      </c>
      <c r="M29" s="506"/>
      <c r="N29" s="506">
        <v>0</v>
      </c>
      <c r="O29" s="506"/>
      <c r="P29" s="493"/>
      <c r="Q29" s="493"/>
      <c r="R29" s="493"/>
      <c r="S29" s="493"/>
      <c r="T29" s="493"/>
      <c r="U29" s="493"/>
      <c r="V29" s="526"/>
      <c r="W29" s="546"/>
      <c r="X29" s="534">
        <f t="shared" si="34"/>
        <v>225231.34026</v>
      </c>
      <c r="Y29" s="494"/>
      <c r="Z29" s="494"/>
      <c r="AA29" s="494"/>
      <c r="AB29" s="526"/>
    </row>
    <row r="30" spans="1:28" ht="18">
      <c r="A30" s="569"/>
      <c r="B30" s="370" t="s">
        <v>369</v>
      </c>
      <c r="C30" s="506">
        <v>66411.331999999995</v>
      </c>
      <c r="D30" s="506">
        <v>66411.331999999995</v>
      </c>
      <c r="E30" s="506">
        <v>66411.331999999995</v>
      </c>
      <c r="F30" s="506">
        <v>66411.331999999995</v>
      </c>
      <c r="G30" s="501">
        <v>47411.34</v>
      </c>
      <c r="H30" s="501">
        <v>47411.34</v>
      </c>
      <c r="I30" s="501">
        <v>0</v>
      </c>
      <c r="J30" s="506">
        <v>0</v>
      </c>
      <c r="K30" s="506">
        <f>66411.333332-66411.333332</f>
        <v>0</v>
      </c>
      <c r="L30" s="506"/>
      <c r="M30" s="506"/>
      <c r="N30" s="506">
        <f>47412-47412</f>
        <v>0</v>
      </c>
      <c r="O30" s="506"/>
      <c r="P30" s="493"/>
      <c r="Q30" s="493"/>
      <c r="R30" s="493"/>
      <c r="S30" s="493"/>
      <c r="T30" s="493"/>
      <c r="U30" s="493"/>
      <c r="V30" s="526"/>
      <c r="W30" s="546"/>
      <c r="X30" s="534">
        <f t="shared" si="34"/>
        <v>180234.00399999999</v>
      </c>
      <c r="Y30" s="494"/>
      <c r="Z30" s="494"/>
      <c r="AA30" s="494"/>
      <c r="AB30" s="526"/>
    </row>
    <row r="31" spans="1:28" ht="18">
      <c r="A31" s="566" t="s">
        <v>29</v>
      </c>
      <c r="B31" s="373" t="s">
        <v>341</v>
      </c>
      <c r="C31" s="505">
        <v>0</v>
      </c>
      <c r="D31" s="505">
        <v>0</v>
      </c>
      <c r="E31" s="507">
        <v>0</v>
      </c>
      <c r="F31" s="507">
        <v>0</v>
      </c>
      <c r="G31" s="505">
        <v>0</v>
      </c>
      <c r="H31" s="505">
        <v>0</v>
      </c>
      <c r="I31" s="505"/>
      <c r="J31" s="505">
        <v>0</v>
      </c>
      <c r="K31" s="505">
        <v>0</v>
      </c>
      <c r="L31" s="505"/>
      <c r="M31" s="505"/>
      <c r="N31" s="505">
        <v>0</v>
      </c>
      <c r="O31" s="505"/>
      <c r="P31" s="493"/>
      <c r="Q31" s="493"/>
      <c r="R31" s="493"/>
      <c r="S31" s="493"/>
      <c r="T31" s="493"/>
      <c r="U31" s="493"/>
      <c r="V31" s="526"/>
      <c r="W31" s="546"/>
      <c r="X31" s="534">
        <f t="shared" si="34"/>
        <v>0</v>
      </c>
      <c r="Y31" s="494"/>
      <c r="Z31" s="494"/>
      <c r="AA31" s="494"/>
      <c r="AB31" s="526"/>
    </row>
    <row r="32" spans="1:28" ht="18">
      <c r="A32" s="566" t="s">
        <v>29</v>
      </c>
      <c r="B32" s="374" t="s">
        <v>342</v>
      </c>
      <c r="C32" s="505">
        <v>0</v>
      </c>
      <c r="D32" s="505">
        <v>0</v>
      </c>
      <c r="E32" s="508">
        <v>0</v>
      </c>
      <c r="F32" s="508">
        <v>0</v>
      </c>
      <c r="G32" s="505">
        <v>0</v>
      </c>
      <c r="H32" s="505">
        <v>0</v>
      </c>
      <c r="I32" s="505"/>
      <c r="J32" s="505">
        <v>0</v>
      </c>
      <c r="K32" s="505">
        <v>0</v>
      </c>
      <c r="L32" s="505"/>
      <c r="M32" s="505"/>
      <c r="N32" s="505">
        <v>0</v>
      </c>
      <c r="O32" s="505"/>
      <c r="P32" s="493"/>
      <c r="Q32" s="493"/>
      <c r="R32" s="493"/>
      <c r="S32" s="493"/>
      <c r="T32" s="493"/>
      <c r="U32" s="493"/>
      <c r="V32" s="526"/>
      <c r="W32" s="546"/>
      <c r="X32" s="534">
        <f t="shared" si="34"/>
        <v>0</v>
      </c>
      <c r="Y32" s="494"/>
      <c r="Z32" s="494"/>
      <c r="AA32" s="494"/>
      <c r="AB32" s="526"/>
    </row>
    <row r="33" spans="1:28" ht="18">
      <c r="A33" s="570" t="s">
        <v>29</v>
      </c>
      <c r="B33" s="374" t="s">
        <v>343</v>
      </c>
      <c r="C33" s="505">
        <v>5791.6924069999995</v>
      </c>
      <c r="D33" s="505">
        <v>5791.6924069999995</v>
      </c>
      <c r="E33" s="508">
        <v>12155.078450000001</v>
      </c>
      <c r="F33" s="508">
        <v>12155.078450000001</v>
      </c>
      <c r="G33" s="505">
        <v>12500</v>
      </c>
      <c r="H33" s="505">
        <v>12210.575306000001</v>
      </c>
      <c r="I33" s="505">
        <v>14000</v>
      </c>
      <c r="J33" s="505">
        <f>+I33</f>
        <v>14000</v>
      </c>
      <c r="K33" s="505">
        <v>20843</v>
      </c>
      <c r="L33" s="505">
        <v>20843</v>
      </c>
      <c r="M33" s="521">
        <v>21000</v>
      </c>
      <c r="N33" s="521">
        <f t="shared" ref="N33" si="35">+M33</f>
        <v>21000</v>
      </c>
      <c r="O33" s="516">
        <f>+N33*1.05-50</f>
        <v>22000</v>
      </c>
      <c r="P33" s="516">
        <f t="shared" ref="P33:R33" si="36">+O33</f>
        <v>22000</v>
      </c>
      <c r="Q33" s="516">
        <v>22000</v>
      </c>
      <c r="R33" s="516">
        <f t="shared" si="36"/>
        <v>22000</v>
      </c>
      <c r="S33" s="516">
        <v>1419.633616999985</v>
      </c>
      <c r="T33" s="516">
        <f t="shared" ref="T33:V33" si="37">+S33</f>
        <v>1419.633616999985</v>
      </c>
      <c r="U33" s="516"/>
      <c r="V33" s="531">
        <f t="shared" si="37"/>
        <v>0</v>
      </c>
      <c r="W33" s="551">
        <f t="shared" ref="W33" si="38">+V33</f>
        <v>0</v>
      </c>
      <c r="X33" s="534">
        <f>D33+F33+H33+J33+L33</f>
        <v>65000.346163000002</v>
      </c>
      <c r="Y33" s="516">
        <f t="shared" ref="Y33" si="39">+X33</f>
        <v>65000.346163000002</v>
      </c>
      <c r="Z33" s="516">
        <f t="shared" ref="Z33" si="40">+Y33</f>
        <v>65000.346163000002</v>
      </c>
      <c r="AA33" s="516">
        <f t="shared" ref="AA33" si="41">+Z33</f>
        <v>65000.346163000002</v>
      </c>
      <c r="AB33" s="531">
        <f t="shared" ref="AB33" si="42">+AA33</f>
        <v>65000.346163000002</v>
      </c>
    </row>
    <row r="34" spans="1:28" ht="18">
      <c r="A34" s="570" t="s">
        <v>29</v>
      </c>
      <c r="B34" s="374" t="s">
        <v>344</v>
      </c>
      <c r="C34" s="505">
        <v>0</v>
      </c>
      <c r="D34" s="505">
        <v>0</v>
      </c>
      <c r="E34" s="508">
        <v>0</v>
      </c>
      <c r="F34" s="508">
        <v>0</v>
      </c>
      <c r="G34" s="505">
        <v>0</v>
      </c>
      <c r="H34" s="505">
        <v>0</v>
      </c>
      <c r="I34" s="505"/>
      <c r="J34" s="505">
        <v>0</v>
      </c>
      <c r="K34" s="505">
        <v>0</v>
      </c>
      <c r="L34" s="505"/>
      <c r="M34" s="505"/>
      <c r="N34" s="505">
        <v>0</v>
      </c>
      <c r="O34" s="505"/>
      <c r="P34" s="493"/>
      <c r="Q34" s="493"/>
      <c r="R34" s="493"/>
      <c r="S34" s="493"/>
      <c r="T34" s="493"/>
      <c r="U34" s="493"/>
      <c r="V34" s="526"/>
      <c r="W34" s="546"/>
      <c r="X34" s="494"/>
      <c r="Y34" s="494"/>
      <c r="Z34" s="494"/>
      <c r="AA34" s="494"/>
      <c r="AB34" s="526"/>
    </row>
    <row r="35" spans="1:28" ht="17.399999999999999">
      <c r="A35" s="571">
        <v>2</v>
      </c>
      <c r="B35" s="371" t="s">
        <v>345</v>
      </c>
      <c r="C35" s="509">
        <f t="shared" ref="C35:F35" si="43">SUM(C36:C39)</f>
        <v>297892.67226000002</v>
      </c>
      <c r="D35" s="509">
        <f t="shared" si="43"/>
        <v>72661.331999999995</v>
      </c>
      <c r="E35" s="509">
        <f t="shared" si="43"/>
        <v>78566.410449999996</v>
      </c>
      <c r="F35" s="509">
        <f t="shared" si="43"/>
        <v>78566.410449999996</v>
      </c>
      <c r="G35" s="509">
        <f t="shared" ref="G35:N35" si="44">SUM(G36:G39)</f>
        <v>59911.34</v>
      </c>
      <c r="H35" s="509">
        <f t="shared" si="44"/>
        <v>59621.915305999995</v>
      </c>
      <c r="I35" s="509">
        <f t="shared" si="44"/>
        <v>239231.34026</v>
      </c>
      <c r="J35" s="509">
        <f t="shared" si="44"/>
        <v>73326</v>
      </c>
      <c r="K35" s="509">
        <f t="shared" si="44"/>
        <v>186748</v>
      </c>
      <c r="L35" s="509">
        <f t="shared" si="44"/>
        <v>186748</v>
      </c>
      <c r="M35" s="509">
        <f t="shared" si="44"/>
        <v>21000</v>
      </c>
      <c r="N35" s="509">
        <f t="shared" si="44"/>
        <v>21000</v>
      </c>
      <c r="O35" s="509">
        <f t="shared" ref="O35:V35" si="45">SUM(O36:O39)</f>
        <v>22000</v>
      </c>
      <c r="P35" s="509">
        <f t="shared" si="45"/>
        <v>22000</v>
      </c>
      <c r="Q35" s="509">
        <f t="shared" si="45"/>
        <v>22000</v>
      </c>
      <c r="R35" s="509">
        <f t="shared" si="45"/>
        <v>22000</v>
      </c>
      <c r="S35" s="509">
        <f t="shared" si="45"/>
        <v>1419.633616999985</v>
      </c>
      <c r="T35" s="509">
        <f t="shared" si="45"/>
        <v>1419.633616999985</v>
      </c>
      <c r="U35" s="509">
        <f t="shared" si="45"/>
        <v>0</v>
      </c>
      <c r="V35" s="532">
        <f t="shared" si="45"/>
        <v>0</v>
      </c>
      <c r="W35" s="552">
        <f t="shared" ref="W35" si="46">SUM(W36:W39)</f>
        <v>0</v>
      </c>
      <c r="X35" s="509">
        <f t="shared" ref="X35" si="47">SUM(X36:X39)</f>
        <v>470923.65775599994</v>
      </c>
      <c r="Y35" s="509">
        <f t="shared" ref="Y35" si="48">SUM(Y36:Y39)</f>
        <v>0</v>
      </c>
      <c r="Z35" s="509">
        <f t="shared" ref="Z35" si="49">SUM(Z36:Z39)</f>
        <v>0</v>
      </c>
      <c r="AA35" s="509">
        <f t="shared" ref="AA35" si="50">SUM(AA36:AA39)</f>
        <v>0</v>
      </c>
      <c r="AB35" s="532">
        <f t="shared" ref="AB35" si="51">SUM(AB36:AB39)</f>
        <v>0</v>
      </c>
    </row>
    <row r="36" spans="1:28" ht="18">
      <c r="A36" s="570" t="s">
        <v>29</v>
      </c>
      <c r="B36" s="374" t="s">
        <v>346</v>
      </c>
      <c r="C36" s="522">
        <v>0</v>
      </c>
      <c r="D36" s="522">
        <v>0</v>
      </c>
      <c r="E36" s="508"/>
      <c r="F36" s="508">
        <v>0</v>
      </c>
      <c r="G36" s="510">
        <v>0</v>
      </c>
      <c r="H36" s="510">
        <v>0</v>
      </c>
      <c r="I36" s="510"/>
      <c r="J36" s="510"/>
      <c r="K36" s="510"/>
      <c r="L36" s="510"/>
      <c r="M36" s="510"/>
      <c r="N36" s="510"/>
      <c r="O36" s="510"/>
      <c r="P36" s="493"/>
      <c r="Q36" s="493"/>
      <c r="R36" s="493"/>
      <c r="S36" s="493"/>
      <c r="T36" s="493"/>
      <c r="U36" s="493"/>
      <c r="V36" s="526"/>
      <c r="W36" s="546"/>
      <c r="X36" s="534">
        <f>D36+F36+H36+J36+L36</f>
        <v>0</v>
      </c>
      <c r="Y36" s="494"/>
      <c r="Z36" s="494"/>
      <c r="AA36" s="494"/>
      <c r="AB36" s="526"/>
    </row>
    <row r="37" spans="1:28" ht="18">
      <c r="A37" s="570" t="s">
        <v>29</v>
      </c>
      <c r="B37" s="374" t="s">
        <v>347</v>
      </c>
      <c r="C37" s="505">
        <v>297892.67226000002</v>
      </c>
      <c r="D37" s="505">
        <v>72661.331999999995</v>
      </c>
      <c r="E37" s="505">
        <v>66411.331999999995</v>
      </c>
      <c r="F37" s="505">
        <v>66411.331999999995</v>
      </c>
      <c r="G37" s="505">
        <f>G26</f>
        <v>47411.34</v>
      </c>
      <c r="H37" s="505">
        <f>H26</f>
        <v>47411.34</v>
      </c>
      <c r="I37" s="505">
        <v>225231.34026</v>
      </c>
      <c r="J37" s="505">
        <v>59326</v>
      </c>
      <c r="K37" s="505">
        <f>K26</f>
        <v>165905</v>
      </c>
      <c r="L37" s="505">
        <f>+K37</f>
        <v>165905</v>
      </c>
      <c r="M37" s="505"/>
      <c r="N37" s="505">
        <f t="shared" ref="N37" si="52">N26</f>
        <v>0</v>
      </c>
      <c r="O37" s="505"/>
      <c r="P37" s="493"/>
      <c r="Q37" s="493"/>
      <c r="R37" s="493"/>
      <c r="S37" s="493"/>
      <c r="T37" s="493"/>
      <c r="U37" s="493"/>
      <c r="V37" s="526"/>
      <c r="W37" s="546"/>
      <c r="X37" s="534">
        <f t="shared" ref="X37:X39" si="53">D37+F37+H37+J37+L37</f>
        <v>411715.00399999996</v>
      </c>
      <c r="Y37" s="494"/>
      <c r="Z37" s="494"/>
      <c r="AA37" s="494"/>
      <c r="AB37" s="526"/>
    </row>
    <row r="38" spans="1:28" ht="18">
      <c r="A38" s="570" t="s">
        <v>29</v>
      </c>
      <c r="B38" s="374" t="s">
        <v>348</v>
      </c>
      <c r="C38" s="522">
        <v>0</v>
      </c>
      <c r="D38" s="522">
        <v>0</v>
      </c>
      <c r="E38" s="508">
        <v>12155.078450000001</v>
      </c>
      <c r="F38" s="508">
        <v>12155.078450000001</v>
      </c>
      <c r="G38" s="510">
        <f>G33</f>
        <v>12500</v>
      </c>
      <c r="H38" s="510">
        <f>H33</f>
        <v>12210.575306000001</v>
      </c>
      <c r="I38" s="510">
        <v>14000</v>
      </c>
      <c r="J38" s="510">
        <v>14000</v>
      </c>
      <c r="K38" s="510">
        <f t="shared" ref="K38:T38" si="54">K33</f>
        <v>20843</v>
      </c>
      <c r="L38" s="510">
        <f>+K38</f>
        <v>20843</v>
      </c>
      <c r="M38" s="510">
        <f>+M33</f>
        <v>21000</v>
      </c>
      <c r="N38" s="510">
        <f t="shared" si="54"/>
        <v>21000</v>
      </c>
      <c r="O38" s="510">
        <f>+O33</f>
        <v>22000</v>
      </c>
      <c r="P38" s="510">
        <f t="shared" si="54"/>
        <v>22000</v>
      </c>
      <c r="Q38" s="510">
        <f>+Q33</f>
        <v>22000</v>
      </c>
      <c r="R38" s="510">
        <f t="shared" si="54"/>
        <v>22000</v>
      </c>
      <c r="S38" s="510">
        <f>+S33</f>
        <v>1419.633616999985</v>
      </c>
      <c r="T38" s="510">
        <f t="shared" si="54"/>
        <v>1419.633616999985</v>
      </c>
      <c r="U38" s="493"/>
      <c r="V38" s="526"/>
      <c r="W38" s="546"/>
      <c r="X38" s="534">
        <f t="shared" si="53"/>
        <v>59208.653756</v>
      </c>
      <c r="Y38" s="494"/>
      <c r="Z38" s="494"/>
      <c r="AA38" s="494"/>
      <c r="AB38" s="526"/>
    </row>
    <row r="39" spans="1:28" ht="18">
      <c r="A39" s="570" t="s">
        <v>29</v>
      </c>
      <c r="B39" s="374" t="s">
        <v>349</v>
      </c>
      <c r="C39" s="522">
        <v>0</v>
      </c>
      <c r="D39" s="522">
        <v>0</v>
      </c>
      <c r="E39" s="508"/>
      <c r="F39" s="508">
        <v>0</v>
      </c>
      <c r="G39" s="510">
        <v>0</v>
      </c>
      <c r="H39" s="510">
        <v>0</v>
      </c>
      <c r="I39" s="510"/>
      <c r="J39" s="505"/>
      <c r="K39" s="505"/>
      <c r="L39" s="505"/>
      <c r="M39" s="505"/>
      <c r="N39" s="505"/>
      <c r="O39" s="505"/>
      <c r="P39" s="493"/>
      <c r="Q39" s="493"/>
      <c r="R39" s="493"/>
      <c r="S39" s="493"/>
      <c r="T39" s="493"/>
      <c r="U39" s="493"/>
      <c r="V39" s="526"/>
      <c r="W39" s="546"/>
      <c r="X39" s="534">
        <f t="shared" si="53"/>
        <v>0</v>
      </c>
      <c r="Y39" s="494"/>
      <c r="Z39" s="494"/>
      <c r="AA39" s="494"/>
      <c r="AB39" s="526"/>
    </row>
    <row r="40" spans="1:28" ht="17.399999999999999">
      <c r="A40" s="571" t="s">
        <v>182</v>
      </c>
      <c r="B40" s="371" t="s">
        <v>350</v>
      </c>
      <c r="C40" s="509">
        <f t="shared" ref="C40:E40" si="55">SUM(C41,C44)</f>
        <v>61200</v>
      </c>
      <c r="D40" s="509">
        <f t="shared" si="55"/>
        <v>46499.999799999998</v>
      </c>
      <c r="E40" s="509">
        <f t="shared" si="55"/>
        <v>48300</v>
      </c>
      <c r="F40" s="509">
        <f>SUM(F41,F44)</f>
        <v>39926.925179999998</v>
      </c>
      <c r="G40" s="509">
        <f>SUM(G41,G44)</f>
        <v>31500</v>
      </c>
      <c r="H40" s="509">
        <f>SUM(H41,H44)</f>
        <v>18425.233199999999</v>
      </c>
      <c r="I40" s="509">
        <f>SUM(I41,I44)</f>
        <v>0</v>
      </c>
      <c r="J40" s="509">
        <f>SUM(J41,J44)</f>
        <v>0</v>
      </c>
      <c r="K40" s="509">
        <f t="shared" ref="K40" si="56">SUM(K41,K44)</f>
        <v>0</v>
      </c>
      <c r="L40" s="509">
        <f t="shared" ref="L40:V40" si="57">SUM(L41,L44)</f>
        <v>0</v>
      </c>
      <c r="M40" s="509">
        <f t="shared" si="57"/>
        <v>0</v>
      </c>
      <c r="N40" s="509">
        <f t="shared" si="57"/>
        <v>0</v>
      </c>
      <c r="O40" s="509">
        <f t="shared" si="57"/>
        <v>0</v>
      </c>
      <c r="P40" s="509">
        <f t="shared" si="57"/>
        <v>0</v>
      </c>
      <c r="Q40" s="509">
        <f t="shared" si="57"/>
        <v>0</v>
      </c>
      <c r="R40" s="509">
        <f t="shared" si="57"/>
        <v>0</v>
      </c>
      <c r="S40" s="509">
        <f t="shared" si="57"/>
        <v>0</v>
      </c>
      <c r="T40" s="509">
        <f t="shared" si="57"/>
        <v>0</v>
      </c>
      <c r="U40" s="509">
        <f t="shared" si="57"/>
        <v>0</v>
      </c>
      <c r="V40" s="532">
        <f t="shared" si="57"/>
        <v>0</v>
      </c>
      <c r="W40" s="552">
        <f t="shared" ref="W40:AB40" si="58">SUM(W41,W44)</f>
        <v>0</v>
      </c>
      <c r="X40" s="509">
        <f t="shared" si="58"/>
        <v>104852.15818</v>
      </c>
      <c r="Y40" s="509">
        <f t="shared" si="58"/>
        <v>0</v>
      </c>
      <c r="Z40" s="509">
        <f t="shared" si="58"/>
        <v>0</v>
      </c>
      <c r="AA40" s="509">
        <f t="shared" si="58"/>
        <v>0</v>
      </c>
      <c r="AB40" s="532">
        <f t="shared" si="58"/>
        <v>0</v>
      </c>
    </row>
    <row r="41" spans="1:28" ht="17.399999999999999">
      <c r="A41" s="571">
        <v>1</v>
      </c>
      <c r="B41" s="371" t="s">
        <v>351</v>
      </c>
      <c r="C41" s="509">
        <f t="shared" ref="C41" si="59">SUM(C42:C43)</f>
        <v>0</v>
      </c>
      <c r="D41" s="509">
        <f t="shared" ref="D41:J41" si="60">SUM(D42:D43)</f>
        <v>0</v>
      </c>
      <c r="E41" s="509">
        <f t="shared" si="60"/>
        <v>0</v>
      </c>
      <c r="F41" s="509">
        <f t="shared" si="60"/>
        <v>0</v>
      </c>
      <c r="G41" s="509">
        <f t="shared" si="60"/>
        <v>0</v>
      </c>
      <c r="H41" s="509">
        <f t="shared" si="60"/>
        <v>0</v>
      </c>
      <c r="I41" s="509"/>
      <c r="J41" s="509">
        <f t="shared" si="60"/>
        <v>0</v>
      </c>
      <c r="K41" s="509">
        <f t="shared" ref="K41" si="61">SUM(K42:K43)</f>
        <v>0</v>
      </c>
      <c r="L41" s="509">
        <f t="shared" ref="L41:V41" si="62">SUM(L42:L43)</f>
        <v>0</v>
      </c>
      <c r="M41" s="509">
        <f t="shared" si="62"/>
        <v>0</v>
      </c>
      <c r="N41" s="509">
        <f t="shared" si="62"/>
        <v>0</v>
      </c>
      <c r="O41" s="509">
        <f t="shared" si="62"/>
        <v>0</v>
      </c>
      <c r="P41" s="509">
        <f t="shared" si="62"/>
        <v>0</v>
      </c>
      <c r="Q41" s="509">
        <f t="shared" si="62"/>
        <v>0</v>
      </c>
      <c r="R41" s="509">
        <f t="shared" si="62"/>
        <v>0</v>
      </c>
      <c r="S41" s="509">
        <f t="shared" si="62"/>
        <v>0</v>
      </c>
      <c r="T41" s="509">
        <f t="shared" si="62"/>
        <v>0</v>
      </c>
      <c r="U41" s="509">
        <f t="shared" si="62"/>
        <v>0</v>
      </c>
      <c r="V41" s="532">
        <f t="shared" si="62"/>
        <v>0</v>
      </c>
      <c r="W41" s="552">
        <f t="shared" ref="W41:AB41" si="63">SUM(W42:W43)</f>
        <v>0</v>
      </c>
      <c r="X41" s="509">
        <f t="shared" si="63"/>
        <v>0</v>
      </c>
      <c r="Y41" s="509">
        <f t="shared" si="63"/>
        <v>0</v>
      </c>
      <c r="Z41" s="509">
        <f t="shared" si="63"/>
        <v>0</v>
      </c>
      <c r="AA41" s="509">
        <f t="shared" si="63"/>
        <v>0</v>
      </c>
      <c r="AB41" s="532">
        <f t="shared" si="63"/>
        <v>0</v>
      </c>
    </row>
    <row r="42" spans="1:28" ht="18">
      <c r="A42" s="570" t="s">
        <v>29</v>
      </c>
      <c r="B42" s="374" t="s">
        <v>352</v>
      </c>
      <c r="C42" s="522">
        <v>0</v>
      </c>
      <c r="D42" s="522">
        <v>0</v>
      </c>
      <c r="E42" s="510"/>
      <c r="F42" s="510">
        <v>0</v>
      </c>
      <c r="G42" s="510">
        <v>0</v>
      </c>
      <c r="H42" s="510">
        <v>0</v>
      </c>
      <c r="I42" s="510"/>
      <c r="J42" s="510"/>
      <c r="K42" s="510"/>
      <c r="L42" s="510"/>
      <c r="M42" s="510"/>
      <c r="N42" s="510"/>
      <c r="O42" s="510"/>
      <c r="P42" s="510"/>
      <c r="Q42" s="510"/>
      <c r="R42" s="510"/>
      <c r="S42" s="510"/>
      <c r="T42" s="510"/>
      <c r="U42" s="510"/>
      <c r="V42" s="533"/>
      <c r="W42" s="553"/>
      <c r="X42" s="510"/>
      <c r="Y42" s="510"/>
      <c r="Z42" s="510"/>
      <c r="AA42" s="510"/>
      <c r="AB42" s="533"/>
    </row>
    <row r="43" spans="1:28" ht="18">
      <c r="A43" s="570" t="s">
        <v>29</v>
      </c>
      <c r="B43" s="374" t="s">
        <v>353</v>
      </c>
      <c r="C43" s="522">
        <v>0</v>
      </c>
      <c r="D43" s="522">
        <v>0</v>
      </c>
      <c r="E43" s="510"/>
      <c r="F43" s="510">
        <v>0</v>
      </c>
      <c r="G43" s="510">
        <v>0</v>
      </c>
      <c r="H43" s="510">
        <v>0</v>
      </c>
      <c r="I43" s="510"/>
      <c r="J43" s="510"/>
      <c r="K43" s="510"/>
      <c r="L43" s="510"/>
      <c r="M43" s="510"/>
      <c r="N43" s="510"/>
      <c r="O43" s="510"/>
      <c r="P43" s="510"/>
      <c r="Q43" s="510"/>
      <c r="R43" s="510"/>
      <c r="S43" s="510"/>
      <c r="T43" s="510"/>
      <c r="U43" s="510"/>
      <c r="V43" s="533"/>
      <c r="W43" s="553"/>
      <c r="X43" s="510"/>
      <c r="Y43" s="510"/>
      <c r="Z43" s="510"/>
      <c r="AA43" s="510"/>
      <c r="AB43" s="533"/>
    </row>
    <row r="44" spans="1:28" ht="17.399999999999999">
      <c r="A44" s="571">
        <v>2</v>
      </c>
      <c r="B44" s="371" t="s">
        <v>354</v>
      </c>
      <c r="C44" s="509">
        <f t="shared" ref="C44:J44" si="64">SUM(C45:C49)</f>
        <v>61200</v>
      </c>
      <c r="D44" s="509">
        <f t="shared" si="64"/>
        <v>46499.999799999998</v>
      </c>
      <c r="E44" s="509">
        <f t="shared" si="64"/>
        <v>48300</v>
      </c>
      <c r="F44" s="509">
        <f t="shared" si="64"/>
        <v>39926.925179999998</v>
      </c>
      <c r="G44" s="509">
        <f t="shared" si="64"/>
        <v>31500</v>
      </c>
      <c r="H44" s="509">
        <f t="shared" si="64"/>
        <v>18425.233199999999</v>
      </c>
      <c r="I44" s="509">
        <f t="shared" si="64"/>
        <v>0</v>
      </c>
      <c r="J44" s="509">
        <f t="shared" si="64"/>
        <v>0</v>
      </c>
      <c r="K44" s="509">
        <f t="shared" ref="K44" si="65">SUM(K45:K49)</f>
        <v>0</v>
      </c>
      <c r="L44" s="509">
        <f t="shared" ref="L44:V44" si="66">SUM(L45:L49)</f>
        <v>0</v>
      </c>
      <c r="M44" s="509">
        <f t="shared" si="66"/>
        <v>0</v>
      </c>
      <c r="N44" s="509">
        <f t="shared" si="66"/>
        <v>0</v>
      </c>
      <c r="O44" s="509">
        <f t="shared" si="66"/>
        <v>0</v>
      </c>
      <c r="P44" s="509">
        <f t="shared" si="66"/>
        <v>0</v>
      </c>
      <c r="Q44" s="509">
        <f t="shared" si="66"/>
        <v>0</v>
      </c>
      <c r="R44" s="509">
        <f t="shared" si="66"/>
        <v>0</v>
      </c>
      <c r="S44" s="509">
        <f t="shared" si="66"/>
        <v>0</v>
      </c>
      <c r="T44" s="509">
        <f t="shared" si="66"/>
        <v>0</v>
      </c>
      <c r="U44" s="509">
        <f t="shared" si="66"/>
        <v>0</v>
      </c>
      <c r="V44" s="532">
        <f t="shared" si="66"/>
        <v>0</v>
      </c>
      <c r="W44" s="552">
        <f t="shared" ref="W44:AB44" si="67">SUM(W45:W49)</f>
        <v>0</v>
      </c>
      <c r="X44" s="509">
        <f t="shared" si="67"/>
        <v>104852.15818</v>
      </c>
      <c r="Y44" s="509">
        <f t="shared" si="67"/>
        <v>0</v>
      </c>
      <c r="Z44" s="509">
        <f t="shared" si="67"/>
        <v>0</v>
      </c>
      <c r="AA44" s="509">
        <f t="shared" si="67"/>
        <v>0</v>
      </c>
      <c r="AB44" s="532">
        <f t="shared" si="67"/>
        <v>0</v>
      </c>
    </row>
    <row r="45" spans="1:28" ht="18">
      <c r="A45" s="570" t="s">
        <v>29</v>
      </c>
      <c r="B45" s="373" t="s">
        <v>333</v>
      </c>
      <c r="C45" s="522">
        <v>0</v>
      </c>
      <c r="D45" s="522">
        <v>0</v>
      </c>
      <c r="E45" s="507"/>
      <c r="F45" s="507">
        <v>0</v>
      </c>
      <c r="G45" s="510">
        <v>0</v>
      </c>
      <c r="H45" s="510">
        <v>0</v>
      </c>
      <c r="I45" s="510"/>
      <c r="J45" s="510"/>
      <c r="K45" s="510"/>
      <c r="L45" s="510"/>
      <c r="M45" s="510"/>
      <c r="N45" s="510"/>
      <c r="O45" s="510"/>
      <c r="P45" s="493"/>
      <c r="Q45" s="493"/>
      <c r="R45" s="493"/>
      <c r="S45" s="493"/>
      <c r="T45" s="493"/>
      <c r="U45" s="493"/>
      <c r="V45" s="526"/>
      <c r="W45" s="546"/>
      <c r="X45" s="534">
        <f t="shared" ref="X45:X49" si="68">D45+F45+H45+J45+L45</f>
        <v>0</v>
      </c>
      <c r="Y45" s="494"/>
      <c r="Z45" s="494"/>
      <c r="AA45" s="494"/>
      <c r="AB45" s="526"/>
    </row>
    <row r="46" spans="1:28" ht="18">
      <c r="A46" s="570" t="s">
        <v>29</v>
      </c>
      <c r="B46" s="373" t="s">
        <v>334</v>
      </c>
      <c r="C46" s="522">
        <v>0</v>
      </c>
      <c r="D46" s="522">
        <v>0</v>
      </c>
      <c r="E46" s="507">
        <v>0</v>
      </c>
      <c r="F46" s="507">
        <v>0</v>
      </c>
      <c r="G46" s="510">
        <v>0</v>
      </c>
      <c r="H46" s="510">
        <v>0</v>
      </c>
      <c r="I46" s="510"/>
      <c r="J46" s="510">
        <v>0</v>
      </c>
      <c r="K46" s="510">
        <v>0</v>
      </c>
      <c r="L46" s="510"/>
      <c r="M46" s="510"/>
      <c r="N46" s="510">
        <v>0</v>
      </c>
      <c r="O46" s="510"/>
      <c r="P46" s="493"/>
      <c r="Q46" s="493"/>
      <c r="R46" s="493"/>
      <c r="S46" s="493"/>
      <c r="T46" s="493"/>
      <c r="U46" s="493"/>
      <c r="V46" s="526"/>
      <c r="W46" s="546"/>
      <c r="X46" s="534">
        <f t="shared" si="68"/>
        <v>0</v>
      </c>
      <c r="Y46" s="494"/>
      <c r="Z46" s="494"/>
      <c r="AA46" s="494"/>
      <c r="AB46" s="526"/>
    </row>
    <row r="47" spans="1:28" ht="18">
      <c r="A47" s="570" t="s">
        <v>29</v>
      </c>
      <c r="B47" s="374" t="s">
        <v>335</v>
      </c>
      <c r="C47" s="522">
        <v>0</v>
      </c>
      <c r="D47" s="522">
        <v>0</v>
      </c>
      <c r="E47" s="507">
        <v>0</v>
      </c>
      <c r="F47" s="507">
        <v>0</v>
      </c>
      <c r="G47" s="510">
        <v>0</v>
      </c>
      <c r="H47" s="510">
        <v>0</v>
      </c>
      <c r="I47" s="510"/>
      <c r="J47" s="510">
        <v>0</v>
      </c>
      <c r="K47" s="510">
        <v>0</v>
      </c>
      <c r="L47" s="510"/>
      <c r="M47" s="510"/>
      <c r="N47" s="510">
        <v>0</v>
      </c>
      <c r="O47" s="510"/>
      <c r="P47" s="493"/>
      <c r="Q47" s="493"/>
      <c r="R47" s="493"/>
      <c r="S47" s="493"/>
      <c r="T47" s="493"/>
      <c r="U47" s="493"/>
      <c r="V47" s="526"/>
      <c r="W47" s="546"/>
      <c r="X47" s="534">
        <f t="shared" si="68"/>
        <v>0</v>
      </c>
      <c r="Y47" s="494"/>
      <c r="Z47" s="494"/>
      <c r="AA47" s="494"/>
      <c r="AB47" s="526"/>
    </row>
    <row r="48" spans="1:28" ht="18">
      <c r="A48" s="570" t="s">
        <v>29</v>
      </c>
      <c r="B48" s="374" t="s">
        <v>336</v>
      </c>
      <c r="C48" s="505">
        <v>61200</v>
      </c>
      <c r="D48" s="505">
        <v>46499.999799999998</v>
      </c>
      <c r="E48" s="505">
        <v>48300</v>
      </c>
      <c r="F48" s="505">
        <v>39926.925179999998</v>
      </c>
      <c r="G48" s="505">
        <v>31500</v>
      </c>
      <c r="H48" s="505">
        <v>18425.233199999999</v>
      </c>
      <c r="I48" s="505"/>
      <c r="J48" s="510">
        <f>61200-61200</f>
        <v>0</v>
      </c>
      <c r="K48" s="510">
        <f>45810-45810</f>
        <v>0</v>
      </c>
      <c r="L48" s="510"/>
      <c r="M48" s="510"/>
      <c r="N48" s="510">
        <f>35791-35791</f>
        <v>0</v>
      </c>
      <c r="O48" s="510"/>
      <c r="P48" s="493"/>
      <c r="Q48" s="493"/>
      <c r="R48" s="493"/>
      <c r="S48" s="493"/>
      <c r="T48" s="493"/>
      <c r="U48" s="493"/>
      <c r="V48" s="526"/>
      <c r="W48" s="546"/>
      <c r="X48" s="534">
        <f t="shared" si="68"/>
        <v>104852.15818</v>
      </c>
      <c r="Y48" s="494"/>
      <c r="Z48" s="494"/>
      <c r="AA48" s="494"/>
      <c r="AB48" s="526"/>
    </row>
    <row r="49" spans="1:28" ht="18">
      <c r="A49" s="570" t="s">
        <v>29</v>
      </c>
      <c r="B49" s="374" t="s">
        <v>337</v>
      </c>
      <c r="C49" s="522">
        <v>0</v>
      </c>
      <c r="D49" s="522">
        <v>0</v>
      </c>
      <c r="E49" s="507">
        <v>0</v>
      </c>
      <c r="F49" s="507">
        <v>0</v>
      </c>
      <c r="G49" s="510">
        <v>0</v>
      </c>
      <c r="H49" s="510">
        <v>0</v>
      </c>
      <c r="I49" s="510"/>
      <c r="J49" s="510">
        <v>0</v>
      </c>
      <c r="K49" s="510">
        <v>0</v>
      </c>
      <c r="L49" s="510"/>
      <c r="M49" s="510"/>
      <c r="N49" s="510">
        <v>0</v>
      </c>
      <c r="O49" s="510"/>
      <c r="P49" s="493"/>
      <c r="Q49" s="493"/>
      <c r="R49" s="493"/>
      <c r="S49" s="493"/>
      <c r="T49" s="493"/>
      <c r="U49" s="493"/>
      <c r="V49" s="526"/>
      <c r="W49" s="546"/>
      <c r="X49" s="534">
        <f t="shared" si="68"/>
        <v>0</v>
      </c>
      <c r="Y49" s="494"/>
      <c r="Z49" s="494"/>
      <c r="AA49" s="494"/>
      <c r="AB49" s="526"/>
    </row>
    <row r="50" spans="1:28" ht="17.399999999999999">
      <c r="A50" s="571" t="s">
        <v>215</v>
      </c>
      <c r="B50" s="371" t="s">
        <v>355</v>
      </c>
      <c r="C50" s="509">
        <f t="shared" ref="C50:J50" si="69">SUM(C52,C57:C60)</f>
        <v>195798.80119299999</v>
      </c>
      <c r="D50" s="509">
        <f t="shared" si="69"/>
        <v>406330.14125300001</v>
      </c>
      <c r="E50" s="509">
        <f t="shared" si="69"/>
        <v>376063.73080299998</v>
      </c>
      <c r="F50" s="509">
        <f t="shared" si="69"/>
        <v>367690.65598299995</v>
      </c>
      <c r="G50" s="509">
        <f t="shared" si="69"/>
        <v>339279.31598299998</v>
      </c>
      <c r="H50" s="509">
        <f t="shared" si="69"/>
        <v>326493.97387699998</v>
      </c>
      <c r="I50" s="509">
        <f t="shared" si="69"/>
        <v>253168</v>
      </c>
      <c r="J50" s="509">
        <f t="shared" si="69"/>
        <v>253167.97387699998</v>
      </c>
      <c r="K50" s="509">
        <f>SUM(K52,K57:K60)</f>
        <v>66419.633616999985</v>
      </c>
      <c r="L50" s="509">
        <f>SUM(L52,L57:L60)</f>
        <v>66420</v>
      </c>
      <c r="M50" s="509">
        <f t="shared" ref="M50:V50" si="70">SUM(M52,M57:M60)</f>
        <v>45419.633616999985</v>
      </c>
      <c r="N50" s="509">
        <f t="shared" si="70"/>
        <v>45419.633616999985</v>
      </c>
      <c r="O50" s="509">
        <f t="shared" si="70"/>
        <v>23419.633616999985</v>
      </c>
      <c r="P50" s="509">
        <f t="shared" si="70"/>
        <v>23419.633616999985</v>
      </c>
      <c r="Q50" s="509">
        <f t="shared" si="70"/>
        <v>1419.633616999985</v>
      </c>
      <c r="R50" s="509">
        <f t="shared" si="70"/>
        <v>1419.633616999985</v>
      </c>
      <c r="S50" s="509">
        <f t="shared" si="70"/>
        <v>0</v>
      </c>
      <c r="T50" s="509">
        <f t="shared" si="70"/>
        <v>0</v>
      </c>
      <c r="U50" s="509">
        <f t="shared" si="70"/>
        <v>0</v>
      </c>
      <c r="V50" s="532">
        <f t="shared" si="70"/>
        <v>0</v>
      </c>
      <c r="W50" s="552">
        <f t="shared" ref="W50:AB50" si="71">SUM(W52,W57:W60)</f>
        <v>0</v>
      </c>
      <c r="X50" s="509">
        <f t="shared" si="71"/>
        <v>1420102.74499</v>
      </c>
      <c r="Y50" s="509">
        <f t="shared" si="71"/>
        <v>-65000.346163000002</v>
      </c>
      <c r="Z50" s="509">
        <f t="shared" si="71"/>
        <v>-65000.346163000002</v>
      </c>
      <c r="AA50" s="509">
        <f t="shared" si="71"/>
        <v>-65000.346163000002</v>
      </c>
      <c r="AB50" s="532">
        <f t="shared" si="71"/>
        <v>-65000.346163000002</v>
      </c>
    </row>
    <row r="51" spans="1:28" ht="18">
      <c r="A51" s="564"/>
      <c r="B51" s="368" t="s">
        <v>356</v>
      </c>
      <c r="C51" s="495">
        <f t="shared" ref="C51:F51" si="72">C50/C10</f>
        <v>0.1510690641322194</v>
      </c>
      <c r="D51" s="495">
        <f t="shared" si="72"/>
        <v>0.33449406257645536</v>
      </c>
      <c r="E51" s="495">
        <f t="shared" si="72"/>
        <v>0.32364730247219464</v>
      </c>
      <c r="F51" s="495">
        <f t="shared" si="72"/>
        <v>0.26776335379538158</v>
      </c>
      <c r="G51" s="495">
        <f>G50/G10</f>
        <v>0.25304244927133052</v>
      </c>
      <c r="H51" s="495">
        <f t="shared" ref="H51:J51" si="73">H50/H10</f>
        <v>0.21797621530292038</v>
      </c>
      <c r="I51" s="495"/>
      <c r="J51" s="495">
        <f t="shared" si="73"/>
        <v>0.15211580246482945</v>
      </c>
      <c r="K51" s="495">
        <f t="shared" ref="K51:N51" si="74">K50/K10</f>
        <v>3.8692912746787538E-2</v>
      </c>
      <c r="L51" s="495"/>
      <c r="M51" s="495"/>
      <c r="N51" s="495">
        <f t="shared" si="74"/>
        <v>2.5525021460637672E-2</v>
      </c>
      <c r="O51" s="496"/>
      <c r="P51" s="493"/>
      <c r="Q51" s="493"/>
      <c r="R51" s="493"/>
      <c r="S51" s="493"/>
      <c r="T51" s="493"/>
      <c r="U51" s="493"/>
      <c r="V51" s="526"/>
      <c r="W51" s="546"/>
      <c r="X51" s="494"/>
      <c r="Y51" s="494"/>
      <c r="Z51" s="494"/>
      <c r="AA51" s="494"/>
      <c r="AB51" s="526"/>
    </row>
    <row r="52" spans="1:28" ht="17.399999999999999">
      <c r="A52" s="566">
        <v>1</v>
      </c>
      <c r="B52" s="369" t="s">
        <v>333</v>
      </c>
      <c r="C52" s="497">
        <f t="shared" ref="C52:F52" si="75">SUM(C54:C56)</f>
        <v>113822.67199999999</v>
      </c>
      <c r="D52" s="497">
        <f t="shared" si="75"/>
        <v>339054.01225999999</v>
      </c>
      <c r="E52" s="497">
        <f t="shared" si="75"/>
        <v>272642.68025999999</v>
      </c>
      <c r="F52" s="497">
        <f t="shared" si="75"/>
        <v>272642.68025999999</v>
      </c>
      <c r="G52" s="497">
        <f t="shared" ref="G52:L52" si="76">SUM(G54:G56)</f>
        <v>225231.34026</v>
      </c>
      <c r="H52" s="497">
        <f t="shared" si="76"/>
        <v>225231.34026</v>
      </c>
      <c r="I52" s="497">
        <f t="shared" si="76"/>
        <v>165905</v>
      </c>
      <c r="J52" s="497">
        <f t="shared" si="76"/>
        <v>165905.34026</v>
      </c>
      <c r="K52" s="497">
        <f t="shared" si="76"/>
        <v>0</v>
      </c>
      <c r="L52" s="497">
        <f t="shared" si="76"/>
        <v>0</v>
      </c>
      <c r="M52" s="497">
        <f t="shared" ref="M52:V52" si="77">SUM(M54:M56)</f>
        <v>0</v>
      </c>
      <c r="N52" s="497">
        <f t="shared" si="77"/>
        <v>0</v>
      </c>
      <c r="O52" s="497">
        <f t="shared" si="77"/>
        <v>0</v>
      </c>
      <c r="P52" s="497">
        <f t="shared" si="77"/>
        <v>0</v>
      </c>
      <c r="Q52" s="497">
        <f t="shared" si="77"/>
        <v>0</v>
      </c>
      <c r="R52" s="497">
        <f t="shared" si="77"/>
        <v>0</v>
      </c>
      <c r="S52" s="497">
        <f t="shared" si="77"/>
        <v>0</v>
      </c>
      <c r="T52" s="497">
        <f t="shared" si="77"/>
        <v>0</v>
      </c>
      <c r="U52" s="497">
        <f t="shared" si="77"/>
        <v>0</v>
      </c>
      <c r="V52" s="527">
        <f t="shared" si="77"/>
        <v>0</v>
      </c>
      <c r="W52" s="547">
        <f t="shared" ref="W52:AB52" si="78">SUM(W54:W56)</f>
        <v>0</v>
      </c>
      <c r="X52" s="497">
        <f t="shared" si="78"/>
        <v>1002833.37304</v>
      </c>
      <c r="Y52" s="497">
        <f t="shared" si="78"/>
        <v>0</v>
      </c>
      <c r="Z52" s="497">
        <f t="shared" si="78"/>
        <v>0</v>
      </c>
      <c r="AA52" s="497">
        <f t="shared" si="78"/>
        <v>0</v>
      </c>
      <c r="AB52" s="527">
        <f t="shared" si="78"/>
        <v>0</v>
      </c>
    </row>
    <row r="53" spans="1:28" ht="18">
      <c r="A53" s="566"/>
      <c r="B53" s="369" t="str">
        <f>B27</f>
        <v>Trong đó:</v>
      </c>
      <c r="C53" s="497"/>
      <c r="D53" s="497"/>
      <c r="E53" s="497"/>
      <c r="F53" s="497"/>
      <c r="G53" s="497"/>
      <c r="H53" s="497"/>
      <c r="I53" s="497"/>
      <c r="J53" s="497"/>
      <c r="K53" s="497"/>
      <c r="L53" s="497"/>
      <c r="M53" s="497"/>
      <c r="N53" s="497"/>
      <c r="O53" s="498"/>
      <c r="P53" s="493"/>
      <c r="Q53" s="493"/>
      <c r="R53" s="493"/>
      <c r="S53" s="493"/>
      <c r="T53" s="493"/>
      <c r="U53" s="493"/>
      <c r="V53" s="526"/>
      <c r="W53" s="546"/>
      <c r="X53" s="534">
        <f t="shared" ref="X53:X58" si="79">D53+F53+H53+J53+L53</f>
        <v>0</v>
      </c>
      <c r="Y53" s="494"/>
      <c r="Z53" s="494"/>
      <c r="AA53" s="494"/>
      <c r="AB53" s="526"/>
    </row>
    <row r="54" spans="1:28" ht="18">
      <c r="A54" s="567"/>
      <c r="B54" s="376" t="str">
        <f t="shared" ref="B54:B56" si="80">B28</f>
        <v>Vay chương trình kiên cố hoá kênh mương</v>
      </c>
      <c r="C54" s="523">
        <f>+C17-C28</f>
        <v>0</v>
      </c>
      <c r="D54" s="523">
        <f>+D17-D28</f>
        <v>0</v>
      </c>
      <c r="E54" s="511">
        <v>0</v>
      </c>
      <c r="F54" s="511">
        <v>0</v>
      </c>
      <c r="G54" s="511">
        <v>0</v>
      </c>
      <c r="H54" s="511">
        <v>0</v>
      </c>
      <c r="I54" s="511">
        <v>0</v>
      </c>
      <c r="J54" s="511">
        <v>0</v>
      </c>
      <c r="K54" s="511">
        <v>0</v>
      </c>
      <c r="L54" s="511"/>
      <c r="M54" s="511"/>
      <c r="N54" s="511">
        <v>0</v>
      </c>
      <c r="O54" s="511"/>
      <c r="P54" s="493"/>
      <c r="Q54" s="493"/>
      <c r="R54" s="493"/>
      <c r="S54" s="493"/>
      <c r="T54" s="493"/>
      <c r="U54" s="493"/>
      <c r="V54" s="526"/>
      <c r="W54" s="546"/>
      <c r="X54" s="534">
        <f t="shared" si="79"/>
        <v>0</v>
      </c>
      <c r="Y54" s="494"/>
      <c r="Z54" s="494"/>
      <c r="AA54" s="494"/>
      <c r="AB54" s="526"/>
    </row>
    <row r="55" spans="1:28" ht="18">
      <c r="A55" s="567"/>
      <c r="B55" s="376" t="str">
        <f t="shared" si="80"/>
        <v>Vay chương trình cụm tuyến cụm, tuyến dân cư giai đoạn 1</v>
      </c>
      <c r="C55" s="523">
        <f t="shared" ref="C55:D56" si="81">+C18-C29</f>
        <v>0</v>
      </c>
      <c r="D55" s="523">
        <f t="shared" si="81"/>
        <v>225231.34026</v>
      </c>
      <c r="E55" s="511">
        <v>225231.34026</v>
      </c>
      <c r="F55" s="511">
        <v>225231.34026</v>
      </c>
      <c r="G55" s="511">
        <v>225231.34026</v>
      </c>
      <c r="H55" s="511">
        <v>225231.34026</v>
      </c>
      <c r="I55" s="511">
        <v>165905</v>
      </c>
      <c r="J55" s="511">
        <v>165905.34026</v>
      </c>
      <c r="K55" s="511">
        <v>0</v>
      </c>
      <c r="L55" s="511"/>
      <c r="M55" s="511"/>
      <c r="N55" s="511">
        <v>0</v>
      </c>
      <c r="O55" s="511"/>
      <c r="P55" s="493"/>
      <c r="Q55" s="493"/>
      <c r="R55" s="493"/>
      <c r="S55" s="493"/>
      <c r="T55" s="493"/>
      <c r="U55" s="493"/>
      <c r="V55" s="526"/>
      <c r="W55" s="546"/>
      <c r="X55" s="534">
        <f t="shared" si="79"/>
        <v>841599.36103999999</v>
      </c>
      <c r="Y55" s="494"/>
      <c r="Z55" s="494"/>
      <c r="AA55" s="494"/>
      <c r="AB55" s="526"/>
    </row>
    <row r="56" spans="1:28" ht="18">
      <c r="A56" s="567"/>
      <c r="B56" s="376" t="str">
        <f t="shared" si="80"/>
        <v>Vay chương trình cụm tuyến cụm, tuyến dân cư giai đoạn 2</v>
      </c>
      <c r="C56" s="523">
        <f t="shared" si="81"/>
        <v>113822.67199999999</v>
      </c>
      <c r="D56" s="523">
        <f t="shared" si="81"/>
        <v>113822.67199999999</v>
      </c>
      <c r="E56" s="511">
        <v>47411.34</v>
      </c>
      <c r="F56" s="511">
        <v>47411.34</v>
      </c>
      <c r="G56" s="511">
        <v>0</v>
      </c>
      <c r="H56" s="511">
        <v>0</v>
      </c>
      <c r="I56" s="511">
        <v>0</v>
      </c>
      <c r="J56" s="511">
        <v>0</v>
      </c>
      <c r="K56" s="511">
        <f>47412.002668-47412.002668</f>
        <v>0</v>
      </c>
      <c r="L56" s="511"/>
      <c r="M56" s="511"/>
      <c r="N56" s="511">
        <v>0</v>
      </c>
      <c r="O56" s="511"/>
      <c r="P56" s="493"/>
      <c r="Q56" s="493"/>
      <c r="R56" s="493"/>
      <c r="S56" s="493"/>
      <c r="T56" s="493"/>
      <c r="U56" s="493"/>
      <c r="V56" s="526"/>
      <c r="W56" s="546"/>
      <c r="X56" s="534">
        <f t="shared" si="79"/>
        <v>161234.01199999999</v>
      </c>
      <c r="Y56" s="494"/>
      <c r="Z56" s="494"/>
      <c r="AA56" s="494"/>
      <c r="AB56" s="526"/>
    </row>
    <row r="57" spans="1:28" ht="18">
      <c r="A57" s="566">
        <v>2</v>
      </c>
      <c r="B57" s="369" t="s">
        <v>334</v>
      </c>
      <c r="C57" s="504">
        <v>0</v>
      </c>
      <c r="D57" s="504">
        <v>0</v>
      </c>
      <c r="E57" s="503">
        <v>0</v>
      </c>
      <c r="F57" s="503">
        <v>0</v>
      </c>
      <c r="G57" s="503">
        <v>0</v>
      </c>
      <c r="H57" s="503">
        <v>0</v>
      </c>
      <c r="I57" s="503"/>
      <c r="J57" s="503">
        <v>0</v>
      </c>
      <c r="K57" s="503">
        <v>0</v>
      </c>
      <c r="L57" s="503"/>
      <c r="M57" s="503"/>
      <c r="N57" s="503">
        <v>0</v>
      </c>
      <c r="O57" s="503"/>
      <c r="P57" s="493"/>
      <c r="Q57" s="493"/>
      <c r="R57" s="493"/>
      <c r="S57" s="493"/>
      <c r="T57" s="493"/>
      <c r="U57" s="493"/>
      <c r="V57" s="526"/>
      <c r="W57" s="546"/>
      <c r="X57" s="534">
        <f t="shared" si="79"/>
        <v>0</v>
      </c>
      <c r="Y57" s="494"/>
      <c r="Z57" s="494"/>
      <c r="AA57" s="494"/>
      <c r="AB57" s="526"/>
    </row>
    <row r="58" spans="1:28" ht="18">
      <c r="A58" s="566">
        <v>3</v>
      </c>
      <c r="B58" s="371" t="s">
        <v>335</v>
      </c>
      <c r="C58" s="504">
        <v>0</v>
      </c>
      <c r="D58" s="504">
        <v>0</v>
      </c>
      <c r="E58" s="503">
        <v>0</v>
      </c>
      <c r="F58" s="503">
        <v>0</v>
      </c>
      <c r="G58" s="503">
        <v>0</v>
      </c>
      <c r="H58" s="503">
        <v>0</v>
      </c>
      <c r="I58" s="503"/>
      <c r="J58" s="503">
        <v>0</v>
      </c>
      <c r="K58" s="503">
        <v>0</v>
      </c>
      <c r="L58" s="503"/>
      <c r="M58" s="503"/>
      <c r="N58" s="503">
        <v>0</v>
      </c>
      <c r="O58" s="503"/>
      <c r="P58" s="493"/>
      <c r="Q58" s="493"/>
      <c r="R58" s="493"/>
      <c r="S58" s="493"/>
      <c r="T58" s="493"/>
      <c r="U58" s="493"/>
      <c r="V58" s="526"/>
      <c r="W58" s="546"/>
      <c r="X58" s="534">
        <f t="shared" si="79"/>
        <v>0</v>
      </c>
      <c r="Y58" s="494"/>
      <c r="Z58" s="494"/>
      <c r="AA58" s="494"/>
      <c r="AB58" s="526"/>
    </row>
    <row r="59" spans="1:28" ht="17.399999999999999">
      <c r="A59" s="566">
        <v>4</v>
      </c>
      <c r="B59" s="371" t="s">
        <v>336</v>
      </c>
      <c r="C59" s="503">
        <f t="shared" ref="C59:L59" si="82">C22-C33+C48</f>
        <v>81976.129193000001</v>
      </c>
      <c r="D59" s="503">
        <f t="shared" si="82"/>
        <v>67276.128992999991</v>
      </c>
      <c r="E59" s="503">
        <f t="shared" si="82"/>
        <v>103421.05054299999</v>
      </c>
      <c r="F59" s="503">
        <f t="shared" si="82"/>
        <v>95047.975722999981</v>
      </c>
      <c r="G59" s="503">
        <f t="shared" si="82"/>
        <v>114047.97572299998</v>
      </c>
      <c r="H59" s="503">
        <f t="shared" si="82"/>
        <v>101262.63361699998</v>
      </c>
      <c r="I59" s="503">
        <f t="shared" si="82"/>
        <v>87263</v>
      </c>
      <c r="J59" s="503">
        <f t="shared" si="82"/>
        <v>87262.633616999985</v>
      </c>
      <c r="K59" s="503">
        <f t="shared" si="82"/>
        <v>66419.633616999985</v>
      </c>
      <c r="L59" s="503">
        <f t="shared" si="82"/>
        <v>66420</v>
      </c>
      <c r="M59" s="503">
        <f t="shared" ref="M59:V59" si="83">M22-M33+M48</f>
        <v>45419.633616999985</v>
      </c>
      <c r="N59" s="503">
        <f t="shared" si="83"/>
        <v>45419.633616999985</v>
      </c>
      <c r="O59" s="503">
        <f t="shared" si="83"/>
        <v>23419.633616999985</v>
      </c>
      <c r="P59" s="503">
        <f t="shared" si="83"/>
        <v>23419.633616999985</v>
      </c>
      <c r="Q59" s="503">
        <f t="shared" si="83"/>
        <v>1419.633616999985</v>
      </c>
      <c r="R59" s="503">
        <f t="shared" si="83"/>
        <v>1419.633616999985</v>
      </c>
      <c r="S59" s="503">
        <f t="shared" si="83"/>
        <v>0</v>
      </c>
      <c r="T59" s="503">
        <f t="shared" si="83"/>
        <v>0</v>
      </c>
      <c r="U59" s="503">
        <f t="shared" si="83"/>
        <v>0</v>
      </c>
      <c r="V59" s="529">
        <f t="shared" si="83"/>
        <v>0</v>
      </c>
      <c r="W59" s="549">
        <f t="shared" ref="W59:AB59" si="84">W22-W33+W48</f>
        <v>0</v>
      </c>
      <c r="X59" s="503">
        <f>X22-X33+X48</f>
        <v>417269.37194999994</v>
      </c>
      <c r="Y59" s="503">
        <f t="shared" si="84"/>
        <v>-65000.346163000002</v>
      </c>
      <c r="Z59" s="503">
        <f t="shared" si="84"/>
        <v>-65000.346163000002</v>
      </c>
      <c r="AA59" s="503">
        <f t="shared" si="84"/>
        <v>-65000.346163000002</v>
      </c>
      <c r="AB59" s="529">
        <f t="shared" si="84"/>
        <v>-65000.346163000002</v>
      </c>
    </row>
    <row r="60" spans="1:28" ht="18">
      <c r="A60" s="566">
        <v>5</v>
      </c>
      <c r="B60" s="371" t="s">
        <v>337</v>
      </c>
      <c r="C60" s="504">
        <v>0</v>
      </c>
      <c r="D60" s="504">
        <v>0</v>
      </c>
      <c r="E60" s="503">
        <v>0</v>
      </c>
      <c r="F60" s="503">
        <v>0</v>
      </c>
      <c r="G60" s="503">
        <v>0</v>
      </c>
      <c r="H60" s="503">
        <v>0</v>
      </c>
      <c r="I60" s="503"/>
      <c r="J60" s="503">
        <v>0</v>
      </c>
      <c r="K60" s="503">
        <v>0</v>
      </c>
      <c r="L60" s="503"/>
      <c r="M60" s="503"/>
      <c r="N60" s="503">
        <v>0</v>
      </c>
      <c r="O60" s="503"/>
      <c r="P60" s="493"/>
      <c r="Q60" s="493"/>
      <c r="R60" s="493"/>
      <c r="S60" s="493"/>
      <c r="T60" s="493"/>
      <c r="U60" s="493"/>
      <c r="V60" s="526"/>
      <c r="W60" s="554"/>
      <c r="X60" s="375"/>
      <c r="Y60" s="484"/>
      <c r="Z60" s="484"/>
      <c r="AA60" s="484"/>
      <c r="AB60" s="484"/>
    </row>
    <row r="61" spans="1:28" ht="18.600000000000001" thickBot="1">
      <c r="A61" s="572" t="s">
        <v>46</v>
      </c>
      <c r="B61" s="573" t="s">
        <v>357</v>
      </c>
      <c r="C61" s="574">
        <v>2100</v>
      </c>
      <c r="D61" s="574">
        <v>823.26852699999995</v>
      </c>
      <c r="E61" s="575">
        <v>2000</v>
      </c>
      <c r="F61" s="575">
        <v>1774.8968809999999</v>
      </c>
      <c r="G61" s="576"/>
      <c r="H61" s="577">
        <v>2437.6506370000002</v>
      </c>
      <c r="I61" s="577">
        <v>3000</v>
      </c>
      <c r="J61" s="576">
        <v>3000</v>
      </c>
      <c r="K61" s="576">
        <f>K59*5.3%-20-500</f>
        <v>3000.240581700999</v>
      </c>
      <c r="L61" s="576">
        <f>+K61</f>
        <v>3000.240581700999</v>
      </c>
      <c r="M61" s="574">
        <v>2000</v>
      </c>
      <c r="N61" s="574">
        <v>2000</v>
      </c>
      <c r="O61" s="578">
        <v>1500</v>
      </c>
      <c r="P61" s="578">
        <v>1500</v>
      </c>
      <c r="Q61" s="578">
        <v>1500</v>
      </c>
      <c r="R61" s="578">
        <v>1500</v>
      </c>
      <c r="S61" s="578">
        <v>1000</v>
      </c>
      <c r="T61" s="578">
        <v>1000</v>
      </c>
      <c r="U61" s="578">
        <v>500</v>
      </c>
      <c r="V61" s="579">
        <v>500</v>
      </c>
      <c r="W61" s="555"/>
      <c r="X61" s="512"/>
      <c r="Y61" s="513"/>
      <c r="Z61" s="513"/>
      <c r="AA61" s="513"/>
      <c r="AB61" s="513"/>
    </row>
    <row r="63" spans="1:28">
      <c r="J63" s="514"/>
    </row>
    <row r="64" spans="1:28" s="47" customFormat="1" ht="18" hidden="1">
      <c r="B64" s="515" t="s">
        <v>636</v>
      </c>
      <c r="C64" s="314">
        <f>C10-C13</f>
        <v>857804.83413999993</v>
      </c>
      <c r="D64" s="314">
        <f t="shared" ref="D64:AB64" si="85">D10-D13</f>
        <v>776477.23414000007</v>
      </c>
      <c r="E64" s="314">
        <f t="shared" si="85"/>
        <v>755625.25874700013</v>
      </c>
      <c r="F64" s="314">
        <f t="shared" si="85"/>
        <v>966862.45874700008</v>
      </c>
      <c r="G64" s="314">
        <f t="shared" si="85"/>
        <v>973109.34401700005</v>
      </c>
      <c r="H64" s="314">
        <f t="shared" si="85"/>
        <v>1130151.5440170001</v>
      </c>
      <c r="I64" s="314">
        <f t="shared" si="85"/>
        <v>1452102.4921400002</v>
      </c>
      <c r="J64" s="314">
        <f t="shared" si="85"/>
        <v>1337816.8325925297</v>
      </c>
      <c r="K64" s="314">
        <f t="shared" si="85"/>
        <v>1463416.3323320211</v>
      </c>
      <c r="L64" s="314">
        <f t="shared" si="85"/>
        <v>1463415.965949021</v>
      </c>
      <c r="M64" s="314">
        <f t="shared" si="85"/>
        <v>1680180.4469213516</v>
      </c>
      <c r="N64" s="314">
        <f t="shared" si="85"/>
        <v>1712996.4458970544</v>
      </c>
      <c r="O64" s="314">
        <f t="shared" si="85"/>
        <v>1733996.4458970544</v>
      </c>
      <c r="P64" s="314">
        <f t="shared" si="85"/>
        <v>1733996.4458970544</v>
      </c>
      <c r="Q64" s="314">
        <f t="shared" si="85"/>
        <v>2318130.1458523516</v>
      </c>
      <c r="R64" s="314">
        <f t="shared" si="85"/>
        <v>2318130.1458523516</v>
      </c>
      <c r="S64" s="314">
        <f t="shared" si="85"/>
        <v>2539185.8159981803</v>
      </c>
      <c r="T64" s="314">
        <f t="shared" si="85"/>
        <v>2539185.8159981803</v>
      </c>
      <c r="U64" s="314">
        <f t="shared" si="85"/>
        <v>2771687.4383513071</v>
      </c>
      <c r="V64" s="314">
        <f t="shared" si="85"/>
        <v>2771687.4383513071</v>
      </c>
      <c r="W64" s="314">
        <f t="shared" si="85"/>
        <v>7294024.1983490214</v>
      </c>
      <c r="X64" s="314">
        <f t="shared" si="85"/>
        <v>5674724.0354455514</v>
      </c>
      <c r="Y64" s="314">
        <f t="shared" si="85"/>
        <v>0</v>
      </c>
      <c r="Z64" s="314">
        <f t="shared" si="85"/>
        <v>0</v>
      </c>
      <c r="AA64" s="314">
        <f t="shared" si="85"/>
        <v>0</v>
      </c>
      <c r="AB64" s="314">
        <f t="shared" si="85"/>
        <v>0</v>
      </c>
    </row>
    <row r="65" spans="2:28" s="47" customFormat="1" ht="18" hidden="1">
      <c r="B65" s="515" t="s">
        <v>637</v>
      </c>
      <c r="C65" s="314">
        <f>C10-C50</f>
        <v>1100289.1988069999</v>
      </c>
      <c r="D65" s="314">
        <f t="shared" ref="D65:AB65" si="86">D10-D50</f>
        <v>808430.25874700013</v>
      </c>
      <c r="E65" s="314">
        <f t="shared" si="86"/>
        <v>785891.6691970001</v>
      </c>
      <c r="F65" s="314">
        <f t="shared" si="86"/>
        <v>1005501.9440170001</v>
      </c>
      <c r="G65" s="314">
        <f t="shared" si="86"/>
        <v>1001520.684017</v>
      </c>
      <c r="H65" s="314">
        <f t="shared" si="86"/>
        <v>1171348.2261230003</v>
      </c>
      <c r="I65" s="314">
        <f t="shared" si="86"/>
        <v>1525428.8324000002</v>
      </c>
      <c r="J65" s="314">
        <f t="shared" si="86"/>
        <v>1411142.8325925297</v>
      </c>
      <c r="K65" s="314">
        <f t="shared" si="86"/>
        <v>1650164.3323320211</v>
      </c>
      <c r="L65" s="314">
        <f t="shared" si="86"/>
        <v>1650163.965949021</v>
      </c>
      <c r="M65" s="314">
        <f t="shared" si="86"/>
        <v>1701180.4469213516</v>
      </c>
      <c r="N65" s="314">
        <f t="shared" si="86"/>
        <v>1733996.4458970544</v>
      </c>
      <c r="O65" s="314">
        <f t="shared" si="86"/>
        <v>1755996.4458970544</v>
      </c>
      <c r="P65" s="314">
        <f t="shared" si="86"/>
        <v>1755996.4458970544</v>
      </c>
      <c r="Q65" s="314">
        <f t="shared" si="86"/>
        <v>2340130.1458523516</v>
      </c>
      <c r="R65" s="314">
        <f t="shared" si="86"/>
        <v>2340130.1458523516</v>
      </c>
      <c r="S65" s="314">
        <f t="shared" si="86"/>
        <v>2540605.4496151805</v>
      </c>
      <c r="T65" s="314">
        <f t="shared" si="86"/>
        <v>2540605.4496151805</v>
      </c>
      <c r="U65" s="314">
        <f t="shared" si="86"/>
        <v>2771687.4383513071</v>
      </c>
      <c r="V65" s="314">
        <f t="shared" si="86"/>
        <v>2771687.4383513071</v>
      </c>
      <c r="W65" s="314">
        <f t="shared" si="86"/>
        <v>7294024.1983490214</v>
      </c>
      <c r="X65" s="314">
        <f t="shared" si="86"/>
        <v>6046587.2274285518</v>
      </c>
      <c r="Y65" s="314">
        <f t="shared" si="86"/>
        <v>65000.346163000002</v>
      </c>
      <c r="Z65" s="314">
        <f t="shared" si="86"/>
        <v>65000.346163000002</v>
      </c>
      <c r="AA65" s="314">
        <f t="shared" si="86"/>
        <v>65000.346163000002</v>
      </c>
      <c r="AB65" s="314">
        <f t="shared" si="86"/>
        <v>65000.346163000002</v>
      </c>
    </row>
    <row r="66" spans="2:28" hidden="1"/>
    <row r="67" spans="2:28" hidden="1"/>
    <row r="103" spans="12:12">
      <c r="L103" t="s">
        <v>117</v>
      </c>
    </row>
  </sheetData>
  <mergeCells count="15">
    <mergeCell ref="W6:X6"/>
    <mergeCell ref="Y6:Z6"/>
    <mergeCell ref="AA6:AB6"/>
    <mergeCell ref="I6:J6"/>
    <mergeCell ref="A6:A7"/>
    <mergeCell ref="B6:B7"/>
    <mergeCell ref="C6:D6"/>
    <mergeCell ref="E6:F6"/>
    <mergeCell ref="G6:H6"/>
    <mergeCell ref="K6:L6"/>
    <mergeCell ref="M6:N6"/>
    <mergeCell ref="O6:P6"/>
    <mergeCell ref="Q6:R6"/>
    <mergeCell ref="U6:V6"/>
    <mergeCell ref="S6:T6"/>
  </mergeCells>
  <hyperlinks>
    <hyperlink ref="A6:A7" location="'Danh mục file'!A1" display="STT"/>
  </hyperlinks>
  <printOptions horizontalCentered="1"/>
  <pageMargins left="0" right="0" top="0.39370078740157483" bottom="0" header="0" footer="0"/>
  <pageSetup paperSize="9" scale="70"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5"/>
  </sheetPr>
  <dimension ref="A1:L214"/>
  <sheetViews>
    <sheetView topLeftCell="A184" workbookViewId="0">
      <selection activeCell="K202" sqref="K202"/>
    </sheetView>
  </sheetViews>
  <sheetFormatPr defaultColWidth="10.33203125" defaultRowHeight="15.6"/>
  <cols>
    <col min="1" max="1" width="6.33203125" style="3905" customWidth="1"/>
    <col min="2" max="2" width="92.6640625" style="3905" customWidth="1"/>
    <col min="3" max="3" width="8.33203125" style="3905" customWidth="1"/>
    <col min="4" max="4" width="13.109375" style="3905" customWidth="1"/>
    <col min="5" max="5" width="8.5546875" style="3905" customWidth="1"/>
    <col min="6" max="6" width="14.33203125" style="3905" customWidth="1"/>
    <col min="7" max="7" width="11.33203125" style="3905" customWidth="1"/>
    <col min="8" max="8" width="13.6640625" style="3905" customWidth="1"/>
    <col min="9" max="9" width="10.88671875" style="3905" customWidth="1"/>
    <col min="10" max="16384" width="10.33203125" style="3905"/>
  </cols>
  <sheetData>
    <row r="1" spans="1:9" ht="36.75" customHeight="1">
      <c r="A1" s="6269" t="s">
        <v>2199</v>
      </c>
      <c r="B1" s="6270"/>
      <c r="C1" s="6270"/>
      <c r="D1" s="6270"/>
      <c r="E1" s="6270"/>
      <c r="F1" s="6270"/>
      <c r="G1" s="6270"/>
      <c r="H1" s="6270"/>
      <c r="I1" s="6270"/>
    </row>
    <row r="2" spans="1:9" s="3906" customFormat="1">
      <c r="A2" s="6271" t="s">
        <v>2200</v>
      </c>
      <c r="B2" s="6271"/>
      <c r="C2" s="6271"/>
      <c r="D2" s="6271"/>
      <c r="E2" s="6271"/>
      <c r="F2" s="6271"/>
      <c r="G2" s="6271"/>
      <c r="H2" s="6271"/>
      <c r="I2" s="6271"/>
    </row>
    <row r="3" spans="1:9">
      <c r="A3" s="3907"/>
      <c r="B3" s="3907"/>
      <c r="C3" s="3907"/>
      <c r="D3" s="3907"/>
      <c r="E3" s="3907"/>
      <c r="F3" s="3907"/>
      <c r="G3" s="3907"/>
      <c r="H3" s="3907"/>
      <c r="I3" s="3907"/>
    </row>
    <row r="4" spans="1:9" s="3909" customFormat="1" ht="15" thickBot="1">
      <c r="A4" s="3908"/>
      <c r="B4" s="3908"/>
      <c r="C4" s="3908"/>
      <c r="D4" s="3908"/>
      <c r="E4" s="3908"/>
      <c r="F4" s="3908"/>
      <c r="G4" s="6272" t="s">
        <v>2201</v>
      </c>
      <c r="H4" s="6272"/>
      <c r="I4" s="6272"/>
    </row>
    <row r="5" spans="1:9" s="3910" customFormat="1">
      <c r="A5" s="6273" t="s">
        <v>247</v>
      </c>
      <c r="B5" s="6275" t="s">
        <v>1123</v>
      </c>
      <c r="C5" s="6275" t="s">
        <v>479</v>
      </c>
      <c r="D5" s="6275" t="s">
        <v>2202</v>
      </c>
      <c r="E5" s="6276" t="s">
        <v>2203</v>
      </c>
      <c r="F5" s="6276"/>
      <c r="G5" s="6276"/>
      <c r="H5" s="6275" t="s">
        <v>2204</v>
      </c>
      <c r="I5" s="6277"/>
    </row>
    <row r="6" spans="1:9" s="3910" customFormat="1">
      <c r="A6" s="6274"/>
      <c r="B6" s="6268"/>
      <c r="C6" s="6268"/>
      <c r="D6" s="6268"/>
      <c r="E6" s="6267" t="s">
        <v>2205</v>
      </c>
      <c r="F6" s="6267" t="s">
        <v>2206</v>
      </c>
      <c r="G6" s="6267" t="s">
        <v>1129</v>
      </c>
      <c r="H6" s="6268" t="s">
        <v>2207</v>
      </c>
      <c r="I6" s="6278" t="s">
        <v>2208</v>
      </c>
    </row>
    <row r="7" spans="1:9" s="3910" customFormat="1">
      <c r="A7" s="6274"/>
      <c r="B7" s="6268"/>
      <c r="C7" s="6268"/>
      <c r="D7" s="6268"/>
      <c r="E7" s="6268"/>
      <c r="F7" s="6268"/>
      <c r="G7" s="6268"/>
      <c r="H7" s="6268"/>
      <c r="I7" s="6278"/>
    </row>
    <row r="8" spans="1:9" s="3915" customFormat="1" ht="13.8" thickBot="1">
      <c r="A8" s="3911">
        <v>1</v>
      </c>
      <c r="B8" s="3912">
        <f t="shared" ref="B8:G8" si="0">A8+1</f>
        <v>2</v>
      </c>
      <c r="C8" s="3912">
        <f t="shared" si="0"/>
        <v>3</v>
      </c>
      <c r="D8" s="3912">
        <f t="shared" si="0"/>
        <v>4</v>
      </c>
      <c r="E8" s="3912">
        <f t="shared" si="0"/>
        <v>5</v>
      </c>
      <c r="F8" s="3912">
        <f t="shared" si="0"/>
        <v>6</v>
      </c>
      <c r="G8" s="3912">
        <f t="shared" si="0"/>
        <v>7</v>
      </c>
      <c r="H8" s="3913" t="s">
        <v>2209</v>
      </c>
      <c r="I8" s="3914" t="s">
        <v>2210</v>
      </c>
    </row>
    <row r="9" spans="1:9" ht="16.2" thickBot="1">
      <c r="A9" s="3916"/>
      <c r="B9" s="3917" t="s">
        <v>2211</v>
      </c>
      <c r="C9" s="3918">
        <v>1.49</v>
      </c>
      <c r="D9" s="3919">
        <f>'[1]Xác định lại dự toán 2022-TW'!C7</f>
        <v>8593985.0258779023</v>
      </c>
      <c r="E9" s="3919"/>
      <c r="F9" s="3919"/>
      <c r="G9" s="3919">
        <f>(SUM(G13,G43,G58,G108,G115,G121,G127,G137,G146,G155,G156,G172,G187,G189))</f>
        <v>8651414.4090575669</v>
      </c>
      <c r="H9" s="3919">
        <f>G9-D9</f>
        <v>57429.383179664612</v>
      </c>
      <c r="I9" s="3920">
        <f>G9/D9%</f>
        <v>100.66825091045347</v>
      </c>
    </row>
    <row r="10" spans="1:9">
      <c r="A10" s="3921"/>
      <c r="B10" s="3922" t="s">
        <v>2212</v>
      </c>
      <c r="C10" s="3923"/>
      <c r="D10" s="3924"/>
      <c r="E10" s="3924"/>
      <c r="F10" s="3924"/>
      <c r="G10" s="3924">
        <f>SUM(G13,G43,G58,G108,G115,G121,G127,G137,G146,G155,G156,G172,G187)</f>
        <v>8651414.4090575669</v>
      </c>
      <c r="H10" s="3924"/>
      <c r="I10" s="3920">
        <f>G10/D9%</f>
        <v>100.66825091045347</v>
      </c>
    </row>
    <row r="11" spans="1:9">
      <c r="A11" s="3921"/>
      <c r="B11" s="3925" t="s">
        <v>2213</v>
      </c>
      <c r="C11" s="3923"/>
      <c r="D11" s="3924"/>
      <c r="E11" s="3924"/>
      <c r="F11" s="3924"/>
      <c r="G11" s="3926">
        <f>G9-G10</f>
        <v>0</v>
      </c>
      <c r="H11" s="3924"/>
      <c r="I11" s="3927"/>
    </row>
    <row r="12" spans="1:9">
      <c r="A12" s="3928"/>
      <c r="B12" s="3929" t="s">
        <v>2214</v>
      </c>
      <c r="C12" s="3930"/>
      <c r="D12" s="3931">
        <f>D9-D13-D155</f>
        <v>4813812.7888039034</v>
      </c>
      <c r="E12" s="3931"/>
      <c r="F12" s="3931"/>
      <c r="G12" s="3931">
        <f>G10-G13-G155</f>
        <v>4534131.1036073826</v>
      </c>
      <c r="H12" s="3931">
        <f>G12-D12</f>
        <v>-279681.68519652076</v>
      </c>
      <c r="I12" s="3932">
        <f>G12/D12%</f>
        <v>94.190017404768795</v>
      </c>
    </row>
    <row r="13" spans="1:9" s="3936" customFormat="1">
      <c r="A13" s="3933">
        <v>1</v>
      </c>
      <c r="B13" s="3934" t="s">
        <v>2215</v>
      </c>
      <c r="C13" s="3935"/>
      <c r="D13" s="3931">
        <f>'[1]Xác định lại dự toán 2022-TW'!C8</f>
        <v>3753146.2370739989</v>
      </c>
      <c r="E13" s="3931"/>
      <c r="F13" s="3931"/>
      <c r="G13" s="3931">
        <f>SUM(G14,G37)</f>
        <v>4090257.3054501838</v>
      </c>
      <c r="H13" s="3931">
        <f>G13-D13</f>
        <v>337111.06837618491</v>
      </c>
      <c r="I13" s="3932">
        <f>IF(D13=0,0,G13/D13*100)</f>
        <v>108.98209254534672</v>
      </c>
    </row>
    <row r="14" spans="1:9" s="3936" customFormat="1">
      <c r="A14" s="3933" t="s">
        <v>1011</v>
      </c>
      <c r="B14" s="3934" t="s">
        <v>2216</v>
      </c>
      <c r="C14" s="3937"/>
      <c r="D14" s="3931"/>
      <c r="E14" s="3931"/>
      <c r="F14" s="3931"/>
      <c r="G14" s="3931">
        <f>SUM(G15,G20,G30)</f>
        <v>3896536.4327301839</v>
      </c>
      <c r="H14" s="3931">
        <f>G14-D14</f>
        <v>3896536.4327301839</v>
      </c>
      <c r="I14" s="3932">
        <f>IF(D14=0,0,G14/D14*100)</f>
        <v>0</v>
      </c>
    </row>
    <row r="15" spans="1:9" s="3906" customFormat="1">
      <c r="A15" s="3938" t="s">
        <v>99</v>
      </c>
      <c r="B15" s="3939" t="s">
        <v>2217</v>
      </c>
      <c r="C15" s="3935"/>
      <c r="D15" s="3940"/>
      <c r="E15" s="3940">
        <f>SUM(E16:E18)</f>
        <v>404112</v>
      </c>
      <c r="F15" s="3935"/>
      <c r="G15" s="3940">
        <f>SUM(G16:G19)</f>
        <v>1597559.4802050001</v>
      </c>
      <c r="H15" s="3940"/>
      <c r="I15" s="3941"/>
    </row>
    <row r="16" spans="1:9">
      <c r="A16" s="3942" t="s">
        <v>29</v>
      </c>
      <c r="B16" s="3943" t="s">
        <v>2218</v>
      </c>
      <c r="C16" s="3935" t="s">
        <v>519</v>
      </c>
      <c r="D16" s="3944"/>
      <c r="E16" s="3945">
        <v>76515</v>
      </c>
      <c r="F16" s="3945">
        <v>3007400</v>
      </c>
      <c r="G16" s="3945">
        <f>E16*F16*(100%+$G$193)/1000000</f>
        <v>264627.89264999999</v>
      </c>
      <c r="H16" s="3944"/>
      <c r="I16" s="3946"/>
    </row>
    <row r="17" spans="1:9">
      <c r="A17" s="3942" t="s">
        <v>29</v>
      </c>
      <c r="B17" s="3943" t="s">
        <v>2219</v>
      </c>
      <c r="C17" s="3935" t="s">
        <v>519</v>
      </c>
      <c r="D17" s="3944"/>
      <c r="E17" s="3945">
        <v>327597</v>
      </c>
      <c r="F17" s="3945">
        <v>3538100</v>
      </c>
      <c r="G17" s="3945">
        <f>E17*F17*(100%+$G$193)/1000000</f>
        <v>1332931.5875550001</v>
      </c>
      <c r="H17" s="3944"/>
      <c r="I17" s="3946"/>
    </row>
    <row r="18" spans="1:9">
      <c r="A18" s="3942" t="s">
        <v>29</v>
      </c>
      <c r="B18" s="3943" t="s">
        <v>2220</v>
      </c>
      <c r="C18" s="3935" t="s">
        <v>519</v>
      </c>
      <c r="D18" s="3944"/>
      <c r="E18" s="3945"/>
      <c r="F18" s="3945">
        <v>4953300</v>
      </c>
      <c r="G18" s="3945">
        <f>E18*F18*(100%+$G$193)/1000000</f>
        <v>0</v>
      </c>
      <c r="H18" s="3944"/>
      <c r="I18" s="3946"/>
    </row>
    <row r="19" spans="1:9">
      <c r="A19" s="3942" t="s">
        <v>29</v>
      </c>
      <c r="B19" s="3943" t="s">
        <v>2221</v>
      </c>
      <c r="C19" s="3935" t="s">
        <v>519</v>
      </c>
      <c r="D19" s="3944"/>
      <c r="E19" s="3945">
        <v>0</v>
      </c>
      <c r="F19" s="3945">
        <v>7076200</v>
      </c>
      <c r="G19" s="3945">
        <f>E19*F19*(100%+$G$193)/1000000</f>
        <v>0</v>
      </c>
      <c r="H19" s="3944"/>
      <c r="I19" s="3946"/>
    </row>
    <row r="20" spans="1:9" s="3906" customFormat="1">
      <c r="A20" s="3938" t="s">
        <v>101</v>
      </c>
      <c r="B20" s="3939" t="s">
        <v>2222</v>
      </c>
      <c r="C20" s="3935"/>
      <c r="D20" s="3940"/>
      <c r="E20" s="3944"/>
      <c r="F20" s="3940"/>
      <c r="G20" s="3940">
        <f>IF(G29&gt;81%,(G21)/81%-G15,0)</f>
        <v>2229098.1125251837</v>
      </c>
      <c r="H20" s="3940"/>
      <c r="I20" s="3941"/>
    </row>
    <row r="21" spans="1:9" s="3906" customFormat="1">
      <c r="A21" s="3938" t="s">
        <v>2223</v>
      </c>
      <c r="B21" s="3939" t="s">
        <v>2224</v>
      </c>
      <c r="C21" s="3935"/>
      <c r="D21" s="3940"/>
      <c r="E21" s="3944"/>
      <c r="F21" s="3940"/>
      <c r="G21" s="3940">
        <f>SUM(G26,G27,G28)</f>
        <v>3099592.650111449</v>
      </c>
      <c r="H21" s="3940"/>
      <c r="I21" s="3941"/>
    </row>
    <row r="22" spans="1:9" s="3906" customFormat="1">
      <c r="A22" s="3938" t="s">
        <v>29</v>
      </c>
      <c r="B22" s="3943" t="s">
        <v>2225</v>
      </c>
      <c r="C22" s="3935" t="s">
        <v>437</v>
      </c>
      <c r="D22" s="3940"/>
      <c r="E22" s="3944">
        <v>22620</v>
      </c>
      <c r="F22" s="3940"/>
      <c r="G22" s="3944"/>
      <c r="H22" s="3940"/>
      <c r="I22" s="3941"/>
    </row>
    <row r="23" spans="1:9" s="3906" customFormat="1">
      <c r="A23" s="3938" t="s">
        <v>29</v>
      </c>
      <c r="B23" s="3943" t="s">
        <v>2226</v>
      </c>
      <c r="C23" s="3935" t="s">
        <v>437</v>
      </c>
      <c r="D23" s="3940"/>
      <c r="E23" s="3944">
        <v>22254</v>
      </c>
      <c r="F23" s="3940"/>
      <c r="G23" s="3944"/>
      <c r="H23" s="3940"/>
      <c r="I23" s="3941"/>
    </row>
    <row r="24" spans="1:9" s="3906" customFormat="1">
      <c r="A24" s="3938" t="s">
        <v>29</v>
      </c>
      <c r="B24" s="3943" t="s">
        <v>2227</v>
      </c>
      <c r="C24" s="3935" t="s">
        <v>437</v>
      </c>
      <c r="D24" s="3940"/>
      <c r="E24" s="3944">
        <f>E22-E23</f>
        <v>366</v>
      </c>
      <c r="F24" s="3940"/>
      <c r="G24" s="3944"/>
      <c r="H24" s="3940"/>
      <c r="I24" s="3941"/>
    </row>
    <row r="25" spans="1:9" s="3906" customFormat="1">
      <c r="A25" s="3938" t="s">
        <v>29</v>
      </c>
      <c r="B25" s="3943" t="s">
        <v>2228</v>
      </c>
      <c r="C25" s="3935" t="s">
        <v>2229</v>
      </c>
      <c r="D25" s="3940"/>
      <c r="E25" s="3947">
        <v>2.34</v>
      </c>
      <c r="F25" s="3940"/>
      <c r="G25" s="3944"/>
      <c r="H25" s="3940"/>
      <c r="I25" s="3941"/>
    </row>
    <row r="26" spans="1:9" s="3906" customFormat="1">
      <c r="A26" s="3938" t="s">
        <v>29</v>
      </c>
      <c r="B26" s="3943" t="s">
        <v>2230</v>
      </c>
      <c r="C26" s="3935" t="s">
        <v>2229</v>
      </c>
      <c r="D26" s="3940"/>
      <c r="E26" s="3947">
        <v>3.96</v>
      </c>
      <c r="F26" s="3940"/>
      <c r="G26" s="3944">
        <f>$C$9*12*E26*E23+$C$9*12*E24*E25</f>
        <v>1591003.1664</v>
      </c>
      <c r="H26" s="3940"/>
      <c r="I26" s="3941"/>
    </row>
    <row r="27" spans="1:9" s="3906" customFormat="1">
      <c r="A27" s="3938" t="s">
        <v>29</v>
      </c>
      <c r="B27" s="3943" t="s">
        <v>2231</v>
      </c>
      <c r="C27" s="3935" t="s">
        <v>2229</v>
      </c>
      <c r="D27" s="3940"/>
      <c r="E27" s="3948">
        <v>2.58</v>
      </c>
      <c r="F27" s="3940"/>
      <c r="G27" s="3944">
        <f>E27/E26*G26</f>
        <v>1036562.6690181817</v>
      </c>
      <c r="H27" s="3940"/>
      <c r="I27" s="3941"/>
    </row>
    <row r="28" spans="1:9" s="3906" customFormat="1">
      <c r="A28" s="3938" t="s">
        <v>29</v>
      </c>
      <c r="B28" s="3943" t="s">
        <v>2232</v>
      </c>
      <c r="C28" s="3935" t="s">
        <v>2229</v>
      </c>
      <c r="D28" s="3940"/>
      <c r="E28" s="3948">
        <v>17.964414376629438</v>
      </c>
      <c r="F28" s="3940"/>
      <c r="G28" s="3944">
        <f>(G26+G27)*E28/100</f>
        <v>472026.81469326722</v>
      </c>
      <c r="H28" s="3940"/>
      <c r="I28" s="3941"/>
    </row>
    <row r="29" spans="1:9" s="3950" customFormat="1">
      <c r="A29" s="3938" t="s">
        <v>2233</v>
      </c>
      <c r="B29" s="3939" t="s">
        <v>2234</v>
      </c>
      <c r="C29" s="3935" t="s">
        <v>417</v>
      </c>
      <c r="D29" s="3944"/>
      <c r="E29" s="3944"/>
      <c r="F29" s="3944"/>
      <c r="G29" s="3949">
        <f>(G21)/G15</f>
        <v>1.9402048490324171</v>
      </c>
      <c r="H29" s="3944"/>
      <c r="I29" s="3946"/>
    </row>
    <row r="30" spans="1:9" s="3951" customFormat="1">
      <c r="A30" s="3938" t="s">
        <v>147</v>
      </c>
      <c r="B30" s="3939" t="s">
        <v>2235</v>
      </c>
      <c r="C30" s="3937"/>
      <c r="D30" s="3940"/>
      <c r="E30" s="3940"/>
      <c r="F30" s="3940"/>
      <c r="G30" s="3940">
        <f>SUM(G31,G34,G35,G36)</f>
        <v>69878.84</v>
      </c>
      <c r="H30" s="3940"/>
      <c r="I30" s="3941"/>
    </row>
    <row r="31" spans="1:9" s="3950" customFormat="1" ht="26.4">
      <c r="A31" s="3942" t="s">
        <v>2236</v>
      </c>
      <c r="B31" s="3943" t="s">
        <v>2237</v>
      </c>
      <c r="C31" s="3935"/>
      <c r="D31" s="3944"/>
      <c r="E31" s="3945"/>
      <c r="F31" s="3945"/>
      <c r="G31" s="3944">
        <f>SUM(G32:G33)</f>
        <v>21471.84</v>
      </c>
      <c r="H31" s="3944"/>
      <c r="I31" s="3946"/>
    </row>
    <row r="32" spans="1:9" s="3950" customFormat="1">
      <c r="A32" s="3942" t="s">
        <v>29</v>
      </c>
      <c r="B32" s="3943" t="s">
        <v>2238</v>
      </c>
      <c r="C32" s="3935" t="s">
        <v>437</v>
      </c>
      <c r="D32" s="3944"/>
      <c r="E32" s="3945">
        <v>14911</v>
      </c>
      <c r="F32" s="3945">
        <f>1.44*1000000</f>
        <v>1440000</v>
      </c>
      <c r="G32" s="3944">
        <f>E32*F32/1000000</f>
        <v>21471.84</v>
      </c>
      <c r="H32" s="3944"/>
      <c r="I32" s="3946"/>
    </row>
    <row r="33" spans="1:9" s="3950" customFormat="1">
      <c r="A33" s="3942" t="s">
        <v>29</v>
      </c>
      <c r="B33" s="3943" t="s">
        <v>2239</v>
      </c>
      <c r="C33" s="3935" t="s">
        <v>437</v>
      </c>
      <c r="D33" s="3944"/>
      <c r="E33" s="3945"/>
      <c r="F33" s="3945">
        <f>4.05*1000000</f>
        <v>4050000</v>
      </c>
      <c r="G33" s="3944"/>
      <c r="H33" s="3944"/>
      <c r="I33" s="3946"/>
    </row>
    <row r="34" spans="1:9" s="3950" customFormat="1" ht="39.6">
      <c r="A34" s="3942" t="s">
        <v>2240</v>
      </c>
      <c r="B34" s="3943" t="s">
        <v>2241</v>
      </c>
      <c r="C34" s="3935"/>
      <c r="D34" s="3944"/>
      <c r="E34" s="3945">
        <f>349</f>
        <v>349</v>
      </c>
      <c r="F34" s="3945">
        <f>11.728*1000000</f>
        <v>11728000</v>
      </c>
      <c r="G34" s="3944">
        <f>3989</f>
        <v>3989</v>
      </c>
      <c r="H34" s="3944"/>
      <c r="I34" s="3946"/>
    </row>
    <row r="35" spans="1:9" s="3950" customFormat="1" ht="26.4">
      <c r="A35" s="3942" t="s">
        <v>2242</v>
      </c>
      <c r="B35" s="3943" t="s">
        <v>2243</v>
      </c>
      <c r="C35" s="3935"/>
      <c r="D35" s="3944"/>
      <c r="E35" s="3945"/>
      <c r="F35" s="3945"/>
      <c r="G35" s="3944"/>
      <c r="H35" s="3944"/>
      <c r="I35" s="3946"/>
    </row>
    <row r="36" spans="1:9" s="3950" customFormat="1" ht="39.6">
      <c r="A36" s="3942" t="s">
        <v>2244</v>
      </c>
      <c r="B36" s="3943" t="s">
        <v>2245</v>
      </c>
      <c r="C36" s="3935"/>
      <c r="D36" s="3944"/>
      <c r="E36" s="3945">
        <v>107354</v>
      </c>
      <c r="F36" s="3945"/>
      <c r="G36" s="3944">
        <v>44418</v>
      </c>
      <c r="H36" s="3944"/>
      <c r="I36" s="3946"/>
    </row>
    <row r="37" spans="1:9" s="3952" customFormat="1">
      <c r="A37" s="3933" t="s">
        <v>1019</v>
      </c>
      <c r="B37" s="3934" t="s">
        <v>2246</v>
      </c>
      <c r="C37" s="3937"/>
      <c r="D37" s="3931"/>
      <c r="E37" s="3931"/>
      <c r="F37" s="3935"/>
      <c r="G37" s="3931">
        <f>SUM(G38)</f>
        <v>193720.87271999998</v>
      </c>
      <c r="H37" s="3931">
        <f>G37-D37</f>
        <v>193720.87271999998</v>
      </c>
      <c r="I37" s="3932">
        <f>IF(D37=0,0,G37/D37*100)</f>
        <v>0</v>
      </c>
    </row>
    <row r="38" spans="1:9" s="3936" customFormat="1">
      <c r="A38" s="3933"/>
      <c r="B38" s="3934" t="s">
        <v>2247</v>
      </c>
      <c r="C38" s="3930"/>
      <c r="D38" s="3931"/>
      <c r="E38" s="3931">
        <f>SUM(E39:E42)</f>
        <v>1196463</v>
      </c>
      <c r="F38" s="3930"/>
      <c r="G38" s="3931">
        <f>SUM(G39:G42)</f>
        <v>193720.87271999998</v>
      </c>
      <c r="H38" s="3931"/>
      <c r="I38" s="3932"/>
    </row>
    <row r="39" spans="1:9">
      <c r="A39" s="3942" t="s">
        <v>29</v>
      </c>
      <c r="B39" s="3943" t="s">
        <v>2218</v>
      </c>
      <c r="C39" s="3935" t="s">
        <v>519</v>
      </c>
      <c r="D39" s="3944"/>
      <c r="E39" s="3945">
        <f>E45-E16</f>
        <v>226539</v>
      </c>
      <c r="F39" s="3945">
        <v>129200</v>
      </c>
      <c r="G39" s="3945">
        <f>E39*F39*(100%+$G$193)/1000000</f>
        <v>33659.164619999996</v>
      </c>
      <c r="H39" s="3944"/>
      <c r="I39" s="3946"/>
    </row>
    <row r="40" spans="1:9">
      <c r="A40" s="3942" t="s">
        <v>29</v>
      </c>
      <c r="B40" s="3943" t="s">
        <v>2219</v>
      </c>
      <c r="C40" s="3935" t="s">
        <v>519</v>
      </c>
      <c r="D40" s="3944"/>
      <c r="E40" s="3945">
        <f>E46-E17</f>
        <v>969924</v>
      </c>
      <c r="F40" s="3945">
        <v>143500</v>
      </c>
      <c r="G40" s="3945">
        <f>E40*F40*(100%+$G$193)/1000000</f>
        <v>160061.70809999999</v>
      </c>
      <c r="H40" s="3944"/>
      <c r="I40" s="3946"/>
    </row>
    <row r="41" spans="1:9">
      <c r="A41" s="3942" t="s">
        <v>29</v>
      </c>
      <c r="B41" s="3943" t="s">
        <v>2220</v>
      </c>
      <c r="C41" s="3935" t="s">
        <v>519</v>
      </c>
      <c r="D41" s="3944"/>
      <c r="E41" s="3945">
        <f>E47-E18</f>
        <v>0</v>
      </c>
      <c r="F41" s="3945">
        <v>200900</v>
      </c>
      <c r="G41" s="3945">
        <f>E41*F41*(100%+$G$193)/1000000</f>
        <v>0</v>
      </c>
      <c r="H41" s="3944"/>
      <c r="I41" s="3946"/>
    </row>
    <row r="42" spans="1:9">
      <c r="A42" s="3942" t="s">
        <v>29</v>
      </c>
      <c r="B42" s="3943" t="s">
        <v>2221</v>
      </c>
      <c r="C42" s="3935" t="s">
        <v>519</v>
      </c>
      <c r="D42" s="3944"/>
      <c r="E42" s="3945">
        <f>E48-E19</f>
        <v>0</v>
      </c>
      <c r="F42" s="3945">
        <v>287000</v>
      </c>
      <c r="G42" s="3945">
        <f>E42*F42*(100%+$G$193)/1000000</f>
        <v>0</v>
      </c>
      <c r="H42" s="3944"/>
      <c r="I42" s="3946"/>
    </row>
    <row r="43" spans="1:9" s="3936" customFormat="1">
      <c r="A43" s="3933">
        <v>2</v>
      </c>
      <c r="B43" s="3934" t="s">
        <v>2067</v>
      </c>
      <c r="C43" s="3935"/>
      <c r="D43" s="3931"/>
      <c r="E43" s="3931"/>
      <c r="F43" s="3931"/>
      <c r="G43" s="3931">
        <f>(SUM(G44,G49))</f>
        <v>760426.67794500012</v>
      </c>
      <c r="H43" s="3931"/>
      <c r="I43" s="3932"/>
    </row>
    <row r="44" spans="1:9" s="3952" customFormat="1">
      <c r="A44" s="3938" t="s">
        <v>204</v>
      </c>
      <c r="B44" s="3939" t="s">
        <v>2248</v>
      </c>
      <c r="C44" s="3935"/>
      <c r="D44" s="3953"/>
      <c r="E44" s="3953">
        <f>SUM(E45:E48)</f>
        <v>1600575</v>
      </c>
      <c r="F44" s="3935"/>
      <c r="G44" s="3940">
        <f>SUM(G45:G48)</f>
        <v>432084.78580499999</v>
      </c>
      <c r="H44" s="3953"/>
      <c r="I44" s="3954"/>
    </row>
    <row r="45" spans="1:9">
      <c r="A45" s="3942" t="s">
        <v>29</v>
      </c>
      <c r="B45" s="3943" t="s">
        <v>2218</v>
      </c>
      <c r="C45" s="3935" t="s">
        <v>519</v>
      </c>
      <c r="D45" s="3944"/>
      <c r="E45" s="3945">
        <v>303054</v>
      </c>
      <c r="F45" s="3945">
        <v>182700</v>
      </c>
      <c r="G45" s="3945">
        <f>E45*F45*(100%+$G$193)/1000000</f>
        <v>63673.16066999999</v>
      </c>
      <c r="H45" s="3944"/>
      <c r="I45" s="3946"/>
    </row>
    <row r="46" spans="1:9">
      <c r="A46" s="3942" t="s">
        <v>29</v>
      </c>
      <c r="B46" s="3943" t="s">
        <v>2219</v>
      </c>
      <c r="C46" s="3935" t="s">
        <v>519</v>
      </c>
      <c r="D46" s="3944"/>
      <c r="E46" s="3945">
        <v>1297521</v>
      </c>
      <c r="F46" s="3945">
        <v>246900</v>
      </c>
      <c r="G46" s="3945">
        <f>E46*F46*(100%+$G$193)/1000000</f>
        <v>368411.62513499998</v>
      </c>
      <c r="H46" s="3944"/>
      <c r="I46" s="3946"/>
    </row>
    <row r="47" spans="1:9">
      <c r="A47" s="3942" t="s">
        <v>29</v>
      </c>
      <c r="B47" s="3943" t="s">
        <v>2220</v>
      </c>
      <c r="C47" s="3935" t="s">
        <v>519</v>
      </c>
      <c r="D47" s="3944"/>
      <c r="E47" s="3945"/>
      <c r="F47" s="3945">
        <v>333300</v>
      </c>
      <c r="G47" s="3945">
        <f>E47*F47*(100%+$G$193)/1000000</f>
        <v>0</v>
      </c>
      <c r="H47" s="3944"/>
      <c r="I47" s="3946"/>
    </row>
    <row r="48" spans="1:9">
      <c r="A48" s="3942" t="s">
        <v>29</v>
      </c>
      <c r="B48" s="3943" t="s">
        <v>2221</v>
      </c>
      <c r="C48" s="3935" t="s">
        <v>519</v>
      </c>
      <c r="D48" s="3944"/>
      <c r="E48" s="3945">
        <f>1600575-E45-E46-E47</f>
        <v>0</v>
      </c>
      <c r="F48" s="3945">
        <v>469100</v>
      </c>
      <c r="G48" s="3945">
        <f>E48*F48*(100%+$G$193)/1000000</f>
        <v>0</v>
      </c>
      <c r="H48" s="3944"/>
      <c r="I48" s="3946"/>
    </row>
    <row r="49" spans="1:9" s="3906" customFormat="1">
      <c r="A49" s="3938" t="s">
        <v>206</v>
      </c>
      <c r="B49" s="3939" t="s">
        <v>2235</v>
      </c>
      <c r="C49" s="3937"/>
      <c r="D49" s="3940"/>
      <c r="E49" s="3955"/>
      <c r="F49" s="3955"/>
      <c r="G49" s="3955">
        <f>SUM(G50:G57)</f>
        <v>328341.89214000007</v>
      </c>
      <c r="H49" s="3940"/>
      <c r="I49" s="3941"/>
    </row>
    <row r="50" spans="1:9">
      <c r="A50" s="3942" t="s">
        <v>1637</v>
      </c>
      <c r="B50" s="3943" t="s">
        <v>2249</v>
      </c>
      <c r="C50" s="3935" t="s">
        <v>519</v>
      </c>
      <c r="D50" s="3944"/>
      <c r="E50" s="3945">
        <v>156326</v>
      </c>
      <c r="F50" s="3956">
        <f>(4.5%*$C$9)*12</f>
        <v>0.80459999999999998</v>
      </c>
      <c r="G50" s="3945">
        <f t="shared" ref="G50:G57" si="1">E50*F50</f>
        <v>125779.8996</v>
      </c>
      <c r="H50" s="3944"/>
      <c r="I50" s="3946"/>
    </row>
    <row r="51" spans="1:9">
      <c r="A51" s="3942" t="s">
        <v>1644</v>
      </c>
      <c r="B51" s="3943" t="s">
        <v>2250</v>
      </c>
      <c r="C51" s="3935" t="s">
        <v>519</v>
      </c>
      <c r="D51" s="3944"/>
      <c r="E51" s="3945">
        <v>37961</v>
      </c>
      <c r="F51" s="3956">
        <f>(4.5%*$C$9)*12</f>
        <v>0.80459999999999998</v>
      </c>
      <c r="G51" s="3945">
        <f t="shared" si="1"/>
        <v>30543.420599999998</v>
      </c>
      <c r="H51" s="3944"/>
      <c r="I51" s="3946"/>
    </row>
    <row r="52" spans="1:9">
      <c r="A52" s="3942" t="s">
        <v>1646</v>
      </c>
      <c r="B52" s="3943" t="s">
        <v>2251</v>
      </c>
      <c r="C52" s="3935" t="s">
        <v>519</v>
      </c>
      <c r="D52" s="3944"/>
      <c r="E52" s="3945">
        <v>79550</v>
      </c>
      <c r="F52" s="3956">
        <f>(4.5%*$C$9)*12*(70%)</f>
        <v>0.56321999999999994</v>
      </c>
      <c r="G52" s="3945">
        <f t="shared" si="1"/>
        <v>44804.150999999998</v>
      </c>
      <c r="H52" s="3944"/>
      <c r="I52" s="3946"/>
    </row>
    <row r="53" spans="1:9" ht="26.4">
      <c r="A53" s="3942" t="s">
        <v>2252</v>
      </c>
      <c r="B53" s="3943" t="s">
        <v>2253</v>
      </c>
      <c r="C53" s="3935"/>
      <c r="D53" s="3944"/>
      <c r="E53" s="3945">
        <v>8314</v>
      </c>
      <c r="F53" s="3956">
        <f>(4.5%*$C$9)*12*30%</f>
        <v>0.24137999999999998</v>
      </c>
      <c r="G53" s="3945">
        <f t="shared" si="1"/>
        <v>2006.83332</v>
      </c>
      <c r="H53" s="3944"/>
      <c r="I53" s="3946"/>
    </row>
    <row r="54" spans="1:9">
      <c r="A54" s="3942" t="s">
        <v>2254</v>
      </c>
      <c r="B54" s="3943" t="s">
        <v>2255</v>
      </c>
      <c r="C54" s="3935"/>
      <c r="D54" s="3944"/>
      <c r="E54" s="3945">
        <v>49</v>
      </c>
      <c r="F54" s="3956">
        <f>(4.5%*$C$9)*12</f>
        <v>0.80459999999999998</v>
      </c>
      <c r="G54" s="3945">
        <f t="shared" si="1"/>
        <v>39.425399999999996</v>
      </c>
      <c r="H54" s="3944"/>
      <c r="I54" s="3946"/>
    </row>
    <row r="55" spans="1:9" ht="26.4">
      <c r="A55" s="3942" t="s">
        <v>2256</v>
      </c>
      <c r="B55" s="3943" t="s">
        <v>2257</v>
      </c>
      <c r="C55" s="3935"/>
      <c r="D55" s="3944"/>
      <c r="E55" s="3945">
        <v>58743</v>
      </c>
      <c r="F55" s="3956">
        <f>(4.5%*$C$9)*12</f>
        <v>0.80459999999999998</v>
      </c>
      <c r="G55" s="3945">
        <f t="shared" si="1"/>
        <v>47264.6178</v>
      </c>
      <c r="H55" s="3944"/>
      <c r="I55" s="3946"/>
    </row>
    <row r="56" spans="1:9">
      <c r="A56" s="3942" t="s">
        <v>2258</v>
      </c>
      <c r="B56" s="3943" t="s">
        <v>2259</v>
      </c>
      <c r="C56" s="3935"/>
      <c r="D56" s="3944"/>
      <c r="E56" s="3944">
        <v>266509</v>
      </c>
      <c r="F56" s="3956">
        <f>(4.5%*$C$9)*12*30%</f>
        <v>0.24137999999999998</v>
      </c>
      <c r="G56" s="3945">
        <f t="shared" si="1"/>
        <v>64329.942419999992</v>
      </c>
      <c r="H56" s="3944"/>
      <c r="I56" s="3946"/>
    </row>
    <row r="57" spans="1:9" ht="39.6">
      <c r="A57" s="3942" t="s">
        <v>2260</v>
      </c>
      <c r="B57" s="3943" t="s">
        <v>2261</v>
      </c>
      <c r="C57" s="3935"/>
      <c r="D57" s="3944"/>
      <c r="E57" s="3944">
        <v>16870</v>
      </c>
      <c r="F57" s="3956">
        <f>(4.5%*$C$9)*12</f>
        <v>0.80459999999999998</v>
      </c>
      <c r="G57" s="3945">
        <f t="shared" si="1"/>
        <v>13573.601999999999</v>
      </c>
      <c r="H57" s="3944"/>
      <c r="I57" s="3946"/>
    </row>
    <row r="58" spans="1:9" s="3936" customFormat="1">
      <c r="A58" s="3933">
        <v>3</v>
      </c>
      <c r="B58" s="3957" t="s">
        <v>2071</v>
      </c>
      <c r="C58" s="3935"/>
      <c r="D58" s="3931"/>
      <c r="E58" s="3931"/>
      <c r="F58" s="3931"/>
      <c r="G58" s="3931">
        <f>(SUM(G59,G71,G106))</f>
        <v>1200511.5575907528</v>
      </c>
      <c r="H58" s="3931"/>
      <c r="I58" s="3932"/>
    </row>
    <row r="59" spans="1:9" s="3936" customFormat="1">
      <c r="A59" s="3938" t="s">
        <v>1088</v>
      </c>
      <c r="B59" s="3957" t="s">
        <v>2262</v>
      </c>
      <c r="C59" s="3935"/>
      <c r="D59" s="3931"/>
      <c r="E59" s="3931"/>
      <c r="F59" s="3931"/>
      <c r="G59" s="3931">
        <f>SUM(G60,G65,G68)</f>
        <v>256987.90534999996</v>
      </c>
      <c r="H59" s="3931"/>
      <c r="I59" s="3932"/>
    </row>
    <row r="60" spans="1:9" s="3952" customFormat="1">
      <c r="A60" s="3938" t="s">
        <v>99</v>
      </c>
      <c r="B60" s="3939" t="s">
        <v>2248</v>
      </c>
      <c r="C60" s="3935"/>
      <c r="D60" s="3953"/>
      <c r="E60" s="3953">
        <f>SUM(E61:E64)</f>
        <v>1600575</v>
      </c>
      <c r="F60" s="3935"/>
      <c r="G60" s="3940">
        <f>SUM(G61:G64)</f>
        <v>126887.90534999997</v>
      </c>
      <c r="H60" s="3953"/>
      <c r="I60" s="3954"/>
    </row>
    <row r="61" spans="1:9">
      <c r="A61" s="3942" t="s">
        <v>29</v>
      </c>
      <c r="B61" s="3943" t="s">
        <v>2218</v>
      </c>
      <c r="C61" s="3935" t="s">
        <v>519</v>
      </c>
      <c r="D61" s="3944"/>
      <c r="E61" s="3945">
        <f>$E$45</f>
        <v>303054</v>
      </c>
      <c r="F61" s="3945">
        <v>73800</v>
      </c>
      <c r="G61" s="3945">
        <f>E61*F61*(100%+$G$193)/1000000</f>
        <v>25720.192979999996</v>
      </c>
      <c r="H61" s="3944"/>
      <c r="I61" s="3946"/>
    </row>
    <row r="62" spans="1:9">
      <c r="A62" s="3942" t="s">
        <v>29</v>
      </c>
      <c r="B62" s="3943" t="s">
        <v>2219</v>
      </c>
      <c r="C62" s="3935" t="s">
        <v>519</v>
      </c>
      <c r="D62" s="3944"/>
      <c r="E62" s="3945">
        <f>$E$46</f>
        <v>1297521</v>
      </c>
      <c r="F62" s="3945">
        <v>67800</v>
      </c>
      <c r="G62" s="3945">
        <f>E62*F62*(100%+$G$193)/1000000</f>
        <v>101167.71236999998</v>
      </c>
      <c r="H62" s="3944"/>
      <c r="I62" s="3946"/>
    </row>
    <row r="63" spans="1:9">
      <c r="A63" s="3942" t="s">
        <v>29</v>
      </c>
      <c r="B63" s="3943" t="s">
        <v>2220</v>
      </c>
      <c r="C63" s="3935" t="s">
        <v>519</v>
      </c>
      <c r="D63" s="3944"/>
      <c r="E63" s="3945">
        <f>$E$47</f>
        <v>0</v>
      </c>
      <c r="F63" s="3945">
        <v>100200</v>
      </c>
      <c r="G63" s="3945">
        <f>E63*F63*(100%+$G$193)/1000000</f>
        <v>0</v>
      </c>
      <c r="H63" s="3944"/>
      <c r="I63" s="3946"/>
    </row>
    <row r="64" spans="1:9">
      <c r="A64" s="3942" t="s">
        <v>29</v>
      </c>
      <c r="B64" s="3943" t="s">
        <v>2221</v>
      </c>
      <c r="C64" s="3935" t="s">
        <v>519</v>
      </c>
      <c r="D64" s="3944"/>
      <c r="E64" s="3945">
        <f>$E$48</f>
        <v>0</v>
      </c>
      <c r="F64" s="3945">
        <v>121900</v>
      </c>
      <c r="G64" s="3945">
        <f>E64*F64*(100%+$G$193)/1000000</f>
        <v>0</v>
      </c>
      <c r="H64" s="3944"/>
      <c r="I64" s="3946"/>
    </row>
    <row r="65" spans="1:9" s="3952" customFormat="1">
      <c r="A65" s="3938" t="s">
        <v>101</v>
      </c>
      <c r="B65" s="3939" t="s">
        <v>2263</v>
      </c>
      <c r="C65" s="3935"/>
      <c r="D65" s="3953"/>
      <c r="E65" s="3940">
        <f>SUM(E66:E67)</f>
        <v>12</v>
      </c>
      <c r="F65" s="3935"/>
      <c r="G65" s="3940">
        <f>SUM(G66:G67)</f>
        <v>30000</v>
      </c>
      <c r="H65" s="3953"/>
      <c r="I65" s="3954"/>
    </row>
    <row r="66" spans="1:9">
      <c r="A66" s="3942" t="s">
        <v>29</v>
      </c>
      <c r="B66" s="3958" t="s">
        <v>2264</v>
      </c>
      <c r="C66" s="3935" t="s">
        <v>556</v>
      </c>
      <c r="D66" s="3944"/>
      <c r="E66" s="3944">
        <v>0</v>
      </c>
      <c r="F66" s="3944">
        <v>3000</v>
      </c>
      <c r="G66" s="3945">
        <f>E66*F66</f>
        <v>0</v>
      </c>
      <c r="H66" s="3944"/>
      <c r="I66" s="3946"/>
    </row>
    <row r="67" spans="1:9">
      <c r="A67" s="3942" t="s">
        <v>29</v>
      </c>
      <c r="B67" s="3958" t="s">
        <v>2265</v>
      </c>
      <c r="C67" s="3935" t="s">
        <v>556</v>
      </c>
      <c r="D67" s="3944"/>
      <c r="E67" s="3944">
        <f>12-E66</f>
        <v>12</v>
      </c>
      <c r="F67" s="3944">
        <v>2500</v>
      </c>
      <c r="G67" s="3945">
        <f>E67*F67</f>
        <v>30000</v>
      </c>
      <c r="H67" s="3944"/>
      <c r="I67" s="3946"/>
    </row>
    <row r="68" spans="1:9">
      <c r="A68" s="3938" t="s">
        <v>147</v>
      </c>
      <c r="B68" s="3939" t="s">
        <v>2266</v>
      </c>
      <c r="C68" s="3935"/>
      <c r="D68" s="3944"/>
      <c r="E68" s="3944">
        <f>SUM(E69:E70)</f>
        <v>143</v>
      </c>
      <c r="F68" s="3935"/>
      <c r="G68" s="3940">
        <f>SUM(G69:G70)</f>
        <v>100100</v>
      </c>
      <c r="H68" s="3944"/>
      <c r="I68" s="3946"/>
    </row>
    <row r="69" spans="1:9">
      <c r="A69" s="3942" t="s">
        <v>29</v>
      </c>
      <c r="B69" s="3958" t="s">
        <v>2264</v>
      </c>
      <c r="C69" s="3935" t="s">
        <v>556</v>
      </c>
      <c r="D69" s="3944"/>
      <c r="E69" s="3944">
        <v>0</v>
      </c>
      <c r="F69" s="3944">
        <v>1200</v>
      </c>
      <c r="G69" s="3945">
        <f>E69*F69</f>
        <v>0</v>
      </c>
      <c r="H69" s="3944"/>
      <c r="I69" s="3946"/>
    </row>
    <row r="70" spans="1:9">
      <c r="A70" s="3942" t="s">
        <v>29</v>
      </c>
      <c r="B70" s="3958" t="s">
        <v>2265</v>
      </c>
      <c r="C70" s="3935" t="s">
        <v>556</v>
      </c>
      <c r="D70" s="3944"/>
      <c r="E70" s="3944">
        <f>143-E69</f>
        <v>143</v>
      </c>
      <c r="F70" s="3944">
        <v>700</v>
      </c>
      <c r="G70" s="3945">
        <f>E70*F70</f>
        <v>100100</v>
      </c>
      <c r="H70" s="3944"/>
      <c r="I70" s="3946"/>
    </row>
    <row r="71" spans="1:9">
      <c r="A71" s="3938" t="s">
        <v>1092</v>
      </c>
      <c r="B71" s="3939" t="s">
        <v>2267</v>
      </c>
      <c r="C71" s="3935"/>
      <c r="D71" s="3944"/>
      <c r="E71" s="3944"/>
      <c r="F71" s="3944"/>
      <c r="G71" s="3959">
        <f>IF(G107&gt;75%,(G106/75%)-G59-G106,0)</f>
        <v>43139.984047688311</v>
      </c>
      <c r="H71" s="3944"/>
      <c r="I71" s="3946"/>
    </row>
    <row r="72" spans="1:9">
      <c r="A72" s="3938" t="s">
        <v>99</v>
      </c>
      <c r="B72" s="3939" t="s">
        <v>2268</v>
      </c>
      <c r="C72" s="3935"/>
      <c r="D72" s="3944"/>
      <c r="E72" s="3944"/>
      <c r="F72" s="3944"/>
      <c r="G72" s="3940">
        <f>SUM(G77,G78,G79)</f>
        <v>476317.37486870796</v>
      </c>
      <c r="H72" s="3944"/>
      <c r="I72" s="3946"/>
    </row>
    <row r="73" spans="1:9">
      <c r="A73" s="3938" t="s">
        <v>29</v>
      </c>
      <c r="B73" s="3943" t="s">
        <v>2269</v>
      </c>
      <c r="C73" s="3935" t="s">
        <v>437</v>
      </c>
      <c r="D73" s="3944"/>
      <c r="E73" s="3944">
        <v>3515</v>
      </c>
      <c r="F73" s="3944"/>
      <c r="G73" s="3940"/>
      <c r="H73" s="3944"/>
      <c r="I73" s="3946"/>
    </row>
    <row r="74" spans="1:9">
      <c r="A74" s="3938" t="s">
        <v>29</v>
      </c>
      <c r="B74" s="3943" t="s">
        <v>2226</v>
      </c>
      <c r="C74" s="3935" t="s">
        <v>437</v>
      </c>
      <c r="D74" s="3944"/>
      <c r="E74" s="3944">
        <v>3515</v>
      </c>
      <c r="F74" s="3944"/>
      <c r="G74" s="3940"/>
      <c r="H74" s="3944"/>
      <c r="I74" s="3946"/>
    </row>
    <row r="75" spans="1:9">
      <c r="A75" s="3938" t="s">
        <v>29</v>
      </c>
      <c r="B75" s="3943" t="s">
        <v>2227</v>
      </c>
      <c r="C75" s="3935" t="s">
        <v>437</v>
      </c>
      <c r="D75" s="3940"/>
      <c r="E75" s="3944">
        <f>E73-E74</f>
        <v>0</v>
      </c>
      <c r="F75" s="3940"/>
      <c r="G75" s="3944"/>
      <c r="H75" s="3944"/>
      <c r="I75" s="3946"/>
    </row>
    <row r="76" spans="1:9">
      <c r="A76" s="3938" t="s">
        <v>29</v>
      </c>
      <c r="B76" s="3943" t="s">
        <v>2270</v>
      </c>
      <c r="C76" s="3935" t="s">
        <v>2229</v>
      </c>
      <c r="D76" s="3940"/>
      <c r="E76" s="3947">
        <v>2.34</v>
      </c>
      <c r="F76" s="3940"/>
      <c r="G76" s="3944"/>
      <c r="H76" s="3944"/>
      <c r="I76" s="3946"/>
    </row>
    <row r="77" spans="1:9">
      <c r="A77" s="3942" t="s">
        <v>29</v>
      </c>
      <c r="B77" s="3943" t="s">
        <v>2230</v>
      </c>
      <c r="C77" s="3935" t="s">
        <v>2229</v>
      </c>
      <c r="D77" s="3944"/>
      <c r="E77" s="3947">
        <v>4.17</v>
      </c>
      <c r="F77" s="3944"/>
      <c r="G77" s="3944">
        <f>$C$9*12*E77*E74+$C$9*12*E75*E76</f>
        <v>262076.99399999995</v>
      </c>
      <c r="H77" s="3944"/>
      <c r="I77" s="3946"/>
    </row>
    <row r="78" spans="1:9">
      <c r="A78" s="3942" t="s">
        <v>29</v>
      </c>
      <c r="B78" s="3943" t="s">
        <v>2231</v>
      </c>
      <c r="C78" s="3935" t="s">
        <v>2229</v>
      </c>
      <c r="D78" s="3944"/>
      <c r="E78" s="3947">
        <v>2.2799999999999998</v>
      </c>
      <c r="F78" s="3944"/>
      <c r="G78" s="3944">
        <f>E78/E77*G77</f>
        <v>143293.89599999995</v>
      </c>
      <c r="H78" s="3944"/>
      <c r="I78" s="3946"/>
    </row>
    <row r="79" spans="1:9">
      <c r="A79" s="3942" t="s">
        <v>29</v>
      </c>
      <c r="B79" s="3943" t="s">
        <v>2232</v>
      </c>
      <c r="C79" s="3935" t="s">
        <v>2229</v>
      </c>
      <c r="D79" s="3944"/>
      <c r="E79" s="3947">
        <v>17.501622987459239</v>
      </c>
      <c r="F79" s="3944"/>
      <c r="G79" s="3944">
        <f>(G77+G78)*E79/100</f>
        <v>70946.484868708081</v>
      </c>
      <c r="H79" s="3944"/>
      <c r="I79" s="3946"/>
    </row>
    <row r="80" spans="1:9">
      <c r="A80" s="3938" t="s">
        <v>101</v>
      </c>
      <c r="B80" s="3939" t="s">
        <v>2271</v>
      </c>
      <c r="C80" s="3935"/>
      <c r="D80" s="3944"/>
      <c r="E80" s="3944">
        <f>E81+E82+E83</f>
        <v>143</v>
      </c>
      <c r="F80" s="3944"/>
      <c r="G80" s="3940">
        <f>SUM(G85,G86,G87)</f>
        <v>291598.73732435663</v>
      </c>
      <c r="H80" s="3944"/>
      <c r="I80" s="3946"/>
    </row>
    <row r="81" spans="1:9">
      <c r="A81" s="3942" t="s">
        <v>29</v>
      </c>
      <c r="B81" s="3943" t="s">
        <v>2272</v>
      </c>
      <c r="C81" s="3935" t="s">
        <v>556</v>
      </c>
      <c r="D81" s="3944"/>
      <c r="E81" s="3944">
        <v>91</v>
      </c>
      <c r="F81" s="3960">
        <f>286.08*1000000</f>
        <v>286080000</v>
      </c>
      <c r="G81" s="3944">
        <f>E81*F81/1000000</f>
        <v>26033.279999999999</v>
      </c>
      <c r="H81" s="3944"/>
      <c r="I81" s="3946"/>
    </row>
    <row r="82" spans="1:9">
      <c r="A82" s="3942" t="s">
        <v>29</v>
      </c>
      <c r="B82" s="3943" t="s">
        <v>2273</v>
      </c>
      <c r="C82" s="3935" t="s">
        <v>556</v>
      </c>
      <c r="D82" s="3944"/>
      <c r="E82" s="3944">
        <v>49</v>
      </c>
      <c r="F82" s="3960">
        <f>244.956*1000000</f>
        <v>244956000</v>
      </c>
      <c r="G82" s="3944">
        <f>E82*F82/1000000</f>
        <v>12002.843999999999</v>
      </c>
      <c r="H82" s="3944"/>
      <c r="I82" s="3946"/>
    </row>
    <row r="83" spans="1:9">
      <c r="A83" s="3942" t="s">
        <v>29</v>
      </c>
      <c r="B83" s="3943" t="s">
        <v>2274</v>
      </c>
      <c r="C83" s="3935" t="s">
        <v>556</v>
      </c>
      <c r="D83" s="3944"/>
      <c r="E83" s="3944">
        <f>143-E81-E82</f>
        <v>3</v>
      </c>
      <c r="F83" s="3960">
        <f>203.832*1000000</f>
        <v>203832000</v>
      </c>
      <c r="G83" s="3944">
        <f>E83*F83/1000000</f>
        <v>611.49599999999998</v>
      </c>
      <c r="H83" s="3944"/>
      <c r="I83" s="3946"/>
    </row>
    <row r="84" spans="1:9">
      <c r="A84" s="3938" t="s">
        <v>29</v>
      </c>
      <c r="B84" s="3943" t="s">
        <v>2275</v>
      </c>
      <c r="C84" s="3935" t="s">
        <v>437</v>
      </c>
      <c r="D84" s="3944"/>
      <c r="E84" s="3944">
        <f>(23*E81+21*E82+19*E83)</f>
        <v>3179</v>
      </c>
      <c r="F84" s="3944"/>
      <c r="G84" s="3940"/>
      <c r="H84" s="3944"/>
      <c r="I84" s="3946"/>
    </row>
    <row r="85" spans="1:9">
      <c r="A85" s="3942" t="s">
        <v>29</v>
      </c>
      <c r="B85" s="3943" t="s">
        <v>2230</v>
      </c>
      <c r="C85" s="3935" t="s">
        <v>2229</v>
      </c>
      <c r="D85" s="3944"/>
      <c r="E85" s="3961">
        <v>3.0859999999999999</v>
      </c>
      <c r="F85" s="3944"/>
      <c r="G85" s="3944">
        <f>$C$9*12*E85*E84</f>
        <v>175409.84471999999</v>
      </c>
      <c r="H85" s="3944"/>
      <c r="I85" s="3946"/>
    </row>
    <row r="86" spans="1:9">
      <c r="A86" s="3942" t="s">
        <v>29</v>
      </c>
      <c r="B86" s="3943" t="s">
        <v>2231</v>
      </c>
      <c r="C86" s="3935" t="s">
        <v>2229</v>
      </c>
      <c r="D86" s="3944"/>
      <c r="E86" s="3947">
        <v>1.28</v>
      </c>
      <c r="F86" s="3944"/>
      <c r="G86" s="3944">
        <f>E86/E85*G85</f>
        <v>72755.865600000005</v>
      </c>
      <c r="H86" s="3944"/>
      <c r="I86" s="3946"/>
    </row>
    <row r="87" spans="1:9">
      <c r="A87" s="3942" t="s">
        <v>29</v>
      </c>
      <c r="B87" s="3943" t="s">
        <v>2276</v>
      </c>
      <c r="C87" s="3935" t="s">
        <v>417</v>
      </c>
      <c r="D87" s="3944"/>
      <c r="E87" s="3947">
        <v>17.501622987459239</v>
      </c>
      <c r="F87" s="3944"/>
      <c r="G87" s="3944">
        <f>(G85+G86)*E87/100</f>
        <v>43433.027004356627</v>
      </c>
      <c r="H87" s="3944"/>
      <c r="I87" s="3946"/>
    </row>
    <row r="88" spans="1:9">
      <c r="A88" s="3938" t="s">
        <v>147</v>
      </c>
      <c r="B88" s="3939" t="s">
        <v>2277</v>
      </c>
      <c r="C88" s="3935" t="s">
        <v>519</v>
      </c>
      <c r="D88" s="3944"/>
      <c r="E88" s="3944"/>
      <c r="F88" s="3944"/>
      <c r="G88" s="3940">
        <f>SUM(G89,G93)</f>
        <v>89927.459999999992</v>
      </c>
      <c r="H88" s="3944"/>
      <c r="I88" s="3946"/>
    </row>
    <row r="89" spans="1:9" s="3906" customFormat="1">
      <c r="A89" s="3938" t="s">
        <v>2236</v>
      </c>
      <c r="B89" s="3939" t="s">
        <v>2278</v>
      </c>
      <c r="C89" s="3937" t="s">
        <v>556</v>
      </c>
      <c r="D89" s="3940"/>
      <c r="E89" s="3940">
        <f>SUM(E90:E92)</f>
        <v>143</v>
      </c>
      <c r="F89" s="3940"/>
      <c r="G89" s="3940">
        <f>SUM(G90:G92)</f>
        <v>38647.619999999995</v>
      </c>
      <c r="H89" s="3940"/>
      <c r="I89" s="3941"/>
    </row>
    <row r="90" spans="1:9">
      <c r="A90" s="3942" t="s">
        <v>29</v>
      </c>
      <c r="B90" s="3943" t="s">
        <v>2272</v>
      </c>
      <c r="C90" s="3935" t="s">
        <v>556</v>
      </c>
      <c r="D90" s="3944"/>
      <c r="E90" s="3944">
        <f>E81</f>
        <v>91</v>
      </c>
      <c r="F90" s="3961">
        <v>286.08</v>
      </c>
      <c r="G90" s="3944">
        <f>E90*F90</f>
        <v>26033.279999999999</v>
      </c>
      <c r="H90" s="3944"/>
      <c r="I90" s="3946"/>
    </row>
    <row r="91" spans="1:9">
      <c r="A91" s="3942" t="s">
        <v>29</v>
      </c>
      <c r="B91" s="3943" t="s">
        <v>2273</v>
      </c>
      <c r="C91" s="3935" t="s">
        <v>556</v>
      </c>
      <c r="D91" s="3944"/>
      <c r="E91" s="3944">
        <f>E82</f>
        <v>49</v>
      </c>
      <c r="F91" s="3961">
        <v>244.95600000000002</v>
      </c>
      <c r="G91" s="3944">
        <f>E91*F91</f>
        <v>12002.844000000001</v>
      </c>
      <c r="H91" s="3944"/>
      <c r="I91" s="3946"/>
    </row>
    <row r="92" spans="1:9">
      <c r="A92" s="3942" t="s">
        <v>29</v>
      </c>
      <c r="B92" s="3943" t="s">
        <v>2274</v>
      </c>
      <c r="C92" s="3935" t="s">
        <v>556</v>
      </c>
      <c r="D92" s="3944"/>
      <c r="E92" s="3944">
        <f>E83</f>
        <v>3</v>
      </c>
      <c r="F92" s="3961">
        <v>203.83199999999999</v>
      </c>
      <c r="G92" s="3944">
        <f>E92*F92</f>
        <v>611.49599999999998</v>
      </c>
      <c r="H92" s="3944"/>
      <c r="I92" s="3946"/>
    </row>
    <row r="93" spans="1:9" s="3906" customFormat="1">
      <c r="A93" s="3938" t="s">
        <v>2240</v>
      </c>
      <c r="B93" s="3939" t="s">
        <v>2279</v>
      </c>
      <c r="C93" s="3937" t="s">
        <v>556</v>
      </c>
      <c r="D93" s="3940"/>
      <c r="E93" s="3940">
        <f>SUM(E94:E95)</f>
        <v>698</v>
      </c>
      <c r="F93" s="3940"/>
      <c r="G93" s="3940">
        <f>SUM(G94:G95)</f>
        <v>51279.840000000004</v>
      </c>
      <c r="H93" s="3940"/>
      <c r="I93" s="3941"/>
    </row>
    <row r="94" spans="1:9">
      <c r="A94" s="3942" t="s">
        <v>1797</v>
      </c>
      <c r="B94" s="3943" t="s">
        <v>2280</v>
      </c>
      <c r="C94" s="3935" t="s">
        <v>556</v>
      </c>
      <c r="D94" s="3944"/>
      <c r="E94" s="3944">
        <f>387</f>
        <v>387</v>
      </c>
      <c r="F94" s="3961">
        <v>89.4</v>
      </c>
      <c r="G94" s="3944">
        <f>E94*F94</f>
        <v>34597.800000000003</v>
      </c>
      <c r="H94" s="3944"/>
      <c r="I94" s="3946"/>
    </row>
    <row r="95" spans="1:9">
      <c r="A95" s="3942" t="s">
        <v>1797</v>
      </c>
      <c r="B95" s="3943" t="s">
        <v>2281</v>
      </c>
      <c r="C95" s="3935"/>
      <c r="D95" s="3944"/>
      <c r="E95" s="3944">
        <v>311</v>
      </c>
      <c r="F95" s="3961">
        <v>53.64</v>
      </c>
      <c r="G95" s="3944">
        <f>E95*F95</f>
        <v>16682.04</v>
      </c>
      <c r="H95" s="3944"/>
      <c r="I95" s="3946"/>
    </row>
    <row r="96" spans="1:9">
      <c r="A96" s="3938" t="s">
        <v>148</v>
      </c>
      <c r="B96" s="3939" t="s">
        <v>2282</v>
      </c>
      <c r="C96" s="3935"/>
      <c r="D96" s="3944"/>
      <c r="E96" s="3962">
        <f>SUM(E97:E99)</f>
        <v>4208</v>
      </c>
      <c r="F96" s="3944"/>
      <c r="G96" s="3940">
        <f>SUM(G97:G99)</f>
        <v>23478.227999999999</v>
      </c>
      <c r="H96" s="3944"/>
      <c r="I96" s="3946"/>
    </row>
    <row r="97" spans="1:9">
      <c r="A97" s="3942" t="s">
        <v>1797</v>
      </c>
      <c r="B97" s="3943" t="s">
        <v>249</v>
      </c>
      <c r="C97" s="3935" t="s">
        <v>519</v>
      </c>
      <c r="D97" s="3944"/>
      <c r="E97" s="3962">
        <v>58</v>
      </c>
      <c r="F97" s="3961">
        <f>0.5*$C$9*12</f>
        <v>8.94</v>
      </c>
      <c r="G97" s="3944">
        <f>E97*F97</f>
        <v>518.52</v>
      </c>
      <c r="H97" s="3944"/>
      <c r="I97" s="3946"/>
    </row>
    <row r="98" spans="1:9">
      <c r="A98" s="3942" t="s">
        <v>1797</v>
      </c>
      <c r="B98" s="3943" t="s">
        <v>250</v>
      </c>
      <c r="C98" s="3935" t="s">
        <v>519</v>
      </c>
      <c r="D98" s="3944"/>
      <c r="E98" s="3962">
        <v>391</v>
      </c>
      <c r="F98" s="3961">
        <f>0.4*$C$9*12</f>
        <v>7.1519999999999992</v>
      </c>
      <c r="G98" s="3944">
        <f>E98*F98</f>
        <v>2796.4319999999998</v>
      </c>
      <c r="H98" s="3944"/>
      <c r="I98" s="3946"/>
    </row>
    <row r="99" spans="1:9">
      <c r="A99" s="3942" t="s">
        <v>1797</v>
      </c>
      <c r="B99" s="3943" t="s">
        <v>2283</v>
      </c>
      <c r="C99" s="3935" t="s">
        <v>519</v>
      </c>
      <c r="D99" s="3944"/>
      <c r="E99" s="3962">
        <v>3759</v>
      </c>
      <c r="F99" s="3961">
        <f>0.3*$C$9*12</f>
        <v>5.3639999999999999</v>
      </c>
      <c r="G99" s="3944">
        <f>E99*F99</f>
        <v>20163.275999999998</v>
      </c>
      <c r="H99" s="3944"/>
      <c r="I99" s="3946"/>
    </row>
    <row r="100" spans="1:9" s="3906" customFormat="1">
      <c r="A100" s="3938" t="s">
        <v>157</v>
      </c>
      <c r="B100" s="3939" t="s">
        <v>2284</v>
      </c>
      <c r="C100" s="3937"/>
      <c r="D100" s="3940"/>
      <c r="E100" s="3963"/>
      <c r="F100" s="3940"/>
      <c r="G100" s="3940">
        <f>SUM(G101,G105)</f>
        <v>19061.867999999999</v>
      </c>
      <c r="H100" s="3940"/>
      <c r="I100" s="3941"/>
    </row>
    <row r="101" spans="1:9" s="3906" customFormat="1">
      <c r="A101" s="3938" t="s">
        <v>2285</v>
      </c>
      <c r="B101" s="3939" t="s">
        <v>2286</v>
      </c>
      <c r="C101" s="3937"/>
      <c r="D101" s="3940"/>
      <c r="E101" s="3963">
        <f>SUM(E102:E104)</f>
        <v>2672</v>
      </c>
      <c r="F101" s="3940"/>
      <c r="G101" s="3940">
        <f>SUM(G102:G104)</f>
        <v>15366.071999999998</v>
      </c>
      <c r="H101" s="3940"/>
      <c r="I101" s="3941"/>
    </row>
    <row r="102" spans="1:9">
      <c r="A102" s="3942" t="s">
        <v>1797</v>
      </c>
      <c r="B102" s="3943" t="s">
        <v>249</v>
      </c>
      <c r="C102" s="3935" t="s">
        <v>519</v>
      </c>
      <c r="D102" s="3944"/>
      <c r="E102" s="3962">
        <v>51</v>
      </c>
      <c r="F102" s="3961">
        <f>0.5*$C$9*12</f>
        <v>8.94</v>
      </c>
      <c r="G102" s="3944">
        <f>E102*F102</f>
        <v>455.94</v>
      </c>
      <c r="H102" s="3944"/>
      <c r="I102" s="3946"/>
    </row>
    <row r="103" spans="1:9">
      <c r="A103" s="3942" t="s">
        <v>1797</v>
      </c>
      <c r="B103" s="3943" t="s">
        <v>250</v>
      </c>
      <c r="C103" s="3935" t="s">
        <v>519</v>
      </c>
      <c r="D103" s="3944"/>
      <c r="E103" s="3962">
        <v>476</v>
      </c>
      <c r="F103" s="3961">
        <f>0.4*$C$9*12</f>
        <v>7.1519999999999992</v>
      </c>
      <c r="G103" s="3944">
        <f>E103*F103</f>
        <v>3404.3519999999999</v>
      </c>
      <c r="H103" s="3944"/>
      <c r="I103" s="3946"/>
    </row>
    <row r="104" spans="1:9">
      <c r="A104" s="3942" t="s">
        <v>1797</v>
      </c>
      <c r="B104" s="3943" t="s">
        <v>2283</v>
      </c>
      <c r="C104" s="3935" t="s">
        <v>519</v>
      </c>
      <c r="D104" s="3944"/>
      <c r="E104" s="3962">
        <v>2145</v>
      </c>
      <c r="F104" s="3961">
        <f>0.3*$C$9*12</f>
        <v>5.3639999999999999</v>
      </c>
      <c r="G104" s="3944">
        <f>E104*F104</f>
        <v>11505.779999999999</v>
      </c>
      <c r="H104" s="3944"/>
      <c r="I104" s="3946"/>
    </row>
    <row r="105" spans="1:9" s="3906" customFormat="1">
      <c r="A105" s="3938" t="s">
        <v>2287</v>
      </c>
      <c r="B105" s="3939" t="s">
        <v>2288</v>
      </c>
      <c r="C105" s="3937"/>
      <c r="D105" s="3940"/>
      <c r="E105" s="3963">
        <v>689</v>
      </c>
      <c r="F105" s="3964">
        <f>0.3*$C$9*12</f>
        <v>5.3639999999999999</v>
      </c>
      <c r="G105" s="3940">
        <f>E105*F105</f>
        <v>3695.7959999999998</v>
      </c>
      <c r="H105" s="3940"/>
      <c r="I105" s="3941"/>
    </row>
    <row r="106" spans="1:9" s="3906" customFormat="1">
      <c r="A106" s="3938" t="s">
        <v>157</v>
      </c>
      <c r="B106" s="3939" t="s">
        <v>2289</v>
      </c>
      <c r="C106" s="3937"/>
      <c r="D106" s="3940"/>
      <c r="E106" s="3940"/>
      <c r="F106" s="3940"/>
      <c r="G106" s="3963">
        <f>SUM(G88,G80,G72,G96,G100)</f>
        <v>900383.66819306463</v>
      </c>
      <c r="H106" s="3940"/>
      <c r="I106" s="3941"/>
    </row>
    <row r="107" spans="1:9">
      <c r="A107" s="3938" t="s">
        <v>159</v>
      </c>
      <c r="B107" s="3939" t="s">
        <v>2290</v>
      </c>
      <c r="C107" s="3935" t="s">
        <v>417</v>
      </c>
      <c r="D107" s="3944"/>
      <c r="E107" s="3944"/>
      <c r="F107" s="3944"/>
      <c r="G107" s="3949">
        <f>G106/(G106+G59)</f>
        <v>0.77795557518033542</v>
      </c>
      <c r="H107" s="3944"/>
      <c r="I107" s="3946"/>
    </row>
    <row r="108" spans="1:9" s="3936" customFormat="1">
      <c r="A108" s="3933">
        <v>4</v>
      </c>
      <c r="B108" s="3934" t="s">
        <v>2291</v>
      </c>
      <c r="C108" s="3935"/>
      <c r="D108" s="3931"/>
      <c r="E108" s="3953">
        <f>SUM(E110:E113)</f>
        <v>1600575</v>
      </c>
      <c r="F108" s="3935"/>
      <c r="G108" s="3931">
        <f>(SUM(G109,G114))</f>
        <v>73993.550354999985</v>
      </c>
      <c r="H108" s="3931"/>
      <c r="I108" s="3932"/>
    </row>
    <row r="109" spans="1:9" s="3936" customFormat="1">
      <c r="A109" s="3938" t="s">
        <v>2292</v>
      </c>
      <c r="B109" s="3939" t="s">
        <v>2293</v>
      </c>
      <c r="C109" s="3935"/>
      <c r="D109" s="3931"/>
      <c r="E109" s="3931"/>
      <c r="F109" s="3935"/>
      <c r="G109" s="3940">
        <f>SUM(G110:G113)</f>
        <v>73993.550354999985</v>
      </c>
      <c r="H109" s="3931"/>
      <c r="I109" s="3932"/>
    </row>
    <row r="110" spans="1:9">
      <c r="A110" s="3942" t="s">
        <v>29</v>
      </c>
      <c r="B110" s="3943" t="s">
        <v>2218</v>
      </c>
      <c r="C110" s="3935" t="s">
        <v>519</v>
      </c>
      <c r="D110" s="3944"/>
      <c r="E110" s="3945">
        <f>$E$45</f>
        <v>303054</v>
      </c>
      <c r="F110" s="3945">
        <v>37200</v>
      </c>
      <c r="G110" s="3945">
        <f>E110*F110*(100%+$G$193)/1000000</f>
        <v>12964.650119999998</v>
      </c>
      <c r="H110" s="3944"/>
      <c r="I110" s="3946"/>
    </row>
    <row r="111" spans="1:9">
      <c r="A111" s="3942" t="s">
        <v>29</v>
      </c>
      <c r="B111" s="3943" t="s">
        <v>2219</v>
      </c>
      <c r="C111" s="3935" t="s">
        <v>519</v>
      </c>
      <c r="D111" s="3944"/>
      <c r="E111" s="3945">
        <f>$E$46</f>
        <v>1297521</v>
      </c>
      <c r="F111" s="3945">
        <v>40900</v>
      </c>
      <c r="G111" s="3945">
        <f>E111*F111*(100%+$G$193)/1000000</f>
        <v>61028.900234999994</v>
      </c>
      <c r="H111" s="3944"/>
      <c r="I111" s="3946"/>
    </row>
    <row r="112" spans="1:9">
      <c r="A112" s="3942" t="s">
        <v>29</v>
      </c>
      <c r="B112" s="3943" t="s">
        <v>2220</v>
      </c>
      <c r="C112" s="3935" t="s">
        <v>519</v>
      </c>
      <c r="D112" s="3944"/>
      <c r="E112" s="3945">
        <f>$E$47</f>
        <v>0</v>
      </c>
      <c r="F112" s="3945">
        <v>57300</v>
      </c>
      <c r="G112" s="3945">
        <f>E112*F112*(100%+$G$193)/1000000</f>
        <v>0</v>
      </c>
      <c r="H112" s="3944"/>
      <c r="I112" s="3946"/>
    </row>
    <row r="113" spans="1:9">
      <c r="A113" s="3942" t="s">
        <v>29</v>
      </c>
      <c r="B113" s="3943" t="s">
        <v>2221</v>
      </c>
      <c r="C113" s="3935" t="s">
        <v>519</v>
      </c>
      <c r="D113" s="3944"/>
      <c r="E113" s="3945">
        <f>$E$48</f>
        <v>0</v>
      </c>
      <c r="F113" s="3945">
        <v>79700</v>
      </c>
      <c r="G113" s="3945">
        <f>E113*F113*(100%+$G$193)/1000000</f>
        <v>0</v>
      </c>
      <c r="H113" s="3944"/>
      <c r="I113" s="3946"/>
    </row>
    <row r="114" spans="1:9" s="3906" customFormat="1">
      <c r="A114" s="3938" t="s">
        <v>2294</v>
      </c>
      <c r="B114" s="3939" t="s">
        <v>2295</v>
      </c>
      <c r="C114" s="3935" t="s">
        <v>2296</v>
      </c>
      <c r="D114" s="3940"/>
      <c r="E114" s="3955"/>
      <c r="F114" s="3955">
        <v>15000</v>
      </c>
      <c r="G114" s="3955">
        <f>+F114*E114/1000000</f>
        <v>0</v>
      </c>
      <c r="H114" s="3940"/>
      <c r="I114" s="3941"/>
    </row>
    <row r="115" spans="1:9" s="3936" customFormat="1">
      <c r="A115" s="3933">
        <v>5</v>
      </c>
      <c r="B115" s="3934" t="s">
        <v>2297</v>
      </c>
      <c r="C115" s="3930"/>
      <c r="D115" s="3931"/>
      <c r="E115" s="3953">
        <f>SUM(E117:E120)</f>
        <v>1600575</v>
      </c>
      <c r="F115" s="3935"/>
      <c r="G115" s="3931">
        <f>(SUM(G116))</f>
        <v>44408.986499999999</v>
      </c>
      <c r="H115" s="3931"/>
      <c r="I115" s="3932"/>
    </row>
    <row r="116" spans="1:9" s="3936" customFormat="1">
      <c r="A116" s="3938"/>
      <c r="B116" s="3939" t="s">
        <v>2293</v>
      </c>
      <c r="C116" s="3935"/>
      <c r="D116" s="3931"/>
      <c r="E116" s="3931"/>
      <c r="F116" s="3935"/>
      <c r="G116" s="3940">
        <f>SUM(G117:G120)</f>
        <v>44408.986499999999</v>
      </c>
      <c r="H116" s="3931"/>
      <c r="I116" s="3932"/>
    </row>
    <row r="117" spans="1:9">
      <c r="A117" s="3942" t="s">
        <v>29</v>
      </c>
      <c r="B117" s="3943" t="s">
        <v>2218</v>
      </c>
      <c r="C117" s="3935" t="s">
        <v>519</v>
      </c>
      <c r="D117" s="3944"/>
      <c r="E117" s="3945">
        <f>$E$45</f>
        <v>303054</v>
      </c>
      <c r="F117" s="3945">
        <v>22100</v>
      </c>
      <c r="G117" s="3945">
        <f>(E117*F117*(100%+$G$193)/1000000)</f>
        <v>7702.1174099999989</v>
      </c>
      <c r="H117" s="3944"/>
      <c r="I117" s="3946"/>
    </row>
    <row r="118" spans="1:9">
      <c r="A118" s="3942" t="s">
        <v>29</v>
      </c>
      <c r="B118" s="3943" t="s">
        <v>2219</v>
      </c>
      <c r="C118" s="3935" t="s">
        <v>519</v>
      </c>
      <c r="D118" s="3944"/>
      <c r="E118" s="3945">
        <f>$E$46</f>
        <v>1297521</v>
      </c>
      <c r="F118" s="3945">
        <v>24600</v>
      </c>
      <c r="G118" s="3945">
        <f>E118*F118*(100%+$G$193)/1000000</f>
        <v>36706.86909</v>
      </c>
      <c r="H118" s="3944"/>
      <c r="I118" s="3946"/>
    </row>
    <row r="119" spans="1:9">
      <c r="A119" s="3942" t="s">
        <v>29</v>
      </c>
      <c r="B119" s="3943" t="s">
        <v>2220</v>
      </c>
      <c r="C119" s="3935" t="s">
        <v>519</v>
      </c>
      <c r="D119" s="3944"/>
      <c r="E119" s="3945">
        <f>$E$47</f>
        <v>0</v>
      </c>
      <c r="F119" s="3945">
        <v>34400</v>
      </c>
      <c r="G119" s="3945">
        <f>E119*F119*(100%+$G$193)/1000000</f>
        <v>0</v>
      </c>
      <c r="H119" s="3944"/>
      <c r="I119" s="3946"/>
    </row>
    <row r="120" spans="1:9">
      <c r="A120" s="3942" t="s">
        <v>29</v>
      </c>
      <c r="B120" s="3943" t="s">
        <v>2221</v>
      </c>
      <c r="C120" s="3935" t="s">
        <v>519</v>
      </c>
      <c r="D120" s="3944"/>
      <c r="E120" s="3945">
        <f>$E$48</f>
        <v>0</v>
      </c>
      <c r="F120" s="3945">
        <v>47900</v>
      </c>
      <c r="G120" s="3945">
        <f>E120*F120*(100%+$G$193)/1000000</f>
        <v>0</v>
      </c>
      <c r="H120" s="3944"/>
      <c r="I120" s="3946"/>
    </row>
    <row r="121" spans="1:9" s="3936" customFormat="1">
      <c r="A121" s="3933">
        <v>6</v>
      </c>
      <c r="B121" s="3934" t="s">
        <v>2298</v>
      </c>
      <c r="C121" s="3935"/>
      <c r="D121" s="3931"/>
      <c r="E121" s="3953">
        <f>SUM(E123:E126)</f>
        <v>1600575</v>
      </c>
      <c r="F121" s="3935"/>
      <c r="G121" s="3931">
        <f>(SUM(G122))</f>
        <v>38158.223024999999</v>
      </c>
      <c r="H121" s="3931"/>
      <c r="I121" s="3932"/>
    </row>
    <row r="122" spans="1:9" s="3936" customFormat="1">
      <c r="A122" s="3938"/>
      <c r="B122" s="3939" t="s">
        <v>2293</v>
      </c>
      <c r="C122" s="3935"/>
      <c r="D122" s="3931"/>
      <c r="E122" s="3931"/>
      <c r="F122" s="3935"/>
      <c r="G122" s="3940">
        <f>SUM(G123:G126)</f>
        <v>38158.223024999999</v>
      </c>
      <c r="H122" s="3931"/>
      <c r="I122" s="3932"/>
    </row>
    <row r="123" spans="1:9">
      <c r="A123" s="3942" t="s">
        <v>29</v>
      </c>
      <c r="B123" s="3943" t="s">
        <v>2218</v>
      </c>
      <c r="C123" s="3935" t="s">
        <v>519</v>
      </c>
      <c r="D123" s="3944"/>
      <c r="E123" s="3945">
        <f>$E$45</f>
        <v>303054</v>
      </c>
      <c r="F123" s="3945">
        <v>26000</v>
      </c>
      <c r="G123" s="3945">
        <f>E123*F123*(100%+$G$193)/1000000</f>
        <v>9061.3145999999997</v>
      </c>
      <c r="H123" s="3944"/>
      <c r="I123" s="3946"/>
    </row>
    <row r="124" spans="1:9">
      <c r="A124" s="3942" t="s">
        <v>29</v>
      </c>
      <c r="B124" s="3943" t="s">
        <v>2219</v>
      </c>
      <c r="C124" s="3935" t="s">
        <v>519</v>
      </c>
      <c r="D124" s="3944"/>
      <c r="E124" s="3945">
        <f>$E$46</f>
        <v>1297521</v>
      </c>
      <c r="F124" s="3945">
        <v>19500</v>
      </c>
      <c r="G124" s="3945">
        <f>E124*F124*(100%+$G$193)/1000000</f>
        <v>29096.908424999998</v>
      </c>
      <c r="H124" s="3944"/>
      <c r="I124" s="3946"/>
    </row>
    <row r="125" spans="1:9">
      <c r="A125" s="3942" t="s">
        <v>29</v>
      </c>
      <c r="B125" s="3943" t="s">
        <v>2220</v>
      </c>
      <c r="C125" s="3935" t="s">
        <v>519</v>
      </c>
      <c r="D125" s="3944"/>
      <c r="E125" s="3945">
        <f>$E$47</f>
        <v>0</v>
      </c>
      <c r="F125" s="3945">
        <v>27300</v>
      </c>
      <c r="G125" s="3945">
        <f>E125*F125*(100%+$G$193)/1000000</f>
        <v>0</v>
      </c>
      <c r="H125" s="3944"/>
      <c r="I125" s="3946"/>
    </row>
    <row r="126" spans="1:9">
      <c r="A126" s="3942" t="s">
        <v>29</v>
      </c>
      <c r="B126" s="3943" t="s">
        <v>2221</v>
      </c>
      <c r="C126" s="3935" t="s">
        <v>519</v>
      </c>
      <c r="D126" s="3944"/>
      <c r="E126" s="3945">
        <f>$E$48</f>
        <v>0</v>
      </c>
      <c r="F126" s="3945">
        <v>37000</v>
      </c>
      <c r="G126" s="3945">
        <f>E126*F126*(100%+$G$193)/1000000</f>
        <v>0</v>
      </c>
      <c r="H126" s="3944"/>
      <c r="I126" s="3946"/>
    </row>
    <row r="127" spans="1:9" s="3936" customFormat="1">
      <c r="A127" s="3933">
        <v>7</v>
      </c>
      <c r="B127" s="3934" t="s">
        <v>2299</v>
      </c>
      <c r="C127" s="3935"/>
      <c r="D127" s="3931"/>
      <c r="E127" s="3931"/>
      <c r="F127" s="3945"/>
      <c r="G127" s="3931">
        <f>(SUM(G128,G133))</f>
        <v>540383.62502000004</v>
      </c>
      <c r="H127" s="3931"/>
      <c r="I127" s="3932"/>
    </row>
    <row r="128" spans="1:9" s="3952" customFormat="1">
      <c r="A128" s="3938" t="s">
        <v>2300</v>
      </c>
      <c r="B128" s="3939" t="s">
        <v>2248</v>
      </c>
      <c r="C128" s="3935"/>
      <c r="D128" s="3953"/>
      <c r="E128" s="3953">
        <f>SUM(E129:E132)</f>
        <v>1600575</v>
      </c>
      <c r="F128" s="3945"/>
      <c r="G128" s="3940">
        <f>SUM(G129:G132)</f>
        <v>85554.865019999997</v>
      </c>
      <c r="H128" s="3953"/>
      <c r="I128" s="3954"/>
    </row>
    <row r="129" spans="1:12">
      <c r="A129" s="3942" t="s">
        <v>29</v>
      </c>
      <c r="B129" s="3943" t="s">
        <v>2218</v>
      </c>
      <c r="C129" s="3935" t="s">
        <v>519</v>
      </c>
      <c r="D129" s="3944"/>
      <c r="E129" s="3945">
        <f>$E$45</f>
        <v>303054</v>
      </c>
      <c r="F129" s="3945">
        <v>43400</v>
      </c>
      <c r="G129" s="3945">
        <f>E129*F129*(100%+$G$193)/1000000</f>
        <v>15125.425139999998</v>
      </c>
      <c r="H129" s="3944"/>
      <c r="I129" s="3946"/>
    </row>
    <row r="130" spans="1:12">
      <c r="A130" s="3942" t="s">
        <v>29</v>
      </c>
      <c r="B130" s="3943" t="s">
        <v>2219</v>
      </c>
      <c r="C130" s="3935" t="s">
        <v>519</v>
      </c>
      <c r="D130" s="3944"/>
      <c r="E130" s="3945">
        <f>$E$46</f>
        <v>1297521</v>
      </c>
      <c r="F130" s="3945">
        <v>47200</v>
      </c>
      <c r="G130" s="3945">
        <f>E130*F130*(100%+$G$193)/1000000</f>
        <v>70429.439880000005</v>
      </c>
      <c r="H130" s="3944"/>
      <c r="I130" s="3946"/>
    </row>
    <row r="131" spans="1:12">
      <c r="A131" s="3942" t="s">
        <v>29</v>
      </c>
      <c r="B131" s="3943" t="s">
        <v>2220</v>
      </c>
      <c r="C131" s="3935" t="s">
        <v>519</v>
      </c>
      <c r="D131" s="3944"/>
      <c r="E131" s="3945">
        <f>$E$47</f>
        <v>0</v>
      </c>
      <c r="F131" s="3945">
        <v>66100</v>
      </c>
      <c r="G131" s="3945">
        <f>E131*F131*(100%+$G$193)/1000000</f>
        <v>0</v>
      </c>
      <c r="H131" s="3944"/>
      <c r="I131" s="3946"/>
    </row>
    <row r="132" spans="1:12">
      <c r="A132" s="3942" t="s">
        <v>29</v>
      </c>
      <c r="B132" s="3943" t="s">
        <v>2221</v>
      </c>
      <c r="C132" s="3935" t="s">
        <v>519</v>
      </c>
      <c r="D132" s="3944"/>
      <c r="E132" s="3945">
        <f>$E$48</f>
        <v>0</v>
      </c>
      <c r="F132" s="3945">
        <v>80200</v>
      </c>
      <c r="G132" s="3945">
        <f>E132*F132*(100%+$G$193)/1000000</f>
        <v>0</v>
      </c>
      <c r="H132" s="3944"/>
      <c r="I132" s="3946"/>
    </row>
    <row r="133" spans="1:12" s="3906" customFormat="1">
      <c r="A133" s="3938" t="s">
        <v>2301</v>
      </c>
      <c r="B133" s="3939" t="s">
        <v>2235</v>
      </c>
      <c r="C133" s="3937"/>
      <c r="D133" s="3940"/>
      <c r="E133" s="3955"/>
      <c r="F133" s="3955"/>
      <c r="G133" s="3955">
        <f>SUM(G134:G136)</f>
        <v>454828.76</v>
      </c>
      <c r="H133" s="3940"/>
      <c r="I133" s="3941"/>
    </row>
    <row r="134" spans="1:12" ht="39.6">
      <c r="A134" s="3942" t="s">
        <v>2302</v>
      </c>
      <c r="B134" s="3943" t="s">
        <v>2303</v>
      </c>
      <c r="C134" s="3935" t="s">
        <v>519</v>
      </c>
      <c r="D134" s="3944"/>
      <c r="E134" s="3944">
        <v>73290</v>
      </c>
      <c r="F134" s="3945"/>
      <c r="G134" s="3944">
        <v>438296</v>
      </c>
      <c r="H134" s="3944"/>
      <c r="I134" s="3946"/>
    </row>
    <row r="135" spans="1:12" ht="26.4">
      <c r="A135" s="3942" t="s">
        <v>2304</v>
      </c>
      <c r="B135" s="3965" t="s">
        <v>2305</v>
      </c>
      <c r="C135" s="3935" t="s">
        <v>519</v>
      </c>
      <c r="D135" s="3944"/>
      <c r="E135" s="3944">
        <v>13686</v>
      </c>
      <c r="F135" s="3961">
        <f>55000*12/1000000</f>
        <v>0.66</v>
      </c>
      <c r="G135" s="3944">
        <f>E135*F135</f>
        <v>9032.76</v>
      </c>
      <c r="H135" s="3944"/>
      <c r="I135" s="3946"/>
    </row>
    <row r="136" spans="1:12">
      <c r="A136" s="3942" t="s">
        <v>2306</v>
      </c>
      <c r="B136" s="3965" t="s">
        <v>2307</v>
      </c>
      <c r="C136" s="3935" t="s">
        <v>2308</v>
      </c>
      <c r="D136" s="3944"/>
      <c r="E136" s="3944">
        <v>5</v>
      </c>
      <c r="F136" s="3945">
        <v>1500</v>
      </c>
      <c r="G136" s="3944">
        <f>E136*F136</f>
        <v>7500</v>
      </c>
      <c r="H136" s="3944"/>
      <c r="I136" s="3946"/>
      <c r="K136" s="3966">
        <f>SUM(K137,K146)</f>
        <v>212148.10565999997</v>
      </c>
    </row>
    <row r="137" spans="1:12" s="3936" customFormat="1">
      <c r="A137" s="3933">
        <v>8</v>
      </c>
      <c r="B137" s="3934" t="s">
        <v>154</v>
      </c>
      <c r="C137" s="3935"/>
      <c r="D137" s="3931"/>
      <c r="E137" s="3953">
        <f>SUM(E139:E142)</f>
        <v>1600575</v>
      </c>
      <c r="F137" s="3935"/>
      <c r="G137" s="3931">
        <f>(SUM(G138,G143))</f>
        <v>140846.28749999998</v>
      </c>
      <c r="H137" s="3931"/>
      <c r="I137" s="3932"/>
      <c r="K137" s="3967">
        <f>G137</f>
        <v>140846.28749999998</v>
      </c>
      <c r="L137" s="3936">
        <f>K137/K136</f>
        <v>0.66390546859620725</v>
      </c>
    </row>
    <row r="138" spans="1:12" s="3936" customFormat="1">
      <c r="A138" s="3938" t="s">
        <v>2309</v>
      </c>
      <c r="B138" s="3939" t="s">
        <v>2293</v>
      </c>
      <c r="C138" s="3935"/>
      <c r="D138" s="3931"/>
      <c r="E138" s="3931"/>
      <c r="F138" s="3935"/>
      <c r="G138" s="3940">
        <f>SUM(G139:G142)</f>
        <v>128846.28749999998</v>
      </c>
      <c r="H138" s="3931"/>
      <c r="I138" s="3932"/>
    </row>
    <row r="139" spans="1:12">
      <c r="A139" s="3942" t="s">
        <v>29</v>
      </c>
      <c r="B139" s="3943" t="s">
        <v>2218</v>
      </c>
      <c r="C139" s="3935" t="s">
        <v>519</v>
      </c>
      <c r="D139" s="3944"/>
      <c r="E139" s="3945">
        <f>$E$45</f>
        <v>303054</v>
      </c>
      <c r="F139" s="3945">
        <v>70000</v>
      </c>
      <c r="G139" s="3945">
        <f>E139*F139*(100%+$G$193)/1000000</f>
        <v>24395.847000000002</v>
      </c>
      <c r="H139" s="3944"/>
      <c r="I139" s="3946"/>
    </row>
    <row r="140" spans="1:12">
      <c r="A140" s="3942" t="s">
        <v>29</v>
      </c>
      <c r="B140" s="3943" t="s">
        <v>2219</v>
      </c>
      <c r="C140" s="3935" t="s">
        <v>519</v>
      </c>
      <c r="D140" s="3944"/>
      <c r="E140" s="3945">
        <f>$E$46</f>
        <v>1297521</v>
      </c>
      <c r="F140" s="3945">
        <v>70000</v>
      </c>
      <c r="G140" s="3945">
        <f>E140*F140*(100%+$G$193)/1000000</f>
        <v>104450.44049999998</v>
      </c>
      <c r="H140" s="3944"/>
      <c r="I140" s="3946"/>
    </row>
    <row r="141" spans="1:12">
      <c r="A141" s="3942" t="s">
        <v>29</v>
      </c>
      <c r="B141" s="3943" t="s">
        <v>2220</v>
      </c>
      <c r="C141" s="3935" t="s">
        <v>519</v>
      </c>
      <c r="D141" s="3944"/>
      <c r="E141" s="3945">
        <f>$E$47</f>
        <v>0</v>
      </c>
      <c r="F141" s="3945">
        <v>97900</v>
      </c>
      <c r="G141" s="3945">
        <f>E141*F141*(100%+$G$193)/1000000</f>
        <v>0</v>
      </c>
      <c r="H141" s="3944"/>
      <c r="I141" s="3946"/>
    </row>
    <row r="142" spans="1:12">
      <c r="A142" s="3942" t="s">
        <v>29</v>
      </c>
      <c r="B142" s="3943" t="s">
        <v>2221</v>
      </c>
      <c r="C142" s="3935" t="s">
        <v>519</v>
      </c>
      <c r="D142" s="3944"/>
      <c r="E142" s="3945">
        <f>$E$48</f>
        <v>0</v>
      </c>
      <c r="F142" s="3945">
        <v>139900</v>
      </c>
      <c r="G142" s="3945">
        <f>E142*F142*(100%+$G$193)/1000000</f>
        <v>0</v>
      </c>
      <c r="H142" s="3944"/>
      <c r="I142" s="3946"/>
    </row>
    <row r="143" spans="1:12">
      <c r="A143" s="3938" t="s">
        <v>2310</v>
      </c>
      <c r="B143" s="3939" t="s">
        <v>2311</v>
      </c>
      <c r="C143" s="3935"/>
      <c r="D143" s="3944"/>
      <c r="E143" s="3944"/>
      <c r="F143" s="3945"/>
      <c r="G143" s="3940">
        <f>SUM(G144:G145)</f>
        <v>12000</v>
      </c>
      <c r="H143" s="3944"/>
      <c r="I143" s="3946"/>
    </row>
    <row r="144" spans="1:12">
      <c r="A144" s="3938" t="s">
        <v>29</v>
      </c>
      <c r="B144" s="3943" t="s">
        <v>2312</v>
      </c>
      <c r="C144" s="3935" t="s">
        <v>556</v>
      </c>
      <c r="D144" s="3944"/>
      <c r="E144" s="3944">
        <v>8</v>
      </c>
      <c r="F144" s="3945">
        <v>1500</v>
      </c>
      <c r="G144" s="3945">
        <f>E144*F144</f>
        <v>12000</v>
      </c>
      <c r="H144" s="3944"/>
      <c r="I144" s="3946"/>
    </row>
    <row r="145" spans="1:12">
      <c r="A145" s="3938" t="s">
        <v>29</v>
      </c>
      <c r="B145" s="3943" t="s">
        <v>2313</v>
      </c>
      <c r="C145" s="3935" t="s">
        <v>556</v>
      </c>
      <c r="D145" s="3944"/>
      <c r="E145" s="3944">
        <v>0</v>
      </c>
      <c r="F145" s="3945">
        <v>2000</v>
      </c>
      <c r="G145" s="3945">
        <f>E145*F145</f>
        <v>0</v>
      </c>
      <c r="H145" s="3944"/>
      <c r="I145" s="3946"/>
    </row>
    <row r="146" spans="1:12" s="3936" customFormat="1">
      <c r="A146" s="3933">
        <v>9</v>
      </c>
      <c r="B146" s="3934" t="s">
        <v>155</v>
      </c>
      <c r="C146" s="3935"/>
      <c r="D146" s="3931"/>
      <c r="E146" s="3953">
        <f>SUM(E148:E151)</f>
        <v>1600575</v>
      </c>
      <c r="F146" s="3935"/>
      <c r="G146" s="3931">
        <f>(SUM(G147,G152))</f>
        <v>71301.818159999995</v>
      </c>
      <c r="H146" s="3931"/>
      <c r="I146" s="3932"/>
      <c r="K146" s="3967">
        <f>G146</f>
        <v>71301.818159999995</v>
      </c>
      <c r="L146" s="3936">
        <f>K146/K136</f>
        <v>0.3360945314037927</v>
      </c>
    </row>
    <row r="147" spans="1:12" s="3936" customFormat="1">
      <c r="A147" s="3938" t="s">
        <v>2314</v>
      </c>
      <c r="B147" s="3939" t="s">
        <v>2293</v>
      </c>
      <c r="C147" s="3935"/>
      <c r="D147" s="3931"/>
      <c r="E147" s="3931"/>
      <c r="F147" s="3935"/>
      <c r="G147" s="3940">
        <f>SUM(G148:G151)</f>
        <v>59301.818159999995</v>
      </c>
      <c r="H147" s="3931"/>
      <c r="I147" s="3932"/>
    </row>
    <row r="148" spans="1:12">
      <c r="A148" s="3942" t="s">
        <v>29</v>
      </c>
      <c r="B148" s="3943" t="s">
        <v>2218</v>
      </c>
      <c r="C148" s="3935" t="s">
        <v>519</v>
      </c>
      <c r="D148" s="3944"/>
      <c r="E148" s="3945">
        <f>$E$45</f>
        <v>303054</v>
      </c>
      <c r="F148" s="3945">
        <v>40000</v>
      </c>
      <c r="G148" s="3945">
        <f>E148*F148*(100%+$G$193)/1000000</f>
        <v>13940.483999999999</v>
      </c>
      <c r="H148" s="3944"/>
      <c r="I148" s="3946"/>
    </row>
    <row r="149" spans="1:12">
      <c r="A149" s="3942" t="s">
        <v>29</v>
      </c>
      <c r="B149" s="3943" t="s">
        <v>2219</v>
      </c>
      <c r="C149" s="3935" t="s">
        <v>519</v>
      </c>
      <c r="D149" s="3944"/>
      <c r="E149" s="3945">
        <f>$E$46</f>
        <v>1297521</v>
      </c>
      <c r="F149" s="3945">
        <v>30400</v>
      </c>
      <c r="G149" s="3945">
        <f>E149*F149*(100%+$G$193)/1000000</f>
        <v>45361.334159999999</v>
      </c>
      <c r="H149" s="3944"/>
      <c r="I149" s="3946"/>
    </row>
    <row r="150" spans="1:12">
      <c r="A150" s="3942" t="s">
        <v>29</v>
      </c>
      <c r="B150" s="3943" t="s">
        <v>2220</v>
      </c>
      <c r="C150" s="3935" t="s">
        <v>519</v>
      </c>
      <c r="D150" s="3944"/>
      <c r="E150" s="3945">
        <f>$E$47</f>
        <v>0</v>
      </c>
      <c r="F150" s="3945">
        <v>42500</v>
      </c>
      <c r="G150" s="3945">
        <f>E150*F150*(100%+$G$193)/1000000</f>
        <v>0</v>
      </c>
      <c r="H150" s="3944"/>
      <c r="I150" s="3946"/>
    </row>
    <row r="151" spans="1:12">
      <c r="A151" s="3942" t="s">
        <v>29</v>
      </c>
      <c r="B151" s="3943" t="s">
        <v>2221</v>
      </c>
      <c r="C151" s="3935" t="s">
        <v>519</v>
      </c>
      <c r="D151" s="3944"/>
      <c r="E151" s="3945">
        <f>$E$48</f>
        <v>0</v>
      </c>
      <c r="F151" s="3945">
        <v>60700</v>
      </c>
      <c r="G151" s="3945">
        <f>E151*F151*(100%+$G$193)/1000000</f>
        <v>0</v>
      </c>
      <c r="H151" s="3944"/>
      <c r="I151" s="3946"/>
    </row>
    <row r="152" spans="1:12">
      <c r="A152" s="3938" t="s">
        <v>2315</v>
      </c>
      <c r="B152" s="3939" t="s">
        <v>2311</v>
      </c>
      <c r="C152" s="3935"/>
      <c r="D152" s="3944"/>
      <c r="E152" s="3944"/>
      <c r="F152" s="3944"/>
      <c r="G152" s="3940">
        <f>SUM(G153:G154)</f>
        <v>12000</v>
      </c>
      <c r="H152" s="3944"/>
      <c r="I152" s="3946"/>
    </row>
    <row r="153" spans="1:12">
      <c r="A153" s="3942" t="s">
        <v>29</v>
      </c>
      <c r="B153" s="3943" t="s">
        <v>2312</v>
      </c>
      <c r="C153" s="3935" t="s">
        <v>556</v>
      </c>
      <c r="D153" s="3944"/>
      <c r="E153" s="3944">
        <v>8</v>
      </c>
      <c r="F153" s="3944">
        <v>1500</v>
      </c>
      <c r="G153" s="3944">
        <f>E153*F153</f>
        <v>12000</v>
      </c>
      <c r="H153" s="3944"/>
      <c r="I153" s="3946"/>
    </row>
    <row r="154" spans="1:12">
      <c r="A154" s="3938" t="s">
        <v>29</v>
      </c>
      <c r="B154" s="3943" t="s">
        <v>2313</v>
      </c>
      <c r="C154" s="3935" t="s">
        <v>556</v>
      </c>
      <c r="D154" s="3944"/>
      <c r="E154" s="3945">
        <f>8-E153</f>
        <v>0</v>
      </c>
      <c r="F154" s="3944">
        <v>5000</v>
      </c>
      <c r="G154" s="3940">
        <f>E154*F154</f>
        <v>0</v>
      </c>
      <c r="H154" s="3944"/>
      <c r="I154" s="3946"/>
    </row>
    <row r="155" spans="1:12" s="3936" customFormat="1">
      <c r="A155" s="3933">
        <v>10</v>
      </c>
      <c r="B155" s="3934" t="s">
        <v>2316</v>
      </c>
      <c r="C155" s="3935"/>
      <c r="D155" s="3931">
        <f>'[1]Xác định lại dự toán 2022-ĐP'!C22</f>
        <v>27026</v>
      </c>
      <c r="E155" s="3931"/>
      <c r="F155" s="3968">
        <v>1</v>
      </c>
      <c r="G155" s="3931">
        <f>D155*F155</f>
        <v>27026</v>
      </c>
      <c r="H155" s="3931">
        <f>G155-D155</f>
        <v>0</v>
      </c>
      <c r="I155" s="3932">
        <f>IF(D155=0,0,G155/D155*100)</f>
        <v>100</v>
      </c>
    </row>
    <row r="156" spans="1:12" s="3936" customFormat="1">
      <c r="A156" s="3933">
        <v>11</v>
      </c>
      <c r="B156" s="3934" t="s">
        <v>1729</v>
      </c>
      <c r="C156" s="3935"/>
      <c r="D156" s="3931"/>
      <c r="E156" s="3931"/>
      <c r="F156" s="3931"/>
      <c r="G156" s="3931">
        <f>SUM(G157,G162)</f>
        <v>1561384.5147799999</v>
      </c>
      <c r="H156" s="3931"/>
      <c r="I156" s="3932"/>
    </row>
    <row r="157" spans="1:12" s="3936" customFormat="1">
      <c r="A157" s="3938" t="s">
        <v>2317</v>
      </c>
      <c r="B157" s="3939" t="s">
        <v>2293</v>
      </c>
      <c r="C157" s="3935"/>
      <c r="D157" s="3931"/>
      <c r="E157" s="3931"/>
      <c r="F157" s="3937"/>
      <c r="G157" s="3940">
        <f>SUM(G158:G161)</f>
        <v>783680.51477999997</v>
      </c>
      <c r="H157" s="3931"/>
      <c r="I157" s="3932"/>
    </row>
    <row r="158" spans="1:12" s="3952" customFormat="1">
      <c r="A158" s="3942" t="s">
        <v>29</v>
      </c>
      <c r="B158" s="3943" t="s">
        <v>2218</v>
      </c>
      <c r="C158" s="3935" t="s">
        <v>519</v>
      </c>
      <c r="D158" s="3953"/>
      <c r="E158" s="3945">
        <f>$E$45</f>
        <v>303054</v>
      </c>
      <c r="F158" s="3945">
        <v>372500</v>
      </c>
      <c r="G158" s="3945">
        <f>E158*F158*(100%+$G$193)/1000000</f>
        <v>129820.75724999998</v>
      </c>
      <c r="H158" s="3953"/>
      <c r="I158" s="3954"/>
    </row>
    <row r="159" spans="1:12" s="3952" customFormat="1">
      <c r="A159" s="3942" t="s">
        <v>29</v>
      </c>
      <c r="B159" s="3943" t="s">
        <v>2219</v>
      </c>
      <c r="C159" s="3935" t="s">
        <v>519</v>
      </c>
      <c r="D159" s="3953"/>
      <c r="E159" s="3945">
        <f>$E$46</f>
        <v>1297521</v>
      </c>
      <c r="F159" s="3945">
        <v>438200</v>
      </c>
      <c r="G159" s="3945">
        <f>E159*F159*(100%+$G$193)/1000000</f>
        <v>653859.75752999994</v>
      </c>
      <c r="H159" s="3953"/>
      <c r="I159" s="3954"/>
    </row>
    <row r="160" spans="1:12" s="3952" customFormat="1">
      <c r="A160" s="3942" t="s">
        <v>29</v>
      </c>
      <c r="B160" s="3943" t="s">
        <v>2220</v>
      </c>
      <c r="C160" s="3935" t="s">
        <v>519</v>
      </c>
      <c r="D160" s="3953"/>
      <c r="E160" s="3945">
        <f>$E$47</f>
        <v>0</v>
      </c>
      <c r="F160" s="3945">
        <v>657300</v>
      </c>
      <c r="G160" s="3945">
        <f>E160*F160*(100%+$G$193)/1000000</f>
        <v>0</v>
      </c>
      <c r="H160" s="3953"/>
      <c r="I160" s="3954"/>
    </row>
    <row r="161" spans="1:9" s="3952" customFormat="1">
      <c r="A161" s="3942" t="s">
        <v>29</v>
      </c>
      <c r="B161" s="3943" t="s">
        <v>2221</v>
      </c>
      <c r="C161" s="3935" t="s">
        <v>519</v>
      </c>
      <c r="D161" s="3953"/>
      <c r="E161" s="3945">
        <f>$E$48</f>
        <v>0</v>
      </c>
      <c r="F161" s="3945">
        <v>876400</v>
      </c>
      <c r="G161" s="3945">
        <f>E161*F161*(100%+$G$193)/1000000</f>
        <v>0</v>
      </c>
      <c r="H161" s="3953"/>
      <c r="I161" s="3954"/>
    </row>
    <row r="162" spans="1:9" s="3936" customFormat="1">
      <c r="A162" s="3938" t="s">
        <v>2318</v>
      </c>
      <c r="B162" s="3939" t="s">
        <v>2235</v>
      </c>
      <c r="C162" s="3937"/>
      <c r="D162" s="3931"/>
      <c r="E162" s="3955"/>
      <c r="F162" s="3955"/>
      <c r="G162" s="3955">
        <f>SUM(G163,G164,G165,G171)</f>
        <v>777704</v>
      </c>
      <c r="H162" s="3931"/>
      <c r="I162" s="3932"/>
    </row>
    <row r="163" spans="1:9" s="3952" customFormat="1" ht="26.4">
      <c r="A163" s="3942" t="s">
        <v>2319</v>
      </c>
      <c r="B163" s="3943" t="s">
        <v>2320</v>
      </c>
      <c r="C163" s="3935"/>
      <c r="D163" s="3953"/>
      <c r="E163" s="3945"/>
      <c r="F163" s="3961"/>
      <c r="G163" s="3945">
        <v>215162</v>
      </c>
      <c r="H163" s="3953"/>
      <c r="I163" s="3954"/>
    </row>
    <row r="164" spans="1:9" s="3952" customFormat="1" ht="52.8">
      <c r="A164" s="3942" t="s">
        <v>2321</v>
      </c>
      <c r="B164" s="3943" t="s">
        <v>2322</v>
      </c>
      <c r="C164" s="3935"/>
      <c r="D164" s="3953"/>
      <c r="E164" s="3945">
        <f>195279</f>
        <v>195279</v>
      </c>
      <c r="F164" s="3969">
        <v>1</v>
      </c>
      <c r="G164" s="3945">
        <f>F164*E164</f>
        <v>195279</v>
      </c>
      <c r="H164" s="3953"/>
      <c r="I164" s="3954"/>
    </row>
    <row r="165" spans="1:9" s="3952" customFormat="1">
      <c r="A165" s="3942" t="s">
        <v>2323</v>
      </c>
      <c r="B165" s="3943" t="s">
        <v>2324</v>
      </c>
      <c r="C165" s="3935"/>
      <c r="D165" s="3953"/>
      <c r="E165" s="3953"/>
      <c r="F165" s="3935"/>
      <c r="G165" s="3944">
        <f>SUM(G166:G170)</f>
        <v>364000</v>
      </c>
      <c r="H165" s="3953"/>
      <c r="I165" s="3954"/>
    </row>
    <row r="166" spans="1:9">
      <c r="A166" s="3942" t="s">
        <v>29</v>
      </c>
      <c r="B166" s="3943" t="s">
        <v>2325</v>
      </c>
      <c r="C166" s="3935" t="s">
        <v>539</v>
      </c>
      <c r="D166" s="3944"/>
      <c r="E166" s="3944">
        <v>0</v>
      </c>
      <c r="F166" s="3970">
        <v>140000</v>
      </c>
      <c r="G166" s="3945">
        <f>E166*F166</f>
        <v>0</v>
      </c>
      <c r="H166" s="3944"/>
      <c r="I166" s="3946"/>
    </row>
    <row r="167" spans="1:9">
      <c r="A167" s="3942" t="s">
        <v>29</v>
      </c>
      <c r="B167" s="3943" t="s">
        <v>2326</v>
      </c>
      <c r="C167" s="3935" t="s">
        <v>539</v>
      </c>
      <c r="D167" s="3944"/>
      <c r="E167" s="3944">
        <v>2</v>
      </c>
      <c r="F167" s="3970">
        <v>85000</v>
      </c>
      <c r="G167" s="3945">
        <f>E167*F167</f>
        <v>170000</v>
      </c>
      <c r="H167" s="3944"/>
      <c r="I167" s="3946"/>
    </row>
    <row r="168" spans="1:9">
      <c r="A168" s="3942" t="s">
        <v>29</v>
      </c>
      <c r="B168" s="3943" t="s">
        <v>2327</v>
      </c>
      <c r="C168" s="3935" t="s">
        <v>539</v>
      </c>
      <c r="D168" s="3944"/>
      <c r="E168" s="3944">
        <v>1</v>
      </c>
      <c r="F168" s="3970">
        <v>24000</v>
      </c>
      <c r="G168" s="3945">
        <f>E168*F168</f>
        <v>24000</v>
      </c>
      <c r="H168" s="3944"/>
      <c r="I168" s="3946"/>
    </row>
    <row r="169" spans="1:9">
      <c r="A169" s="3942" t="s">
        <v>29</v>
      </c>
      <c r="B169" s="3943" t="s">
        <v>2328</v>
      </c>
      <c r="C169" s="3935" t="s">
        <v>539</v>
      </c>
      <c r="D169" s="3944"/>
      <c r="E169" s="3944">
        <v>3</v>
      </c>
      <c r="F169" s="3970">
        <v>17000</v>
      </c>
      <c r="G169" s="3945">
        <f>E169*F169</f>
        <v>51000</v>
      </c>
      <c r="H169" s="3944"/>
      <c r="I169" s="3946"/>
    </row>
    <row r="170" spans="1:9">
      <c r="A170" s="3942" t="s">
        <v>29</v>
      </c>
      <c r="B170" s="3943" t="s">
        <v>2329</v>
      </c>
      <c r="C170" s="3935" t="s">
        <v>539</v>
      </c>
      <c r="D170" s="3944"/>
      <c r="E170" s="3944">
        <v>14</v>
      </c>
      <c r="F170" s="3970">
        <v>8500</v>
      </c>
      <c r="G170" s="3945">
        <f>E170*F170</f>
        <v>119000</v>
      </c>
      <c r="H170" s="3944"/>
      <c r="I170" s="3946"/>
    </row>
    <row r="171" spans="1:9">
      <c r="A171" s="3942" t="s">
        <v>2330</v>
      </c>
      <c r="B171" s="3943" t="s">
        <v>2331</v>
      </c>
      <c r="C171" s="3935" t="s">
        <v>2332</v>
      </c>
      <c r="D171" s="3944"/>
      <c r="E171" s="3971">
        <v>66.900000000000006</v>
      </c>
      <c r="F171" s="3970">
        <v>30</v>
      </c>
      <c r="G171" s="3945">
        <v>3263</v>
      </c>
      <c r="H171" s="3944"/>
      <c r="I171" s="3946"/>
    </row>
    <row r="172" spans="1:9" s="3936" customFormat="1">
      <c r="A172" s="3933">
        <v>12</v>
      </c>
      <c r="B172" s="3934" t="s">
        <v>2094</v>
      </c>
      <c r="C172" s="3935"/>
      <c r="D172" s="3931"/>
      <c r="E172" s="3931"/>
      <c r="F172" s="3931"/>
      <c r="G172" s="3931">
        <v>59674</v>
      </c>
      <c r="H172" s="3931"/>
      <c r="I172" s="3932"/>
    </row>
    <row r="173" spans="1:9">
      <c r="A173" s="3942" t="s">
        <v>2333</v>
      </c>
      <c r="B173" s="3943" t="s">
        <v>2334</v>
      </c>
      <c r="C173" s="3935"/>
      <c r="D173" s="3944"/>
      <c r="E173" s="3972">
        <f>E174+E179</f>
        <v>3.3551886290322583</v>
      </c>
      <c r="F173" s="3973">
        <v>0.48</v>
      </c>
      <c r="G173" s="3944"/>
      <c r="H173" s="3944"/>
      <c r="I173" s="3946"/>
    </row>
    <row r="174" spans="1:9">
      <c r="A174" s="3942" t="s">
        <v>99</v>
      </c>
      <c r="B174" s="3943" t="s">
        <v>2335</v>
      </c>
      <c r="C174" s="3935"/>
      <c r="D174" s="3944"/>
      <c r="E174" s="3972">
        <f>E175*15+E176*7+E177*2+E178*1</f>
        <v>1.7546136290322583</v>
      </c>
      <c r="F174" s="3944"/>
      <c r="G174" s="3944"/>
      <c r="H174" s="3944"/>
      <c r="I174" s="3946"/>
    </row>
    <row r="175" spans="1:9" s="3980" customFormat="1">
      <c r="A175" s="3974" t="s">
        <v>29</v>
      </c>
      <c r="B175" s="3975" t="s">
        <v>2336</v>
      </c>
      <c r="C175" s="3976" t="s">
        <v>519</v>
      </c>
      <c r="D175" s="3977"/>
      <c r="E175" s="3978"/>
      <c r="F175" s="3977">
        <v>15</v>
      </c>
      <c r="G175" s="3977"/>
      <c r="H175" s="3977"/>
      <c r="I175" s="3979"/>
    </row>
    <row r="176" spans="1:9" s="3980" customFormat="1">
      <c r="A176" s="3974" t="s">
        <v>29</v>
      </c>
      <c r="B176" s="3975" t="s">
        <v>2337</v>
      </c>
      <c r="C176" s="3976" t="s">
        <v>519</v>
      </c>
      <c r="D176" s="3977"/>
      <c r="E176" s="3978"/>
      <c r="F176" s="3977">
        <v>7</v>
      </c>
      <c r="G176" s="3977"/>
      <c r="H176" s="3977"/>
      <c r="I176" s="3979"/>
    </row>
    <row r="177" spans="1:9" s="3980" customFormat="1">
      <c r="A177" s="3974" t="s">
        <v>29</v>
      </c>
      <c r="B177" s="3975" t="s">
        <v>2338</v>
      </c>
      <c r="C177" s="3976" t="s">
        <v>519</v>
      </c>
      <c r="D177" s="3977"/>
      <c r="E177" s="3978">
        <f>154038.629032258/1000000</f>
        <v>0.15403862903225801</v>
      </c>
      <c r="F177" s="3977">
        <v>2</v>
      </c>
      <c r="G177" s="3977"/>
      <c r="H177" s="3977"/>
      <c r="I177" s="3979"/>
    </row>
    <row r="178" spans="1:9" s="3980" customFormat="1">
      <c r="A178" s="3974" t="s">
        <v>29</v>
      </c>
      <c r="B178" s="3975" t="s">
        <v>2339</v>
      </c>
      <c r="C178" s="3976" t="s">
        <v>519</v>
      </c>
      <c r="D178" s="3977"/>
      <c r="E178" s="3978">
        <f>E44/1000000-SUM(E175:E177)</f>
        <v>1.4465363709677421</v>
      </c>
      <c r="F178" s="3977">
        <v>1</v>
      </c>
      <c r="G178" s="3977"/>
      <c r="H178" s="3977"/>
      <c r="I178" s="3979"/>
    </row>
    <row r="179" spans="1:9">
      <c r="A179" s="3942" t="s">
        <v>101</v>
      </c>
      <c r="B179" s="3943" t="s">
        <v>2340</v>
      </c>
      <c r="C179" s="3935"/>
      <c r="D179" s="3944"/>
      <c r="E179" s="3972">
        <f>IF(E184&gt;2000,E44*15/1000000,IF(E184&gt;1000,E44*6/1000000,IF(E184&gt;750,E44*2.5/1000000,IF(E184&gt;500,E44*1.8/1000000,E44/1000000))))</f>
        <v>1.6005750000000001</v>
      </c>
      <c r="F179" s="3944"/>
      <c r="G179" s="3944"/>
      <c r="H179" s="3944"/>
      <c r="I179" s="3946"/>
    </row>
    <row r="180" spans="1:9" s="3980" customFormat="1">
      <c r="A180" s="3974" t="s">
        <v>29</v>
      </c>
      <c r="B180" s="3975" t="s">
        <v>2341</v>
      </c>
      <c r="C180" s="3976"/>
      <c r="D180" s="3977"/>
      <c r="E180" s="3978"/>
      <c r="F180" s="3977">
        <v>15</v>
      </c>
      <c r="G180" s="3977"/>
      <c r="H180" s="3977"/>
      <c r="I180" s="3979"/>
    </row>
    <row r="181" spans="1:9" s="3980" customFormat="1">
      <c r="A181" s="3974" t="s">
        <v>29</v>
      </c>
      <c r="B181" s="3975" t="s">
        <v>2342</v>
      </c>
      <c r="C181" s="3976"/>
      <c r="D181" s="3977"/>
      <c r="E181" s="3978"/>
      <c r="F181" s="3977">
        <v>6</v>
      </c>
      <c r="G181" s="3977"/>
      <c r="H181" s="3977"/>
      <c r="I181" s="3979"/>
    </row>
    <row r="182" spans="1:9" s="3980" customFormat="1">
      <c r="A182" s="3974" t="s">
        <v>29</v>
      </c>
      <c r="B182" s="3975" t="s">
        <v>2343</v>
      </c>
      <c r="C182" s="3976"/>
      <c r="D182" s="3977"/>
      <c r="E182" s="3978"/>
      <c r="F182" s="3977">
        <v>2.5</v>
      </c>
      <c r="G182" s="3977"/>
      <c r="H182" s="3977"/>
      <c r="I182" s="3979"/>
    </row>
    <row r="183" spans="1:9" s="3980" customFormat="1">
      <c r="A183" s="3974" t="s">
        <v>29</v>
      </c>
      <c r="B183" s="3975" t="s">
        <v>2344</v>
      </c>
      <c r="C183" s="3976"/>
      <c r="D183" s="3977"/>
      <c r="E183" s="3981"/>
      <c r="F183" s="3977">
        <v>1.8</v>
      </c>
      <c r="G183" s="3977"/>
      <c r="H183" s="3977"/>
      <c r="I183" s="3979"/>
    </row>
    <row r="184" spans="1:9" s="3980" customFormat="1">
      <c r="A184" s="3974" t="s">
        <v>29</v>
      </c>
      <c r="B184" s="3975" t="s">
        <v>2345</v>
      </c>
      <c r="C184" s="3976"/>
      <c r="D184" s="3977"/>
      <c r="E184" s="3981"/>
      <c r="F184" s="3977">
        <v>1</v>
      </c>
      <c r="G184" s="3977"/>
      <c r="H184" s="3977"/>
      <c r="I184" s="3979"/>
    </row>
    <row r="185" spans="1:9">
      <c r="A185" s="3942" t="s">
        <v>2346</v>
      </c>
      <c r="B185" s="3943" t="s">
        <v>2347</v>
      </c>
      <c r="C185" s="3935" t="s">
        <v>2348</v>
      </c>
      <c r="D185" s="3944"/>
      <c r="E185" s="3944">
        <v>17037772</v>
      </c>
      <c r="F185" s="3973">
        <v>0.3</v>
      </c>
      <c r="G185" s="3945"/>
      <c r="H185" s="3944"/>
      <c r="I185" s="3946"/>
    </row>
    <row r="186" spans="1:9">
      <c r="A186" s="3942" t="s">
        <v>2349</v>
      </c>
      <c r="B186" s="3943" t="s">
        <v>2350</v>
      </c>
      <c r="C186" s="3935" t="s">
        <v>457</v>
      </c>
      <c r="D186" s="3944"/>
      <c r="E186" s="3944">
        <f>6168</f>
        <v>6168</v>
      </c>
      <c r="F186" s="3973">
        <v>0.22</v>
      </c>
      <c r="G186" s="3945"/>
      <c r="H186" s="3944"/>
      <c r="I186" s="3946"/>
    </row>
    <row r="187" spans="1:9" s="3936" customFormat="1">
      <c r="A187" s="3933">
        <v>13</v>
      </c>
      <c r="B187" s="3934" t="s">
        <v>721</v>
      </c>
      <c r="C187" s="3935"/>
      <c r="D187" s="3931"/>
      <c r="E187" s="3931"/>
      <c r="F187" s="3931"/>
      <c r="G187" s="3931">
        <f>SUM(G188:G188)</f>
        <v>43041.862731629684</v>
      </c>
      <c r="H187" s="3931"/>
      <c r="I187" s="3932"/>
    </row>
    <row r="188" spans="1:9" s="3952" customFormat="1">
      <c r="A188" s="3942"/>
      <c r="B188" s="3943" t="s">
        <v>2351</v>
      </c>
      <c r="C188" s="3935"/>
      <c r="D188" s="3953"/>
      <c r="E188" s="3953"/>
      <c r="F188" s="3982">
        <v>5.0000000000000001E-3</v>
      </c>
      <c r="G188" s="3944">
        <f>(SUM(G13,G43,G58,G108,G115,G121,G127,G137,G146,G155,G156,G172))*F188</f>
        <v>43041.862731629684</v>
      </c>
      <c r="H188" s="3953"/>
      <c r="I188" s="3954"/>
    </row>
    <row r="189" spans="1:9" s="3936" customFormat="1" ht="26.4">
      <c r="A189" s="3983">
        <v>14</v>
      </c>
      <c r="B189" s="3984" t="s">
        <v>2352</v>
      </c>
      <c r="C189" s="3985"/>
      <c r="D189" s="3986">
        <f>D9-D13-D155</f>
        <v>4813812.7888039034</v>
      </c>
      <c r="E189" s="3986"/>
      <c r="F189" s="3987"/>
      <c r="G189" s="3988">
        <f>IF(((D9-D13-D155)*F189-(G43+G58+G108+G115+G121+G127+G137++G146+G156+G172+G187))&lt;0,0,((D9-D13-D155)*F189-(G43+G58+G108+G115+G121+G127+G137++G146+G156+G172+G187)))</f>
        <v>0</v>
      </c>
      <c r="H189" s="3986"/>
      <c r="I189" s="3989"/>
    </row>
    <row r="190" spans="1:9" ht="16.2" thickBot="1">
      <c r="A190" s="3990"/>
      <c r="B190" s="3991"/>
      <c r="C190" s="3992"/>
      <c r="D190" s="3992"/>
      <c r="E190" s="3992"/>
      <c r="F190" s="3992"/>
      <c r="G190" s="3992"/>
      <c r="H190" s="3992"/>
      <c r="I190" s="3993"/>
    </row>
    <row r="191" spans="1:9" ht="16.2" thickBot="1">
      <c r="A191" s="3994"/>
      <c r="B191" s="3995"/>
      <c r="C191" s="3995"/>
      <c r="D191" s="3995"/>
      <c r="E191" s="3995"/>
      <c r="F191" s="3995"/>
      <c r="G191" s="3995"/>
      <c r="H191" s="3995"/>
      <c r="I191" s="3995"/>
    </row>
    <row r="192" spans="1:9" s="3906" customFormat="1">
      <c r="A192" s="3996"/>
      <c r="B192" s="3997" t="s">
        <v>2353</v>
      </c>
      <c r="C192" s="3998"/>
      <c r="D192" s="3998"/>
      <c r="E192" s="3998"/>
      <c r="F192" s="3998"/>
      <c r="G192" s="3999"/>
      <c r="H192" s="4000"/>
      <c r="I192" s="4001"/>
    </row>
    <row r="193" spans="1:9">
      <c r="A193" s="4002">
        <v>1</v>
      </c>
      <c r="B193" s="6264" t="s">
        <v>2354</v>
      </c>
      <c r="C193" s="6265"/>
      <c r="D193" s="6266"/>
      <c r="E193" s="4003"/>
      <c r="F193" s="4003"/>
      <c r="G193" s="4004">
        <v>0.15</v>
      </c>
      <c r="H193" s="4005"/>
      <c r="I193" s="3995"/>
    </row>
    <row r="194" spans="1:9">
      <c r="A194" s="4002">
        <f>A193+1</f>
        <v>2</v>
      </c>
      <c r="B194" s="6264" t="s">
        <v>2355</v>
      </c>
      <c r="C194" s="6265"/>
      <c r="D194" s="6266"/>
      <c r="E194" s="4003"/>
      <c r="F194" s="4003"/>
      <c r="G194" s="4006">
        <v>2599960</v>
      </c>
      <c r="H194" s="4005"/>
      <c r="I194" s="3995"/>
    </row>
    <row r="195" spans="1:9">
      <c r="A195" s="4002">
        <f>A194+1</f>
        <v>3</v>
      </c>
      <c r="B195" s="6264" t="s">
        <v>2356</v>
      </c>
      <c r="C195" s="6265"/>
      <c r="D195" s="6266"/>
      <c r="E195" s="4003"/>
      <c r="F195" s="4003"/>
      <c r="G195" s="4007">
        <v>392.92</v>
      </c>
      <c r="H195" s="4005"/>
      <c r="I195" s="3995"/>
    </row>
    <row r="196" spans="1:9">
      <c r="A196" s="4002">
        <f>A195+1</f>
        <v>4</v>
      </c>
      <c r="B196" s="6264" t="s">
        <v>2357</v>
      </c>
      <c r="C196" s="6265"/>
      <c r="D196" s="6266"/>
      <c r="E196" s="4003"/>
      <c r="F196" s="4003"/>
      <c r="G196" s="4006">
        <v>416863.19</v>
      </c>
      <c r="H196" s="4005"/>
      <c r="I196" s="3995"/>
    </row>
    <row r="197" spans="1:9">
      <c r="A197" s="4002">
        <f>A196+1</f>
        <v>5</v>
      </c>
      <c r="B197" s="6264" t="s">
        <v>2358</v>
      </c>
      <c r="C197" s="6265"/>
      <c r="D197" s="6266"/>
      <c r="E197" s="4003"/>
      <c r="F197" s="4003"/>
      <c r="G197" s="4006">
        <v>2360659</v>
      </c>
      <c r="H197" s="4005"/>
      <c r="I197" s="3995"/>
    </row>
    <row r="198" spans="1:9">
      <c r="A198" s="4002">
        <f>A197+1</f>
        <v>6</v>
      </c>
      <c r="B198" s="6264" t="s">
        <v>2359</v>
      </c>
      <c r="C198" s="6265"/>
      <c r="D198" s="6266"/>
      <c r="E198" s="4008"/>
      <c r="F198" s="4008"/>
      <c r="G198" s="4009">
        <v>10283176</v>
      </c>
      <c r="H198" s="4010"/>
      <c r="I198" s="3995"/>
    </row>
    <row r="199" spans="1:9" ht="16.2" thickBot="1">
      <c r="A199" s="4011"/>
      <c r="B199" s="4012"/>
      <c r="C199" s="4013"/>
      <c r="D199" s="4013"/>
      <c r="E199" s="4013"/>
      <c r="F199" s="4013"/>
      <c r="G199" s="3992"/>
      <c r="H199" s="4014"/>
      <c r="I199" s="3995"/>
    </row>
    <row r="201" spans="1:9">
      <c r="C201" s="3905">
        <v>100</v>
      </c>
      <c r="D201" s="4015">
        <v>70000000</v>
      </c>
      <c r="F201" s="4015">
        <v>54000000</v>
      </c>
      <c r="G201" s="3067">
        <v>1.3</v>
      </c>
    </row>
    <row r="202" spans="1:9">
      <c r="C202" s="3905">
        <v>500</v>
      </c>
      <c r="D202" s="4015">
        <v>65000000</v>
      </c>
      <c r="F202" s="4015">
        <v>50000000</v>
      </c>
      <c r="G202" s="3067">
        <v>1.3</v>
      </c>
    </row>
    <row r="203" spans="1:9">
      <c r="C203" s="3905">
        <v>1000</v>
      </c>
      <c r="D203" s="4015">
        <v>61000000</v>
      </c>
      <c r="F203" s="4015">
        <v>48000000</v>
      </c>
      <c r="G203" s="3067">
        <v>1.27</v>
      </c>
    </row>
    <row r="204" spans="1:9">
      <c r="C204" s="3905">
        <v>1001</v>
      </c>
      <c r="D204" s="4015">
        <v>57000000</v>
      </c>
      <c r="F204" s="4015">
        <v>45000000</v>
      </c>
      <c r="G204" s="3067">
        <v>1.27</v>
      </c>
    </row>
    <row r="206" spans="1:9">
      <c r="D206" s="4015">
        <v>20000000</v>
      </c>
      <c r="F206" s="4015">
        <f>+D206*G201</f>
        <v>26000000</v>
      </c>
      <c r="G206" s="4016"/>
    </row>
    <row r="207" spans="1:9">
      <c r="F207" s="4016">
        <f>ROUND(F206,-6)</f>
        <v>26000000</v>
      </c>
    </row>
    <row r="208" spans="1:9">
      <c r="F208" s="4016">
        <f>+D206*G203</f>
        <v>25400000</v>
      </c>
    </row>
    <row r="209" spans="4:6">
      <c r="F209" s="4016">
        <f>ROUND(F208,-6)</f>
        <v>25000000</v>
      </c>
    </row>
    <row r="212" spans="4:6">
      <c r="D212" s="4016">
        <v>1150000</v>
      </c>
    </row>
    <row r="213" spans="4:6">
      <c r="D213" s="4016">
        <v>1210000</v>
      </c>
    </row>
    <row r="214" spans="4:6">
      <c r="D214" s="3905">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Danh mục file'!A1" display="STT"/>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0"/>
  <sheetViews>
    <sheetView workbookViewId="0">
      <selection activeCell="A6" sqref="A6:A7"/>
    </sheetView>
  </sheetViews>
  <sheetFormatPr defaultColWidth="10" defaultRowHeight="18"/>
  <cols>
    <col min="1" max="1" width="6" style="583" customWidth="1"/>
    <col min="2" max="2" width="82.33203125" style="381" customWidth="1"/>
    <col min="3" max="8" width="21.33203125" style="381" customWidth="1"/>
    <col min="9" max="16384" width="10" style="381"/>
  </cols>
  <sheetData>
    <row r="1" spans="1:8">
      <c r="A1" s="6281" t="s">
        <v>2866</v>
      </c>
      <c r="B1" s="6281"/>
    </row>
    <row r="3" spans="1:8">
      <c r="A3" s="6282" t="s">
        <v>2867</v>
      </c>
      <c r="B3" s="6281"/>
      <c r="C3" s="6281"/>
      <c r="D3" s="6281"/>
      <c r="E3" s="6281"/>
      <c r="F3" s="6281"/>
      <c r="G3" s="6281"/>
      <c r="H3" s="6281"/>
    </row>
    <row r="5" spans="1:8" ht="18.600000000000001" thickBot="1">
      <c r="H5" s="4571" t="s">
        <v>246</v>
      </c>
    </row>
    <row r="6" spans="1:8" s="596" customFormat="1">
      <c r="A6" s="6273" t="s">
        <v>247</v>
      </c>
      <c r="B6" s="6283" t="s">
        <v>2868</v>
      </c>
      <c r="C6" s="6283" t="s">
        <v>2869</v>
      </c>
      <c r="D6" s="6283" t="s">
        <v>2870</v>
      </c>
      <c r="E6" s="6283" t="s">
        <v>2871</v>
      </c>
      <c r="F6" s="6283" t="s">
        <v>2872</v>
      </c>
      <c r="G6" s="6283"/>
      <c r="H6" s="6284" t="s">
        <v>2873</v>
      </c>
    </row>
    <row r="7" spans="1:8" s="596" customFormat="1" ht="34.799999999999997">
      <c r="A7" s="6274"/>
      <c r="B7" s="6044"/>
      <c r="C7" s="6044"/>
      <c r="D7" s="6044"/>
      <c r="E7" s="6044"/>
      <c r="F7" s="430" t="s">
        <v>375</v>
      </c>
      <c r="G7" s="430" t="s">
        <v>2874</v>
      </c>
      <c r="H7" s="6285"/>
    </row>
    <row r="8" spans="1:8" s="641" customFormat="1" ht="17.399999999999999">
      <c r="A8" s="4572">
        <v>1</v>
      </c>
      <c r="B8" s="2239">
        <v>2</v>
      </c>
      <c r="C8" s="2239">
        <v>3</v>
      </c>
      <c r="D8" s="2239">
        <v>4</v>
      </c>
      <c r="E8" s="2239">
        <v>5</v>
      </c>
      <c r="F8" s="2239">
        <v>6</v>
      </c>
      <c r="G8" s="2239">
        <v>7</v>
      </c>
      <c r="H8" s="4573">
        <v>8</v>
      </c>
    </row>
    <row r="9" spans="1:8" s="386" customFormat="1" ht="17.399999999999999">
      <c r="A9" s="4574"/>
      <c r="B9" s="3861" t="s">
        <v>54</v>
      </c>
      <c r="C9" s="4575">
        <f>SUM(C10:C30)</f>
        <v>3426.3999999999996</v>
      </c>
      <c r="D9" s="4575">
        <f t="shared" ref="D9:G9" si="0">SUM(D10:D30)</f>
        <v>7517.78</v>
      </c>
      <c r="E9" s="4576">
        <f t="shared" si="0"/>
        <v>30660.991999999998</v>
      </c>
      <c r="F9" s="4576">
        <f t="shared" si="0"/>
        <v>19480.103999999999</v>
      </c>
      <c r="G9" s="4576">
        <f t="shared" si="0"/>
        <v>49557.479999999996</v>
      </c>
      <c r="H9" s="4577"/>
    </row>
    <row r="10" spans="1:8">
      <c r="A10" s="4578">
        <v>1</v>
      </c>
      <c r="B10" s="4579" t="s">
        <v>2875</v>
      </c>
      <c r="C10" s="4579">
        <v>80</v>
      </c>
      <c r="D10" s="4579">
        <v>80</v>
      </c>
      <c r="E10" s="4580">
        <f>5.3*C10*1.2+30</f>
        <v>538.79999999999995</v>
      </c>
      <c r="F10" s="4581"/>
      <c r="G10" s="4581"/>
      <c r="H10" s="4582" t="s">
        <v>2876</v>
      </c>
    </row>
    <row r="11" spans="1:8">
      <c r="A11" s="4578">
        <v>2</v>
      </c>
      <c r="B11" s="4579" t="s">
        <v>2875</v>
      </c>
      <c r="C11" s="4579">
        <v>97.2</v>
      </c>
      <c r="D11" s="4579">
        <v>80</v>
      </c>
      <c r="E11" s="4580">
        <f>5.3*C11*1.2+30</f>
        <v>648.19199999999989</v>
      </c>
      <c r="F11" s="4581"/>
      <c r="G11" s="4581"/>
      <c r="H11" s="4582" t="s">
        <v>2876</v>
      </c>
    </row>
    <row r="12" spans="1:8">
      <c r="A12" s="4578">
        <v>3</v>
      </c>
      <c r="B12" s="4579" t="s">
        <v>2875</v>
      </c>
      <c r="C12" s="4579">
        <v>100</v>
      </c>
      <c r="D12" s="4579">
        <v>80</v>
      </c>
      <c r="E12" s="4580">
        <f>5.3*C12*1.2</f>
        <v>636</v>
      </c>
      <c r="F12" s="4581"/>
      <c r="G12" s="4581"/>
      <c r="H12" s="4582" t="s">
        <v>2876</v>
      </c>
    </row>
    <row r="13" spans="1:8">
      <c r="A13" s="6279">
        <v>4</v>
      </c>
      <c r="B13" s="6280" t="s">
        <v>2877</v>
      </c>
      <c r="C13" s="4579">
        <v>163.69999999999999</v>
      </c>
      <c r="D13" s="4579">
        <v>326</v>
      </c>
      <c r="E13" s="4580">
        <f>32*C13*1.2+100</f>
        <v>6386.079999999999</v>
      </c>
      <c r="F13" s="4581"/>
      <c r="G13" s="4581"/>
      <c r="H13" s="4582" t="s">
        <v>2876</v>
      </c>
    </row>
    <row r="14" spans="1:8">
      <c r="A14" s="6279"/>
      <c r="B14" s="6280"/>
      <c r="C14" s="4579">
        <v>269.10000000000002</v>
      </c>
      <c r="D14" s="4579">
        <v>686</v>
      </c>
      <c r="E14" s="4580">
        <f>32*C14*1.2+100</f>
        <v>10433.44</v>
      </c>
      <c r="F14" s="4581"/>
      <c r="G14" s="4581"/>
      <c r="H14" s="4582" t="s">
        <v>2876</v>
      </c>
    </row>
    <row r="15" spans="1:8">
      <c r="A15" s="4578">
        <v>5</v>
      </c>
      <c r="B15" s="4579" t="s">
        <v>2878</v>
      </c>
      <c r="C15" s="4579">
        <v>67.7</v>
      </c>
      <c r="D15" s="4579">
        <v>136.91999999999999</v>
      </c>
      <c r="E15" s="4580">
        <f>32*C15*1.2+100</f>
        <v>2699.68</v>
      </c>
      <c r="F15" s="4581"/>
      <c r="G15" s="4581"/>
      <c r="H15" s="4582" t="s">
        <v>2876</v>
      </c>
    </row>
    <row r="16" spans="1:8" ht="36">
      <c r="A16" s="4578">
        <v>6</v>
      </c>
      <c r="B16" s="4579" t="s">
        <v>2879</v>
      </c>
      <c r="C16" s="4579">
        <v>48.8</v>
      </c>
      <c r="D16" s="4579">
        <v>210</v>
      </c>
      <c r="E16" s="4580">
        <f>15*C16*1.2+30</f>
        <v>908.4</v>
      </c>
      <c r="F16" s="4581"/>
      <c r="G16" s="4581"/>
      <c r="H16" s="4582" t="s">
        <v>2876</v>
      </c>
    </row>
    <row r="17" spans="1:8">
      <c r="A17" s="4578">
        <v>7</v>
      </c>
      <c r="B17" s="4579" t="s">
        <v>2880</v>
      </c>
      <c r="C17" s="4579">
        <v>206</v>
      </c>
      <c r="D17" s="4579">
        <v>654</v>
      </c>
      <c r="E17" s="4580">
        <f>32*C17*1.2+500</f>
        <v>8410.4</v>
      </c>
      <c r="F17" s="4580"/>
      <c r="G17" s="4581"/>
      <c r="H17" s="4582" t="s">
        <v>2876</v>
      </c>
    </row>
    <row r="18" spans="1:8">
      <c r="A18" s="4578">
        <v>8</v>
      </c>
      <c r="B18" s="4579" t="s">
        <v>2881</v>
      </c>
      <c r="C18" s="4579">
        <v>56.8</v>
      </c>
      <c r="D18" s="4579">
        <v>233.2</v>
      </c>
      <c r="E18" s="4583"/>
      <c r="F18" s="4580">
        <f>C18*32*1.2+100</f>
        <v>2281.12</v>
      </c>
      <c r="G18" s="4581"/>
      <c r="H18" s="4582" t="s">
        <v>2876</v>
      </c>
    </row>
    <row r="19" spans="1:8">
      <c r="A19" s="4578">
        <v>9</v>
      </c>
      <c r="B19" s="4579" t="s">
        <v>2882</v>
      </c>
      <c r="C19" s="4579">
        <v>57.1</v>
      </c>
      <c r="D19" s="4579">
        <v>233.2</v>
      </c>
      <c r="E19" s="4583"/>
      <c r="F19" s="4580">
        <f>C19*32*1.2+100</f>
        <v>2292.64</v>
      </c>
      <c r="G19" s="4581"/>
      <c r="H19" s="4582" t="s">
        <v>2876</v>
      </c>
    </row>
    <row r="20" spans="1:8">
      <c r="A20" s="4578">
        <v>10</v>
      </c>
      <c r="B20" s="4579" t="s">
        <v>2883</v>
      </c>
      <c r="C20" s="4579">
        <v>102.1</v>
      </c>
      <c r="D20" s="4579">
        <v>233.3</v>
      </c>
      <c r="E20" s="4583"/>
      <c r="F20" s="4580">
        <f>C20*12*1.2+100</f>
        <v>1570.2399999999998</v>
      </c>
      <c r="G20" s="4581"/>
      <c r="H20" s="4582" t="s">
        <v>2876</v>
      </c>
    </row>
    <row r="21" spans="1:8">
      <c r="A21" s="4578">
        <v>11</v>
      </c>
      <c r="B21" s="4579" t="s">
        <v>2884</v>
      </c>
      <c r="C21" s="4579">
        <v>62.7</v>
      </c>
      <c r="D21" s="4579">
        <v>121.3</v>
      </c>
      <c r="E21" s="4583"/>
      <c r="F21" s="4584">
        <f>C21*32*1.2+50</f>
        <v>2457.6799999999998</v>
      </c>
      <c r="G21" s="4581"/>
      <c r="H21" s="4582" t="s">
        <v>2876</v>
      </c>
    </row>
    <row r="22" spans="1:8" ht="36">
      <c r="A22" s="4578">
        <v>12</v>
      </c>
      <c r="B22" s="4579" t="s">
        <v>2885</v>
      </c>
      <c r="C22" s="4579">
        <v>220.7</v>
      </c>
      <c r="D22" s="4579">
        <v>0</v>
      </c>
      <c r="E22" s="4583"/>
      <c r="F22" s="4580">
        <f>5.3*1.2*C22</f>
        <v>1403.6519999999998</v>
      </c>
      <c r="G22" s="4581"/>
      <c r="H22" s="4582" t="s">
        <v>2876</v>
      </c>
    </row>
    <row r="23" spans="1:8" ht="36">
      <c r="A23" s="4578">
        <v>13</v>
      </c>
      <c r="B23" s="4579" t="s">
        <v>2886</v>
      </c>
      <c r="C23" s="4579">
        <v>58.3</v>
      </c>
      <c r="D23" s="4579">
        <v>0</v>
      </c>
      <c r="E23" s="4583"/>
      <c r="F23" s="4580">
        <f>5.3*1.2*C23</f>
        <v>370.78799999999995</v>
      </c>
      <c r="G23" s="4581"/>
      <c r="H23" s="4582" t="s">
        <v>2876</v>
      </c>
    </row>
    <row r="24" spans="1:8" ht="36">
      <c r="A24" s="4578">
        <v>14</v>
      </c>
      <c r="B24" s="4579" t="s">
        <v>2887</v>
      </c>
      <c r="C24" s="4579">
        <v>700.9</v>
      </c>
      <c r="D24" s="4579">
        <v>1433.01</v>
      </c>
      <c r="E24" s="4583"/>
      <c r="F24" s="4580">
        <f>4.8*1.2*C24+800*5</f>
        <v>8037.1839999999993</v>
      </c>
      <c r="G24" s="4581"/>
      <c r="H24" s="4582" t="s">
        <v>2876</v>
      </c>
    </row>
    <row r="25" spans="1:8" ht="36">
      <c r="A25" s="4578">
        <v>15</v>
      </c>
      <c r="B25" s="4579" t="s">
        <v>2888</v>
      </c>
      <c r="C25" s="4579">
        <v>180</v>
      </c>
      <c r="D25" s="4579">
        <v>180</v>
      </c>
      <c r="E25" s="4583"/>
      <c r="F25" s="4580">
        <f>4.8*1.2*C25+30</f>
        <v>1066.8</v>
      </c>
      <c r="G25" s="4580"/>
      <c r="H25" s="4582" t="s">
        <v>2876</v>
      </c>
    </row>
    <row r="26" spans="1:8" ht="36">
      <c r="A26" s="4578">
        <v>16</v>
      </c>
      <c r="B26" s="4579" t="s">
        <v>2889</v>
      </c>
      <c r="C26" s="4579">
        <v>243</v>
      </c>
      <c r="D26" s="4579">
        <v>607.32000000000005</v>
      </c>
      <c r="E26" s="4583"/>
      <c r="F26" s="4580"/>
      <c r="G26" s="4580">
        <f>C26*32*1.2+800*3</f>
        <v>11731.199999999999</v>
      </c>
      <c r="H26" s="4582" t="s">
        <v>2876</v>
      </c>
    </row>
    <row r="27" spans="1:8" ht="36">
      <c r="A27" s="4578">
        <v>17</v>
      </c>
      <c r="B27" s="4579" t="s">
        <v>2890</v>
      </c>
      <c r="C27" s="4579">
        <v>74.099999999999994</v>
      </c>
      <c r="D27" s="4579">
        <v>119.25</v>
      </c>
      <c r="E27" s="4583"/>
      <c r="F27" s="4580"/>
      <c r="G27" s="4580">
        <f>19710600000/1000000</f>
        <v>19710.599999999999</v>
      </c>
      <c r="H27" s="4582" t="s">
        <v>2876</v>
      </c>
    </row>
    <row r="28" spans="1:8" ht="36">
      <c r="A28" s="4578">
        <v>18</v>
      </c>
      <c r="B28" s="4579" t="s">
        <v>2891</v>
      </c>
      <c r="C28" s="4579">
        <v>106</v>
      </c>
      <c r="D28" s="4579">
        <v>441</v>
      </c>
      <c r="E28" s="4583"/>
      <c r="F28" s="4580"/>
      <c r="G28" s="4580">
        <f>C28*32*1.2+800</f>
        <v>4870.3999999999996</v>
      </c>
      <c r="H28" s="4582" t="s">
        <v>2876</v>
      </c>
    </row>
    <row r="29" spans="1:8" ht="36">
      <c r="A29" s="4578">
        <v>19</v>
      </c>
      <c r="B29" s="4579" t="s">
        <v>2892</v>
      </c>
      <c r="C29" s="4579">
        <v>219.2</v>
      </c>
      <c r="D29" s="4579">
        <f>226.8+231.84+231.84</f>
        <v>690.48</v>
      </c>
      <c r="E29" s="4583"/>
      <c r="F29" s="4580"/>
      <c r="G29" s="4580">
        <f>C29*2*1.2+100*3</f>
        <v>826.07999999999993</v>
      </c>
      <c r="H29" s="4582" t="s">
        <v>2876</v>
      </c>
    </row>
    <row r="30" spans="1:8" ht="18.600000000000001" thickBot="1">
      <c r="A30" s="4585">
        <v>20</v>
      </c>
      <c r="B30" s="4586" t="s">
        <v>2893</v>
      </c>
      <c r="C30" s="4586">
        <f>145+168</f>
        <v>313</v>
      </c>
      <c r="D30" s="4586">
        <f>450+522.8</f>
        <v>972.8</v>
      </c>
      <c r="E30" s="4587"/>
      <c r="F30" s="4588"/>
      <c r="G30" s="4588">
        <f>C30*32*1.2+100*4</f>
        <v>12419.199999999999</v>
      </c>
      <c r="H30" s="4589" t="s">
        <v>2876</v>
      </c>
    </row>
  </sheetData>
  <mergeCells count="11">
    <mergeCell ref="A13:A14"/>
    <mergeCell ref="B13:B14"/>
    <mergeCell ref="A1:B1"/>
    <mergeCell ref="A3:H3"/>
    <mergeCell ref="A6:A7"/>
    <mergeCell ref="B6:B7"/>
    <mergeCell ref="C6:C7"/>
    <mergeCell ref="D6:D7"/>
    <mergeCell ref="E6:E7"/>
    <mergeCell ref="F6:G6"/>
    <mergeCell ref="H6:H7"/>
  </mergeCells>
  <hyperlinks>
    <hyperlink ref="A6:A7" location="'Danh mục file'!A1" display="ST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14"/>
  <sheetViews>
    <sheetView workbookViewId="0">
      <selection activeCell="A6" sqref="A6:A7"/>
    </sheetView>
  </sheetViews>
  <sheetFormatPr defaultColWidth="9" defaultRowHeight="18"/>
  <cols>
    <col min="1" max="1" width="7.33203125" style="47" customWidth="1"/>
    <col min="2" max="2" width="76" style="47" customWidth="1"/>
    <col min="3" max="3" width="13.44140625" style="47" customWidth="1"/>
    <col min="4" max="4" width="13.5546875" style="47" customWidth="1"/>
    <col min="5" max="5" width="15.109375" style="47" customWidth="1"/>
    <col min="6" max="9" width="13" style="47" customWidth="1"/>
    <col min="10" max="10" width="37.88671875" style="47" customWidth="1"/>
    <col min="11" max="11" width="11" style="47" customWidth="1"/>
    <col min="12" max="12" width="17.88671875" style="47" bestFit="1" customWidth="1"/>
    <col min="13" max="256" width="9" style="47"/>
    <col min="257" max="257" width="7" style="47" customWidth="1"/>
    <col min="258" max="258" width="36.6640625" style="47" customWidth="1"/>
    <col min="259" max="259" width="9.5546875" style="47" customWidth="1"/>
    <col min="260" max="260" width="11.44140625" style="47" bestFit="1" customWidth="1"/>
    <col min="261" max="261" width="13.5546875" style="47" customWidth="1"/>
    <col min="262" max="262" width="10.6640625" style="47" customWidth="1"/>
    <col min="263" max="263" width="11" style="47" customWidth="1"/>
    <col min="264" max="264" width="10.5546875" style="47" customWidth="1"/>
    <col min="265" max="265" width="11" style="47" customWidth="1"/>
    <col min="266" max="266" width="9" style="47"/>
    <col min="267" max="267" width="11" style="47" customWidth="1"/>
    <col min="268" max="268" width="17.88671875" style="47" bestFit="1" customWidth="1"/>
    <col min="269" max="512" width="9" style="47"/>
    <col min="513" max="513" width="7" style="47" customWidth="1"/>
    <col min="514" max="514" width="36.6640625" style="47" customWidth="1"/>
    <col min="515" max="515" width="9.5546875" style="47" customWidth="1"/>
    <col min="516" max="516" width="11.44140625" style="47" bestFit="1" customWidth="1"/>
    <col min="517" max="517" width="13.5546875" style="47" customWidth="1"/>
    <col min="518" max="518" width="10.6640625" style="47" customWidth="1"/>
    <col min="519" max="519" width="11" style="47" customWidth="1"/>
    <col min="520" max="520" width="10.5546875" style="47" customWidth="1"/>
    <col min="521" max="521" width="11" style="47" customWidth="1"/>
    <col min="522" max="522" width="9" style="47"/>
    <col min="523" max="523" width="11" style="47" customWidth="1"/>
    <col min="524" max="524" width="17.88671875" style="47" bestFit="1" customWidth="1"/>
    <col min="525" max="768" width="9" style="47"/>
    <col min="769" max="769" width="7" style="47" customWidth="1"/>
    <col min="770" max="770" width="36.6640625" style="47" customWidth="1"/>
    <col min="771" max="771" width="9.5546875" style="47" customWidth="1"/>
    <col min="772" max="772" width="11.44140625" style="47" bestFit="1" customWidth="1"/>
    <col min="773" max="773" width="13.5546875" style="47" customWidth="1"/>
    <col min="774" max="774" width="10.6640625" style="47" customWidth="1"/>
    <col min="775" max="775" width="11" style="47" customWidth="1"/>
    <col min="776" max="776" width="10.5546875" style="47" customWidth="1"/>
    <col min="777" max="777" width="11" style="47" customWidth="1"/>
    <col min="778" max="778" width="9" style="47"/>
    <col min="779" max="779" width="11" style="47" customWidth="1"/>
    <col min="780" max="780" width="17.88671875" style="47" bestFit="1" customWidth="1"/>
    <col min="781" max="1024" width="9" style="47"/>
    <col min="1025" max="1025" width="7" style="47" customWidth="1"/>
    <col min="1026" max="1026" width="36.6640625" style="47" customWidth="1"/>
    <col min="1027" max="1027" width="9.5546875" style="47" customWidth="1"/>
    <col min="1028" max="1028" width="11.44140625" style="47" bestFit="1" customWidth="1"/>
    <col min="1029" max="1029" width="13.5546875" style="47" customWidth="1"/>
    <col min="1030" max="1030" width="10.6640625" style="47" customWidth="1"/>
    <col min="1031" max="1031" width="11" style="47" customWidth="1"/>
    <col min="1032" max="1032" width="10.5546875" style="47" customWidth="1"/>
    <col min="1033" max="1033" width="11" style="47" customWidth="1"/>
    <col min="1034" max="1034" width="9" style="47"/>
    <col min="1035" max="1035" width="11" style="47" customWidth="1"/>
    <col min="1036" max="1036" width="17.88671875" style="47" bestFit="1" customWidth="1"/>
    <col min="1037" max="1280" width="9" style="47"/>
    <col min="1281" max="1281" width="7" style="47" customWidth="1"/>
    <col min="1282" max="1282" width="36.6640625" style="47" customWidth="1"/>
    <col min="1283" max="1283" width="9.5546875" style="47" customWidth="1"/>
    <col min="1284" max="1284" width="11.44140625" style="47" bestFit="1" customWidth="1"/>
    <col min="1285" max="1285" width="13.5546875" style="47" customWidth="1"/>
    <col min="1286" max="1286" width="10.6640625" style="47" customWidth="1"/>
    <col min="1287" max="1287" width="11" style="47" customWidth="1"/>
    <col min="1288" max="1288" width="10.5546875" style="47" customWidth="1"/>
    <col min="1289" max="1289" width="11" style="47" customWidth="1"/>
    <col min="1290" max="1290" width="9" style="47"/>
    <col min="1291" max="1291" width="11" style="47" customWidth="1"/>
    <col min="1292" max="1292" width="17.88671875" style="47" bestFit="1" customWidth="1"/>
    <col min="1293" max="1536" width="9" style="47"/>
    <col min="1537" max="1537" width="7" style="47" customWidth="1"/>
    <col min="1538" max="1538" width="36.6640625" style="47" customWidth="1"/>
    <col min="1539" max="1539" width="9.5546875" style="47" customWidth="1"/>
    <col min="1540" max="1540" width="11.44140625" style="47" bestFit="1" customWidth="1"/>
    <col min="1541" max="1541" width="13.5546875" style="47" customWidth="1"/>
    <col min="1542" max="1542" width="10.6640625" style="47" customWidth="1"/>
    <col min="1543" max="1543" width="11" style="47" customWidth="1"/>
    <col min="1544" max="1544" width="10.5546875" style="47" customWidth="1"/>
    <col min="1545" max="1545" width="11" style="47" customWidth="1"/>
    <col min="1546" max="1546" width="9" style="47"/>
    <col min="1547" max="1547" width="11" style="47" customWidth="1"/>
    <col min="1548" max="1548" width="17.88671875" style="47" bestFit="1" customWidth="1"/>
    <col min="1549" max="1792" width="9" style="47"/>
    <col min="1793" max="1793" width="7" style="47" customWidth="1"/>
    <col min="1794" max="1794" width="36.6640625" style="47" customWidth="1"/>
    <col min="1795" max="1795" width="9.5546875" style="47" customWidth="1"/>
    <col min="1796" max="1796" width="11.44140625" style="47" bestFit="1" customWidth="1"/>
    <col min="1797" max="1797" width="13.5546875" style="47" customWidth="1"/>
    <col min="1798" max="1798" width="10.6640625" style="47" customWidth="1"/>
    <col min="1799" max="1799" width="11" style="47" customWidth="1"/>
    <col min="1800" max="1800" width="10.5546875" style="47" customWidth="1"/>
    <col min="1801" max="1801" width="11" style="47" customWidth="1"/>
    <col min="1802" max="1802" width="9" style="47"/>
    <col min="1803" max="1803" width="11" style="47" customWidth="1"/>
    <col min="1804" max="1804" width="17.88671875" style="47" bestFit="1" customWidth="1"/>
    <col min="1805" max="2048" width="9" style="47"/>
    <col min="2049" max="2049" width="7" style="47" customWidth="1"/>
    <col min="2050" max="2050" width="36.6640625" style="47" customWidth="1"/>
    <col min="2051" max="2051" width="9.5546875" style="47" customWidth="1"/>
    <col min="2052" max="2052" width="11.44140625" style="47" bestFit="1" customWidth="1"/>
    <col min="2053" max="2053" width="13.5546875" style="47" customWidth="1"/>
    <col min="2054" max="2054" width="10.6640625" style="47" customWidth="1"/>
    <col min="2055" max="2055" width="11" style="47" customWidth="1"/>
    <col min="2056" max="2056" width="10.5546875" style="47" customWidth="1"/>
    <col min="2057" max="2057" width="11" style="47" customWidth="1"/>
    <col min="2058" max="2058" width="9" style="47"/>
    <col min="2059" max="2059" width="11" style="47" customWidth="1"/>
    <col min="2060" max="2060" width="17.88671875" style="47" bestFit="1" customWidth="1"/>
    <col min="2061" max="2304" width="9" style="47"/>
    <col min="2305" max="2305" width="7" style="47" customWidth="1"/>
    <col min="2306" max="2306" width="36.6640625" style="47" customWidth="1"/>
    <col min="2307" max="2307" width="9.5546875" style="47" customWidth="1"/>
    <col min="2308" max="2308" width="11.44140625" style="47" bestFit="1" customWidth="1"/>
    <col min="2309" max="2309" width="13.5546875" style="47" customWidth="1"/>
    <col min="2310" max="2310" width="10.6640625" style="47" customWidth="1"/>
    <col min="2311" max="2311" width="11" style="47" customWidth="1"/>
    <col min="2312" max="2312" width="10.5546875" style="47" customWidth="1"/>
    <col min="2313" max="2313" width="11" style="47" customWidth="1"/>
    <col min="2314" max="2314" width="9" style="47"/>
    <col min="2315" max="2315" width="11" style="47" customWidth="1"/>
    <col min="2316" max="2316" width="17.88671875" style="47" bestFit="1" customWidth="1"/>
    <col min="2317" max="2560" width="9" style="47"/>
    <col min="2561" max="2561" width="7" style="47" customWidth="1"/>
    <col min="2562" max="2562" width="36.6640625" style="47" customWidth="1"/>
    <col min="2563" max="2563" width="9.5546875" style="47" customWidth="1"/>
    <col min="2564" max="2564" width="11.44140625" style="47" bestFit="1" customWidth="1"/>
    <col min="2565" max="2565" width="13.5546875" style="47" customWidth="1"/>
    <col min="2566" max="2566" width="10.6640625" style="47" customWidth="1"/>
    <col min="2567" max="2567" width="11" style="47" customWidth="1"/>
    <col min="2568" max="2568" width="10.5546875" style="47" customWidth="1"/>
    <col min="2569" max="2569" width="11" style="47" customWidth="1"/>
    <col min="2570" max="2570" width="9" style="47"/>
    <col min="2571" max="2571" width="11" style="47" customWidth="1"/>
    <col min="2572" max="2572" width="17.88671875" style="47" bestFit="1" customWidth="1"/>
    <col min="2573" max="2816" width="9" style="47"/>
    <col min="2817" max="2817" width="7" style="47" customWidth="1"/>
    <col min="2818" max="2818" width="36.6640625" style="47" customWidth="1"/>
    <col min="2819" max="2819" width="9.5546875" style="47" customWidth="1"/>
    <col min="2820" max="2820" width="11.44140625" style="47" bestFit="1" customWidth="1"/>
    <col min="2821" max="2821" width="13.5546875" style="47" customWidth="1"/>
    <col min="2822" max="2822" width="10.6640625" style="47" customWidth="1"/>
    <col min="2823" max="2823" width="11" style="47" customWidth="1"/>
    <col min="2824" max="2824" width="10.5546875" style="47" customWidth="1"/>
    <col min="2825" max="2825" width="11" style="47" customWidth="1"/>
    <col min="2826" max="2826" width="9" style="47"/>
    <col min="2827" max="2827" width="11" style="47" customWidth="1"/>
    <col min="2828" max="2828" width="17.88671875" style="47" bestFit="1" customWidth="1"/>
    <col min="2829" max="3072" width="9" style="47"/>
    <col min="3073" max="3073" width="7" style="47" customWidth="1"/>
    <col min="3074" max="3074" width="36.6640625" style="47" customWidth="1"/>
    <col min="3075" max="3075" width="9.5546875" style="47" customWidth="1"/>
    <col min="3076" max="3076" width="11.44140625" style="47" bestFit="1" customWidth="1"/>
    <col min="3077" max="3077" width="13.5546875" style="47" customWidth="1"/>
    <col min="3078" max="3078" width="10.6640625" style="47" customWidth="1"/>
    <col min="3079" max="3079" width="11" style="47" customWidth="1"/>
    <col min="3080" max="3080" width="10.5546875" style="47" customWidth="1"/>
    <col min="3081" max="3081" width="11" style="47" customWidth="1"/>
    <col min="3082" max="3082" width="9" style="47"/>
    <col min="3083" max="3083" width="11" style="47" customWidth="1"/>
    <col min="3084" max="3084" width="17.88671875" style="47" bestFit="1" customWidth="1"/>
    <col min="3085" max="3328" width="9" style="47"/>
    <col min="3329" max="3329" width="7" style="47" customWidth="1"/>
    <col min="3330" max="3330" width="36.6640625" style="47" customWidth="1"/>
    <col min="3331" max="3331" width="9.5546875" style="47" customWidth="1"/>
    <col min="3332" max="3332" width="11.44140625" style="47" bestFit="1" customWidth="1"/>
    <col min="3333" max="3333" width="13.5546875" style="47" customWidth="1"/>
    <col min="3334" max="3334" width="10.6640625" style="47" customWidth="1"/>
    <col min="3335" max="3335" width="11" style="47" customWidth="1"/>
    <col min="3336" max="3336" width="10.5546875" style="47" customWidth="1"/>
    <col min="3337" max="3337" width="11" style="47" customWidth="1"/>
    <col min="3338" max="3338" width="9" style="47"/>
    <col min="3339" max="3339" width="11" style="47" customWidth="1"/>
    <col min="3340" max="3340" width="17.88671875" style="47" bestFit="1" customWidth="1"/>
    <col min="3341" max="3584" width="9" style="47"/>
    <col min="3585" max="3585" width="7" style="47" customWidth="1"/>
    <col min="3586" max="3586" width="36.6640625" style="47" customWidth="1"/>
    <col min="3587" max="3587" width="9.5546875" style="47" customWidth="1"/>
    <col min="3588" max="3588" width="11.44140625" style="47" bestFit="1" customWidth="1"/>
    <col min="3589" max="3589" width="13.5546875" style="47" customWidth="1"/>
    <col min="3590" max="3590" width="10.6640625" style="47" customWidth="1"/>
    <col min="3591" max="3591" width="11" style="47" customWidth="1"/>
    <col min="3592" max="3592" width="10.5546875" style="47" customWidth="1"/>
    <col min="3593" max="3593" width="11" style="47" customWidth="1"/>
    <col min="3594" max="3594" width="9" style="47"/>
    <col min="3595" max="3595" width="11" style="47" customWidth="1"/>
    <col min="3596" max="3596" width="17.88671875" style="47" bestFit="1" customWidth="1"/>
    <col min="3597" max="3840" width="9" style="47"/>
    <col min="3841" max="3841" width="7" style="47" customWidth="1"/>
    <col min="3842" max="3842" width="36.6640625" style="47" customWidth="1"/>
    <col min="3843" max="3843" width="9.5546875" style="47" customWidth="1"/>
    <col min="3844" max="3844" width="11.44140625" style="47" bestFit="1" customWidth="1"/>
    <col min="3845" max="3845" width="13.5546875" style="47" customWidth="1"/>
    <col min="3846" max="3846" width="10.6640625" style="47" customWidth="1"/>
    <col min="3847" max="3847" width="11" style="47" customWidth="1"/>
    <col min="3848" max="3848" width="10.5546875" style="47" customWidth="1"/>
    <col min="3849" max="3849" width="11" style="47" customWidth="1"/>
    <col min="3850" max="3850" width="9" style="47"/>
    <col min="3851" max="3851" width="11" style="47" customWidth="1"/>
    <col min="3852" max="3852" width="17.88671875" style="47" bestFit="1" customWidth="1"/>
    <col min="3853" max="4096" width="9" style="47"/>
    <col min="4097" max="4097" width="7" style="47" customWidth="1"/>
    <col min="4098" max="4098" width="36.6640625" style="47" customWidth="1"/>
    <col min="4099" max="4099" width="9.5546875" style="47" customWidth="1"/>
    <col min="4100" max="4100" width="11.44140625" style="47" bestFit="1" customWidth="1"/>
    <col min="4101" max="4101" width="13.5546875" style="47" customWidth="1"/>
    <col min="4102" max="4102" width="10.6640625" style="47" customWidth="1"/>
    <col min="4103" max="4103" width="11" style="47" customWidth="1"/>
    <col min="4104" max="4104" width="10.5546875" style="47" customWidth="1"/>
    <col min="4105" max="4105" width="11" style="47" customWidth="1"/>
    <col min="4106" max="4106" width="9" style="47"/>
    <col min="4107" max="4107" width="11" style="47" customWidth="1"/>
    <col min="4108" max="4108" width="17.88671875" style="47" bestFit="1" customWidth="1"/>
    <col min="4109" max="4352" width="9" style="47"/>
    <col min="4353" max="4353" width="7" style="47" customWidth="1"/>
    <col min="4354" max="4354" width="36.6640625" style="47" customWidth="1"/>
    <col min="4355" max="4355" width="9.5546875" style="47" customWidth="1"/>
    <col min="4356" max="4356" width="11.44140625" style="47" bestFit="1" customWidth="1"/>
    <col min="4357" max="4357" width="13.5546875" style="47" customWidth="1"/>
    <col min="4358" max="4358" width="10.6640625" style="47" customWidth="1"/>
    <col min="4359" max="4359" width="11" style="47" customWidth="1"/>
    <col min="4360" max="4360" width="10.5546875" style="47" customWidth="1"/>
    <col min="4361" max="4361" width="11" style="47" customWidth="1"/>
    <col min="4362" max="4362" width="9" style="47"/>
    <col min="4363" max="4363" width="11" style="47" customWidth="1"/>
    <col min="4364" max="4364" width="17.88671875" style="47" bestFit="1" customWidth="1"/>
    <col min="4365" max="4608" width="9" style="47"/>
    <col min="4609" max="4609" width="7" style="47" customWidth="1"/>
    <col min="4610" max="4610" width="36.6640625" style="47" customWidth="1"/>
    <col min="4611" max="4611" width="9.5546875" style="47" customWidth="1"/>
    <col min="4612" max="4612" width="11.44140625" style="47" bestFit="1" customWidth="1"/>
    <col min="4613" max="4613" width="13.5546875" style="47" customWidth="1"/>
    <col min="4614" max="4614" width="10.6640625" style="47" customWidth="1"/>
    <col min="4615" max="4615" width="11" style="47" customWidth="1"/>
    <col min="4616" max="4616" width="10.5546875" style="47" customWidth="1"/>
    <col min="4617" max="4617" width="11" style="47" customWidth="1"/>
    <col min="4618" max="4618" width="9" style="47"/>
    <col min="4619" max="4619" width="11" style="47" customWidth="1"/>
    <col min="4620" max="4620" width="17.88671875" style="47" bestFit="1" customWidth="1"/>
    <col min="4621" max="4864" width="9" style="47"/>
    <col min="4865" max="4865" width="7" style="47" customWidth="1"/>
    <col min="4866" max="4866" width="36.6640625" style="47" customWidth="1"/>
    <col min="4867" max="4867" width="9.5546875" style="47" customWidth="1"/>
    <col min="4868" max="4868" width="11.44140625" style="47" bestFit="1" customWidth="1"/>
    <col min="4869" max="4869" width="13.5546875" style="47" customWidth="1"/>
    <col min="4870" max="4870" width="10.6640625" style="47" customWidth="1"/>
    <col min="4871" max="4871" width="11" style="47" customWidth="1"/>
    <col min="4872" max="4872" width="10.5546875" style="47" customWidth="1"/>
    <col min="4873" max="4873" width="11" style="47" customWidth="1"/>
    <col min="4874" max="4874" width="9" style="47"/>
    <col min="4875" max="4875" width="11" style="47" customWidth="1"/>
    <col min="4876" max="4876" width="17.88671875" style="47" bestFit="1" customWidth="1"/>
    <col min="4877" max="5120" width="9" style="47"/>
    <col min="5121" max="5121" width="7" style="47" customWidth="1"/>
    <col min="5122" max="5122" width="36.6640625" style="47" customWidth="1"/>
    <col min="5123" max="5123" width="9.5546875" style="47" customWidth="1"/>
    <col min="5124" max="5124" width="11.44140625" style="47" bestFit="1" customWidth="1"/>
    <col min="5125" max="5125" width="13.5546875" style="47" customWidth="1"/>
    <col min="5126" max="5126" width="10.6640625" style="47" customWidth="1"/>
    <col min="5127" max="5127" width="11" style="47" customWidth="1"/>
    <col min="5128" max="5128" width="10.5546875" style="47" customWidth="1"/>
    <col min="5129" max="5129" width="11" style="47" customWidth="1"/>
    <col min="5130" max="5130" width="9" style="47"/>
    <col min="5131" max="5131" width="11" style="47" customWidth="1"/>
    <col min="5132" max="5132" width="17.88671875" style="47" bestFit="1" customWidth="1"/>
    <col min="5133" max="5376" width="9" style="47"/>
    <col min="5377" max="5377" width="7" style="47" customWidth="1"/>
    <col min="5378" max="5378" width="36.6640625" style="47" customWidth="1"/>
    <col min="5379" max="5379" width="9.5546875" style="47" customWidth="1"/>
    <col min="5380" max="5380" width="11.44140625" style="47" bestFit="1" customWidth="1"/>
    <col min="5381" max="5381" width="13.5546875" style="47" customWidth="1"/>
    <col min="5382" max="5382" width="10.6640625" style="47" customWidth="1"/>
    <col min="5383" max="5383" width="11" style="47" customWidth="1"/>
    <col min="5384" max="5384" width="10.5546875" style="47" customWidth="1"/>
    <col min="5385" max="5385" width="11" style="47" customWidth="1"/>
    <col min="5386" max="5386" width="9" style="47"/>
    <col min="5387" max="5387" width="11" style="47" customWidth="1"/>
    <col min="5388" max="5388" width="17.88671875" style="47" bestFit="1" customWidth="1"/>
    <col min="5389" max="5632" width="9" style="47"/>
    <col min="5633" max="5633" width="7" style="47" customWidth="1"/>
    <col min="5634" max="5634" width="36.6640625" style="47" customWidth="1"/>
    <col min="5635" max="5635" width="9.5546875" style="47" customWidth="1"/>
    <col min="5636" max="5636" width="11.44140625" style="47" bestFit="1" customWidth="1"/>
    <col min="5637" max="5637" width="13.5546875" style="47" customWidth="1"/>
    <col min="5638" max="5638" width="10.6640625" style="47" customWidth="1"/>
    <col min="5639" max="5639" width="11" style="47" customWidth="1"/>
    <col min="5640" max="5640" width="10.5546875" style="47" customWidth="1"/>
    <col min="5641" max="5641" width="11" style="47" customWidth="1"/>
    <col min="5642" max="5642" width="9" style="47"/>
    <col min="5643" max="5643" width="11" style="47" customWidth="1"/>
    <col min="5644" max="5644" width="17.88671875" style="47" bestFit="1" customWidth="1"/>
    <col min="5645" max="5888" width="9" style="47"/>
    <col min="5889" max="5889" width="7" style="47" customWidth="1"/>
    <col min="5890" max="5890" width="36.6640625" style="47" customWidth="1"/>
    <col min="5891" max="5891" width="9.5546875" style="47" customWidth="1"/>
    <col min="5892" max="5892" width="11.44140625" style="47" bestFit="1" customWidth="1"/>
    <col min="5893" max="5893" width="13.5546875" style="47" customWidth="1"/>
    <col min="5894" max="5894" width="10.6640625" style="47" customWidth="1"/>
    <col min="5895" max="5895" width="11" style="47" customWidth="1"/>
    <col min="5896" max="5896" width="10.5546875" style="47" customWidth="1"/>
    <col min="5897" max="5897" width="11" style="47" customWidth="1"/>
    <col min="5898" max="5898" width="9" style="47"/>
    <col min="5899" max="5899" width="11" style="47" customWidth="1"/>
    <col min="5900" max="5900" width="17.88671875" style="47" bestFit="1" customWidth="1"/>
    <col min="5901" max="6144" width="9" style="47"/>
    <col min="6145" max="6145" width="7" style="47" customWidth="1"/>
    <col min="6146" max="6146" width="36.6640625" style="47" customWidth="1"/>
    <col min="6147" max="6147" width="9.5546875" style="47" customWidth="1"/>
    <col min="6148" max="6148" width="11.44140625" style="47" bestFit="1" customWidth="1"/>
    <col min="6149" max="6149" width="13.5546875" style="47" customWidth="1"/>
    <col min="6150" max="6150" width="10.6640625" style="47" customWidth="1"/>
    <col min="6151" max="6151" width="11" style="47" customWidth="1"/>
    <col min="6152" max="6152" width="10.5546875" style="47" customWidth="1"/>
    <col min="6153" max="6153" width="11" style="47" customWidth="1"/>
    <col min="6154" max="6154" width="9" style="47"/>
    <col min="6155" max="6155" width="11" style="47" customWidth="1"/>
    <col min="6156" max="6156" width="17.88671875" style="47" bestFit="1" customWidth="1"/>
    <col min="6157" max="6400" width="9" style="47"/>
    <col min="6401" max="6401" width="7" style="47" customWidth="1"/>
    <col min="6402" max="6402" width="36.6640625" style="47" customWidth="1"/>
    <col min="6403" max="6403" width="9.5546875" style="47" customWidth="1"/>
    <col min="6404" max="6404" width="11.44140625" style="47" bestFit="1" customWidth="1"/>
    <col min="6405" max="6405" width="13.5546875" style="47" customWidth="1"/>
    <col min="6406" max="6406" width="10.6640625" style="47" customWidth="1"/>
    <col min="6407" max="6407" width="11" style="47" customWidth="1"/>
    <col min="6408" max="6408" width="10.5546875" style="47" customWidth="1"/>
    <col min="6409" max="6409" width="11" style="47" customWidth="1"/>
    <col min="6410" max="6410" width="9" style="47"/>
    <col min="6411" max="6411" width="11" style="47" customWidth="1"/>
    <col min="6412" max="6412" width="17.88671875" style="47" bestFit="1" customWidth="1"/>
    <col min="6413" max="6656" width="9" style="47"/>
    <col min="6657" max="6657" width="7" style="47" customWidth="1"/>
    <col min="6658" max="6658" width="36.6640625" style="47" customWidth="1"/>
    <col min="6659" max="6659" width="9.5546875" style="47" customWidth="1"/>
    <col min="6660" max="6660" width="11.44140625" style="47" bestFit="1" customWidth="1"/>
    <col min="6661" max="6661" width="13.5546875" style="47" customWidth="1"/>
    <col min="6662" max="6662" width="10.6640625" style="47" customWidth="1"/>
    <col min="6663" max="6663" width="11" style="47" customWidth="1"/>
    <col min="6664" max="6664" width="10.5546875" style="47" customWidth="1"/>
    <col min="6665" max="6665" width="11" style="47" customWidth="1"/>
    <col min="6666" max="6666" width="9" style="47"/>
    <col min="6667" max="6667" width="11" style="47" customWidth="1"/>
    <col min="6668" max="6668" width="17.88671875" style="47" bestFit="1" customWidth="1"/>
    <col min="6669" max="6912" width="9" style="47"/>
    <col min="6913" max="6913" width="7" style="47" customWidth="1"/>
    <col min="6914" max="6914" width="36.6640625" style="47" customWidth="1"/>
    <col min="6915" max="6915" width="9.5546875" style="47" customWidth="1"/>
    <col min="6916" max="6916" width="11.44140625" style="47" bestFit="1" customWidth="1"/>
    <col min="6917" max="6917" width="13.5546875" style="47" customWidth="1"/>
    <col min="6918" max="6918" width="10.6640625" style="47" customWidth="1"/>
    <col min="6919" max="6919" width="11" style="47" customWidth="1"/>
    <col min="6920" max="6920" width="10.5546875" style="47" customWidth="1"/>
    <col min="6921" max="6921" width="11" style="47" customWidth="1"/>
    <col min="6922" max="6922" width="9" style="47"/>
    <col min="6923" max="6923" width="11" style="47" customWidth="1"/>
    <col min="6924" max="6924" width="17.88671875" style="47" bestFit="1" customWidth="1"/>
    <col min="6925" max="7168" width="9" style="47"/>
    <col min="7169" max="7169" width="7" style="47" customWidth="1"/>
    <col min="7170" max="7170" width="36.6640625" style="47" customWidth="1"/>
    <col min="7171" max="7171" width="9.5546875" style="47" customWidth="1"/>
    <col min="7172" max="7172" width="11.44140625" style="47" bestFit="1" customWidth="1"/>
    <col min="7173" max="7173" width="13.5546875" style="47" customWidth="1"/>
    <col min="7174" max="7174" width="10.6640625" style="47" customWidth="1"/>
    <col min="7175" max="7175" width="11" style="47" customWidth="1"/>
    <col min="7176" max="7176" width="10.5546875" style="47" customWidth="1"/>
    <col min="7177" max="7177" width="11" style="47" customWidth="1"/>
    <col min="7178" max="7178" width="9" style="47"/>
    <col min="7179" max="7179" width="11" style="47" customWidth="1"/>
    <col min="7180" max="7180" width="17.88671875" style="47" bestFit="1" customWidth="1"/>
    <col min="7181" max="7424" width="9" style="47"/>
    <col min="7425" max="7425" width="7" style="47" customWidth="1"/>
    <col min="7426" max="7426" width="36.6640625" style="47" customWidth="1"/>
    <col min="7427" max="7427" width="9.5546875" style="47" customWidth="1"/>
    <col min="7428" max="7428" width="11.44140625" style="47" bestFit="1" customWidth="1"/>
    <col min="7429" max="7429" width="13.5546875" style="47" customWidth="1"/>
    <col min="7430" max="7430" width="10.6640625" style="47" customWidth="1"/>
    <col min="7431" max="7431" width="11" style="47" customWidth="1"/>
    <col min="7432" max="7432" width="10.5546875" style="47" customWidth="1"/>
    <col min="7433" max="7433" width="11" style="47" customWidth="1"/>
    <col min="7434" max="7434" width="9" style="47"/>
    <col min="7435" max="7435" width="11" style="47" customWidth="1"/>
    <col min="7436" max="7436" width="17.88671875" style="47" bestFit="1" customWidth="1"/>
    <col min="7437" max="7680" width="9" style="47"/>
    <col min="7681" max="7681" width="7" style="47" customWidth="1"/>
    <col min="7682" max="7682" width="36.6640625" style="47" customWidth="1"/>
    <col min="7683" max="7683" width="9.5546875" style="47" customWidth="1"/>
    <col min="7684" max="7684" width="11.44140625" style="47" bestFit="1" customWidth="1"/>
    <col min="7685" max="7685" width="13.5546875" style="47" customWidth="1"/>
    <col min="7686" max="7686" width="10.6640625" style="47" customWidth="1"/>
    <col min="7687" max="7687" width="11" style="47" customWidth="1"/>
    <col min="7688" max="7688" width="10.5546875" style="47" customWidth="1"/>
    <col min="7689" max="7689" width="11" style="47" customWidth="1"/>
    <col min="7690" max="7690" width="9" style="47"/>
    <col min="7691" max="7691" width="11" style="47" customWidth="1"/>
    <col min="7692" max="7692" width="17.88671875" style="47" bestFit="1" customWidth="1"/>
    <col min="7693" max="7936" width="9" style="47"/>
    <col min="7937" max="7937" width="7" style="47" customWidth="1"/>
    <col min="7938" max="7938" width="36.6640625" style="47" customWidth="1"/>
    <col min="7939" max="7939" width="9.5546875" style="47" customWidth="1"/>
    <col min="7940" max="7940" width="11.44140625" style="47" bestFit="1" customWidth="1"/>
    <col min="7941" max="7941" width="13.5546875" style="47" customWidth="1"/>
    <col min="7942" max="7942" width="10.6640625" style="47" customWidth="1"/>
    <col min="7943" max="7943" width="11" style="47" customWidth="1"/>
    <col min="7944" max="7944" width="10.5546875" style="47" customWidth="1"/>
    <col min="7945" max="7945" width="11" style="47" customWidth="1"/>
    <col min="7946" max="7946" width="9" style="47"/>
    <col min="7947" max="7947" width="11" style="47" customWidth="1"/>
    <col min="7948" max="7948" width="17.88671875" style="47" bestFit="1" customWidth="1"/>
    <col min="7949" max="8192" width="9" style="47"/>
    <col min="8193" max="8193" width="7" style="47" customWidth="1"/>
    <col min="8194" max="8194" width="36.6640625" style="47" customWidth="1"/>
    <col min="8195" max="8195" width="9.5546875" style="47" customWidth="1"/>
    <col min="8196" max="8196" width="11.44140625" style="47" bestFit="1" customWidth="1"/>
    <col min="8197" max="8197" width="13.5546875" style="47" customWidth="1"/>
    <col min="8198" max="8198" width="10.6640625" style="47" customWidth="1"/>
    <col min="8199" max="8199" width="11" style="47" customWidth="1"/>
    <col min="8200" max="8200" width="10.5546875" style="47" customWidth="1"/>
    <col min="8201" max="8201" width="11" style="47" customWidth="1"/>
    <col min="8202" max="8202" width="9" style="47"/>
    <col min="8203" max="8203" width="11" style="47" customWidth="1"/>
    <col min="8204" max="8204" width="17.88671875" style="47" bestFit="1" customWidth="1"/>
    <col min="8205" max="8448" width="9" style="47"/>
    <col min="8449" max="8449" width="7" style="47" customWidth="1"/>
    <col min="8450" max="8450" width="36.6640625" style="47" customWidth="1"/>
    <col min="8451" max="8451" width="9.5546875" style="47" customWidth="1"/>
    <col min="8452" max="8452" width="11.44140625" style="47" bestFit="1" customWidth="1"/>
    <col min="8453" max="8453" width="13.5546875" style="47" customWidth="1"/>
    <col min="8454" max="8454" width="10.6640625" style="47" customWidth="1"/>
    <col min="8455" max="8455" width="11" style="47" customWidth="1"/>
    <col min="8456" max="8456" width="10.5546875" style="47" customWidth="1"/>
    <col min="8457" max="8457" width="11" style="47" customWidth="1"/>
    <col min="8458" max="8458" width="9" style="47"/>
    <col min="8459" max="8459" width="11" style="47" customWidth="1"/>
    <col min="8460" max="8460" width="17.88671875" style="47" bestFit="1" customWidth="1"/>
    <col min="8461" max="8704" width="9" style="47"/>
    <col min="8705" max="8705" width="7" style="47" customWidth="1"/>
    <col min="8706" max="8706" width="36.6640625" style="47" customWidth="1"/>
    <col min="8707" max="8707" width="9.5546875" style="47" customWidth="1"/>
    <col min="8708" max="8708" width="11.44140625" style="47" bestFit="1" customWidth="1"/>
    <col min="8709" max="8709" width="13.5546875" style="47" customWidth="1"/>
    <col min="8710" max="8710" width="10.6640625" style="47" customWidth="1"/>
    <col min="8711" max="8711" width="11" style="47" customWidth="1"/>
    <col min="8712" max="8712" width="10.5546875" style="47" customWidth="1"/>
    <col min="8713" max="8713" width="11" style="47" customWidth="1"/>
    <col min="8714" max="8714" width="9" style="47"/>
    <col min="8715" max="8715" width="11" style="47" customWidth="1"/>
    <col min="8716" max="8716" width="17.88671875" style="47" bestFit="1" customWidth="1"/>
    <col min="8717" max="8960" width="9" style="47"/>
    <col min="8961" max="8961" width="7" style="47" customWidth="1"/>
    <col min="8962" max="8962" width="36.6640625" style="47" customWidth="1"/>
    <col min="8963" max="8963" width="9.5546875" style="47" customWidth="1"/>
    <col min="8964" max="8964" width="11.44140625" style="47" bestFit="1" customWidth="1"/>
    <col min="8965" max="8965" width="13.5546875" style="47" customWidth="1"/>
    <col min="8966" max="8966" width="10.6640625" style="47" customWidth="1"/>
    <col min="8967" max="8967" width="11" style="47" customWidth="1"/>
    <col min="8968" max="8968" width="10.5546875" style="47" customWidth="1"/>
    <col min="8969" max="8969" width="11" style="47" customWidth="1"/>
    <col min="8970" max="8970" width="9" style="47"/>
    <col min="8971" max="8971" width="11" style="47" customWidth="1"/>
    <col min="8972" max="8972" width="17.88671875" style="47" bestFit="1" customWidth="1"/>
    <col min="8973" max="9216" width="9" style="47"/>
    <col min="9217" max="9217" width="7" style="47" customWidth="1"/>
    <col min="9218" max="9218" width="36.6640625" style="47" customWidth="1"/>
    <col min="9219" max="9219" width="9.5546875" style="47" customWidth="1"/>
    <col min="9220" max="9220" width="11.44140625" style="47" bestFit="1" customWidth="1"/>
    <col min="9221" max="9221" width="13.5546875" style="47" customWidth="1"/>
    <col min="9222" max="9222" width="10.6640625" style="47" customWidth="1"/>
    <col min="9223" max="9223" width="11" style="47" customWidth="1"/>
    <col min="9224" max="9224" width="10.5546875" style="47" customWidth="1"/>
    <col min="9225" max="9225" width="11" style="47" customWidth="1"/>
    <col min="9226" max="9226" width="9" style="47"/>
    <col min="9227" max="9227" width="11" style="47" customWidth="1"/>
    <col min="9228" max="9228" width="17.88671875" style="47" bestFit="1" customWidth="1"/>
    <col min="9229" max="9472" width="9" style="47"/>
    <col min="9473" max="9473" width="7" style="47" customWidth="1"/>
    <col min="9474" max="9474" width="36.6640625" style="47" customWidth="1"/>
    <col min="9475" max="9475" width="9.5546875" style="47" customWidth="1"/>
    <col min="9476" max="9476" width="11.44140625" style="47" bestFit="1" customWidth="1"/>
    <col min="9477" max="9477" width="13.5546875" style="47" customWidth="1"/>
    <col min="9478" max="9478" width="10.6640625" style="47" customWidth="1"/>
    <col min="9479" max="9479" width="11" style="47" customWidth="1"/>
    <col min="9480" max="9480" width="10.5546875" style="47" customWidth="1"/>
    <col min="9481" max="9481" width="11" style="47" customWidth="1"/>
    <col min="9482" max="9482" width="9" style="47"/>
    <col min="9483" max="9483" width="11" style="47" customWidth="1"/>
    <col min="9484" max="9484" width="17.88671875" style="47" bestFit="1" customWidth="1"/>
    <col min="9485" max="9728" width="9" style="47"/>
    <col min="9729" max="9729" width="7" style="47" customWidth="1"/>
    <col min="9730" max="9730" width="36.6640625" style="47" customWidth="1"/>
    <col min="9731" max="9731" width="9.5546875" style="47" customWidth="1"/>
    <col min="9732" max="9732" width="11.44140625" style="47" bestFit="1" customWidth="1"/>
    <col min="9733" max="9733" width="13.5546875" style="47" customWidth="1"/>
    <col min="9734" max="9734" width="10.6640625" style="47" customWidth="1"/>
    <col min="9735" max="9735" width="11" style="47" customWidth="1"/>
    <col min="9736" max="9736" width="10.5546875" style="47" customWidth="1"/>
    <col min="9737" max="9737" width="11" style="47" customWidth="1"/>
    <col min="9738" max="9738" width="9" style="47"/>
    <col min="9739" max="9739" width="11" style="47" customWidth="1"/>
    <col min="9740" max="9740" width="17.88671875" style="47" bestFit="1" customWidth="1"/>
    <col min="9741" max="9984" width="9" style="47"/>
    <col min="9985" max="9985" width="7" style="47" customWidth="1"/>
    <col min="9986" max="9986" width="36.6640625" style="47" customWidth="1"/>
    <col min="9987" max="9987" width="9.5546875" style="47" customWidth="1"/>
    <col min="9988" max="9988" width="11.44140625" style="47" bestFit="1" customWidth="1"/>
    <col min="9989" max="9989" width="13.5546875" style="47" customWidth="1"/>
    <col min="9990" max="9990" width="10.6640625" style="47" customWidth="1"/>
    <col min="9991" max="9991" width="11" style="47" customWidth="1"/>
    <col min="9992" max="9992" width="10.5546875" style="47" customWidth="1"/>
    <col min="9993" max="9993" width="11" style="47" customWidth="1"/>
    <col min="9994" max="9994" width="9" style="47"/>
    <col min="9995" max="9995" width="11" style="47" customWidth="1"/>
    <col min="9996" max="9996" width="17.88671875" style="47" bestFit="1" customWidth="1"/>
    <col min="9997" max="10240" width="9" style="47"/>
    <col min="10241" max="10241" width="7" style="47" customWidth="1"/>
    <col min="10242" max="10242" width="36.6640625" style="47" customWidth="1"/>
    <col min="10243" max="10243" width="9.5546875" style="47" customWidth="1"/>
    <col min="10244" max="10244" width="11.44140625" style="47" bestFit="1" customWidth="1"/>
    <col min="10245" max="10245" width="13.5546875" style="47" customWidth="1"/>
    <col min="10246" max="10246" width="10.6640625" style="47" customWidth="1"/>
    <col min="10247" max="10247" width="11" style="47" customWidth="1"/>
    <col min="10248" max="10248" width="10.5546875" style="47" customWidth="1"/>
    <col min="10249" max="10249" width="11" style="47" customWidth="1"/>
    <col min="10250" max="10250" width="9" style="47"/>
    <col min="10251" max="10251" width="11" style="47" customWidth="1"/>
    <col min="10252" max="10252" width="17.88671875" style="47" bestFit="1" customWidth="1"/>
    <col min="10253" max="10496" width="9" style="47"/>
    <col min="10497" max="10497" width="7" style="47" customWidth="1"/>
    <col min="10498" max="10498" width="36.6640625" style="47" customWidth="1"/>
    <col min="10499" max="10499" width="9.5546875" style="47" customWidth="1"/>
    <col min="10500" max="10500" width="11.44140625" style="47" bestFit="1" customWidth="1"/>
    <col min="10501" max="10501" width="13.5546875" style="47" customWidth="1"/>
    <col min="10502" max="10502" width="10.6640625" style="47" customWidth="1"/>
    <col min="10503" max="10503" width="11" style="47" customWidth="1"/>
    <col min="10504" max="10504" width="10.5546875" style="47" customWidth="1"/>
    <col min="10505" max="10505" width="11" style="47" customWidth="1"/>
    <col min="10506" max="10506" width="9" style="47"/>
    <col min="10507" max="10507" width="11" style="47" customWidth="1"/>
    <col min="10508" max="10508" width="17.88671875" style="47" bestFit="1" customWidth="1"/>
    <col min="10509" max="10752" width="9" style="47"/>
    <col min="10753" max="10753" width="7" style="47" customWidth="1"/>
    <col min="10754" max="10754" width="36.6640625" style="47" customWidth="1"/>
    <col min="10755" max="10755" width="9.5546875" style="47" customWidth="1"/>
    <col min="10756" max="10756" width="11.44140625" style="47" bestFit="1" customWidth="1"/>
    <col min="10757" max="10757" width="13.5546875" style="47" customWidth="1"/>
    <col min="10758" max="10758" width="10.6640625" style="47" customWidth="1"/>
    <col min="10759" max="10759" width="11" style="47" customWidth="1"/>
    <col min="10760" max="10760" width="10.5546875" style="47" customWidth="1"/>
    <col min="10761" max="10761" width="11" style="47" customWidth="1"/>
    <col min="10762" max="10762" width="9" style="47"/>
    <col min="10763" max="10763" width="11" style="47" customWidth="1"/>
    <col min="10764" max="10764" width="17.88671875" style="47" bestFit="1" customWidth="1"/>
    <col min="10765" max="11008" width="9" style="47"/>
    <col min="11009" max="11009" width="7" style="47" customWidth="1"/>
    <col min="11010" max="11010" width="36.6640625" style="47" customWidth="1"/>
    <col min="11011" max="11011" width="9.5546875" style="47" customWidth="1"/>
    <col min="11012" max="11012" width="11.44140625" style="47" bestFit="1" customWidth="1"/>
    <col min="11013" max="11013" width="13.5546875" style="47" customWidth="1"/>
    <col min="11014" max="11014" width="10.6640625" style="47" customWidth="1"/>
    <col min="11015" max="11015" width="11" style="47" customWidth="1"/>
    <col min="11016" max="11016" width="10.5546875" style="47" customWidth="1"/>
    <col min="11017" max="11017" width="11" style="47" customWidth="1"/>
    <col min="11018" max="11018" width="9" style="47"/>
    <col min="11019" max="11019" width="11" style="47" customWidth="1"/>
    <col min="11020" max="11020" width="17.88671875" style="47" bestFit="1" customWidth="1"/>
    <col min="11021" max="11264" width="9" style="47"/>
    <col min="11265" max="11265" width="7" style="47" customWidth="1"/>
    <col min="11266" max="11266" width="36.6640625" style="47" customWidth="1"/>
    <col min="11267" max="11267" width="9.5546875" style="47" customWidth="1"/>
    <col min="11268" max="11268" width="11.44140625" style="47" bestFit="1" customWidth="1"/>
    <col min="11269" max="11269" width="13.5546875" style="47" customWidth="1"/>
    <col min="11270" max="11270" width="10.6640625" style="47" customWidth="1"/>
    <col min="11271" max="11271" width="11" style="47" customWidth="1"/>
    <col min="11272" max="11272" width="10.5546875" style="47" customWidth="1"/>
    <col min="11273" max="11273" width="11" style="47" customWidth="1"/>
    <col min="11274" max="11274" width="9" style="47"/>
    <col min="11275" max="11275" width="11" style="47" customWidth="1"/>
    <col min="11276" max="11276" width="17.88671875" style="47" bestFit="1" customWidth="1"/>
    <col min="11277" max="11520" width="9" style="47"/>
    <col min="11521" max="11521" width="7" style="47" customWidth="1"/>
    <col min="11522" max="11522" width="36.6640625" style="47" customWidth="1"/>
    <col min="11523" max="11523" width="9.5546875" style="47" customWidth="1"/>
    <col min="11524" max="11524" width="11.44140625" style="47" bestFit="1" customWidth="1"/>
    <col min="11525" max="11525" width="13.5546875" style="47" customWidth="1"/>
    <col min="11526" max="11526" width="10.6640625" style="47" customWidth="1"/>
    <col min="11527" max="11527" width="11" style="47" customWidth="1"/>
    <col min="11528" max="11528" width="10.5546875" style="47" customWidth="1"/>
    <col min="11529" max="11529" width="11" style="47" customWidth="1"/>
    <col min="11530" max="11530" width="9" style="47"/>
    <col min="11531" max="11531" width="11" style="47" customWidth="1"/>
    <col min="11532" max="11532" width="17.88671875" style="47" bestFit="1" customWidth="1"/>
    <col min="11533" max="11776" width="9" style="47"/>
    <col min="11777" max="11777" width="7" style="47" customWidth="1"/>
    <col min="11778" max="11778" width="36.6640625" style="47" customWidth="1"/>
    <col min="11779" max="11779" width="9.5546875" style="47" customWidth="1"/>
    <col min="11780" max="11780" width="11.44140625" style="47" bestFit="1" customWidth="1"/>
    <col min="11781" max="11781" width="13.5546875" style="47" customWidth="1"/>
    <col min="11782" max="11782" width="10.6640625" style="47" customWidth="1"/>
    <col min="11783" max="11783" width="11" style="47" customWidth="1"/>
    <col min="11784" max="11784" width="10.5546875" style="47" customWidth="1"/>
    <col min="11785" max="11785" width="11" style="47" customWidth="1"/>
    <col min="11786" max="11786" width="9" style="47"/>
    <col min="11787" max="11787" width="11" style="47" customWidth="1"/>
    <col min="11788" max="11788" width="17.88671875" style="47" bestFit="1" customWidth="1"/>
    <col min="11789" max="12032" width="9" style="47"/>
    <col min="12033" max="12033" width="7" style="47" customWidth="1"/>
    <col min="12034" max="12034" width="36.6640625" style="47" customWidth="1"/>
    <col min="12035" max="12035" width="9.5546875" style="47" customWidth="1"/>
    <col min="12036" max="12036" width="11.44140625" style="47" bestFit="1" customWidth="1"/>
    <col min="12037" max="12037" width="13.5546875" style="47" customWidth="1"/>
    <col min="12038" max="12038" width="10.6640625" style="47" customWidth="1"/>
    <col min="12039" max="12039" width="11" style="47" customWidth="1"/>
    <col min="12040" max="12040" width="10.5546875" style="47" customWidth="1"/>
    <col min="12041" max="12041" width="11" style="47" customWidth="1"/>
    <col min="12042" max="12042" width="9" style="47"/>
    <col min="12043" max="12043" width="11" style="47" customWidth="1"/>
    <col min="12044" max="12044" width="17.88671875" style="47" bestFit="1" customWidth="1"/>
    <col min="12045" max="12288" width="9" style="47"/>
    <col min="12289" max="12289" width="7" style="47" customWidth="1"/>
    <col min="12290" max="12290" width="36.6640625" style="47" customWidth="1"/>
    <col min="12291" max="12291" width="9.5546875" style="47" customWidth="1"/>
    <col min="12292" max="12292" width="11.44140625" style="47" bestFit="1" customWidth="1"/>
    <col min="12293" max="12293" width="13.5546875" style="47" customWidth="1"/>
    <col min="12294" max="12294" width="10.6640625" style="47" customWidth="1"/>
    <col min="12295" max="12295" width="11" style="47" customWidth="1"/>
    <col min="12296" max="12296" width="10.5546875" style="47" customWidth="1"/>
    <col min="12297" max="12297" width="11" style="47" customWidth="1"/>
    <col min="12298" max="12298" width="9" style="47"/>
    <col min="12299" max="12299" width="11" style="47" customWidth="1"/>
    <col min="12300" max="12300" width="17.88671875" style="47" bestFit="1" customWidth="1"/>
    <col min="12301" max="12544" width="9" style="47"/>
    <col min="12545" max="12545" width="7" style="47" customWidth="1"/>
    <col min="12546" max="12546" width="36.6640625" style="47" customWidth="1"/>
    <col min="12547" max="12547" width="9.5546875" style="47" customWidth="1"/>
    <col min="12548" max="12548" width="11.44140625" style="47" bestFit="1" customWidth="1"/>
    <col min="12549" max="12549" width="13.5546875" style="47" customWidth="1"/>
    <col min="12550" max="12550" width="10.6640625" style="47" customWidth="1"/>
    <col min="12551" max="12551" width="11" style="47" customWidth="1"/>
    <col min="12552" max="12552" width="10.5546875" style="47" customWidth="1"/>
    <col min="12553" max="12553" width="11" style="47" customWidth="1"/>
    <col min="12554" max="12554" width="9" style="47"/>
    <col min="12555" max="12555" width="11" style="47" customWidth="1"/>
    <col min="12556" max="12556" width="17.88671875" style="47" bestFit="1" customWidth="1"/>
    <col min="12557" max="12800" width="9" style="47"/>
    <col min="12801" max="12801" width="7" style="47" customWidth="1"/>
    <col min="12802" max="12802" width="36.6640625" style="47" customWidth="1"/>
    <col min="12803" max="12803" width="9.5546875" style="47" customWidth="1"/>
    <col min="12804" max="12804" width="11.44140625" style="47" bestFit="1" customWidth="1"/>
    <col min="12805" max="12805" width="13.5546875" style="47" customWidth="1"/>
    <col min="12806" max="12806" width="10.6640625" style="47" customWidth="1"/>
    <col min="12807" max="12807" width="11" style="47" customWidth="1"/>
    <col min="12808" max="12808" width="10.5546875" style="47" customWidth="1"/>
    <col min="12809" max="12809" width="11" style="47" customWidth="1"/>
    <col min="12810" max="12810" width="9" style="47"/>
    <col min="12811" max="12811" width="11" style="47" customWidth="1"/>
    <col min="12812" max="12812" width="17.88671875" style="47" bestFit="1" customWidth="1"/>
    <col min="12813" max="13056" width="9" style="47"/>
    <col min="13057" max="13057" width="7" style="47" customWidth="1"/>
    <col min="13058" max="13058" width="36.6640625" style="47" customWidth="1"/>
    <col min="13059" max="13059" width="9.5546875" style="47" customWidth="1"/>
    <col min="13060" max="13060" width="11.44140625" style="47" bestFit="1" customWidth="1"/>
    <col min="13061" max="13061" width="13.5546875" style="47" customWidth="1"/>
    <col min="13062" max="13062" width="10.6640625" style="47" customWidth="1"/>
    <col min="13063" max="13063" width="11" style="47" customWidth="1"/>
    <col min="13064" max="13064" width="10.5546875" style="47" customWidth="1"/>
    <col min="13065" max="13065" width="11" style="47" customWidth="1"/>
    <col min="13066" max="13066" width="9" style="47"/>
    <col min="13067" max="13067" width="11" style="47" customWidth="1"/>
    <col min="13068" max="13068" width="17.88671875" style="47" bestFit="1" customWidth="1"/>
    <col min="13069" max="13312" width="9" style="47"/>
    <col min="13313" max="13313" width="7" style="47" customWidth="1"/>
    <col min="13314" max="13314" width="36.6640625" style="47" customWidth="1"/>
    <col min="13315" max="13315" width="9.5546875" style="47" customWidth="1"/>
    <col min="13316" max="13316" width="11.44140625" style="47" bestFit="1" customWidth="1"/>
    <col min="13317" max="13317" width="13.5546875" style="47" customWidth="1"/>
    <col min="13318" max="13318" width="10.6640625" style="47" customWidth="1"/>
    <col min="13319" max="13319" width="11" style="47" customWidth="1"/>
    <col min="13320" max="13320" width="10.5546875" style="47" customWidth="1"/>
    <col min="13321" max="13321" width="11" style="47" customWidth="1"/>
    <col min="13322" max="13322" width="9" style="47"/>
    <col min="13323" max="13323" width="11" style="47" customWidth="1"/>
    <col min="13324" max="13324" width="17.88671875" style="47" bestFit="1" customWidth="1"/>
    <col min="13325" max="13568" width="9" style="47"/>
    <col min="13569" max="13569" width="7" style="47" customWidth="1"/>
    <col min="13570" max="13570" width="36.6640625" style="47" customWidth="1"/>
    <col min="13571" max="13571" width="9.5546875" style="47" customWidth="1"/>
    <col min="13572" max="13572" width="11.44140625" style="47" bestFit="1" customWidth="1"/>
    <col min="13573" max="13573" width="13.5546875" style="47" customWidth="1"/>
    <col min="13574" max="13574" width="10.6640625" style="47" customWidth="1"/>
    <col min="13575" max="13575" width="11" style="47" customWidth="1"/>
    <col min="13576" max="13576" width="10.5546875" style="47" customWidth="1"/>
    <col min="13577" max="13577" width="11" style="47" customWidth="1"/>
    <col min="13578" max="13578" width="9" style="47"/>
    <col min="13579" max="13579" width="11" style="47" customWidth="1"/>
    <col min="13580" max="13580" width="17.88671875" style="47" bestFit="1" customWidth="1"/>
    <col min="13581" max="13824" width="9" style="47"/>
    <col min="13825" max="13825" width="7" style="47" customWidth="1"/>
    <col min="13826" max="13826" width="36.6640625" style="47" customWidth="1"/>
    <col min="13827" max="13827" width="9.5546875" style="47" customWidth="1"/>
    <col min="13828" max="13828" width="11.44140625" style="47" bestFit="1" customWidth="1"/>
    <col min="13829" max="13829" width="13.5546875" style="47" customWidth="1"/>
    <col min="13830" max="13830" width="10.6640625" style="47" customWidth="1"/>
    <col min="13831" max="13831" width="11" style="47" customWidth="1"/>
    <col min="13832" max="13832" width="10.5546875" style="47" customWidth="1"/>
    <col min="13833" max="13833" width="11" style="47" customWidth="1"/>
    <col min="13834" max="13834" width="9" style="47"/>
    <col min="13835" max="13835" width="11" style="47" customWidth="1"/>
    <col min="13836" max="13836" width="17.88671875" style="47" bestFit="1" customWidth="1"/>
    <col min="13837" max="14080" width="9" style="47"/>
    <col min="14081" max="14081" width="7" style="47" customWidth="1"/>
    <col min="14082" max="14082" width="36.6640625" style="47" customWidth="1"/>
    <col min="14083" max="14083" width="9.5546875" style="47" customWidth="1"/>
    <col min="14084" max="14084" width="11.44140625" style="47" bestFit="1" customWidth="1"/>
    <col min="14085" max="14085" width="13.5546875" style="47" customWidth="1"/>
    <col min="14086" max="14086" width="10.6640625" style="47" customWidth="1"/>
    <col min="14087" max="14087" width="11" style="47" customWidth="1"/>
    <col min="14088" max="14088" width="10.5546875" style="47" customWidth="1"/>
    <col min="14089" max="14089" width="11" style="47" customWidth="1"/>
    <col min="14090" max="14090" width="9" style="47"/>
    <col min="14091" max="14091" width="11" style="47" customWidth="1"/>
    <col min="14092" max="14092" width="17.88671875" style="47" bestFit="1" customWidth="1"/>
    <col min="14093" max="14336" width="9" style="47"/>
    <col min="14337" max="14337" width="7" style="47" customWidth="1"/>
    <col min="14338" max="14338" width="36.6640625" style="47" customWidth="1"/>
    <col min="14339" max="14339" width="9.5546875" style="47" customWidth="1"/>
    <col min="14340" max="14340" width="11.44140625" style="47" bestFit="1" customWidth="1"/>
    <col min="14341" max="14341" width="13.5546875" style="47" customWidth="1"/>
    <col min="14342" max="14342" width="10.6640625" style="47" customWidth="1"/>
    <col min="14343" max="14343" width="11" style="47" customWidth="1"/>
    <col min="14344" max="14344" width="10.5546875" style="47" customWidth="1"/>
    <col min="14345" max="14345" width="11" style="47" customWidth="1"/>
    <col min="14346" max="14346" width="9" style="47"/>
    <col min="14347" max="14347" width="11" style="47" customWidth="1"/>
    <col min="14348" max="14348" width="17.88671875" style="47" bestFit="1" customWidth="1"/>
    <col min="14349" max="14592" width="9" style="47"/>
    <col min="14593" max="14593" width="7" style="47" customWidth="1"/>
    <col min="14594" max="14594" width="36.6640625" style="47" customWidth="1"/>
    <col min="14595" max="14595" width="9.5546875" style="47" customWidth="1"/>
    <col min="14596" max="14596" width="11.44140625" style="47" bestFit="1" customWidth="1"/>
    <col min="14597" max="14597" width="13.5546875" style="47" customWidth="1"/>
    <col min="14598" max="14598" width="10.6640625" style="47" customWidth="1"/>
    <col min="14599" max="14599" width="11" style="47" customWidth="1"/>
    <col min="14600" max="14600" width="10.5546875" style="47" customWidth="1"/>
    <col min="14601" max="14601" width="11" style="47" customWidth="1"/>
    <col min="14602" max="14602" width="9" style="47"/>
    <col min="14603" max="14603" width="11" style="47" customWidth="1"/>
    <col min="14604" max="14604" width="17.88671875" style="47" bestFit="1" customWidth="1"/>
    <col min="14605" max="14848" width="9" style="47"/>
    <col min="14849" max="14849" width="7" style="47" customWidth="1"/>
    <col min="14850" max="14850" width="36.6640625" style="47" customWidth="1"/>
    <col min="14851" max="14851" width="9.5546875" style="47" customWidth="1"/>
    <col min="14852" max="14852" width="11.44140625" style="47" bestFit="1" customWidth="1"/>
    <col min="14853" max="14853" width="13.5546875" style="47" customWidth="1"/>
    <col min="14854" max="14854" width="10.6640625" style="47" customWidth="1"/>
    <col min="14855" max="14855" width="11" style="47" customWidth="1"/>
    <col min="14856" max="14856" width="10.5546875" style="47" customWidth="1"/>
    <col min="14857" max="14857" width="11" style="47" customWidth="1"/>
    <col min="14858" max="14858" width="9" style="47"/>
    <col min="14859" max="14859" width="11" style="47" customWidth="1"/>
    <col min="14860" max="14860" width="17.88671875" style="47" bestFit="1" customWidth="1"/>
    <col min="14861" max="15104" width="9" style="47"/>
    <col min="15105" max="15105" width="7" style="47" customWidth="1"/>
    <col min="15106" max="15106" width="36.6640625" style="47" customWidth="1"/>
    <col min="15107" max="15107" width="9.5546875" style="47" customWidth="1"/>
    <col min="15108" max="15108" width="11.44140625" style="47" bestFit="1" customWidth="1"/>
    <col min="15109" max="15109" width="13.5546875" style="47" customWidth="1"/>
    <col min="15110" max="15110" width="10.6640625" style="47" customWidth="1"/>
    <col min="15111" max="15111" width="11" style="47" customWidth="1"/>
    <col min="15112" max="15112" width="10.5546875" style="47" customWidth="1"/>
    <col min="15113" max="15113" width="11" style="47" customWidth="1"/>
    <col min="15114" max="15114" width="9" style="47"/>
    <col min="15115" max="15115" width="11" style="47" customWidth="1"/>
    <col min="15116" max="15116" width="17.88671875" style="47" bestFit="1" customWidth="1"/>
    <col min="15117" max="15360" width="9" style="47"/>
    <col min="15361" max="15361" width="7" style="47" customWidth="1"/>
    <col min="15362" max="15362" width="36.6640625" style="47" customWidth="1"/>
    <col min="15363" max="15363" width="9.5546875" style="47" customWidth="1"/>
    <col min="15364" max="15364" width="11.44140625" style="47" bestFit="1" customWidth="1"/>
    <col min="15365" max="15365" width="13.5546875" style="47" customWidth="1"/>
    <col min="15366" max="15366" width="10.6640625" style="47" customWidth="1"/>
    <col min="15367" max="15367" width="11" style="47" customWidth="1"/>
    <col min="15368" max="15368" width="10.5546875" style="47" customWidth="1"/>
    <col min="15369" max="15369" width="11" style="47" customWidth="1"/>
    <col min="15370" max="15370" width="9" style="47"/>
    <col min="15371" max="15371" width="11" style="47" customWidth="1"/>
    <col min="15372" max="15372" width="17.88671875" style="47" bestFit="1" customWidth="1"/>
    <col min="15373" max="15616" width="9" style="47"/>
    <col min="15617" max="15617" width="7" style="47" customWidth="1"/>
    <col min="15618" max="15618" width="36.6640625" style="47" customWidth="1"/>
    <col min="15619" max="15619" width="9.5546875" style="47" customWidth="1"/>
    <col min="15620" max="15620" width="11.44140625" style="47" bestFit="1" customWidth="1"/>
    <col min="15621" max="15621" width="13.5546875" style="47" customWidth="1"/>
    <col min="15622" max="15622" width="10.6640625" style="47" customWidth="1"/>
    <col min="15623" max="15623" width="11" style="47" customWidth="1"/>
    <col min="15624" max="15624" width="10.5546875" style="47" customWidth="1"/>
    <col min="15625" max="15625" width="11" style="47" customWidth="1"/>
    <col min="15626" max="15626" width="9" style="47"/>
    <col min="15627" max="15627" width="11" style="47" customWidth="1"/>
    <col min="15628" max="15628" width="17.88671875" style="47" bestFit="1" customWidth="1"/>
    <col min="15629" max="15872" width="9" style="47"/>
    <col min="15873" max="15873" width="7" style="47" customWidth="1"/>
    <col min="15874" max="15874" width="36.6640625" style="47" customWidth="1"/>
    <col min="15875" max="15875" width="9.5546875" style="47" customWidth="1"/>
    <col min="15876" max="15876" width="11.44140625" style="47" bestFit="1" customWidth="1"/>
    <col min="15877" max="15877" width="13.5546875" style="47" customWidth="1"/>
    <col min="15878" max="15878" width="10.6640625" style="47" customWidth="1"/>
    <col min="15879" max="15879" width="11" style="47" customWidth="1"/>
    <col min="15880" max="15880" width="10.5546875" style="47" customWidth="1"/>
    <col min="15881" max="15881" width="11" style="47" customWidth="1"/>
    <col min="15882" max="15882" width="9" style="47"/>
    <col min="15883" max="15883" width="11" style="47" customWidth="1"/>
    <col min="15884" max="15884" width="17.88671875" style="47" bestFit="1" customWidth="1"/>
    <col min="15885" max="16128" width="9" style="47"/>
    <col min="16129" max="16129" width="7" style="47" customWidth="1"/>
    <col min="16130" max="16130" width="36.6640625" style="47" customWidth="1"/>
    <col min="16131" max="16131" width="9.5546875" style="47" customWidth="1"/>
    <col min="16132" max="16132" width="11.44140625" style="47" bestFit="1" customWidth="1"/>
    <col min="16133" max="16133" width="13.5546875" style="47" customWidth="1"/>
    <col min="16134" max="16134" width="10.6640625" style="47" customWidth="1"/>
    <col min="16135" max="16135" width="11" style="47" customWidth="1"/>
    <col min="16136" max="16136" width="10.5546875" style="47" customWidth="1"/>
    <col min="16137" max="16137" width="11" style="47" customWidth="1"/>
    <col min="16138" max="16138" width="9" style="47"/>
    <col min="16139" max="16139" width="11" style="47" customWidth="1"/>
    <col min="16140" max="16140" width="17.88671875" style="47" bestFit="1" customWidth="1"/>
    <col min="16141" max="16384" width="9" style="47"/>
  </cols>
  <sheetData>
    <row r="1" spans="1:12">
      <c r="A1" s="6080" t="s">
        <v>2866</v>
      </c>
      <c r="B1" s="6080"/>
    </row>
    <row r="3" spans="1:12">
      <c r="A3" s="6290" t="s">
        <v>2894</v>
      </c>
      <c r="B3" s="6080"/>
      <c r="C3" s="6080"/>
      <c r="D3" s="6080"/>
      <c r="E3" s="6080"/>
      <c r="F3" s="6080"/>
      <c r="G3" s="6080"/>
      <c r="H3" s="6080"/>
      <c r="I3" s="6080"/>
      <c r="J3" s="6080"/>
    </row>
    <row r="4" spans="1:12">
      <c r="A4" s="6082"/>
      <c r="B4" s="6082"/>
      <c r="C4" s="6082"/>
      <c r="D4" s="6082"/>
      <c r="E4" s="6082"/>
      <c r="F4" s="6082"/>
      <c r="G4" s="6082"/>
      <c r="H4" s="6082"/>
      <c r="I4" s="6082"/>
      <c r="J4" s="6082"/>
    </row>
    <row r="5" spans="1:12" ht="18.600000000000001" thickBot="1">
      <c r="I5" s="6291" t="s">
        <v>246</v>
      </c>
      <c r="J5" s="6291"/>
    </row>
    <row r="6" spans="1:12">
      <c r="A6" s="6273" t="s">
        <v>247</v>
      </c>
      <c r="B6" s="6287" t="s">
        <v>2895</v>
      </c>
      <c r="C6" s="6286" t="s">
        <v>2896</v>
      </c>
      <c r="D6" s="6286" t="s">
        <v>2897</v>
      </c>
      <c r="E6" s="6286" t="s">
        <v>2898</v>
      </c>
      <c r="F6" s="6286" t="s">
        <v>2899</v>
      </c>
      <c r="G6" s="6287"/>
      <c r="H6" s="6286" t="s">
        <v>2900</v>
      </c>
      <c r="I6" s="6287"/>
      <c r="J6" s="6288" t="s">
        <v>861</v>
      </c>
      <c r="L6" s="4590"/>
    </row>
    <row r="7" spans="1:12" ht="34.799999999999997">
      <c r="A7" s="6274"/>
      <c r="B7" s="6292"/>
      <c r="C7" s="6292"/>
      <c r="D7" s="6293"/>
      <c r="E7" s="6293"/>
      <c r="F7" s="2247" t="s">
        <v>2901</v>
      </c>
      <c r="G7" s="2247" t="s">
        <v>2902</v>
      </c>
      <c r="H7" s="2247" t="s">
        <v>2903</v>
      </c>
      <c r="I7" s="2247" t="s">
        <v>2874</v>
      </c>
      <c r="J7" s="6289"/>
      <c r="L7" s="4590"/>
    </row>
    <row r="8" spans="1:12" s="2770" customFormat="1">
      <c r="A8" s="4591"/>
      <c r="B8" s="50" t="s">
        <v>387</v>
      </c>
      <c r="C8" s="50"/>
      <c r="D8" s="4592"/>
      <c r="E8" s="2247"/>
      <c r="F8" s="4592">
        <f>SUM(F10:F14)</f>
        <v>30000</v>
      </c>
      <c r="G8" s="4592">
        <f>SUM(G10:G14)</f>
        <v>30000</v>
      </c>
      <c r="H8" s="4592">
        <f>SUM(H10:H14)</f>
        <v>30000</v>
      </c>
      <c r="I8" s="4592">
        <f>SUM(I10:I14)</f>
        <v>60000</v>
      </c>
      <c r="J8" s="4593"/>
      <c r="L8" s="4594"/>
    </row>
    <row r="9" spans="1:12" s="4598" customFormat="1" ht="17.399999999999999">
      <c r="A9" s="4595">
        <v>1</v>
      </c>
      <c r="B9" s="4596" t="s">
        <v>1140</v>
      </c>
      <c r="C9" s="4596"/>
      <c r="D9" s="4596"/>
      <c r="E9" s="4596"/>
      <c r="F9" s="4596"/>
      <c r="G9" s="4596"/>
      <c r="H9" s="4596"/>
      <c r="I9" s="4596"/>
      <c r="J9" s="4597"/>
    </row>
    <row r="10" spans="1:12" s="2770" customFormat="1" ht="36">
      <c r="A10" s="4599"/>
      <c r="B10" s="4600" t="s">
        <v>2904</v>
      </c>
      <c r="C10" s="4601"/>
      <c r="D10" s="4601">
        <v>851451</v>
      </c>
      <c r="E10" s="4601" t="s">
        <v>2905</v>
      </c>
      <c r="F10" s="4602">
        <v>10000</v>
      </c>
      <c r="G10" s="4602">
        <v>10000</v>
      </c>
      <c r="H10" s="4602">
        <v>10000</v>
      </c>
      <c r="I10" s="4602">
        <v>20000</v>
      </c>
      <c r="J10" s="4603"/>
      <c r="K10" s="4604"/>
    </row>
    <row r="11" spans="1:12" s="4598" customFormat="1">
      <c r="A11" s="4605">
        <v>2</v>
      </c>
      <c r="B11" s="330" t="s">
        <v>1460</v>
      </c>
      <c r="C11" s="4606"/>
      <c r="D11" s="4606"/>
      <c r="E11" s="4606"/>
      <c r="F11" s="4602"/>
      <c r="G11" s="4602"/>
      <c r="H11" s="4602"/>
      <c r="I11" s="4602"/>
      <c r="J11" s="4607"/>
      <c r="K11" s="4608"/>
    </row>
    <row r="12" spans="1:12" s="2770" customFormat="1" ht="36">
      <c r="A12" s="4599"/>
      <c r="B12" s="4600" t="s">
        <v>2906</v>
      </c>
      <c r="C12" s="4601"/>
      <c r="D12" s="4601">
        <v>597622</v>
      </c>
      <c r="E12" s="4601" t="s">
        <v>2905</v>
      </c>
      <c r="F12" s="4602">
        <v>10000</v>
      </c>
      <c r="G12" s="4602">
        <v>10000</v>
      </c>
      <c r="H12" s="4602">
        <v>10000</v>
      </c>
      <c r="I12" s="4602">
        <v>20000</v>
      </c>
      <c r="J12" s="4603"/>
      <c r="K12" s="4604"/>
    </row>
    <row r="13" spans="1:12" s="4598" customFormat="1">
      <c r="A13" s="4605">
        <v>3</v>
      </c>
      <c r="B13" s="330" t="s">
        <v>1136</v>
      </c>
      <c r="C13" s="4606"/>
      <c r="D13" s="4606"/>
      <c r="E13" s="4606"/>
      <c r="F13" s="4602"/>
      <c r="G13" s="4602"/>
      <c r="H13" s="4602"/>
      <c r="I13" s="4602"/>
      <c r="J13" s="4607"/>
      <c r="K13" s="4608"/>
    </row>
    <row r="14" spans="1:12" s="2770" customFormat="1" ht="54.6" thickBot="1">
      <c r="A14" s="4609"/>
      <c r="B14" s="4610" t="s">
        <v>2907</v>
      </c>
      <c r="C14" s="4611"/>
      <c r="D14" s="4611">
        <v>333326</v>
      </c>
      <c r="E14" s="4611" t="s">
        <v>2905</v>
      </c>
      <c r="F14" s="4612">
        <v>10000</v>
      </c>
      <c r="G14" s="4612">
        <v>10000</v>
      </c>
      <c r="H14" s="4612">
        <v>10000</v>
      </c>
      <c r="I14" s="4612">
        <v>20000</v>
      </c>
      <c r="J14" s="4613"/>
      <c r="K14" s="4604"/>
    </row>
  </sheetData>
  <mergeCells count="12">
    <mergeCell ref="H6:I6"/>
    <mergeCell ref="J6:J7"/>
    <mergeCell ref="A1:B1"/>
    <mergeCell ref="A3:J3"/>
    <mergeCell ref="A4:J4"/>
    <mergeCell ref="I5:J5"/>
    <mergeCell ref="A6:A7"/>
    <mergeCell ref="B6:B7"/>
    <mergeCell ref="C6:C7"/>
    <mergeCell ref="D6:D7"/>
    <mergeCell ref="E6:E7"/>
    <mergeCell ref="F6:G6"/>
  </mergeCells>
  <hyperlinks>
    <hyperlink ref="A6:A7" location="'Danh mục file'!A1" display="ST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theme="5"/>
  </sheetPr>
  <dimension ref="A1:BI111"/>
  <sheetViews>
    <sheetView zoomScale="80" zoomScaleNormal="80" workbookViewId="0">
      <pane xSplit="10" ySplit="12" topLeftCell="K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34" width="10.6640625" style="1" customWidth="1"/>
    <col min="35" max="52" width="10.6640625" style="1" hidden="1" customWidth="1"/>
    <col min="53" max="59" width="9.109375" style="1"/>
    <col min="60" max="60" width="10.5546875" style="1" bestFit="1" customWidth="1"/>
    <col min="61" max="16384" width="9.109375" style="1"/>
  </cols>
  <sheetData>
    <row r="1" spans="1:61">
      <c r="A1" s="6056" t="s">
        <v>1411</v>
      </c>
      <c r="B1" s="6056"/>
      <c r="C1" s="6056"/>
      <c r="D1" s="6056"/>
      <c r="E1" s="6056"/>
      <c r="F1" s="6056"/>
      <c r="G1" s="6056"/>
      <c r="H1" s="6056"/>
      <c r="I1" s="6056"/>
      <c r="J1" s="6056"/>
      <c r="K1" s="6056"/>
      <c r="L1" s="6056"/>
      <c r="M1" s="6056"/>
      <c r="N1" s="6056"/>
      <c r="O1" s="6056"/>
      <c r="P1" s="6056"/>
      <c r="Q1" s="6056"/>
      <c r="R1" s="6056"/>
      <c r="S1" s="6056"/>
      <c r="T1" s="6056"/>
      <c r="U1" s="6056"/>
      <c r="V1" s="6056"/>
    </row>
    <row r="2" spans="1:61">
      <c r="A2" s="6056" t="s">
        <v>1412</v>
      </c>
      <c r="B2" s="6056"/>
      <c r="C2" s="6056"/>
      <c r="D2" s="6056"/>
      <c r="E2" s="6056"/>
      <c r="F2" s="6056"/>
      <c r="G2" s="6056"/>
      <c r="H2" s="6056"/>
      <c r="I2" s="6056"/>
      <c r="J2" s="6056"/>
      <c r="K2" s="6056"/>
      <c r="L2" s="6056"/>
      <c r="M2" s="6056"/>
      <c r="N2" s="6056"/>
      <c r="O2" s="6056"/>
      <c r="P2" s="6056"/>
      <c r="Q2" s="6056"/>
      <c r="R2" s="6056"/>
      <c r="S2" s="6056"/>
      <c r="T2" s="6056"/>
      <c r="U2" s="6056"/>
      <c r="V2" s="6056"/>
    </row>
    <row r="3" spans="1:61">
      <c r="A3" s="6059" t="s">
        <v>1413</v>
      </c>
      <c r="B3" s="6059"/>
      <c r="C3" s="6059"/>
      <c r="D3" s="6059"/>
      <c r="E3" s="6059"/>
      <c r="F3" s="6059"/>
      <c r="G3" s="6059"/>
      <c r="H3" s="6059"/>
      <c r="I3" s="6059"/>
      <c r="J3" s="6059"/>
      <c r="K3" s="6059"/>
      <c r="L3" s="6059"/>
      <c r="M3" s="6059"/>
      <c r="N3" s="6059"/>
      <c r="O3" s="6059"/>
      <c r="P3" s="6059"/>
      <c r="Q3" s="6059"/>
      <c r="R3" s="6059"/>
      <c r="S3" s="6059"/>
      <c r="T3" s="6059"/>
      <c r="U3" s="6059"/>
      <c r="V3" s="6059"/>
    </row>
    <row r="5" spans="1:61">
      <c r="J5" s="1662"/>
      <c r="M5" s="6"/>
      <c r="N5" s="6"/>
      <c r="Q5" s="6"/>
      <c r="S5" s="198"/>
      <c r="T5" s="6058" t="s">
        <v>246</v>
      </c>
      <c r="U5" s="6058"/>
      <c r="V5" s="6058"/>
    </row>
    <row r="6" spans="1:61">
      <c r="A6" s="6060" t="s">
        <v>0</v>
      </c>
      <c r="B6" s="6061" t="s">
        <v>49</v>
      </c>
      <c r="C6" s="6062" t="s">
        <v>50</v>
      </c>
      <c r="D6" s="6062"/>
      <c r="E6" s="6062"/>
      <c r="F6" s="6062"/>
      <c r="G6" s="6062"/>
      <c r="H6" s="6062"/>
      <c r="I6" s="6062"/>
      <c r="J6" s="6065" t="s">
        <v>120</v>
      </c>
      <c r="K6" s="6065"/>
      <c r="L6" s="6065"/>
      <c r="M6" s="6065"/>
      <c r="N6" s="6065"/>
      <c r="O6" s="6065"/>
      <c r="P6" s="6065"/>
      <c r="Q6" s="6065" t="s">
        <v>121</v>
      </c>
      <c r="R6" s="6065"/>
      <c r="S6" s="6065"/>
      <c r="T6" s="6065"/>
      <c r="U6" s="6065"/>
      <c r="V6" s="6065"/>
      <c r="W6" s="6065" t="s">
        <v>125</v>
      </c>
      <c r="X6" s="6065"/>
      <c r="Y6" s="6065"/>
      <c r="Z6" s="6065"/>
      <c r="AA6" s="6065"/>
      <c r="AB6" s="6065"/>
      <c r="AC6" s="6065" t="s">
        <v>126</v>
      </c>
      <c r="AD6" s="6065"/>
      <c r="AE6" s="6065"/>
      <c r="AF6" s="6065"/>
      <c r="AG6" s="6065"/>
      <c r="AH6" s="6065"/>
      <c r="AI6" s="6065" t="s">
        <v>127</v>
      </c>
      <c r="AJ6" s="6065"/>
      <c r="AK6" s="6065"/>
      <c r="AL6" s="6065"/>
      <c r="AM6" s="6065"/>
      <c r="AN6" s="6065"/>
      <c r="AO6" s="6065" t="s">
        <v>128</v>
      </c>
      <c r="AP6" s="6065"/>
      <c r="AQ6" s="6065"/>
      <c r="AR6" s="6065"/>
      <c r="AS6" s="6065"/>
      <c r="AT6" s="6065"/>
      <c r="AU6" s="6065" t="s">
        <v>129</v>
      </c>
      <c r="AV6" s="6065"/>
      <c r="AW6" s="6065"/>
      <c r="AX6" s="6065"/>
      <c r="AY6" s="6065"/>
      <c r="AZ6" s="6065"/>
    </row>
    <row r="7" spans="1:61" ht="29.25" customHeight="1">
      <c r="A7" s="6060"/>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c r="W7" s="6064" t="s">
        <v>51</v>
      </c>
      <c r="X7" s="6064" t="s">
        <v>131</v>
      </c>
      <c r="Y7" s="6061" t="s">
        <v>53</v>
      </c>
      <c r="Z7" s="6061" t="s">
        <v>124</v>
      </c>
      <c r="AA7" s="6061"/>
      <c r="AB7" s="6061"/>
      <c r="AC7" s="6064" t="s">
        <v>51</v>
      </c>
      <c r="AD7" s="6064" t="s">
        <v>132</v>
      </c>
      <c r="AE7" s="6061" t="s">
        <v>53</v>
      </c>
      <c r="AF7" s="6061" t="s">
        <v>124</v>
      </c>
      <c r="AG7" s="6061"/>
      <c r="AH7" s="6061"/>
      <c r="AI7" s="6064" t="s">
        <v>51</v>
      </c>
      <c r="AJ7" s="6064" t="s">
        <v>133</v>
      </c>
      <c r="AK7" s="6061" t="s">
        <v>53</v>
      </c>
      <c r="AL7" s="6061" t="s">
        <v>124</v>
      </c>
      <c r="AM7" s="6061"/>
      <c r="AN7" s="6061"/>
      <c r="AO7" s="6064" t="s">
        <v>51</v>
      </c>
      <c r="AP7" s="6064" t="s">
        <v>130</v>
      </c>
      <c r="AQ7" s="6061" t="s">
        <v>53</v>
      </c>
      <c r="AR7" s="6061" t="s">
        <v>124</v>
      </c>
      <c r="AS7" s="6061"/>
      <c r="AT7" s="6061"/>
      <c r="AU7" s="6064" t="s">
        <v>51</v>
      </c>
      <c r="AV7" s="6064" t="s">
        <v>134</v>
      </c>
      <c r="AW7" s="6061" t="s">
        <v>53</v>
      </c>
      <c r="AX7" s="6061" t="s">
        <v>124</v>
      </c>
      <c r="AY7" s="6061"/>
      <c r="AZ7" s="6061"/>
    </row>
    <row r="8" spans="1:61" ht="78" customHeight="1">
      <c r="A8" s="6060"/>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c r="W8" s="6064"/>
      <c r="X8" s="6064"/>
      <c r="Y8" s="6064"/>
      <c r="Z8" s="1538" t="s">
        <v>54</v>
      </c>
      <c r="AA8" s="1538" t="s">
        <v>55</v>
      </c>
      <c r="AB8" s="130" t="s">
        <v>56</v>
      </c>
      <c r="AC8" s="6064"/>
      <c r="AD8" s="6064"/>
      <c r="AE8" s="6064"/>
      <c r="AF8" s="1538" t="s">
        <v>54</v>
      </c>
      <c r="AG8" s="1538" t="s">
        <v>55</v>
      </c>
      <c r="AH8" s="130" t="s">
        <v>56</v>
      </c>
      <c r="AI8" s="6064"/>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row>
    <row r="9" spans="1:61">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61"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I10" si="6">SUM(AE11+AE51)</f>
        <v>1119919.9724297295</v>
      </c>
      <c r="AF10" s="1663">
        <f t="shared" si="6"/>
        <v>8897080.397570271</v>
      </c>
      <c r="AG10" s="1663">
        <f t="shared" si="6"/>
        <v>5017124.0406034756</v>
      </c>
      <c r="AH10" s="1663">
        <f t="shared" si="6"/>
        <v>3879956.3569667954</v>
      </c>
      <c r="AI10" s="1663">
        <f t="shared" si="6"/>
        <v>13026000</v>
      </c>
      <c r="AJ10" s="138">
        <f>AI10/AC10*100</f>
        <v>130.03892900924393</v>
      </c>
      <c r="AK10" s="1663">
        <f t="shared" ref="AK10:AO10" si="7">SUM(AK11+AK51)</f>
        <v>1318251.1026532419</v>
      </c>
      <c r="AL10" s="1663">
        <f t="shared" si="7"/>
        <v>11707748.897346757</v>
      </c>
      <c r="AM10" s="1663">
        <f t="shared" si="7"/>
        <v>6528952.311650224</v>
      </c>
      <c r="AN10" s="1663">
        <f t="shared" si="7"/>
        <v>5178796.5856965333</v>
      </c>
      <c r="AO10" s="1663">
        <f t="shared" si="7"/>
        <v>14105000</v>
      </c>
      <c r="AP10" s="138">
        <f>AO10/AI10*100</f>
        <v>108.28343313373254</v>
      </c>
      <c r="AQ10" s="1663">
        <f t="shared" ref="AQ10:AU10" si="8">SUM(AQ11+AQ51)</f>
        <v>1401972.7519240973</v>
      </c>
      <c r="AR10" s="1663">
        <f t="shared" si="8"/>
        <v>12703027.248075902</v>
      </c>
      <c r="AS10" s="1663">
        <f t="shared" si="8"/>
        <v>7099857.0338091608</v>
      </c>
      <c r="AT10" s="1663">
        <f t="shared" si="8"/>
        <v>5603170.2142667426</v>
      </c>
      <c r="AU10" s="1663">
        <f t="shared" si="8"/>
        <v>15353000</v>
      </c>
      <c r="AV10" s="138">
        <f>AU10/AO10*100</f>
        <v>108.84792626728111</v>
      </c>
      <c r="AW10" s="1663">
        <f t="shared" ref="AW10:AZ10" si="9">SUM(AW11+AW51)</f>
        <v>1494562.8082434654</v>
      </c>
      <c r="AX10" s="1663">
        <f t="shared" si="9"/>
        <v>13858437.191756533</v>
      </c>
      <c r="AY10" s="1663">
        <f t="shared" si="9"/>
        <v>7546103.2301168721</v>
      </c>
      <c r="AZ10" s="1663">
        <f t="shared" si="9"/>
        <v>6312333.9616396632</v>
      </c>
      <c r="BE10" s="16">
        <f>J10-C10</f>
        <v>200053.73141666688</v>
      </c>
      <c r="BF10" s="16">
        <f>J10-D10</f>
        <v>-560000.4305833336</v>
      </c>
      <c r="BH10" s="1670">
        <f>N10-G10</f>
        <v>-571430.129652353</v>
      </c>
      <c r="BI10" s="1671"/>
    </row>
    <row r="11" spans="1:61" s="4" customFormat="1">
      <c r="A11" s="1712"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1">SUM(O13+O19+O25+O30+O36+O37+O38+O39+O40+O41+O42+O43+O44+O45+O46+O47+O49+O50)</f>
        <v>4903753.5607353877</v>
      </c>
      <c r="P11" s="1673">
        <f t="shared" si="11"/>
        <v>3417800.4716122607</v>
      </c>
      <c r="Q11" s="173">
        <f>SUM(Q13+Q19+Q25+Q30+Q36+Q37+Q38+Q39+Q40+Q41+Q42+Q43+Q44+Q45+Q46+Q47+Q49+Q50)</f>
        <v>9383000</v>
      </c>
      <c r="R11" s="1674">
        <f t="shared" ref="R11:R13" si="12">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12710000</v>
      </c>
      <c r="AJ11" s="142">
        <f>AI11/AC11*100</f>
        <v>130.82861554297477</v>
      </c>
      <c r="AK11" s="173">
        <f>SUM(AK13+AK19+AK25+AK30+AK36+AK37+AK38+AK39+AK40+AK41+AK42+AK43+AK44+AK45+AK46+AK47+AK49+AK50)</f>
        <v>1002251.1026532419</v>
      </c>
      <c r="AL11" s="173">
        <f>SUM(AL13+AL19+AL25+AL30+AL36+AL37+AL38+AL39+AL40+AL41+AL42+AL43+AL44+AL45+AL46+AL47+AL49+AL50)</f>
        <v>11707748.897346757</v>
      </c>
      <c r="AM11" s="173">
        <f>SUM(AM13+AM19+AM25+AM30+AM36+AM37+AM38+AM39+AM40+AM41+AM42+AM43+AM44+AM45+AM46+AM47+AM49+AM50)</f>
        <v>6528952.311650224</v>
      </c>
      <c r="AN11" s="173">
        <f>SUM(AN13+AN19+AN25+AN30+AN36+AN37+AN38+AN39+AN40+AN41+AN42+AN43+AN44+AN45+AN46+AN47+AN49+AN50)</f>
        <v>5178796.5856965333</v>
      </c>
      <c r="AO11" s="173">
        <f>SUM(AO13+AO19+AO25+AO30+AO36+AO37+AO38+AO39+AO40+AO41+AO42+AO43+AO44+AO45+AO46+AO47+AO49+AO50)</f>
        <v>13770000</v>
      </c>
      <c r="AP11" s="142">
        <f>AO11/AI11*100</f>
        <v>108.33988985051141</v>
      </c>
      <c r="AQ11" s="173">
        <f>SUM(AQ13+AQ19+AQ25+AQ30+AQ36+AQ37+AQ38+AQ39+AQ40+AQ41+AQ42+AQ43+AQ44+AQ45+AQ46+AQ47+AQ49+AQ50)</f>
        <v>1066972.7519240973</v>
      </c>
      <c r="AR11" s="173">
        <f>SUM(AR13+AR19+AR25+AR30+AR36+AR37+AR38+AR39+AR40+AR41+AR42+AR43+AR44+AR45+AR46+AR47+AR49+AR50)</f>
        <v>12703027.248075902</v>
      </c>
      <c r="AS11" s="173">
        <f>SUM(AS13+AS19+AS25+AS30+AS36+AS37+AS38+AS39+AS40+AS41+AS42+AS43+AS44+AS45+AS46+AS47+AS49+AS50)</f>
        <v>7099857.0338091608</v>
      </c>
      <c r="AT11" s="173">
        <f>SUM(AT13+AT19+AT25+AT30+AT36+AT37+AT38+AT39+AT40+AT41+AT42+AT43+AT44+AT45+AT46+AT47+AT49+AT50)</f>
        <v>5603170.2142667426</v>
      </c>
      <c r="AU11" s="173">
        <f>SUM(AU13+AU19+AU25+AU30+AU36+AU37+AU38+AU39+AU40+AU41+AU42+AU43+AU44+AU45+AU46+AU47+AU49+AU50)</f>
        <v>15000000</v>
      </c>
      <c r="AV11" s="142">
        <f>AU11/AO11*100</f>
        <v>108.93246187363835</v>
      </c>
      <c r="AW11" s="173">
        <f>SUM(AW13+AW19+AW25+AW30+AW36+AW37+AW38+AW39+AW40+AW41+AW42+AW43+AW44+AW45+AW46+AW47+AW49+AW50)</f>
        <v>1141562.8082434654</v>
      </c>
      <c r="AX11" s="173">
        <f>SUM(AX13+AX19+AX25+AX30+AX36+AX37+AX38+AX39+AX40+AX41+AX42+AX43+AX44+AX45+AX46+AX47+AX49+AX50)</f>
        <v>13858437.191756533</v>
      </c>
      <c r="AY11" s="173">
        <f>SUM(AY13+AY19+AY25+AY30+AY36+AY37+AY38+AY39+AY40+AY41+AY42+AY43+AY44+AY45+AY46+AY47+AY49+AY50)</f>
        <v>7546103.2301168721</v>
      </c>
      <c r="AZ11" s="173">
        <f>SUM(AZ13+AZ19+AZ25+AZ30+AZ36+AZ37+AZ38+AZ39+AZ40+AZ41+AZ42+AZ43+AZ44+AZ45+AZ46+AZ47+AZ49+AZ50)</f>
        <v>6312333.9616396632</v>
      </c>
      <c r="BE11" s="16">
        <f t="shared" ref="BE11:BE51" si="13">J11-C11</f>
        <v>97054.162000000477</v>
      </c>
      <c r="BF11" s="16">
        <f t="shared" ref="BF11:BF51" si="14">J11-D11</f>
        <v>-620000</v>
      </c>
      <c r="BH11" s="1670">
        <f t="shared" ref="BH11:BH51" si="15">N11-G11</f>
        <v>-571430.129652353</v>
      </c>
      <c r="BI11" s="1671"/>
    </row>
    <row r="12" spans="1:61"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7990000</v>
      </c>
      <c r="AJ12" s="142">
        <f>AI12/AC12*100</f>
        <v>131.45771635406385</v>
      </c>
      <c r="AK12" s="1678">
        <f>AK11-AK42-AK50-AK47</f>
        <v>1002251.1026532419</v>
      </c>
      <c r="AL12" s="1678">
        <f>AL11-AL42-AL50-AL47</f>
        <v>6987748.8973467574</v>
      </c>
      <c r="AM12" s="1678">
        <f>AM11-AM42-AM50-AM47</f>
        <v>3068952.311650224</v>
      </c>
      <c r="AN12" s="1678">
        <f>AN11-AN42-AN50-AN47</f>
        <v>3918796.5856965333</v>
      </c>
      <c r="AO12" s="1678">
        <f>AO11-AO42-AO50-AO47</f>
        <v>8790000</v>
      </c>
      <c r="AP12" s="142">
        <f>AO12/AI12*100</f>
        <v>110.01251564455569</v>
      </c>
      <c r="AQ12" s="1678">
        <f>AQ11-AQ42-AQ50-AQ47</f>
        <v>1066972.7519240973</v>
      </c>
      <c r="AR12" s="1678">
        <f>AR11-AR42-AR50-AR47</f>
        <v>7723027.2480759025</v>
      </c>
      <c r="AS12" s="1678">
        <f>AS11-AS42-AS50-AS47</f>
        <v>3469857.0338091608</v>
      </c>
      <c r="AT12" s="1678">
        <f>AT11-AT42-AT50-AT47</f>
        <v>4253170.2142667426</v>
      </c>
      <c r="AU12" s="1678">
        <f>AU11-AU42-AU50-AU47</f>
        <v>9740000</v>
      </c>
      <c r="AV12" s="142">
        <f>AU12/AO12*100</f>
        <v>110.80773606370875</v>
      </c>
      <c r="AW12" s="1678">
        <f>AW11-AW42-AW50-AW47</f>
        <v>1141562.8082434654</v>
      </c>
      <c r="AX12" s="1678">
        <f>AX11-AX42-AX50-AX47</f>
        <v>8598437.1917565335</v>
      </c>
      <c r="AY12" s="1678">
        <f>AY11-AY42-AY50-AY47</f>
        <v>3771103.2301168721</v>
      </c>
      <c r="AZ12" s="1678">
        <f>AZ11-AZ42-AZ50-AZ47</f>
        <v>4827333.9616396632</v>
      </c>
      <c r="BE12" s="16">
        <f t="shared" si="13"/>
        <v>-411000</v>
      </c>
      <c r="BF12" s="16">
        <f t="shared" si="14"/>
        <v>-620000</v>
      </c>
      <c r="BH12" s="1670">
        <f t="shared" si="15"/>
        <v>-571430.12965235254</v>
      </c>
      <c r="BI12" s="1671"/>
    </row>
    <row r="13" spans="1:61">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6">SUM(O14:O18)</f>
        <v>230000</v>
      </c>
      <c r="P13" s="150">
        <f t="shared" si="16"/>
        <v>0</v>
      </c>
      <c r="Q13" s="147">
        <f>SUM(Q14:Q18)</f>
        <v>255000</v>
      </c>
      <c r="R13" s="1674">
        <f t="shared" si="12"/>
        <v>110.86956521739131</v>
      </c>
      <c r="S13" s="147">
        <f>SUM(S14:S18)</f>
        <v>0</v>
      </c>
      <c r="T13" s="150">
        <f t="shared" ref="T13:V13" si="17">SUM(T14:T18)</f>
        <v>255000</v>
      </c>
      <c r="U13" s="150">
        <f t="shared" si="17"/>
        <v>255000</v>
      </c>
      <c r="V13" s="150">
        <f t="shared" si="17"/>
        <v>0</v>
      </c>
      <c r="W13" s="147">
        <f>SUM(W14:W18)</f>
        <v>265000</v>
      </c>
      <c r="X13" s="141">
        <f>W13/Q13*100</f>
        <v>103.92156862745099</v>
      </c>
      <c r="Y13" s="147">
        <f>SUM(Y14:Y18)</f>
        <v>0</v>
      </c>
      <c r="Z13" s="147">
        <f t="shared" ref="Z13" si="18">SUM(Z14:Z18)</f>
        <v>265000</v>
      </c>
      <c r="AA13" s="147">
        <f t="shared" ref="AA13" si="19">SUM(AA14:AA18)</f>
        <v>265000</v>
      </c>
      <c r="AB13" s="147">
        <f t="shared" ref="AB13" si="20">SUM(AB14:AB18)</f>
        <v>0</v>
      </c>
      <c r="AC13" s="147">
        <f>SUM(AC14:AC18)</f>
        <v>280000</v>
      </c>
      <c r="AD13" s="142">
        <f>AC13/W13*100</f>
        <v>105.66037735849056</v>
      </c>
      <c r="AE13" s="147">
        <f>SUM(AE14:AE18)</f>
        <v>0</v>
      </c>
      <c r="AF13" s="147">
        <f t="shared" ref="AF13" si="21">SUM(AF14:AF18)</f>
        <v>280000</v>
      </c>
      <c r="AG13" s="147">
        <f t="shared" ref="AG13" si="22">SUM(AG14:AG18)</f>
        <v>280000</v>
      </c>
      <c r="AH13" s="147">
        <f t="shared" ref="AH13" si="23">SUM(AH14:AH18)</f>
        <v>0</v>
      </c>
      <c r="AI13" s="147">
        <f>SUM(AI14:AI18)</f>
        <v>410000</v>
      </c>
      <c r="AJ13" s="142">
        <f>AI13/AC13*100</f>
        <v>146.42857142857142</v>
      </c>
      <c r="AK13" s="147">
        <f>SUM(AK14:AK18)</f>
        <v>0</v>
      </c>
      <c r="AL13" s="147">
        <f t="shared" ref="AL13" si="24">SUM(AL14:AL18)</f>
        <v>410000</v>
      </c>
      <c r="AM13" s="147">
        <f t="shared" ref="AM13" si="25">SUM(AM14:AM18)</f>
        <v>410000</v>
      </c>
      <c r="AN13" s="147">
        <f t="shared" ref="AN13" si="26">SUM(AN14:AN18)</f>
        <v>0</v>
      </c>
      <c r="AO13" s="147">
        <f>SUM(AO14:AO18)</f>
        <v>455000</v>
      </c>
      <c r="AP13" s="142">
        <f>AO13/AI13*100</f>
        <v>110.97560975609757</v>
      </c>
      <c r="AQ13" s="147">
        <f>SUM(AQ14:AQ18)</f>
        <v>0</v>
      </c>
      <c r="AR13" s="147">
        <f t="shared" ref="AR13" si="27">SUM(AR14:AR18)</f>
        <v>455000</v>
      </c>
      <c r="AS13" s="147">
        <f t="shared" ref="AS13" si="28">SUM(AS14:AS18)</f>
        <v>455000</v>
      </c>
      <c r="AT13" s="147">
        <f t="shared" ref="AT13" si="29">SUM(AT14:AT18)</f>
        <v>0</v>
      </c>
      <c r="AU13" s="147">
        <f>SUM(AU14:AU18)</f>
        <v>510000</v>
      </c>
      <c r="AV13" s="142">
        <f>AU13/AO13*100</f>
        <v>112.08791208791209</v>
      </c>
      <c r="AW13" s="147">
        <f>SUM(AW14:AW18)</f>
        <v>0</v>
      </c>
      <c r="AX13" s="147">
        <f t="shared" ref="AX13" si="30">SUM(AX14:AX18)</f>
        <v>510000</v>
      </c>
      <c r="AY13" s="147">
        <f t="shared" ref="AY13" si="31">SUM(AY14:AY18)</f>
        <v>510000</v>
      </c>
      <c r="AZ13" s="147">
        <f t="shared" ref="AZ13" si="32">SUM(AZ14:AZ18)</f>
        <v>0</v>
      </c>
      <c r="BE13" s="6">
        <f t="shared" si="13"/>
        <v>0</v>
      </c>
      <c r="BF13" s="6">
        <f t="shared" si="14"/>
        <v>0</v>
      </c>
      <c r="BH13" s="1670">
        <f>N13-G13</f>
        <v>0</v>
      </c>
      <c r="BI13" s="4"/>
    </row>
    <row r="14" spans="1:61"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E14" s="6">
        <f t="shared" si="13"/>
        <v>-4500</v>
      </c>
      <c r="BF14" s="6">
        <f t="shared" si="14"/>
        <v>-4500</v>
      </c>
      <c r="BH14" s="1670">
        <f t="shared" si="15"/>
        <v>-4500</v>
      </c>
      <c r="BI14" s="4"/>
    </row>
    <row r="15" spans="1:61" hidden="1">
      <c r="A15" s="164"/>
      <c r="B15" s="1716" t="s">
        <v>8</v>
      </c>
      <c r="C15" s="152">
        <v>20000</v>
      </c>
      <c r="D15" s="152">
        <v>20000</v>
      </c>
      <c r="E15" s="153"/>
      <c r="F15" s="154"/>
      <c r="G15" s="154">
        <f t="shared" ref="G15:G18" si="33">SUM(H15:I15)</f>
        <v>20000</v>
      </c>
      <c r="H15" s="154">
        <f t="shared" ref="H15:H35" si="34">D15-F15-I15</f>
        <v>20000</v>
      </c>
      <c r="I15" s="154"/>
      <c r="J15" s="1679">
        <v>20000</v>
      </c>
      <c r="K15" s="155"/>
      <c r="L15" s="155"/>
      <c r="M15" s="1680"/>
      <c r="N15" s="1680">
        <f t="shared" ref="N15:N18" si="35">SUM(O15:P15)</f>
        <v>20000</v>
      </c>
      <c r="O15" s="1680">
        <f t="shared" ref="O15:O24" si="36">J15-M15-P15</f>
        <v>20000</v>
      </c>
      <c r="P15" s="1680"/>
      <c r="Q15" s="157">
        <v>23000</v>
      </c>
      <c r="R15" s="199"/>
      <c r="S15" s="199"/>
      <c r="T15" s="1681">
        <f t="shared" ref="T15:T17" si="37">SUM(U15:V15)</f>
        <v>23000</v>
      </c>
      <c r="U15" s="1681">
        <f t="shared" ref="U15:U18" si="38">Q15-S15-V15</f>
        <v>23000</v>
      </c>
      <c r="V15" s="1681"/>
      <c r="W15" s="157">
        <v>24700</v>
      </c>
      <c r="X15" s="155"/>
      <c r="Y15" s="157"/>
      <c r="Z15" s="157">
        <f t="shared" ref="Z15:Z17" si="39">SUM(AA15:AB15)</f>
        <v>24700</v>
      </c>
      <c r="AA15" s="157">
        <f t="shared" ref="AA15:AA18" si="40">W15-Y15-AB15</f>
        <v>24700</v>
      </c>
      <c r="AB15" s="157"/>
      <c r="AC15" s="157">
        <v>26000</v>
      </c>
      <c r="AD15" s="157"/>
      <c r="AE15" s="157"/>
      <c r="AF15" s="157">
        <f t="shared" ref="AF15:AF17" si="41">SUM(AG15:AH15)</f>
        <v>26000</v>
      </c>
      <c r="AG15" s="157">
        <f t="shared" ref="AG15:AG18" si="42">AC15-AE15-AH15</f>
        <v>26000</v>
      </c>
      <c r="AH15" s="157"/>
      <c r="AI15" s="157">
        <v>27000</v>
      </c>
      <c r="AJ15" s="157"/>
      <c r="AK15" s="157"/>
      <c r="AL15" s="157">
        <f t="shared" ref="AL15:AL16" si="43">SUM(AM15:AN15)</f>
        <v>27000</v>
      </c>
      <c r="AM15" s="157">
        <f t="shared" ref="AM15:AM18" si="44">AI15-AK15-AN15</f>
        <v>27000</v>
      </c>
      <c r="AN15" s="157"/>
      <c r="AO15" s="157">
        <v>29000</v>
      </c>
      <c r="AP15" s="157"/>
      <c r="AQ15" s="157"/>
      <c r="AR15" s="157">
        <f t="shared" ref="AR15:AR16" si="45">SUM(AS15:AT15)</f>
        <v>29000</v>
      </c>
      <c r="AS15" s="157">
        <f t="shared" ref="AS15:AS18" si="46">AO15-AQ15-AT15</f>
        <v>29000</v>
      </c>
      <c r="AT15" s="157"/>
      <c r="AU15" s="157">
        <v>30000</v>
      </c>
      <c r="AV15" s="157"/>
      <c r="AW15" s="157"/>
      <c r="AX15" s="157">
        <f t="shared" ref="AX15:AX16" si="47">SUM(AY15:AZ15)</f>
        <v>30000</v>
      </c>
      <c r="AY15" s="157">
        <f t="shared" ref="AY15:AY18" si="48">AU15-AW15-AZ15</f>
        <v>30000</v>
      </c>
      <c r="AZ15" s="157"/>
      <c r="BE15" s="6">
        <f t="shared" si="13"/>
        <v>0</v>
      </c>
      <c r="BF15" s="6">
        <f t="shared" si="14"/>
        <v>0</v>
      </c>
      <c r="BH15" s="1670">
        <f t="shared" si="15"/>
        <v>0</v>
      </c>
      <c r="BI15" s="4"/>
    </row>
    <row r="16" spans="1:61" hidden="1">
      <c r="A16" s="164"/>
      <c r="B16" s="1716" t="s">
        <v>9</v>
      </c>
      <c r="C16" s="152">
        <f>40000</f>
        <v>40000</v>
      </c>
      <c r="D16" s="152">
        <f>C16</f>
        <v>40000</v>
      </c>
      <c r="E16" s="153"/>
      <c r="F16" s="154"/>
      <c r="G16" s="154">
        <f t="shared" si="33"/>
        <v>40000</v>
      </c>
      <c r="H16" s="154">
        <f t="shared" si="34"/>
        <v>40000</v>
      </c>
      <c r="I16" s="154"/>
      <c r="J16" s="1679">
        <v>40000</v>
      </c>
      <c r="K16" s="155"/>
      <c r="L16" s="155"/>
      <c r="M16" s="1680"/>
      <c r="N16" s="1680">
        <f t="shared" si="35"/>
        <v>40000</v>
      </c>
      <c r="O16" s="1680">
        <f t="shared" si="36"/>
        <v>40000</v>
      </c>
      <c r="P16" s="1680"/>
      <c r="Q16" s="157">
        <v>42000</v>
      </c>
      <c r="R16" s="199"/>
      <c r="S16" s="199"/>
      <c r="T16" s="1681">
        <f t="shared" si="37"/>
        <v>42000</v>
      </c>
      <c r="U16" s="1681">
        <f t="shared" si="38"/>
        <v>42000</v>
      </c>
      <c r="V16" s="1681"/>
      <c r="W16" s="157">
        <v>45000</v>
      </c>
      <c r="X16" s="155"/>
      <c r="Y16" s="157"/>
      <c r="Z16" s="157">
        <f t="shared" si="39"/>
        <v>45000</v>
      </c>
      <c r="AA16" s="157">
        <f t="shared" si="40"/>
        <v>45000</v>
      </c>
      <c r="AB16" s="157"/>
      <c r="AC16" s="157">
        <v>48000</v>
      </c>
      <c r="AD16" s="157"/>
      <c r="AE16" s="157"/>
      <c r="AF16" s="157">
        <f t="shared" si="41"/>
        <v>48000</v>
      </c>
      <c r="AG16" s="157">
        <f t="shared" si="42"/>
        <v>48000</v>
      </c>
      <c r="AH16" s="157"/>
      <c r="AI16" s="157">
        <v>68000</v>
      </c>
      <c r="AJ16" s="157"/>
      <c r="AK16" s="157"/>
      <c r="AL16" s="157">
        <f t="shared" si="43"/>
        <v>68000</v>
      </c>
      <c r="AM16" s="157">
        <f t="shared" si="44"/>
        <v>68000</v>
      </c>
      <c r="AN16" s="157"/>
      <c r="AO16" s="157">
        <v>75000</v>
      </c>
      <c r="AP16" s="157"/>
      <c r="AQ16" s="157"/>
      <c r="AR16" s="157">
        <f t="shared" si="45"/>
        <v>75000</v>
      </c>
      <c r="AS16" s="157">
        <f t="shared" si="46"/>
        <v>75000</v>
      </c>
      <c r="AT16" s="157"/>
      <c r="AU16" s="157">
        <v>84000</v>
      </c>
      <c r="AV16" s="157"/>
      <c r="AW16" s="157"/>
      <c r="AX16" s="157">
        <f t="shared" si="47"/>
        <v>84000</v>
      </c>
      <c r="AY16" s="157">
        <f t="shared" si="48"/>
        <v>84000</v>
      </c>
      <c r="AZ16" s="157"/>
      <c r="BE16" s="6">
        <f t="shared" si="13"/>
        <v>0</v>
      </c>
      <c r="BF16" s="6">
        <f t="shared" si="14"/>
        <v>0</v>
      </c>
      <c r="BH16" s="1670">
        <f t="shared" si="15"/>
        <v>0</v>
      </c>
      <c r="BI16" s="4"/>
    </row>
    <row r="17" spans="1:61" hidden="1">
      <c r="A17" s="164"/>
      <c r="B17" s="1716" t="s">
        <v>10</v>
      </c>
      <c r="C17" s="152">
        <v>0</v>
      </c>
      <c r="D17" s="152"/>
      <c r="E17" s="153"/>
      <c r="F17" s="154"/>
      <c r="G17" s="154">
        <f t="shared" si="33"/>
        <v>0</v>
      </c>
      <c r="H17" s="154">
        <f t="shared" si="34"/>
        <v>0</v>
      </c>
      <c r="I17" s="154"/>
      <c r="J17" s="1679">
        <v>4500</v>
      </c>
      <c r="K17" s="155"/>
      <c r="L17" s="155"/>
      <c r="M17" s="1680"/>
      <c r="N17" s="1680">
        <f t="shared" si="35"/>
        <v>4500</v>
      </c>
      <c r="O17" s="1680">
        <f t="shared" si="36"/>
        <v>4500</v>
      </c>
      <c r="P17" s="1680"/>
      <c r="Q17" s="157">
        <v>5000</v>
      </c>
      <c r="R17" s="199"/>
      <c r="S17" s="199"/>
      <c r="T17" s="1681">
        <f t="shared" si="37"/>
        <v>5000</v>
      </c>
      <c r="U17" s="1681">
        <f t="shared" si="38"/>
        <v>5000</v>
      </c>
      <c r="V17" s="1681"/>
      <c r="W17" s="157">
        <v>5300</v>
      </c>
      <c r="X17" s="155"/>
      <c r="Y17" s="157"/>
      <c r="Z17" s="157">
        <f t="shared" si="39"/>
        <v>5300</v>
      </c>
      <c r="AA17" s="157">
        <f t="shared" si="40"/>
        <v>5300</v>
      </c>
      <c r="AB17" s="157"/>
      <c r="AC17" s="157">
        <v>6000</v>
      </c>
      <c r="AD17" s="157"/>
      <c r="AE17" s="157"/>
      <c r="AF17" s="157">
        <f t="shared" si="41"/>
        <v>6000</v>
      </c>
      <c r="AG17" s="157">
        <f t="shared" si="42"/>
        <v>6000</v>
      </c>
      <c r="AH17" s="157"/>
      <c r="AI17" s="157"/>
      <c r="AJ17" s="157"/>
      <c r="AK17" s="157"/>
      <c r="AL17" s="157"/>
      <c r="AM17" s="157">
        <f t="shared" si="44"/>
        <v>0</v>
      </c>
      <c r="AN17" s="157"/>
      <c r="AO17" s="157"/>
      <c r="AP17" s="157"/>
      <c r="AQ17" s="157"/>
      <c r="AR17" s="157"/>
      <c r="AS17" s="157">
        <f t="shared" si="46"/>
        <v>0</v>
      </c>
      <c r="AT17" s="157"/>
      <c r="AU17" s="157"/>
      <c r="AV17" s="157"/>
      <c r="AW17" s="157"/>
      <c r="AX17" s="157"/>
      <c r="AY17" s="157">
        <f t="shared" si="48"/>
        <v>0</v>
      </c>
      <c r="AZ17" s="157"/>
      <c r="BE17" s="6">
        <f t="shared" si="13"/>
        <v>4500</v>
      </c>
      <c r="BF17" s="6">
        <f t="shared" si="14"/>
        <v>4500</v>
      </c>
      <c r="BH17" s="1670">
        <f t="shared" si="15"/>
        <v>4500</v>
      </c>
      <c r="BI17" s="4"/>
    </row>
    <row r="18" spans="1:61" hidden="1">
      <c r="A18" s="164"/>
      <c r="B18" s="1716" t="s">
        <v>11</v>
      </c>
      <c r="C18" s="152">
        <v>0</v>
      </c>
      <c r="D18" s="152"/>
      <c r="E18" s="153"/>
      <c r="F18" s="154"/>
      <c r="G18" s="154">
        <f t="shared" si="33"/>
        <v>0</v>
      </c>
      <c r="H18" s="154">
        <f t="shared" si="34"/>
        <v>0</v>
      </c>
      <c r="I18" s="154"/>
      <c r="J18" s="1679"/>
      <c r="K18" s="155"/>
      <c r="L18" s="155"/>
      <c r="M18" s="1680"/>
      <c r="N18" s="1680">
        <f t="shared" si="35"/>
        <v>0</v>
      </c>
      <c r="O18" s="1680">
        <f t="shared" si="36"/>
        <v>0</v>
      </c>
      <c r="P18" s="1680"/>
      <c r="Q18" s="157"/>
      <c r="R18" s="199"/>
      <c r="S18" s="199"/>
      <c r="T18" s="1681"/>
      <c r="U18" s="1681">
        <f t="shared" si="38"/>
        <v>0</v>
      </c>
      <c r="V18" s="1681"/>
      <c r="W18" s="157"/>
      <c r="X18" s="155"/>
      <c r="Y18" s="157"/>
      <c r="Z18" s="157"/>
      <c r="AA18" s="157">
        <f t="shared" si="40"/>
        <v>0</v>
      </c>
      <c r="AB18" s="157"/>
      <c r="AC18" s="157"/>
      <c r="AD18" s="157"/>
      <c r="AE18" s="157"/>
      <c r="AF18" s="157"/>
      <c r="AG18" s="157">
        <f t="shared" si="42"/>
        <v>0</v>
      </c>
      <c r="AH18" s="157"/>
      <c r="AI18" s="157"/>
      <c r="AJ18" s="157"/>
      <c r="AK18" s="157"/>
      <c r="AL18" s="157"/>
      <c r="AM18" s="157">
        <f t="shared" si="44"/>
        <v>0</v>
      </c>
      <c r="AN18" s="157"/>
      <c r="AO18" s="157"/>
      <c r="AP18" s="157"/>
      <c r="AQ18" s="157"/>
      <c r="AR18" s="157"/>
      <c r="AS18" s="157">
        <f t="shared" si="46"/>
        <v>0</v>
      </c>
      <c r="AT18" s="157"/>
      <c r="AU18" s="157"/>
      <c r="AV18" s="157"/>
      <c r="AW18" s="157"/>
      <c r="AX18" s="157"/>
      <c r="AY18" s="157">
        <f t="shared" si="48"/>
        <v>0</v>
      </c>
      <c r="AZ18" s="157"/>
      <c r="BE18" s="6">
        <f t="shared" si="13"/>
        <v>0</v>
      </c>
      <c r="BF18" s="6">
        <f t="shared" si="14"/>
        <v>0</v>
      </c>
      <c r="BH18" s="1670">
        <f t="shared" si="15"/>
        <v>0</v>
      </c>
      <c r="BI18" s="4"/>
    </row>
    <row r="19" spans="1:61">
      <c r="A19" s="164">
        <v>2</v>
      </c>
      <c r="B19" s="165" t="s">
        <v>12</v>
      </c>
      <c r="C19" s="147">
        <f>SUM(C20:C24)</f>
        <v>300000</v>
      </c>
      <c r="D19" s="147">
        <f>SUM(D20:D24)</f>
        <v>300000</v>
      </c>
      <c r="E19" s="148"/>
      <c r="F19" s="149">
        <f>SUM(F20:F24)</f>
        <v>0</v>
      </c>
      <c r="G19" s="149">
        <f>SUM(G20:G24)</f>
        <v>300000</v>
      </c>
      <c r="H19" s="149">
        <f t="shared" ref="H19:I19" si="49">SUM(H20:H24)</f>
        <v>300000</v>
      </c>
      <c r="I19" s="149">
        <f t="shared" si="49"/>
        <v>0</v>
      </c>
      <c r="J19" s="147">
        <f>SUM(J20:J24)</f>
        <v>380000</v>
      </c>
      <c r="K19" s="141">
        <f>J19/C19*100</f>
        <v>126.66666666666666</v>
      </c>
      <c r="L19" s="1672">
        <f>J19/D19*100</f>
        <v>126.66666666666666</v>
      </c>
      <c r="M19" s="150">
        <f>SUM(M20:M24)</f>
        <v>0</v>
      </c>
      <c r="N19" s="150">
        <f>SUM(N20:N24)</f>
        <v>380000</v>
      </c>
      <c r="O19" s="150">
        <f t="shared" ref="O19:P19" si="50">SUM(O20:O24)</f>
        <v>380000</v>
      </c>
      <c r="P19" s="150">
        <f t="shared" si="50"/>
        <v>0</v>
      </c>
      <c r="Q19" s="142">
        <f>SUM(Q20:Q24)</f>
        <v>410000</v>
      </c>
      <c r="R19" s="1674">
        <f t="shared" ref="R19" si="51">Q19/J19*100</f>
        <v>107.89473684210526</v>
      </c>
      <c r="S19" s="1682">
        <f>SUM(S20:S24)</f>
        <v>0</v>
      </c>
      <c r="T19" s="1683">
        <f t="shared" ref="T19:V19" si="52">SUM(T20:T24)</f>
        <v>410000</v>
      </c>
      <c r="U19" s="1683">
        <f t="shared" si="52"/>
        <v>410000</v>
      </c>
      <c r="V19" s="1683">
        <f t="shared" si="52"/>
        <v>0</v>
      </c>
      <c r="W19" s="142">
        <f>SUM(W20:W24)</f>
        <v>425000</v>
      </c>
      <c r="X19" s="141">
        <f>W19/Q19*100</f>
        <v>103.65853658536585</v>
      </c>
      <c r="Y19" s="142">
        <f>SUM(Y20:Y24)</f>
        <v>0</v>
      </c>
      <c r="Z19" s="142">
        <f t="shared" ref="Z19" si="53">SUM(Z20:Z24)</f>
        <v>425000</v>
      </c>
      <c r="AA19" s="142">
        <f t="shared" ref="AA19" si="54">SUM(AA20:AA24)</f>
        <v>425000</v>
      </c>
      <c r="AB19" s="142">
        <f t="shared" ref="AB19" si="55">SUM(AB20:AB24)</f>
        <v>0</v>
      </c>
      <c r="AC19" s="142">
        <f>SUM(AC20:AC24)</f>
        <v>450000</v>
      </c>
      <c r="AD19" s="142">
        <f>AC19/W19*100</f>
        <v>105.88235294117648</v>
      </c>
      <c r="AE19" s="142">
        <f>SUM(AE20:AE24)</f>
        <v>0</v>
      </c>
      <c r="AF19" s="142">
        <f t="shared" ref="AF19" si="56">SUM(AF20:AF24)</f>
        <v>450000</v>
      </c>
      <c r="AG19" s="142">
        <f t="shared" ref="AG19" si="57">SUM(AG20:AG24)</f>
        <v>450000</v>
      </c>
      <c r="AH19" s="142">
        <f t="shared" ref="AH19" si="58">SUM(AH20:AH24)</f>
        <v>0</v>
      </c>
      <c r="AI19" s="142">
        <f>SUM(AI20:AI24)</f>
        <v>620000</v>
      </c>
      <c r="AJ19" s="142">
        <f>AI19/AC19*100</f>
        <v>137.77777777777777</v>
      </c>
      <c r="AK19" s="142">
        <f>SUM(AK20:AK24)</f>
        <v>0</v>
      </c>
      <c r="AL19" s="142">
        <f t="shared" ref="AL19" si="59">SUM(AL20:AL24)</f>
        <v>620000</v>
      </c>
      <c r="AM19" s="142">
        <f t="shared" ref="AM19" si="60">SUM(AM20:AM24)</f>
        <v>620000</v>
      </c>
      <c r="AN19" s="142">
        <f t="shared" ref="AN19" si="61">SUM(AN20:AN24)</f>
        <v>0</v>
      </c>
      <c r="AO19" s="142">
        <f>SUM(AO20:AO24)</f>
        <v>690000</v>
      </c>
      <c r="AP19" s="142">
        <f>AO19/AI19*100</f>
        <v>111.29032258064515</v>
      </c>
      <c r="AQ19" s="142">
        <f>SUM(AQ20:AQ24)</f>
        <v>0</v>
      </c>
      <c r="AR19" s="142">
        <f t="shared" ref="AR19" si="62">SUM(AR20:AR24)</f>
        <v>690000</v>
      </c>
      <c r="AS19" s="142">
        <f t="shared" ref="AS19" si="63">SUM(AS20:AS24)</f>
        <v>690000</v>
      </c>
      <c r="AT19" s="142">
        <f t="shared" ref="AT19" si="64">SUM(AT20:AT24)</f>
        <v>0</v>
      </c>
      <c r="AU19" s="142">
        <f>SUM(AU20:AU24)</f>
        <v>770000</v>
      </c>
      <c r="AV19" s="142">
        <f>AU19/AO19*100</f>
        <v>111.59420289855073</v>
      </c>
      <c r="AW19" s="142">
        <f>SUM(AW20:AW24)</f>
        <v>0</v>
      </c>
      <c r="AX19" s="142">
        <f t="shared" ref="AX19" si="65">SUM(AX20:AX24)</f>
        <v>770000</v>
      </c>
      <c r="AY19" s="142">
        <f t="shared" ref="AY19" si="66">SUM(AY20:AY24)</f>
        <v>770000</v>
      </c>
      <c r="AZ19" s="142">
        <f t="shared" ref="AZ19" si="67">SUM(AZ20:AZ24)</f>
        <v>0</v>
      </c>
      <c r="BE19" s="6">
        <f t="shared" si="13"/>
        <v>80000</v>
      </c>
      <c r="BF19" s="6">
        <f t="shared" si="14"/>
        <v>80000</v>
      </c>
      <c r="BH19" s="1670">
        <f t="shared" si="15"/>
        <v>80000</v>
      </c>
      <c r="BI19" s="4"/>
    </row>
    <row r="20" spans="1:61" ht="16.8" hidden="1">
      <c r="A20" s="164"/>
      <c r="B20" s="1716" t="s">
        <v>7</v>
      </c>
      <c r="C20" s="152">
        <f>110000</f>
        <v>110000</v>
      </c>
      <c r="D20" s="152">
        <f>C20</f>
        <v>110000</v>
      </c>
      <c r="E20" s="153"/>
      <c r="F20" s="154"/>
      <c r="G20" s="154">
        <f>SUM(H20:I20)</f>
        <v>110000</v>
      </c>
      <c r="H20" s="154">
        <f t="shared" si="34"/>
        <v>110000</v>
      </c>
      <c r="I20" s="154"/>
      <c r="J20" s="160">
        <f>210000+10000</f>
        <v>220000</v>
      </c>
      <c r="K20" s="155"/>
      <c r="L20" s="155"/>
      <c r="M20" s="1680"/>
      <c r="N20" s="1680">
        <f>SUM(O20:P20)</f>
        <v>220000</v>
      </c>
      <c r="O20" s="1680">
        <f t="shared" si="36"/>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E20" s="6">
        <f t="shared" si="13"/>
        <v>110000</v>
      </c>
      <c r="BF20" s="6">
        <f t="shared" si="14"/>
        <v>110000</v>
      </c>
      <c r="BH20" s="1670">
        <f t="shared" si="15"/>
        <v>110000</v>
      </c>
      <c r="BI20" s="4"/>
    </row>
    <row r="21" spans="1:61" ht="16.8" hidden="1">
      <c r="A21" s="164"/>
      <c r="B21" s="1716" t="s">
        <v>8</v>
      </c>
      <c r="C21" s="152">
        <f>106000</f>
        <v>106000</v>
      </c>
      <c r="D21" s="152">
        <f>C21</f>
        <v>106000</v>
      </c>
      <c r="E21" s="153"/>
      <c r="F21" s="154"/>
      <c r="G21" s="154">
        <f t="shared" ref="G21:G24" si="68">SUM(H21:I21)</f>
        <v>106000</v>
      </c>
      <c r="H21" s="154">
        <f t="shared" si="34"/>
        <v>106000</v>
      </c>
      <c r="I21" s="154"/>
      <c r="J21" s="160">
        <v>80000</v>
      </c>
      <c r="K21" s="155"/>
      <c r="L21" s="155"/>
      <c r="M21" s="1680"/>
      <c r="N21" s="1680">
        <f t="shared" ref="N21:N24" si="69">SUM(O21:P21)</f>
        <v>80000</v>
      </c>
      <c r="O21" s="1680">
        <f t="shared" si="36"/>
        <v>80000</v>
      </c>
      <c r="P21" s="1680"/>
      <c r="Q21" s="1717">
        <v>85000</v>
      </c>
      <c r="R21" s="199"/>
      <c r="S21" s="199"/>
      <c r="T21" s="1681">
        <f t="shared" ref="T21:T24" si="70">SUM(U21:V21)</f>
        <v>85000</v>
      </c>
      <c r="U21" s="1681">
        <f t="shared" ref="U21:U24" si="71">Q21-S21-V21</f>
        <v>85000</v>
      </c>
      <c r="V21" s="1681"/>
      <c r="W21" s="157">
        <v>90000</v>
      </c>
      <c r="X21" s="155"/>
      <c r="Y21" s="157"/>
      <c r="Z21" s="157">
        <f t="shared" ref="Z21:Z24" si="72">SUM(AA21:AB21)</f>
        <v>90000</v>
      </c>
      <c r="AA21" s="157">
        <f t="shared" ref="AA21:AA24" si="73">W21-Y21-AB21</f>
        <v>90000</v>
      </c>
      <c r="AB21" s="157"/>
      <c r="AC21" s="157">
        <v>95000</v>
      </c>
      <c r="AD21" s="157"/>
      <c r="AE21" s="157"/>
      <c r="AF21" s="157">
        <f t="shared" ref="AF21:AF24" si="74">SUM(AG21:AH21)</f>
        <v>95000</v>
      </c>
      <c r="AG21" s="157">
        <f t="shared" ref="AG21:AG24" si="75">AC21-AE21-AH21</f>
        <v>95000</v>
      </c>
      <c r="AH21" s="157"/>
      <c r="AI21" s="157">
        <v>135000</v>
      </c>
      <c r="AJ21" s="157"/>
      <c r="AK21" s="157"/>
      <c r="AL21" s="157">
        <f t="shared" ref="AL21:AL24" si="76">SUM(AM21:AN21)</f>
        <v>135000</v>
      </c>
      <c r="AM21" s="157">
        <f t="shared" ref="AM21:AM24" si="77">AI21-AK21-AN21</f>
        <v>135000</v>
      </c>
      <c r="AN21" s="157"/>
      <c r="AO21" s="157">
        <v>150000</v>
      </c>
      <c r="AP21" s="157"/>
      <c r="AQ21" s="157"/>
      <c r="AR21" s="157">
        <f t="shared" ref="AR21:AR24" si="78">SUM(AS21:AT21)</f>
        <v>150000</v>
      </c>
      <c r="AS21" s="157">
        <f t="shared" ref="AS21:AS24" si="79">AO21-AQ21-AT21</f>
        <v>150000</v>
      </c>
      <c r="AT21" s="157"/>
      <c r="AU21" s="157">
        <v>166000</v>
      </c>
      <c r="AV21" s="157"/>
      <c r="AW21" s="157"/>
      <c r="AX21" s="157">
        <f t="shared" ref="AX21:AX24" si="80">SUM(AY21:AZ21)</f>
        <v>166000</v>
      </c>
      <c r="AY21" s="157">
        <f t="shared" ref="AY21:AY24" si="81">AU21-AW21-AZ21</f>
        <v>166000</v>
      </c>
      <c r="AZ21" s="157"/>
      <c r="BE21" s="6">
        <f t="shared" si="13"/>
        <v>-26000</v>
      </c>
      <c r="BF21" s="6">
        <f t="shared" si="14"/>
        <v>-26000</v>
      </c>
      <c r="BH21" s="1670">
        <f t="shared" si="15"/>
        <v>-26000</v>
      </c>
      <c r="BI21" s="4"/>
    </row>
    <row r="22" spans="1:61" hidden="1">
      <c r="A22" s="164"/>
      <c r="B22" s="1716" t="s">
        <v>9</v>
      </c>
      <c r="C22" s="152">
        <v>0</v>
      </c>
      <c r="D22" s="152"/>
      <c r="E22" s="153"/>
      <c r="F22" s="154"/>
      <c r="G22" s="154">
        <f t="shared" si="68"/>
        <v>0</v>
      </c>
      <c r="H22" s="154">
        <f t="shared" si="34"/>
        <v>0</v>
      </c>
      <c r="I22" s="154"/>
      <c r="J22" s="160"/>
      <c r="K22" s="155"/>
      <c r="L22" s="155"/>
      <c r="M22" s="1680"/>
      <c r="N22" s="1680">
        <f t="shared" si="69"/>
        <v>0</v>
      </c>
      <c r="O22" s="1680">
        <f t="shared" si="36"/>
        <v>0</v>
      </c>
      <c r="P22" s="1680"/>
      <c r="Q22" s="157"/>
      <c r="R22" s="199"/>
      <c r="S22" s="199"/>
      <c r="T22" s="1681">
        <f t="shared" si="70"/>
        <v>0</v>
      </c>
      <c r="U22" s="1681">
        <f t="shared" si="71"/>
        <v>0</v>
      </c>
      <c r="V22" s="1681"/>
      <c r="W22" s="157"/>
      <c r="X22" s="155"/>
      <c r="Y22" s="157"/>
      <c r="Z22" s="157">
        <f t="shared" si="72"/>
        <v>0</v>
      </c>
      <c r="AA22" s="157">
        <f t="shared" si="73"/>
        <v>0</v>
      </c>
      <c r="AB22" s="157"/>
      <c r="AC22" s="157"/>
      <c r="AD22" s="157"/>
      <c r="AE22" s="157"/>
      <c r="AF22" s="157">
        <f t="shared" si="74"/>
        <v>0</v>
      </c>
      <c r="AG22" s="157">
        <f t="shared" si="75"/>
        <v>0</v>
      </c>
      <c r="AH22" s="157"/>
      <c r="AI22" s="157"/>
      <c r="AJ22" s="157"/>
      <c r="AK22" s="157"/>
      <c r="AL22" s="157">
        <f t="shared" si="76"/>
        <v>0</v>
      </c>
      <c r="AM22" s="157">
        <f t="shared" si="77"/>
        <v>0</v>
      </c>
      <c r="AN22" s="157"/>
      <c r="AO22" s="157"/>
      <c r="AP22" s="157"/>
      <c r="AQ22" s="157"/>
      <c r="AR22" s="157">
        <f t="shared" si="78"/>
        <v>0</v>
      </c>
      <c r="AS22" s="157">
        <f t="shared" si="79"/>
        <v>0</v>
      </c>
      <c r="AT22" s="157"/>
      <c r="AU22" s="157"/>
      <c r="AV22" s="157"/>
      <c r="AW22" s="157"/>
      <c r="AX22" s="157">
        <f t="shared" si="80"/>
        <v>0</v>
      </c>
      <c r="AY22" s="157">
        <f t="shared" si="81"/>
        <v>0</v>
      </c>
      <c r="AZ22" s="157"/>
      <c r="BE22" s="6">
        <f t="shared" si="13"/>
        <v>0</v>
      </c>
      <c r="BF22" s="6">
        <f t="shared" si="14"/>
        <v>0</v>
      </c>
      <c r="BH22" s="1670">
        <f t="shared" si="15"/>
        <v>0</v>
      </c>
      <c r="BI22" s="4"/>
    </row>
    <row r="23" spans="1:61" ht="16.8" hidden="1">
      <c r="A23" s="164"/>
      <c r="B23" s="1716" t="s">
        <v>10</v>
      </c>
      <c r="C23" s="152">
        <f>84000</f>
        <v>84000</v>
      </c>
      <c r="D23" s="152">
        <f>C23</f>
        <v>84000</v>
      </c>
      <c r="E23" s="153"/>
      <c r="F23" s="154"/>
      <c r="G23" s="154">
        <f t="shared" si="68"/>
        <v>84000</v>
      </c>
      <c r="H23" s="154">
        <f t="shared" si="34"/>
        <v>84000</v>
      </c>
      <c r="I23" s="154"/>
      <c r="J23" s="160">
        <v>80000</v>
      </c>
      <c r="K23" s="155"/>
      <c r="L23" s="155"/>
      <c r="M23" s="1680"/>
      <c r="N23" s="1680">
        <f t="shared" si="69"/>
        <v>80000</v>
      </c>
      <c r="O23" s="1680">
        <f t="shared" si="36"/>
        <v>80000</v>
      </c>
      <c r="P23" s="1680"/>
      <c r="Q23" s="1717">
        <v>85000</v>
      </c>
      <c r="R23" s="199"/>
      <c r="S23" s="199"/>
      <c r="T23" s="1681">
        <f t="shared" si="70"/>
        <v>85000</v>
      </c>
      <c r="U23" s="1681">
        <f t="shared" si="71"/>
        <v>85000</v>
      </c>
      <c r="V23" s="1681"/>
      <c r="W23" s="157">
        <v>90000</v>
      </c>
      <c r="X23" s="155"/>
      <c r="Y23" s="157"/>
      <c r="Z23" s="157">
        <f t="shared" si="72"/>
        <v>90000</v>
      </c>
      <c r="AA23" s="157">
        <f t="shared" si="73"/>
        <v>90000</v>
      </c>
      <c r="AB23" s="157"/>
      <c r="AC23" s="157">
        <v>95000</v>
      </c>
      <c r="AD23" s="157"/>
      <c r="AE23" s="157"/>
      <c r="AF23" s="157">
        <f t="shared" si="74"/>
        <v>95000</v>
      </c>
      <c r="AG23" s="157">
        <f t="shared" si="75"/>
        <v>95000</v>
      </c>
      <c r="AH23" s="157"/>
      <c r="AI23" s="157">
        <v>110000</v>
      </c>
      <c r="AJ23" s="157"/>
      <c r="AK23" s="157"/>
      <c r="AL23" s="157">
        <f t="shared" si="76"/>
        <v>110000</v>
      </c>
      <c r="AM23" s="157">
        <f t="shared" si="77"/>
        <v>110000</v>
      </c>
      <c r="AN23" s="157"/>
      <c r="AO23" s="157">
        <v>120000</v>
      </c>
      <c r="AP23" s="157"/>
      <c r="AQ23" s="157"/>
      <c r="AR23" s="157">
        <f t="shared" si="78"/>
        <v>120000</v>
      </c>
      <c r="AS23" s="157">
        <f t="shared" si="79"/>
        <v>120000</v>
      </c>
      <c r="AT23" s="157"/>
      <c r="AU23" s="157">
        <v>135000</v>
      </c>
      <c r="AV23" s="157"/>
      <c r="AW23" s="157"/>
      <c r="AX23" s="157">
        <f t="shared" si="80"/>
        <v>135000</v>
      </c>
      <c r="AY23" s="157">
        <f t="shared" si="81"/>
        <v>135000</v>
      </c>
      <c r="AZ23" s="157"/>
      <c r="BE23" s="6">
        <f t="shared" si="13"/>
        <v>-4000</v>
      </c>
      <c r="BF23" s="6">
        <f t="shared" si="14"/>
        <v>-4000</v>
      </c>
      <c r="BH23" s="1670">
        <f t="shared" si="15"/>
        <v>-4000</v>
      </c>
      <c r="BI23" s="4"/>
    </row>
    <row r="24" spans="1:61" hidden="1">
      <c r="A24" s="164"/>
      <c r="B24" s="1716" t="s">
        <v>11</v>
      </c>
      <c r="C24" s="152">
        <v>0</v>
      </c>
      <c r="D24" s="152"/>
      <c r="E24" s="153"/>
      <c r="F24" s="154"/>
      <c r="G24" s="154">
        <f t="shared" si="68"/>
        <v>0</v>
      </c>
      <c r="H24" s="154">
        <f t="shared" si="34"/>
        <v>0</v>
      </c>
      <c r="I24" s="154"/>
      <c r="J24" s="160"/>
      <c r="K24" s="155"/>
      <c r="L24" s="155"/>
      <c r="M24" s="1680"/>
      <c r="N24" s="1680">
        <f t="shared" si="69"/>
        <v>0</v>
      </c>
      <c r="O24" s="1680">
        <f t="shared" si="36"/>
        <v>0</v>
      </c>
      <c r="P24" s="1680"/>
      <c r="Q24" s="157"/>
      <c r="R24" s="199"/>
      <c r="S24" s="199"/>
      <c r="T24" s="1681">
        <f t="shared" si="70"/>
        <v>0</v>
      </c>
      <c r="U24" s="1681">
        <f t="shared" si="71"/>
        <v>0</v>
      </c>
      <c r="V24" s="1681"/>
      <c r="W24" s="157"/>
      <c r="X24" s="155"/>
      <c r="Y24" s="157"/>
      <c r="Z24" s="157">
        <f t="shared" si="72"/>
        <v>0</v>
      </c>
      <c r="AA24" s="157">
        <f t="shared" si="73"/>
        <v>0</v>
      </c>
      <c r="AB24" s="157"/>
      <c r="AC24" s="157"/>
      <c r="AD24" s="157"/>
      <c r="AE24" s="157"/>
      <c r="AF24" s="157">
        <f t="shared" si="74"/>
        <v>0</v>
      </c>
      <c r="AG24" s="157">
        <f t="shared" si="75"/>
        <v>0</v>
      </c>
      <c r="AH24" s="157"/>
      <c r="AI24" s="157"/>
      <c r="AJ24" s="157"/>
      <c r="AK24" s="157"/>
      <c r="AL24" s="157">
        <f t="shared" si="76"/>
        <v>0</v>
      </c>
      <c r="AM24" s="157">
        <f t="shared" si="77"/>
        <v>0</v>
      </c>
      <c r="AN24" s="157"/>
      <c r="AO24" s="157"/>
      <c r="AP24" s="157"/>
      <c r="AQ24" s="157"/>
      <c r="AR24" s="157">
        <f t="shared" si="78"/>
        <v>0</v>
      </c>
      <c r="AS24" s="157">
        <f t="shared" si="79"/>
        <v>0</v>
      </c>
      <c r="AT24" s="157"/>
      <c r="AU24" s="157"/>
      <c r="AV24" s="157"/>
      <c r="AW24" s="157"/>
      <c r="AX24" s="157">
        <f t="shared" si="80"/>
        <v>0</v>
      </c>
      <c r="AY24" s="157">
        <f t="shared" si="81"/>
        <v>0</v>
      </c>
      <c r="AZ24" s="157"/>
      <c r="BE24" s="6">
        <f t="shared" si="13"/>
        <v>0</v>
      </c>
      <c r="BF24" s="6">
        <f t="shared" si="14"/>
        <v>0</v>
      </c>
      <c r="BH24" s="1670">
        <f t="shared" si="15"/>
        <v>0</v>
      </c>
      <c r="BI24" s="4"/>
    </row>
    <row r="25" spans="1:61">
      <c r="A25" s="164">
        <v>3</v>
      </c>
      <c r="B25" s="165" t="s">
        <v>13</v>
      </c>
      <c r="C25" s="147">
        <f>SUM(C26:C29)</f>
        <v>75000</v>
      </c>
      <c r="D25" s="147">
        <f>SUM(D26:D29)</f>
        <v>75000</v>
      </c>
      <c r="E25" s="148"/>
      <c r="F25" s="149">
        <f>SUM(F26:F29)</f>
        <v>0</v>
      </c>
      <c r="G25" s="149">
        <f>SUM(G26:G29)</f>
        <v>75000</v>
      </c>
      <c r="H25" s="149">
        <f t="shared" ref="H25:I25" si="82">SUM(H26:H29)</f>
        <v>75000</v>
      </c>
      <c r="I25" s="149">
        <f t="shared" si="82"/>
        <v>0</v>
      </c>
      <c r="J25" s="147">
        <f>SUM(J26:J29)</f>
        <v>85000</v>
      </c>
      <c r="K25" s="141">
        <f>J25/C25*100</f>
        <v>113.33333333333333</v>
      </c>
      <c r="L25" s="1672">
        <f>J25/D25*100</f>
        <v>113.33333333333333</v>
      </c>
      <c r="M25" s="150">
        <f>SUM(M26:M29)</f>
        <v>0</v>
      </c>
      <c r="N25" s="150">
        <f t="shared" ref="N25:P25" si="83">SUM(N26:N29)</f>
        <v>85000</v>
      </c>
      <c r="O25" s="150">
        <f t="shared" si="83"/>
        <v>85000</v>
      </c>
      <c r="P25" s="150">
        <f t="shared" si="83"/>
        <v>0</v>
      </c>
      <c r="Q25" s="142">
        <f>SUM(Q26:Q29)</f>
        <v>80000</v>
      </c>
      <c r="R25" s="1674">
        <f t="shared" ref="R25" si="84">Q25/J25*100</f>
        <v>94.117647058823522</v>
      </c>
      <c r="S25" s="1682">
        <f>SUM(S26:S29)</f>
        <v>0</v>
      </c>
      <c r="T25" s="1683">
        <f t="shared" ref="T25:V25" si="85">SUM(T26:T29)</f>
        <v>80000</v>
      </c>
      <c r="U25" s="1683">
        <f t="shared" si="85"/>
        <v>80000</v>
      </c>
      <c r="V25" s="1683">
        <f t="shared" si="85"/>
        <v>0</v>
      </c>
      <c r="W25" s="142">
        <f>SUM(W26:W29)</f>
        <v>90000</v>
      </c>
      <c r="X25" s="141">
        <f>W25/Q25*100</f>
        <v>112.5</v>
      </c>
      <c r="Y25" s="142">
        <f>SUM(Y26:Y29)</f>
        <v>0</v>
      </c>
      <c r="Z25" s="142">
        <f t="shared" ref="Z25" si="86">SUM(Z26:Z29)</f>
        <v>90000</v>
      </c>
      <c r="AA25" s="142">
        <f t="shared" ref="AA25" si="87">SUM(AA26:AA29)</f>
        <v>90000</v>
      </c>
      <c r="AB25" s="142">
        <f t="shared" ref="AB25" si="88">SUM(AB26:AB29)</f>
        <v>0</v>
      </c>
      <c r="AC25" s="142">
        <f>SUM(AC26:AC29)</f>
        <v>95000</v>
      </c>
      <c r="AD25" s="142">
        <f>AC25/W25*100</f>
        <v>105.55555555555556</v>
      </c>
      <c r="AE25" s="142">
        <f>SUM(AE26:AE29)</f>
        <v>0</v>
      </c>
      <c r="AF25" s="142">
        <f t="shared" ref="AF25" si="89">SUM(AF26:AF29)</f>
        <v>95000</v>
      </c>
      <c r="AG25" s="142">
        <f t="shared" ref="AG25" si="90">SUM(AG26:AG29)</f>
        <v>95000</v>
      </c>
      <c r="AH25" s="142">
        <f t="shared" ref="AH25" si="91">SUM(AH26:AH29)</f>
        <v>0</v>
      </c>
      <c r="AI25" s="142">
        <f>SUM(AI26:AI29)</f>
        <v>130000</v>
      </c>
      <c r="AJ25" s="142">
        <f>AI25/AC25*100</f>
        <v>136.84210526315789</v>
      </c>
      <c r="AK25" s="142">
        <f>SUM(AK26:AK29)</f>
        <v>0</v>
      </c>
      <c r="AL25" s="142">
        <f t="shared" ref="AL25" si="92">SUM(AL26:AL29)</f>
        <v>130000</v>
      </c>
      <c r="AM25" s="142">
        <f t="shared" ref="AM25" si="93">SUM(AM26:AM29)</f>
        <v>0</v>
      </c>
      <c r="AN25" s="142">
        <f t="shared" ref="AN25" si="94">SUM(AN26:AN29)</f>
        <v>130000</v>
      </c>
      <c r="AO25" s="142">
        <f>SUM(AO26:AO29)</f>
        <v>140000</v>
      </c>
      <c r="AP25" s="142">
        <f>AO25/AI25*100</f>
        <v>107.69230769230769</v>
      </c>
      <c r="AQ25" s="142">
        <f>SUM(AQ26:AQ29)</f>
        <v>0</v>
      </c>
      <c r="AR25" s="142">
        <f t="shared" ref="AR25" si="95">SUM(AR26:AR29)</f>
        <v>140000</v>
      </c>
      <c r="AS25" s="142">
        <f t="shared" ref="AS25" si="96">SUM(AS26:AS29)</f>
        <v>140000</v>
      </c>
      <c r="AT25" s="142">
        <f t="shared" ref="AT25" si="97">SUM(AT26:AT29)</f>
        <v>0</v>
      </c>
      <c r="AU25" s="142">
        <f>SUM(AU26:AU29)</f>
        <v>153000</v>
      </c>
      <c r="AV25" s="142">
        <f>AU25/AO25*100</f>
        <v>109.28571428571428</v>
      </c>
      <c r="AW25" s="142">
        <f>SUM(AW26:AW29)</f>
        <v>0</v>
      </c>
      <c r="AX25" s="142">
        <f t="shared" ref="AX25" si="98">SUM(AX26:AX29)</f>
        <v>153000</v>
      </c>
      <c r="AY25" s="142">
        <f t="shared" ref="AY25" si="99">SUM(AY26:AY29)</f>
        <v>153000</v>
      </c>
      <c r="AZ25" s="142">
        <f t="shared" ref="AZ25" si="100">SUM(AZ26:AZ29)</f>
        <v>0</v>
      </c>
      <c r="BE25" s="6">
        <f t="shared" si="13"/>
        <v>10000</v>
      </c>
      <c r="BF25" s="6">
        <f t="shared" si="14"/>
        <v>10000</v>
      </c>
      <c r="BH25" s="1670">
        <f t="shared" si="15"/>
        <v>10000</v>
      </c>
      <c r="BI25" s="4"/>
    </row>
    <row r="26" spans="1:61" ht="16.8" hidden="1">
      <c r="A26" s="164"/>
      <c r="B26" s="1716" t="s">
        <v>7</v>
      </c>
      <c r="C26" s="152">
        <v>16000</v>
      </c>
      <c r="D26" s="152">
        <f>C26</f>
        <v>16000</v>
      </c>
      <c r="E26" s="153"/>
      <c r="F26" s="154"/>
      <c r="G26" s="154">
        <f>SUM(H26:I26)</f>
        <v>16000</v>
      </c>
      <c r="H26" s="154">
        <f t="shared" si="34"/>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E26" s="6">
        <f t="shared" si="13"/>
        <v>0</v>
      </c>
      <c r="BF26" s="6">
        <f t="shared" si="14"/>
        <v>0</v>
      </c>
      <c r="BH26" s="1670">
        <f t="shared" si="15"/>
        <v>0</v>
      </c>
      <c r="BI26" s="4"/>
    </row>
    <row r="27" spans="1:61" ht="16.8" hidden="1">
      <c r="A27" s="164"/>
      <c r="B27" s="1716" t="s">
        <v>8</v>
      </c>
      <c r="C27" s="152">
        <v>59000</v>
      </c>
      <c r="D27" s="152">
        <f>C27</f>
        <v>59000</v>
      </c>
      <c r="E27" s="153"/>
      <c r="F27" s="154"/>
      <c r="G27" s="154">
        <f t="shared" ref="G27:G29" si="101">SUM(H27:I27)</f>
        <v>59000</v>
      </c>
      <c r="H27" s="154">
        <f t="shared" si="34"/>
        <v>59000</v>
      </c>
      <c r="I27" s="154"/>
      <c r="J27" s="160">
        <v>69000</v>
      </c>
      <c r="K27" s="155"/>
      <c r="L27" s="155"/>
      <c r="M27" s="1680"/>
      <c r="N27" s="1680">
        <f t="shared" ref="N27:N29" si="102">SUM(O27:P27)</f>
        <v>69000</v>
      </c>
      <c r="O27" s="1680">
        <f t="shared" ref="O27:O29" si="103">J27-M27-P27</f>
        <v>69000</v>
      </c>
      <c r="P27" s="1680"/>
      <c r="Q27" s="1717">
        <f>68000-3000</f>
        <v>65000</v>
      </c>
      <c r="R27" s="199"/>
      <c r="S27" s="199"/>
      <c r="T27" s="1681">
        <f t="shared" ref="T27:T29" si="104">SUM(U27:V27)</f>
        <v>65000</v>
      </c>
      <c r="U27" s="1681">
        <f t="shared" ref="U27:U29" si="105">Q27-S27-V27</f>
        <v>65000</v>
      </c>
      <c r="V27" s="1681"/>
      <c r="W27" s="157">
        <v>72000</v>
      </c>
      <c r="X27" s="155"/>
      <c r="Y27" s="157"/>
      <c r="Z27" s="157">
        <f t="shared" ref="Z27:Z29" si="106">SUM(AA27:AB27)</f>
        <v>72000</v>
      </c>
      <c r="AA27" s="157">
        <f t="shared" ref="AA27:AA29" si="107">W27-Y27-AB27</f>
        <v>72000</v>
      </c>
      <c r="AB27" s="157"/>
      <c r="AC27" s="157">
        <v>76000</v>
      </c>
      <c r="AD27" s="157"/>
      <c r="AE27" s="157"/>
      <c r="AF27" s="157">
        <f t="shared" ref="AF27:AF29" si="108">SUM(AG27:AH27)</f>
        <v>76000</v>
      </c>
      <c r="AG27" s="157">
        <f t="shared" ref="AG27:AG29" si="109">AC27-AE27-AH27</f>
        <v>76000</v>
      </c>
      <c r="AH27" s="157"/>
      <c r="AI27" s="157">
        <v>102000</v>
      </c>
      <c r="AJ27" s="157"/>
      <c r="AK27" s="157"/>
      <c r="AL27" s="157">
        <f t="shared" ref="AL27:AL29" si="110">SUM(AM27:AN27)</f>
        <v>102000</v>
      </c>
      <c r="AM27" s="157">
        <f t="shared" ref="AM27:AM29" si="111">AI27-AK27-AN27</f>
        <v>0</v>
      </c>
      <c r="AN27" s="157">
        <f>AI27</f>
        <v>102000</v>
      </c>
      <c r="AO27" s="157">
        <v>110000</v>
      </c>
      <c r="AP27" s="157"/>
      <c r="AQ27" s="157"/>
      <c r="AR27" s="157">
        <f t="shared" ref="AR27:AR29" si="112">SUM(AS27:AT27)</f>
        <v>110000</v>
      </c>
      <c r="AS27" s="157">
        <f t="shared" ref="AS27:AS29" si="113">AO27-AQ27-AT27</f>
        <v>110000</v>
      </c>
      <c r="AT27" s="157"/>
      <c r="AU27" s="157">
        <v>120500</v>
      </c>
      <c r="AV27" s="157"/>
      <c r="AW27" s="157"/>
      <c r="AX27" s="157">
        <f t="shared" ref="AX27:AX29" si="114">SUM(AY27:AZ27)</f>
        <v>120500</v>
      </c>
      <c r="AY27" s="157">
        <f t="shared" ref="AY27:AY29" si="115">AU27-AW27-AZ27</f>
        <v>120500</v>
      </c>
      <c r="AZ27" s="157"/>
      <c r="BE27" s="6">
        <f t="shared" si="13"/>
        <v>10000</v>
      </c>
      <c r="BF27" s="6">
        <f t="shared" si="14"/>
        <v>10000</v>
      </c>
      <c r="BH27" s="1670">
        <f t="shared" si="15"/>
        <v>10000</v>
      </c>
      <c r="BI27" s="4"/>
    </row>
    <row r="28" spans="1:61" hidden="1">
      <c r="A28" s="164"/>
      <c r="B28" s="1716" t="s">
        <v>10</v>
      </c>
      <c r="C28" s="152">
        <v>0</v>
      </c>
      <c r="D28" s="152"/>
      <c r="E28" s="153"/>
      <c r="F28" s="154"/>
      <c r="G28" s="154">
        <f t="shared" si="101"/>
        <v>0</v>
      </c>
      <c r="H28" s="154">
        <f t="shared" si="34"/>
        <v>0</v>
      </c>
      <c r="I28" s="154"/>
      <c r="J28" s="160">
        <v>0</v>
      </c>
      <c r="K28" s="155"/>
      <c r="L28" s="155"/>
      <c r="M28" s="1680"/>
      <c r="N28" s="1680">
        <f t="shared" si="102"/>
        <v>0</v>
      </c>
      <c r="O28" s="1680">
        <f t="shared" si="103"/>
        <v>0</v>
      </c>
      <c r="P28" s="1680"/>
      <c r="Q28" s="157"/>
      <c r="R28" s="199"/>
      <c r="S28" s="199"/>
      <c r="T28" s="1681">
        <f t="shared" si="104"/>
        <v>0</v>
      </c>
      <c r="U28" s="1681">
        <f t="shared" si="105"/>
        <v>0</v>
      </c>
      <c r="V28" s="1681"/>
      <c r="W28" s="157"/>
      <c r="X28" s="155"/>
      <c r="Y28" s="157"/>
      <c r="Z28" s="157">
        <f t="shared" si="106"/>
        <v>0</v>
      </c>
      <c r="AA28" s="157">
        <f t="shared" si="107"/>
        <v>0</v>
      </c>
      <c r="AB28" s="157"/>
      <c r="AC28" s="157"/>
      <c r="AD28" s="157"/>
      <c r="AE28" s="157"/>
      <c r="AF28" s="157">
        <f t="shared" si="108"/>
        <v>0</v>
      </c>
      <c r="AG28" s="157">
        <f t="shared" si="109"/>
        <v>0</v>
      </c>
      <c r="AH28" s="157"/>
      <c r="AI28" s="157">
        <v>0</v>
      </c>
      <c r="AJ28" s="157"/>
      <c r="AK28" s="157"/>
      <c r="AL28" s="157">
        <f t="shared" si="110"/>
        <v>0</v>
      </c>
      <c r="AM28" s="157">
        <f t="shared" si="111"/>
        <v>0</v>
      </c>
      <c r="AN28" s="157"/>
      <c r="AO28" s="157"/>
      <c r="AP28" s="157"/>
      <c r="AQ28" s="157"/>
      <c r="AR28" s="157">
        <f t="shared" si="112"/>
        <v>0</v>
      </c>
      <c r="AS28" s="157">
        <f t="shared" si="113"/>
        <v>0</v>
      </c>
      <c r="AT28" s="157"/>
      <c r="AU28" s="157"/>
      <c r="AV28" s="157"/>
      <c r="AW28" s="157"/>
      <c r="AX28" s="157">
        <f t="shared" si="114"/>
        <v>0</v>
      </c>
      <c r="AY28" s="157">
        <f t="shared" si="115"/>
        <v>0</v>
      </c>
      <c r="AZ28" s="157"/>
      <c r="BE28" s="6">
        <f t="shared" si="13"/>
        <v>0</v>
      </c>
      <c r="BF28" s="6">
        <f t="shared" si="14"/>
        <v>0</v>
      </c>
      <c r="BH28" s="1670">
        <f t="shared" si="15"/>
        <v>0</v>
      </c>
      <c r="BI28" s="4"/>
    </row>
    <row r="29" spans="1:61" hidden="1">
      <c r="A29" s="164"/>
      <c r="B29" s="1716" t="s">
        <v>14</v>
      </c>
      <c r="C29" s="152">
        <v>0</v>
      </c>
      <c r="D29" s="152"/>
      <c r="E29" s="153"/>
      <c r="F29" s="154"/>
      <c r="G29" s="154">
        <f t="shared" si="101"/>
        <v>0</v>
      </c>
      <c r="H29" s="154">
        <f t="shared" si="34"/>
        <v>0</v>
      </c>
      <c r="I29" s="154"/>
      <c r="J29" s="160"/>
      <c r="K29" s="155"/>
      <c r="L29" s="155"/>
      <c r="M29" s="1680"/>
      <c r="N29" s="1680">
        <f t="shared" si="102"/>
        <v>0</v>
      </c>
      <c r="O29" s="1680">
        <f t="shared" si="103"/>
        <v>0</v>
      </c>
      <c r="P29" s="1680"/>
      <c r="Q29" s="157"/>
      <c r="R29" s="199"/>
      <c r="S29" s="199"/>
      <c r="T29" s="1681">
        <f t="shared" si="104"/>
        <v>0</v>
      </c>
      <c r="U29" s="1681">
        <f t="shared" si="105"/>
        <v>0</v>
      </c>
      <c r="V29" s="1681"/>
      <c r="W29" s="157"/>
      <c r="X29" s="155"/>
      <c r="Y29" s="157"/>
      <c r="Z29" s="157">
        <f t="shared" si="106"/>
        <v>0</v>
      </c>
      <c r="AA29" s="157">
        <f t="shared" si="107"/>
        <v>0</v>
      </c>
      <c r="AB29" s="157"/>
      <c r="AC29" s="157"/>
      <c r="AD29" s="157"/>
      <c r="AE29" s="157"/>
      <c r="AF29" s="157">
        <f t="shared" si="108"/>
        <v>0</v>
      </c>
      <c r="AG29" s="157">
        <f t="shared" si="109"/>
        <v>0</v>
      </c>
      <c r="AH29" s="157"/>
      <c r="AI29" s="157">
        <v>0</v>
      </c>
      <c r="AJ29" s="157"/>
      <c r="AK29" s="157"/>
      <c r="AL29" s="157">
        <f t="shared" si="110"/>
        <v>0</v>
      </c>
      <c r="AM29" s="157">
        <f t="shared" si="111"/>
        <v>0</v>
      </c>
      <c r="AN29" s="157"/>
      <c r="AO29" s="157"/>
      <c r="AP29" s="157"/>
      <c r="AQ29" s="157"/>
      <c r="AR29" s="157">
        <f t="shared" si="112"/>
        <v>0</v>
      </c>
      <c r="AS29" s="157">
        <f t="shared" si="113"/>
        <v>0</v>
      </c>
      <c r="AT29" s="157"/>
      <c r="AU29" s="157"/>
      <c r="AV29" s="157"/>
      <c r="AW29" s="157"/>
      <c r="AX29" s="157">
        <f t="shared" si="114"/>
        <v>0</v>
      </c>
      <c r="AY29" s="157">
        <f t="shared" si="115"/>
        <v>0</v>
      </c>
      <c r="AZ29" s="157"/>
      <c r="BE29" s="6">
        <f t="shared" si="13"/>
        <v>0</v>
      </c>
      <c r="BF29" s="6">
        <f t="shared" si="14"/>
        <v>0</v>
      </c>
      <c r="BH29" s="1670">
        <f t="shared" si="15"/>
        <v>0</v>
      </c>
      <c r="BI29" s="4"/>
    </row>
    <row r="30" spans="1:61">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16">SUM(N31:N35)</f>
        <v>1318000</v>
      </c>
      <c r="O30" s="150">
        <f t="shared" si="116"/>
        <v>68000</v>
      </c>
      <c r="P30" s="150">
        <f t="shared" si="116"/>
        <v>1250000</v>
      </c>
      <c r="Q30" s="142">
        <f>SUM(Q31:Q35)</f>
        <v>1470000</v>
      </c>
      <c r="R30" s="1674">
        <f t="shared" ref="R30" si="117">Q30/J30*100</f>
        <v>111.53262518968134</v>
      </c>
      <c r="S30" s="1682">
        <f>SUM(S31:S35)</f>
        <v>0</v>
      </c>
      <c r="T30" s="1683">
        <f t="shared" ref="T30:V30" si="118">SUM(T31:T35)</f>
        <v>1470000</v>
      </c>
      <c r="U30" s="1683">
        <f t="shared" si="118"/>
        <v>73000</v>
      </c>
      <c r="V30" s="1683">
        <f t="shared" si="118"/>
        <v>1397000</v>
      </c>
      <c r="W30" s="142">
        <f>SUM(W31:W35)</f>
        <v>1625000</v>
      </c>
      <c r="X30" s="141">
        <f>W30/Q30*100</f>
        <v>110.54421768707483</v>
      </c>
      <c r="Y30" s="142">
        <f>SUM(Y31:Y35)</f>
        <v>0</v>
      </c>
      <c r="Z30" s="142">
        <f t="shared" ref="Z30" si="119">SUM(Z31:Z35)</f>
        <v>1625000</v>
      </c>
      <c r="AA30" s="142">
        <f t="shared" ref="AA30" si="120">SUM(AA31:AA35)</f>
        <v>77000</v>
      </c>
      <c r="AB30" s="142">
        <f t="shared" ref="AB30" si="121">SUM(AB31:AB35)</f>
        <v>1548000</v>
      </c>
      <c r="AC30" s="142">
        <f>SUM(AC31:AC35)</f>
        <v>1716000</v>
      </c>
      <c r="AD30" s="142">
        <f>AC30/W30*100</f>
        <v>105.60000000000001</v>
      </c>
      <c r="AE30" s="142">
        <f>SUM(AE31:AE35)</f>
        <v>0</v>
      </c>
      <c r="AF30" s="142">
        <f t="shared" ref="AF30" si="122">SUM(AF31:AF35)</f>
        <v>1716000</v>
      </c>
      <c r="AG30" s="142">
        <f t="shared" ref="AG30" si="123">SUM(AG31:AG35)</f>
        <v>82000</v>
      </c>
      <c r="AH30" s="142">
        <f t="shared" ref="AH30" si="124">SUM(AH31:AH35)</f>
        <v>1634000</v>
      </c>
      <c r="AI30" s="142">
        <f>SUM(AI31:AI35)</f>
        <v>2190000</v>
      </c>
      <c r="AJ30" s="142">
        <f>AI30/AC30*100</f>
        <v>127.62237762237763</v>
      </c>
      <c r="AK30" s="142">
        <f>SUM(AK31:AK35)</f>
        <v>0</v>
      </c>
      <c r="AL30" s="142">
        <f t="shared" ref="AL30" si="125">SUM(AL31:AL35)</f>
        <v>2190000</v>
      </c>
      <c r="AM30" s="142">
        <f t="shared" ref="AM30" si="126">SUM(AM31:AM35)</f>
        <v>105900</v>
      </c>
      <c r="AN30" s="142">
        <f t="shared" ref="AN30" si="127">SUM(AN31:AN35)</f>
        <v>2084100</v>
      </c>
      <c r="AO30" s="142">
        <f>SUM(AO31:AO35)</f>
        <v>2430000</v>
      </c>
      <c r="AP30" s="142">
        <f>AO30/AI30*100</f>
        <v>110.95890410958904</v>
      </c>
      <c r="AQ30" s="142">
        <f>SUM(AQ31:AQ35)</f>
        <v>0</v>
      </c>
      <c r="AR30" s="142">
        <f t="shared" ref="AR30" si="128">SUM(AR31:AR35)</f>
        <v>2430000</v>
      </c>
      <c r="AS30" s="142">
        <f t="shared" ref="AS30" si="129">SUM(AS31:AS35)</f>
        <v>114900</v>
      </c>
      <c r="AT30" s="142">
        <f t="shared" ref="AT30" si="130">SUM(AT31:AT35)</f>
        <v>2315100</v>
      </c>
      <c r="AU30" s="142">
        <f>SUM(AU31:AU35)</f>
        <v>2730000</v>
      </c>
      <c r="AV30" s="142">
        <f>AU30/AO30*100</f>
        <v>112.34567901234568</v>
      </c>
      <c r="AW30" s="142">
        <f>SUM(AW31:AW35)</f>
        <v>0</v>
      </c>
      <c r="AX30" s="142">
        <f t="shared" ref="AX30" si="131">SUM(AX31:AX35)</f>
        <v>2730000</v>
      </c>
      <c r="AY30" s="142">
        <f t="shared" ref="AY30" si="132">SUM(AY31:AY35)</f>
        <v>124900</v>
      </c>
      <c r="AZ30" s="142">
        <f t="shared" ref="AZ30" si="133">SUM(AZ31:AZ35)</f>
        <v>2605100</v>
      </c>
      <c r="BE30" s="6">
        <f t="shared" si="13"/>
        <v>-334000</v>
      </c>
      <c r="BF30" s="6">
        <f t="shared" si="14"/>
        <v>-383000</v>
      </c>
      <c r="BH30" s="1670">
        <f t="shared" si="15"/>
        <v>-383000</v>
      </c>
      <c r="BI30" s="4"/>
    </row>
    <row r="31" spans="1:61"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E31" s="6">
        <f t="shared" si="13"/>
        <v>-122500</v>
      </c>
      <c r="BF31" s="6">
        <f t="shared" si="14"/>
        <v>-94290</v>
      </c>
      <c r="BH31" s="1670">
        <f t="shared" si="15"/>
        <v>-94290</v>
      </c>
      <c r="BI31" s="4"/>
    </row>
    <row r="32" spans="1:61" ht="16.8" hidden="1">
      <c r="A32" s="164"/>
      <c r="B32" s="1716" t="s">
        <v>8</v>
      </c>
      <c r="C32" s="152">
        <v>822000</v>
      </c>
      <c r="D32" s="152">
        <v>905790</v>
      </c>
      <c r="E32" s="153"/>
      <c r="F32" s="154"/>
      <c r="G32" s="154">
        <f t="shared" ref="G32:G35" si="134">SUM(H32:I32)</f>
        <v>905790</v>
      </c>
      <c r="H32" s="154">
        <f t="shared" si="34"/>
        <v>0</v>
      </c>
      <c r="I32" s="154">
        <f t="shared" ref="I32" si="135">D32</f>
        <v>905790</v>
      </c>
      <c r="J32" s="160">
        <v>620000</v>
      </c>
      <c r="K32" s="155"/>
      <c r="L32" s="155"/>
      <c r="M32" s="1680"/>
      <c r="N32" s="1680">
        <f t="shared" ref="N32:N35" si="136">SUM(O32:P32)</f>
        <v>620000</v>
      </c>
      <c r="O32" s="1680">
        <f t="shared" ref="O32:O35" si="137">J32-M32-P32</f>
        <v>0</v>
      </c>
      <c r="P32" s="1680">
        <f>J32</f>
        <v>620000</v>
      </c>
      <c r="Q32" s="1718">
        <v>650000</v>
      </c>
      <c r="R32" s="199"/>
      <c r="S32" s="199"/>
      <c r="T32" s="1681">
        <f t="shared" ref="T32:T34" si="138">SUM(U32:V32)</f>
        <v>650000</v>
      </c>
      <c r="U32" s="1681">
        <f t="shared" ref="U32:U34" si="139">Q32-S32-V32</f>
        <v>0</v>
      </c>
      <c r="V32" s="1719">
        <f>Q32</f>
        <v>650000</v>
      </c>
      <c r="W32" s="157">
        <v>688000</v>
      </c>
      <c r="X32" s="155"/>
      <c r="Y32" s="157"/>
      <c r="Z32" s="157">
        <f t="shared" ref="Z32:Z47" si="140">SUM(AA32:AB32)</f>
        <v>688000</v>
      </c>
      <c r="AA32" s="157">
        <f t="shared" ref="AA32:AA47" si="141">W32-Y32-AB32</f>
        <v>0</v>
      </c>
      <c r="AB32" s="157">
        <f>W32</f>
        <v>688000</v>
      </c>
      <c r="AC32" s="157">
        <v>728000</v>
      </c>
      <c r="AD32" s="157"/>
      <c r="AE32" s="157"/>
      <c r="AF32" s="157">
        <f t="shared" ref="AF32:AF47" si="142">SUM(AG32:AH32)</f>
        <v>728000</v>
      </c>
      <c r="AG32" s="157">
        <f t="shared" ref="AG32:AG47" si="143">AC32-AE32-AH32</f>
        <v>0</v>
      </c>
      <c r="AH32" s="157">
        <f>AC32</f>
        <v>728000</v>
      </c>
      <c r="AI32" s="157">
        <v>935000</v>
      </c>
      <c r="AJ32" s="157"/>
      <c r="AK32" s="157"/>
      <c r="AL32" s="157">
        <f t="shared" ref="AL32:AL47" si="144">SUM(AM32:AN32)</f>
        <v>935000</v>
      </c>
      <c r="AM32" s="157">
        <f t="shared" ref="AM32:AM47" si="145">AI32-AK32-AN32</f>
        <v>0</v>
      </c>
      <c r="AN32" s="157">
        <f>AI32</f>
        <v>935000</v>
      </c>
      <c r="AO32" s="157">
        <v>1030000</v>
      </c>
      <c r="AP32" s="157"/>
      <c r="AQ32" s="157"/>
      <c r="AR32" s="157">
        <f t="shared" ref="AR32:AR47" si="146">SUM(AS32:AT32)</f>
        <v>1030000</v>
      </c>
      <c r="AS32" s="157">
        <f t="shared" ref="AS32:AS47" si="147">AO32-AQ32-AT32</f>
        <v>0</v>
      </c>
      <c r="AT32" s="157">
        <f>AO32</f>
        <v>1030000</v>
      </c>
      <c r="AU32" s="157">
        <v>1170000</v>
      </c>
      <c r="AV32" s="157"/>
      <c r="AW32" s="157"/>
      <c r="AX32" s="157">
        <f t="shared" ref="AX32:AX47" si="148">SUM(AY32:AZ32)</f>
        <v>1170000</v>
      </c>
      <c r="AY32" s="157">
        <f t="shared" ref="AY32:AY47" si="149">AU32-AW32-AZ32</f>
        <v>0</v>
      </c>
      <c r="AZ32" s="157">
        <f>AU32</f>
        <v>1170000</v>
      </c>
      <c r="BE32" s="6">
        <f t="shared" si="13"/>
        <v>-202000</v>
      </c>
      <c r="BF32" s="6">
        <f t="shared" si="14"/>
        <v>-285790</v>
      </c>
      <c r="BH32" s="1670">
        <f t="shared" si="15"/>
        <v>-285790</v>
      </c>
      <c r="BI32" s="4"/>
    </row>
    <row r="33" spans="1:61" ht="16.8" hidden="1">
      <c r="A33" s="164"/>
      <c r="B33" s="1716" t="s">
        <v>9</v>
      </c>
      <c r="C33" s="152">
        <f>72000</f>
        <v>72000</v>
      </c>
      <c r="D33" s="152">
        <v>63450</v>
      </c>
      <c r="E33" s="153"/>
      <c r="F33" s="154"/>
      <c r="G33" s="154">
        <f t="shared" si="134"/>
        <v>63450</v>
      </c>
      <c r="H33" s="154">
        <f t="shared" si="34"/>
        <v>63450</v>
      </c>
      <c r="I33" s="154"/>
      <c r="J33" s="160">
        <v>32000</v>
      </c>
      <c r="K33" s="155"/>
      <c r="L33" s="155"/>
      <c r="M33" s="1680"/>
      <c r="N33" s="1680">
        <f t="shared" si="136"/>
        <v>32000</v>
      </c>
      <c r="O33" s="1680">
        <f t="shared" si="137"/>
        <v>32000</v>
      </c>
      <c r="P33" s="1680"/>
      <c r="Q33" s="1718">
        <v>35000</v>
      </c>
      <c r="R33" s="199"/>
      <c r="S33" s="199"/>
      <c r="T33" s="1681">
        <f t="shared" si="138"/>
        <v>35000</v>
      </c>
      <c r="U33" s="1681">
        <f t="shared" si="139"/>
        <v>35000</v>
      </c>
      <c r="V33" s="1681"/>
      <c r="W33" s="157">
        <v>37100</v>
      </c>
      <c r="X33" s="155"/>
      <c r="Y33" s="157"/>
      <c r="Z33" s="157">
        <f t="shared" si="140"/>
        <v>37100</v>
      </c>
      <c r="AA33" s="157">
        <f t="shared" si="141"/>
        <v>37100</v>
      </c>
      <c r="AB33" s="157"/>
      <c r="AC33" s="157">
        <v>40100</v>
      </c>
      <c r="AD33" s="157"/>
      <c r="AE33" s="157"/>
      <c r="AF33" s="157">
        <f t="shared" si="142"/>
        <v>40100</v>
      </c>
      <c r="AG33" s="157">
        <f t="shared" si="143"/>
        <v>40100</v>
      </c>
      <c r="AH33" s="157"/>
      <c r="AI33" s="157">
        <v>55000</v>
      </c>
      <c r="AJ33" s="157"/>
      <c r="AK33" s="157"/>
      <c r="AL33" s="157">
        <f t="shared" si="144"/>
        <v>55000</v>
      </c>
      <c r="AM33" s="157">
        <f t="shared" si="145"/>
        <v>55000</v>
      </c>
      <c r="AN33" s="157"/>
      <c r="AO33" s="157">
        <v>59000</v>
      </c>
      <c r="AP33" s="157"/>
      <c r="AQ33" s="157"/>
      <c r="AR33" s="157">
        <f t="shared" si="146"/>
        <v>59000</v>
      </c>
      <c r="AS33" s="157">
        <f t="shared" si="147"/>
        <v>59000</v>
      </c>
      <c r="AT33" s="157"/>
      <c r="AU33" s="157">
        <v>64000</v>
      </c>
      <c r="AV33" s="157"/>
      <c r="AW33" s="157"/>
      <c r="AX33" s="157">
        <f t="shared" si="148"/>
        <v>64000</v>
      </c>
      <c r="AY33" s="157">
        <f t="shared" si="149"/>
        <v>64000</v>
      </c>
      <c r="AZ33" s="157"/>
      <c r="BE33" s="6">
        <f t="shared" si="13"/>
        <v>-40000</v>
      </c>
      <c r="BF33" s="6">
        <f t="shared" si="14"/>
        <v>-31450</v>
      </c>
      <c r="BH33" s="1670">
        <f t="shared" si="15"/>
        <v>-31450</v>
      </c>
      <c r="BI33" s="4"/>
    </row>
    <row r="34" spans="1:61" ht="16.8" hidden="1">
      <c r="A34" s="164"/>
      <c r="B34" s="1716" t="s">
        <v>10</v>
      </c>
      <c r="C34" s="152">
        <v>5500</v>
      </c>
      <c r="D34" s="152">
        <v>5970</v>
      </c>
      <c r="E34" s="153"/>
      <c r="F34" s="154"/>
      <c r="G34" s="154">
        <f t="shared" si="134"/>
        <v>5970</v>
      </c>
      <c r="H34" s="154">
        <f t="shared" si="34"/>
        <v>5970</v>
      </c>
      <c r="I34" s="154"/>
      <c r="J34" s="160">
        <v>36000</v>
      </c>
      <c r="K34" s="155"/>
      <c r="L34" s="155"/>
      <c r="M34" s="1680"/>
      <c r="N34" s="1680">
        <f t="shared" si="136"/>
        <v>36000</v>
      </c>
      <c r="O34" s="1680">
        <f t="shared" si="137"/>
        <v>36000</v>
      </c>
      <c r="P34" s="1680"/>
      <c r="Q34" s="1720">
        <v>38000</v>
      </c>
      <c r="R34" s="199"/>
      <c r="S34" s="199"/>
      <c r="T34" s="1681">
        <f t="shared" si="138"/>
        <v>38000</v>
      </c>
      <c r="U34" s="1681">
        <f t="shared" si="139"/>
        <v>38000</v>
      </c>
      <c r="V34" s="1681"/>
      <c r="W34" s="157">
        <v>39900</v>
      </c>
      <c r="X34" s="155"/>
      <c r="Y34" s="157"/>
      <c r="Z34" s="157">
        <f t="shared" si="140"/>
        <v>39900</v>
      </c>
      <c r="AA34" s="157">
        <f t="shared" si="141"/>
        <v>39900</v>
      </c>
      <c r="AB34" s="157"/>
      <c r="AC34" s="157">
        <v>41900</v>
      </c>
      <c r="AD34" s="157"/>
      <c r="AE34" s="157"/>
      <c r="AF34" s="157">
        <f t="shared" si="142"/>
        <v>41900</v>
      </c>
      <c r="AG34" s="157">
        <f t="shared" si="143"/>
        <v>41900</v>
      </c>
      <c r="AH34" s="157"/>
      <c r="AI34" s="157">
        <v>50900</v>
      </c>
      <c r="AJ34" s="157"/>
      <c r="AK34" s="157"/>
      <c r="AL34" s="157">
        <f t="shared" si="144"/>
        <v>50900</v>
      </c>
      <c r="AM34" s="157">
        <f t="shared" si="145"/>
        <v>50900</v>
      </c>
      <c r="AN34" s="157"/>
      <c r="AO34" s="157">
        <v>55900</v>
      </c>
      <c r="AP34" s="157"/>
      <c r="AQ34" s="157"/>
      <c r="AR34" s="157">
        <f t="shared" si="146"/>
        <v>55900</v>
      </c>
      <c r="AS34" s="157">
        <f t="shared" si="147"/>
        <v>55900</v>
      </c>
      <c r="AT34" s="157"/>
      <c r="AU34" s="157">
        <v>60900</v>
      </c>
      <c r="AV34" s="157"/>
      <c r="AW34" s="157"/>
      <c r="AX34" s="157">
        <f t="shared" si="148"/>
        <v>60900</v>
      </c>
      <c r="AY34" s="157">
        <f t="shared" si="149"/>
        <v>60900</v>
      </c>
      <c r="AZ34" s="157"/>
      <c r="BE34" s="6">
        <f t="shared" si="13"/>
        <v>30500</v>
      </c>
      <c r="BF34" s="6">
        <f t="shared" si="14"/>
        <v>30030</v>
      </c>
      <c r="BH34" s="1670">
        <f t="shared" si="15"/>
        <v>30030</v>
      </c>
      <c r="BI34" s="4"/>
    </row>
    <row r="35" spans="1:61" hidden="1">
      <c r="A35" s="164"/>
      <c r="B35" s="1716" t="s">
        <v>16</v>
      </c>
      <c r="C35" s="152">
        <v>0</v>
      </c>
      <c r="D35" s="152">
        <v>1500</v>
      </c>
      <c r="E35" s="153"/>
      <c r="F35" s="154"/>
      <c r="G35" s="154">
        <f t="shared" si="134"/>
        <v>1500</v>
      </c>
      <c r="H35" s="154">
        <f t="shared" si="34"/>
        <v>1500</v>
      </c>
      <c r="I35" s="154"/>
      <c r="J35" s="157">
        <v>0</v>
      </c>
      <c r="K35" s="1068"/>
      <c r="L35" s="1068"/>
      <c r="M35" s="1684"/>
      <c r="N35" s="1684">
        <f t="shared" si="136"/>
        <v>0</v>
      </c>
      <c r="O35" s="1684">
        <f t="shared" si="137"/>
        <v>0</v>
      </c>
      <c r="P35" s="1684"/>
      <c r="Q35" s="157"/>
      <c r="R35" s="199"/>
      <c r="S35" s="199"/>
      <c r="T35" s="1681">
        <f t="shared" ref="T35" si="150">SUM(U35:V35)</f>
        <v>0</v>
      </c>
      <c r="U35" s="1681">
        <f t="shared" ref="U35" si="151">Q35-S35-V35</f>
        <v>0</v>
      </c>
      <c r="V35" s="1681"/>
      <c r="W35" s="157"/>
      <c r="X35" s="155"/>
      <c r="Y35" s="157"/>
      <c r="Z35" s="157">
        <f t="shared" si="140"/>
        <v>0</v>
      </c>
      <c r="AA35" s="157">
        <f t="shared" si="141"/>
        <v>0</v>
      </c>
      <c r="AB35" s="157"/>
      <c r="AC35" s="157"/>
      <c r="AD35" s="157"/>
      <c r="AE35" s="157"/>
      <c r="AF35" s="157">
        <f t="shared" si="142"/>
        <v>0</v>
      </c>
      <c r="AG35" s="157">
        <f t="shared" si="143"/>
        <v>0</v>
      </c>
      <c r="AH35" s="157"/>
      <c r="AI35" s="157"/>
      <c r="AJ35" s="157"/>
      <c r="AK35" s="157"/>
      <c r="AL35" s="157">
        <f t="shared" si="144"/>
        <v>0</v>
      </c>
      <c r="AM35" s="157">
        <f t="shared" si="145"/>
        <v>0</v>
      </c>
      <c r="AN35" s="157"/>
      <c r="AO35" s="157"/>
      <c r="AP35" s="157"/>
      <c r="AQ35" s="157"/>
      <c r="AR35" s="157">
        <f t="shared" si="146"/>
        <v>0</v>
      </c>
      <c r="AS35" s="157">
        <f t="shared" si="147"/>
        <v>0</v>
      </c>
      <c r="AT35" s="157"/>
      <c r="AU35" s="157"/>
      <c r="AV35" s="157"/>
      <c r="AW35" s="157"/>
      <c r="AX35" s="157">
        <f t="shared" si="148"/>
        <v>0</v>
      </c>
      <c r="AY35" s="157">
        <f t="shared" si="149"/>
        <v>0</v>
      </c>
      <c r="AZ35" s="157"/>
      <c r="BE35" s="6">
        <f t="shared" si="13"/>
        <v>0</v>
      </c>
      <c r="BF35" s="6">
        <f t="shared" si="14"/>
        <v>-1500</v>
      </c>
      <c r="BH35" s="1670">
        <f t="shared" si="15"/>
        <v>-1500</v>
      </c>
      <c r="BI35" s="4"/>
    </row>
    <row r="36" spans="1:61" ht="16.8">
      <c r="A36" s="164">
        <v>5</v>
      </c>
      <c r="B36" s="165" t="s">
        <v>17</v>
      </c>
      <c r="C36" s="147">
        <v>350000</v>
      </c>
      <c r="D36" s="147">
        <f t="shared" ref="D36:D42" si="152">C36</f>
        <v>350000</v>
      </c>
      <c r="E36" s="148"/>
      <c r="F36" s="149">
        <v>0</v>
      </c>
      <c r="G36" s="149">
        <f>SUM(H36:I36)</f>
        <v>350000</v>
      </c>
      <c r="H36" s="149">
        <f t="shared" ref="H36:H44" si="153">D36-F36-I36</f>
        <v>0</v>
      </c>
      <c r="I36" s="149">
        <f>C36</f>
        <v>350000</v>
      </c>
      <c r="J36" s="142">
        <v>310000</v>
      </c>
      <c r="K36" s="1067">
        <f>J36/C36*100</f>
        <v>88.571428571428569</v>
      </c>
      <c r="L36" s="1685">
        <f t="shared" ref="L36:L43" si="154">J36/D36*100</f>
        <v>88.571428571428569</v>
      </c>
      <c r="M36" s="1686"/>
      <c r="N36" s="1686">
        <f>SUM(O36:P36)</f>
        <v>310000</v>
      </c>
      <c r="O36" s="1686">
        <f>J36-M36-P36</f>
        <v>0</v>
      </c>
      <c r="P36" s="1686">
        <f>J36</f>
        <v>310000</v>
      </c>
      <c r="Q36" s="1064">
        <v>330000</v>
      </c>
      <c r="R36" s="1674">
        <f t="shared" ref="R36:R54" si="155">Q36/J36*100</f>
        <v>106.45161290322579</v>
      </c>
      <c r="S36" s="199"/>
      <c r="T36" s="1683">
        <f t="shared" ref="T36" si="156">SUM(U36:V36)</f>
        <v>330000</v>
      </c>
      <c r="U36" s="1683">
        <f t="shared" ref="U36" si="157">Q36-S36-V36</f>
        <v>0</v>
      </c>
      <c r="V36" s="1683">
        <f>Q36</f>
        <v>330000</v>
      </c>
      <c r="W36" s="142">
        <v>350000</v>
      </c>
      <c r="X36" s="141">
        <f>W36/Q36*100</f>
        <v>106.06060606060606</v>
      </c>
      <c r="Y36" s="157"/>
      <c r="Z36" s="142">
        <f t="shared" si="140"/>
        <v>350000</v>
      </c>
      <c r="AA36" s="142">
        <f t="shared" si="141"/>
        <v>0</v>
      </c>
      <c r="AB36" s="142">
        <f>W36</f>
        <v>350000</v>
      </c>
      <c r="AC36" s="142">
        <v>370000</v>
      </c>
      <c r="AD36" s="142">
        <f>AC36/W36*100</f>
        <v>105.71428571428572</v>
      </c>
      <c r="AE36" s="157"/>
      <c r="AF36" s="142">
        <f t="shared" si="142"/>
        <v>370000</v>
      </c>
      <c r="AG36" s="142">
        <f t="shared" si="143"/>
        <v>0</v>
      </c>
      <c r="AH36" s="142">
        <f>AC36</f>
        <v>370000</v>
      </c>
      <c r="AI36" s="142">
        <v>585000</v>
      </c>
      <c r="AJ36" s="142">
        <f>AI36/AC36*100</f>
        <v>158.10810810810813</v>
      </c>
      <c r="AK36" s="157"/>
      <c r="AL36" s="142">
        <f t="shared" si="144"/>
        <v>585000</v>
      </c>
      <c r="AM36" s="142">
        <f t="shared" si="145"/>
        <v>0</v>
      </c>
      <c r="AN36" s="142">
        <f>AI36</f>
        <v>585000</v>
      </c>
      <c r="AO36" s="142">
        <v>650000</v>
      </c>
      <c r="AP36" s="142">
        <f>AO36/AI36*100</f>
        <v>111.11111111111111</v>
      </c>
      <c r="AQ36" s="157"/>
      <c r="AR36" s="142">
        <f t="shared" si="146"/>
        <v>650000</v>
      </c>
      <c r="AS36" s="142">
        <f t="shared" si="147"/>
        <v>0</v>
      </c>
      <c r="AT36" s="142">
        <f>AO36</f>
        <v>650000</v>
      </c>
      <c r="AU36" s="142">
        <v>750000</v>
      </c>
      <c r="AV36" s="142">
        <f>AU36/AO36*100</f>
        <v>115.38461538461537</v>
      </c>
      <c r="AW36" s="157"/>
      <c r="AX36" s="142">
        <f t="shared" si="148"/>
        <v>750000</v>
      </c>
      <c r="AY36" s="142">
        <f t="shared" si="149"/>
        <v>0</v>
      </c>
      <c r="AZ36" s="142">
        <f>AU36</f>
        <v>750000</v>
      </c>
      <c r="BE36" s="6">
        <f t="shared" si="13"/>
        <v>-40000</v>
      </c>
      <c r="BF36" s="6">
        <f t="shared" si="14"/>
        <v>-40000</v>
      </c>
      <c r="BH36" s="1670">
        <f t="shared" si="15"/>
        <v>-40000</v>
      </c>
      <c r="BI36" s="4"/>
    </row>
    <row r="37" spans="1:61">
      <c r="A37" s="164">
        <v>6</v>
      </c>
      <c r="B37" s="165" t="s">
        <v>18</v>
      </c>
      <c r="C37" s="147">
        <v>0</v>
      </c>
      <c r="D37" s="147">
        <f t="shared" si="152"/>
        <v>0</v>
      </c>
      <c r="E37" s="148"/>
      <c r="F37" s="149"/>
      <c r="G37" s="149">
        <f>SUM(H37:I37)</f>
        <v>0</v>
      </c>
      <c r="H37" s="149">
        <f t="shared" si="153"/>
        <v>0</v>
      </c>
      <c r="I37" s="149">
        <f>C37</f>
        <v>0</v>
      </c>
      <c r="J37" s="142">
        <v>50</v>
      </c>
      <c r="K37" s="142" t="e">
        <f>J37/C37*100</f>
        <v>#DIV/0!</v>
      </c>
      <c r="L37" s="1687" t="e">
        <f t="shared" si="154"/>
        <v>#DIV/0!</v>
      </c>
      <c r="M37" s="1686"/>
      <c r="N37" s="1686">
        <f t="shared" ref="N37:N41" si="158">SUM(O37:P37)</f>
        <v>50</v>
      </c>
      <c r="O37" s="1686">
        <f t="shared" ref="O37:O42" si="159">J37-M37-P37</f>
        <v>0</v>
      </c>
      <c r="P37" s="1686">
        <f>J37</f>
        <v>50</v>
      </c>
      <c r="Q37" s="142">
        <v>0</v>
      </c>
      <c r="R37" s="1674">
        <f t="shared" si="155"/>
        <v>0</v>
      </c>
      <c r="S37" s="199"/>
      <c r="T37" s="1683">
        <f t="shared" ref="T37" si="160">SUM(U37:V37)</f>
        <v>0</v>
      </c>
      <c r="U37" s="1683">
        <f t="shared" ref="U37" si="161">Q37-S37-V37</f>
        <v>0</v>
      </c>
      <c r="V37" s="1681"/>
      <c r="W37" s="142">
        <v>0</v>
      </c>
      <c r="X37" s="141" t="e">
        <f t="shared" ref="X37:X50" si="162">W37/Q37*100</f>
        <v>#DIV/0!</v>
      </c>
      <c r="Y37" s="157"/>
      <c r="Z37" s="142">
        <f t="shared" si="140"/>
        <v>0</v>
      </c>
      <c r="AA37" s="142">
        <f t="shared" si="141"/>
        <v>0</v>
      </c>
      <c r="AB37" s="157"/>
      <c r="AC37" s="157">
        <v>0</v>
      </c>
      <c r="AD37" s="142" t="e">
        <f t="shared" ref="AD37:AD47" si="163">AC37/W37*100</f>
        <v>#DIV/0!</v>
      </c>
      <c r="AE37" s="157"/>
      <c r="AF37" s="142">
        <f t="shared" si="142"/>
        <v>0</v>
      </c>
      <c r="AG37" s="142">
        <f t="shared" si="143"/>
        <v>0</v>
      </c>
      <c r="AH37" s="157"/>
      <c r="AI37" s="157">
        <v>0</v>
      </c>
      <c r="AJ37" s="142" t="e">
        <f t="shared" ref="AJ37:AJ47" si="164">AI37/AC37*100</f>
        <v>#DIV/0!</v>
      </c>
      <c r="AK37" s="157"/>
      <c r="AL37" s="142">
        <f t="shared" si="144"/>
        <v>0</v>
      </c>
      <c r="AM37" s="142">
        <f t="shared" si="145"/>
        <v>0</v>
      </c>
      <c r="AN37" s="157"/>
      <c r="AO37" s="157"/>
      <c r="AP37" s="142" t="e">
        <f t="shared" ref="AP37:AP47" si="165">AO37/AI37*100</f>
        <v>#DIV/0!</v>
      </c>
      <c r="AQ37" s="157"/>
      <c r="AR37" s="142">
        <f t="shared" si="146"/>
        <v>0</v>
      </c>
      <c r="AS37" s="142">
        <f t="shared" si="147"/>
        <v>0</v>
      </c>
      <c r="AT37" s="157"/>
      <c r="AU37" s="157"/>
      <c r="AV37" s="142" t="e">
        <f t="shared" ref="AV37:AV47" si="166">AU37/AO37*100</f>
        <v>#DIV/0!</v>
      </c>
      <c r="AW37" s="157"/>
      <c r="AX37" s="142">
        <f t="shared" si="148"/>
        <v>0</v>
      </c>
      <c r="AY37" s="142">
        <f t="shared" si="149"/>
        <v>0</v>
      </c>
      <c r="AZ37" s="157"/>
      <c r="BE37" s="6">
        <f t="shared" si="13"/>
        <v>50</v>
      </c>
      <c r="BF37" s="6">
        <f t="shared" si="14"/>
        <v>50</v>
      </c>
      <c r="BH37" s="1670">
        <f t="shared" si="15"/>
        <v>50</v>
      </c>
      <c r="BI37" s="4"/>
    </row>
    <row r="38" spans="1:61">
      <c r="A38" s="164">
        <v>7</v>
      </c>
      <c r="B38" s="165" t="s">
        <v>19</v>
      </c>
      <c r="C38" s="147">
        <v>15000</v>
      </c>
      <c r="D38" s="147">
        <f t="shared" si="152"/>
        <v>15000</v>
      </c>
      <c r="E38" s="148"/>
      <c r="F38" s="149"/>
      <c r="G38" s="149">
        <f>SUM(H38:I38)</f>
        <v>15000</v>
      </c>
      <c r="H38" s="149">
        <f t="shared" si="153"/>
        <v>0</v>
      </c>
      <c r="I38" s="149">
        <f>C38</f>
        <v>15000</v>
      </c>
      <c r="J38" s="142">
        <v>15950</v>
      </c>
      <c r="K38" s="1067">
        <f>J38/C38*100</f>
        <v>106.33333333333333</v>
      </c>
      <c r="L38" s="1685">
        <f t="shared" si="154"/>
        <v>106.33333333333333</v>
      </c>
      <c r="M38" s="1686"/>
      <c r="N38" s="1686">
        <f t="shared" si="158"/>
        <v>15950</v>
      </c>
      <c r="O38" s="1686">
        <f t="shared" si="159"/>
        <v>0</v>
      </c>
      <c r="P38" s="1686">
        <f>J38</f>
        <v>15950</v>
      </c>
      <c r="Q38" s="142">
        <v>17000</v>
      </c>
      <c r="R38" s="1674">
        <f t="shared" si="155"/>
        <v>106.58307210031349</v>
      </c>
      <c r="S38" s="199"/>
      <c r="T38" s="1683">
        <f t="shared" ref="T38" si="167">SUM(U38:V38)</f>
        <v>17000</v>
      </c>
      <c r="U38" s="1683">
        <f t="shared" ref="U38" si="168">Q38-S38-V38</f>
        <v>0</v>
      </c>
      <c r="V38" s="1683">
        <f>Q38</f>
        <v>17000</v>
      </c>
      <c r="W38" s="142">
        <v>17000</v>
      </c>
      <c r="X38" s="141">
        <f t="shared" si="162"/>
        <v>100</v>
      </c>
      <c r="Y38" s="157"/>
      <c r="Z38" s="142">
        <f t="shared" si="140"/>
        <v>17000</v>
      </c>
      <c r="AA38" s="142">
        <f t="shared" si="141"/>
        <v>0</v>
      </c>
      <c r="AB38" s="142">
        <f>W38</f>
        <v>17000</v>
      </c>
      <c r="AC38" s="142">
        <v>18000</v>
      </c>
      <c r="AD38" s="142">
        <f t="shared" si="163"/>
        <v>105.88235294117648</v>
      </c>
      <c r="AE38" s="157"/>
      <c r="AF38" s="142">
        <f t="shared" si="142"/>
        <v>18000</v>
      </c>
      <c r="AG38" s="142">
        <f t="shared" si="143"/>
        <v>0</v>
      </c>
      <c r="AH38" s="142">
        <f>AC38</f>
        <v>18000</v>
      </c>
      <c r="AI38" s="142">
        <v>16000</v>
      </c>
      <c r="AJ38" s="142">
        <f t="shared" si="164"/>
        <v>88.888888888888886</v>
      </c>
      <c r="AK38" s="157"/>
      <c r="AL38" s="142">
        <f t="shared" si="144"/>
        <v>16000</v>
      </c>
      <c r="AM38" s="142">
        <f t="shared" si="145"/>
        <v>0</v>
      </c>
      <c r="AN38" s="142">
        <f>AI38</f>
        <v>16000</v>
      </c>
      <c r="AO38" s="142">
        <v>16000</v>
      </c>
      <c r="AP38" s="142">
        <f t="shared" si="165"/>
        <v>100</v>
      </c>
      <c r="AQ38" s="157"/>
      <c r="AR38" s="142">
        <f t="shared" si="146"/>
        <v>16000</v>
      </c>
      <c r="AS38" s="142">
        <f t="shared" si="147"/>
        <v>0</v>
      </c>
      <c r="AT38" s="142">
        <f>AO38</f>
        <v>16000</v>
      </c>
      <c r="AU38" s="142">
        <v>15000</v>
      </c>
      <c r="AV38" s="142">
        <f t="shared" si="166"/>
        <v>93.75</v>
      </c>
      <c r="AW38" s="157"/>
      <c r="AX38" s="142">
        <f t="shared" si="148"/>
        <v>15000</v>
      </c>
      <c r="AY38" s="142">
        <f t="shared" si="149"/>
        <v>0</v>
      </c>
      <c r="AZ38" s="142">
        <f>AU38</f>
        <v>15000</v>
      </c>
      <c r="BE38" s="6">
        <f t="shared" si="13"/>
        <v>950</v>
      </c>
      <c r="BF38" s="6">
        <f t="shared" si="14"/>
        <v>950</v>
      </c>
      <c r="BH38" s="1670">
        <f t="shared" si="15"/>
        <v>950</v>
      </c>
      <c r="BI38" s="4"/>
    </row>
    <row r="39" spans="1:61" ht="16.8">
      <c r="A39" s="164">
        <v>8</v>
      </c>
      <c r="B39" s="165" t="s">
        <v>20</v>
      </c>
      <c r="C39" s="147">
        <f>745000-15000</f>
        <v>730000</v>
      </c>
      <c r="D39" s="147">
        <f t="shared" si="152"/>
        <v>730000</v>
      </c>
      <c r="E39" s="148"/>
      <c r="F39" s="149"/>
      <c r="G39" s="149">
        <f t="shared" ref="G39" si="169">SUM(H39:I39)</f>
        <v>730000</v>
      </c>
      <c r="H39" s="149">
        <f t="shared" si="153"/>
        <v>408000</v>
      </c>
      <c r="I39" s="149">
        <v>322000</v>
      </c>
      <c r="J39" s="142">
        <v>740000</v>
      </c>
      <c r="K39" s="1067">
        <f t="shared" ref="K39:K51" si="170">J39/C39*100</f>
        <v>101.36986301369863</v>
      </c>
      <c r="L39" s="1685">
        <f t="shared" si="154"/>
        <v>101.36986301369863</v>
      </c>
      <c r="M39" s="1686"/>
      <c r="N39" s="1686">
        <f t="shared" si="158"/>
        <v>740000</v>
      </c>
      <c r="O39" s="1686">
        <f t="shared" si="159"/>
        <v>413590.0410958904</v>
      </c>
      <c r="P39" s="1686">
        <f>(I39*L39)/100-1</f>
        <v>326409.9589041096</v>
      </c>
      <c r="Q39" s="1064">
        <v>780000</v>
      </c>
      <c r="R39" s="1674">
        <f t="shared" si="155"/>
        <v>105.40540540540539</v>
      </c>
      <c r="S39" s="199"/>
      <c r="T39" s="1683">
        <f t="shared" ref="T39" si="171">SUM(U39:V39)</f>
        <v>780000</v>
      </c>
      <c r="U39" s="1683">
        <f t="shared" ref="U39" si="172">Q39-S39-V39</f>
        <v>435940.25953350612</v>
      </c>
      <c r="V39" s="1683">
        <f>(P39*R39)/100+6</f>
        <v>344059.74046649388</v>
      </c>
      <c r="W39" s="142">
        <v>800000</v>
      </c>
      <c r="X39" s="141">
        <f t="shared" si="162"/>
        <v>102.56410256410255</v>
      </c>
      <c r="Y39" s="157"/>
      <c r="Z39" s="142">
        <f t="shared" si="140"/>
        <v>800000</v>
      </c>
      <c r="AA39" s="142">
        <f>W39-Y39-AB39</f>
        <v>447114.21490616014</v>
      </c>
      <c r="AB39" s="142">
        <f>(V39*X39)/100+4</f>
        <v>352885.78509383986</v>
      </c>
      <c r="AC39" s="142">
        <v>820000</v>
      </c>
      <c r="AD39" s="142">
        <f t="shared" si="163"/>
        <v>102.49999999999999</v>
      </c>
      <c r="AE39" s="157"/>
      <c r="AF39" s="142">
        <f t="shared" si="142"/>
        <v>820000</v>
      </c>
      <c r="AG39" s="142">
        <f>AC39-AE39-AH39</f>
        <v>458294.07027881424</v>
      </c>
      <c r="AH39" s="142">
        <f>(AB39*AD39)/100-2</f>
        <v>361705.92972118576</v>
      </c>
      <c r="AI39" s="142">
        <v>1050000</v>
      </c>
      <c r="AJ39" s="142">
        <f t="shared" si="164"/>
        <v>128.04878048780489</v>
      </c>
      <c r="AK39" s="157"/>
      <c r="AL39" s="142">
        <f t="shared" si="144"/>
        <v>1050000</v>
      </c>
      <c r="AM39" s="142">
        <f t="shared" si="145"/>
        <v>586839.968039945</v>
      </c>
      <c r="AN39" s="142">
        <f>(AJ39*AH39)/100</f>
        <v>463160.031960055</v>
      </c>
      <c r="AO39" s="142">
        <v>1130000</v>
      </c>
      <c r="AP39" s="142">
        <f t="shared" si="165"/>
        <v>107.61904761904762</v>
      </c>
      <c r="AQ39" s="157"/>
      <c r="AR39" s="142">
        <f t="shared" si="146"/>
        <v>1130000</v>
      </c>
      <c r="AS39" s="142">
        <f t="shared" si="147"/>
        <v>631551.58465251222</v>
      </c>
      <c r="AT39" s="142">
        <f>(AP39*AN39)/100</f>
        <v>498448.41534748778</v>
      </c>
      <c r="AU39" s="142">
        <v>1200000</v>
      </c>
      <c r="AV39" s="142">
        <f t="shared" si="166"/>
        <v>106.19469026548674</v>
      </c>
      <c r="AW39" s="157"/>
      <c r="AX39" s="142">
        <f t="shared" si="148"/>
        <v>1200000</v>
      </c>
      <c r="AY39" s="142">
        <f t="shared" si="149"/>
        <v>670674.24918850849</v>
      </c>
      <c r="AZ39" s="142">
        <f>(AT39*AV39)/100</f>
        <v>529325.75081149151</v>
      </c>
      <c r="BE39" s="6">
        <f t="shared" si="13"/>
        <v>10000</v>
      </c>
      <c r="BF39" s="6">
        <f t="shared" si="14"/>
        <v>10000</v>
      </c>
      <c r="BH39" s="1670">
        <f t="shared" si="15"/>
        <v>10000</v>
      </c>
      <c r="BI39" s="4"/>
    </row>
    <row r="40" spans="1:61" ht="16.8">
      <c r="A40" s="164">
        <v>9</v>
      </c>
      <c r="B40" s="165" t="s">
        <v>21</v>
      </c>
      <c r="C40" s="147">
        <f>1065000</f>
        <v>1065000</v>
      </c>
      <c r="D40" s="147">
        <f t="shared" si="152"/>
        <v>1065000</v>
      </c>
      <c r="E40" s="148"/>
      <c r="F40" s="149">
        <f>C40*40%</f>
        <v>426000</v>
      </c>
      <c r="G40" s="149">
        <f t="shared" ref="G40:G44" si="173">SUM(H40:I40)</f>
        <v>639000</v>
      </c>
      <c r="H40" s="149">
        <f t="shared" si="153"/>
        <v>639000</v>
      </c>
      <c r="I40" s="149"/>
      <c r="J40" s="142">
        <v>856000</v>
      </c>
      <c r="K40" s="1067">
        <f t="shared" si="170"/>
        <v>80.375586854460096</v>
      </c>
      <c r="L40" s="1685">
        <f t="shared" si="154"/>
        <v>80.375586854460096</v>
      </c>
      <c r="M40" s="1686">
        <f>F40*L40/100</f>
        <v>342400</v>
      </c>
      <c r="N40" s="1686">
        <f t="shared" si="158"/>
        <v>513600</v>
      </c>
      <c r="O40" s="1686">
        <f>J40-M40-P40</f>
        <v>513600</v>
      </c>
      <c r="P40" s="1686"/>
      <c r="Q40" s="1064">
        <v>1500000</v>
      </c>
      <c r="R40" s="1674">
        <f t="shared" si="155"/>
        <v>175.23364485981307</v>
      </c>
      <c r="S40" s="1683">
        <f>Q40*40%</f>
        <v>600000</v>
      </c>
      <c r="T40" s="1683">
        <f t="shared" ref="T40" si="174">SUM(U40:V40)</f>
        <v>900000</v>
      </c>
      <c r="U40" s="1683">
        <f t="shared" ref="U40" si="175">Q40-S40-V40</f>
        <v>900000</v>
      </c>
      <c r="V40" s="1681"/>
      <c r="W40" s="142">
        <v>1500000</v>
      </c>
      <c r="X40" s="141">
        <f t="shared" si="162"/>
        <v>100</v>
      </c>
      <c r="Y40" s="142">
        <f>W40*40%</f>
        <v>600000</v>
      </c>
      <c r="Z40" s="142">
        <f t="shared" si="140"/>
        <v>900000</v>
      </c>
      <c r="AA40" s="142">
        <f t="shared" si="141"/>
        <v>900000</v>
      </c>
      <c r="AB40" s="157"/>
      <c r="AC40" s="142">
        <v>1500000</v>
      </c>
      <c r="AD40" s="142">
        <f t="shared" si="163"/>
        <v>100</v>
      </c>
      <c r="AE40" s="142">
        <f>AC40*40%</f>
        <v>600000</v>
      </c>
      <c r="AF40" s="142">
        <f t="shared" si="142"/>
        <v>900000</v>
      </c>
      <c r="AG40" s="142">
        <f t="shared" si="143"/>
        <v>900000</v>
      </c>
      <c r="AH40" s="157"/>
      <c r="AI40" s="142">
        <f>1800000</f>
        <v>1800000</v>
      </c>
      <c r="AJ40" s="142">
        <f t="shared" si="164"/>
        <v>120</v>
      </c>
      <c r="AK40" s="142">
        <f>AI40*40%</f>
        <v>720000</v>
      </c>
      <c r="AL40" s="142">
        <f t="shared" si="144"/>
        <v>1080000</v>
      </c>
      <c r="AM40" s="142">
        <f t="shared" si="145"/>
        <v>1080000</v>
      </c>
      <c r="AN40" s="157"/>
      <c r="AO40" s="142">
        <v>1900000</v>
      </c>
      <c r="AP40" s="142">
        <f t="shared" si="165"/>
        <v>105.55555555555556</v>
      </c>
      <c r="AQ40" s="142">
        <f>(40%*AO40)</f>
        <v>760000</v>
      </c>
      <c r="AR40" s="142">
        <f t="shared" si="146"/>
        <v>1140000</v>
      </c>
      <c r="AS40" s="142">
        <f t="shared" si="147"/>
        <v>1140000</v>
      </c>
      <c r="AT40" s="157"/>
      <c r="AU40" s="142">
        <f>2000000</f>
        <v>2000000</v>
      </c>
      <c r="AV40" s="142">
        <f t="shared" si="166"/>
        <v>105.26315789473684</v>
      </c>
      <c r="AW40" s="142">
        <f>(AU40*40%)</f>
        <v>800000</v>
      </c>
      <c r="AX40" s="142">
        <f t="shared" si="148"/>
        <v>1200000</v>
      </c>
      <c r="AY40" s="142">
        <f t="shared" si="149"/>
        <v>1200000</v>
      </c>
      <c r="AZ40" s="157"/>
      <c r="BE40" s="6">
        <f>J40-C40</f>
        <v>-209000</v>
      </c>
      <c r="BF40" s="6">
        <f t="shared" si="14"/>
        <v>-209000</v>
      </c>
      <c r="BH40" s="1670">
        <f t="shared" si="15"/>
        <v>-125400</v>
      </c>
      <c r="BI40" s="4"/>
    </row>
    <row r="41" spans="1:61" ht="16.8">
      <c r="A41" s="164">
        <v>10</v>
      </c>
      <c r="B41" s="165" t="s">
        <v>22</v>
      </c>
      <c r="C41" s="147">
        <v>170000</v>
      </c>
      <c r="D41" s="147">
        <f t="shared" si="152"/>
        <v>170000</v>
      </c>
      <c r="E41" s="148"/>
      <c r="F41" s="149">
        <v>60000</v>
      </c>
      <c r="G41" s="149">
        <f t="shared" si="173"/>
        <v>110000</v>
      </c>
      <c r="H41" s="149">
        <f t="shared" si="153"/>
        <v>47600</v>
      </c>
      <c r="I41" s="149">
        <f>62400</f>
        <v>62400</v>
      </c>
      <c r="J41" s="142">
        <v>170000</v>
      </c>
      <c r="K41" s="1067">
        <f t="shared" si="170"/>
        <v>100</v>
      </c>
      <c r="L41" s="1685">
        <f t="shared" si="154"/>
        <v>100</v>
      </c>
      <c r="M41" s="1686">
        <f>F41*L41/100-10000</f>
        <v>50000</v>
      </c>
      <c r="N41" s="1686">
        <f t="shared" si="158"/>
        <v>120000</v>
      </c>
      <c r="O41" s="1686">
        <f t="shared" si="159"/>
        <v>57600</v>
      </c>
      <c r="P41" s="1686">
        <f>I41*L41/100</f>
        <v>62400</v>
      </c>
      <c r="Q41" s="1064">
        <v>180000</v>
      </c>
      <c r="R41" s="1674">
        <f t="shared" si="155"/>
        <v>105.88235294117648</v>
      </c>
      <c r="S41" s="1065">
        <f>(M41*R41)/100+59</f>
        <v>53000.176470588238</v>
      </c>
      <c r="T41" s="1683">
        <f t="shared" ref="T41" si="176">SUM(U41:V41)</f>
        <v>126999.82352941176</v>
      </c>
      <c r="U41" s="1683">
        <f t="shared" ref="U41" si="177">Q41-S41-V41</f>
        <v>60930.235294117636</v>
      </c>
      <c r="V41" s="1683">
        <f>(I41*R41)/100-1</f>
        <v>66069.588235294126</v>
      </c>
      <c r="W41" s="142">
        <v>190000</v>
      </c>
      <c r="X41" s="141">
        <f t="shared" si="162"/>
        <v>105.55555555555556</v>
      </c>
      <c r="Y41" s="142">
        <f>(S41*X41)/100+5</f>
        <v>55949.630718954249</v>
      </c>
      <c r="Z41" s="142">
        <f t="shared" si="140"/>
        <v>134050.36928104574</v>
      </c>
      <c r="AA41" s="142">
        <f t="shared" si="141"/>
        <v>64310.248366013053</v>
      </c>
      <c r="AB41" s="142">
        <f>(V41*X41)/100</f>
        <v>69740.12091503269</v>
      </c>
      <c r="AC41" s="142">
        <v>200000</v>
      </c>
      <c r="AD41" s="142">
        <f t="shared" si="163"/>
        <v>105.26315789473684</v>
      </c>
      <c r="AE41" s="142">
        <f>(Y41*AD41)/100+6</f>
        <v>58900.348125214994</v>
      </c>
      <c r="AF41" s="142">
        <f t="shared" si="142"/>
        <v>141099.65187478502</v>
      </c>
      <c r="AG41" s="142">
        <f t="shared" si="143"/>
        <v>67689.998280013766</v>
      </c>
      <c r="AH41" s="142">
        <f>(AB41*AD41)/100-1</f>
        <v>73409.653594771255</v>
      </c>
      <c r="AI41" s="142">
        <f>270000</f>
        <v>270000</v>
      </c>
      <c r="AJ41" s="142">
        <f t="shared" si="164"/>
        <v>135</v>
      </c>
      <c r="AK41" s="142">
        <f>(AJ41*AE41)/100</f>
        <v>79515.469969040234</v>
      </c>
      <c r="AL41" s="142">
        <f t="shared" si="144"/>
        <v>190484.53003095975</v>
      </c>
      <c r="AM41" s="142">
        <f t="shared" si="145"/>
        <v>91381.497678018568</v>
      </c>
      <c r="AN41" s="142">
        <f>(AH41*AJ41)/100</f>
        <v>99103.032352941183</v>
      </c>
      <c r="AO41" s="142">
        <v>300000</v>
      </c>
      <c r="AP41" s="142">
        <f t="shared" si="165"/>
        <v>111.11111111111111</v>
      </c>
      <c r="AQ41" s="142">
        <f>(AP41*AK41)/100</f>
        <v>88350.522187822484</v>
      </c>
      <c r="AR41" s="142">
        <f t="shared" si="146"/>
        <v>211649.4778121775</v>
      </c>
      <c r="AS41" s="142">
        <f t="shared" si="147"/>
        <v>101534.99742002062</v>
      </c>
      <c r="AT41" s="142">
        <f>(AP41*AN41)/100</f>
        <v>110114.48039215688</v>
      </c>
      <c r="AU41" s="142">
        <f>350000</f>
        <v>350000</v>
      </c>
      <c r="AV41" s="142">
        <f t="shared" si="166"/>
        <v>116.66666666666667</v>
      </c>
      <c r="AW41" s="142">
        <f>(AV41*AQ41)/100</f>
        <v>103075.60921912623</v>
      </c>
      <c r="AX41" s="142">
        <f t="shared" si="148"/>
        <v>246924.39078087377</v>
      </c>
      <c r="AY41" s="142">
        <f t="shared" si="149"/>
        <v>118457.49699002407</v>
      </c>
      <c r="AZ41" s="142">
        <f>(AV41*AT41)/100</f>
        <v>128466.8937908497</v>
      </c>
      <c r="BE41" s="6">
        <f t="shared" si="13"/>
        <v>0</v>
      </c>
      <c r="BF41" s="6">
        <f t="shared" si="14"/>
        <v>0</v>
      </c>
      <c r="BH41" s="1670">
        <f t="shared" si="15"/>
        <v>10000</v>
      </c>
      <c r="BI41" s="4"/>
    </row>
    <row r="42" spans="1:61" ht="16.8">
      <c r="A42" s="164">
        <v>11</v>
      </c>
      <c r="B42" s="165" t="s">
        <v>23</v>
      </c>
      <c r="C42" s="147">
        <f>1200000+270000+300000</f>
        <v>1770000</v>
      </c>
      <c r="D42" s="147">
        <f t="shared" si="152"/>
        <v>1770000</v>
      </c>
      <c r="E42" s="148"/>
      <c r="F42" s="149"/>
      <c r="G42" s="149">
        <f t="shared" si="173"/>
        <v>1770000</v>
      </c>
      <c r="H42" s="149">
        <f t="shared" si="153"/>
        <v>627000</v>
      </c>
      <c r="I42" s="149">
        <f>(1270000)-(1270000*10%)</f>
        <v>1143000</v>
      </c>
      <c r="J42" s="142">
        <f>1760000+10000</f>
        <v>1770000</v>
      </c>
      <c r="K42" s="1067">
        <f t="shared" si="170"/>
        <v>100</v>
      </c>
      <c r="L42" s="1685">
        <f t="shared" si="154"/>
        <v>100</v>
      </c>
      <c r="M42" s="1684"/>
      <c r="N42" s="1686">
        <f>SUM(O42:P42)</f>
        <v>1770000</v>
      </c>
      <c r="O42" s="1686">
        <f t="shared" si="159"/>
        <v>627000</v>
      </c>
      <c r="P42" s="1686">
        <f>I42*L42/100</f>
        <v>1143000</v>
      </c>
      <c r="Q42" s="1064">
        <v>1800000</v>
      </c>
      <c r="R42" s="1674">
        <f t="shared" si="155"/>
        <v>101.69491525423729</v>
      </c>
      <c r="S42" s="199"/>
      <c r="T42" s="1683">
        <f t="shared" ref="T42" si="178">SUM(U42:V42)</f>
        <v>1800000</v>
      </c>
      <c r="U42" s="1683">
        <f t="shared" ref="U42" si="179">Q42-S42-V42</f>
        <v>540000</v>
      </c>
      <c r="V42" s="1683">
        <f>(1400000)-(1400000*10%)</f>
        <v>1260000</v>
      </c>
      <c r="W42" s="142">
        <v>1700000</v>
      </c>
      <c r="X42" s="141">
        <f t="shared" si="162"/>
        <v>94.444444444444443</v>
      </c>
      <c r="Y42" s="157"/>
      <c r="Z42" s="142">
        <f t="shared" si="140"/>
        <v>1700000</v>
      </c>
      <c r="AA42" s="142">
        <f t="shared" si="141"/>
        <v>530000</v>
      </c>
      <c r="AB42" s="1683">
        <f>(1300000)-(1300000*10%)</f>
        <v>1170000</v>
      </c>
      <c r="AC42" s="142">
        <v>1600000</v>
      </c>
      <c r="AD42" s="142">
        <f t="shared" si="163"/>
        <v>94.117647058823522</v>
      </c>
      <c r="AE42" s="157"/>
      <c r="AF42" s="142">
        <f t="shared" si="142"/>
        <v>1600000</v>
      </c>
      <c r="AG42" s="142">
        <f t="shared" si="143"/>
        <v>520000</v>
      </c>
      <c r="AH42" s="1683">
        <f>(1200000)-(1200000*10%)</f>
        <v>1080000</v>
      </c>
      <c r="AI42" s="142">
        <v>1800000</v>
      </c>
      <c r="AJ42" s="142">
        <f t="shared" si="164"/>
        <v>112.5</v>
      </c>
      <c r="AK42" s="157"/>
      <c r="AL42" s="142">
        <f t="shared" si="144"/>
        <v>1800000</v>
      </c>
      <c r="AM42" s="142">
        <f t="shared" si="145"/>
        <v>540000</v>
      </c>
      <c r="AN42" s="1683">
        <f>(1400000)-(1400000*10%)</f>
        <v>1260000</v>
      </c>
      <c r="AO42" s="142">
        <v>1950000</v>
      </c>
      <c r="AP42" s="142">
        <f t="shared" si="165"/>
        <v>108.33333333333333</v>
      </c>
      <c r="AQ42" s="157"/>
      <c r="AR42" s="142">
        <f t="shared" si="146"/>
        <v>1950000</v>
      </c>
      <c r="AS42" s="142">
        <f t="shared" si="147"/>
        <v>600000</v>
      </c>
      <c r="AT42" s="142">
        <f>(1500000)-(1500000*10%)</f>
        <v>1350000</v>
      </c>
      <c r="AU42" s="142">
        <f>2100000</f>
        <v>2100000</v>
      </c>
      <c r="AV42" s="142">
        <f t="shared" si="166"/>
        <v>107.69230769230769</v>
      </c>
      <c r="AW42" s="157"/>
      <c r="AX42" s="142">
        <f t="shared" si="148"/>
        <v>2100000</v>
      </c>
      <c r="AY42" s="142">
        <f t="shared" si="149"/>
        <v>615000</v>
      </c>
      <c r="AZ42" s="142">
        <f>(1650000)-(1650000*10%)</f>
        <v>1485000</v>
      </c>
      <c r="BE42" s="6">
        <f t="shared" si="13"/>
        <v>0</v>
      </c>
      <c r="BF42" s="6">
        <f t="shared" si="14"/>
        <v>0</v>
      </c>
      <c r="BH42" s="1670">
        <f t="shared" si="15"/>
        <v>0</v>
      </c>
      <c r="BI42" s="4"/>
    </row>
    <row r="43" spans="1:61">
      <c r="A43" s="164">
        <v>12</v>
      </c>
      <c r="B43" s="165" t="s">
        <v>24</v>
      </c>
      <c r="C43" s="147">
        <v>155000</v>
      </c>
      <c r="D43" s="147">
        <f>C43+160000</f>
        <v>315000</v>
      </c>
      <c r="E43" s="148"/>
      <c r="F43" s="149"/>
      <c r="G43" s="149">
        <f>SUM(H43:I43)</f>
        <v>315000</v>
      </c>
      <c r="H43" s="149">
        <f t="shared" si="153"/>
        <v>45900</v>
      </c>
      <c r="I43" s="149">
        <f>299000-(299000*10%)</f>
        <v>269100</v>
      </c>
      <c r="J43" s="142">
        <v>162000</v>
      </c>
      <c r="K43" s="1067">
        <f t="shared" si="170"/>
        <v>104.51612903225806</v>
      </c>
      <c r="L43" s="1685">
        <f t="shared" si="154"/>
        <v>51.428571428571423</v>
      </c>
      <c r="M43" s="1684"/>
      <c r="N43" s="1686">
        <f>SUM(O43:P43)</f>
        <v>162000</v>
      </c>
      <c r="O43" s="1686">
        <f t="shared" ref="O43" si="180">J43-M43-P43</f>
        <v>23609.71428571429</v>
      </c>
      <c r="P43" s="1686">
        <f>I43*L43/100-4</f>
        <v>138390.28571428571</v>
      </c>
      <c r="Q43" s="142">
        <v>170000</v>
      </c>
      <c r="R43" s="1674">
        <f>Q43/J43*100</f>
        <v>104.93827160493827</v>
      </c>
      <c r="S43" s="199"/>
      <c r="T43" s="1688">
        <f>SUM(U43:V43)</f>
        <v>170000</v>
      </c>
      <c r="U43" s="1065">
        <f t="shared" ref="U43" si="181">Q43-S43-V43</f>
        <v>24769.626102292794</v>
      </c>
      <c r="V43" s="1065">
        <f>(P43*R43)/100+6</f>
        <v>145230.37389770721</v>
      </c>
      <c r="W43" s="142">
        <v>180000</v>
      </c>
      <c r="X43" s="141">
        <f t="shared" si="162"/>
        <v>105.88235294117648</v>
      </c>
      <c r="Y43" s="157"/>
      <c r="Z43" s="142">
        <f t="shared" si="140"/>
        <v>180000</v>
      </c>
      <c r="AA43" s="142">
        <f t="shared" si="141"/>
        <v>26229.662931839412</v>
      </c>
      <c r="AB43" s="142">
        <f>(V43*X43)/100-3</f>
        <v>153770.33706816059</v>
      </c>
      <c r="AC43" s="142">
        <v>190000</v>
      </c>
      <c r="AD43" s="142">
        <f t="shared" si="163"/>
        <v>105.55555555555556</v>
      </c>
      <c r="AE43" s="157"/>
      <c r="AF43" s="142">
        <f t="shared" si="142"/>
        <v>190000</v>
      </c>
      <c r="AG43" s="142">
        <f t="shared" si="143"/>
        <v>27688.866428052715</v>
      </c>
      <c r="AH43" s="142">
        <f>(AB43*AD43)/100-2</f>
        <v>162311.13357194728</v>
      </c>
      <c r="AI43" s="142">
        <v>365000</v>
      </c>
      <c r="AJ43" s="142">
        <f t="shared" si="164"/>
        <v>192.10526315789474</v>
      </c>
      <c r="AK43" s="157"/>
      <c r="AL43" s="142">
        <f t="shared" si="144"/>
        <v>365000</v>
      </c>
      <c r="AM43" s="142">
        <f t="shared" si="145"/>
        <v>53191.769717048621</v>
      </c>
      <c r="AN43" s="142">
        <f>(AJ43*AH43)/100</f>
        <v>311808.23028295138</v>
      </c>
      <c r="AO43" s="142">
        <v>487000</v>
      </c>
      <c r="AP43" s="142">
        <f t="shared" si="165"/>
        <v>133.42465753424656</v>
      </c>
      <c r="AQ43" s="157"/>
      <c r="AR43" s="142">
        <f t="shared" si="146"/>
        <v>487000</v>
      </c>
      <c r="AS43" s="142">
        <f t="shared" si="147"/>
        <v>70970.936581377231</v>
      </c>
      <c r="AT43" s="142">
        <f>(AP43*AN43)/100</f>
        <v>416029.06341862277</v>
      </c>
      <c r="AU43" s="142">
        <v>620000</v>
      </c>
      <c r="AV43" s="142">
        <f t="shared" si="166"/>
        <v>127.31006160164272</v>
      </c>
      <c r="AW43" s="157"/>
      <c r="AX43" s="142">
        <f t="shared" si="148"/>
        <v>620000</v>
      </c>
      <c r="AY43" s="142">
        <f t="shared" si="149"/>
        <v>90353.143081014045</v>
      </c>
      <c r="AZ43" s="142">
        <f>(AV43*AT43)/100</f>
        <v>529646.85691898596</v>
      </c>
      <c r="BE43" s="6">
        <f t="shared" si="13"/>
        <v>7000</v>
      </c>
      <c r="BF43" s="6">
        <f t="shared" si="14"/>
        <v>-153000</v>
      </c>
      <c r="BH43" s="1670">
        <f t="shared" si="15"/>
        <v>-153000</v>
      </c>
      <c r="BI43" s="4"/>
    </row>
    <row r="44" spans="1:61">
      <c r="A44" s="164">
        <v>13</v>
      </c>
      <c r="B44" s="165" t="s">
        <v>25</v>
      </c>
      <c r="C44" s="147">
        <v>0</v>
      </c>
      <c r="D44" s="147"/>
      <c r="E44" s="148"/>
      <c r="F44" s="149"/>
      <c r="G44" s="149">
        <f t="shared" si="173"/>
        <v>0</v>
      </c>
      <c r="H44" s="149">
        <f t="shared" si="153"/>
        <v>0</v>
      </c>
      <c r="I44" s="149">
        <v>0</v>
      </c>
      <c r="J44" s="142">
        <v>0</v>
      </c>
      <c r="K44" s="142"/>
      <c r="L44" s="142"/>
      <c r="M44" s="1686"/>
      <c r="N44" s="1686"/>
      <c r="O44" s="1686"/>
      <c r="P44" s="1686"/>
      <c r="Q44" s="157"/>
      <c r="R44" s="1674" t="e">
        <f t="shared" si="155"/>
        <v>#DIV/0!</v>
      </c>
      <c r="S44" s="199"/>
      <c r="T44" s="1682">
        <f t="shared" ref="T44" si="182">SUM(U44:V44)</f>
        <v>0</v>
      </c>
      <c r="U44" s="1682">
        <f t="shared" ref="U44" si="183">Q44-S44-V44</f>
        <v>0</v>
      </c>
      <c r="V44" s="199"/>
      <c r="W44" s="157"/>
      <c r="X44" s="141" t="e">
        <f t="shared" si="162"/>
        <v>#DIV/0!</v>
      </c>
      <c r="Y44" s="157"/>
      <c r="Z44" s="142">
        <f t="shared" si="140"/>
        <v>0</v>
      </c>
      <c r="AA44" s="142">
        <f t="shared" si="141"/>
        <v>0</v>
      </c>
      <c r="AB44" s="157"/>
      <c r="AC44" s="157"/>
      <c r="AD44" s="142" t="e">
        <f t="shared" si="163"/>
        <v>#DIV/0!</v>
      </c>
      <c r="AE44" s="157"/>
      <c r="AF44" s="142">
        <f t="shared" si="142"/>
        <v>0</v>
      </c>
      <c r="AG44" s="142">
        <f t="shared" si="143"/>
        <v>0</v>
      </c>
      <c r="AH44" s="157"/>
      <c r="AI44" s="157"/>
      <c r="AJ44" s="142" t="e">
        <f t="shared" si="164"/>
        <v>#DIV/0!</v>
      </c>
      <c r="AK44" s="157"/>
      <c r="AL44" s="142">
        <f t="shared" si="144"/>
        <v>0</v>
      </c>
      <c r="AM44" s="142">
        <f t="shared" si="145"/>
        <v>0</v>
      </c>
      <c r="AN44" s="157"/>
      <c r="AO44" s="157"/>
      <c r="AP44" s="142" t="e">
        <f t="shared" si="165"/>
        <v>#DIV/0!</v>
      </c>
      <c r="AQ44" s="157"/>
      <c r="AR44" s="142">
        <f t="shared" si="146"/>
        <v>0</v>
      </c>
      <c r="AS44" s="142">
        <f t="shared" si="147"/>
        <v>0</v>
      </c>
      <c r="AT44" s="157"/>
      <c r="AU44" s="157"/>
      <c r="AV44" s="142" t="e">
        <f t="shared" si="166"/>
        <v>#DIV/0!</v>
      </c>
      <c r="AW44" s="157"/>
      <c r="AX44" s="142">
        <f t="shared" si="148"/>
        <v>0</v>
      </c>
      <c r="AY44" s="142">
        <f t="shared" si="149"/>
        <v>0</v>
      </c>
      <c r="AZ44" s="157"/>
      <c r="BE44" s="6">
        <f t="shared" si="13"/>
        <v>0</v>
      </c>
      <c r="BF44" s="6">
        <f t="shared" si="14"/>
        <v>0</v>
      </c>
      <c r="BH44" s="1670">
        <f t="shared" si="15"/>
        <v>0</v>
      </c>
      <c r="BI44" s="4"/>
    </row>
    <row r="45" spans="1:61">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70"/>
        <v>116.56441717791411</v>
      </c>
      <c r="L45" s="1685">
        <f>J45/D45*100</f>
        <v>116.56441717791411</v>
      </c>
      <c r="M45" s="1686">
        <f>F45*L45/100+29263.5</f>
        <v>139999.6963190184</v>
      </c>
      <c r="N45" s="1686">
        <f t="shared" ref="N45" si="184">SUM(O45:P45)</f>
        <v>240000.3036809816</v>
      </c>
      <c r="O45" s="1686">
        <f t="shared" ref="O45" si="185">J45-M45-P45</f>
        <v>70400.076687116554</v>
      </c>
      <c r="P45" s="1686">
        <f>I45*L45/100-1</f>
        <v>169600.22699386504</v>
      </c>
      <c r="Q45" s="142">
        <v>370000</v>
      </c>
      <c r="R45" s="1674">
        <f t="shared" si="155"/>
        <v>97.368421052631575</v>
      </c>
      <c r="S45" s="1065">
        <f>(M45*R45)/100+10684.5</f>
        <v>146999.99378430739</v>
      </c>
      <c r="T45" s="1065">
        <f t="shared" ref="T45" si="186">SUM(U45:V45)</f>
        <v>223000.00621569261</v>
      </c>
      <c r="U45" s="1065">
        <f t="shared" ref="U45" si="187">Q45-S45-V45</f>
        <v>57859.943090087181</v>
      </c>
      <c r="V45" s="1065">
        <f>(P45*R45)/100+3</f>
        <v>165140.06312560543</v>
      </c>
      <c r="W45" s="142">
        <v>380000</v>
      </c>
      <c r="X45" s="141">
        <f t="shared" si="162"/>
        <v>102.70270270270269</v>
      </c>
      <c r="Y45" s="142">
        <f>(S45*X45)/100-3</f>
        <v>150969.96658928867</v>
      </c>
      <c r="Z45" s="142">
        <f t="shared" si="140"/>
        <v>229030.03341071133</v>
      </c>
      <c r="AA45" s="142">
        <f t="shared" si="141"/>
        <v>59429.725335765223</v>
      </c>
      <c r="AB45" s="142">
        <f>(V45*X45)/100-3</f>
        <v>169600.30807494611</v>
      </c>
      <c r="AC45" s="142">
        <v>400000</v>
      </c>
      <c r="AD45" s="142">
        <f t="shared" si="163"/>
        <v>105.26315789473684</v>
      </c>
      <c r="AE45" s="142">
        <f>(AD45*Y45)/100+4</f>
        <v>158919.75430451438</v>
      </c>
      <c r="AF45" s="142">
        <f t="shared" si="142"/>
        <v>241080.24569548562</v>
      </c>
      <c r="AG45" s="142">
        <f t="shared" si="143"/>
        <v>62550.605616594985</v>
      </c>
      <c r="AH45" s="142">
        <f>(AD45*AB45)/100+3</f>
        <v>178529.64007889063</v>
      </c>
      <c r="AI45" s="142">
        <f>510000</f>
        <v>510000</v>
      </c>
      <c r="AJ45" s="142">
        <f t="shared" si="164"/>
        <v>127.49999999999999</v>
      </c>
      <c r="AK45" s="142">
        <f>(AJ45*AE45)/100</f>
        <v>202622.68673825581</v>
      </c>
      <c r="AL45" s="142">
        <f t="shared" si="144"/>
        <v>307377.31326174422</v>
      </c>
      <c r="AM45" s="142">
        <f t="shared" si="145"/>
        <v>79752.022161158675</v>
      </c>
      <c r="AN45" s="142">
        <f>(AJ45*AH45)/100</f>
        <v>227625.29110058554</v>
      </c>
      <c r="AO45" s="142">
        <v>550000</v>
      </c>
      <c r="AP45" s="142">
        <f t="shared" si="165"/>
        <v>107.84313725490196</v>
      </c>
      <c r="AQ45" s="142">
        <f>(AP45*AK45)/100</f>
        <v>218514.66216870726</v>
      </c>
      <c r="AR45" s="142">
        <f t="shared" si="146"/>
        <v>331485.33783129277</v>
      </c>
      <c r="AS45" s="142">
        <f t="shared" si="147"/>
        <v>86007.082722818159</v>
      </c>
      <c r="AT45" s="142">
        <f>(AP45*AN45)/100</f>
        <v>245478.25510847461</v>
      </c>
      <c r="AU45" s="142">
        <f>600000</f>
        <v>600000</v>
      </c>
      <c r="AV45" s="142">
        <f t="shared" si="166"/>
        <v>109.09090909090908</v>
      </c>
      <c r="AW45" s="142">
        <f>(AV45*AQ45)/100</f>
        <v>238379.63145677152</v>
      </c>
      <c r="AX45" s="142">
        <f t="shared" si="148"/>
        <v>361620.36854322848</v>
      </c>
      <c r="AY45" s="142">
        <f t="shared" si="149"/>
        <v>93825.908424892579</v>
      </c>
      <c r="AZ45" s="142">
        <f>(AV45*AT45)/100</f>
        <v>267794.4601183359</v>
      </c>
      <c r="BE45" s="6">
        <f t="shared" si="13"/>
        <v>54000</v>
      </c>
      <c r="BF45" s="6">
        <f t="shared" si="14"/>
        <v>54000</v>
      </c>
      <c r="BH45" s="1670">
        <f t="shared" si="15"/>
        <v>8970.3036809815967</v>
      </c>
      <c r="BI45" s="4"/>
    </row>
    <row r="46" spans="1:61">
      <c r="A46" s="164">
        <v>15</v>
      </c>
      <c r="B46" s="165" t="s">
        <v>27</v>
      </c>
      <c r="C46" s="147">
        <v>30000</v>
      </c>
      <c r="D46" s="147">
        <f>C46</f>
        <v>30000</v>
      </c>
      <c r="E46" s="148"/>
      <c r="F46" s="149">
        <f>100</f>
        <v>100</v>
      </c>
      <c r="G46" s="149">
        <f t="shared" ref="G46:G47" si="188">SUM(H46:I46)</f>
        <v>29900</v>
      </c>
      <c r="H46" s="149">
        <f>D46-F46-I46</f>
        <v>29900</v>
      </c>
      <c r="I46" s="149"/>
      <c r="J46" s="142">
        <v>40000</v>
      </c>
      <c r="K46" s="1067">
        <f t="shared" si="170"/>
        <v>133.33333333333331</v>
      </c>
      <c r="L46" s="1685">
        <f>J46/D46*100</f>
        <v>133.33333333333331</v>
      </c>
      <c r="M46" s="1686">
        <f>F46*L46/100-32.9</f>
        <v>100.43333333333331</v>
      </c>
      <c r="N46" s="1686">
        <f t="shared" ref="N46" si="189">SUM(O46:P46)</f>
        <v>39899.566666666666</v>
      </c>
      <c r="O46" s="1686">
        <f t="shared" ref="O46" si="190">J46-M46-P46</f>
        <v>39899.566666666666</v>
      </c>
      <c r="P46" s="1686">
        <f>I46*L46/100</f>
        <v>0</v>
      </c>
      <c r="Q46" s="1065">
        <v>32000</v>
      </c>
      <c r="R46" s="1683">
        <f>Q46/J46*100</f>
        <v>80</v>
      </c>
      <c r="S46" s="1065">
        <f>(F46*R46)/100</f>
        <v>80</v>
      </c>
      <c r="T46" s="1683">
        <f t="shared" ref="T46" si="191">SUM(U46:V46)</f>
        <v>31920</v>
      </c>
      <c r="U46" s="1683">
        <f>Q46-S46-V46</f>
        <v>31920</v>
      </c>
      <c r="V46" s="1681"/>
      <c r="W46" s="142">
        <v>32000</v>
      </c>
      <c r="X46" s="141">
        <f t="shared" si="162"/>
        <v>100</v>
      </c>
      <c r="Y46" s="142">
        <f>(S46*X46)/100</f>
        <v>80</v>
      </c>
      <c r="Z46" s="142">
        <f t="shared" si="140"/>
        <v>31920</v>
      </c>
      <c r="AA46" s="142">
        <f t="shared" si="141"/>
        <v>31920</v>
      </c>
      <c r="AB46" s="157"/>
      <c r="AC46" s="142">
        <v>37000</v>
      </c>
      <c r="AD46" s="142">
        <f t="shared" si="163"/>
        <v>115.625</v>
      </c>
      <c r="AE46" s="142">
        <f>(Y46*AD46)/100+7</f>
        <v>99.5</v>
      </c>
      <c r="AF46" s="142">
        <f t="shared" si="142"/>
        <v>36900.5</v>
      </c>
      <c r="AG46" s="142">
        <f t="shared" si="143"/>
        <v>36900.5</v>
      </c>
      <c r="AH46" s="157"/>
      <c r="AI46" s="142">
        <v>42000</v>
      </c>
      <c r="AJ46" s="142">
        <f t="shared" si="164"/>
        <v>113.51351351351352</v>
      </c>
      <c r="AK46" s="142">
        <f>(AJ46*AE46)/100</f>
        <v>112.94594594594595</v>
      </c>
      <c r="AL46" s="142">
        <f t="shared" si="144"/>
        <v>41887.054054054053</v>
      </c>
      <c r="AM46" s="142">
        <f t="shared" si="145"/>
        <v>41887.054054054053</v>
      </c>
      <c r="AN46" s="157"/>
      <c r="AO46" s="142">
        <v>40000</v>
      </c>
      <c r="AP46" s="142">
        <f t="shared" si="165"/>
        <v>95.238095238095227</v>
      </c>
      <c r="AQ46" s="142">
        <f>(AP46*AK46)/100</f>
        <v>107.56756756756756</v>
      </c>
      <c r="AR46" s="142">
        <f t="shared" si="146"/>
        <v>39892.432432432433</v>
      </c>
      <c r="AS46" s="142">
        <f t="shared" si="147"/>
        <v>39892.432432432433</v>
      </c>
      <c r="AT46" s="157"/>
      <c r="AU46" s="142">
        <v>40000</v>
      </c>
      <c r="AV46" s="142">
        <f t="shared" si="166"/>
        <v>100</v>
      </c>
      <c r="AW46" s="142">
        <f>(AV46*AQ46)/100</f>
        <v>107.56756756756756</v>
      </c>
      <c r="AX46" s="142">
        <f t="shared" si="148"/>
        <v>39892.432432432433</v>
      </c>
      <c r="AY46" s="142">
        <f t="shared" si="149"/>
        <v>39892.432432432433</v>
      </c>
      <c r="AZ46" s="157"/>
      <c r="BE46" s="6">
        <f t="shared" si="13"/>
        <v>10000</v>
      </c>
      <c r="BF46" s="6">
        <f t="shared" si="14"/>
        <v>10000</v>
      </c>
      <c r="BH46" s="1670">
        <f t="shared" si="15"/>
        <v>9999.5666666666657</v>
      </c>
      <c r="BI46" s="4"/>
    </row>
    <row r="47" spans="1:61" ht="16.2">
      <c r="A47" s="164">
        <v>16</v>
      </c>
      <c r="B47" s="165" t="s">
        <v>28</v>
      </c>
      <c r="C47" s="166">
        <f>37000+C48</f>
        <v>37000</v>
      </c>
      <c r="D47" s="166">
        <f>37000+D48</f>
        <v>445054.16200000001</v>
      </c>
      <c r="E47" s="167"/>
      <c r="F47" s="149"/>
      <c r="G47" s="149">
        <f t="shared" si="188"/>
        <v>445054.16200000001</v>
      </c>
      <c r="H47" s="168">
        <f>D47-F47-I47</f>
        <v>445054.16200000001</v>
      </c>
      <c r="I47" s="149"/>
      <c r="J47" s="142">
        <f>37000+J48</f>
        <v>445054.16200000001</v>
      </c>
      <c r="K47" s="1067">
        <f t="shared" si="170"/>
        <v>1202.8490864864866</v>
      </c>
      <c r="L47" s="1685">
        <f>J47/D47*100</f>
        <v>100</v>
      </c>
      <c r="M47" s="1686">
        <f>F47*L47/100</f>
        <v>0</v>
      </c>
      <c r="N47" s="1686">
        <f t="shared" ref="N47:N48" si="192">SUM(O47:P47)</f>
        <v>445054.16200000001</v>
      </c>
      <c r="O47" s="1686">
        <f t="shared" ref="O47" si="193">J47-M47-P47</f>
        <v>445054.16200000001</v>
      </c>
      <c r="P47" s="1686">
        <f>I47*L47/100</f>
        <v>0</v>
      </c>
      <c r="Q47" s="142">
        <f>37000+Q48</f>
        <v>37000</v>
      </c>
      <c r="R47" s="1674">
        <f>Q47/J47*100</f>
        <v>8.3135948743245311</v>
      </c>
      <c r="S47" s="199"/>
      <c r="T47" s="1686">
        <f t="shared" ref="T47" si="194">SUM(U47:V47)</f>
        <v>37000</v>
      </c>
      <c r="U47" s="1686">
        <f t="shared" ref="U47" si="195">Q47-S47-V47</f>
        <v>37000</v>
      </c>
      <c r="V47" s="1684"/>
      <c r="W47" s="142">
        <v>34000</v>
      </c>
      <c r="X47" s="141">
        <f t="shared" si="162"/>
        <v>91.891891891891902</v>
      </c>
      <c r="Y47" s="157"/>
      <c r="Z47" s="142">
        <f t="shared" si="140"/>
        <v>34000</v>
      </c>
      <c r="AA47" s="142">
        <f t="shared" si="141"/>
        <v>34000</v>
      </c>
      <c r="AB47" s="157"/>
      <c r="AC47" s="142">
        <v>37000</v>
      </c>
      <c r="AD47" s="142">
        <f t="shared" si="163"/>
        <v>108.8235294117647</v>
      </c>
      <c r="AE47" s="157"/>
      <c r="AF47" s="142">
        <f t="shared" si="142"/>
        <v>37000</v>
      </c>
      <c r="AG47" s="142">
        <f t="shared" si="143"/>
        <v>37000</v>
      </c>
      <c r="AH47" s="157"/>
      <c r="AI47" s="142">
        <f>120000+AI48</f>
        <v>120000</v>
      </c>
      <c r="AJ47" s="142">
        <f t="shared" si="164"/>
        <v>324.32432432432432</v>
      </c>
      <c r="AK47" s="157"/>
      <c r="AL47" s="142">
        <f t="shared" si="144"/>
        <v>120000</v>
      </c>
      <c r="AM47" s="142">
        <f t="shared" si="145"/>
        <v>120000</v>
      </c>
      <c r="AN47" s="157"/>
      <c r="AO47" s="142">
        <f>130000+AO48</f>
        <v>130000</v>
      </c>
      <c r="AP47" s="142">
        <f t="shared" si="165"/>
        <v>108.33333333333333</v>
      </c>
      <c r="AQ47" s="157"/>
      <c r="AR47" s="142">
        <f t="shared" si="146"/>
        <v>130000</v>
      </c>
      <c r="AS47" s="142">
        <f t="shared" si="147"/>
        <v>130000</v>
      </c>
      <c r="AT47" s="157"/>
      <c r="AU47" s="142">
        <f>160000+AU48</f>
        <v>160000</v>
      </c>
      <c r="AV47" s="142">
        <f t="shared" si="166"/>
        <v>123.07692307692308</v>
      </c>
      <c r="AW47" s="157"/>
      <c r="AX47" s="142">
        <f t="shared" si="148"/>
        <v>160000</v>
      </c>
      <c r="AY47" s="142">
        <f t="shared" si="149"/>
        <v>160000</v>
      </c>
      <c r="AZ47" s="157"/>
      <c r="BE47" s="6">
        <f t="shared" si="13"/>
        <v>408054.16200000001</v>
      </c>
      <c r="BF47" s="6">
        <f t="shared" si="14"/>
        <v>0</v>
      </c>
      <c r="BH47" s="1670">
        <f t="shared" si="15"/>
        <v>0</v>
      </c>
      <c r="BI47" s="4"/>
    </row>
    <row r="48" spans="1:61"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92"/>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E48" s="6">
        <f t="shared" si="13"/>
        <v>408054.16200000001</v>
      </c>
      <c r="BF48" s="6">
        <f t="shared" si="14"/>
        <v>0</v>
      </c>
      <c r="BH48" s="1670">
        <f t="shared" si="15"/>
        <v>0</v>
      </c>
      <c r="BI48" s="4"/>
    </row>
    <row r="49" spans="1:61">
      <c r="A49" s="164">
        <v>17</v>
      </c>
      <c r="B49" s="165" t="s">
        <v>31</v>
      </c>
      <c r="C49" s="147">
        <v>2000</v>
      </c>
      <c r="D49" s="147">
        <f>C49</f>
        <v>2000</v>
      </c>
      <c r="E49" s="148"/>
      <c r="F49" s="149"/>
      <c r="G49" s="149">
        <f>SUM(H49:I49)</f>
        <v>2000</v>
      </c>
      <c r="H49" s="170">
        <f>D49-F49-I49</f>
        <v>0</v>
      </c>
      <c r="I49" s="149">
        <f>C49</f>
        <v>2000</v>
      </c>
      <c r="J49" s="142">
        <v>2000</v>
      </c>
      <c r="K49" s="1067">
        <f t="shared" si="170"/>
        <v>100</v>
      </c>
      <c r="L49" s="1685">
        <f>J49/D49*100</f>
        <v>100</v>
      </c>
      <c r="M49" s="1686">
        <f>F49*L49/100</f>
        <v>0</v>
      </c>
      <c r="N49" s="1686">
        <f t="shared" ref="N49" si="196">SUM(O49:P49)</f>
        <v>2000</v>
      </c>
      <c r="O49" s="1686">
        <f t="shared" ref="O49" si="197">J49-M49-P49</f>
        <v>0</v>
      </c>
      <c r="P49" s="1686">
        <f>I49*L49/100</f>
        <v>2000</v>
      </c>
      <c r="Q49" s="142">
        <v>2000</v>
      </c>
      <c r="R49" s="1674">
        <f t="shared" si="155"/>
        <v>100</v>
      </c>
      <c r="S49" s="199"/>
      <c r="T49" s="142">
        <f t="shared" ref="T49" si="198">SUM(U49:V49)</f>
        <v>2000</v>
      </c>
      <c r="U49" s="142">
        <f t="shared" ref="U49" si="199">Q49-S49-V49</f>
        <v>0</v>
      </c>
      <c r="V49" s="142">
        <f>Q49</f>
        <v>2000</v>
      </c>
      <c r="W49" s="142">
        <v>2000</v>
      </c>
      <c r="X49" s="141">
        <f t="shared" si="162"/>
        <v>100</v>
      </c>
      <c r="Y49" s="157"/>
      <c r="Z49" s="142">
        <f t="shared" ref="Z49:Z50" si="200">SUM(AA49:AB49)</f>
        <v>2000</v>
      </c>
      <c r="AA49" s="142">
        <f t="shared" ref="AA49:AA50" si="201">W49-Y49-AB49</f>
        <v>0</v>
      </c>
      <c r="AB49" s="142">
        <f>W49</f>
        <v>2000</v>
      </c>
      <c r="AC49" s="142">
        <v>2000</v>
      </c>
      <c r="AD49" s="142">
        <f t="shared" ref="AD49:AD50" si="202">AC49/W49*100</f>
        <v>100</v>
      </c>
      <c r="AE49" s="157"/>
      <c r="AF49" s="142">
        <f t="shared" ref="AF49:AF50" si="203">SUM(AG49:AH49)</f>
        <v>2000</v>
      </c>
      <c r="AG49" s="142">
        <f t="shared" ref="AG49:AG50" si="204">AC49-AE49-AH49</f>
        <v>0</v>
      </c>
      <c r="AH49" s="142">
        <f>AC49</f>
        <v>2000</v>
      </c>
      <c r="AI49" s="142">
        <v>2000</v>
      </c>
      <c r="AJ49" s="142">
        <f t="shared" ref="AJ49:AJ50" si="205">AI49/AC49*100</f>
        <v>100</v>
      </c>
      <c r="AK49" s="157"/>
      <c r="AL49" s="142">
        <f t="shared" ref="AL49:AL50" si="206">SUM(AM49:AN49)</f>
        <v>2000</v>
      </c>
      <c r="AM49" s="142">
        <f t="shared" ref="AM49:AM50" si="207">AI49-AK49-AN49</f>
        <v>0</v>
      </c>
      <c r="AN49" s="142">
        <f>AI49</f>
        <v>2000</v>
      </c>
      <c r="AO49" s="142">
        <v>2000</v>
      </c>
      <c r="AP49" s="142">
        <f t="shared" ref="AP49:AP50" si="208">AO49/AI49*100</f>
        <v>100</v>
      </c>
      <c r="AQ49" s="157"/>
      <c r="AR49" s="142">
        <f t="shared" ref="AR49:AR50" si="209">SUM(AS49:AT49)</f>
        <v>2000</v>
      </c>
      <c r="AS49" s="142">
        <f t="shared" ref="AS49:AS50" si="210">AO49-AQ49-AT49</f>
        <v>0</v>
      </c>
      <c r="AT49" s="142">
        <f>AO49</f>
        <v>2000</v>
      </c>
      <c r="AU49" s="142">
        <v>2000</v>
      </c>
      <c r="AV49" s="142">
        <f t="shared" ref="AV49:AV50" si="211">AU49/AO49*100</f>
        <v>100</v>
      </c>
      <c r="AW49" s="157"/>
      <c r="AX49" s="142">
        <f t="shared" ref="AX49:AX50" si="212">SUM(AY49:AZ49)</f>
        <v>2000</v>
      </c>
      <c r="AY49" s="142">
        <f t="shared" ref="AY49:AY50" si="213">AU49-AW49-AZ49</f>
        <v>0</v>
      </c>
      <c r="AZ49" s="142">
        <f>AU49</f>
        <v>2000</v>
      </c>
      <c r="BE49" s="6">
        <f t="shared" si="13"/>
        <v>0</v>
      </c>
      <c r="BF49" s="6">
        <f t="shared" si="14"/>
        <v>0</v>
      </c>
      <c r="BH49" s="1670">
        <f t="shared" si="15"/>
        <v>0</v>
      </c>
      <c r="BI49" s="4"/>
    </row>
    <row r="50" spans="1:61">
      <c r="A50" s="164">
        <v>18</v>
      </c>
      <c r="B50" s="165" t="s">
        <v>32</v>
      </c>
      <c r="C50" s="147">
        <f>1850000</f>
        <v>1850000</v>
      </c>
      <c r="D50" s="147">
        <f>C50+100000</f>
        <v>1950000</v>
      </c>
      <c r="E50" s="148"/>
      <c r="F50" s="149"/>
      <c r="G50" s="149">
        <f>SUM(H50:I50)</f>
        <v>1950000</v>
      </c>
      <c r="H50" s="149">
        <f>D50-F50-I50</f>
        <v>1950000</v>
      </c>
      <c r="I50" s="149">
        <v>0</v>
      </c>
      <c r="J50" s="142">
        <v>1950000</v>
      </c>
      <c r="K50" s="1067">
        <f t="shared" si="170"/>
        <v>105.40540540540539</v>
      </c>
      <c r="L50" s="1685">
        <f>J50/D50*100</f>
        <v>100</v>
      </c>
      <c r="M50" s="1686">
        <f>F50*L50/100</f>
        <v>0</v>
      </c>
      <c r="N50" s="1686">
        <f t="shared" ref="N50" si="214">SUM(O50:P50)</f>
        <v>1950000</v>
      </c>
      <c r="O50" s="1686">
        <f t="shared" ref="O50" si="215">J50-M50-P50</f>
        <v>1950000</v>
      </c>
      <c r="P50" s="1686">
        <f>I50*L50/100</f>
        <v>0</v>
      </c>
      <c r="Q50" s="142">
        <v>1950000</v>
      </c>
      <c r="R50" s="1692">
        <f>Q50/J50*100</f>
        <v>100</v>
      </c>
      <c r="S50" s="199"/>
      <c r="T50" s="142">
        <f t="shared" ref="T50" si="216">SUM(U50:V50)</f>
        <v>1950000</v>
      </c>
      <c r="U50" s="142">
        <f t="shared" ref="U50" si="217">Q50-S50-V50</f>
        <v>1950000</v>
      </c>
      <c r="V50" s="157"/>
      <c r="W50" s="142">
        <v>1950000</v>
      </c>
      <c r="X50" s="141">
        <f t="shared" si="162"/>
        <v>100</v>
      </c>
      <c r="Y50" s="157"/>
      <c r="Z50" s="142">
        <f t="shared" si="200"/>
        <v>1950000</v>
      </c>
      <c r="AA50" s="142">
        <f t="shared" si="201"/>
        <v>1950000</v>
      </c>
      <c r="AB50" s="157"/>
      <c r="AC50" s="142">
        <v>2000000</v>
      </c>
      <c r="AD50" s="142">
        <f t="shared" si="202"/>
        <v>102.56410256410255</v>
      </c>
      <c r="AE50" s="157"/>
      <c r="AF50" s="142">
        <f t="shared" si="203"/>
        <v>2000000</v>
      </c>
      <c r="AG50" s="142">
        <f t="shared" si="204"/>
        <v>2000000</v>
      </c>
      <c r="AH50" s="157"/>
      <c r="AI50" s="142">
        <v>2800000</v>
      </c>
      <c r="AJ50" s="142">
        <f t="shared" si="205"/>
        <v>140</v>
      </c>
      <c r="AK50" s="157"/>
      <c r="AL50" s="142">
        <f t="shared" si="206"/>
        <v>2800000</v>
      </c>
      <c r="AM50" s="142">
        <f t="shared" si="207"/>
        <v>2800000</v>
      </c>
      <c r="AN50" s="157"/>
      <c r="AO50" s="142">
        <v>2900000</v>
      </c>
      <c r="AP50" s="142">
        <f t="shared" si="208"/>
        <v>103.57142857142858</v>
      </c>
      <c r="AQ50" s="157"/>
      <c r="AR50" s="142">
        <f t="shared" si="209"/>
        <v>2900000</v>
      </c>
      <c r="AS50" s="142">
        <f t="shared" si="210"/>
        <v>2900000</v>
      </c>
      <c r="AT50" s="157"/>
      <c r="AU50" s="142">
        <v>3000000</v>
      </c>
      <c r="AV50" s="142">
        <f t="shared" si="211"/>
        <v>103.44827586206897</v>
      </c>
      <c r="AW50" s="157"/>
      <c r="AX50" s="142">
        <f t="shared" si="212"/>
        <v>3000000</v>
      </c>
      <c r="AY50" s="142">
        <f t="shared" si="213"/>
        <v>3000000</v>
      </c>
      <c r="AZ50" s="157"/>
      <c r="BE50" s="6">
        <f t="shared" si="13"/>
        <v>100000</v>
      </c>
      <c r="BF50" s="6">
        <f t="shared" si="14"/>
        <v>0</v>
      </c>
      <c r="BH50" s="1670">
        <f t="shared" si="15"/>
        <v>0</v>
      </c>
      <c r="BI50" s="4"/>
    </row>
    <row r="51" spans="1:61">
      <c r="A51" s="1712" t="s">
        <v>33</v>
      </c>
      <c r="B51" s="1713" t="s">
        <v>34</v>
      </c>
      <c r="C51" s="173">
        <f>SUM(C52:C54)</f>
        <v>157000</v>
      </c>
      <c r="D51" s="173">
        <f t="shared" ref="D51" si="218">SUM(D52:D54)</f>
        <v>200000</v>
      </c>
      <c r="E51" s="148"/>
      <c r="F51" s="174">
        <f>SUM(F52:F54)</f>
        <v>200000</v>
      </c>
      <c r="G51" s="174">
        <f>SUM(G52:G54)</f>
        <v>0</v>
      </c>
      <c r="H51" s="174">
        <f>SUM(H52:H54)</f>
        <v>0</v>
      </c>
      <c r="I51" s="174">
        <f>SUM(I52:I54)</f>
        <v>0</v>
      </c>
      <c r="J51" s="142">
        <f>SUM(J52:J54)</f>
        <v>259999.569416666</v>
      </c>
      <c r="K51" s="1067">
        <f t="shared" si="170"/>
        <v>165.60482128450062</v>
      </c>
      <c r="L51" s="1685">
        <f>J51/D51*100</f>
        <v>129.99978470833301</v>
      </c>
      <c r="M51" s="142">
        <f>SUM(M52:M54)</f>
        <v>259999.569416666</v>
      </c>
      <c r="N51" s="142">
        <f t="shared" ref="N51:O51" si="219">SUM(N52:N54)</f>
        <v>-1.4551915228366852E-11</v>
      </c>
      <c r="O51" s="142">
        <f t="shared" si="219"/>
        <v>-1.4551915228366852E-11</v>
      </c>
      <c r="P51" s="142">
        <f>SUM(P52:P54)</f>
        <v>0</v>
      </c>
      <c r="Q51" s="142">
        <f>SUM(Q52:Q54)</f>
        <v>272999.7</v>
      </c>
      <c r="R51" s="1692">
        <f t="shared" si="155"/>
        <v>105.00005850490486</v>
      </c>
      <c r="S51" s="142">
        <f>SUM(S52:S54)</f>
        <v>272999.7</v>
      </c>
      <c r="T51" s="142">
        <f t="shared" ref="T51:V51" si="220">SUM(T52:T54)</f>
        <v>0</v>
      </c>
      <c r="U51" s="142">
        <f t="shared" si="220"/>
        <v>0</v>
      </c>
      <c r="V51" s="142">
        <f t="shared" si="220"/>
        <v>0</v>
      </c>
      <c r="W51" s="142">
        <f>SUM(W52:W54)</f>
        <v>287000.23000000004</v>
      </c>
      <c r="X51" s="141">
        <f>W51/Q51*100</f>
        <v>105.12840490300906</v>
      </c>
      <c r="Y51" s="142">
        <f>SUM(Y52:Y54)</f>
        <v>287000.23000000004</v>
      </c>
      <c r="Z51" s="142">
        <f t="shared" ref="Z51" si="221">SUM(Z52:Z54)</f>
        <v>0</v>
      </c>
      <c r="AA51" s="142">
        <f t="shared" ref="AA51" si="222">SUM(AA52:AA54)</f>
        <v>0</v>
      </c>
      <c r="AB51" s="142">
        <f t="shared" ref="AB51" si="223">SUM(AB52:AB54)</f>
        <v>0</v>
      </c>
      <c r="AC51" s="142">
        <f>SUM(AC52:AC54)</f>
        <v>302000.37</v>
      </c>
      <c r="AD51" s="142">
        <f>AC51/W51*100</f>
        <v>105.22652542822001</v>
      </c>
      <c r="AE51" s="142">
        <f>SUM(AE52:AE54)</f>
        <v>302000.37</v>
      </c>
      <c r="AF51" s="142">
        <f t="shared" ref="AF51" si="224">SUM(AF52:AF54)</f>
        <v>0</v>
      </c>
      <c r="AG51" s="142">
        <f t="shared" ref="AG51" si="225">SUM(AG52:AG54)</f>
        <v>0</v>
      </c>
      <c r="AH51" s="142">
        <f t="shared" ref="AH51" si="226">SUM(AH52:AH54)</f>
        <v>0</v>
      </c>
      <c r="AI51" s="142">
        <f>SUM(AI52:AI54)</f>
        <v>316000</v>
      </c>
      <c r="AJ51" s="142">
        <f>AI51/AC51*100</f>
        <v>104.63563339342929</v>
      </c>
      <c r="AK51" s="142">
        <f>SUM(AK52:AK54)</f>
        <v>316000</v>
      </c>
      <c r="AL51" s="142">
        <f t="shared" ref="AL51" si="227">SUM(AL52:AL54)</f>
        <v>0</v>
      </c>
      <c r="AM51" s="142">
        <f t="shared" ref="AM51" si="228">SUM(AM52:AM54)</f>
        <v>0</v>
      </c>
      <c r="AN51" s="142">
        <f t="shared" ref="AN51" si="229">SUM(AN52:AN54)</f>
        <v>0</v>
      </c>
      <c r="AO51" s="142">
        <f>SUM(AO52:AO54)</f>
        <v>335000</v>
      </c>
      <c r="AP51" s="142">
        <f>AO51/AI51*100</f>
        <v>106.01265822784811</v>
      </c>
      <c r="AQ51" s="142">
        <f>SUM(AQ52:AQ54)</f>
        <v>335000</v>
      </c>
      <c r="AR51" s="142">
        <f t="shared" ref="AR51" si="230">SUM(AR52:AR54)</f>
        <v>0</v>
      </c>
      <c r="AS51" s="142">
        <f t="shared" ref="AS51" si="231">SUM(AS52:AS54)</f>
        <v>0</v>
      </c>
      <c r="AT51" s="142">
        <f t="shared" ref="AT51" si="232">SUM(AT52:AT54)</f>
        <v>0</v>
      </c>
      <c r="AU51" s="142">
        <f>SUM(AU52:AU54)</f>
        <v>353000</v>
      </c>
      <c r="AV51" s="142">
        <f>AU51/AO51*100</f>
        <v>105.37313432835822</v>
      </c>
      <c r="AW51" s="142">
        <f>SUM(AW52:AW54)</f>
        <v>353000</v>
      </c>
      <c r="AX51" s="142">
        <f t="shared" ref="AX51" si="233">SUM(AX52:AX54)</f>
        <v>0</v>
      </c>
      <c r="AY51" s="142">
        <f t="shared" ref="AY51" si="234">SUM(AY52:AY54)</f>
        <v>0</v>
      </c>
      <c r="AZ51" s="142">
        <f t="shared" ref="AZ51" si="235">SUM(AZ52:AZ54)</f>
        <v>0</v>
      </c>
      <c r="BE51" s="6">
        <f t="shared" si="13"/>
        <v>102999.569416666</v>
      </c>
      <c r="BF51" s="6">
        <f t="shared" si="14"/>
        <v>59999.569416665996</v>
      </c>
      <c r="BH51" s="1670">
        <f t="shared" si="15"/>
        <v>-1.4551915228366852E-11</v>
      </c>
      <c r="BI51" s="4"/>
    </row>
    <row r="52" spans="1:61" hidden="1">
      <c r="A52" s="164"/>
      <c r="B52" s="1716" t="s">
        <v>35</v>
      </c>
      <c r="C52" s="152">
        <v>35000</v>
      </c>
      <c r="D52" s="152">
        <f>C52+9000</f>
        <v>44000</v>
      </c>
      <c r="E52" s="153"/>
      <c r="F52" s="154">
        <f>D52</f>
        <v>44000</v>
      </c>
      <c r="G52" s="154"/>
      <c r="H52" s="154">
        <f>D52-F52-I52</f>
        <v>0</v>
      </c>
      <c r="I52" s="154">
        <v>0</v>
      </c>
      <c r="J52" s="157">
        <f>102880.399083333+20000</f>
        <v>122880.399083333</v>
      </c>
      <c r="K52" s="157">
        <f t="shared" ref="K52" si="236">J52/C52*100</f>
        <v>351.08685452380854</v>
      </c>
      <c r="L52" s="1693">
        <f>J52/D52*100</f>
        <v>279.2736342803023</v>
      </c>
      <c r="M52" s="1684">
        <f>F52*L52/100</f>
        <v>122880.39908333302</v>
      </c>
      <c r="N52" s="1684">
        <f t="shared" ref="N52" si="237">SUM(O52:P52)</f>
        <v>-1.4551915228366852E-11</v>
      </c>
      <c r="O52" s="1684">
        <f t="shared" ref="O52" si="238">J52-M52-P52</f>
        <v>-1.4551915228366852E-11</v>
      </c>
      <c r="P52" s="1684">
        <f>I52*L52/100</f>
        <v>0</v>
      </c>
      <c r="Q52" s="157">
        <v>49092.37</v>
      </c>
      <c r="R52" s="1694">
        <f t="shared" si="155"/>
        <v>39.951343229856654</v>
      </c>
      <c r="S52" s="157">
        <f>+Q52</f>
        <v>49092.37</v>
      </c>
      <c r="T52" s="157">
        <f t="shared" ref="T52" si="239">SUM(U52:V52)</f>
        <v>0</v>
      </c>
      <c r="U52" s="157">
        <f t="shared" ref="U52" si="240">Q52-S52-V52</f>
        <v>0</v>
      </c>
      <c r="V52" s="157"/>
      <c r="W52" s="157">
        <v>15754.95</v>
      </c>
      <c r="X52" s="175">
        <f>W52/Q52*100</f>
        <v>32.092461618781087</v>
      </c>
      <c r="Y52" s="157">
        <f>+W52</f>
        <v>15754.95</v>
      </c>
      <c r="Z52" s="157">
        <f t="shared" ref="Z52:Z54" si="241">SUM(AA52:AB52)</f>
        <v>0</v>
      </c>
      <c r="AA52" s="157">
        <f t="shared" ref="AA52:AA54" si="242">W52-Y52-AB52</f>
        <v>0</v>
      </c>
      <c r="AB52" s="157"/>
      <c r="AC52" s="157">
        <v>16647.900000000001</v>
      </c>
      <c r="AD52" s="157">
        <f>AC52/W52*100</f>
        <v>105.66774251901782</v>
      </c>
      <c r="AE52" s="157">
        <f>+AC52</f>
        <v>16647.900000000001</v>
      </c>
      <c r="AF52" s="157">
        <f t="shared" ref="AF52:AF54" si="243">SUM(AG52:AH52)</f>
        <v>0</v>
      </c>
      <c r="AG52" s="157">
        <f t="shared" ref="AG52:AG54" si="244">AC52-AE52-AH52</f>
        <v>0</v>
      </c>
      <c r="AH52" s="157"/>
      <c r="AI52" s="157">
        <f>82000+4000</f>
        <v>86000</v>
      </c>
      <c r="AJ52" s="157">
        <f>AI52/AC52*100</f>
        <v>516.5816709615026</v>
      </c>
      <c r="AK52" s="157">
        <f>82000+4000</f>
        <v>86000</v>
      </c>
      <c r="AL52" s="157">
        <f t="shared" ref="AL52:AL54" si="245">SUM(AM52:AN52)</f>
        <v>0</v>
      </c>
      <c r="AM52" s="157">
        <f t="shared" ref="AM52:AM54" si="246">AI52-AK52-AN52</f>
        <v>0</v>
      </c>
      <c r="AN52" s="157"/>
      <c r="AO52" s="157">
        <f>82000+4000+5000</f>
        <v>91000</v>
      </c>
      <c r="AP52" s="157">
        <f>AO52/AI52*100</f>
        <v>105.81395348837211</v>
      </c>
      <c r="AQ52" s="157">
        <f>82000+4000+5000</f>
        <v>91000</v>
      </c>
      <c r="AR52" s="157">
        <f t="shared" ref="AR52:AR54" si="247">SUM(AS52:AT52)</f>
        <v>0</v>
      </c>
      <c r="AS52" s="157">
        <f t="shared" ref="AS52:AS54" si="248">AO52-AQ52-AT52</f>
        <v>0</v>
      </c>
      <c r="AT52" s="157"/>
      <c r="AU52" s="157">
        <f>82000+4000+5000+6000</f>
        <v>97000</v>
      </c>
      <c r="AV52" s="157">
        <f>AU52/AO52*100</f>
        <v>106.5934065934066</v>
      </c>
      <c r="AW52" s="157">
        <f>AU52</f>
        <v>97000</v>
      </c>
      <c r="AX52" s="157">
        <f t="shared" ref="AX52:AX54" si="249">SUM(AY52:AZ52)</f>
        <v>0</v>
      </c>
      <c r="AY52" s="157">
        <f t="shared" ref="AY52:AY54" si="250">AU52-AW52-AZ52</f>
        <v>0</v>
      </c>
      <c r="AZ52" s="157"/>
    </row>
    <row r="53" spans="1:61" hidden="1">
      <c r="A53" s="164"/>
      <c r="B53" s="1716" t="s">
        <v>36</v>
      </c>
      <c r="C53" s="152">
        <v>121000</v>
      </c>
      <c r="D53" s="152">
        <f>C53+33000</f>
        <v>154000</v>
      </c>
      <c r="E53" s="153"/>
      <c r="F53" s="154">
        <f>D53</f>
        <v>154000</v>
      </c>
      <c r="G53" s="154"/>
      <c r="H53" s="154">
        <f t="shared" ref="H53:H54" si="251">D53-F53-I53</f>
        <v>0</v>
      </c>
      <c r="I53" s="154">
        <v>0</v>
      </c>
      <c r="J53" s="157">
        <f>106188.436333333+28800</f>
        <v>134988.436333333</v>
      </c>
      <c r="K53" s="157">
        <f t="shared" ref="K53:K54" si="252">J53/C53*100</f>
        <v>111.56069118457272</v>
      </c>
      <c r="L53" s="1693">
        <f t="shared" ref="L53:L54" si="253">J53/D53*100</f>
        <v>87.654828787878571</v>
      </c>
      <c r="M53" s="1684">
        <f t="shared" ref="M53:M54" si="254">F53*L53/100</f>
        <v>134988.436333333</v>
      </c>
      <c r="N53" s="1684">
        <f t="shared" ref="N53:N54" si="255">SUM(O53:P53)</f>
        <v>0</v>
      </c>
      <c r="O53" s="1684">
        <f t="shared" ref="O53:O54" si="256">J53-M53-P53</f>
        <v>0</v>
      </c>
      <c r="P53" s="1684">
        <f t="shared" ref="P53:P54" si="257">I53*L53/100</f>
        <v>0</v>
      </c>
      <c r="Q53" s="157">
        <v>221763.31</v>
      </c>
      <c r="R53" s="1694">
        <f t="shared" si="155"/>
        <v>164.28319048928748</v>
      </c>
      <c r="S53" s="157">
        <f t="shared" ref="S53:S54" si="258">+Q53</f>
        <v>221763.31</v>
      </c>
      <c r="T53" s="157">
        <f t="shared" ref="T53:T54" si="259">SUM(U53:V53)</f>
        <v>0</v>
      </c>
      <c r="U53" s="157">
        <f t="shared" ref="U53:U54" si="260">Q53-S53-V53</f>
        <v>0</v>
      </c>
      <c r="V53" s="157"/>
      <c r="W53" s="157">
        <v>268940.46000000002</v>
      </c>
      <c r="X53" s="175">
        <f t="shared" ref="X53:X54" si="261">W53/Q53*100</f>
        <v>121.27364982061282</v>
      </c>
      <c r="Y53" s="157">
        <f>+W53</f>
        <v>268940.46000000002</v>
      </c>
      <c r="Z53" s="157">
        <f t="shared" si="241"/>
        <v>0</v>
      </c>
      <c r="AA53" s="157">
        <f t="shared" si="242"/>
        <v>0</v>
      </c>
      <c r="AB53" s="157"/>
      <c r="AC53" s="157">
        <v>282874.78999999998</v>
      </c>
      <c r="AD53" s="157">
        <f t="shared" ref="AD53:AD54" si="262">AC53/W53*100</f>
        <v>105.18119512400624</v>
      </c>
      <c r="AE53" s="157">
        <f t="shared" ref="AE53:AE54" si="263">+AC53</f>
        <v>282874.78999999998</v>
      </c>
      <c r="AF53" s="157">
        <f t="shared" si="243"/>
        <v>0</v>
      </c>
      <c r="AG53" s="157">
        <f t="shared" si="244"/>
        <v>0</v>
      </c>
      <c r="AH53" s="157"/>
      <c r="AI53" s="157">
        <f>210000+8000</f>
        <v>218000</v>
      </c>
      <c r="AJ53" s="157">
        <f t="shared" ref="AJ53:AJ54" si="264">AI53/AC53*100</f>
        <v>77.065899014896317</v>
      </c>
      <c r="AK53" s="157">
        <f>210000+8000</f>
        <v>218000</v>
      </c>
      <c r="AL53" s="157">
        <f t="shared" si="245"/>
        <v>0</v>
      </c>
      <c r="AM53" s="157">
        <f t="shared" si="246"/>
        <v>0</v>
      </c>
      <c r="AN53" s="157"/>
      <c r="AO53" s="157">
        <f>210000+8000+10000</f>
        <v>228000</v>
      </c>
      <c r="AP53" s="157">
        <f t="shared" ref="AP53:AP54" si="265">AO53/AI53*100</f>
        <v>104.58715596330275</v>
      </c>
      <c r="AQ53" s="157">
        <f>210000+8000+10000</f>
        <v>228000</v>
      </c>
      <c r="AR53" s="157">
        <f t="shared" si="247"/>
        <v>0</v>
      </c>
      <c r="AS53" s="157">
        <f t="shared" si="248"/>
        <v>0</v>
      </c>
      <c r="AT53" s="157"/>
      <c r="AU53" s="157">
        <f>210000+8000+10000+6000</f>
        <v>234000</v>
      </c>
      <c r="AV53" s="157">
        <f t="shared" ref="AV53:AV54" si="266">AU53/AO53*100</f>
        <v>102.63157894736842</v>
      </c>
      <c r="AW53" s="157">
        <f t="shared" ref="AW53:AW54" si="267">AU53</f>
        <v>234000</v>
      </c>
      <c r="AX53" s="157">
        <f t="shared" si="249"/>
        <v>0</v>
      </c>
      <c r="AY53" s="157">
        <f t="shared" si="250"/>
        <v>0</v>
      </c>
      <c r="AZ53" s="157"/>
    </row>
    <row r="54" spans="1:61" hidden="1">
      <c r="A54" s="164"/>
      <c r="B54" s="1716" t="s">
        <v>135</v>
      </c>
      <c r="C54" s="152">
        <v>1000</v>
      </c>
      <c r="D54" s="152">
        <v>2000</v>
      </c>
      <c r="E54" s="153"/>
      <c r="F54" s="154">
        <f>D54</f>
        <v>2000</v>
      </c>
      <c r="G54" s="154"/>
      <c r="H54" s="154">
        <f t="shared" si="251"/>
        <v>0</v>
      </c>
      <c r="I54" s="154"/>
      <c r="J54" s="157">
        <f>930.734+1200</f>
        <v>2130.7339999999999</v>
      </c>
      <c r="K54" s="157">
        <f t="shared" si="252"/>
        <v>213.07339999999999</v>
      </c>
      <c r="L54" s="1693">
        <f t="shared" si="253"/>
        <v>106.5367</v>
      </c>
      <c r="M54" s="1684">
        <f t="shared" si="254"/>
        <v>2130.7339999999999</v>
      </c>
      <c r="N54" s="1684">
        <f t="shared" si="255"/>
        <v>0</v>
      </c>
      <c r="O54" s="1684">
        <f t="shared" si="256"/>
        <v>0</v>
      </c>
      <c r="P54" s="1684">
        <f t="shared" si="257"/>
        <v>0</v>
      </c>
      <c r="Q54" s="157">
        <v>2144.02</v>
      </c>
      <c r="R54" s="1694">
        <f t="shared" si="155"/>
        <v>100.62354099573199</v>
      </c>
      <c r="S54" s="157">
        <f t="shared" si="258"/>
        <v>2144.02</v>
      </c>
      <c r="T54" s="157">
        <f t="shared" si="259"/>
        <v>0</v>
      </c>
      <c r="U54" s="157">
        <f t="shared" si="260"/>
        <v>0</v>
      </c>
      <c r="V54" s="157"/>
      <c r="W54" s="157">
        <v>2304.8200000000002</v>
      </c>
      <c r="X54" s="175">
        <f t="shared" si="261"/>
        <v>107.49993003796607</v>
      </c>
      <c r="Y54" s="157">
        <f>+W54</f>
        <v>2304.8200000000002</v>
      </c>
      <c r="Z54" s="157">
        <f t="shared" si="241"/>
        <v>0</v>
      </c>
      <c r="AA54" s="157">
        <f t="shared" si="242"/>
        <v>0</v>
      </c>
      <c r="AB54" s="157"/>
      <c r="AC54" s="157">
        <v>2477.6799999999998</v>
      </c>
      <c r="AD54" s="157">
        <f t="shared" si="262"/>
        <v>107.49993491899583</v>
      </c>
      <c r="AE54" s="157">
        <f t="shared" si="263"/>
        <v>2477.6799999999998</v>
      </c>
      <c r="AF54" s="157">
        <f t="shared" si="243"/>
        <v>0</v>
      </c>
      <c r="AG54" s="157">
        <f t="shared" si="244"/>
        <v>0</v>
      </c>
      <c r="AH54" s="157"/>
      <c r="AI54" s="157">
        <f>10000+2000</f>
        <v>12000</v>
      </c>
      <c r="AJ54" s="157">
        <f t="shared" si="264"/>
        <v>484.32404507442453</v>
      </c>
      <c r="AK54" s="157">
        <f>10000+2000</f>
        <v>12000</v>
      </c>
      <c r="AL54" s="157">
        <f t="shared" si="245"/>
        <v>0</v>
      </c>
      <c r="AM54" s="157">
        <f t="shared" si="246"/>
        <v>0</v>
      </c>
      <c r="AN54" s="157"/>
      <c r="AO54" s="157">
        <f>10000+2000+4000</f>
        <v>16000</v>
      </c>
      <c r="AP54" s="157">
        <f t="shared" si="265"/>
        <v>133.33333333333331</v>
      </c>
      <c r="AQ54" s="157">
        <f>10000+2000+4000</f>
        <v>16000</v>
      </c>
      <c r="AR54" s="157">
        <f t="shared" si="247"/>
        <v>0</v>
      </c>
      <c r="AS54" s="157">
        <f t="shared" si="248"/>
        <v>0</v>
      </c>
      <c r="AT54" s="157"/>
      <c r="AU54" s="157">
        <f>10000+2000+4000+6000</f>
        <v>22000</v>
      </c>
      <c r="AV54" s="157">
        <f t="shared" si="266"/>
        <v>137.5</v>
      </c>
      <c r="AW54" s="157">
        <f t="shared" si="267"/>
        <v>22000</v>
      </c>
      <c r="AX54" s="157">
        <f t="shared" si="249"/>
        <v>0</v>
      </c>
      <c r="AY54" s="157">
        <f t="shared" si="250"/>
        <v>0</v>
      </c>
      <c r="AZ54" s="157"/>
    </row>
    <row r="55" spans="1:61">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68">O56+O58</f>
        <v>9904812</v>
      </c>
      <c r="P55" s="173">
        <f t="shared" si="268"/>
        <v>0</v>
      </c>
      <c r="Q55" s="173">
        <f>Q56+Q58</f>
        <v>13326475.800000001</v>
      </c>
      <c r="R55" s="157"/>
      <c r="S55" s="157"/>
      <c r="T55" s="173">
        <f>T56+T58</f>
        <v>13326475.800000001</v>
      </c>
      <c r="U55" s="173">
        <f t="shared" ref="U55:V55" si="269">U56+U58</f>
        <v>13326475.800000001</v>
      </c>
      <c r="V55" s="173">
        <f t="shared" si="269"/>
        <v>0</v>
      </c>
      <c r="W55" s="173">
        <f>W56+W58</f>
        <v>13326475.800000001</v>
      </c>
      <c r="X55" s="160"/>
      <c r="Y55" s="157"/>
      <c r="Z55" s="173">
        <f>Z56+Z58</f>
        <v>13326475.800000001</v>
      </c>
      <c r="AA55" s="173">
        <f t="shared" ref="AA55:AB55" si="270">AA56+AA58</f>
        <v>13326475.800000001</v>
      </c>
      <c r="AB55" s="173">
        <f t="shared" si="270"/>
        <v>0</v>
      </c>
      <c r="AC55" s="173">
        <f>AC56+AC58</f>
        <v>13326475.800000001</v>
      </c>
      <c r="AD55" s="157"/>
      <c r="AE55" s="157"/>
      <c r="AF55" s="173">
        <f>AF56+AF58</f>
        <v>13326475.800000001</v>
      </c>
      <c r="AG55" s="173">
        <f t="shared" ref="AG55:AH55" si="271">AG56+AG58</f>
        <v>13326475.800000001</v>
      </c>
      <c r="AH55" s="173">
        <f t="shared" si="271"/>
        <v>0</v>
      </c>
      <c r="AI55" s="173">
        <f>AI56+AI58</f>
        <v>12947209.800000001</v>
      </c>
      <c r="AJ55" s="157"/>
      <c r="AK55" s="157"/>
      <c r="AL55" s="173">
        <f>AL56+AL58</f>
        <v>12947209.800000001</v>
      </c>
      <c r="AM55" s="173">
        <f t="shared" ref="AM55:AN55" si="272">AM56+AM58</f>
        <v>12947209.800000001</v>
      </c>
      <c r="AN55" s="173">
        <f t="shared" si="272"/>
        <v>0</v>
      </c>
      <c r="AO55" s="173">
        <f>AO56+AO58</f>
        <v>12947209.800000001</v>
      </c>
      <c r="AP55" s="157"/>
      <c r="AQ55" s="157"/>
      <c r="AR55" s="173">
        <f>AR56+AR58</f>
        <v>12947209.800000001</v>
      </c>
      <c r="AS55" s="173">
        <f t="shared" ref="AS55:AT55" si="273">AS56+AS58</f>
        <v>12947209.800000001</v>
      </c>
      <c r="AT55" s="173">
        <f t="shared" si="273"/>
        <v>0</v>
      </c>
      <c r="AU55" s="173">
        <f>AU56+AU58</f>
        <v>12947209.800000001</v>
      </c>
      <c r="AV55" s="157"/>
      <c r="AW55" s="157"/>
      <c r="AX55" s="173">
        <f>AX56+AX58</f>
        <v>12947209.800000001</v>
      </c>
      <c r="AY55" s="173">
        <f t="shared" ref="AY55:AZ55" si="274">AY56+AY58</f>
        <v>12947209.800000001</v>
      </c>
      <c r="AZ55" s="173">
        <f t="shared" si="274"/>
        <v>0</v>
      </c>
    </row>
    <row r="56" spans="1:61">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75">6487488+O57</f>
        <v>6617188</v>
      </c>
      <c r="P56" s="173"/>
      <c r="Q56" s="173">
        <f>6487488+Q57</f>
        <v>6617188</v>
      </c>
      <c r="R56" s="157"/>
      <c r="S56" s="157"/>
      <c r="T56" s="173">
        <f>6487488+T57</f>
        <v>6617188</v>
      </c>
      <c r="U56" s="173">
        <f t="shared" ref="U56" si="276">6487488+U57</f>
        <v>6617188</v>
      </c>
      <c r="V56" s="173"/>
      <c r="W56" s="173">
        <f>6487488+W57</f>
        <v>6617188</v>
      </c>
      <c r="X56" s="160"/>
      <c r="Y56" s="157"/>
      <c r="Z56" s="173">
        <f>6487488+Z57</f>
        <v>6617188</v>
      </c>
      <c r="AA56" s="173">
        <f t="shared" ref="AA56" si="277">6487488+AA57</f>
        <v>6617188</v>
      </c>
      <c r="AB56" s="173"/>
      <c r="AC56" s="173">
        <f>6487488+AC57</f>
        <v>6617188</v>
      </c>
      <c r="AD56" s="157"/>
      <c r="AE56" s="157"/>
      <c r="AF56" s="173">
        <f>6487488+AF57</f>
        <v>6617188</v>
      </c>
      <c r="AG56" s="173">
        <f t="shared" ref="AG56" si="278">6487488+AG57</f>
        <v>6617188</v>
      </c>
      <c r="AH56" s="173"/>
      <c r="AI56" s="173">
        <f>6487488+AI57</f>
        <v>6617188</v>
      </c>
      <c r="AJ56" s="157"/>
      <c r="AK56" s="157"/>
      <c r="AL56" s="173">
        <f>6487488+AL57</f>
        <v>6617188</v>
      </c>
      <c r="AM56" s="173">
        <f t="shared" ref="AM56" si="279">6487488+AM57</f>
        <v>6617188</v>
      </c>
      <c r="AN56" s="173"/>
      <c r="AO56" s="173">
        <f>6487488+AO57</f>
        <v>6617188</v>
      </c>
      <c r="AP56" s="157"/>
      <c r="AQ56" s="157"/>
      <c r="AR56" s="173">
        <f>6487488+AR57</f>
        <v>6617188</v>
      </c>
      <c r="AS56" s="173">
        <f t="shared" ref="AS56" si="280">6487488+AS57</f>
        <v>6617188</v>
      </c>
      <c r="AT56" s="173"/>
      <c r="AU56" s="173">
        <f>6487488+AU57</f>
        <v>6617188</v>
      </c>
      <c r="AV56" s="157"/>
      <c r="AW56" s="157"/>
      <c r="AX56" s="173">
        <f>6487488+AX57</f>
        <v>6617188</v>
      </c>
      <c r="AY56" s="173">
        <f t="shared" ref="AY56" si="281">6487488+AY57</f>
        <v>6617188</v>
      </c>
      <c r="AZ56" s="173"/>
    </row>
    <row r="57" spans="1:61"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71">
        <v>129700</v>
      </c>
      <c r="AJ57" s="171"/>
      <c r="AK57" s="171"/>
      <c r="AL57" s="171">
        <f>SUM(AM57:AN57)</f>
        <v>129700</v>
      </c>
      <c r="AM57" s="171">
        <f>AI57</f>
        <v>129700</v>
      </c>
      <c r="AN57" s="171"/>
      <c r="AO57" s="171">
        <v>129700</v>
      </c>
      <c r="AP57" s="171"/>
      <c r="AQ57" s="171"/>
      <c r="AR57" s="171">
        <f>SUM(AS57:AT57)</f>
        <v>129700</v>
      </c>
      <c r="AS57" s="171">
        <f>AO57</f>
        <v>129700</v>
      </c>
      <c r="AT57" s="171"/>
      <c r="AU57" s="171">
        <v>129700</v>
      </c>
      <c r="AV57" s="171"/>
      <c r="AW57" s="171"/>
      <c r="AX57" s="171">
        <f>SUM(AY57:AZ57)</f>
        <v>129700</v>
      </c>
      <c r="AY57" s="171">
        <f>AU57</f>
        <v>129700</v>
      </c>
      <c r="AZ57" s="171"/>
    </row>
    <row r="58" spans="1:61">
      <c r="A58" s="1712" t="s">
        <v>33</v>
      </c>
      <c r="B58" s="1713" t="s">
        <v>41</v>
      </c>
      <c r="C58" s="173">
        <f>SUM(C59,C62,C65)</f>
        <v>2639291</v>
      </c>
      <c r="D58" s="173">
        <f t="shared" ref="D58" si="282">SUM(D59,D62,D65)</f>
        <v>2639291</v>
      </c>
      <c r="E58" s="176"/>
      <c r="F58" s="174">
        <f>SUM(F59:F65)</f>
        <v>0</v>
      </c>
      <c r="G58" s="174">
        <f t="shared" ref="G58:J58" si="283">SUM(G59,G62,G65)</f>
        <v>2639291</v>
      </c>
      <c r="H58" s="174">
        <f t="shared" si="283"/>
        <v>2639291</v>
      </c>
      <c r="I58" s="174">
        <f t="shared" si="283"/>
        <v>0</v>
      </c>
      <c r="J58" s="173">
        <f t="shared" si="283"/>
        <v>3287624</v>
      </c>
      <c r="K58" s="157"/>
      <c r="L58" s="157"/>
      <c r="M58" s="157"/>
      <c r="N58" s="173">
        <f t="shared" ref="N58" si="284">SUM(N59,N62,N65)</f>
        <v>3287624</v>
      </c>
      <c r="O58" s="173">
        <f t="shared" ref="O58" si="285">SUM(O59,O62,O65)</f>
        <v>3287624</v>
      </c>
      <c r="P58" s="173">
        <f t="shared" ref="P58:Q58" si="286">SUM(P59,P62,P65)</f>
        <v>0</v>
      </c>
      <c r="Q58" s="173">
        <f t="shared" si="286"/>
        <v>6709287.7999999998</v>
      </c>
      <c r="R58" s="157"/>
      <c r="S58" s="157"/>
      <c r="T58" s="173">
        <f t="shared" ref="T58:W58" si="287">SUM(T59,T62,T65)</f>
        <v>6709287.7999999998</v>
      </c>
      <c r="U58" s="173">
        <f t="shared" si="287"/>
        <v>6709287.7999999998</v>
      </c>
      <c r="V58" s="173">
        <f t="shared" si="287"/>
        <v>0</v>
      </c>
      <c r="W58" s="173">
        <f t="shared" si="287"/>
        <v>6709287.7999999998</v>
      </c>
      <c r="X58" s="157"/>
      <c r="Y58" s="157"/>
      <c r="Z58" s="173">
        <f t="shared" ref="Z58:AC58" si="288">SUM(Z59,Z62,Z65)</f>
        <v>6709287.7999999998</v>
      </c>
      <c r="AA58" s="173">
        <f t="shared" si="288"/>
        <v>6709287.7999999998</v>
      </c>
      <c r="AB58" s="173">
        <f t="shared" si="288"/>
        <v>0</v>
      </c>
      <c r="AC58" s="173">
        <f t="shared" si="288"/>
        <v>6709287.7999999998</v>
      </c>
      <c r="AD58" s="157"/>
      <c r="AE58" s="157"/>
      <c r="AF58" s="173">
        <f t="shared" ref="AF58:AI58" si="289">SUM(AF59,AF62,AF65)</f>
        <v>6709287.7999999998</v>
      </c>
      <c r="AG58" s="173">
        <f t="shared" si="289"/>
        <v>6709287.7999999998</v>
      </c>
      <c r="AH58" s="173">
        <f t="shared" si="289"/>
        <v>0</v>
      </c>
      <c r="AI58" s="173">
        <f t="shared" si="289"/>
        <v>6330021.7999999998</v>
      </c>
      <c r="AJ58" s="157"/>
      <c r="AK58" s="157"/>
      <c r="AL58" s="173">
        <f t="shared" ref="AL58:AO58" si="290">SUM(AL59,AL62,AL65)</f>
        <v>6330021.7999999998</v>
      </c>
      <c r="AM58" s="173">
        <f t="shared" si="290"/>
        <v>6330021.7999999998</v>
      </c>
      <c r="AN58" s="173">
        <f t="shared" si="290"/>
        <v>0</v>
      </c>
      <c r="AO58" s="173">
        <f t="shared" si="290"/>
        <v>6330021.7999999998</v>
      </c>
      <c r="AP58" s="157"/>
      <c r="AQ58" s="157"/>
      <c r="AR58" s="173">
        <f t="shared" ref="AR58:AU58" si="291">SUM(AR59,AR62,AR65)</f>
        <v>6330021.7999999998</v>
      </c>
      <c r="AS58" s="173">
        <f t="shared" si="291"/>
        <v>6330021.7999999998</v>
      </c>
      <c r="AT58" s="173">
        <f t="shared" si="291"/>
        <v>0</v>
      </c>
      <c r="AU58" s="173">
        <f t="shared" si="291"/>
        <v>6330021.7999999998</v>
      </c>
      <c r="AV58" s="157"/>
      <c r="AW58" s="157"/>
      <c r="AX58" s="173">
        <f t="shared" ref="AX58:AZ58" si="292">SUM(AX59,AX62,AX65)</f>
        <v>6330021.7999999998</v>
      </c>
      <c r="AY58" s="173">
        <f t="shared" si="292"/>
        <v>6330021.7999999998</v>
      </c>
      <c r="AZ58" s="173">
        <f t="shared" si="292"/>
        <v>0</v>
      </c>
    </row>
    <row r="59" spans="1:61">
      <c r="A59" s="164">
        <v>1</v>
      </c>
      <c r="B59" s="1716" t="s">
        <v>42</v>
      </c>
      <c r="C59" s="152">
        <f>SUM(C60:C61)</f>
        <v>1814491</v>
      </c>
      <c r="D59" s="152">
        <f t="shared" ref="D59" si="293">SUM(D60:D61)</f>
        <v>1814491</v>
      </c>
      <c r="E59" s="153"/>
      <c r="F59" s="154"/>
      <c r="G59" s="154">
        <f>SUM(H59:I59)</f>
        <v>1814491</v>
      </c>
      <c r="H59" s="154">
        <f>C59</f>
        <v>1814491</v>
      </c>
      <c r="I59" s="154"/>
      <c r="J59" s="157">
        <f>SUM(J60:J61)</f>
        <v>1814491</v>
      </c>
      <c r="K59" s="157"/>
      <c r="L59" s="157"/>
      <c r="M59" s="157"/>
      <c r="N59" s="157">
        <f>SUM(N60:N61)</f>
        <v>1814491</v>
      </c>
      <c r="O59" s="157">
        <f t="shared" ref="O59:P59" si="294">SUM(O60:O61)</f>
        <v>1814491</v>
      </c>
      <c r="P59" s="157">
        <f t="shared" si="294"/>
        <v>0</v>
      </c>
      <c r="Q59" s="157">
        <f>SUM(Q60:Q61)</f>
        <v>3101719</v>
      </c>
      <c r="R59" s="157"/>
      <c r="S59" s="157"/>
      <c r="T59" s="157">
        <f>SUM(T60:T61)</f>
        <v>3101719</v>
      </c>
      <c r="U59" s="157">
        <f t="shared" ref="U59:V59" si="295">SUM(U60:U61)</f>
        <v>3101719</v>
      </c>
      <c r="V59" s="157">
        <f t="shared" si="295"/>
        <v>0</v>
      </c>
      <c r="W59" s="157">
        <f>SUM(W60:W61)</f>
        <v>3101719</v>
      </c>
      <c r="X59" s="157"/>
      <c r="Y59" s="157"/>
      <c r="Z59" s="157">
        <f>SUM(Z60:Z61)</f>
        <v>3101719</v>
      </c>
      <c r="AA59" s="157">
        <f t="shared" ref="AA59" si="296">SUM(AA60:AA61)</f>
        <v>3101719</v>
      </c>
      <c r="AB59" s="157">
        <f t="shared" ref="AB59" si="297">SUM(AB60:AB61)</f>
        <v>0</v>
      </c>
      <c r="AC59" s="157">
        <f>SUM(AC60:AC61)</f>
        <v>3101719</v>
      </c>
      <c r="AD59" s="157"/>
      <c r="AE59" s="157"/>
      <c r="AF59" s="157">
        <f>SUM(AF60:AF61)</f>
        <v>3101719</v>
      </c>
      <c r="AG59" s="157">
        <f t="shared" ref="AG59" si="298">SUM(AG60:AG61)</f>
        <v>3101719</v>
      </c>
      <c r="AH59" s="157">
        <f t="shared" ref="AH59" si="299">SUM(AH60:AH61)</f>
        <v>0</v>
      </c>
      <c r="AI59" s="157">
        <f>SUM(AI60:AI61)</f>
        <v>3101719</v>
      </c>
      <c r="AJ59" s="157"/>
      <c r="AK59" s="157"/>
      <c r="AL59" s="157">
        <f>SUM(AL60:AL61)</f>
        <v>3101719</v>
      </c>
      <c r="AM59" s="157">
        <f t="shared" ref="AM59" si="300">SUM(AM60:AM61)</f>
        <v>3101719</v>
      </c>
      <c r="AN59" s="157">
        <f t="shared" ref="AN59" si="301">SUM(AN60:AN61)</f>
        <v>0</v>
      </c>
      <c r="AO59" s="157">
        <f>SUM(AO60:AO61)</f>
        <v>3101719</v>
      </c>
      <c r="AP59" s="157"/>
      <c r="AQ59" s="157"/>
      <c r="AR59" s="157">
        <f>SUM(AR60:AR61)</f>
        <v>3101719</v>
      </c>
      <c r="AS59" s="157">
        <f t="shared" ref="AS59" si="302">SUM(AS60:AS61)</f>
        <v>3101719</v>
      </c>
      <c r="AT59" s="157">
        <f t="shared" ref="AT59" si="303">SUM(AT60:AT61)</f>
        <v>0</v>
      </c>
      <c r="AU59" s="157">
        <f>SUM(AU60:AU61)</f>
        <v>3101719</v>
      </c>
      <c r="AV59" s="157"/>
      <c r="AW59" s="157"/>
      <c r="AX59" s="157">
        <f>SUM(AX60:AX61)</f>
        <v>3101719</v>
      </c>
      <c r="AY59" s="157">
        <f t="shared" ref="AY59" si="304">SUM(AY60:AY61)</f>
        <v>3101719</v>
      </c>
      <c r="AZ59" s="157">
        <f t="shared" ref="AZ59" si="305">SUM(AZ60:AZ61)</f>
        <v>0</v>
      </c>
    </row>
    <row r="60" spans="1:61"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AG60</f>
        <v>2970480</v>
      </c>
      <c r="AJ60" s="171"/>
      <c r="AK60" s="171"/>
      <c r="AL60" s="171">
        <f>SUM(AM60:AN60)</f>
        <v>2970480</v>
      </c>
      <c r="AM60" s="171">
        <f>AI60</f>
        <v>2970480</v>
      </c>
      <c r="AN60" s="171"/>
      <c r="AO60" s="171">
        <f>AM60</f>
        <v>2970480</v>
      </c>
      <c r="AP60" s="171"/>
      <c r="AQ60" s="171"/>
      <c r="AR60" s="171">
        <f>SUM(AS60:AT60)</f>
        <v>2970480</v>
      </c>
      <c r="AS60" s="171">
        <f>AO60</f>
        <v>2970480</v>
      </c>
      <c r="AT60" s="171"/>
      <c r="AU60" s="171">
        <f>AS60</f>
        <v>2970480</v>
      </c>
      <c r="AV60" s="171"/>
      <c r="AW60" s="171"/>
      <c r="AX60" s="171">
        <f>SUM(AY60:AZ60)</f>
        <v>2970480</v>
      </c>
      <c r="AY60" s="171">
        <f>AU60</f>
        <v>2970480</v>
      </c>
      <c r="AZ60" s="171"/>
    </row>
    <row r="61" spans="1:61" s="5" customFormat="1" hidden="1">
      <c r="A61" s="1724" t="s">
        <v>101</v>
      </c>
      <c r="B61" s="1690" t="s">
        <v>102</v>
      </c>
      <c r="C61" s="263">
        <f>127705+5216</f>
        <v>132921</v>
      </c>
      <c r="D61" s="263">
        <f>C61</f>
        <v>132921</v>
      </c>
      <c r="E61" s="1533"/>
      <c r="F61" s="170"/>
      <c r="G61" s="170">
        <f t="shared" ref="G61" si="306">SUM(H61:I61)</f>
        <v>132921</v>
      </c>
      <c r="H61" s="170">
        <f t="shared" ref="H61" si="307">D61-F61-I61</f>
        <v>132921</v>
      </c>
      <c r="I61" s="170"/>
      <c r="J61" s="182">
        <f>H61</f>
        <v>132921</v>
      </c>
      <c r="K61" s="258"/>
      <c r="L61" s="258"/>
      <c r="M61" s="182"/>
      <c r="N61" s="171">
        <f t="shared" ref="N61" si="308">SUM(O61:P61)</f>
        <v>132921</v>
      </c>
      <c r="O61" s="171">
        <f t="shared" ref="O61" si="309">J61-M61-P61</f>
        <v>132921</v>
      </c>
      <c r="P61" s="182"/>
      <c r="Q61" s="171">
        <f>127775+3464</f>
        <v>131239</v>
      </c>
      <c r="R61" s="171"/>
      <c r="S61" s="171"/>
      <c r="T61" s="171">
        <f>SUM(U61:V61)</f>
        <v>131239</v>
      </c>
      <c r="U61" s="171">
        <f>Q61</f>
        <v>131239</v>
      </c>
      <c r="V61" s="171"/>
      <c r="W61" s="171">
        <f t="shared" ref="W61" si="310">U61</f>
        <v>131239</v>
      </c>
      <c r="X61" s="171"/>
      <c r="Y61" s="171"/>
      <c r="Z61" s="171">
        <f>SUM(AA61:AB61)</f>
        <v>131239</v>
      </c>
      <c r="AA61" s="171">
        <f>W61</f>
        <v>131239</v>
      </c>
      <c r="AB61" s="171"/>
      <c r="AC61" s="171">
        <f t="shared" ref="AC61" si="311">AA61</f>
        <v>131239</v>
      </c>
      <c r="AD61" s="171"/>
      <c r="AE61" s="171"/>
      <c r="AF61" s="171">
        <f>SUM(AG61:AH61)</f>
        <v>131239</v>
      </c>
      <c r="AG61" s="171">
        <f>AC61</f>
        <v>131239</v>
      </c>
      <c r="AH61" s="171"/>
      <c r="AI61" s="171">
        <f t="shared" ref="AI61" si="312">AG61</f>
        <v>131239</v>
      </c>
      <c r="AJ61" s="171"/>
      <c r="AK61" s="171"/>
      <c r="AL61" s="171">
        <f>SUM(AM61:AN61)</f>
        <v>131239</v>
      </c>
      <c r="AM61" s="171">
        <f>AI61</f>
        <v>131239</v>
      </c>
      <c r="AN61" s="171"/>
      <c r="AO61" s="171">
        <f t="shared" ref="AO61" si="313">AM61</f>
        <v>131239</v>
      </c>
      <c r="AP61" s="171"/>
      <c r="AQ61" s="171"/>
      <c r="AR61" s="171">
        <f>SUM(AS61:AT61)</f>
        <v>131239</v>
      </c>
      <c r="AS61" s="171">
        <f>AO61</f>
        <v>131239</v>
      </c>
      <c r="AT61" s="171"/>
      <c r="AU61" s="171">
        <f t="shared" ref="AU61" si="314">AS61</f>
        <v>131239</v>
      </c>
      <c r="AV61" s="171"/>
      <c r="AW61" s="171"/>
      <c r="AX61" s="171">
        <f>SUM(AY61:AZ61)</f>
        <v>131239</v>
      </c>
      <c r="AY61" s="171">
        <f>AU61</f>
        <v>131239</v>
      </c>
      <c r="AZ61" s="171"/>
    </row>
    <row r="62" spans="1:61">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315">SUM(O63:O64)</f>
        <v>174485</v>
      </c>
      <c r="P62" s="160">
        <f t="shared" si="315"/>
        <v>0</v>
      </c>
      <c r="Q62" s="157">
        <f>SUM(Q63:Q64)</f>
        <v>195063.8</v>
      </c>
      <c r="R62" s="157"/>
      <c r="S62" s="157"/>
      <c r="T62" s="157">
        <f>SUM(T63:T64)</f>
        <v>195063.8</v>
      </c>
      <c r="U62" s="157">
        <f t="shared" ref="U62:V62" si="316">SUM(U63:U64)</f>
        <v>195063.8</v>
      </c>
      <c r="V62" s="157">
        <f t="shared" si="316"/>
        <v>0</v>
      </c>
      <c r="W62" s="157">
        <f>SUM(W63:W64)</f>
        <v>195063.8</v>
      </c>
      <c r="X62" s="157"/>
      <c r="Y62" s="157"/>
      <c r="Z62" s="157">
        <f>SUM(Z63:Z64)</f>
        <v>195063.8</v>
      </c>
      <c r="AA62" s="157">
        <f t="shared" ref="AA62" si="317">SUM(AA63:AA64)</f>
        <v>195063.8</v>
      </c>
      <c r="AB62" s="157">
        <f t="shared" ref="AB62" si="318">SUM(AB63:AB64)</f>
        <v>0</v>
      </c>
      <c r="AC62" s="157">
        <f>SUM(AC63:AC64)</f>
        <v>195063.8</v>
      </c>
      <c r="AD62" s="157"/>
      <c r="AE62" s="157"/>
      <c r="AF62" s="157">
        <f>SUM(AF63:AF64)</f>
        <v>195063.8</v>
      </c>
      <c r="AG62" s="157">
        <f t="shared" ref="AG62" si="319">SUM(AG63:AG64)</f>
        <v>195063.8</v>
      </c>
      <c r="AH62" s="157">
        <f t="shared" ref="AH62" si="320">SUM(AH63:AH64)</f>
        <v>0</v>
      </c>
      <c r="AI62" s="157">
        <f>SUM(AI63:AI64)</f>
        <v>195063.8</v>
      </c>
      <c r="AJ62" s="157"/>
      <c r="AK62" s="157"/>
      <c r="AL62" s="157">
        <f>SUM(AL63:AL64)</f>
        <v>195063.8</v>
      </c>
      <c r="AM62" s="157">
        <f t="shared" ref="AM62" si="321">SUM(AM63:AM64)</f>
        <v>195063.8</v>
      </c>
      <c r="AN62" s="157">
        <f t="shared" ref="AN62" si="322">SUM(AN63:AN64)</f>
        <v>0</v>
      </c>
      <c r="AO62" s="157">
        <f>SUM(AO63:AO64)</f>
        <v>195063.8</v>
      </c>
      <c r="AP62" s="157"/>
      <c r="AQ62" s="157"/>
      <c r="AR62" s="157">
        <f>SUM(AR63:AR64)</f>
        <v>195063.8</v>
      </c>
      <c r="AS62" s="157">
        <f t="shared" ref="AS62" si="323">SUM(AS63:AS64)</f>
        <v>195063.8</v>
      </c>
      <c r="AT62" s="157">
        <f t="shared" ref="AT62" si="324">SUM(AT63:AT64)</f>
        <v>0</v>
      </c>
      <c r="AU62" s="157">
        <f>SUM(AU63:AU64)</f>
        <v>195063.8</v>
      </c>
      <c r="AV62" s="157"/>
      <c r="AW62" s="157"/>
      <c r="AX62" s="157">
        <f>SUM(AX63:AX64)</f>
        <v>195063.8</v>
      </c>
      <c r="AY62" s="157">
        <f t="shared" ref="AY62" si="325">SUM(AY63:AY64)</f>
        <v>195063.8</v>
      </c>
      <c r="AZ62" s="157">
        <f t="shared" ref="AZ62" si="326">SUM(AZ63:AZ64)</f>
        <v>0</v>
      </c>
    </row>
    <row r="63" spans="1:61"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AG63</f>
        <v>86962.8</v>
      </c>
      <c r="AJ63" s="171"/>
      <c r="AK63" s="171"/>
      <c r="AL63" s="171">
        <f>SUM(AM63:AN63)</f>
        <v>86962.8</v>
      </c>
      <c r="AM63" s="171">
        <f>AI63</f>
        <v>86962.8</v>
      </c>
      <c r="AN63" s="171"/>
      <c r="AO63" s="171">
        <f>AM63</f>
        <v>86962.8</v>
      </c>
      <c r="AP63" s="171"/>
      <c r="AQ63" s="171"/>
      <c r="AR63" s="171">
        <f>SUM(AS63:AT63)</f>
        <v>86962.8</v>
      </c>
      <c r="AS63" s="171">
        <f>AO63</f>
        <v>86962.8</v>
      </c>
      <c r="AT63" s="171"/>
      <c r="AU63" s="171">
        <f>AS63</f>
        <v>86962.8</v>
      </c>
      <c r="AV63" s="171"/>
      <c r="AW63" s="171"/>
      <c r="AX63" s="171">
        <f>SUM(AY63:AZ63)</f>
        <v>86962.8</v>
      </c>
      <c r="AY63" s="171">
        <f>AU63</f>
        <v>86962.8</v>
      </c>
      <c r="AZ63" s="171"/>
    </row>
    <row r="64" spans="1:61" s="5" customFormat="1" hidden="1">
      <c r="A64" s="1724" t="s">
        <v>101</v>
      </c>
      <c r="B64" s="1690" t="s">
        <v>102</v>
      </c>
      <c r="C64" s="263">
        <f>36361+65655</f>
        <v>102016</v>
      </c>
      <c r="D64" s="263">
        <f>C64</f>
        <v>102016</v>
      </c>
      <c r="E64" s="1533"/>
      <c r="F64" s="170"/>
      <c r="G64" s="170">
        <f>SUM(H64:I64)</f>
        <v>102016</v>
      </c>
      <c r="H64" s="170">
        <f t="shared" ref="H64" si="327">D64-F64-I64</f>
        <v>102016</v>
      </c>
      <c r="I64" s="170"/>
      <c r="J64" s="182">
        <f>H64</f>
        <v>102016</v>
      </c>
      <c r="K64" s="258"/>
      <c r="L64" s="258"/>
      <c r="M64" s="182"/>
      <c r="N64" s="171">
        <f t="shared" ref="N64" si="328">SUM(O64:P64)</f>
        <v>102016</v>
      </c>
      <c r="O64" s="171">
        <f t="shared" ref="O64" si="329">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AG64</f>
        <v>108101</v>
      </c>
      <c r="AJ64" s="171"/>
      <c r="AK64" s="171"/>
      <c r="AL64" s="171">
        <f>SUM(AM64:AN64)</f>
        <v>108101</v>
      </c>
      <c r="AM64" s="171">
        <f>AI64</f>
        <v>108101</v>
      </c>
      <c r="AN64" s="171"/>
      <c r="AO64" s="171">
        <f>AM64</f>
        <v>108101</v>
      </c>
      <c r="AP64" s="171"/>
      <c r="AQ64" s="171"/>
      <c r="AR64" s="171">
        <f>SUM(AS64:AT64)</f>
        <v>108101</v>
      </c>
      <c r="AS64" s="171">
        <f>AO64</f>
        <v>108101</v>
      </c>
      <c r="AT64" s="171"/>
      <c r="AU64" s="171">
        <f>AS64</f>
        <v>108101</v>
      </c>
      <c r="AV64" s="171"/>
      <c r="AW64" s="171"/>
      <c r="AX64" s="171">
        <f>SUM(AY64:AZ64)</f>
        <v>108101</v>
      </c>
      <c r="AY64" s="171">
        <f>AU64</f>
        <v>108101</v>
      </c>
      <c r="AZ64" s="171"/>
    </row>
    <row r="65" spans="1:52" s="204" customFormat="1">
      <c r="A65" s="164">
        <v>3</v>
      </c>
      <c r="B65" s="1725" t="s">
        <v>106</v>
      </c>
      <c r="C65" s="152">
        <f>SUM(C66:C67)</f>
        <v>650315</v>
      </c>
      <c r="D65" s="152">
        <f t="shared" ref="D65:F65" si="330">SUM(D66:D67)</f>
        <v>650315</v>
      </c>
      <c r="E65" s="153"/>
      <c r="F65" s="154">
        <f t="shared" si="330"/>
        <v>0</v>
      </c>
      <c r="G65" s="154">
        <f t="shared" ref="G65" si="331">SUM(G66:G67)</f>
        <v>650315</v>
      </c>
      <c r="H65" s="154">
        <f t="shared" ref="H65" si="332">SUM(H66:H67)</f>
        <v>650315</v>
      </c>
      <c r="I65" s="154">
        <f t="shared" ref="I65" si="333">SUM(I66:I67)</f>
        <v>0</v>
      </c>
      <c r="J65" s="202">
        <f>SUM(J66:J67)</f>
        <v>1298648</v>
      </c>
      <c r="K65" s="203"/>
      <c r="L65" s="203"/>
      <c r="M65" s="202"/>
      <c r="N65" s="152">
        <f>SUM(N66:N67)</f>
        <v>1298648</v>
      </c>
      <c r="O65" s="152">
        <f t="shared" ref="O65:P65" si="334">SUM(O66:O67)</f>
        <v>1298648</v>
      </c>
      <c r="P65" s="202">
        <f t="shared" si="334"/>
        <v>0</v>
      </c>
      <c r="Q65" s="152">
        <f>SUM(Q66:Q67)</f>
        <v>3412505</v>
      </c>
      <c r="R65" s="152"/>
      <c r="S65" s="152"/>
      <c r="T65" s="152">
        <f>SUM(T66:T67)</f>
        <v>3412505</v>
      </c>
      <c r="U65" s="152">
        <f>SUM(U66:U67)</f>
        <v>3412505</v>
      </c>
      <c r="V65" s="152">
        <f t="shared" ref="V65" si="335">SUM(V66:V67)</f>
        <v>0</v>
      </c>
      <c r="W65" s="152">
        <f>SUM(W66:W67)</f>
        <v>3412505</v>
      </c>
      <c r="X65" s="152"/>
      <c r="Y65" s="152"/>
      <c r="Z65" s="152">
        <f>SUM(Z66:Z67)</f>
        <v>3412505</v>
      </c>
      <c r="AA65" s="152">
        <f t="shared" ref="AA65" si="336">SUM(AA66:AA67)</f>
        <v>3412505</v>
      </c>
      <c r="AB65" s="152">
        <f t="shared" ref="AB65" si="337">SUM(AB66:AB67)</f>
        <v>0</v>
      </c>
      <c r="AC65" s="152">
        <f>SUM(AC66:AC67)</f>
        <v>3412505</v>
      </c>
      <c r="AD65" s="152"/>
      <c r="AE65" s="152"/>
      <c r="AF65" s="152">
        <f>SUM(AF66:AF67)</f>
        <v>3412505</v>
      </c>
      <c r="AG65" s="152">
        <f t="shared" ref="AG65" si="338">SUM(AG66:AG67)</f>
        <v>3412505</v>
      </c>
      <c r="AH65" s="152">
        <f t="shared" ref="AH65" si="339">SUM(AH66:AH67)</f>
        <v>0</v>
      </c>
      <c r="AI65" s="152">
        <f>SUM(AI66:AI67)</f>
        <v>3033239</v>
      </c>
      <c r="AJ65" s="152"/>
      <c r="AK65" s="152"/>
      <c r="AL65" s="152">
        <f>SUM(AL66:AL67)</f>
        <v>3033239</v>
      </c>
      <c r="AM65" s="152">
        <f t="shared" ref="AM65" si="340">SUM(AM66:AM67)</f>
        <v>3033239</v>
      </c>
      <c r="AN65" s="152">
        <f t="shared" ref="AN65" si="341">SUM(AN66:AN67)</f>
        <v>0</v>
      </c>
      <c r="AO65" s="152">
        <f>SUM(AO66:AO67)</f>
        <v>3033239</v>
      </c>
      <c r="AP65" s="152"/>
      <c r="AQ65" s="152"/>
      <c r="AR65" s="152">
        <f>SUM(AR66:AR67)</f>
        <v>3033239</v>
      </c>
      <c r="AS65" s="152">
        <f t="shared" ref="AS65" si="342">SUM(AS66:AS67)</f>
        <v>3033239</v>
      </c>
      <c r="AT65" s="152">
        <f t="shared" ref="AT65" si="343">SUM(AT66:AT67)</f>
        <v>0</v>
      </c>
      <c r="AU65" s="152">
        <f>SUM(AU66:AU67)</f>
        <v>3033239</v>
      </c>
      <c r="AV65" s="152"/>
      <c r="AW65" s="152"/>
      <c r="AX65" s="152">
        <f>SUM(AX66:AX67)</f>
        <v>3033239</v>
      </c>
      <c r="AY65" s="152">
        <f t="shared" ref="AY65" si="344">SUM(AY66:AY67)</f>
        <v>3033239</v>
      </c>
      <c r="AZ65" s="152">
        <f t="shared" ref="AZ65" si="345">SUM(AZ66:AZ67)</f>
        <v>0</v>
      </c>
    </row>
    <row r="66" spans="1:52" s="5" customFormat="1" ht="16.2" hidden="1">
      <c r="A66" s="1724" t="s">
        <v>99</v>
      </c>
      <c r="B66" s="1690" t="s">
        <v>104</v>
      </c>
      <c r="C66" s="263">
        <v>650315</v>
      </c>
      <c r="D66" s="263">
        <f>C66</f>
        <v>650315</v>
      </c>
      <c r="E66" s="1533"/>
      <c r="F66" s="170"/>
      <c r="G66" s="170">
        <f>SUM(H66:I66)</f>
        <v>650315</v>
      </c>
      <c r="H66" s="170">
        <f>D66-F66-I66</f>
        <v>650315</v>
      </c>
      <c r="I66" s="170"/>
      <c r="J66" s="1726">
        <f>C66+319368+190406</f>
        <v>1160089</v>
      </c>
      <c r="K66" s="258"/>
      <c r="L66" s="258"/>
      <c r="M66" s="182"/>
      <c r="N66" s="249">
        <f>SUM(O66:P66)</f>
        <v>1160089</v>
      </c>
      <c r="O66" s="249">
        <f>J66-M66-P66</f>
        <v>1160089</v>
      </c>
      <c r="P66" s="1726"/>
      <c r="Q66" s="171">
        <f>2832833+200406</f>
        <v>3033239</v>
      </c>
      <c r="R66" s="171"/>
      <c r="S66" s="171"/>
      <c r="T66" s="171">
        <f>SUM(U66:V66)</f>
        <v>3033239</v>
      </c>
      <c r="U66" s="171">
        <f>Q66</f>
        <v>3033239</v>
      </c>
      <c r="V66" s="171"/>
      <c r="W66" s="171">
        <f>U66</f>
        <v>3033239</v>
      </c>
      <c r="X66" s="171"/>
      <c r="Y66" s="171"/>
      <c r="Z66" s="171">
        <f>SUM(AA66:AB66)</f>
        <v>3033239</v>
      </c>
      <c r="AA66" s="171">
        <f>W66</f>
        <v>3033239</v>
      </c>
      <c r="AB66" s="171"/>
      <c r="AC66" s="171">
        <f>AA66</f>
        <v>3033239</v>
      </c>
      <c r="AD66" s="171"/>
      <c r="AE66" s="171"/>
      <c r="AF66" s="171">
        <f>SUM(AG66:AH66)</f>
        <v>3033239</v>
      </c>
      <c r="AG66" s="171">
        <f>AC66</f>
        <v>3033239</v>
      </c>
      <c r="AH66" s="171"/>
      <c r="AI66" s="171">
        <f>AG66</f>
        <v>3033239</v>
      </c>
      <c r="AJ66" s="171"/>
      <c r="AK66" s="171"/>
      <c r="AL66" s="171">
        <f>SUM(AM66:AN66)</f>
        <v>3033239</v>
      </c>
      <c r="AM66" s="171">
        <f>AI66</f>
        <v>3033239</v>
      </c>
      <c r="AN66" s="171"/>
      <c r="AO66" s="171">
        <f>AM66</f>
        <v>3033239</v>
      </c>
      <c r="AP66" s="171"/>
      <c r="AQ66" s="171"/>
      <c r="AR66" s="171">
        <f>SUM(AS66:AT66)</f>
        <v>3033239</v>
      </c>
      <c r="AS66" s="171">
        <f>AO66</f>
        <v>3033239</v>
      </c>
      <c r="AT66" s="171"/>
      <c r="AU66" s="171">
        <f>AS66</f>
        <v>3033239</v>
      </c>
      <c r="AV66" s="171"/>
      <c r="AW66" s="171"/>
      <c r="AX66" s="171">
        <f>SUM(AY66:AZ66)</f>
        <v>3033239</v>
      </c>
      <c r="AY66" s="171">
        <f>AU66</f>
        <v>3033239</v>
      </c>
      <c r="AZ66" s="171"/>
    </row>
    <row r="67" spans="1:52" s="5" customFormat="1" hidden="1">
      <c r="A67" s="1724" t="s">
        <v>101</v>
      </c>
      <c r="B67" s="1690" t="s">
        <v>105</v>
      </c>
      <c r="C67" s="263"/>
      <c r="D67" s="263"/>
      <c r="E67" s="1533"/>
      <c r="F67" s="170"/>
      <c r="G67" s="170"/>
      <c r="H67" s="170"/>
      <c r="I67" s="170"/>
      <c r="J67" s="182">
        <f>138559</f>
        <v>138559</v>
      </c>
      <c r="K67" s="258"/>
      <c r="L67" s="258"/>
      <c r="M67" s="182"/>
      <c r="N67" s="171">
        <f>SUM(O67:P67)</f>
        <v>138559</v>
      </c>
      <c r="O67" s="171">
        <f>J67-M67-P67</f>
        <v>138559</v>
      </c>
      <c r="P67" s="182"/>
      <c r="Q67" s="171">
        <v>379266</v>
      </c>
      <c r="R67" s="171"/>
      <c r="S67" s="171"/>
      <c r="T67" s="171">
        <f>SUM(U67:V67)</f>
        <v>379266</v>
      </c>
      <c r="U67" s="171">
        <f t="shared" ref="U67" si="346">Q67</f>
        <v>379266</v>
      </c>
      <c r="V67" s="171"/>
      <c r="W67" s="171">
        <f>U67</f>
        <v>379266</v>
      </c>
      <c r="X67" s="171"/>
      <c r="Y67" s="171"/>
      <c r="Z67" s="171">
        <f>SUM(AA67:AB67)</f>
        <v>379266</v>
      </c>
      <c r="AA67" s="171">
        <f t="shared" ref="AA67" si="347">W67</f>
        <v>379266</v>
      </c>
      <c r="AB67" s="171"/>
      <c r="AC67" s="171">
        <f>W67</f>
        <v>379266</v>
      </c>
      <c r="AD67" s="171"/>
      <c r="AE67" s="171"/>
      <c r="AF67" s="171">
        <f>SUM(AG67:AH67)</f>
        <v>379266</v>
      </c>
      <c r="AG67" s="171">
        <f t="shared" ref="AG67" si="348">AC67</f>
        <v>379266</v>
      </c>
      <c r="AH67" s="171"/>
      <c r="AI67" s="171"/>
      <c r="AJ67" s="171"/>
      <c r="AK67" s="171"/>
      <c r="AL67" s="171">
        <f>SUM(AM67:AN67)</f>
        <v>0</v>
      </c>
      <c r="AM67" s="171">
        <f t="shared" ref="AM67" si="349">AI67</f>
        <v>0</v>
      </c>
      <c r="AN67" s="171"/>
      <c r="AO67" s="171"/>
      <c r="AP67" s="171"/>
      <c r="AQ67" s="171"/>
      <c r="AR67" s="171">
        <f>SUM(AS67:AT67)</f>
        <v>0</v>
      </c>
      <c r="AS67" s="171">
        <f t="shared" ref="AS67" si="350">AO67</f>
        <v>0</v>
      </c>
      <c r="AT67" s="171"/>
      <c r="AU67" s="171"/>
      <c r="AV67" s="171"/>
      <c r="AW67" s="171"/>
      <c r="AX67" s="171">
        <f>SUM(AY67:AZ67)</f>
        <v>0</v>
      </c>
      <c r="AY67" s="171">
        <f t="shared" ref="AY67" si="351">AU67</f>
        <v>0</v>
      </c>
      <c r="AZ67" s="171"/>
    </row>
    <row r="68" spans="1:52"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c r="AB68" s="142"/>
      <c r="AC68" s="142">
        <f>AF68</f>
        <v>0</v>
      </c>
      <c r="AD68" s="142"/>
      <c r="AE68" s="142"/>
      <c r="AF68" s="142">
        <f>SUM(AG68:AH68)</f>
        <v>0</v>
      </c>
      <c r="AG68" s="142"/>
      <c r="AH68" s="142"/>
      <c r="AI68" s="142">
        <f>AL68</f>
        <v>0</v>
      </c>
      <c r="AJ68" s="142"/>
      <c r="AK68" s="142"/>
      <c r="AL68" s="142">
        <f>SUM(AM68:AN68)</f>
        <v>0</v>
      </c>
      <c r="AM68" s="142">
        <f>'Phụ lục số II'!Z34</f>
        <v>0</v>
      </c>
      <c r="AN68" s="142">
        <f>'Phụ lục số II'!AA34</f>
        <v>0</v>
      </c>
      <c r="AO68" s="142">
        <f>AR68</f>
        <v>1088757.7498882432</v>
      </c>
      <c r="AP68" s="142"/>
      <c r="AQ68" s="142"/>
      <c r="AR68" s="142">
        <f>SUM(AS68:AT68)</f>
        <v>1088757.7498882432</v>
      </c>
      <c r="AS68" s="142">
        <f>'Phụ lục số II'!AE34</f>
        <v>508427.53552337422</v>
      </c>
      <c r="AT68" s="142">
        <f>'Phụ lục số II'!AF34</f>
        <v>580330.21436486894</v>
      </c>
      <c r="AU68" s="142">
        <f>AX68</f>
        <v>1572055.4252528162</v>
      </c>
      <c r="AV68" s="142"/>
      <c r="AW68" s="142"/>
      <c r="AX68" s="142">
        <f>SUM(AY68:AZ68)</f>
        <v>1572055.4252528162</v>
      </c>
      <c r="AY68" s="142">
        <f>'Phụ lục số II'!AJ34</f>
        <v>815349.89660284261</v>
      </c>
      <c r="AZ68" s="142">
        <f>'Phụ lục số II'!AK34</f>
        <v>756705.52864997357</v>
      </c>
    </row>
    <row r="69" spans="1:52"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AL69</f>
        <v>0</v>
      </c>
      <c r="AJ69" s="142"/>
      <c r="AK69" s="142"/>
      <c r="AL69" s="142">
        <f>SUM(AM69:AN69)</f>
        <v>0</v>
      </c>
      <c r="AM69" s="142"/>
      <c r="AN69" s="142"/>
      <c r="AO69" s="142">
        <f>AR69</f>
        <v>0</v>
      </c>
      <c r="AP69" s="142"/>
      <c r="AQ69" s="142"/>
      <c r="AR69" s="142">
        <f>SUM(AS69:AT69)</f>
        <v>0</v>
      </c>
      <c r="AS69" s="142"/>
      <c r="AT69" s="142"/>
      <c r="AU69" s="142">
        <f>AX69</f>
        <v>0</v>
      </c>
      <c r="AV69" s="142"/>
      <c r="AW69" s="142"/>
      <c r="AX69" s="142">
        <f>SUM(AY69:AZ69)</f>
        <v>0</v>
      </c>
      <c r="AY69" s="142"/>
      <c r="AZ69" s="142"/>
    </row>
    <row r="70" spans="1:52"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52">SUM(N10,N55,N68,N69)</f>
        <v>19382765.032347649</v>
      </c>
      <c r="O70" s="1696">
        <f t="shared" si="352"/>
        <v>14808565.560735388</v>
      </c>
      <c r="P70" s="1696">
        <f t="shared" si="352"/>
        <v>4574199.4716122607</v>
      </c>
      <c r="Q70" s="1696">
        <f>SUM(Q10,Q55,Q68,Q69)</f>
        <v>22982475.899999999</v>
      </c>
      <c r="R70" s="184"/>
      <c r="S70" s="1696">
        <f>SUM(S10,S55,S68,S69)</f>
        <v>1073079.8702548956</v>
      </c>
      <c r="T70" s="1696">
        <f t="shared" ref="T70:V70" si="353">SUM(T10,T55,T68,T69)</f>
        <v>21909396.029745102</v>
      </c>
      <c r="U70" s="1696">
        <f t="shared" si="353"/>
        <v>18182896.264020003</v>
      </c>
      <c r="V70" s="1696">
        <f t="shared" si="353"/>
        <v>3726499.7657251004</v>
      </c>
      <c r="W70" s="1696">
        <f>SUM(W10,W55,W68,W69)</f>
        <v>23153476.030000001</v>
      </c>
      <c r="X70" s="183"/>
      <c r="Y70" s="1696">
        <f>SUM(Y10,Y55,Y68,Y69)</f>
        <v>1093999.8273082429</v>
      </c>
      <c r="Z70" s="1696">
        <f>SUM(Z10,Z55,Z68,Z69)</f>
        <v>22059476.202691756</v>
      </c>
      <c r="AA70" s="1696">
        <f>SUM(AA10,AA55,AA68,AA69)</f>
        <v>18226479.65153978</v>
      </c>
      <c r="AB70" s="1696">
        <f>SUM(AB10,AB55,AB68,AB69)</f>
        <v>3832996.5511519788</v>
      </c>
      <c r="AC70" s="1696">
        <f>SUM(AC10,AC55,AC68,AC69)</f>
        <v>23343476.170000002</v>
      </c>
      <c r="AD70" s="184"/>
      <c r="AE70" s="1696">
        <f>SUM(AE10,AE55,AE68,AE69)</f>
        <v>1119919.9724297295</v>
      </c>
      <c r="AF70" s="1696">
        <f t="shared" ref="AF70:AH70" si="354">SUM(AF10,AF55,AF68,AF69)</f>
        <v>22223556.197570272</v>
      </c>
      <c r="AG70" s="1696">
        <f t="shared" si="354"/>
        <v>18343599.840603478</v>
      </c>
      <c r="AH70" s="1696">
        <f t="shared" si="354"/>
        <v>3879956.3569667954</v>
      </c>
      <c r="AI70" s="1696">
        <f>SUM(AI10,AI55,AI68,AI69)</f>
        <v>25973209.800000001</v>
      </c>
      <c r="AJ70" s="184"/>
      <c r="AK70" s="1696">
        <f>SUM(AK10,AK55,AK68,AK69)</f>
        <v>1318251.1026532419</v>
      </c>
      <c r="AL70" s="1696">
        <f t="shared" ref="AL70:AN70" si="355">SUM(AL10,AL55,AL68,AL69)</f>
        <v>24654958.697346758</v>
      </c>
      <c r="AM70" s="1696">
        <f t="shared" si="355"/>
        <v>19476162.111650225</v>
      </c>
      <c r="AN70" s="1696">
        <f t="shared" si="355"/>
        <v>5178796.5856965333</v>
      </c>
      <c r="AO70" s="1696">
        <f>SUM(AO10,AO55,AO68,AO69)</f>
        <v>28140967.549888246</v>
      </c>
      <c r="AP70" s="184"/>
      <c r="AQ70" s="1696">
        <f>SUM(AQ10,AQ55,AQ68,AQ69)</f>
        <v>1401972.7519240973</v>
      </c>
      <c r="AR70" s="1696">
        <f t="shared" ref="AR70:AT70" si="356">SUM(AR10,AR55,AR68,AR69)</f>
        <v>26738994.797964148</v>
      </c>
      <c r="AS70" s="1696">
        <f t="shared" si="356"/>
        <v>20555494.369332533</v>
      </c>
      <c r="AT70" s="1696">
        <f t="shared" si="356"/>
        <v>6183500.4286316112</v>
      </c>
      <c r="AU70" s="1696">
        <f>SUM(AU10,AU55,AU68,AU69)</f>
        <v>29872265.225252818</v>
      </c>
      <c r="AV70" s="184"/>
      <c r="AW70" s="1696">
        <f>SUM(AW10,AW55,AW68,AW69)</f>
        <v>1494562.8082434654</v>
      </c>
      <c r="AX70" s="1696">
        <f t="shared" ref="AX70:AZ70" si="357">SUM(AX10,AX55,AX68,AX69)</f>
        <v>28377702.417009354</v>
      </c>
      <c r="AY70" s="1696">
        <f t="shared" si="357"/>
        <v>21308662.926719714</v>
      </c>
      <c r="AZ70" s="1696">
        <f t="shared" si="357"/>
        <v>7069039.4902896369</v>
      </c>
    </row>
    <row r="72" spans="1:52">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row>
    <row r="73" spans="1:52">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18233347.229745105</v>
      </c>
      <c r="U73" s="1699">
        <f>U11+U56+U66+U68</f>
        <v>14506847.464020004</v>
      </c>
      <c r="V73" s="1699">
        <f>V11+V56+V66+V68</f>
        <v>3726499.7657251004</v>
      </c>
      <c r="Z73" s="1699">
        <f>Z11+Z56+Z66+Z68</f>
        <v>18383427.402691759</v>
      </c>
      <c r="AA73" s="1699">
        <f>AA11+AA56+AA66+AA68</f>
        <v>14550430.851539778</v>
      </c>
      <c r="AB73" s="1699">
        <f>AB11+AB56+AB66+AB68</f>
        <v>3832996.5511519788</v>
      </c>
      <c r="AF73" s="1699">
        <f>AF11+AF56+AF66+AF68</f>
        <v>18547507.397570271</v>
      </c>
      <c r="AG73" s="1699">
        <f>AG11+AG56+AG66+AG68</f>
        <v>14667551.040603476</v>
      </c>
      <c r="AH73" s="1699">
        <f>AH11+AH56+AH66+AH68</f>
        <v>3879956.3569667954</v>
      </c>
    </row>
    <row r="74" spans="1:52">
      <c r="Z74" s="198"/>
      <c r="AA74" s="198"/>
      <c r="AB74" s="198"/>
    </row>
    <row r="76" spans="1:52">
      <c r="Q76" s="6">
        <f>+Q66+Q68</f>
        <v>3033239.4</v>
      </c>
      <c r="R76" s="6">
        <f t="shared" ref="R76:V76" si="358">+R66+R68</f>
        <v>0</v>
      </c>
      <c r="S76" s="6">
        <f t="shared" si="358"/>
        <v>0</v>
      </c>
      <c r="T76" s="6">
        <f t="shared" si="358"/>
        <v>3033239.4</v>
      </c>
      <c r="U76" s="6">
        <f t="shared" si="358"/>
        <v>3033239.4</v>
      </c>
      <c r="V76" s="6">
        <f t="shared" si="358"/>
        <v>0</v>
      </c>
    </row>
    <row r="77" spans="1:52">
      <c r="O77" s="6"/>
      <c r="P77" s="6"/>
      <c r="T77" s="6"/>
      <c r="Z77" s="6"/>
      <c r="AF77" s="6"/>
      <c r="AL77" s="6"/>
      <c r="AR77" s="6"/>
      <c r="AX77" s="6"/>
    </row>
    <row r="78" spans="1:52">
      <c r="J78" s="1700"/>
      <c r="N78" s="6"/>
      <c r="T78" s="6"/>
      <c r="Z78" s="6"/>
      <c r="AF78" s="6"/>
      <c r="AL78" s="6"/>
      <c r="AR78" s="6"/>
      <c r="AX78" s="6"/>
    </row>
    <row r="79" spans="1:52">
      <c r="J79" s="6"/>
      <c r="K79" s="6">
        <f>1367375-P68</f>
        <v>210976</v>
      </c>
      <c r="M79" s="6055" t="s">
        <v>1421</v>
      </c>
      <c r="N79" s="6055"/>
      <c r="O79" s="6055"/>
      <c r="P79" s="6055"/>
      <c r="S79" s="6057" t="s">
        <v>1423</v>
      </c>
      <c r="T79" s="6057"/>
      <c r="U79" s="6057"/>
      <c r="V79" s="6057"/>
      <c r="Y79" s="6055" t="s">
        <v>1426</v>
      </c>
      <c r="Z79" s="6055"/>
      <c r="AA79" s="6055"/>
      <c r="AB79" s="6055"/>
      <c r="AE79" s="6055" t="s">
        <v>1426</v>
      </c>
      <c r="AF79" s="6055"/>
      <c r="AG79" s="6055"/>
      <c r="AH79" s="6055"/>
      <c r="AL79" s="6"/>
      <c r="AR79" s="6"/>
      <c r="AX79" s="6"/>
    </row>
    <row r="80" spans="1:52">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row>
    <row r="81" spans="3:34">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row>
    <row r="82" spans="3:34">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row>
    <row r="83" spans="3:34">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row>
    <row r="84" spans="3:34">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row>
    <row r="85" spans="3:34">
      <c r="M85" s="189" t="s">
        <v>962</v>
      </c>
      <c r="N85" s="1729">
        <f>N84/2</f>
        <v>-181215.06482617627</v>
      </c>
      <c r="O85" s="1729">
        <f>O84/2</f>
        <v>-13365.300632306142</v>
      </c>
      <c r="P85" s="1729">
        <f>P84/2</f>
        <v>-167849.76419386966</v>
      </c>
      <c r="S85" s="189" t="s">
        <v>1420</v>
      </c>
      <c r="T85" s="1729">
        <f>+T84/2</f>
        <v>138494.91487255227</v>
      </c>
      <c r="U85" s="1729">
        <f t="shared" ref="U85:V85" si="359">+U84/2</f>
        <v>210495.03201000206</v>
      </c>
      <c r="V85" s="1729">
        <f t="shared" si="359"/>
        <v>-72000.117137449794</v>
      </c>
      <c r="Y85" s="189" t="s">
        <v>1420</v>
      </c>
      <c r="Z85" s="1729">
        <f>+Z84/2</f>
        <v>126540.28647332592</v>
      </c>
      <c r="AA85" s="1729">
        <f t="shared" ref="AA85" si="360">+AA84/2</f>
        <v>28291.893759886734</v>
      </c>
      <c r="AB85" s="1729">
        <f t="shared" ref="AB85" si="361">+AB84/2</f>
        <v>98248.392713439185</v>
      </c>
      <c r="AE85" s="189" t="s">
        <v>1420</v>
      </c>
      <c r="AF85" s="1729">
        <f>+AF84/2</f>
        <v>105539.99743925733</v>
      </c>
      <c r="AG85" s="1729">
        <f>+AG84/2</f>
        <v>37060.094531849027</v>
      </c>
      <c r="AH85" s="1729">
        <f t="shared" ref="AH85" si="362">+AH84/2</f>
        <v>68479.902907408308</v>
      </c>
    </row>
    <row r="86" spans="3:34">
      <c r="M86" s="189"/>
      <c r="N86" s="1729"/>
      <c r="O86" s="1729"/>
      <c r="P86" s="1729"/>
      <c r="S86" s="189"/>
      <c r="T86" s="6"/>
      <c r="U86" s="1702"/>
      <c r="V86" s="1702"/>
      <c r="Y86" s="189"/>
      <c r="Z86" s="6"/>
      <c r="AA86" s="1702"/>
      <c r="AB86" s="1702"/>
      <c r="AE86" s="189"/>
      <c r="AF86" s="6"/>
      <c r="AG86" s="1702"/>
      <c r="AH86" s="1702"/>
    </row>
    <row r="87" spans="3:34">
      <c r="M87" s="6055" t="s">
        <v>1422</v>
      </c>
      <c r="N87" s="6055"/>
      <c r="O87" s="6055"/>
      <c r="P87" s="6055"/>
      <c r="S87" s="6057" t="s">
        <v>1425</v>
      </c>
      <c r="T87" s="6057"/>
      <c r="U87" s="6057"/>
      <c r="V87" s="6057"/>
      <c r="Y87" s="6055" t="s">
        <v>1427</v>
      </c>
      <c r="Z87" s="6055"/>
      <c r="AA87" s="6055"/>
      <c r="AB87" s="6055"/>
      <c r="AE87" s="6055" t="s">
        <v>1427</v>
      </c>
      <c r="AF87" s="6055"/>
      <c r="AG87" s="6055"/>
      <c r="AH87" s="6055"/>
    </row>
    <row r="88" spans="3:34">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row>
    <row r="89" spans="3:34">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row>
    <row r="90" spans="3:34">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row>
    <row r="91" spans="3:34">
      <c r="N91" s="1704">
        <f>+N12/N90</f>
        <v>0.87913735405296767</v>
      </c>
      <c r="O91" s="1704">
        <f>+O12/O90</f>
        <v>0.97404011633169618</v>
      </c>
      <c r="P91" s="1704">
        <f>+P12/P90</f>
        <v>0.81356773469008781</v>
      </c>
      <c r="T91" s="1704">
        <f>T90/N90</f>
        <v>1.0143804645468746</v>
      </c>
      <c r="U91" s="1704">
        <f t="shared" ref="U91:V91" si="363">U90/O90</f>
        <v>1.2057975847089595</v>
      </c>
      <c r="V91" s="1704">
        <f t="shared" si="363"/>
        <v>0.88212775232650731</v>
      </c>
      <c r="Z91" s="1704">
        <f>Z90/T90</f>
        <v>1.0527699757149824</v>
      </c>
      <c r="AA91" s="1704">
        <f t="shared" ref="AA91" si="364">AA90/U90</f>
        <v>1.0242909333502193</v>
      </c>
      <c r="AB91" s="1704">
        <f t="shared" ref="AB91" si="365">AB90/V90</f>
        <v>1.0796662493779368</v>
      </c>
      <c r="AF91" s="1704">
        <f>AF90/Z90</f>
        <v>1.0418062939281967</v>
      </c>
      <c r="AG91" s="1704">
        <f t="shared" ref="AG91" si="366">AG90/AA90</f>
        <v>1.0310645722620546</v>
      </c>
      <c r="AH91" s="1704">
        <f t="shared" ref="AH91" si="367">AH90/AB90</f>
        <v>1.0514307109243417</v>
      </c>
    </row>
    <row r="92" spans="3:34">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row>
    <row r="93" spans="3:34">
      <c r="M93" s="1" t="s">
        <v>962</v>
      </c>
      <c r="N93" s="1729">
        <f>+N92/2</f>
        <v>-285715.06482617627</v>
      </c>
      <c r="O93" s="1729">
        <f t="shared" ref="O93" si="368">+O92/2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row>
    <row r="94" spans="3:34">
      <c r="C94" s="6"/>
      <c r="N94" s="6"/>
      <c r="O94" s="6"/>
      <c r="P94" s="6"/>
      <c r="T94" s="6"/>
      <c r="U94" s="6"/>
      <c r="V94" s="6"/>
    </row>
    <row r="95" spans="3:34">
      <c r="N95" s="6"/>
      <c r="O95" s="6"/>
      <c r="P95" s="6"/>
      <c r="T95" s="6"/>
      <c r="U95" s="6"/>
      <c r="V95" s="6"/>
    </row>
    <row r="96" spans="3:34">
      <c r="M96" s="6056" t="s">
        <v>1428</v>
      </c>
      <c r="N96" s="6056"/>
      <c r="O96" s="6056"/>
      <c r="P96" s="6056"/>
      <c r="S96" s="6056" t="s">
        <v>1429</v>
      </c>
      <c r="T96" s="6056"/>
      <c r="U96" s="6056"/>
      <c r="V96" s="6056"/>
      <c r="Y96" s="6056" t="s">
        <v>1429</v>
      </c>
      <c r="Z96" s="6056"/>
      <c r="AA96" s="6056"/>
      <c r="AB96" s="6056"/>
      <c r="AE96" s="6056" t="s">
        <v>1429</v>
      </c>
      <c r="AF96" s="6056"/>
      <c r="AG96" s="6056"/>
      <c r="AH96" s="605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9" spans="10:22">
      <c r="U109" s="6">
        <f>+U85</f>
        <v>210495.03201000206</v>
      </c>
      <c r="V109" s="6">
        <f>-V85</f>
        <v>72000.117137449794</v>
      </c>
    </row>
    <row r="110" spans="10:22">
      <c r="P110" s="1" t="s">
        <v>1445</v>
      </c>
      <c r="Q110" s="2085">
        <f>127775</f>
        <v>127775</v>
      </c>
      <c r="R110" s="2085">
        <v>35819</v>
      </c>
      <c r="S110" s="198">
        <f>+R110+Q110</f>
        <v>163594</v>
      </c>
      <c r="T110" s="6">
        <f>+U110+V110</f>
        <v>104500.00000000023</v>
      </c>
      <c r="U110" s="198">
        <f>+U109-U93</f>
        <v>11710.000000000233</v>
      </c>
      <c r="V110" s="6">
        <f>-V93-V109</f>
        <v>92790</v>
      </c>
    </row>
    <row r="111" spans="10:22">
      <c r="P111" s="1" t="s">
        <v>1446</v>
      </c>
      <c r="Q111" s="2085">
        <v>3464</v>
      </c>
      <c r="R111" s="2085">
        <v>72282</v>
      </c>
      <c r="S111" s="198">
        <f>+R111+Q111</f>
        <v>75746</v>
      </c>
    </row>
  </sheetData>
  <mergeCells count="58">
    <mergeCell ref="AU6:AZ6"/>
    <mergeCell ref="AU7:AU8"/>
    <mergeCell ref="AV7:AV8"/>
    <mergeCell ref="AW7:AW8"/>
    <mergeCell ref="AX7:AZ7"/>
    <mergeCell ref="AO6:AT6"/>
    <mergeCell ref="AO7:AO8"/>
    <mergeCell ref="AP7:AP8"/>
    <mergeCell ref="AQ7:AQ8"/>
    <mergeCell ref="AR7:AT7"/>
    <mergeCell ref="AI6:AN6"/>
    <mergeCell ref="AI7:AI8"/>
    <mergeCell ref="AJ7:AJ8"/>
    <mergeCell ref="AK7:AK8"/>
    <mergeCell ref="AL7:AN7"/>
    <mergeCell ref="AC6:AH6"/>
    <mergeCell ref="AC7:AC8"/>
    <mergeCell ref="AD7:AD8"/>
    <mergeCell ref="AE7:AE8"/>
    <mergeCell ref="AF7:AH7"/>
    <mergeCell ref="W6:AB6"/>
    <mergeCell ref="W7:W8"/>
    <mergeCell ref="X7:X8"/>
    <mergeCell ref="Y7:Y8"/>
    <mergeCell ref="Z7:AB7"/>
    <mergeCell ref="Q6:V6"/>
    <mergeCell ref="Q7:Q8"/>
    <mergeCell ref="R7:R8"/>
    <mergeCell ref="S7:S8"/>
    <mergeCell ref="T7:V7"/>
    <mergeCell ref="A1:V1"/>
    <mergeCell ref="A2:V2"/>
    <mergeCell ref="T5:V5"/>
    <mergeCell ref="A3:V3"/>
    <mergeCell ref="A6:A8"/>
    <mergeCell ref="B6:B8"/>
    <mergeCell ref="C6:I6"/>
    <mergeCell ref="E7:E8"/>
    <mergeCell ref="F7:F8"/>
    <mergeCell ref="G7:I7"/>
    <mergeCell ref="C7:D7"/>
    <mergeCell ref="M7:M8"/>
    <mergeCell ref="N7:P7"/>
    <mergeCell ref="J6:P6"/>
    <mergeCell ref="J7:J8"/>
    <mergeCell ref="K7:L7"/>
    <mergeCell ref="AE79:AH79"/>
    <mergeCell ref="AE87:AH87"/>
    <mergeCell ref="M96:P96"/>
    <mergeCell ref="S96:V96"/>
    <mergeCell ref="Y96:AB96"/>
    <mergeCell ref="AE96:AH96"/>
    <mergeCell ref="M79:P79"/>
    <mergeCell ref="M87:P87"/>
    <mergeCell ref="S79:V79"/>
    <mergeCell ref="S87:V87"/>
    <mergeCell ref="Y79:AB79"/>
    <mergeCell ref="Y87:AB8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5"/>
  </sheetPr>
  <dimension ref="A1:DG54"/>
  <sheetViews>
    <sheetView topLeftCell="A2" workbookViewId="0">
      <selection activeCell="L41" sqref="L41"/>
    </sheetView>
  </sheetViews>
  <sheetFormatPr defaultColWidth="10.33203125" defaultRowHeight="18"/>
  <cols>
    <col min="1" max="1" width="5" style="667" customWidth="1"/>
    <col min="2" max="2" width="36.6640625" style="667" customWidth="1"/>
    <col min="3" max="3" width="10.44140625" style="667" customWidth="1"/>
    <col min="4" max="4" width="11.109375" style="667" customWidth="1"/>
    <col min="5" max="22" width="9.109375" style="667" customWidth="1"/>
    <col min="23" max="23" width="10.5546875" style="667" customWidth="1"/>
    <col min="24" max="26" width="10" style="667" customWidth="1"/>
    <col min="27" max="28" width="10.33203125" style="667"/>
    <col min="29" max="29" width="11.44140625" style="667" customWidth="1"/>
    <col min="30" max="30" width="12.88671875" style="667" customWidth="1"/>
    <col min="31" max="35" width="10.33203125" style="667"/>
    <col min="36" max="36" width="10.33203125" style="4019"/>
    <col min="37" max="16384" width="10.33203125" style="667"/>
  </cols>
  <sheetData>
    <row r="1" spans="1:111" s="685" customFormat="1" ht="37.65" customHeight="1">
      <c r="A1" s="6304" t="s">
        <v>2360</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c r="Z1" s="6304"/>
      <c r="AJ1" s="4017"/>
      <c r="AP1" s="685" t="s">
        <v>2130</v>
      </c>
      <c r="AU1" s="4018"/>
      <c r="BC1" s="4018"/>
      <c r="BK1" s="4018"/>
      <c r="BS1" s="4018"/>
      <c r="CA1" s="4018"/>
      <c r="CI1" s="4018"/>
      <c r="CQ1" s="4018"/>
      <c r="CY1" s="4018"/>
      <c r="DG1" s="4018"/>
    </row>
    <row r="2" spans="1:111" ht="18.600000000000001" thickBot="1">
      <c r="B2" s="3045"/>
      <c r="C2" s="3045"/>
      <c r="D2" s="3045"/>
      <c r="S2" s="6305" t="s">
        <v>1860</v>
      </c>
      <c r="T2" s="6305"/>
      <c r="U2" s="6305"/>
      <c r="V2" s="6305"/>
      <c r="W2" s="6305"/>
      <c r="X2" s="6305"/>
      <c r="Y2" s="6305"/>
      <c r="Z2" s="6305"/>
      <c r="AC2" s="716"/>
    </row>
    <row r="3" spans="1:111" s="3046" customFormat="1" ht="24.75" customHeight="1">
      <c r="A3" s="6306" t="s">
        <v>0</v>
      </c>
      <c r="B3" s="6307" t="s">
        <v>1861</v>
      </c>
      <c r="C3" s="6309" t="s">
        <v>2361</v>
      </c>
      <c r="D3" s="6300" t="s">
        <v>2048</v>
      </c>
      <c r="E3" s="6298" t="s">
        <v>1864</v>
      </c>
      <c r="F3" s="6301" t="s">
        <v>186</v>
      </c>
      <c r="G3" s="6302"/>
      <c r="H3" s="6302"/>
      <c r="I3" s="6303"/>
      <c r="J3" s="6309" t="s">
        <v>2362</v>
      </c>
      <c r="K3" s="6309" t="s">
        <v>2363</v>
      </c>
      <c r="L3" s="6298" t="s">
        <v>2364</v>
      </c>
      <c r="M3" s="6300" t="s">
        <v>2365</v>
      </c>
      <c r="N3" s="6298" t="s">
        <v>2366</v>
      </c>
      <c r="O3" s="6301" t="s">
        <v>186</v>
      </c>
      <c r="P3" s="6302"/>
      <c r="Q3" s="6302"/>
      <c r="R3" s="6303"/>
      <c r="S3" s="6298" t="s">
        <v>3119</v>
      </c>
      <c r="T3" s="6301" t="s">
        <v>186</v>
      </c>
      <c r="U3" s="6302"/>
      <c r="V3" s="6302"/>
      <c r="W3" s="6303"/>
      <c r="X3" s="6298" t="s">
        <v>2368</v>
      </c>
      <c r="Y3" s="6298" t="s">
        <v>2369</v>
      </c>
      <c r="Z3" s="6312"/>
      <c r="AJ3" s="4020"/>
    </row>
    <row r="4" spans="1:111" s="3046" customFormat="1" ht="27.75" customHeight="1">
      <c r="A4" s="6206"/>
      <c r="B4" s="6308"/>
      <c r="C4" s="6310"/>
      <c r="D4" s="6294"/>
      <c r="E4" s="6299"/>
      <c r="F4" s="6294" t="s">
        <v>2370</v>
      </c>
      <c r="G4" s="6294" t="s">
        <v>2371</v>
      </c>
      <c r="H4" s="6296" t="s">
        <v>645</v>
      </c>
      <c r="I4" s="6297"/>
      <c r="J4" s="6310"/>
      <c r="K4" s="6310"/>
      <c r="L4" s="6299"/>
      <c r="M4" s="6294"/>
      <c r="N4" s="6299"/>
      <c r="O4" s="6294" t="s">
        <v>2370</v>
      </c>
      <c r="P4" s="6294" t="s">
        <v>2371</v>
      </c>
      <c r="Q4" s="6296" t="s">
        <v>645</v>
      </c>
      <c r="R4" s="6297"/>
      <c r="S4" s="6299"/>
      <c r="T4" s="6294" t="s">
        <v>2370</v>
      </c>
      <c r="U4" s="6294" t="s">
        <v>2371</v>
      </c>
      <c r="V4" s="6296" t="s">
        <v>645</v>
      </c>
      <c r="W4" s="6297"/>
      <c r="X4" s="6299"/>
      <c r="Y4" s="6299"/>
      <c r="Z4" s="6313"/>
      <c r="AB4" s="4018">
        <f>+$L$9*5%</f>
        <v>243499.99</v>
      </c>
      <c r="AC4" s="4018">
        <f>+AB4+$S$9</f>
        <v>6105499.9900000002</v>
      </c>
      <c r="AD4" s="4018">
        <f>AC4+$S$19+$S$26</f>
        <v>9805499.9900000002</v>
      </c>
      <c r="AJ4" s="4020"/>
    </row>
    <row r="5" spans="1:111" s="3046" customFormat="1" ht="114.6" customHeight="1">
      <c r="A5" s="6206"/>
      <c r="B5" s="6308"/>
      <c r="C5" s="6311"/>
      <c r="D5" s="6295"/>
      <c r="E5" s="6299"/>
      <c r="F5" s="6295"/>
      <c r="G5" s="6295"/>
      <c r="H5" s="4021" t="s">
        <v>865</v>
      </c>
      <c r="I5" s="4021" t="s">
        <v>1618</v>
      </c>
      <c r="J5" s="6311"/>
      <c r="K5" s="6311"/>
      <c r="L5" s="6299"/>
      <c r="M5" s="6295"/>
      <c r="N5" s="6299"/>
      <c r="O5" s="6295"/>
      <c r="P5" s="6295"/>
      <c r="Q5" s="4021" t="s">
        <v>865</v>
      </c>
      <c r="R5" s="4021" t="s">
        <v>1618</v>
      </c>
      <c r="S5" s="6299"/>
      <c r="T5" s="6295"/>
      <c r="U5" s="6295"/>
      <c r="V5" s="4021" t="s">
        <v>865</v>
      </c>
      <c r="W5" s="4021" t="s">
        <v>1618</v>
      </c>
      <c r="X5" s="6299"/>
      <c r="Y5" s="4022" t="s">
        <v>2372</v>
      </c>
      <c r="Z5" s="4023" t="s">
        <v>2373</v>
      </c>
      <c r="AB5" s="4018">
        <f>+$L$9*12%</f>
        <v>584399.97599999991</v>
      </c>
      <c r="AC5" s="4018">
        <f>+AB5+$S$9</f>
        <v>6446399.9759999998</v>
      </c>
      <c r="AD5" s="4018">
        <f>AC5+$S$19+$S$26</f>
        <v>10146399.976</v>
      </c>
      <c r="AJ5" s="4020"/>
    </row>
    <row r="6" spans="1:111" s="4018" customFormat="1" ht="17.399999999999999">
      <c r="A6" s="4024">
        <v>1</v>
      </c>
      <c r="B6" s="4025">
        <v>2</v>
      </c>
      <c r="C6" s="4025"/>
      <c r="D6" s="4026">
        <v>3</v>
      </c>
      <c r="E6" s="4026">
        <v>4</v>
      </c>
      <c r="F6" s="4026"/>
      <c r="G6" s="4026"/>
      <c r="H6" s="4026"/>
      <c r="I6" s="4026"/>
      <c r="J6" s="4027">
        <v>5</v>
      </c>
      <c r="K6" s="4027" t="s">
        <v>2374</v>
      </c>
      <c r="L6" s="4026">
        <v>7</v>
      </c>
      <c r="M6" s="4026" t="s">
        <v>2375</v>
      </c>
      <c r="N6" s="4026">
        <v>9</v>
      </c>
      <c r="O6" s="4026"/>
      <c r="P6" s="4026"/>
      <c r="Q6" s="4026"/>
      <c r="R6" s="4026"/>
      <c r="S6" s="4026">
        <v>10</v>
      </c>
      <c r="T6" s="4026"/>
      <c r="U6" s="4026"/>
      <c r="V6" s="4026"/>
      <c r="W6" s="4026"/>
      <c r="X6" s="4026" t="s">
        <v>1195</v>
      </c>
      <c r="Y6" s="4028" t="s">
        <v>2376</v>
      </c>
      <c r="Z6" s="4023" t="s">
        <v>2377</v>
      </c>
      <c r="AB6" s="4018">
        <f>+$L$9*10%</f>
        <v>486999.98</v>
      </c>
      <c r="AC6" s="4018">
        <f>+AB6+$S$9</f>
        <v>6348999.9800000004</v>
      </c>
      <c r="AD6" s="4018">
        <f>AC6+$S$19+$S$26</f>
        <v>10048999.98</v>
      </c>
      <c r="AJ6" s="4029"/>
    </row>
    <row r="7" spans="1:111" s="708" customFormat="1" ht="17.399999999999999">
      <c r="A7" s="2892"/>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3">
        <f>L7/E7%</f>
        <v>107.3879488801054</v>
      </c>
      <c r="N7" s="4030">
        <f>SUM(N8,N27)</f>
        <v>8914000</v>
      </c>
      <c r="O7" s="4030">
        <f t="shared" ref="O7:R7" si="1">SUM(O8,O27)</f>
        <v>738100</v>
      </c>
      <c r="P7" s="4030">
        <f t="shared" si="1"/>
        <v>8426000</v>
      </c>
      <c r="Q7" s="4030">
        <f t="shared" si="1"/>
        <v>4620000</v>
      </c>
      <c r="R7" s="4030">
        <f t="shared" si="1"/>
        <v>3806000</v>
      </c>
      <c r="S7" s="4030">
        <f>SUM(S8,S27)</f>
        <v>10095000</v>
      </c>
      <c r="T7" s="4030">
        <f t="shared" ref="T7:W7" si="2">SUM(T8,T27)</f>
        <v>1385035</v>
      </c>
      <c r="U7" s="4030">
        <f t="shared" si="2"/>
        <v>8709965</v>
      </c>
      <c r="V7" s="4030">
        <f>SUM(V8,V27)</f>
        <v>4977665</v>
      </c>
      <c r="W7" s="4030">
        <f t="shared" si="2"/>
        <v>3732300</v>
      </c>
      <c r="X7" s="4030">
        <f>SUM(X8,X27)</f>
        <v>-1181000</v>
      </c>
      <c r="Y7" s="4034">
        <f t="shared" ref="Y7:Y13" si="3">S7/L7*100</f>
        <v>123.85370421560418</v>
      </c>
      <c r="Z7" s="4035">
        <f>IF(N7=0,0,N7/L7%)</f>
        <v>109.36423173629477</v>
      </c>
      <c r="AA7" s="4036">
        <f>+L7/D7%</f>
        <v>103.47318180745162</v>
      </c>
      <c r="AB7" s="708">
        <f>S7/E7%</f>
        <v>133.00395256916997</v>
      </c>
      <c r="AC7" s="708">
        <f>+AA7-100</f>
        <v>3.4731818074516241</v>
      </c>
      <c r="AE7" s="4037">
        <f t="shared" ref="AE7:AE27" si="4">+L7/$L$7</f>
        <v>1</v>
      </c>
      <c r="AG7" s="4037">
        <f t="shared" ref="AG7:AG27" si="5">S7/$S$7</f>
        <v>1</v>
      </c>
      <c r="AI7" s="4038">
        <f t="shared" ref="AI7:AI27" si="6">J7/C7%</f>
        <v>95.858987188606434</v>
      </c>
      <c r="AJ7" s="4039">
        <f>AI7-100</f>
        <v>-4.1410128113935656</v>
      </c>
    </row>
    <row r="8" spans="1:111" s="708" customFormat="1" ht="17.399999999999999">
      <c r="A8" s="2893" t="s">
        <v>3</v>
      </c>
      <c r="B8" s="701" t="s">
        <v>4</v>
      </c>
      <c r="C8" s="701">
        <f>SUM(C10,C11,C12,C13:C26)</f>
        <v>5042872</v>
      </c>
      <c r="D8" s="2741">
        <f>SUM(D10,D11,D12,D13:D26)</f>
        <v>7487373.9545940002</v>
      </c>
      <c r="E8" s="2741">
        <f>SUM(E10,E11,E12,E13:E26)</f>
        <v>7440000</v>
      </c>
      <c r="F8" s="2741">
        <f t="shared" ref="F8:I8" si="7">SUM(F10,F11,F12,F13:F26)</f>
        <v>736000</v>
      </c>
      <c r="G8" s="2741">
        <f t="shared" si="7"/>
        <v>6704000</v>
      </c>
      <c r="H8" s="2741">
        <f t="shared" si="7"/>
        <v>3806650</v>
      </c>
      <c r="I8" s="2741">
        <f t="shared" si="7"/>
        <v>2897350</v>
      </c>
      <c r="J8" s="4040">
        <f>SUM(J10,J11,J12,J13:J26)</f>
        <v>4690828</v>
      </c>
      <c r="K8" s="4041">
        <f t="shared" ref="K8:K13" si="8">J8/E8%</f>
        <v>63.048763440860213</v>
      </c>
      <c r="L8" s="2741">
        <f>SUM(L10,L11,L12,L13:L26)</f>
        <v>7999999.7999999998</v>
      </c>
      <c r="M8" s="4042">
        <f t="shared" ref="M8:M13" si="9">L8/E8%</f>
        <v>107.52687903225807</v>
      </c>
      <c r="N8" s="2741">
        <f>SUM(N10,N11,N12,N13:N26)</f>
        <v>8757000</v>
      </c>
      <c r="O8" s="2741">
        <f t="shared" ref="O8:R8" si="10">SUM(O10,O11,O12,O13:O26)</f>
        <v>581100</v>
      </c>
      <c r="P8" s="2741">
        <f t="shared" si="10"/>
        <v>8426000</v>
      </c>
      <c r="Q8" s="2741">
        <f t="shared" si="10"/>
        <v>4620000</v>
      </c>
      <c r="R8" s="2741">
        <f t="shared" si="10"/>
        <v>3806000</v>
      </c>
      <c r="S8" s="2741">
        <f>SUM(S10,S11,S12,S13:S26)</f>
        <v>9595000</v>
      </c>
      <c r="T8" s="2741">
        <f t="shared" ref="T8:W8" si="11">SUM(T10,T11,T12,T13:T26)</f>
        <v>885035</v>
      </c>
      <c r="U8" s="2741">
        <f>SUM(U10,U11,U12,U13:U26)</f>
        <v>8709965</v>
      </c>
      <c r="V8" s="2741">
        <f>SUM(V10,V11,V12,V13:V26)</f>
        <v>4977665</v>
      </c>
      <c r="W8" s="2741">
        <f t="shared" si="11"/>
        <v>3732300</v>
      </c>
      <c r="X8" s="2741">
        <f>SUM(X10,X11,X12,X13:X26)</f>
        <v>-838000</v>
      </c>
      <c r="Y8" s="4042">
        <f t="shared" si="3"/>
        <v>119.93750299843757</v>
      </c>
      <c r="Z8" s="4043">
        <f>IF(N8=0,0,N8/L8%)</f>
        <v>109.46250273656258</v>
      </c>
      <c r="AA8" s="4036">
        <f>+L8/D8%</f>
        <v>106.84653723073988</v>
      </c>
      <c r="AB8" s="708">
        <f>S8/E8%</f>
        <v>128.96505376344086</v>
      </c>
      <c r="AC8" s="708">
        <f t="shared" ref="AC8:AC25" si="12">+AA8-100</f>
        <v>6.8465372307398837</v>
      </c>
      <c r="AE8" s="4037">
        <f t="shared" si="4"/>
        <v>0.9815053085231229</v>
      </c>
      <c r="AG8" s="4037">
        <f t="shared" si="5"/>
        <v>0.95047052996532932</v>
      </c>
      <c r="AI8" s="4038">
        <f t="shared" si="6"/>
        <v>93.018978074398873</v>
      </c>
      <c r="AJ8" s="4039">
        <f t="shared" ref="AJ8:AJ27" si="13">AI8-100</f>
        <v>-6.9810219256011266</v>
      </c>
    </row>
    <row r="9" spans="1:111" s="708" customFormat="1" ht="17.399999999999999">
      <c r="A9" s="2893"/>
      <c r="B9" s="701" t="s">
        <v>2379</v>
      </c>
      <c r="C9" s="701">
        <f>C8-C19-C26-C24</f>
        <v>3055815</v>
      </c>
      <c r="D9" s="2741">
        <f>D8-D19-D26-D24</f>
        <v>4638218.814638</v>
      </c>
      <c r="E9" s="2741">
        <f>E8-E19-E26-E24</f>
        <v>4890000</v>
      </c>
      <c r="F9" s="2741">
        <f t="shared" ref="F9:I9" si="14">F8-F19-F26-F24</f>
        <v>736000</v>
      </c>
      <c r="G9" s="2741">
        <f t="shared" si="14"/>
        <v>4154000</v>
      </c>
      <c r="H9" s="2741">
        <f>H8-H19-H26-H24</f>
        <v>2056650</v>
      </c>
      <c r="I9" s="2741">
        <f t="shared" si="14"/>
        <v>2097350</v>
      </c>
      <c r="J9" s="4040">
        <f>J8-J19-J26-J24</f>
        <v>2989623</v>
      </c>
      <c r="K9" s="4041">
        <f>J9/E9%</f>
        <v>61.137484662576689</v>
      </c>
      <c r="L9" s="2741">
        <f>L8-L19-L26-L24</f>
        <v>4869999.8</v>
      </c>
      <c r="M9" s="4042">
        <f>L9/E9%</f>
        <v>99.590997955010224</v>
      </c>
      <c r="N9" s="2741">
        <f>N8-N19-N26-N24</f>
        <v>5100000</v>
      </c>
      <c r="O9" s="2741">
        <f t="shared" ref="O9:R9" si="15">O8-O19-O26-O24</f>
        <v>581100</v>
      </c>
      <c r="P9" s="2741">
        <f>P8-P19-P26-P24</f>
        <v>4939000</v>
      </c>
      <c r="Q9" s="2741">
        <f>Q8-Q19-Q26-Q24</f>
        <v>2226500</v>
      </c>
      <c r="R9" s="2741">
        <f t="shared" si="15"/>
        <v>2712500</v>
      </c>
      <c r="S9" s="2741">
        <f>S8-S19-S26-S24</f>
        <v>5862000</v>
      </c>
      <c r="T9" s="2741">
        <f t="shared" ref="T9:W9" si="16">T8-T19-T26-T24</f>
        <v>885035</v>
      </c>
      <c r="U9" s="2741">
        <f t="shared" si="16"/>
        <v>4976965</v>
      </c>
      <c r="V9" s="2741">
        <f>V8-V19-V26-V24</f>
        <v>2338165</v>
      </c>
      <c r="W9" s="2741">
        <f t="shared" si="16"/>
        <v>2638800</v>
      </c>
      <c r="X9" s="2741">
        <f>X8-X19-X26-X24</f>
        <v>-762000</v>
      </c>
      <c r="Y9" s="4042">
        <f t="shared" si="3"/>
        <v>120.36961479957351</v>
      </c>
      <c r="Z9" s="4043">
        <f>IF(N9=0,0,N9/L9%)</f>
        <v>104.72279690853375</v>
      </c>
      <c r="AA9" s="4036">
        <f>+L9/D9%</f>
        <v>104.99719816215892</v>
      </c>
      <c r="AB9" s="708">
        <f>S9/E9%</f>
        <v>119.87730061349693</v>
      </c>
      <c r="AC9" s="708">
        <f>+AA9-100</f>
        <v>4.9971981621589237</v>
      </c>
      <c r="AD9" s="708">
        <f>+N9-S9</f>
        <v>-762000</v>
      </c>
      <c r="AE9" s="4037">
        <f t="shared" si="4"/>
        <v>0.59749134696310202</v>
      </c>
      <c r="AG9" s="4037">
        <f t="shared" si="5"/>
        <v>0.5806835066864785</v>
      </c>
      <c r="AI9" s="4038">
        <f t="shared" si="6"/>
        <v>97.833900285193963</v>
      </c>
      <c r="AJ9" s="4039">
        <f t="shared" si="13"/>
        <v>-2.1660997148060375</v>
      </c>
      <c r="AK9" s="4038"/>
    </row>
    <row r="10" spans="1:111">
      <c r="A10" s="2894">
        <v>1</v>
      </c>
      <c r="B10" s="3885" t="s">
        <v>2006</v>
      </c>
      <c r="C10" s="4044">
        <f>155320+189725</f>
        <v>345045</v>
      </c>
      <c r="D10" s="4045">
        <f>'[6]MB61.1-342thu'!$F$13+'[6]MB61.1-342thu'!$F$20</f>
        <v>619048.00417199999</v>
      </c>
      <c r="E10" s="4045">
        <f>'[2]Phụ lục số 1'!C11+'[2]Phụ lục số 1'!C17</f>
        <v>600000</v>
      </c>
      <c r="F10" s="4045"/>
      <c r="G10" s="4045">
        <f t="shared" ref="G10:G27" si="17">SUM(H10:I10)</f>
        <v>600000</v>
      </c>
      <c r="H10" s="4045">
        <f>'[2]Phụ lục số 1'!F11+'[2]Phụ lục số 1'!F17</f>
        <v>600000</v>
      </c>
      <c r="I10" s="4045"/>
      <c r="J10" s="4046">
        <f>139967+264036</f>
        <v>404003</v>
      </c>
      <c r="K10" s="4047">
        <f t="shared" si="8"/>
        <v>67.333833333333331</v>
      </c>
      <c r="L10" s="4045">
        <f>'[2]Phụ lục số 1'!T11+'[2]Phụ lục số 1'!T17</f>
        <v>480000</v>
      </c>
      <c r="M10" s="4048">
        <f t="shared" si="9"/>
        <v>80</v>
      </c>
      <c r="N10" s="4045">
        <f>'[2]Phụ lục số 1'!AE11+'[2]Phụ lục số 1'!AE17</f>
        <v>530000</v>
      </c>
      <c r="O10" s="4045"/>
      <c r="P10" s="4045">
        <f>SUM(Q10:R10)</f>
        <v>530000</v>
      </c>
      <c r="Q10" s="4045">
        <f>N10</f>
        <v>530000</v>
      </c>
      <c r="R10" s="4045"/>
      <c r="S10" s="4045">
        <f>+'Phụ lục số 1'!Q13+'Phụ lục số 1'!Q19</f>
        <v>615000</v>
      </c>
      <c r="T10" s="4045"/>
      <c r="U10" s="4045">
        <f>SUM(V10:W10)</f>
        <v>615000</v>
      </c>
      <c r="V10" s="4045">
        <f>+'Phụ lục số 1'!U13+'Phụ lục số 1'!U19</f>
        <v>615000</v>
      </c>
      <c r="W10" s="4045"/>
      <c r="X10" s="4045">
        <f>N10-S10</f>
        <v>-85000</v>
      </c>
      <c r="Y10" s="4048">
        <f t="shared" si="3"/>
        <v>128.125</v>
      </c>
      <c r="Z10" s="4049">
        <f t="shared" ref="Z10:Z27" si="18">IF(N10=0,0,N10/L10%)</f>
        <v>110.41666666666667</v>
      </c>
      <c r="AA10" s="4036">
        <f>+L10/D10%</f>
        <v>77.538413299953703</v>
      </c>
      <c r="AB10" s="708">
        <f>S10/E10%</f>
        <v>102.5</v>
      </c>
      <c r="AC10" s="708">
        <f>+AA10-100</f>
        <v>-22.461586700046297</v>
      </c>
      <c r="AE10" s="4037">
        <f t="shared" si="4"/>
        <v>5.8890319983645377E-2</v>
      </c>
      <c r="AG10" s="4037">
        <f t="shared" si="5"/>
        <v>6.0921248142644872E-2</v>
      </c>
      <c r="AI10" s="4038">
        <f t="shared" si="6"/>
        <v>117.08704661710792</v>
      </c>
      <c r="AJ10" s="4039">
        <f t="shared" si="13"/>
        <v>17.087046617107916</v>
      </c>
    </row>
    <row r="11" spans="1:111">
      <c r="A11" s="2894">
        <v>2</v>
      </c>
      <c r="B11" s="3885" t="s">
        <v>13</v>
      </c>
      <c r="C11" s="4044">
        <v>43095</v>
      </c>
      <c r="D11" s="4045">
        <f>'[6]MB61.1-342thu'!$F$27</f>
        <v>74729.223614999995</v>
      </c>
      <c r="E11" s="4045">
        <f>'[2]Phụ lục số 1'!C23</f>
        <v>70000</v>
      </c>
      <c r="F11" s="4045"/>
      <c r="G11" s="4045">
        <f t="shared" si="17"/>
        <v>70000</v>
      </c>
      <c r="H11" s="4045">
        <f>'[2]Phụ lục số 1'!F23</f>
        <v>70000</v>
      </c>
      <c r="I11" s="4045"/>
      <c r="J11" s="4046">
        <v>34015</v>
      </c>
      <c r="K11" s="4047">
        <f t="shared" si="8"/>
        <v>48.592857142857142</v>
      </c>
      <c r="L11" s="4045">
        <f>'[2]Phụ lục số 1'!T23</f>
        <v>70000</v>
      </c>
      <c r="M11" s="4048">
        <f>L11/E11%</f>
        <v>100</v>
      </c>
      <c r="N11" s="4045">
        <f>'[2]Phụ lục số 1'!AE23</f>
        <v>75000</v>
      </c>
      <c r="O11" s="4045"/>
      <c r="P11" s="4045">
        <f t="shared" ref="P11:P27" si="19">SUM(Q11:R11)</f>
        <v>75000</v>
      </c>
      <c r="Q11" s="4045">
        <f>N11</f>
        <v>75000</v>
      </c>
      <c r="R11" s="4045"/>
      <c r="S11" s="4045">
        <f>+'Phụ lục số 1'!Q25</f>
        <v>70000</v>
      </c>
      <c r="T11" s="4045"/>
      <c r="U11" s="4045">
        <f t="shared" ref="U11:U27" si="20">SUM(V11:W11)</f>
        <v>70000</v>
      </c>
      <c r="V11" s="4045">
        <f>+'Phụ lục số 1'!U25</f>
        <v>70000</v>
      </c>
      <c r="W11" s="4045"/>
      <c r="X11" s="4045">
        <f t="shared" ref="X11:X27" si="21">N11-S11</f>
        <v>5000</v>
      </c>
      <c r="Y11" s="4048">
        <f t="shared" si="3"/>
        <v>100</v>
      </c>
      <c r="Z11" s="4049">
        <f t="shared" si="18"/>
        <v>107.14285714285714</v>
      </c>
      <c r="AA11" s="4036">
        <f t="shared" ref="AA11:AA25" si="22">+L11/D11%</f>
        <v>93.671520475892208</v>
      </c>
      <c r="AB11" s="708">
        <f t="shared" ref="AB11:AB26" si="23">S11/E11%</f>
        <v>100</v>
      </c>
      <c r="AC11" s="708">
        <f t="shared" si="12"/>
        <v>-6.3284795241077916</v>
      </c>
      <c r="AE11" s="4037">
        <f t="shared" si="4"/>
        <v>8.5881716642816179E-3</v>
      </c>
      <c r="AG11" s="4037">
        <f t="shared" si="5"/>
        <v>6.9341258048538877E-3</v>
      </c>
      <c r="AI11" s="4038">
        <f t="shared" si="6"/>
        <v>78.930270332985273</v>
      </c>
      <c r="AJ11" s="4039">
        <f t="shared" si="13"/>
        <v>-21.069729667014727</v>
      </c>
    </row>
    <row r="12" spans="1:111" s="685" customFormat="1" ht="17.399999999999999">
      <c r="A12" s="2894">
        <v>3</v>
      </c>
      <c r="B12" s="3885" t="s">
        <v>2380</v>
      </c>
      <c r="C12" s="4044">
        <v>666804</v>
      </c>
      <c r="D12" s="4045">
        <f>'[6]MB61.1-342thu'!$F$33</f>
        <v>1184280.3315290001</v>
      </c>
      <c r="E12" s="4045">
        <f>'[2]Phụ lục số 1'!C28</f>
        <v>1265000</v>
      </c>
      <c r="F12" s="4045"/>
      <c r="G12" s="4045">
        <f t="shared" si="17"/>
        <v>1265000</v>
      </c>
      <c r="H12" s="4045">
        <f>'[2]Phụ lục số 1'!F28</f>
        <v>88850</v>
      </c>
      <c r="I12" s="4045">
        <f>'[2]Phụ lục số 1'!G28</f>
        <v>1176150</v>
      </c>
      <c r="J12" s="4046">
        <v>727468</v>
      </c>
      <c r="K12" s="4047">
        <f t="shared" si="8"/>
        <v>57.50735177865613</v>
      </c>
      <c r="L12" s="4045">
        <f>'[2]Phụ lục số 1'!T28</f>
        <v>1600000.2999999998</v>
      </c>
      <c r="M12" s="4048">
        <f t="shared" si="9"/>
        <v>126.48223715415018</v>
      </c>
      <c r="N12" s="4046">
        <v>1652000</v>
      </c>
      <c r="O12" s="4045"/>
      <c r="P12" s="4045">
        <f t="shared" si="19"/>
        <v>1652000</v>
      </c>
      <c r="Q12" s="4045">
        <f>'[7]Phụ lục số 1'!$AI$28</f>
        <v>77900</v>
      </c>
      <c r="R12" s="4045">
        <f>'[7]Phụ lục số 1'!$AJ$28</f>
        <v>1574100</v>
      </c>
      <c r="S12" s="4045">
        <f>+'Phụ lục số 1'!Q30</f>
        <v>1550000</v>
      </c>
      <c r="T12" s="4045"/>
      <c r="U12" s="4045">
        <f t="shared" si="20"/>
        <v>1550000</v>
      </c>
      <c r="V12" s="4045">
        <f>+'Phụ lục số 1'!U30</f>
        <v>73000</v>
      </c>
      <c r="W12" s="4045">
        <f>+'Phụ lục số 1'!V30</f>
        <v>1477000</v>
      </c>
      <c r="X12" s="4045">
        <f t="shared" si="21"/>
        <v>102000</v>
      </c>
      <c r="Y12" s="4048">
        <f t="shared" si="3"/>
        <v>96.874981835940915</v>
      </c>
      <c r="Z12" s="4049">
        <f t="shared" si="18"/>
        <v>103.24998064062864</v>
      </c>
      <c r="AA12" s="4036">
        <f>+L12/D12%</f>
        <v>135.10317256846378</v>
      </c>
      <c r="AB12" s="708">
        <f>S12/E12%</f>
        <v>122.5296442687747</v>
      </c>
      <c r="AC12" s="708">
        <f>+AA12-100</f>
        <v>35.103172568463776</v>
      </c>
      <c r="AE12" s="4037">
        <f t="shared" si="4"/>
        <v>0.19630110341860121</v>
      </c>
      <c r="AG12" s="4037">
        <f t="shared" si="5"/>
        <v>0.15354135710747896</v>
      </c>
      <c r="AI12" s="4038">
        <f t="shared" si="6"/>
        <v>109.0977258684711</v>
      </c>
      <c r="AJ12" s="4039">
        <f>AI12-100</f>
        <v>9.0977258684711018</v>
      </c>
    </row>
    <row r="13" spans="1:111">
      <c r="A13" s="2894">
        <v>4</v>
      </c>
      <c r="B13" s="3885" t="s">
        <v>17</v>
      </c>
      <c r="C13" s="4044">
        <v>164560</v>
      </c>
      <c r="D13" s="4045">
        <f>'[6]MB61.1-342thu'!$F$40</f>
        <v>368283.784782</v>
      </c>
      <c r="E13" s="4045">
        <f>'[2]Phụ lục số 1'!C34</f>
        <v>295000</v>
      </c>
      <c r="F13" s="4045"/>
      <c r="G13" s="4045">
        <f t="shared" si="17"/>
        <v>295000</v>
      </c>
      <c r="H13" s="4045"/>
      <c r="I13" s="4045">
        <f>'[2]Phụ lục số 1'!G34</f>
        <v>295000</v>
      </c>
      <c r="J13" s="4046">
        <v>205617</v>
      </c>
      <c r="K13" s="4047">
        <f t="shared" si="8"/>
        <v>69.700677966101694</v>
      </c>
      <c r="L13" s="4045">
        <f>'[2]Phụ lục số 1'!T34</f>
        <v>340000</v>
      </c>
      <c r="M13" s="4048">
        <f t="shared" si="9"/>
        <v>115.2542372881356</v>
      </c>
      <c r="N13" s="4045">
        <v>350000</v>
      </c>
      <c r="O13" s="4045"/>
      <c r="P13" s="4045">
        <f t="shared" si="19"/>
        <v>350000</v>
      </c>
      <c r="Q13" s="4045"/>
      <c r="R13" s="4045">
        <f>'[7]Phụ lục số 1'!$AJ$34</f>
        <v>350000</v>
      </c>
      <c r="S13" s="4045">
        <f>+'Phụ lục số 1'!Q36</f>
        <v>330000</v>
      </c>
      <c r="T13" s="4045"/>
      <c r="U13" s="4045">
        <f t="shared" si="20"/>
        <v>330000</v>
      </c>
      <c r="V13" s="4045">
        <f>+'Phụ lục số 1'!U36</f>
        <v>0</v>
      </c>
      <c r="W13" s="4045">
        <f>+'Phụ lục số 1'!V36</f>
        <v>330000</v>
      </c>
      <c r="X13" s="4045">
        <f t="shared" si="21"/>
        <v>20000</v>
      </c>
      <c r="Y13" s="4048">
        <f t="shared" si="3"/>
        <v>97.058823529411768</v>
      </c>
      <c r="Z13" s="4049">
        <f t="shared" si="18"/>
        <v>102.94117647058823</v>
      </c>
      <c r="AA13" s="4036">
        <f>+L13/D13%</f>
        <v>92.320111297123177</v>
      </c>
      <c r="AB13" s="708">
        <f t="shared" si="23"/>
        <v>111.86440677966101</v>
      </c>
      <c r="AC13" s="708">
        <f t="shared" si="12"/>
        <v>-7.6798887028768235</v>
      </c>
      <c r="AE13" s="4037">
        <f t="shared" si="4"/>
        <v>4.1713976655082141E-2</v>
      </c>
      <c r="AG13" s="4037">
        <f t="shared" si="5"/>
        <v>3.2689450222882617E-2</v>
      </c>
      <c r="AI13" s="4038">
        <f t="shared" si="6"/>
        <v>124.94956246961596</v>
      </c>
      <c r="AJ13" s="4039">
        <f t="shared" si="13"/>
        <v>24.949562469615955</v>
      </c>
    </row>
    <row r="14" spans="1:111">
      <c r="A14" s="2894">
        <v>5</v>
      </c>
      <c r="B14" s="3885" t="s">
        <v>18</v>
      </c>
      <c r="C14" s="4044">
        <v>32</v>
      </c>
      <c r="D14" s="4045">
        <f>'[6]MB61.1-342thu'!$F$41</f>
        <v>280.44446699999997</v>
      </c>
      <c r="E14" s="4045">
        <f>'[2]Phụ lục số 1'!C35</f>
        <v>0</v>
      </c>
      <c r="F14" s="4045"/>
      <c r="G14" s="4045">
        <f t="shared" si="17"/>
        <v>0</v>
      </c>
      <c r="H14" s="4045"/>
      <c r="I14" s="4045"/>
      <c r="J14" s="4046">
        <v>205</v>
      </c>
      <c r="K14" s="4047"/>
      <c r="L14" s="4045">
        <f>'[2]Phụ lục số 1'!T35</f>
        <v>339.5</v>
      </c>
      <c r="M14" s="4048"/>
      <c r="N14" s="4045">
        <v>0</v>
      </c>
      <c r="O14" s="4045"/>
      <c r="P14" s="4045">
        <f t="shared" si="19"/>
        <v>0</v>
      </c>
      <c r="Q14" s="4045"/>
      <c r="R14" s="4045"/>
      <c r="S14" s="4045">
        <f>'[2]Phụ lục số 1'!AE35</f>
        <v>0</v>
      </c>
      <c r="T14" s="4045"/>
      <c r="U14" s="4045">
        <f t="shared" si="20"/>
        <v>0</v>
      </c>
      <c r="V14" s="4045"/>
      <c r="W14" s="4045"/>
      <c r="X14" s="4045">
        <f t="shared" si="21"/>
        <v>0</v>
      </c>
      <c r="Y14" s="4048"/>
      <c r="Z14" s="4049">
        <f t="shared" si="18"/>
        <v>0</v>
      </c>
      <c r="AA14" s="4036">
        <f t="shared" si="22"/>
        <v>121.05783495454023</v>
      </c>
      <c r="AB14" s="708"/>
      <c r="AC14" s="708">
        <f t="shared" si="12"/>
        <v>21.057834954540226</v>
      </c>
      <c r="AE14" s="4037">
        <f t="shared" si="4"/>
        <v>4.1652632571765843E-5</v>
      </c>
      <c r="AG14" s="4037">
        <f t="shared" si="5"/>
        <v>0</v>
      </c>
      <c r="AI14" s="4038">
        <f t="shared" si="6"/>
        <v>640.625</v>
      </c>
      <c r="AJ14" s="4039">
        <f t="shared" si="13"/>
        <v>540.625</v>
      </c>
    </row>
    <row r="15" spans="1:111">
      <c r="A15" s="2894">
        <v>6</v>
      </c>
      <c r="B15" s="3885" t="s">
        <v>2381</v>
      </c>
      <c r="C15" s="4044">
        <v>4693</v>
      </c>
      <c r="D15" s="4045">
        <f>'[6]MB61.1-342thu'!$F$42</f>
        <v>17902.636366999999</v>
      </c>
      <c r="E15" s="4045">
        <f>'[2]Phụ lục số 1'!C36</f>
        <v>10000</v>
      </c>
      <c r="F15" s="4045"/>
      <c r="G15" s="4045">
        <f t="shared" si="17"/>
        <v>10000</v>
      </c>
      <c r="H15" s="4045"/>
      <c r="I15" s="4045">
        <f>'[2]Phụ lục số 1'!G36</f>
        <v>10000</v>
      </c>
      <c r="J15" s="4046">
        <v>7695</v>
      </c>
      <c r="K15" s="4047">
        <f t="shared" ref="K15:K20" si="24">J15/E15%</f>
        <v>76.95</v>
      </c>
      <c r="L15" s="4045">
        <f>'[2]Phụ lục số 1'!T36</f>
        <v>14660.1</v>
      </c>
      <c r="M15" s="4048">
        <f t="shared" ref="M15:M20" si="25">L15/E15%</f>
        <v>146.601</v>
      </c>
      <c r="N15" s="4045">
        <v>15000</v>
      </c>
      <c r="O15" s="4045"/>
      <c r="P15" s="4045">
        <f t="shared" si="19"/>
        <v>15000</v>
      </c>
      <c r="Q15" s="4045"/>
      <c r="R15" s="4045">
        <f>N15</f>
        <v>15000</v>
      </c>
      <c r="S15" s="4045">
        <f>+'Phụ lục số 1'!Q38</f>
        <v>17000</v>
      </c>
      <c r="T15" s="4045"/>
      <c r="U15" s="4045">
        <f t="shared" si="20"/>
        <v>17000</v>
      </c>
      <c r="V15" s="4045">
        <f>+'Phụ lục số 1'!U38</f>
        <v>0</v>
      </c>
      <c r="W15" s="4045">
        <f>+'Phụ lục số 1'!V38</f>
        <v>17000</v>
      </c>
      <c r="X15" s="4045">
        <f t="shared" si="21"/>
        <v>-2000</v>
      </c>
      <c r="Y15" s="4048">
        <f t="shared" ref="Y15:Y20" si="26">S15/L15*100</f>
        <v>115.96100981575842</v>
      </c>
      <c r="Z15" s="4049">
        <f t="shared" si="18"/>
        <v>102.31853807272802</v>
      </c>
      <c r="AA15" s="4036">
        <f>+L15/D15%</f>
        <v>81.887939292689992</v>
      </c>
      <c r="AB15" s="708">
        <f t="shared" si="23"/>
        <v>170</v>
      </c>
      <c r="AC15" s="708">
        <f>+AA15-100</f>
        <v>-18.112060707310008</v>
      </c>
      <c r="AE15" s="4037">
        <f t="shared" si="4"/>
        <v>1.7986207916504992E-3</v>
      </c>
      <c r="AG15" s="4037">
        <f t="shared" si="5"/>
        <v>1.6840019811788015E-3</v>
      </c>
      <c r="AI15" s="4038">
        <f t="shared" si="6"/>
        <v>163.96761133603238</v>
      </c>
      <c r="AJ15" s="4039">
        <f t="shared" si="13"/>
        <v>63.967611336032377</v>
      </c>
    </row>
    <row r="16" spans="1:111">
      <c r="A16" s="2894">
        <v>7</v>
      </c>
      <c r="B16" s="3885" t="s">
        <v>20</v>
      </c>
      <c r="C16" s="4044">
        <v>342413</v>
      </c>
      <c r="D16" s="4045">
        <f>'[6]MB61.1-342thu'!$F$43</f>
        <v>712064.59420399996</v>
      </c>
      <c r="E16" s="4045">
        <f>'[2]Phụ lục số 1'!C37</f>
        <v>600000</v>
      </c>
      <c r="F16" s="4045"/>
      <c r="G16" s="4045">
        <f t="shared" si="17"/>
        <v>600000</v>
      </c>
      <c r="H16" s="4045">
        <f>'[2]Phụ lục số 1'!F37</f>
        <v>290500</v>
      </c>
      <c r="I16" s="4045">
        <f>'[2]Phụ lục số 1'!G37</f>
        <v>309500</v>
      </c>
      <c r="J16" s="4046">
        <v>439596</v>
      </c>
      <c r="K16" s="4047">
        <f t="shared" si="24"/>
        <v>73.266000000000005</v>
      </c>
      <c r="L16" s="4045">
        <f>'[2]Phụ lục số 1'!T37</f>
        <v>710000</v>
      </c>
      <c r="M16" s="4048">
        <f t="shared" si="25"/>
        <v>118.33333333333333</v>
      </c>
      <c r="N16" s="4045">
        <v>730000</v>
      </c>
      <c r="O16" s="4045"/>
      <c r="P16" s="4045">
        <f t="shared" si="19"/>
        <v>785000</v>
      </c>
      <c r="Q16" s="4045">
        <f>V16</f>
        <v>432000</v>
      </c>
      <c r="R16" s="4045">
        <f>W16</f>
        <v>353000</v>
      </c>
      <c r="S16" s="4045">
        <f>+'Phụ lục số 1'!Q39</f>
        <v>785000</v>
      </c>
      <c r="T16" s="4045"/>
      <c r="U16" s="4045">
        <f t="shared" si="20"/>
        <v>785000</v>
      </c>
      <c r="V16" s="4045">
        <f>+'Phụ lục số 1'!U39</f>
        <v>432000</v>
      </c>
      <c r="W16" s="4045">
        <f>+'Phụ lục số 1'!V39</f>
        <v>353000</v>
      </c>
      <c r="X16" s="4045">
        <f t="shared" si="21"/>
        <v>-55000</v>
      </c>
      <c r="Y16" s="4048">
        <f t="shared" si="26"/>
        <v>110.56338028169014</v>
      </c>
      <c r="Z16" s="4049">
        <f t="shared" si="18"/>
        <v>102.8169014084507</v>
      </c>
      <c r="AA16" s="4036">
        <f t="shared" si="22"/>
        <v>99.710055208360984</v>
      </c>
      <c r="AB16" s="708">
        <f t="shared" si="23"/>
        <v>130.83333333333334</v>
      </c>
      <c r="AC16" s="708">
        <f t="shared" si="12"/>
        <v>-0.28994479163901588</v>
      </c>
      <c r="AE16" s="4037">
        <f t="shared" si="4"/>
        <v>8.7108598309142124E-2</v>
      </c>
      <c r="AG16" s="4037">
        <f t="shared" si="5"/>
        <v>7.7761267954432889E-2</v>
      </c>
      <c r="AI16" s="4038">
        <f t="shared" si="6"/>
        <v>128.38180793369409</v>
      </c>
      <c r="AJ16" s="4039">
        <f t="shared" si="13"/>
        <v>28.381807933694091</v>
      </c>
    </row>
    <row r="17" spans="1:36">
      <c r="A17" s="2894">
        <v>8</v>
      </c>
      <c r="B17" s="3885" t="s">
        <v>2382</v>
      </c>
      <c r="C17" s="4044">
        <v>966599</v>
      </c>
      <c r="D17" s="4045">
        <f>'[6]MB61.1-342thu'!$F$44</f>
        <v>926612.70443099993</v>
      </c>
      <c r="E17" s="4045">
        <f>'[2]Phụ lục số 1'!C38</f>
        <v>1500000</v>
      </c>
      <c r="F17" s="4045">
        <f>'[2]Phụ lục số 1'!D38</f>
        <v>600000</v>
      </c>
      <c r="G17" s="4045">
        <f t="shared" si="17"/>
        <v>900000</v>
      </c>
      <c r="H17" s="4045">
        <f>'[2]Phụ lục số 1'!F38</f>
        <v>900000</v>
      </c>
      <c r="I17" s="4045"/>
      <c r="J17" s="4046">
        <v>703544</v>
      </c>
      <c r="K17" s="4047">
        <f t="shared" si="24"/>
        <v>46.90293333333333</v>
      </c>
      <c r="L17" s="4045">
        <f>'[2]Phụ lục số 1'!T38</f>
        <v>980000</v>
      </c>
      <c r="M17" s="4048">
        <f t="shared" si="25"/>
        <v>65.333333333333329</v>
      </c>
      <c r="N17" s="4045">
        <v>1065000</v>
      </c>
      <c r="O17" s="4045">
        <v>426000</v>
      </c>
      <c r="P17" s="4045">
        <f t="shared" si="19"/>
        <v>1032000</v>
      </c>
      <c r="Q17" s="4045">
        <f>V17</f>
        <v>1032000</v>
      </c>
      <c r="R17" s="4045"/>
      <c r="S17" s="4045">
        <f>+'Phụ lục số 1'!Q40</f>
        <v>1720000</v>
      </c>
      <c r="T17" s="4045">
        <f>+'Phụ lục số 1'!S40</f>
        <v>688000</v>
      </c>
      <c r="U17" s="4045">
        <f t="shared" si="20"/>
        <v>1032000</v>
      </c>
      <c r="V17" s="4045">
        <f>+'Phụ lục số 1'!U40</f>
        <v>1032000</v>
      </c>
      <c r="W17" s="4045"/>
      <c r="X17" s="4045">
        <f t="shared" si="21"/>
        <v>-655000</v>
      </c>
      <c r="Y17" s="4048">
        <f t="shared" si="26"/>
        <v>175.51020408163265</v>
      </c>
      <c r="Z17" s="4049">
        <f t="shared" si="18"/>
        <v>108.67346938775511</v>
      </c>
      <c r="AA17" s="4036">
        <f t="shared" si="22"/>
        <v>105.76155445675475</v>
      </c>
      <c r="AB17" s="708">
        <f t="shared" si="23"/>
        <v>114.66666666666667</v>
      </c>
      <c r="AC17" s="708">
        <f t="shared" si="12"/>
        <v>5.7615544567547516</v>
      </c>
      <c r="AE17" s="4037">
        <f t="shared" si="4"/>
        <v>0.12023440329994264</v>
      </c>
      <c r="AG17" s="4037">
        <f t="shared" si="5"/>
        <v>0.17038137691926697</v>
      </c>
      <c r="AI17" s="4038">
        <f t="shared" si="6"/>
        <v>72.785508778717954</v>
      </c>
      <c r="AJ17" s="4039">
        <f t="shared" si="13"/>
        <v>-27.214491221282046</v>
      </c>
    </row>
    <row r="18" spans="1:36">
      <c r="A18" s="2894">
        <v>9</v>
      </c>
      <c r="B18" s="3885" t="s">
        <v>22</v>
      </c>
      <c r="C18" s="4044">
        <v>115889</v>
      </c>
      <c r="D18" s="4045">
        <f>'[6]MB61.1-342thu'!$F$47</f>
        <v>174907.15649200001</v>
      </c>
      <c r="E18" s="4045">
        <f>'[2]Phụ lục số 1'!C39</f>
        <v>160000</v>
      </c>
      <c r="F18" s="4045">
        <f>'[2]Phụ lục số 1'!D39</f>
        <v>82000</v>
      </c>
      <c r="G18" s="4045">
        <f t="shared" si="17"/>
        <v>78000</v>
      </c>
      <c r="H18" s="4045">
        <f>'[2]Phụ lục số 1'!F39</f>
        <v>18800</v>
      </c>
      <c r="I18" s="4045">
        <f>'[2]Phụ lục số 1'!G39</f>
        <v>59200</v>
      </c>
      <c r="J18" s="4046">
        <v>108342</v>
      </c>
      <c r="K18" s="4047">
        <f t="shared" si="24"/>
        <v>67.713750000000005</v>
      </c>
      <c r="L18" s="4045">
        <f>'[2]Phụ lục số 1'!T39</f>
        <v>160000</v>
      </c>
      <c r="M18" s="4048">
        <f t="shared" si="25"/>
        <v>100</v>
      </c>
      <c r="N18" s="4045">
        <v>170000</v>
      </c>
      <c r="O18" s="4045">
        <v>60000</v>
      </c>
      <c r="P18" s="4045">
        <f t="shared" si="19"/>
        <v>120000</v>
      </c>
      <c r="Q18" s="4045">
        <f>V18</f>
        <v>47600</v>
      </c>
      <c r="R18" s="4045">
        <f>W18</f>
        <v>72400</v>
      </c>
      <c r="S18" s="4045">
        <f>+'Phụ lục số 1'!Q41</f>
        <v>170000</v>
      </c>
      <c r="T18" s="4045">
        <f>+'Phụ lục số 1'!S41</f>
        <v>50000</v>
      </c>
      <c r="U18" s="4045">
        <f t="shared" si="20"/>
        <v>120000</v>
      </c>
      <c r="V18" s="4045">
        <f>+'Phụ lục số 1'!U41</f>
        <v>47600</v>
      </c>
      <c r="W18" s="4045">
        <f>+'Phụ lục số 1'!V41</f>
        <v>72400</v>
      </c>
      <c r="X18" s="4045">
        <f t="shared" si="21"/>
        <v>0</v>
      </c>
      <c r="Y18" s="4048">
        <f t="shared" si="26"/>
        <v>106.25</v>
      </c>
      <c r="Z18" s="4049">
        <f t="shared" si="18"/>
        <v>106.25</v>
      </c>
      <c r="AA18" s="4036">
        <f t="shared" si="22"/>
        <v>91.477103172343988</v>
      </c>
      <c r="AB18" s="708">
        <f t="shared" si="23"/>
        <v>106.25</v>
      </c>
      <c r="AC18" s="708">
        <f t="shared" si="12"/>
        <v>-8.5228968276560124</v>
      </c>
      <c r="AE18" s="4037">
        <f t="shared" si="4"/>
        <v>1.9630106661215126E-2</v>
      </c>
      <c r="AG18" s="4037">
        <f t="shared" si="5"/>
        <v>1.6840019811788013E-2</v>
      </c>
      <c r="AI18" s="4038">
        <f t="shared" si="6"/>
        <v>93.487733952316432</v>
      </c>
      <c r="AJ18" s="4039">
        <f t="shared" si="13"/>
        <v>-6.5122660476835676</v>
      </c>
    </row>
    <row r="19" spans="1:36">
      <c r="A19" s="2894">
        <v>10</v>
      </c>
      <c r="B19" s="3885" t="s">
        <v>23</v>
      </c>
      <c r="C19" s="4044">
        <v>783145</v>
      </c>
      <c r="D19" s="4045">
        <f>'[6]MB61.1-342thu'!$F$48</f>
        <v>1029252.96595</v>
      </c>
      <c r="E19" s="4045">
        <f>'[2]Phụ lục số 1'!C40</f>
        <v>900000</v>
      </c>
      <c r="F19" s="4045"/>
      <c r="G19" s="4045">
        <f t="shared" si="17"/>
        <v>900000</v>
      </c>
      <c r="H19" s="4045">
        <f>'[2]Phụ lục số 1'!F40</f>
        <v>100000</v>
      </c>
      <c r="I19" s="4045">
        <f>'[2]Phụ lục số 1'!G40</f>
        <v>800000</v>
      </c>
      <c r="J19" s="4046">
        <v>566048</v>
      </c>
      <c r="K19" s="4047">
        <f t="shared" si="24"/>
        <v>62.894222222222226</v>
      </c>
      <c r="L19" s="4045">
        <f>'[2]Phụ lục số 1'!T40</f>
        <v>1080000</v>
      </c>
      <c r="M19" s="4048">
        <f t="shared" si="25"/>
        <v>120</v>
      </c>
      <c r="N19" s="4045">
        <v>1770000</v>
      </c>
      <c r="O19" s="4045"/>
      <c r="P19" s="4045">
        <f t="shared" si="19"/>
        <v>1600000</v>
      </c>
      <c r="Q19" s="4045">
        <f>V19</f>
        <v>506500</v>
      </c>
      <c r="R19" s="4045">
        <f>W19</f>
        <v>1093500</v>
      </c>
      <c r="S19" s="4045">
        <f>+'Phụ lục số 1'!Q42</f>
        <v>1600000</v>
      </c>
      <c r="T19" s="4045"/>
      <c r="U19" s="4045">
        <f t="shared" si="20"/>
        <v>1600000</v>
      </c>
      <c r="V19" s="4045">
        <f>+'Phụ lục số 1'!U42</f>
        <v>506500</v>
      </c>
      <c r="W19" s="4045">
        <f>+'Phụ lục số 1'!V42</f>
        <v>1093500</v>
      </c>
      <c r="X19" s="4045">
        <f t="shared" si="21"/>
        <v>170000</v>
      </c>
      <c r="Y19" s="4048">
        <f t="shared" si="26"/>
        <v>148.14814814814815</v>
      </c>
      <c r="Z19" s="4049">
        <f t="shared" si="18"/>
        <v>163.88888888888889</v>
      </c>
      <c r="AA19" s="4036">
        <f t="shared" si="22"/>
        <v>104.93047246195307</v>
      </c>
      <c r="AB19" s="708">
        <f t="shared" si="23"/>
        <v>177.77777777777777</v>
      </c>
      <c r="AC19" s="708">
        <f t="shared" si="12"/>
        <v>4.9304724619530731</v>
      </c>
      <c r="AE19" s="4037">
        <f t="shared" si="4"/>
        <v>0.13250321996320211</v>
      </c>
      <c r="AG19" s="4037">
        <f t="shared" si="5"/>
        <v>0.158494304110946</v>
      </c>
      <c r="AI19" s="4038">
        <f t="shared" si="6"/>
        <v>72.278824483333224</v>
      </c>
      <c r="AJ19" s="4039">
        <f t="shared" si="13"/>
        <v>-27.721175516666776</v>
      </c>
    </row>
    <row r="20" spans="1:36">
      <c r="A20" s="2894">
        <v>11</v>
      </c>
      <c r="B20" s="3885" t="s">
        <v>24</v>
      </c>
      <c r="C20" s="4044">
        <v>201204</v>
      </c>
      <c r="D20" s="4045">
        <f>'[6]MB61.1-342thu'!$F$49</f>
        <v>237121.31138199999</v>
      </c>
      <c r="E20" s="4045">
        <f>'[2]Phụ lục số 1'!C41</f>
        <v>115000</v>
      </c>
      <c r="F20" s="4045"/>
      <c r="G20" s="4045">
        <f t="shared" si="17"/>
        <v>115000</v>
      </c>
      <c r="H20" s="4045"/>
      <c r="I20" s="4045">
        <f>'[2]Phụ lục số 1'!G41</f>
        <v>115000</v>
      </c>
      <c r="J20" s="4046">
        <v>171661</v>
      </c>
      <c r="K20" s="4047">
        <f t="shared" si="24"/>
        <v>149.2704347826087</v>
      </c>
      <c r="L20" s="4045">
        <f>'[2]Phụ lục số 1'!T41</f>
        <v>125999.8</v>
      </c>
      <c r="M20" s="4048">
        <f t="shared" si="25"/>
        <v>109.56504347826088</v>
      </c>
      <c r="N20" s="4050">
        <v>155000</v>
      </c>
      <c r="O20" s="4045"/>
      <c r="P20" s="4045">
        <f t="shared" si="19"/>
        <v>155000</v>
      </c>
      <c r="Q20" s="4045">
        <f>N20-R20</f>
        <v>15500</v>
      </c>
      <c r="R20" s="4045">
        <f>N20*90%</f>
        <v>139500</v>
      </c>
      <c r="S20" s="4045">
        <f>+'Phụ lục số 1'!Q43</f>
        <v>201000</v>
      </c>
      <c r="T20" s="4045"/>
      <c r="U20" s="4045">
        <f t="shared" si="20"/>
        <v>201000</v>
      </c>
      <c r="V20" s="4045">
        <f>+'Phụ lục số 1'!U43</f>
        <v>20100</v>
      </c>
      <c r="W20" s="4045">
        <f>+'Phụ lục số 1'!V43</f>
        <v>180900</v>
      </c>
      <c r="X20" s="4045">
        <f t="shared" si="21"/>
        <v>-46000</v>
      </c>
      <c r="Y20" s="4048">
        <f t="shared" si="26"/>
        <v>159.5240627366075</v>
      </c>
      <c r="Z20" s="4049">
        <f t="shared" si="18"/>
        <v>123.01606827947346</v>
      </c>
      <c r="AA20" s="4036">
        <f t="shared" si="22"/>
        <v>53.137273602968413</v>
      </c>
      <c r="AB20" s="708">
        <f t="shared" si="23"/>
        <v>174.78260869565219</v>
      </c>
      <c r="AC20" s="708">
        <f t="shared" si="12"/>
        <v>-46.862726397031587</v>
      </c>
      <c r="AE20" s="4037">
        <f t="shared" si="4"/>
        <v>1.5458684458073585E-2</v>
      </c>
      <c r="AG20" s="4037">
        <f t="shared" si="5"/>
        <v>1.9910846953937592E-2</v>
      </c>
      <c r="AI20" s="4038">
        <f t="shared" si="6"/>
        <v>85.316892308304006</v>
      </c>
      <c r="AJ20" s="4039">
        <f t="shared" si="13"/>
        <v>-14.683107691695994</v>
      </c>
    </row>
    <row r="21" spans="1:36">
      <c r="A21" s="2894">
        <v>12</v>
      </c>
      <c r="B21" s="3885" t="s">
        <v>25</v>
      </c>
      <c r="C21" s="4044">
        <v>84</v>
      </c>
      <c r="D21" s="4045">
        <f>'[6]MB61.1-342thu'!$F$53</f>
        <v>79.078599999999994</v>
      </c>
      <c r="E21" s="4045">
        <f>'[2]Phụ lục số 1'!C42</f>
        <v>0</v>
      </c>
      <c r="F21" s="4045"/>
      <c r="G21" s="4045">
        <f t="shared" si="17"/>
        <v>0</v>
      </c>
      <c r="H21" s="4045"/>
      <c r="I21" s="4045"/>
      <c r="J21" s="4046">
        <v>75</v>
      </c>
      <c r="K21" s="4051"/>
      <c r="L21" s="4045">
        <f>'[2]Phụ lục số 1'!T42</f>
        <v>0</v>
      </c>
      <c r="M21" s="4052"/>
      <c r="N21" s="4045">
        <v>0</v>
      </c>
      <c r="O21" s="4045"/>
      <c r="P21" s="4045">
        <f t="shared" si="19"/>
        <v>0</v>
      </c>
      <c r="Q21" s="4045"/>
      <c r="R21" s="4045"/>
      <c r="S21" s="4045">
        <f>'[2]Phụ lục số 1'!AE42</f>
        <v>0</v>
      </c>
      <c r="T21" s="4045"/>
      <c r="U21" s="4045">
        <f t="shared" si="20"/>
        <v>0</v>
      </c>
      <c r="V21" s="4045"/>
      <c r="W21" s="4045"/>
      <c r="X21" s="4045">
        <f t="shared" si="21"/>
        <v>0</v>
      </c>
      <c r="Y21" s="4048"/>
      <c r="Z21" s="4053">
        <f t="shared" si="18"/>
        <v>0</v>
      </c>
      <c r="AA21" s="4036">
        <f t="shared" si="22"/>
        <v>0</v>
      </c>
      <c r="AB21" s="708"/>
      <c r="AC21" s="708">
        <f t="shared" si="12"/>
        <v>-100</v>
      </c>
      <c r="AE21" s="4037">
        <f t="shared" si="4"/>
        <v>0</v>
      </c>
      <c r="AG21" s="4037">
        <f t="shared" si="5"/>
        <v>0</v>
      </c>
      <c r="AI21" s="4038">
        <f t="shared" si="6"/>
        <v>89.285714285714292</v>
      </c>
      <c r="AJ21" s="4039">
        <f t="shared" si="13"/>
        <v>-10.714285714285708</v>
      </c>
    </row>
    <row r="22" spans="1:36">
      <c r="A22" s="2894">
        <v>13</v>
      </c>
      <c r="B22" s="3885" t="s">
        <v>798</v>
      </c>
      <c r="C22" s="4044">
        <v>187948</v>
      </c>
      <c r="D22" s="4045">
        <f>'[6]MB61.1-342thu'!$F$54</f>
        <v>285395.57643899997</v>
      </c>
      <c r="E22" s="4045">
        <f>'[2]Phụ lục số 1'!C43</f>
        <v>250000</v>
      </c>
      <c r="F22" s="4045">
        <f>'[2]Phụ lục số 1'!D43</f>
        <v>54000</v>
      </c>
      <c r="G22" s="4045">
        <f t="shared" si="17"/>
        <v>196000</v>
      </c>
      <c r="H22" s="4045">
        <f>'[2]Phụ lục số 1'!F43</f>
        <v>66500</v>
      </c>
      <c r="I22" s="4045">
        <f>'[2]Phụ lục số 1'!G43</f>
        <v>129500</v>
      </c>
      <c r="J22" s="4046">
        <v>169921</v>
      </c>
      <c r="K22" s="4047">
        <f>J22/E22%</f>
        <v>67.968400000000003</v>
      </c>
      <c r="L22" s="4045">
        <f>'[2]Phụ lục số 1'!T43</f>
        <v>350000</v>
      </c>
      <c r="M22" s="4048">
        <f t="shared" ref="M22:M27" si="27">L22/E22%</f>
        <v>140</v>
      </c>
      <c r="N22" s="4045">
        <v>326000</v>
      </c>
      <c r="O22" s="4045">
        <v>95000</v>
      </c>
      <c r="P22" s="4045">
        <f t="shared" si="19"/>
        <v>223000</v>
      </c>
      <c r="Q22" s="4045">
        <f>V22</f>
        <v>16500</v>
      </c>
      <c r="R22" s="4045">
        <f>W22</f>
        <v>206500</v>
      </c>
      <c r="S22" s="4045">
        <f>+'Phụ lục số 1'!Q45</f>
        <v>370000</v>
      </c>
      <c r="T22" s="4045">
        <f>+'Phụ lục số 1'!S45</f>
        <v>147000</v>
      </c>
      <c r="U22" s="4045">
        <f t="shared" si="20"/>
        <v>223000</v>
      </c>
      <c r="V22" s="4045">
        <f>+'Phụ lục số 1'!U45</f>
        <v>16500</v>
      </c>
      <c r="W22" s="4045">
        <f>+'Phụ lục số 1'!V45</f>
        <v>206500</v>
      </c>
      <c r="X22" s="4045">
        <f t="shared" si="21"/>
        <v>-44000</v>
      </c>
      <c r="Y22" s="4048">
        <f>S22/L22*100</f>
        <v>105.71428571428572</v>
      </c>
      <c r="Z22" s="4049">
        <f t="shared" si="18"/>
        <v>93.142857142857139</v>
      </c>
      <c r="AA22" s="4036">
        <f t="shared" si="22"/>
        <v>122.63679919888614</v>
      </c>
      <c r="AB22" s="708">
        <f t="shared" si="23"/>
        <v>148</v>
      </c>
      <c r="AC22" s="708">
        <f t="shared" si="12"/>
        <v>22.636799198886138</v>
      </c>
      <c r="AE22" s="4037">
        <f t="shared" si="4"/>
        <v>4.2940858321408086E-2</v>
      </c>
      <c r="AG22" s="4037">
        <f t="shared" si="5"/>
        <v>3.6651807825656267E-2</v>
      </c>
      <c r="AI22" s="4038">
        <f t="shared" si="6"/>
        <v>90.408517249451975</v>
      </c>
      <c r="AJ22" s="4039">
        <f t="shared" si="13"/>
        <v>-9.5914827505480247</v>
      </c>
    </row>
    <row r="23" spans="1:36">
      <c r="A23" s="2894">
        <v>14</v>
      </c>
      <c r="B23" s="2659" t="s">
        <v>27</v>
      </c>
      <c r="C23" s="4044">
        <v>15752</v>
      </c>
      <c r="D23" s="4045">
        <f>'[6]MB61.1-342thu'!$F$55</f>
        <v>35466.300600000002</v>
      </c>
      <c r="E23" s="4045">
        <f>'[2]Phụ lục số 1'!C44</f>
        <v>22000</v>
      </c>
      <c r="F23" s="4045"/>
      <c r="G23" s="4045">
        <f t="shared" si="17"/>
        <v>22000</v>
      </c>
      <c r="H23" s="4045">
        <f>'[2]Phụ lục số 1'!F44</f>
        <v>22000</v>
      </c>
      <c r="I23" s="4045"/>
      <c r="J23" s="4046">
        <v>15930</v>
      </c>
      <c r="K23" s="4047"/>
      <c r="L23" s="4045">
        <f>'[2]Phụ lục số 1'!T44</f>
        <v>37000</v>
      </c>
      <c r="M23" s="4048">
        <f t="shared" si="27"/>
        <v>168.18181818181819</v>
      </c>
      <c r="N23" s="4045">
        <v>30000</v>
      </c>
      <c r="O23" s="4045">
        <v>100</v>
      </c>
      <c r="P23" s="4045">
        <f t="shared" si="19"/>
        <v>0</v>
      </c>
      <c r="Q23" s="4045"/>
      <c r="R23" s="4045"/>
      <c r="S23" s="4045">
        <f>+'Phụ lục số 1'!Q46</f>
        <v>32000</v>
      </c>
      <c r="T23" s="4045">
        <f>+'Phụ lục số 1'!S46</f>
        <v>35</v>
      </c>
      <c r="U23" s="4045">
        <f t="shared" si="20"/>
        <v>31965</v>
      </c>
      <c r="V23" s="4045">
        <f>+'Phụ lục số 1'!U46</f>
        <v>31965</v>
      </c>
      <c r="W23" s="4045"/>
      <c r="X23" s="4045">
        <f t="shared" si="21"/>
        <v>-2000</v>
      </c>
      <c r="Y23" s="4048"/>
      <c r="Z23" s="4049">
        <f t="shared" si="18"/>
        <v>81.081081081081081</v>
      </c>
      <c r="AA23" s="4036">
        <f t="shared" si="22"/>
        <v>104.32438504736521</v>
      </c>
      <c r="AB23" s="708">
        <f t="shared" si="23"/>
        <v>145.45454545454547</v>
      </c>
      <c r="AC23" s="708">
        <f t="shared" si="12"/>
        <v>4.3243850473652117</v>
      </c>
      <c r="AE23" s="4037">
        <f t="shared" si="4"/>
        <v>4.5394621654059981E-3</v>
      </c>
      <c r="AG23" s="4037">
        <f t="shared" si="5"/>
        <v>3.1698860822189203E-3</v>
      </c>
      <c r="AI23" s="4038">
        <f t="shared" si="6"/>
        <v>101.13001523616047</v>
      </c>
      <c r="AJ23" s="4039">
        <f t="shared" si="13"/>
        <v>1.1300152361604745</v>
      </c>
    </row>
    <row r="24" spans="1:36">
      <c r="A24" s="2894">
        <v>15</v>
      </c>
      <c r="B24" s="2659" t="s">
        <v>28</v>
      </c>
      <c r="C24" s="4044">
        <v>47618</v>
      </c>
      <c r="D24" s="4045">
        <f>'[6]MB61.1-342thu'!$F$57</f>
        <v>76161.542220000003</v>
      </c>
      <c r="E24" s="4045">
        <f>'[2]Phụ lục số 1'!C45</f>
        <v>50000</v>
      </c>
      <c r="F24" s="4045"/>
      <c r="G24" s="4045">
        <f t="shared" si="17"/>
        <v>50000</v>
      </c>
      <c r="H24" s="4045">
        <f>'[2]Phụ lục số 1'!F45</f>
        <v>50000</v>
      </c>
      <c r="I24" s="4045"/>
      <c r="J24" s="4046">
        <v>62151</v>
      </c>
      <c r="K24" s="4047"/>
      <c r="L24" s="4045">
        <f>'[2]Phụ lục số 1'!T45</f>
        <v>100000</v>
      </c>
      <c r="M24" s="4048">
        <f t="shared" si="27"/>
        <v>200</v>
      </c>
      <c r="N24" s="4045">
        <v>37000</v>
      </c>
      <c r="O24" s="4045"/>
      <c r="P24" s="4045">
        <f t="shared" si="19"/>
        <v>37000</v>
      </c>
      <c r="Q24" s="4045">
        <f>N24</f>
        <v>37000</v>
      </c>
      <c r="R24" s="4045"/>
      <c r="S24" s="4045">
        <f>+'Phụ lục số 1'!Q47</f>
        <v>33000</v>
      </c>
      <c r="T24" s="4045"/>
      <c r="U24" s="4045">
        <f t="shared" si="20"/>
        <v>33000</v>
      </c>
      <c r="V24" s="4045">
        <f>+'Phụ lục số 1'!U47</f>
        <v>33000</v>
      </c>
      <c r="W24" s="4045"/>
      <c r="X24" s="4045">
        <f t="shared" si="21"/>
        <v>4000</v>
      </c>
      <c r="Y24" s="4048"/>
      <c r="Z24" s="4049">
        <f t="shared" si="18"/>
        <v>37</v>
      </c>
      <c r="AA24" s="4036">
        <f t="shared" si="22"/>
        <v>131.29986222067339</v>
      </c>
      <c r="AB24" s="708">
        <f t="shared" si="23"/>
        <v>66</v>
      </c>
      <c r="AC24" s="708">
        <f t="shared" si="12"/>
        <v>31.29986222067339</v>
      </c>
      <c r="AE24" s="4037">
        <f t="shared" si="4"/>
        <v>1.2268816663259454E-2</v>
      </c>
      <c r="AG24" s="4037">
        <f t="shared" si="5"/>
        <v>3.2689450222882616E-3</v>
      </c>
      <c r="AI24" s="4038">
        <f t="shared" si="6"/>
        <v>130.51997143937166</v>
      </c>
      <c r="AJ24" s="4039">
        <f t="shared" si="13"/>
        <v>30.519971439371659</v>
      </c>
    </row>
    <row r="25" spans="1:36">
      <c r="A25" s="2894">
        <v>16</v>
      </c>
      <c r="B25" s="3885" t="s">
        <v>31</v>
      </c>
      <c r="C25" s="4044">
        <v>1697</v>
      </c>
      <c r="D25" s="4045">
        <f>'[6]MB61.1-342thu'!$F$56</f>
        <v>2047.6675579999999</v>
      </c>
      <c r="E25" s="4045">
        <f>'[2]Phụ lục số 1'!C47</f>
        <v>3000</v>
      </c>
      <c r="F25" s="4045"/>
      <c r="G25" s="4045">
        <f t="shared" si="17"/>
        <v>3000</v>
      </c>
      <c r="H25" s="4045"/>
      <c r="I25" s="4045">
        <f>'[2]Phụ lục số 1'!G47</f>
        <v>3000</v>
      </c>
      <c r="J25" s="4046">
        <v>1551</v>
      </c>
      <c r="K25" s="4047">
        <f>J25/E25%</f>
        <v>51.7</v>
      </c>
      <c r="L25" s="4045">
        <f>'[2]Phụ lục số 1'!T47</f>
        <v>2000.1</v>
      </c>
      <c r="M25" s="4048">
        <f t="shared" si="27"/>
        <v>66.67</v>
      </c>
      <c r="N25" s="4045">
        <v>2000</v>
      </c>
      <c r="O25" s="4045"/>
      <c r="P25" s="4045">
        <f t="shared" si="19"/>
        <v>2000</v>
      </c>
      <c r="Q25" s="4045"/>
      <c r="R25" s="4045">
        <f>N25</f>
        <v>2000</v>
      </c>
      <c r="S25" s="4045">
        <f>+'Phụ lục số 1'!Q49</f>
        <v>2000</v>
      </c>
      <c r="T25" s="4045"/>
      <c r="U25" s="4045">
        <f t="shared" si="20"/>
        <v>2000</v>
      </c>
      <c r="V25" s="4045"/>
      <c r="W25" s="4045">
        <f>+'Phụ lục số 1'!V49</f>
        <v>2000</v>
      </c>
      <c r="X25" s="4045">
        <f t="shared" si="21"/>
        <v>0</v>
      </c>
      <c r="Y25" s="4048">
        <f>S25/L25*100</f>
        <v>99.995000249987513</v>
      </c>
      <c r="Z25" s="4049">
        <f t="shared" si="18"/>
        <v>99.995000249987513</v>
      </c>
      <c r="AA25" s="4036">
        <f t="shared" si="22"/>
        <v>97.676988248695011</v>
      </c>
      <c r="AB25" s="708">
        <f t="shared" si="23"/>
        <v>66.666666666666671</v>
      </c>
      <c r="AC25" s="708">
        <f t="shared" si="12"/>
        <v>-2.323011751304989</v>
      </c>
      <c r="AE25" s="4037">
        <f t="shared" si="4"/>
        <v>2.4538860208185234E-4</v>
      </c>
      <c r="AG25" s="4037">
        <f t="shared" si="5"/>
        <v>1.9811788013868252E-4</v>
      </c>
      <c r="AI25" s="4038">
        <f t="shared" si="6"/>
        <v>91.396582203889224</v>
      </c>
      <c r="AJ25" s="4039">
        <f t="shared" si="13"/>
        <v>-8.6034177961107758</v>
      </c>
    </row>
    <row r="26" spans="1:36">
      <c r="A26" s="2894">
        <v>17</v>
      </c>
      <c r="B26" s="3885" t="s">
        <v>32</v>
      </c>
      <c r="C26" s="4044">
        <v>1156294</v>
      </c>
      <c r="D26" s="4045">
        <f>'[6]MB61.1-342thu'!$F$58</f>
        <v>1743740.631786</v>
      </c>
      <c r="E26" s="4045">
        <f>'[2]Phụ lục số 1'!C48</f>
        <v>1600000</v>
      </c>
      <c r="F26" s="4045"/>
      <c r="G26" s="4045">
        <f t="shared" si="17"/>
        <v>1600000</v>
      </c>
      <c r="H26" s="4045">
        <f>'[2]Phụ lục số 1'!F48</f>
        <v>1600000</v>
      </c>
      <c r="I26" s="4045"/>
      <c r="J26" s="4046">
        <v>1073006</v>
      </c>
      <c r="K26" s="4047"/>
      <c r="L26" s="4045">
        <f>'[2]Phụ lục số 1'!T48</f>
        <v>1950000</v>
      </c>
      <c r="M26" s="4048">
        <f t="shared" si="27"/>
        <v>121.875</v>
      </c>
      <c r="N26" s="4045">
        <v>1850000</v>
      </c>
      <c r="O26" s="4045"/>
      <c r="P26" s="4045">
        <f t="shared" si="19"/>
        <v>1850000</v>
      </c>
      <c r="Q26" s="4045">
        <f>N26</f>
        <v>1850000</v>
      </c>
      <c r="R26" s="4045"/>
      <c r="S26" s="4045">
        <f>+'Phụ lục số 1'!Q50</f>
        <v>2100000</v>
      </c>
      <c r="T26" s="4045"/>
      <c r="U26" s="4045">
        <f t="shared" si="20"/>
        <v>2100000</v>
      </c>
      <c r="V26" s="4045">
        <f>+'Phụ lục số 1'!U50</f>
        <v>2100000</v>
      </c>
      <c r="W26" s="4045"/>
      <c r="X26" s="4045">
        <f t="shared" si="21"/>
        <v>-250000</v>
      </c>
      <c r="Y26" s="4048">
        <f>S26/L26*100</f>
        <v>107.69230769230769</v>
      </c>
      <c r="Z26" s="4049">
        <f t="shared" si="18"/>
        <v>94.871794871794876</v>
      </c>
      <c r="AA26" s="4036">
        <f>+L26/D26%</f>
        <v>111.82855778285914</v>
      </c>
      <c r="AB26" s="708">
        <f t="shared" si="23"/>
        <v>131.25</v>
      </c>
      <c r="AC26" s="708">
        <f>+AA26-100</f>
        <v>11.828557782859136</v>
      </c>
      <c r="AE26" s="4037">
        <f t="shared" si="4"/>
        <v>0.23924192493355934</v>
      </c>
      <c r="AG26" s="4037">
        <f t="shared" si="5"/>
        <v>0.20802377414561665</v>
      </c>
      <c r="AI26" s="4038">
        <f t="shared" si="6"/>
        <v>92.796987617336072</v>
      </c>
      <c r="AJ26" s="4039">
        <f t="shared" si="13"/>
        <v>-7.2030123826639283</v>
      </c>
    </row>
    <row r="27" spans="1:36" s="696" customFormat="1" ht="18.600000000000001" thickBot="1">
      <c r="A27" s="4054" t="s">
        <v>33</v>
      </c>
      <c r="B27" s="4055" t="s">
        <v>1976</v>
      </c>
      <c r="C27" s="4056">
        <v>112461</v>
      </c>
      <c r="D27" s="4057">
        <f>'[6]MB61.1-342thu'!$F$60</f>
        <v>389783.37025500002</v>
      </c>
      <c r="E27" s="4057">
        <f>'[2]Phụ lục số 1'!C49</f>
        <v>150000</v>
      </c>
      <c r="F27" s="4057">
        <f>'[2]Phụ lục số 1'!D49</f>
        <v>150000</v>
      </c>
      <c r="G27" s="4058">
        <f t="shared" si="17"/>
        <v>0</v>
      </c>
      <c r="H27" s="4057"/>
      <c r="I27" s="4057"/>
      <c r="J27" s="4059">
        <v>251022</v>
      </c>
      <c r="K27" s="4060">
        <f>J27/E27%</f>
        <v>167.34800000000001</v>
      </c>
      <c r="L27" s="4057">
        <f>'[2]Phụ lục số 1'!T49</f>
        <v>150745.51999999999</v>
      </c>
      <c r="M27" s="4061">
        <f t="shared" si="27"/>
        <v>100.49701333333333</v>
      </c>
      <c r="N27" s="4057">
        <v>157000</v>
      </c>
      <c r="O27" s="4057">
        <f>N27</f>
        <v>157000</v>
      </c>
      <c r="P27" s="4058">
        <f t="shared" si="19"/>
        <v>0</v>
      </c>
      <c r="Q27" s="4057"/>
      <c r="R27" s="4057"/>
      <c r="S27" s="4057">
        <f>+'Phụ lục số 1'!Q51</f>
        <v>500000</v>
      </c>
      <c r="T27" s="4057">
        <f>+S27</f>
        <v>500000</v>
      </c>
      <c r="U27" s="4058">
        <f t="shared" si="20"/>
        <v>0</v>
      </c>
      <c r="V27" s="4057"/>
      <c r="W27" s="4057"/>
      <c r="X27" s="4058">
        <f t="shared" si="21"/>
        <v>-343000</v>
      </c>
      <c r="Y27" s="4061">
        <f>S27/L27*100</f>
        <v>331.68481557528213</v>
      </c>
      <c r="Z27" s="4062">
        <f t="shared" si="18"/>
        <v>104.14903209063858</v>
      </c>
      <c r="AA27" s="4036">
        <f>+L27/D27%</f>
        <v>38.67417942981529</v>
      </c>
      <c r="AB27" s="708">
        <f>S27/E27%</f>
        <v>333.33333333333331</v>
      </c>
      <c r="AC27" s="4036">
        <f>+AA27-100</f>
        <v>-61.32582057018471</v>
      </c>
      <c r="AE27" s="4037">
        <f t="shared" si="4"/>
        <v>1.8494691476877111E-2</v>
      </c>
      <c r="AG27" s="4037">
        <f t="shared" si="5"/>
        <v>4.9529470034670627E-2</v>
      </c>
      <c r="AI27" s="4038">
        <f t="shared" si="6"/>
        <v>223.20804545575803</v>
      </c>
      <c r="AJ27" s="4039">
        <f t="shared" si="13"/>
        <v>123.20804545575803</v>
      </c>
    </row>
    <row r="28" spans="1:36" s="696" customFormat="1">
      <c r="A28" s="4063"/>
      <c r="B28" s="4064"/>
      <c r="C28" s="4065"/>
      <c r="D28" s="4066"/>
      <c r="E28" s="4066"/>
      <c r="F28" s="4066"/>
      <c r="G28" s="4066"/>
      <c r="H28" s="4066"/>
      <c r="I28" s="4066"/>
      <c r="J28" s="4067"/>
      <c r="K28" s="4068"/>
      <c r="L28" s="4066"/>
      <c r="M28" s="4069"/>
      <c r="N28" s="4066"/>
      <c r="O28" s="4066"/>
      <c r="P28" s="4066"/>
      <c r="Q28" s="4066"/>
      <c r="R28" s="4066"/>
      <c r="S28" s="4066"/>
      <c r="T28" s="4066"/>
      <c r="U28" s="4066"/>
      <c r="V28" s="4066"/>
      <c r="W28" s="4066"/>
      <c r="X28" s="4070"/>
      <c r="Y28" s="4069"/>
      <c r="Z28" s="4069"/>
      <c r="AA28" s="4036"/>
      <c r="AB28" s="708"/>
      <c r="AC28" s="708"/>
      <c r="AE28" s="4037"/>
      <c r="AG28" s="4037"/>
      <c r="AI28" s="4038"/>
      <c r="AJ28" s="4039"/>
    </row>
    <row r="29" spans="1:36" s="2710" customFormat="1" ht="34.799999999999997">
      <c r="A29" s="4071" t="s">
        <v>3</v>
      </c>
      <c r="B29" s="4072" t="s">
        <v>3120</v>
      </c>
      <c r="C29" s="2913"/>
      <c r="D29" s="2913"/>
      <c r="E29" s="2913"/>
      <c r="F29" s="2913"/>
      <c r="G29" s="2913"/>
      <c r="H29" s="2913"/>
      <c r="I29" s="2913"/>
      <c r="J29" s="2913"/>
      <c r="K29" s="2913"/>
      <c r="L29" s="2913"/>
      <c r="M29" s="2913"/>
      <c r="N29" s="2913"/>
      <c r="O29" s="2913"/>
      <c r="P29" s="4073">
        <v>8175930</v>
      </c>
      <c r="Q29" s="4073"/>
      <c r="R29" s="4073"/>
      <c r="S29" s="4073"/>
      <c r="T29" s="4073"/>
      <c r="U29" s="4073">
        <f>+U7</f>
        <v>8709965</v>
      </c>
      <c r="V29" s="4073">
        <f>V7-H7</f>
        <v>1171015</v>
      </c>
      <c r="W29" s="4073">
        <f>W7-I7</f>
        <v>834950</v>
      </c>
      <c r="X29" s="2913"/>
      <c r="Y29" s="2913"/>
      <c r="Z29" s="2913"/>
      <c r="AJ29" s="4074"/>
    </row>
    <row r="30" spans="1:36" s="688" customFormat="1">
      <c r="A30" s="4075"/>
      <c r="B30" s="4076" t="s">
        <v>186</v>
      </c>
      <c r="C30" s="4076"/>
      <c r="D30" s="4076"/>
      <c r="E30" s="4076"/>
      <c r="F30" s="4076"/>
      <c r="G30" s="4076"/>
      <c r="H30" s="4076"/>
      <c r="I30" s="4076"/>
      <c r="J30" s="4076"/>
      <c r="K30" s="4076"/>
      <c r="L30" s="720"/>
      <c r="M30" s="4076"/>
      <c r="N30" s="4076"/>
      <c r="O30" s="4076"/>
      <c r="P30" s="720">
        <f>SUM(P31:P36)</f>
        <v>3724500</v>
      </c>
      <c r="Q30" s="720"/>
      <c r="R30" s="720"/>
      <c r="S30" s="720"/>
      <c r="T30" s="720"/>
      <c r="U30" s="720">
        <f>SUM(U31:U36)</f>
        <v>3787000</v>
      </c>
      <c r="V30" s="720"/>
      <c r="W30" s="720"/>
      <c r="X30" s="4076"/>
      <c r="Y30" s="4076"/>
      <c r="Z30" s="4076"/>
      <c r="AJ30" s="4077"/>
    </row>
    <row r="31" spans="1:36" s="688" customFormat="1">
      <c r="A31" s="4075"/>
      <c r="B31" s="4076" t="s">
        <v>242</v>
      </c>
      <c r="C31" s="4076"/>
      <c r="D31" s="4076"/>
      <c r="E31" s="4076"/>
      <c r="F31" s="4076"/>
      <c r="G31" s="4076"/>
      <c r="H31" s="4076"/>
      <c r="I31" s="4076"/>
      <c r="J31" s="4076"/>
      <c r="K31" s="4076"/>
      <c r="L31" s="4076"/>
      <c r="M31" s="4076"/>
      <c r="N31" s="4076"/>
      <c r="O31" s="4076"/>
      <c r="P31" s="720">
        <v>1770000</v>
      </c>
      <c r="Q31" s="720"/>
      <c r="R31" s="720"/>
      <c r="S31" s="720"/>
      <c r="T31" s="720"/>
      <c r="U31" s="720">
        <v>1600000</v>
      </c>
      <c r="V31" s="720">
        <f>V19-H19</f>
        <v>406500</v>
      </c>
      <c r="W31" s="720">
        <f>W19-I19</f>
        <v>293500</v>
      </c>
      <c r="X31" s="4076"/>
      <c r="Y31" s="4076"/>
      <c r="Z31" s="4076"/>
      <c r="AJ31" s="4077"/>
    </row>
    <row r="32" spans="1:36" s="688" customFormat="1">
      <c r="A32" s="4075"/>
      <c r="B32" s="4076" t="s">
        <v>32</v>
      </c>
      <c r="C32" s="4076"/>
      <c r="D32" s="4076"/>
      <c r="E32" s="4076"/>
      <c r="F32" s="4076"/>
      <c r="G32" s="4076"/>
      <c r="H32" s="4076"/>
      <c r="I32" s="4076"/>
      <c r="J32" s="4076"/>
      <c r="K32" s="4076"/>
      <c r="L32" s="4076"/>
      <c r="M32" s="4076"/>
      <c r="N32" s="4076"/>
      <c r="O32" s="4076"/>
      <c r="P32" s="720">
        <v>1850000</v>
      </c>
      <c r="Q32" s="720"/>
      <c r="R32" s="720"/>
      <c r="S32" s="720"/>
      <c r="T32" s="720"/>
      <c r="U32" s="720">
        <v>2100000</v>
      </c>
      <c r="V32" s="720">
        <f>V26-H26</f>
        <v>500000</v>
      </c>
      <c r="W32" s="720"/>
      <c r="X32" s="4076"/>
      <c r="Y32" s="4076"/>
      <c r="Z32" s="4076"/>
      <c r="AJ32" s="4077"/>
    </row>
    <row r="33" spans="1:36" s="688" customFormat="1">
      <c r="A33" s="4075"/>
      <c r="B33" s="720" t="s">
        <v>2383</v>
      </c>
      <c r="C33" s="4076"/>
      <c r="D33" s="4076"/>
      <c r="E33" s="4076"/>
      <c r="F33" s="4076"/>
      <c r="G33" s="4076"/>
      <c r="H33" s="4076"/>
      <c r="I33" s="4076"/>
      <c r="J33" s="4076"/>
      <c r="K33" s="4076"/>
      <c r="L33" s="4076"/>
      <c r="M33" s="4076"/>
      <c r="N33" s="4076"/>
      <c r="O33" s="4076"/>
      <c r="P33" s="720">
        <v>37000</v>
      </c>
      <c r="Q33" s="720"/>
      <c r="R33" s="720"/>
      <c r="S33" s="720"/>
      <c r="T33" s="720"/>
      <c r="U33" s="720">
        <v>33000</v>
      </c>
      <c r="V33" s="720">
        <f>V24-H24</f>
        <v>-17000</v>
      </c>
      <c r="W33" s="720">
        <f>W24-I24</f>
        <v>0</v>
      </c>
      <c r="X33" s="4076"/>
      <c r="Y33" s="4076"/>
      <c r="Z33" s="4076"/>
      <c r="AJ33" s="4077"/>
    </row>
    <row r="34" spans="1:36" s="688" customFormat="1">
      <c r="A34" s="4075"/>
      <c r="B34" s="720" t="s">
        <v>3121</v>
      </c>
      <c r="C34" s="4076"/>
      <c r="D34" s="4076"/>
      <c r="E34" s="4076"/>
      <c r="F34" s="4076"/>
      <c r="G34" s="4076"/>
      <c r="H34" s="4076"/>
      <c r="I34" s="4076"/>
      <c r="J34" s="4076"/>
      <c r="K34" s="4076"/>
      <c r="L34" s="4076"/>
      <c r="M34" s="4076"/>
      <c r="N34" s="4076"/>
      <c r="O34" s="4076"/>
      <c r="P34" s="720">
        <v>31500</v>
      </c>
      <c r="Q34" s="720"/>
      <c r="R34" s="720"/>
      <c r="S34" s="720"/>
      <c r="T34" s="720"/>
      <c r="U34" s="720">
        <v>22000</v>
      </c>
      <c r="V34" s="720"/>
      <c r="W34" s="720"/>
      <c r="X34" s="4076"/>
      <c r="Y34" s="4076"/>
      <c r="Z34" s="4076"/>
      <c r="AJ34" s="4077"/>
    </row>
    <row r="35" spans="1:36" s="688" customFormat="1">
      <c r="A35" s="4075"/>
      <c r="B35" s="720" t="s">
        <v>3122</v>
      </c>
      <c r="C35" s="4076"/>
      <c r="D35" s="4076"/>
      <c r="E35" s="4076"/>
      <c r="F35" s="4076"/>
      <c r="G35" s="4076"/>
      <c r="H35" s="4076"/>
      <c r="I35" s="4076"/>
      <c r="J35" s="4076"/>
      <c r="K35" s="4076"/>
      <c r="L35" s="4076"/>
      <c r="M35" s="4076"/>
      <c r="N35" s="4076"/>
      <c r="O35" s="4076"/>
      <c r="P35" s="720">
        <v>21000</v>
      </c>
      <c r="Q35" s="720"/>
      <c r="R35" s="720"/>
      <c r="S35" s="720"/>
      <c r="T35" s="720"/>
      <c r="U35" s="720">
        <v>20000</v>
      </c>
      <c r="V35" s="720"/>
      <c r="W35" s="720"/>
      <c r="X35" s="4076"/>
      <c r="Y35" s="4076"/>
      <c r="Z35" s="4076"/>
      <c r="AJ35" s="4077"/>
    </row>
    <row r="36" spans="1:36" s="688" customFormat="1">
      <c r="A36" s="4075"/>
      <c r="B36" s="720" t="s">
        <v>3123</v>
      </c>
      <c r="C36" s="4076"/>
      <c r="D36" s="4076"/>
      <c r="E36" s="4076"/>
      <c r="F36" s="4076"/>
      <c r="G36" s="4076"/>
      <c r="H36" s="4076"/>
      <c r="I36" s="4076"/>
      <c r="J36" s="4076"/>
      <c r="K36" s="4076"/>
      <c r="L36" s="4076"/>
      <c r="M36" s="4076"/>
      <c r="N36" s="4076"/>
      <c r="O36" s="4076"/>
      <c r="P36" s="720">
        <v>15000</v>
      </c>
      <c r="Q36" s="720"/>
      <c r="R36" s="720"/>
      <c r="S36" s="720"/>
      <c r="T36" s="720"/>
      <c r="U36" s="720">
        <v>12000</v>
      </c>
      <c r="V36" s="720"/>
      <c r="W36" s="720"/>
      <c r="X36" s="4076"/>
      <c r="Y36" s="4076"/>
      <c r="Z36" s="4076"/>
      <c r="AJ36" s="4077"/>
    </row>
    <row r="37" spans="1:36">
      <c r="A37" s="4078" t="s">
        <v>33</v>
      </c>
      <c r="B37" s="2918" t="s">
        <v>2384</v>
      </c>
      <c r="C37" s="2908"/>
      <c r="D37" s="2908"/>
      <c r="E37" s="2908"/>
      <c r="F37" s="2908"/>
      <c r="G37" s="2908"/>
      <c r="H37" s="2908"/>
      <c r="I37" s="2908"/>
      <c r="J37" s="2908"/>
      <c r="K37" s="2908"/>
      <c r="L37" s="2908"/>
      <c r="M37" s="2908"/>
      <c r="N37" s="2908"/>
      <c r="O37" s="2908"/>
      <c r="P37" s="3885">
        <f>+P29-P30</f>
        <v>4451430</v>
      </c>
      <c r="Q37" s="704">
        <f>Q9-H9</f>
        <v>169850</v>
      </c>
      <c r="R37" s="704">
        <f>R9-I9</f>
        <v>615150</v>
      </c>
      <c r="S37" s="704"/>
      <c r="T37" s="704"/>
      <c r="U37" s="3885">
        <f>+U29-U30</f>
        <v>4922965</v>
      </c>
      <c r="V37" s="704">
        <f>V9-H9</f>
        <v>281515</v>
      </c>
      <c r="W37" s="704">
        <f>W9-I9</f>
        <v>541450</v>
      </c>
      <c r="X37" s="2908"/>
      <c r="Y37" s="2908"/>
      <c r="Z37" s="2908"/>
    </row>
    <row r="38" spans="1:36" s="3872" customFormat="1" ht="17.399999999999999">
      <c r="A38" s="709">
        <v>1</v>
      </c>
      <c r="B38" s="3885" t="s">
        <v>2385</v>
      </c>
      <c r="C38" s="3885"/>
      <c r="D38" s="3885"/>
      <c r="E38" s="3885"/>
      <c r="F38" s="3885"/>
      <c r="G38" s="3885"/>
      <c r="H38" s="3885"/>
      <c r="I38" s="3885"/>
      <c r="J38" s="3885"/>
      <c r="K38" s="3885"/>
      <c r="L38" s="3885"/>
      <c r="M38" s="3885"/>
      <c r="N38" s="3885"/>
      <c r="O38" s="3885"/>
      <c r="P38" s="2659">
        <f>P37/2</f>
        <v>2225715</v>
      </c>
      <c r="Q38" s="2659">
        <f>Q37/2</f>
        <v>84925</v>
      </c>
      <c r="R38" s="2659">
        <f t="shared" ref="R38" si="28">R37/2</f>
        <v>307575</v>
      </c>
      <c r="S38" s="4079"/>
      <c r="T38" s="4079"/>
      <c r="U38" s="4080">
        <f>U37/2</f>
        <v>2461482.5</v>
      </c>
      <c r="V38" s="4080">
        <f>V37/2</f>
        <v>140757.5</v>
      </c>
      <c r="W38" s="4080">
        <f>W37/2</f>
        <v>270725</v>
      </c>
      <c r="X38" s="3885"/>
      <c r="Y38" s="3885"/>
      <c r="Z38" s="3885"/>
      <c r="AJ38" s="4081"/>
    </row>
    <row r="39" spans="1:36">
      <c r="A39" s="4082">
        <v>2</v>
      </c>
      <c r="B39" s="4083" t="s">
        <v>2386</v>
      </c>
      <c r="C39" s="2911"/>
      <c r="D39" s="2911"/>
      <c r="E39" s="2911"/>
      <c r="F39" s="2911"/>
      <c r="G39" s="2911"/>
      <c r="H39" s="2911"/>
      <c r="I39" s="2911"/>
      <c r="J39" s="2911"/>
      <c r="K39" s="2911"/>
      <c r="L39" s="2911"/>
      <c r="M39" s="2911"/>
      <c r="N39" s="2911"/>
      <c r="O39" s="2911"/>
      <c r="P39" s="4084">
        <f>P37/2</f>
        <v>2225715</v>
      </c>
      <c r="Q39" s="4084">
        <f t="shared" ref="Q39" si="29">Q37/2</f>
        <v>84925</v>
      </c>
      <c r="R39" s="4084">
        <f>R37/2</f>
        <v>307575</v>
      </c>
      <c r="S39" s="4085"/>
      <c r="T39" s="4085"/>
      <c r="U39" s="4086">
        <f>U37/2</f>
        <v>2461482.5</v>
      </c>
      <c r="V39" s="4086">
        <f t="shared" ref="V39:W39" si="30">V37/2</f>
        <v>140757.5</v>
      </c>
      <c r="W39" s="4086">
        <f t="shared" si="30"/>
        <v>270725</v>
      </c>
      <c r="X39" s="2911"/>
      <c r="Y39" s="2911"/>
      <c r="Z39" s="2911"/>
    </row>
    <row r="40" spans="1:36">
      <c r="A40" s="686"/>
      <c r="B40" s="685"/>
      <c r="P40" s="3872"/>
      <c r="Q40" s="3872"/>
      <c r="R40" s="3872"/>
      <c r="S40" s="4087"/>
      <c r="T40" s="4087"/>
      <c r="U40" s="4088"/>
      <c r="V40" s="4088"/>
      <c r="W40" s="4088"/>
    </row>
    <row r="41" spans="1:36">
      <c r="A41" s="686"/>
      <c r="B41" s="685"/>
      <c r="P41" s="3872" t="s">
        <v>962</v>
      </c>
      <c r="Q41" s="3872"/>
      <c r="R41" s="3872">
        <v>2116595</v>
      </c>
      <c r="S41" s="4087"/>
      <c r="T41" s="4087"/>
      <c r="U41" s="4088">
        <f>U42/2</f>
        <v>235767.5</v>
      </c>
      <c r="V41" s="4088"/>
      <c r="W41" s="4088"/>
    </row>
    <row r="42" spans="1:36">
      <c r="A42" s="686"/>
      <c r="B42" s="685"/>
      <c r="P42" s="3872"/>
      <c r="Q42" s="3872"/>
      <c r="R42" s="3872">
        <f>+R41+U41</f>
        <v>2352362.5</v>
      </c>
      <c r="S42" s="4087"/>
      <c r="T42" s="4087"/>
      <c r="U42" s="4088">
        <f>+U37-P37</f>
        <v>471535</v>
      </c>
      <c r="V42" s="4088"/>
      <c r="W42" s="4088"/>
    </row>
    <row r="43" spans="1:36">
      <c r="F43" s="692"/>
      <c r="G43" s="692"/>
      <c r="H43" s="692"/>
      <c r="I43" s="692"/>
      <c r="J43" s="692"/>
      <c r="K43" s="692"/>
      <c r="L43" s="692"/>
      <c r="M43" s="692"/>
      <c r="N43" s="692"/>
      <c r="O43" s="692"/>
      <c r="P43" s="692"/>
      <c r="Q43" s="692"/>
      <c r="R43" s="692"/>
      <c r="S43" s="692"/>
      <c r="T43" s="692"/>
      <c r="U43" s="692">
        <f>U39-P39</f>
        <v>235767.5</v>
      </c>
      <c r="V43" s="692"/>
      <c r="W43" s="692"/>
      <c r="X43" s="692"/>
    </row>
    <row r="44" spans="1:36">
      <c r="F44" s="692"/>
      <c r="G44" s="692"/>
      <c r="H44" s="692"/>
      <c r="I44" s="692"/>
      <c r="J44" s="692"/>
      <c r="K44" s="692"/>
      <c r="L44" s="692"/>
      <c r="M44" s="692"/>
      <c r="N44" s="692"/>
      <c r="O44" s="692"/>
      <c r="P44" s="692"/>
      <c r="Q44" s="692"/>
      <c r="R44" s="692"/>
      <c r="S44" s="692"/>
      <c r="T44" s="692"/>
      <c r="U44" s="4089"/>
      <c r="V44" s="4089">
        <f>V39-Q39</f>
        <v>55832.5</v>
      </c>
      <c r="W44" s="3903"/>
      <c r="X44" s="692"/>
    </row>
    <row r="45" spans="1:36">
      <c r="F45" s="692"/>
      <c r="G45" s="692"/>
      <c r="H45" s="692"/>
      <c r="I45" s="692"/>
      <c r="J45" s="692"/>
      <c r="K45" s="692"/>
      <c r="L45" s="692"/>
      <c r="M45" s="692"/>
      <c r="N45" s="692"/>
      <c r="O45" s="692"/>
      <c r="P45" s="692"/>
      <c r="Q45" s="692"/>
      <c r="R45" s="692"/>
      <c r="S45" s="692"/>
      <c r="T45" s="692"/>
      <c r="U45" s="4089"/>
      <c r="V45" s="4089">
        <f t="shared" ref="V45" si="31">V44*2</f>
        <v>111665</v>
      </c>
      <c r="W45" s="3903"/>
      <c r="X45" s="692"/>
    </row>
    <row r="46" spans="1:36">
      <c r="F46" s="692"/>
      <c r="G46" s="692"/>
      <c r="H46" s="692"/>
      <c r="I46" s="692"/>
      <c r="J46" s="692"/>
      <c r="K46" s="692"/>
      <c r="L46" s="692"/>
      <c r="M46" s="692"/>
      <c r="N46" s="692"/>
      <c r="O46" s="692"/>
      <c r="P46" s="692"/>
      <c r="Q46" s="692"/>
      <c r="R46" s="692"/>
      <c r="S46" s="692"/>
      <c r="T46" s="692"/>
      <c r="U46" s="692"/>
      <c r="V46" s="692"/>
      <c r="W46" s="692"/>
      <c r="X46" s="692"/>
    </row>
    <row r="47" spans="1:36">
      <c r="F47" s="692"/>
      <c r="G47" s="692"/>
      <c r="H47" s="692"/>
      <c r="I47" s="692"/>
      <c r="J47" s="692"/>
      <c r="K47" s="692"/>
      <c r="L47" s="692"/>
      <c r="M47" s="692"/>
      <c r="N47" s="692"/>
      <c r="O47" s="692"/>
      <c r="P47" s="692">
        <v>1070186</v>
      </c>
      <c r="Q47" s="692"/>
      <c r="R47" s="692">
        <f>966890+186700</f>
        <v>1153590</v>
      </c>
      <c r="S47" s="692"/>
      <c r="T47" s="692"/>
      <c r="U47" s="692">
        <f>+R47-P47</f>
        <v>83404</v>
      </c>
      <c r="V47" s="692"/>
      <c r="W47" s="692"/>
      <c r="X47" s="692"/>
    </row>
    <row r="48" spans="1:36">
      <c r="F48" s="692"/>
      <c r="G48" s="692"/>
      <c r="H48" s="692"/>
      <c r="I48" s="692"/>
      <c r="J48" s="692"/>
      <c r="K48" s="692"/>
      <c r="L48" s="692"/>
      <c r="M48" s="692"/>
      <c r="N48" s="692"/>
      <c r="O48" s="692"/>
      <c r="P48" s="4084">
        <v>308869</v>
      </c>
      <c r="Q48" s="4084"/>
      <c r="R48" s="4084">
        <v>350901</v>
      </c>
      <c r="S48" s="692"/>
      <c r="T48" s="692"/>
      <c r="U48" s="692">
        <f>+R48-P48</f>
        <v>42032</v>
      </c>
      <c r="V48" s="692"/>
      <c r="W48" s="692"/>
      <c r="X48" s="692"/>
    </row>
    <row r="49" spans="6:24">
      <c r="F49" s="692"/>
      <c r="G49" s="692"/>
      <c r="H49" s="692"/>
      <c r="I49" s="692"/>
      <c r="J49" s="692"/>
      <c r="K49" s="692"/>
      <c r="L49" s="692"/>
      <c r="M49" s="692"/>
      <c r="N49" s="692"/>
      <c r="O49" s="692"/>
      <c r="P49" s="692">
        <v>3000</v>
      </c>
      <c r="Q49" s="692"/>
      <c r="R49" s="692">
        <v>3500</v>
      </c>
      <c r="S49" s="692"/>
      <c r="T49" s="692"/>
      <c r="U49" s="3872">
        <f>+R49-P49</f>
        <v>500</v>
      </c>
      <c r="V49" s="692"/>
      <c r="W49" s="692"/>
      <c r="X49" s="692"/>
    </row>
    <row r="50" spans="6:24">
      <c r="F50" s="692"/>
      <c r="G50" s="692"/>
      <c r="H50" s="692"/>
      <c r="I50" s="692"/>
      <c r="J50" s="692"/>
      <c r="K50" s="692"/>
      <c r="L50" s="692"/>
      <c r="M50" s="692"/>
      <c r="N50" s="692"/>
      <c r="O50" s="692"/>
      <c r="P50" s="692">
        <v>29134</v>
      </c>
      <c r="Q50" s="692"/>
      <c r="R50" s="692">
        <v>30780</v>
      </c>
      <c r="S50" s="692"/>
      <c r="T50" s="692"/>
      <c r="U50" s="692">
        <f>+R50-P50</f>
        <v>1646</v>
      </c>
      <c r="V50" s="692"/>
      <c r="W50" s="692"/>
      <c r="X50" s="692"/>
    </row>
    <row r="51" spans="6:24">
      <c r="H51" s="692"/>
    </row>
    <row r="52" spans="6:24">
      <c r="H52" s="692"/>
    </row>
    <row r="53" spans="6:24">
      <c r="U53" s="667">
        <f>+U43-U47-U48-U49-U50</f>
        <v>108185.5</v>
      </c>
    </row>
    <row r="54" spans="6:24">
      <c r="U54" s="667">
        <f>+U53*10%</f>
        <v>10818.550000000001</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Danh mục file'!A1" display="SỐ TT"/>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sheetPr>
  <dimension ref="A1:DM62"/>
  <sheetViews>
    <sheetView topLeftCell="F37" workbookViewId="0">
      <selection activeCell="X54" sqref="X54"/>
    </sheetView>
  </sheetViews>
  <sheetFormatPr defaultColWidth="10.33203125" defaultRowHeight="18"/>
  <cols>
    <col min="1" max="1" width="5" style="667" customWidth="1"/>
    <col min="2" max="2" width="59.109375" style="667" customWidth="1"/>
    <col min="3" max="3" width="10.44140625" style="667" hidden="1" customWidth="1"/>
    <col min="4" max="4" width="14.5546875" style="667" hidden="1" customWidth="1"/>
    <col min="5" max="16" width="9.109375" style="667" customWidth="1"/>
    <col min="17" max="18" width="10.109375" style="667" customWidth="1"/>
    <col min="19" max="27" width="9.109375" style="667" customWidth="1"/>
    <col min="28" max="28" width="10.5546875" style="667" customWidth="1"/>
    <col min="29" max="29" width="10" style="667" customWidth="1"/>
    <col min="30" max="30" width="11.109375" style="667" customWidth="1"/>
    <col min="31" max="32" width="10" style="667" customWidth="1"/>
    <col min="33" max="33" width="14.5546875" style="667" customWidth="1"/>
    <col min="34" max="34" width="10.33203125" style="667"/>
    <col min="35" max="35" width="11.44140625" style="667" customWidth="1"/>
    <col min="36" max="36" width="12.88671875" style="667" customWidth="1"/>
    <col min="37" max="41" width="10.33203125" style="667"/>
    <col min="42" max="42" width="10.33203125" style="4019"/>
    <col min="43" max="16384" width="10.33203125" style="667"/>
  </cols>
  <sheetData>
    <row r="1" spans="1:117" s="685" customFormat="1" ht="37.65" customHeight="1">
      <c r="A1" s="6304" t="s">
        <v>2387</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c r="Z1" s="6304"/>
      <c r="AA1" s="6304"/>
      <c r="AB1" s="6304"/>
      <c r="AC1" s="6304"/>
      <c r="AD1" s="6304"/>
      <c r="AE1" s="6304"/>
      <c r="AF1" s="6304"/>
      <c r="AP1" s="4017"/>
      <c r="AV1" s="685" t="s">
        <v>2130</v>
      </c>
      <c r="BA1" s="4018"/>
      <c r="BI1" s="4018"/>
      <c r="BQ1" s="4018"/>
      <c r="BY1" s="4018"/>
      <c r="CG1" s="4018"/>
      <c r="CO1" s="4018"/>
      <c r="CW1" s="4018"/>
      <c r="DE1" s="4018"/>
      <c r="DM1" s="4018"/>
    </row>
    <row r="2" spans="1:117">
      <c r="B2" s="3045"/>
      <c r="C2" s="3045"/>
      <c r="D2" s="3045"/>
      <c r="X2" s="6316" t="s">
        <v>1860</v>
      </c>
      <c r="Y2" s="6316"/>
      <c r="Z2" s="6316"/>
      <c r="AA2" s="6316"/>
      <c r="AB2" s="6316"/>
      <c r="AC2" s="6316"/>
      <c r="AD2" s="6316"/>
      <c r="AE2" s="6316"/>
      <c r="AF2" s="6316"/>
      <c r="AG2" s="6316"/>
      <c r="AI2" s="716"/>
    </row>
    <row r="3" spans="1:117" s="3046" customFormat="1" ht="44.4" customHeight="1">
      <c r="A3" s="6317" t="s">
        <v>0</v>
      </c>
      <c r="B3" s="6315" t="s">
        <v>1861</v>
      </c>
      <c r="C3" s="6319" t="s">
        <v>2361</v>
      </c>
      <c r="D3" s="6299" t="s">
        <v>2048</v>
      </c>
      <c r="E3" s="6299" t="s">
        <v>1864</v>
      </c>
      <c r="F3" s="6299" t="s">
        <v>186</v>
      </c>
      <c r="G3" s="6299"/>
      <c r="H3" s="6299"/>
      <c r="I3" s="6299"/>
      <c r="J3" s="6319" t="s">
        <v>2362</v>
      </c>
      <c r="K3" s="6319" t="s">
        <v>2363</v>
      </c>
      <c r="L3" s="6299" t="s">
        <v>2364</v>
      </c>
      <c r="M3" s="6299" t="s">
        <v>186</v>
      </c>
      <c r="N3" s="6299"/>
      <c r="O3" s="6299"/>
      <c r="P3" s="6299"/>
      <c r="Q3" s="6299" t="s">
        <v>2388</v>
      </c>
      <c r="R3" s="6299"/>
      <c r="S3" s="6299" t="s">
        <v>2366</v>
      </c>
      <c r="T3" s="6299" t="s">
        <v>186</v>
      </c>
      <c r="U3" s="6299"/>
      <c r="V3" s="6299"/>
      <c r="W3" s="6299"/>
      <c r="X3" s="6299" t="s">
        <v>2367</v>
      </c>
      <c r="Y3" s="6299" t="s">
        <v>186</v>
      </c>
      <c r="Z3" s="6299"/>
      <c r="AA3" s="6299"/>
      <c r="AB3" s="6299"/>
      <c r="AC3" s="6299" t="s">
        <v>2389</v>
      </c>
      <c r="AD3" s="6299"/>
      <c r="AE3" s="6299" t="s">
        <v>2390</v>
      </c>
      <c r="AF3" s="6299"/>
      <c r="AG3" s="6315" t="s">
        <v>861</v>
      </c>
      <c r="AP3" s="4020"/>
    </row>
    <row r="4" spans="1:117" s="3046" customFormat="1" ht="27.75" customHeight="1">
      <c r="A4" s="6318"/>
      <c r="B4" s="6308"/>
      <c r="C4" s="6319"/>
      <c r="D4" s="6299"/>
      <c r="E4" s="6299"/>
      <c r="F4" s="6299" t="s">
        <v>2370</v>
      </c>
      <c r="G4" s="6299" t="s">
        <v>2371</v>
      </c>
      <c r="H4" s="6299" t="s">
        <v>645</v>
      </c>
      <c r="I4" s="6299"/>
      <c r="J4" s="6319"/>
      <c r="K4" s="6319"/>
      <c r="L4" s="6299"/>
      <c r="M4" s="6299" t="s">
        <v>2370</v>
      </c>
      <c r="N4" s="6299" t="s">
        <v>2371</v>
      </c>
      <c r="O4" s="6299" t="s">
        <v>645</v>
      </c>
      <c r="P4" s="6299"/>
      <c r="Q4" s="6299" t="s">
        <v>1471</v>
      </c>
      <c r="R4" s="6299" t="s">
        <v>2391</v>
      </c>
      <c r="S4" s="6299"/>
      <c r="T4" s="6299" t="s">
        <v>2370</v>
      </c>
      <c r="U4" s="6299" t="s">
        <v>2371</v>
      </c>
      <c r="V4" s="6299" t="s">
        <v>645</v>
      </c>
      <c r="W4" s="6299"/>
      <c r="X4" s="6299"/>
      <c r="Y4" s="6299" t="s">
        <v>2370</v>
      </c>
      <c r="Z4" s="6299" t="s">
        <v>2371</v>
      </c>
      <c r="AA4" s="6299" t="s">
        <v>645</v>
      </c>
      <c r="AB4" s="6299"/>
      <c r="AC4" s="6299" t="s">
        <v>1471</v>
      </c>
      <c r="AD4" s="6299" t="s">
        <v>2391</v>
      </c>
      <c r="AE4" s="6299" t="s">
        <v>1471</v>
      </c>
      <c r="AF4" s="6299" t="s">
        <v>2391</v>
      </c>
      <c r="AG4" s="6315"/>
      <c r="AH4" s="4018"/>
      <c r="AI4" s="4018"/>
      <c r="AJ4" s="4018"/>
      <c r="AP4" s="4020"/>
    </row>
    <row r="5" spans="1:117" s="3046" customFormat="1" ht="87" customHeight="1">
      <c r="A5" s="6318"/>
      <c r="B5" s="6308"/>
      <c r="C5" s="6319"/>
      <c r="D5" s="6299"/>
      <c r="E5" s="6299"/>
      <c r="F5" s="6299"/>
      <c r="G5" s="6299"/>
      <c r="H5" s="4022" t="s">
        <v>865</v>
      </c>
      <c r="I5" s="4022" t="s">
        <v>1618</v>
      </c>
      <c r="J5" s="6319"/>
      <c r="K5" s="6319"/>
      <c r="L5" s="6299"/>
      <c r="M5" s="6299"/>
      <c r="N5" s="6299"/>
      <c r="O5" s="4022" t="s">
        <v>865</v>
      </c>
      <c r="P5" s="4022" t="s">
        <v>1618</v>
      </c>
      <c r="Q5" s="6299"/>
      <c r="R5" s="6299"/>
      <c r="S5" s="6299"/>
      <c r="T5" s="6299"/>
      <c r="U5" s="6299"/>
      <c r="V5" s="4022" t="s">
        <v>865</v>
      </c>
      <c r="W5" s="4022" t="s">
        <v>1618</v>
      </c>
      <c r="X5" s="6299"/>
      <c r="Y5" s="6299"/>
      <c r="Z5" s="6299"/>
      <c r="AA5" s="4022" t="s">
        <v>865</v>
      </c>
      <c r="AB5" s="4022" t="s">
        <v>1618</v>
      </c>
      <c r="AC5" s="6299"/>
      <c r="AD5" s="6299"/>
      <c r="AE5" s="6299"/>
      <c r="AF5" s="6299"/>
      <c r="AG5" s="6315"/>
      <c r="AH5" s="4018"/>
      <c r="AI5" s="4018"/>
      <c r="AJ5" s="4018"/>
      <c r="AP5" s="4020"/>
    </row>
    <row r="6" spans="1:117" s="4018" customFormat="1" ht="17.399999999999999">
      <c r="A6" s="691">
        <v>1</v>
      </c>
      <c r="B6" s="691">
        <v>2</v>
      </c>
      <c r="C6" s="691"/>
      <c r="D6" s="2738">
        <v>3</v>
      </c>
      <c r="E6" s="2738" t="s">
        <v>1360</v>
      </c>
      <c r="F6" s="2738">
        <v>4</v>
      </c>
      <c r="G6" s="2738" t="s">
        <v>1536</v>
      </c>
      <c r="H6" s="2738">
        <v>6</v>
      </c>
      <c r="I6" s="2738">
        <v>7</v>
      </c>
      <c r="J6" s="4090">
        <v>5</v>
      </c>
      <c r="K6" s="4090" t="s">
        <v>2374</v>
      </c>
      <c r="L6" s="2738" t="s">
        <v>1537</v>
      </c>
      <c r="M6" s="2738">
        <v>9</v>
      </c>
      <c r="N6" s="2738" t="s">
        <v>1361</v>
      </c>
      <c r="O6" s="2738">
        <v>11</v>
      </c>
      <c r="P6" s="2738">
        <v>12</v>
      </c>
      <c r="Q6" s="2738" t="s">
        <v>2392</v>
      </c>
      <c r="R6" s="2738" t="s">
        <v>2393</v>
      </c>
      <c r="S6" s="2738">
        <v>9</v>
      </c>
      <c r="T6" s="2738"/>
      <c r="U6" s="2738"/>
      <c r="V6" s="2738"/>
      <c r="W6" s="2738"/>
      <c r="X6" s="2738" t="s">
        <v>2394</v>
      </c>
      <c r="Y6" s="2738">
        <v>16</v>
      </c>
      <c r="Z6" s="2738" t="s">
        <v>2395</v>
      </c>
      <c r="AA6" s="2738">
        <v>18</v>
      </c>
      <c r="AB6" s="2738">
        <v>19</v>
      </c>
      <c r="AC6" s="2738" t="s">
        <v>2396</v>
      </c>
      <c r="AD6" s="2738" t="s">
        <v>2397</v>
      </c>
      <c r="AE6" s="4028" t="s">
        <v>2398</v>
      </c>
      <c r="AF6" s="2738" t="s">
        <v>2399</v>
      </c>
      <c r="AG6" s="584">
        <v>24</v>
      </c>
      <c r="AP6" s="4029"/>
    </row>
    <row r="7" spans="1:117" s="708" customFormat="1" ht="17.399999999999999">
      <c r="A7" s="693" t="s">
        <v>1</v>
      </c>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0">
        <f t="shared" ref="M7:P7" si="1">SUM(M8,M27)</f>
        <v>700345.52</v>
      </c>
      <c r="N7" s="4030">
        <f t="shared" si="1"/>
        <v>7450399.7999999998</v>
      </c>
      <c r="O7" s="4030">
        <f t="shared" si="1"/>
        <v>3862350.7333333334</v>
      </c>
      <c r="P7" s="4030">
        <f t="shared" si="1"/>
        <v>3588049.0666666664</v>
      </c>
      <c r="Q7" s="4033">
        <f t="shared" ref="Q7:Q13" si="2">L7/E7%</f>
        <v>107.3879488801054</v>
      </c>
      <c r="R7" s="4091">
        <f>L7-E7</f>
        <v>560745.31999999937</v>
      </c>
      <c r="S7" s="4030">
        <f>SUM(S8,S27)</f>
        <v>8914000</v>
      </c>
      <c r="T7" s="4030">
        <f t="shared" ref="T7:W7" si="3">SUM(T8,T27)</f>
        <v>738000</v>
      </c>
      <c r="U7" s="4030">
        <f t="shared" si="3"/>
        <v>8175930</v>
      </c>
      <c r="V7" s="4030">
        <f t="shared" si="3"/>
        <v>4422430</v>
      </c>
      <c r="W7" s="4030">
        <f t="shared" si="3"/>
        <v>3753500</v>
      </c>
      <c r="X7" s="4030">
        <f>SUM(X8,X27)</f>
        <v>9266000</v>
      </c>
      <c r="Y7" s="4030">
        <f t="shared" ref="Y7:AB7" si="4">SUM(Y8,Y27)</f>
        <v>781000</v>
      </c>
      <c r="Z7" s="4030">
        <f t="shared" si="4"/>
        <v>8484930</v>
      </c>
      <c r="AA7" s="4030">
        <f>SUM(AA8,AA27)</f>
        <v>4545850</v>
      </c>
      <c r="AB7" s="4030">
        <f t="shared" si="4"/>
        <v>3939080</v>
      </c>
      <c r="AC7" s="4092">
        <f>X7/L7*100</f>
        <v>113.6828552017621</v>
      </c>
      <c r="AD7" s="4030">
        <f>X7-L7</f>
        <v>1115254.6800000006</v>
      </c>
      <c r="AE7" s="4093">
        <f>X7/E7*100</f>
        <v>122.08168642951252</v>
      </c>
      <c r="AF7" s="4091">
        <f>X7-E7</f>
        <v>1676000</v>
      </c>
      <c r="AG7" s="4094"/>
      <c r="AK7" s="4037"/>
      <c r="AM7" s="4037"/>
      <c r="AO7" s="4038"/>
      <c r="AP7" s="4039"/>
    </row>
    <row r="8" spans="1:117">
      <c r="A8" s="703" t="s">
        <v>3</v>
      </c>
      <c r="B8" s="704" t="s">
        <v>4</v>
      </c>
      <c r="C8" s="704">
        <f>SUM(C10,C11,C12,C13:C26)</f>
        <v>5042872</v>
      </c>
      <c r="D8" s="924">
        <f>SUM(D10,D11,D12,D13:D26)</f>
        <v>7487373.9545940002</v>
      </c>
      <c r="E8" s="924">
        <f>SUM(E10,E11,E12,E13:E26)</f>
        <v>7440000</v>
      </c>
      <c r="F8" s="924">
        <f t="shared" ref="F8:I8" si="5">SUM(F10,F11,F12,F13:F26)</f>
        <v>736000</v>
      </c>
      <c r="G8" s="924">
        <f t="shared" si="5"/>
        <v>6704000</v>
      </c>
      <c r="H8" s="924">
        <f t="shared" si="5"/>
        <v>3806650</v>
      </c>
      <c r="I8" s="924">
        <f t="shared" si="5"/>
        <v>2897350</v>
      </c>
      <c r="J8" s="3890">
        <f>SUM(J10,J11,J12,J13:J26)</f>
        <v>4690828</v>
      </c>
      <c r="K8" s="4095">
        <f t="shared" ref="K8:K13" si="6">J8/E8%</f>
        <v>63.048763440860213</v>
      </c>
      <c r="L8" s="924">
        <f>SUM(L10,L11,L12,L13:L26)</f>
        <v>7999999.7999999998</v>
      </c>
      <c r="M8" s="924">
        <f t="shared" ref="M8:P8" si="7">SUM(M10,M11,M12,M13:M26)</f>
        <v>549600</v>
      </c>
      <c r="N8" s="924">
        <f t="shared" si="7"/>
        <v>7450399.7999999998</v>
      </c>
      <c r="O8" s="924">
        <f t="shared" si="7"/>
        <v>3862350.7333333334</v>
      </c>
      <c r="P8" s="924">
        <f t="shared" si="7"/>
        <v>3588049.0666666664</v>
      </c>
      <c r="Q8" s="4096">
        <f t="shared" si="2"/>
        <v>107.52687903225807</v>
      </c>
      <c r="R8" s="4097">
        <f t="shared" ref="R8:R62" si="8">L8-E8</f>
        <v>559999.79999999981</v>
      </c>
      <c r="S8" s="924">
        <f>SUM(S10,S11,S12,S13:S26)</f>
        <v>8757000</v>
      </c>
      <c r="T8" s="924">
        <f t="shared" ref="T8:W8" si="9">SUM(T10,T11,T12,T13:T26)</f>
        <v>581000</v>
      </c>
      <c r="U8" s="924">
        <f t="shared" si="9"/>
        <v>8175930</v>
      </c>
      <c r="V8" s="924">
        <f t="shared" si="9"/>
        <v>4422430</v>
      </c>
      <c r="W8" s="924">
        <f t="shared" si="9"/>
        <v>3753500</v>
      </c>
      <c r="X8" s="924">
        <f>SUM(X10,X11,X12,X13:X26)</f>
        <v>9066000</v>
      </c>
      <c r="Y8" s="924">
        <f t="shared" ref="Y8:AB8" si="10">SUM(Y10,Y11,Y12,Y13:Y26)</f>
        <v>581000</v>
      </c>
      <c r="Z8" s="924">
        <f t="shared" si="10"/>
        <v>8484930</v>
      </c>
      <c r="AA8" s="924">
        <f>SUM(AA10,AA11,AA12,AA13:AA26)</f>
        <v>4545850</v>
      </c>
      <c r="AB8" s="924">
        <f t="shared" si="10"/>
        <v>3939080</v>
      </c>
      <c r="AC8" s="4098">
        <f t="shared" ref="AC8:AC61" si="11">X8/L8*100</f>
        <v>113.32500283312508</v>
      </c>
      <c r="AD8" s="4099">
        <f t="shared" ref="AD8:AD61" si="12">X8-L8</f>
        <v>1066000.2000000002</v>
      </c>
      <c r="AE8" s="4100">
        <f t="shared" ref="AE8:AE61" si="13">X8/E8*100</f>
        <v>121.85483870967741</v>
      </c>
      <c r="AF8" s="4097">
        <f t="shared" ref="AF8:AF62" si="14">X8-E8</f>
        <v>1626000</v>
      </c>
      <c r="AG8" s="4101"/>
      <c r="AK8" s="4102"/>
      <c r="AM8" s="4102"/>
      <c r="AO8" s="4103"/>
      <c r="AP8" s="4104"/>
    </row>
    <row r="9" spans="1:117" s="688" customFormat="1">
      <c r="A9" s="4105"/>
      <c r="B9" s="720" t="s">
        <v>2379</v>
      </c>
      <c r="C9" s="720">
        <f>C8-C19-C26-C24</f>
        <v>3055815</v>
      </c>
      <c r="D9" s="2900">
        <f>D8-D19-D26-D24</f>
        <v>4638218.814638</v>
      </c>
      <c r="E9" s="2900">
        <f>E8-E19-E26-E24</f>
        <v>4890000</v>
      </c>
      <c r="F9" s="2900">
        <f t="shared" ref="F9:I9" si="15">F8-F19-F26-F24</f>
        <v>736000</v>
      </c>
      <c r="G9" s="2900">
        <f t="shared" si="15"/>
        <v>4154000</v>
      </c>
      <c r="H9" s="2900">
        <f>H8-H19-H26-H24</f>
        <v>2056650</v>
      </c>
      <c r="I9" s="2900">
        <f t="shared" si="15"/>
        <v>2097350</v>
      </c>
      <c r="J9" s="4106">
        <f>J8-J19-J26-J24</f>
        <v>2989623</v>
      </c>
      <c r="K9" s="4107">
        <f>J9/E9%</f>
        <v>61.137484662576689</v>
      </c>
      <c r="L9" s="2900">
        <f>L8-L19-L26-L24</f>
        <v>4869999.8</v>
      </c>
      <c r="M9" s="2900">
        <f t="shared" ref="M9:P9" si="16">M8-M19-M26-M24</f>
        <v>549600</v>
      </c>
      <c r="N9" s="2900">
        <f t="shared" si="16"/>
        <v>4320399.8</v>
      </c>
      <c r="O9" s="2900">
        <f t="shared" si="16"/>
        <v>1712350.7333333334</v>
      </c>
      <c r="P9" s="2900">
        <f t="shared" si="16"/>
        <v>2608049.0666666664</v>
      </c>
      <c r="Q9" s="4108">
        <f t="shared" si="2"/>
        <v>99.590997955010224</v>
      </c>
      <c r="R9" s="4097">
        <f t="shared" si="8"/>
        <v>-20000.200000000186</v>
      </c>
      <c r="S9" s="2900">
        <f>S8-S19-S26-S24</f>
        <v>5100000</v>
      </c>
      <c r="T9" s="2900">
        <f t="shared" ref="T9:W9" si="17">T8-T19-T26-T24</f>
        <v>581000</v>
      </c>
      <c r="U9" s="2900">
        <f t="shared" si="17"/>
        <v>4518930</v>
      </c>
      <c r="V9" s="2900">
        <f>V8-V19-V26-V24</f>
        <v>1908430</v>
      </c>
      <c r="W9" s="2900">
        <f t="shared" si="17"/>
        <v>2610500</v>
      </c>
      <c r="X9" s="2900">
        <f>X8-X19-X26-X24</f>
        <v>5309000</v>
      </c>
      <c r="Y9" s="2900">
        <f t="shared" ref="Y9:AB9" si="18">Y8-Y19-Y26-Y24</f>
        <v>581000</v>
      </c>
      <c r="Z9" s="2900">
        <f t="shared" si="18"/>
        <v>4727930</v>
      </c>
      <c r="AA9" s="2900">
        <f>AA8-AA19-AA26-AA24</f>
        <v>1931850</v>
      </c>
      <c r="AB9" s="2900">
        <f t="shared" si="18"/>
        <v>2796080</v>
      </c>
      <c r="AC9" s="4098">
        <f t="shared" si="11"/>
        <v>109.01437819360898</v>
      </c>
      <c r="AD9" s="4099">
        <f t="shared" si="12"/>
        <v>439000.20000000019</v>
      </c>
      <c r="AE9" s="4100">
        <f t="shared" si="13"/>
        <v>108.56850715746423</v>
      </c>
      <c r="AF9" s="4097">
        <f t="shared" si="14"/>
        <v>419000</v>
      </c>
      <c r="AG9" s="4109"/>
      <c r="AK9" s="4110"/>
      <c r="AM9" s="4110"/>
      <c r="AO9" s="4111"/>
      <c r="AP9" s="4112"/>
      <c r="AQ9" s="4111"/>
    </row>
    <row r="10" spans="1:117">
      <c r="A10" s="703">
        <v>1</v>
      </c>
      <c r="B10" s="704" t="s">
        <v>2006</v>
      </c>
      <c r="C10" s="4113">
        <f>155320+189725</f>
        <v>345045</v>
      </c>
      <c r="D10" s="4099">
        <f>'[6]MB61.1-342thu'!$F$13+'[6]MB61.1-342thu'!$F$20</f>
        <v>619048.00417199999</v>
      </c>
      <c r="E10" s="4099">
        <f>'[2]Phụ lục số 1'!C11+'[2]Phụ lục số 1'!C17</f>
        <v>600000</v>
      </c>
      <c r="F10" s="4099"/>
      <c r="G10" s="4099">
        <f t="shared" ref="G10:G27" si="19">SUM(H10:I10)</f>
        <v>600000</v>
      </c>
      <c r="H10" s="4099">
        <f>'[2]Phụ lục số 1'!F11+'[2]Phụ lục số 1'!F17</f>
        <v>600000</v>
      </c>
      <c r="I10" s="4099"/>
      <c r="J10" s="4114">
        <f>139967+264036</f>
        <v>404003</v>
      </c>
      <c r="K10" s="4095">
        <f t="shared" si="6"/>
        <v>67.333833333333331</v>
      </c>
      <c r="L10" s="4099">
        <f>'[2]Phụ lục số 1'!T11+'[2]Phụ lục số 1'!T17</f>
        <v>480000</v>
      </c>
      <c r="M10" s="4099"/>
      <c r="N10" s="4099">
        <f>SUM(O10:P10)</f>
        <v>480000</v>
      </c>
      <c r="O10" s="4099">
        <f>'[2]Phụ lục số 1'!X11+'[2]Phụ lục số 1'!X17</f>
        <v>480000</v>
      </c>
      <c r="P10" s="4099"/>
      <c r="Q10" s="4096">
        <f t="shared" si="2"/>
        <v>80</v>
      </c>
      <c r="R10" s="4097">
        <f t="shared" si="8"/>
        <v>-120000</v>
      </c>
      <c r="S10" s="4099">
        <f>'[2]Phụ lục số 1'!AE11+'[2]Phụ lục số 1'!AE17</f>
        <v>530000</v>
      </c>
      <c r="T10" s="4099"/>
      <c r="U10" s="4099">
        <f>SUM(V10:W10)</f>
        <v>530000</v>
      </c>
      <c r="V10" s="4099">
        <f>S10</f>
        <v>530000</v>
      </c>
      <c r="W10" s="4099"/>
      <c r="X10" s="4099">
        <f>'[2]Phụ lục số 1'!AE11+'[2]Phụ lục số 1'!AE17</f>
        <v>530000</v>
      </c>
      <c r="Y10" s="4099"/>
      <c r="Z10" s="4099">
        <f>SUM(AA10:AB10)</f>
        <v>530000</v>
      </c>
      <c r="AA10" s="4099">
        <f>'[2]Phụ lục số 1'!AI11+'[2]Phụ lục số 1'!AI17</f>
        <v>530000</v>
      </c>
      <c r="AB10" s="4099"/>
      <c r="AC10" s="4098">
        <f t="shared" si="11"/>
        <v>110.41666666666667</v>
      </c>
      <c r="AD10" s="4099">
        <f t="shared" si="12"/>
        <v>50000</v>
      </c>
      <c r="AE10" s="4100">
        <f t="shared" si="13"/>
        <v>88.333333333333329</v>
      </c>
      <c r="AF10" s="4097">
        <f t="shared" si="14"/>
        <v>-70000</v>
      </c>
      <c r="AG10" s="4101"/>
      <c r="AK10" s="4102"/>
      <c r="AM10" s="4102"/>
      <c r="AO10" s="4103"/>
      <c r="AP10" s="4104"/>
    </row>
    <row r="11" spans="1:117">
      <c r="A11" s="703">
        <v>2</v>
      </c>
      <c r="B11" s="704" t="s">
        <v>13</v>
      </c>
      <c r="C11" s="4113">
        <v>43095</v>
      </c>
      <c r="D11" s="4099">
        <f>'[6]MB61.1-342thu'!$F$27</f>
        <v>74729.223614999995</v>
      </c>
      <c r="E11" s="4099">
        <f>'[2]Phụ lục số 1'!C23</f>
        <v>70000</v>
      </c>
      <c r="F11" s="4099"/>
      <c r="G11" s="4099">
        <f t="shared" si="19"/>
        <v>70000</v>
      </c>
      <c r="H11" s="4099">
        <f>'[2]Phụ lục số 1'!F23</f>
        <v>70000</v>
      </c>
      <c r="I11" s="4099"/>
      <c r="J11" s="4114">
        <v>34015</v>
      </c>
      <c r="K11" s="4095">
        <f t="shared" si="6"/>
        <v>48.592857142857142</v>
      </c>
      <c r="L11" s="4099">
        <f>'[2]Phụ lục số 1'!T23</f>
        <v>70000</v>
      </c>
      <c r="M11" s="4099"/>
      <c r="N11" s="4099">
        <f t="shared" ref="N11:N27" si="20">SUM(O11:P11)</f>
        <v>70000</v>
      </c>
      <c r="O11" s="4099">
        <f>'[2]Phụ lục số 1'!X23</f>
        <v>70000</v>
      </c>
      <c r="P11" s="4099"/>
      <c r="Q11" s="4096">
        <f t="shared" si="2"/>
        <v>100</v>
      </c>
      <c r="R11" s="4097">
        <f t="shared" si="8"/>
        <v>0</v>
      </c>
      <c r="S11" s="4099">
        <f>'[2]Phụ lục số 1'!AE23</f>
        <v>75000</v>
      </c>
      <c r="T11" s="4099"/>
      <c r="U11" s="4099">
        <f t="shared" ref="U11:U27" si="21">SUM(V11:W11)</f>
        <v>75000</v>
      </c>
      <c r="V11" s="4099">
        <f>S11</f>
        <v>75000</v>
      </c>
      <c r="W11" s="4099"/>
      <c r="X11" s="4099">
        <f>'[2]Phụ lục số 1'!AE23</f>
        <v>75000</v>
      </c>
      <c r="Y11" s="4099"/>
      <c r="Z11" s="4099">
        <f t="shared" ref="Z11:Z27" si="22">SUM(AA11:AB11)</f>
        <v>75000</v>
      </c>
      <c r="AA11" s="4099">
        <f>'[2]Phụ lục số 1'!AI23</f>
        <v>75000</v>
      </c>
      <c r="AB11" s="4099"/>
      <c r="AC11" s="4098">
        <f t="shared" si="11"/>
        <v>107.14285714285714</v>
      </c>
      <c r="AD11" s="4099">
        <f t="shared" si="12"/>
        <v>5000</v>
      </c>
      <c r="AE11" s="4100">
        <f t="shared" si="13"/>
        <v>107.14285714285714</v>
      </c>
      <c r="AF11" s="4097">
        <f t="shared" si="14"/>
        <v>5000</v>
      </c>
      <c r="AG11" s="4101"/>
      <c r="AK11" s="4102"/>
      <c r="AM11" s="4102"/>
      <c r="AO11" s="4103"/>
      <c r="AP11" s="4104"/>
    </row>
    <row r="12" spans="1:117">
      <c r="A12" s="703">
        <v>3</v>
      </c>
      <c r="B12" s="704" t="s">
        <v>2380</v>
      </c>
      <c r="C12" s="4113">
        <v>666804</v>
      </c>
      <c r="D12" s="4099">
        <f>'[6]MB61.1-342thu'!$F$33</f>
        <v>1184280.3315290001</v>
      </c>
      <c r="E12" s="4099">
        <f>'[2]Phụ lục số 1'!C28</f>
        <v>1265000</v>
      </c>
      <c r="F12" s="4099"/>
      <c r="G12" s="4099">
        <f t="shared" si="19"/>
        <v>1265000</v>
      </c>
      <c r="H12" s="4099">
        <f>'[2]Phụ lục số 1'!F28</f>
        <v>88850</v>
      </c>
      <c r="I12" s="4099">
        <f>'[2]Phụ lục số 1'!G28</f>
        <v>1176150</v>
      </c>
      <c r="J12" s="4114">
        <v>727468</v>
      </c>
      <c r="K12" s="4095">
        <f t="shared" si="6"/>
        <v>57.50735177865613</v>
      </c>
      <c r="L12" s="4099">
        <f>'[2]Phụ lục số 1'!T28</f>
        <v>1600000.2999999998</v>
      </c>
      <c r="M12" s="4099"/>
      <c r="N12" s="4099">
        <f t="shared" si="20"/>
        <v>1600000.2999999998</v>
      </c>
      <c r="O12" s="4099">
        <f>'[2]Phụ lục số 1'!X28</f>
        <v>80950.399999999994</v>
      </c>
      <c r="P12" s="4099">
        <f>'[2]Phụ lục số 1'!Y28</f>
        <v>1519049.9</v>
      </c>
      <c r="Q12" s="4096">
        <f t="shared" si="2"/>
        <v>126.48223715415018</v>
      </c>
      <c r="R12" s="4097">
        <f t="shared" si="8"/>
        <v>335000.29999999981</v>
      </c>
      <c r="S12" s="4114">
        <v>1652000</v>
      </c>
      <c r="T12" s="4099"/>
      <c r="U12" s="4099">
        <f t="shared" si="21"/>
        <v>1652000</v>
      </c>
      <c r="V12" s="4099">
        <f>'[7]Phụ lục số 1'!$AI$28</f>
        <v>77900</v>
      </c>
      <c r="W12" s="4099">
        <f>'[7]Phụ lục số 1'!$AJ$28</f>
        <v>1574100</v>
      </c>
      <c r="X12" s="4099">
        <f>'[2]Phụ lục số 1'!AE28</f>
        <v>1701000</v>
      </c>
      <c r="Y12" s="4099"/>
      <c r="Z12" s="4099">
        <f t="shared" si="22"/>
        <v>1701000</v>
      </c>
      <c r="AA12" s="4099">
        <f>'[2]Phụ lục số 1'!AI28</f>
        <v>70920</v>
      </c>
      <c r="AB12" s="4099">
        <f>'[2]Phụ lục số 1'!AJ28</f>
        <v>1630080</v>
      </c>
      <c r="AC12" s="4098">
        <f t="shared" si="11"/>
        <v>106.31248006641</v>
      </c>
      <c r="AD12" s="4099">
        <f t="shared" si="12"/>
        <v>100999.70000000019</v>
      </c>
      <c r="AE12" s="4100">
        <f t="shared" si="13"/>
        <v>134.46640316205534</v>
      </c>
      <c r="AF12" s="4097">
        <f t="shared" si="14"/>
        <v>436000</v>
      </c>
      <c r="AG12" s="4101"/>
      <c r="AK12" s="4102"/>
      <c r="AM12" s="4102"/>
      <c r="AO12" s="4103"/>
      <c r="AP12" s="4104"/>
    </row>
    <row r="13" spans="1:117">
      <c r="A13" s="703">
        <v>4</v>
      </c>
      <c r="B13" s="704" t="s">
        <v>17</v>
      </c>
      <c r="C13" s="4113">
        <v>164560</v>
      </c>
      <c r="D13" s="4099">
        <f>'[6]MB61.1-342thu'!$F$40</f>
        <v>368283.784782</v>
      </c>
      <c r="E13" s="4099">
        <f>'[2]Phụ lục số 1'!C34</f>
        <v>295000</v>
      </c>
      <c r="F13" s="4099"/>
      <c r="G13" s="4099">
        <f t="shared" si="19"/>
        <v>295000</v>
      </c>
      <c r="H13" s="4099"/>
      <c r="I13" s="4099">
        <f>'[2]Phụ lục số 1'!G34</f>
        <v>295000</v>
      </c>
      <c r="J13" s="4114">
        <v>205617</v>
      </c>
      <c r="K13" s="4095">
        <f t="shared" si="6"/>
        <v>69.700677966101694</v>
      </c>
      <c r="L13" s="4099">
        <f>'[2]Phụ lục số 1'!T34</f>
        <v>340000</v>
      </c>
      <c r="M13" s="4099"/>
      <c r="N13" s="4099">
        <f t="shared" si="20"/>
        <v>340000</v>
      </c>
      <c r="O13" s="4099"/>
      <c r="P13" s="4099">
        <f>'[2]Phụ lục số 1'!Y34</f>
        <v>340000</v>
      </c>
      <c r="Q13" s="4096">
        <f t="shared" si="2"/>
        <v>115.2542372881356</v>
      </c>
      <c r="R13" s="4097">
        <f t="shared" si="8"/>
        <v>45000</v>
      </c>
      <c r="S13" s="4099">
        <v>350000</v>
      </c>
      <c r="T13" s="4099"/>
      <c r="U13" s="4099">
        <f t="shared" si="21"/>
        <v>350000</v>
      </c>
      <c r="V13" s="4099"/>
      <c r="W13" s="4099">
        <f>'[7]Phụ lục số 1'!$AJ$34</f>
        <v>350000</v>
      </c>
      <c r="X13" s="4099">
        <f>'[2]Phụ lục số 1'!AE34</f>
        <v>350000</v>
      </c>
      <c r="Y13" s="4099"/>
      <c r="Z13" s="4099">
        <f t="shared" si="22"/>
        <v>350000</v>
      </c>
      <c r="AA13" s="4099"/>
      <c r="AB13" s="4099">
        <f>'[2]Phụ lục số 1'!AJ34</f>
        <v>350000</v>
      </c>
      <c r="AC13" s="4098">
        <f t="shared" si="11"/>
        <v>102.94117647058823</v>
      </c>
      <c r="AD13" s="4099">
        <f t="shared" si="12"/>
        <v>10000</v>
      </c>
      <c r="AE13" s="4100">
        <f t="shared" si="13"/>
        <v>118.64406779661016</v>
      </c>
      <c r="AF13" s="4097">
        <f t="shared" si="14"/>
        <v>55000</v>
      </c>
      <c r="AG13" s="4101"/>
      <c r="AK13" s="4102"/>
      <c r="AM13" s="4102"/>
      <c r="AO13" s="4103"/>
      <c r="AP13" s="4104"/>
    </row>
    <row r="14" spans="1:117">
      <c r="A14" s="703">
        <v>5</v>
      </c>
      <c r="B14" s="704" t="s">
        <v>18</v>
      </c>
      <c r="C14" s="4113">
        <v>32</v>
      </c>
      <c r="D14" s="4099">
        <f>'[6]MB61.1-342thu'!$F$41</f>
        <v>280.44446699999997</v>
      </c>
      <c r="E14" s="4099">
        <f>'[2]Phụ lục số 1'!C35</f>
        <v>0</v>
      </c>
      <c r="F14" s="4099"/>
      <c r="G14" s="4099">
        <f t="shared" si="19"/>
        <v>0</v>
      </c>
      <c r="H14" s="4099"/>
      <c r="I14" s="4099"/>
      <c r="J14" s="4114">
        <v>205</v>
      </c>
      <c r="K14" s="4095"/>
      <c r="L14" s="4099">
        <f>'[2]Phụ lục số 1'!T35</f>
        <v>339.5</v>
      </c>
      <c r="M14" s="4099"/>
      <c r="N14" s="4099">
        <f t="shared" si="20"/>
        <v>339.5</v>
      </c>
      <c r="O14" s="4099"/>
      <c r="P14" s="4099">
        <f>'[2]Phụ lục số 1'!Y35</f>
        <v>339.5</v>
      </c>
      <c r="Q14" s="4096"/>
      <c r="R14" s="4097">
        <f t="shared" si="8"/>
        <v>339.5</v>
      </c>
      <c r="S14" s="4099">
        <v>0</v>
      </c>
      <c r="T14" s="4099"/>
      <c r="U14" s="4099">
        <f t="shared" si="21"/>
        <v>0</v>
      </c>
      <c r="V14" s="4099"/>
      <c r="W14" s="4099"/>
      <c r="X14" s="4099">
        <f>'[2]Phụ lục số 1'!AE35</f>
        <v>0</v>
      </c>
      <c r="Y14" s="4099"/>
      <c r="Z14" s="4099">
        <f t="shared" si="22"/>
        <v>0</v>
      </c>
      <c r="AA14" s="4099"/>
      <c r="AB14" s="4099"/>
      <c r="AC14" s="4098">
        <f t="shared" si="11"/>
        <v>0</v>
      </c>
      <c r="AD14" s="4099">
        <f t="shared" si="12"/>
        <v>-339.5</v>
      </c>
      <c r="AE14" s="4100" t="e">
        <f t="shared" si="13"/>
        <v>#DIV/0!</v>
      </c>
      <c r="AF14" s="4097">
        <f t="shared" si="14"/>
        <v>0</v>
      </c>
      <c r="AG14" s="4101"/>
      <c r="AK14" s="4102"/>
      <c r="AM14" s="4102"/>
      <c r="AO14" s="4103"/>
      <c r="AP14" s="4104"/>
    </row>
    <row r="15" spans="1:117">
      <c r="A15" s="703">
        <v>6</v>
      </c>
      <c r="B15" s="704" t="s">
        <v>2381</v>
      </c>
      <c r="C15" s="4113">
        <v>4693</v>
      </c>
      <c r="D15" s="4099">
        <f>'[6]MB61.1-342thu'!$F$42</f>
        <v>17902.636366999999</v>
      </c>
      <c r="E15" s="4099">
        <f>'[2]Phụ lục số 1'!C36</f>
        <v>10000</v>
      </c>
      <c r="F15" s="4099"/>
      <c r="G15" s="4099">
        <f t="shared" si="19"/>
        <v>10000</v>
      </c>
      <c r="H15" s="4099"/>
      <c r="I15" s="4099">
        <f>'[2]Phụ lục số 1'!G36</f>
        <v>10000</v>
      </c>
      <c r="J15" s="4114">
        <v>7695</v>
      </c>
      <c r="K15" s="4095">
        <f t="shared" ref="K15:K20" si="23">J15/E15%</f>
        <v>76.95</v>
      </c>
      <c r="L15" s="4099">
        <f>'[2]Phụ lục số 1'!T36</f>
        <v>14660.1</v>
      </c>
      <c r="M15" s="4099"/>
      <c r="N15" s="4099">
        <f t="shared" si="20"/>
        <v>14660.1</v>
      </c>
      <c r="O15" s="4099"/>
      <c r="P15" s="4099">
        <f>'[2]Phụ lục số 1'!Y36</f>
        <v>14660.1</v>
      </c>
      <c r="Q15" s="4096">
        <f t="shared" ref="Q15:Q20" si="24">L15/E15%</f>
        <v>146.601</v>
      </c>
      <c r="R15" s="4097">
        <f t="shared" si="8"/>
        <v>4660.1000000000004</v>
      </c>
      <c r="S15" s="4099">
        <v>15000</v>
      </c>
      <c r="T15" s="4099"/>
      <c r="U15" s="4099">
        <f t="shared" si="21"/>
        <v>15000</v>
      </c>
      <c r="V15" s="4099"/>
      <c r="W15" s="4099">
        <f>S15</f>
        <v>15000</v>
      </c>
      <c r="X15" s="4099">
        <f>'[2]Phụ lục số 1'!AE36</f>
        <v>15000</v>
      </c>
      <c r="Y15" s="4099"/>
      <c r="Z15" s="4099">
        <f t="shared" si="22"/>
        <v>15000</v>
      </c>
      <c r="AA15" s="4099"/>
      <c r="AB15" s="4099">
        <f>'[2]Phụ lục số 1'!AJ36</f>
        <v>15000</v>
      </c>
      <c r="AC15" s="4098">
        <f t="shared" si="11"/>
        <v>102.31853807272802</v>
      </c>
      <c r="AD15" s="4099">
        <f t="shared" si="12"/>
        <v>339.89999999999964</v>
      </c>
      <c r="AE15" s="4100">
        <f t="shared" si="13"/>
        <v>150</v>
      </c>
      <c r="AF15" s="4097">
        <f t="shared" si="14"/>
        <v>5000</v>
      </c>
      <c r="AG15" s="4101"/>
      <c r="AK15" s="4102"/>
      <c r="AM15" s="4102"/>
      <c r="AO15" s="4103"/>
      <c r="AP15" s="4104"/>
    </row>
    <row r="16" spans="1:117">
      <c r="A16" s="703">
        <v>7</v>
      </c>
      <c r="B16" s="704" t="s">
        <v>20</v>
      </c>
      <c r="C16" s="4113">
        <v>342413</v>
      </c>
      <c r="D16" s="4099">
        <f>'[6]MB61.1-342thu'!$F$43</f>
        <v>712064.59420399996</v>
      </c>
      <c r="E16" s="4099">
        <f>'[2]Phụ lục số 1'!C37</f>
        <v>600000</v>
      </c>
      <c r="F16" s="4099"/>
      <c r="G16" s="4099">
        <f t="shared" si="19"/>
        <v>600000</v>
      </c>
      <c r="H16" s="4099">
        <f>'[2]Phụ lục số 1'!F37</f>
        <v>290500</v>
      </c>
      <c r="I16" s="4099">
        <f>'[2]Phụ lục số 1'!G37</f>
        <v>309500</v>
      </c>
      <c r="J16" s="4114">
        <v>439596</v>
      </c>
      <c r="K16" s="4095">
        <f t="shared" si="23"/>
        <v>73.266000000000005</v>
      </c>
      <c r="L16" s="4099">
        <f>'[2]Phụ lục số 1'!T37</f>
        <v>710000</v>
      </c>
      <c r="M16" s="4099"/>
      <c r="N16" s="4099">
        <f t="shared" si="20"/>
        <v>710000</v>
      </c>
      <c r="O16" s="4099">
        <f>'[2]Phụ lục số 1'!X37</f>
        <v>344000.33333333337</v>
      </c>
      <c r="P16" s="4099">
        <f>'[2]Phụ lục số 1'!Y37</f>
        <v>365999.66666666663</v>
      </c>
      <c r="Q16" s="4096">
        <f t="shared" si="24"/>
        <v>118.33333333333333</v>
      </c>
      <c r="R16" s="4097">
        <f t="shared" si="8"/>
        <v>110000</v>
      </c>
      <c r="S16" s="4099">
        <v>730000</v>
      </c>
      <c r="T16" s="4099"/>
      <c r="U16" s="4099">
        <f t="shared" si="21"/>
        <v>730000</v>
      </c>
      <c r="V16" s="4099">
        <f>AA16</f>
        <v>408000</v>
      </c>
      <c r="W16" s="4099">
        <f>AB16</f>
        <v>322000</v>
      </c>
      <c r="X16" s="4099">
        <f>'[2]Phụ lục số 1'!AE37</f>
        <v>730000</v>
      </c>
      <c r="Y16" s="4099"/>
      <c r="Z16" s="4099">
        <f t="shared" si="22"/>
        <v>730000</v>
      </c>
      <c r="AA16" s="4099">
        <f>'[2]Phụ lục số 1'!AI37</f>
        <v>408000</v>
      </c>
      <c r="AB16" s="4099">
        <f>'[2]Phụ lục số 1'!AJ37</f>
        <v>322000</v>
      </c>
      <c r="AC16" s="4098">
        <f t="shared" si="11"/>
        <v>102.8169014084507</v>
      </c>
      <c r="AD16" s="4099">
        <f t="shared" si="12"/>
        <v>20000</v>
      </c>
      <c r="AE16" s="4100">
        <f t="shared" si="13"/>
        <v>121.66666666666666</v>
      </c>
      <c r="AF16" s="4097">
        <f t="shared" si="14"/>
        <v>130000</v>
      </c>
      <c r="AG16" s="4101"/>
      <c r="AK16" s="4102"/>
      <c r="AM16" s="4102"/>
      <c r="AO16" s="4103"/>
      <c r="AP16" s="4104"/>
    </row>
    <row r="17" spans="1:42">
      <c r="A17" s="703">
        <v>8</v>
      </c>
      <c r="B17" s="704" t="s">
        <v>2382</v>
      </c>
      <c r="C17" s="4113">
        <v>966599</v>
      </c>
      <c r="D17" s="4099">
        <f>'[6]MB61.1-342thu'!$F$44</f>
        <v>926612.70443099993</v>
      </c>
      <c r="E17" s="4099">
        <f>'[2]Phụ lục số 1'!C38</f>
        <v>1500000</v>
      </c>
      <c r="F17" s="4099">
        <f>'[2]Phụ lục số 1'!D38</f>
        <v>600000</v>
      </c>
      <c r="G17" s="4099">
        <f t="shared" si="19"/>
        <v>900000</v>
      </c>
      <c r="H17" s="4099">
        <f>'[2]Phụ lục số 1'!F38</f>
        <v>900000</v>
      </c>
      <c r="I17" s="4099"/>
      <c r="J17" s="4114">
        <v>703544</v>
      </c>
      <c r="K17" s="4095">
        <f t="shared" si="23"/>
        <v>46.90293333333333</v>
      </c>
      <c r="L17" s="4099">
        <f>'[2]Phụ lục số 1'!T38</f>
        <v>980000</v>
      </c>
      <c r="M17" s="4099">
        <f>'[2]Phụ lục số 1'!V38</f>
        <v>392000</v>
      </c>
      <c r="N17" s="4099">
        <f t="shared" si="20"/>
        <v>588000</v>
      </c>
      <c r="O17" s="4099">
        <f>'[2]Phụ lục số 1'!X38</f>
        <v>588000</v>
      </c>
      <c r="P17" s="4099"/>
      <c r="Q17" s="4096">
        <f t="shared" si="24"/>
        <v>65.333333333333329</v>
      </c>
      <c r="R17" s="4097">
        <f t="shared" si="8"/>
        <v>-520000</v>
      </c>
      <c r="S17" s="4099">
        <v>1065000</v>
      </c>
      <c r="T17" s="4099">
        <f>Y17</f>
        <v>426000</v>
      </c>
      <c r="U17" s="4099">
        <f t="shared" si="21"/>
        <v>639000</v>
      </c>
      <c r="V17" s="4099">
        <f>AA17</f>
        <v>639000</v>
      </c>
      <c r="W17" s="4099"/>
      <c r="X17" s="4099">
        <f>'[2]Phụ lục số 1'!AE38</f>
        <v>1065000</v>
      </c>
      <c r="Y17" s="4099">
        <f>'[2]Phụ lục số 1'!AG38</f>
        <v>426000</v>
      </c>
      <c r="Z17" s="4099">
        <f t="shared" si="22"/>
        <v>639000</v>
      </c>
      <c r="AA17" s="4099">
        <f>'[2]Phụ lục số 1'!AI38</f>
        <v>639000</v>
      </c>
      <c r="AB17" s="4099"/>
      <c r="AC17" s="4098">
        <f t="shared" si="11"/>
        <v>108.67346938775511</v>
      </c>
      <c r="AD17" s="4099">
        <f t="shared" si="12"/>
        <v>85000</v>
      </c>
      <c r="AE17" s="4100">
        <f t="shared" si="13"/>
        <v>71</v>
      </c>
      <c r="AF17" s="4097">
        <f t="shared" si="14"/>
        <v>-435000</v>
      </c>
      <c r="AG17" s="4101"/>
      <c r="AK17" s="4102"/>
      <c r="AM17" s="4102"/>
      <c r="AO17" s="4103"/>
      <c r="AP17" s="4104"/>
    </row>
    <row r="18" spans="1:42">
      <c r="A18" s="703">
        <v>9</v>
      </c>
      <c r="B18" s="704" t="s">
        <v>22</v>
      </c>
      <c r="C18" s="4113">
        <v>115889</v>
      </c>
      <c r="D18" s="4099">
        <f>'[6]MB61.1-342thu'!$F$47</f>
        <v>174907.15649200001</v>
      </c>
      <c r="E18" s="4099">
        <f>'[2]Phụ lục số 1'!C39</f>
        <v>160000</v>
      </c>
      <c r="F18" s="4099">
        <f>'[2]Phụ lục số 1'!D39</f>
        <v>82000</v>
      </c>
      <c r="G18" s="4099">
        <f t="shared" si="19"/>
        <v>78000</v>
      </c>
      <c r="H18" s="4099">
        <f>'[2]Phụ lục số 1'!F39</f>
        <v>18800</v>
      </c>
      <c r="I18" s="4099">
        <f>'[2]Phụ lục số 1'!G39</f>
        <v>59200</v>
      </c>
      <c r="J18" s="4114">
        <v>108342</v>
      </c>
      <c r="K18" s="4095">
        <f t="shared" si="23"/>
        <v>67.713750000000005</v>
      </c>
      <c r="L18" s="4099">
        <f>'[2]Phụ lục số 1'!T39</f>
        <v>160000</v>
      </c>
      <c r="M18" s="4099">
        <f>'[2]Phụ lục số 1'!V39</f>
        <v>82000</v>
      </c>
      <c r="N18" s="4099">
        <f t="shared" si="20"/>
        <v>78000</v>
      </c>
      <c r="O18" s="4099">
        <f>'[2]Phụ lục số 1'!X39</f>
        <v>19000</v>
      </c>
      <c r="P18" s="4099">
        <f>'[2]Phụ lục số 1'!Y39</f>
        <v>59000</v>
      </c>
      <c r="Q18" s="4096">
        <f t="shared" si="24"/>
        <v>100</v>
      </c>
      <c r="R18" s="4097">
        <f t="shared" si="8"/>
        <v>0</v>
      </c>
      <c r="S18" s="4099">
        <v>170000</v>
      </c>
      <c r="T18" s="4099">
        <f>Y18</f>
        <v>60000</v>
      </c>
      <c r="U18" s="4099">
        <f t="shared" si="21"/>
        <v>110000</v>
      </c>
      <c r="V18" s="4099">
        <f>AA18</f>
        <v>47600</v>
      </c>
      <c r="W18" s="4099">
        <f>AB18</f>
        <v>62400</v>
      </c>
      <c r="X18" s="4099">
        <f>'[2]Phụ lục số 1'!AE39</f>
        <v>170000</v>
      </c>
      <c r="Y18" s="4099">
        <f>'[2]Phụ lục số 1'!AG39</f>
        <v>60000</v>
      </c>
      <c r="Z18" s="4099">
        <f t="shared" si="22"/>
        <v>110000</v>
      </c>
      <c r="AA18" s="4099">
        <f>'[2]Phụ lục số 1'!AI39</f>
        <v>47600</v>
      </c>
      <c r="AB18" s="4099">
        <f>'[2]Phụ lục số 1'!AJ39</f>
        <v>62400</v>
      </c>
      <c r="AC18" s="4098">
        <f t="shared" si="11"/>
        <v>106.25</v>
      </c>
      <c r="AD18" s="4099">
        <f t="shared" si="12"/>
        <v>10000</v>
      </c>
      <c r="AE18" s="4100">
        <f t="shared" si="13"/>
        <v>106.25</v>
      </c>
      <c r="AF18" s="4097">
        <f t="shared" si="14"/>
        <v>10000</v>
      </c>
      <c r="AG18" s="4101"/>
      <c r="AK18" s="4102"/>
      <c r="AM18" s="4102"/>
      <c r="AO18" s="4103"/>
      <c r="AP18" s="4104"/>
    </row>
    <row r="19" spans="1:42">
      <c r="A19" s="703">
        <v>10</v>
      </c>
      <c r="B19" s="704" t="s">
        <v>23</v>
      </c>
      <c r="C19" s="4113">
        <v>783145</v>
      </c>
      <c r="D19" s="4099">
        <f>'[6]MB61.1-342thu'!$F$48</f>
        <v>1029252.96595</v>
      </c>
      <c r="E19" s="4099">
        <f>'[2]Phụ lục số 1'!C40</f>
        <v>900000</v>
      </c>
      <c r="F19" s="4099"/>
      <c r="G19" s="4099">
        <f t="shared" si="19"/>
        <v>900000</v>
      </c>
      <c r="H19" s="4099">
        <f>'[2]Phụ lục số 1'!F40</f>
        <v>100000</v>
      </c>
      <c r="I19" s="4099">
        <f>'[2]Phụ lục số 1'!G40</f>
        <v>800000</v>
      </c>
      <c r="J19" s="4114">
        <v>566048</v>
      </c>
      <c r="K19" s="4095">
        <f t="shared" si="23"/>
        <v>62.894222222222226</v>
      </c>
      <c r="L19" s="4099">
        <f>'[2]Phụ lục số 1'!T40</f>
        <v>1080000</v>
      </c>
      <c r="M19" s="4099"/>
      <c r="N19" s="4099">
        <f t="shared" si="20"/>
        <v>1080000</v>
      </c>
      <c r="O19" s="4099">
        <f>'[2]Phụ lục số 1'!X40</f>
        <v>100000</v>
      </c>
      <c r="P19" s="4099">
        <f>'[2]Phụ lục số 1'!Y40</f>
        <v>980000</v>
      </c>
      <c r="Q19" s="4096">
        <f t="shared" si="24"/>
        <v>120</v>
      </c>
      <c r="R19" s="4097">
        <f t="shared" si="8"/>
        <v>180000</v>
      </c>
      <c r="S19" s="4099">
        <v>1770000</v>
      </c>
      <c r="T19" s="4099"/>
      <c r="U19" s="4099">
        <f t="shared" si="21"/>
        <v>1770000</v>
      </c>
      <c r="V19" s="4099">
        <f>AA19</f>
        <v>627000</v>
      </c>
      <c r="W19" s="4099">
        <f>AB19</f>
        <v>1143000</v>
      </c>
      <c r="X19" s="4099">
        <f>'[2]Phụ lục số 1'!AE40</f>
        <v>1770000</v>
      </c>
      <c r="Y19" s="4099"/>
      <c r="Z19" s="4099">
        <f t="shared" si="22"/>
        <v>1770000</v>
      </c>
      <c r="AA19" s="4099">
        <f>'[2]Phụ lục số 1'!AI40</f>
        <v>627000</v>
      </c>
      <c r="AB19" s="4099">
        <f>'[2]Phụ lục số 1'!AJ40</f>
        <v>1143000</v>
      </c>
      <c r="AC19" s="4098">
        <f t="shared" si="11"/>
        <v>163.88888888888889</v>
      </c>
      <c r="AD19" s="4099">
        <f t="shared" si="12"/>
        <v>690000</v>
      </c>
      <c r="AE19" s="4100">
        <f t="shared" si="13"/>
        <v>196.66666666666666</v>
      </c>
      <c r="AF19" s="4097">
        <f t="shared" si="14"/>
        <v>870000</v>
      </c>
      <c r="AG19" s="4101"/>
      <c r="AK19" s="4102"/>
      <c r="AM19" s="4102"/>
      <c r="AO19" s="4103"/>
      <c r="AP19" s="4104"/>
    </row>
    <row r="20" spans="1:42">
      <c r="A20" s="703">
        <v>11</v>
      </c>
      <c r="B20" s="704" t="s">
        <v>24</v>
      </c>
      <c r="C20" s="4113">
        <v>201204</v>
      </c>
      <c r="D20" s="4099">
        <f>'[6]MB61.1-342thu'!$F$49</f>
        <v>237121.31138199999</v>
      </c>
      <c r="E20" s="4099">
        <f>'[2]Phụ lục số 1'!C41</f>
        <v>115000</v>
      </c>
      <c r="F20" s="4099"/>
      <c r="G20" s="4099">
        <f t="shared" si="19"/>
        <v>115000</v>
      </c>
      <c r="H20" s="4099"/>
      <c r="I20" s="4099">
        <f>'[2]Phụ lục số 1'!G41</f>
        <v>115000</v>
      </c>
      <c r="J20" s="4114">
        <v>171661</v>
      </c>
      <c r="K20" s="4095">
        <f t="shared" si="23"/>
        <v>149.2704347826087</v>
      </c>
      <c r="L20" s="4099">
        <f>'[2]Phụ lục số 1'!T41</f>
        <v>125999.8</v>
      </c>
      <c r="M20" s="4099"/>
      <c r="N20" s="4099">
        <f t="shared" si="20"/>
        <v>125999.8</v>
      </c>
      <c r="O20" s="4099">
        <f>'[2]Phụ lục số 1'!X41</f>
        <v>0</v>
      </c>
      <c r="P20" s="4099">
        <f>'[2]Phụ lục số 1'!Y41</f>
        <v>125999.8</v>
      </c>
      <c r="Q20" s="4096">
        <f t="shared" si="24"/>
        <v>109.56504347826088</v>
      </c>
      <c r="R20" s="4097">
        <f t="shared" si="8"/>
        <v>10999.800000000003</v>
      </c>
      <c r="S20" s="4115">
        <v>155000</v>
      </c>
      <c r="T20" s="4099"/>
      <c r="U20" s="4099">
        <f t="shared" si="21"/>
        <v>155000</v>
      </c>
      <c r="V20" s="4099">
        <f>S20-W20</f>
        <v>15500</v>
      </c>
      <c r="W20" s="4099">
        <f>S20*90%</f>
        <v>139500</v>
      </c>
      <c r="X20" s="4099">
        <f>'[2]Phụ lục số 1'!AE41</f>
        <v>315000</v>
      </c>
      <c r="Y20" s="4099"/>
      <c r="Z20" s="4099">
        <f t="shared" si="22"/>
        <v>315000</v>
      </c>
      <c r="AA20" s="4099">
        <f>'[2]Phụ lục số 1'!AI41</f>
        <v>45900</v>
      </c>
      <c r="AB20" s="4099">
        <f>'[2]Phụ lục số 1'!AJ41</f>
        <v>269100</v>
      </c>
      <c r="AC20" s="4098">
        <f t="shared" si="11"/>
        <v>250.0003968260267</v>
      </c>
      <c r="AD20" s="4099">
        <f t="shared" si="12"/>
        <v>189000.2</v>
      </c>
      <c r="AE20" s="4100">
        <f t="shared" si="13"/>
        <v>273.91304347826087</v>
      </c>
      <c r="AF20" s="4097">
        <f t="shared" si="14"/>
        <v>200000</v>
      </c>
      <c r="AG20" s="4101"/>
      <c r="AK20" s="4102"/>
      <c r="AM20" s="4102"/>
      <c r="AO20" s="4103"/>
      <c r="AP20" s="4104"/>
    </row>
    <row r="21" spans="1:42">
      <c r="A21" s="703">
        <v>12</v>
      </c>
      <c r="B21" s="704" t="s">
        <v>25</v>
      </c>
      <c r="C21" s="4113">
        <v>84</v>
      </c>
      <c r="D21" s="4099">
        <f>'[6]MB61.1-342thu'!$F$53</f>
        <v>79.078599999999994</v>
      </c>
      <c r="E21" s="4099">
        <f>'[2]Phụ lục số 1'!C42</f>
        <v>0</v>
      </c>
      <c r="F21" s="4099"/>
      <c r="G21" s="4099">
        <f t="shared" si="19"/>
        <v>0</v>
      </c>
      <c r="H21" s="4099"/>
      <c r="I21" s="4099"/>
      <c r="J21" s="4114">
        <v>75</v>
      </c>
      <c r="K21" s="3890"/>
      <c r="L21" s="4099">
        <f>'[2]Phụ lục số 1'!T42</f>
        <v>0</v>
      </c>
      <c r="M21" s="4099"/>
      <c r="N21" s="4099">
        <f t="shared" si="20"/>
        <v>0</v>
      </c>
      <c r="O21" s="4099"/>
      <c r="P21" s="4099"/>
      <c r="Q21" s="4116"/>
      <c r="R21" s="4097">
        <f t="shared" si="8"/>
        <v>0</v>
      </c>
      <c r="S21" s="4099">
        <v>0</v>
      </c>
      <c r="T21" s="4099"/>
      <c r="U21" s="4099">
        <f t="shared" si="21"/>
        <v>0</v>
      </c>
      <c r="V21" s="4099"/>
      <c r="W21" s="4099"/>
      <c r="X21" s="4099">
        <f>'[2]Phụ lục số 1'!AE42</f>
        <v>0</v>
      </c>
      <c r="Y21" s="4099"/>
      <c r="Z21" s="4099">
        <f t="shared" si="22"/>
        <v>0</v>
      </c>
      <c r="AA21" s="4099"/>
      <c r="AB21" s="4099"/>
      <c r="AC21" s="4098" t="e">
        <f t="shared" si="11"/>
        <v>#DIV/0!</v>
      </c>
      <c r="AD21" s="4099">
        <f t="shared" si="12"/>
        <v>0</v>
      </c>
      <c r="AE21" s="4100" t="e">
        <f t="shared" si="13"/>
        <v>#DIV/0!</v>
      </c>
      <c r="AF21" s="4097">
        <f t="shared" si="14"/>
        <v>0</v>
      </c>
      <c r="AG21" s="4101"/>
      <c r="AK21" s="4102"/>
      <c r="AM21" s="4102"/>
      <c r="AO21" s="4103"/>
      <c r="AP21" s="4104"/>
    </row>
    <row r="22" spans="1:42">
      <c r="A22" s="703">
        <v>13</v>
      </c>
      <c r="B22" s="704" t="s">
        <v>798</v>
      </c>
      <c r="C22" s="4113">
        <v>187948</v>
      </c>
      <c r="D22" s="4099">
        <f>'[6]MB61.1-342thu'!$F$54</f>
        <v>285395.57643899997</v>
      </c>
      <c r="E22" s="4099">
        <f>'[2]Phụ lục số 1'!C43</f>
        <v>250000</v>
      </c>
      <c r="F22" s="4099">
        <f>'[2]Phụ lục số 1'!D43</f>
        <v>54000</v>
      </c>
      <c r="G22" s="4099">
        <f t="shared" si="19"/>
        <v>196000</v>
      </c>
      <c r="H22" s="4099">
        <f>'[2]Phụ lục số 1'!F43</f>
        <v>66500</v>
      </c>
      <c r="I22" s="4099">
        <f>'[2]Phụ lục số 1'!G43</f>
        <v>129500</v>
      </c>
      <c r="J22" s="4114">
        <v>169921</v>
      </c>
      <c r="K22" s="4095">
        <f>J22/E22%</f>
        <v>67.968400000000003</v>
      </c>
      <c r="L22" s="4099">
        <f>'[2]Phụ lục số 1'!T43</f>
        <v>350000</v>
      </c>
      <c r="M22" s="4099">
        <f>'[2]Phụ lục số 1'!V43</f>
        <v>75600</v>
      </c>
      <c r="N22" s="4099">
        <f t="shared" si="20"/>
        <v>274400</v>
      </c>
      <c r="O22" s="4099">
        <f>'[2]Phụ lục số 1'!X43</f>
        <v>93400</v>
      </c>
      <c r="P22" s="4099">
        <f>'[2]Phụ lục số 1'!Y43</f>
        <v>181000</v>
      </c>
      <c r="Q22" s="4096">
        <f t="shared" ref="Q22:Q26" si="25">L22/E22%</f>
        <v>140</v>
      </c>
      <c r="R22" s="4097">
        <f t="shared" si="8"/>
        <v>100000</v>
      </c>
      <c r="S22" s="4099">
        <v>326000</v>
      </c>
      <c r="T22" s="4099">
        <f>Y22</f>
        <v>95000</v>
      </c>
      <c r="U22" s="4099">
        <f t="shared" si="21"/>
        <v>231030</v>
      </c>
      <c r="V22" s="4099">
        <f>AA22</f>
        <v>85530</v>
      </c>
      <c r="W22" s="4099">
        <f>AB22</f>
        <v>145500</v>
      </c>
      <c r="X22" s="4099">
        <f>'[2]Phụ lục số 1'!AE43</f>
        <v>326000</v>
      </c>
      <c r="Y22" s="4099">
        <f>'[2]Phụ lục số 1'!AG43</f>
        <v>95000</v>
      </c>
      <c r="Z22" s="4099">
        <f t="shared" si="22"/>
        <v>231030</v>
      </c>
      <c r="AA22" s="4099">
        <f>'[2]Phụ lục số 1'!AI43</f>
        <v>85530</v>
      </c>
      <c r="AB22" s="4099">
        <f>'[2]Phụ lục số 1'!AJ43</f>
        <v>145500</v>
      </c>
      <c r="AC22" s="4098">
        <f t="shared" si="11"/>
        <v>93.142857142857139</v>
      </c>
      <c r="AD22" s="4099">
        <f t="shared" si="12"/>
        <v>-24000</v>
      </c>
      <c r="AE22" s="4100">
        <f t="shared" si="13"/>
        <v>130.4</v>
      </c>
      <c r="AF22" s="4097">
        <f t="shared" si="14"/>
        <v>76000</v>
      </c>
      <c r="AG22" s="4101"/>
      <c r="AK22" s="4102"/>
      <c r="AM22" s="4102"/>
      <c r="AO22" s="4103"/>
      <c r="AP22" s="4104"/>
    </row>
    <row r="23" spans="1:42">
      <c r="A23" s="703">
        <v>14</v>
      </c>
      <c r="B23" s="44" t="s">
        <v>27</v>
      </c>
      <c r="C23" s="4113">
        <v>15752</v>
      </c>
      <c r="D23" s="4099">
        <f>'[6]MB61.1-342thu'!$F$55</f>
        <v>35466.300600000002</v>
      </c>
      <c r="E23" s="4099">
        <f>'[2]Phụ lục số 1'!C44</f>
        <v>22000</v>
      </c>
      <c r="F23" s="4099"/>
      <c r="G23" s="4099">
        <f t="shared" si="19"/>
        <v>22000</v>
      </c>
      <c r="H23" s="4099">
        <f>'[2]Phụ lục số 1'!F44</f>
        <v>22000</v>
      </c>
      <c r="I23" s="4099"/>
      <c r="J23" s="4114">
        <v>15930</v>
      </c>
      <c r="K23" s="4095"/>
      <c r="L23" s="4099">
        <f>'[2]Phụ lục số 1'!T44</f>
        <v>37000</v>
      </c>
      <c r="M23" s="4099"/>
      <c r="N23" s="4099">
        <f t="shared" si="20"/>
        <v>37000</v>
      </c>
      <c r="O23" s="4099">
        <f>'[2]Phụ lục số 1'!X44</f>
        <v>37000</v>
      </c>
      <c r="P23" s="4099"/>
      <c r="Q23" s="4096">
        <f t="shared" si="25"/>
        <v>168.18181818181819</v>
      </c>
      <c r="R23" s="4097">
        <f t="shared" si="8"/>
        <v>15000</v>
      </c>
      <c r="S23" s="4099">
        <v>30000</v>
      </c>
      <c r="T23" s="4099"/>
      <c r="U23" s="4099">
        <f t="shared" si="21"/>
        <v>29900</v>
      </c>
      <c r="V23" s="4099">
        <f>AA23</f>
        <v>29900</v>
      </c>
      <c r="W23" s="4099"/>
      <c r="X23" s="4099">
        <f>'[2]Phụ lục số 1'!AE44</f>
        <v>30000</v>
      </c>
      <c r="Y23" s="4099"/>
      <c r="Z23" s="4099">
        <f t="shared" si="22"/>
        <v>29900</v>
      </c>
      <c r="AA23" s="4099">
        <f>'[2]Phụ lục số 1'!AI44</f>
        <v>29900</v>
      </c>
      <c r="AB23" s="4099"/>
      <c r="AC23" s="4098">
        <f t="shared" si="11"/>
        <v>81.081081081081081</v>
      </c>
      <c r="AD23" s="4099">
        <f t="shared" si="12"/>
        <v>-7000</v>
      </c>
      <c r="AE23" s="4100">
        <f t="shared" si="13"/>
        <v>136.36363636363635</v>
      </c>
      <c r="AF23" s="4097">
        <f t="shared" si="14"/>
        <v>8000</v>
      </c>
      <c r="AG23" s="4101"/>
      <c r="AK23" s="4102"/>
      <c r="AM23" s="4102"/>
      <c r="AO23" s="4103"/>
      <c r="AP23" s="4104"/>
    </row>
    <row r="24" spans="1:42">
      <c r="A24" s="703">
        <v>15</v>
      </c>
      <c r="B24" s="44" t="s">
        <v>28</v>
      </c>
      <c r="C24" s="4113">
        <v>47618</v>
      </c>
      <c r="D24" s="4099">
        <f>'[6]MB61.1-342thu'!$F$57</f>
        <v>76161.542220000003</v>
      </c>
      <c r="E24" s="4099">
        <f>'[2]Phụ lục số 1'!C45</f>
        <v>50000</v>
      </c>
      <c r="F24" s="4099"/>
      <c r="G24" s="4099">
        <f t="shared" si="19"/>
        <v>50000</v>
      </c>
      <c r="H24" s="4099">
        <f>'[2]Phụ lục số 1'!F45</f>
        <v>50000</v>
      </c>
      <c r="I24" s="4099"/>
      <c r="J24" s="4114">
        <v>62151</v>
      </c>
      <c r="K24" s="4095"/>
      <c r="L24" s="4099">
        <f>'[2]Phụ lục số 1'!T45</f>
        <v>100000</v>
      </c>
      <c r="M24" s="4099"/>
      <c r="N24" s="4099">
        <f t="shared" si="20"/>
        <v>100000</v>
      </c>
      <c r="O24" s="4099">
        <f>'[2]Phụ lục số 1'!X45</f>
        <v>100000</v>
      </c>
      <c r="P24" s="4099"/>
      <c r="Q24" s="4096">
        <f t="shared" si="25"/>
        <v>200</v>
      </c>
      <c r="R24" s="4097">
        <f t="shared" si="8"/>
        <v>50000</v>
      </c>
      <c r="S24" s="4099">
        <v>37000</v>
      </c>
      <c r="T24" s="4099"/>
      <c r="U24" s="4099">
        <f t="shared" si="21"/>
        <v>37000</v>
      </c>
      <c r="V24" s="4099">
        <f>S24</f>
        <v>37000</v>
      </c>
      <c r="W24" s="4099"/>
      <c r="X24" s="4099">
        <f>'[2]Phụ lục số 1'!AE45</f>
        <v>37000</v>
      </c>
      <c r="Y24" s="4099"/>
      <c r="Z24" s="4099">
        <f t="shared" si="22"/>
        <v>37000</v>
      </c>
      <c r="AA24" s="4099">
        <f>'[2]Phụ lục số 1'!AI45</f>
        <v>37000</v>
      </c>
      <c r="AB24" s="4099"/>
      <c r="AC24" s="4098">
        <f t="shared" si="11"/>
        <v>37</v>
      </c>
      <c r="AD24" s="4099">
        <f t="shared" si="12"/>
        <v>-63000</v>
      </c>
      <c r="AE24" s="4100">
        <f t="shared" si="13"/>
        <v>74</v>
      </c>
      <c r="AF24" s="4097">
        <f t="shared" si="14"/>
        <v>-13000</v>
      </c>
      <c r="AG24" s="4101"/>
      <c r="AK24" s="4102"/>
      <c r="AM24" s="4102"/>
      <c r="AO24" s="4103"/>
      <c r="AP24" s="4104"/>
    </row>
    <row r="25" spans="1:42">
      <c r="A25" s="703">
        <v>16</v>
      </c>
      <c r="B25" s="704" t="s">
        <v>31</v>
      </c>
      <c r="C25" s="4113">
        <v>1697</v>
      </c>
      <c r="D25" s="4099">
        <f>'[6]MB61.1-342thu'!$F$56</f>
        <v>2047.6675579999999</v>
      </c>
      <c r="E25" s="4099">
        <f>'[2]Phụ lục số 1'!C47</f>
        <v>3000</v>
      </c>
      <c r="F25" s="4099"/>
      <c r="G25" s="4099">
        <f t="shared" si="19"/>
        <v>3000</v>
      </c>
      <c r="H25" s="4099"/>
      <c r="I25" s="4099">
        <f>'[2]Phụ lục số 1'!G47</f>
        <v>3000</v>
      </c>
      <c r="J25" s="4114">
        <v>1551</v>
      </c>
      <c r="K25" s="4095">
        <f>J25/E25%</f>
        <v>51.7</v>
      </c>
      <c r="L25" s="4099">
        <f>'[2]Phụ lục số 1'!T47</f>
        <v>2000.1</v>
      </c>
      <c r="M25" s="4099"/>
      <c r="N25" s="4099">
        <f t="shared" si="20"/>
        <v>2000.1</v>
      </c>
      <c r="O25" s="4099"/>
      <c r="P25" s="4099">
        <f>'[2]Phụ lục số 1'!Y47</f>
        <v>2000.1</v>
      </c>
      <c r="Q25" s="4096">
        <f t="shared" si="25"/>
        <v>66.67</v>
      </c>
      <c r="R25" s="4097">
        <f t="shared" si="8"/>
        <v>-999.90000000000009</v>
      </c>
      <c r="S25" s="4099">
        <v>2000</v>
      </c>
      <c r="T25" s="4099"/>
      <c r="U25" s="4099">
        <f t="shared" si="21"/>
        <v>2000</v>
      </c>
      <c r="V25" s="4099"/>
      <c r="W25" s="4099">
        <f>S25</f>
        <v>2000</v>
      </c>
      <c r="X25" s="4099">
        <f>'[2]Phụ lục số 1'!AE47</f>
        <v>2000</v>
      </c>
      <c r="Y25" s="4099"/>
      <c r="Z25" s="4099">
        <f t="shared" si="22"/>
        <v>2000</v>
      </c>
      <c r="AA25" s="4099"/>
      <c r="AB25" s="4099">
        <f>'[2]Phụ lục số 1'!AJ47</f>
        <v>2000</v>
      </c>
      <c r="AC25" s="4098">
        <f t="shared" si="11"/>
        <v>99.995000249987513</v>
      </c>
      <c r="AD25" s="4099">
        <f t="shared" si="12"/>
        <v>-9.9999999999909051E-2</v>
      </c>
      <c r="AE25" s="4100">
        <f t="shared" si="13"/>
        <v>66.666666666666657</v>
      </c>
      <c r="AF25" s="4097">
        <f t="shared" si="14"/>
        <v>-1000</v>
      </c>
      <c r="AG25" s="4101"/>
      <c r="AK25" s="4102"/>
      <c r="AM25" s="4102"/>
      <c r="AO25" s="4103"/>
      <c r="AP25" s="4104"/>
    </row>
    <row r="26" spans="1:42">
      <c r="A26" s="703">
        <v>17</v>
      </c>
      <c r="B26" s="704" t="s">
        <v>32</v>
      </c>
      <c r="C26" s="4113">
        <v>1156294</v>
      </c>
      <c r="D26" s="4099">
        <f>'[6]MB61.1-342thu'!$F$58</f>
        <v>1743740.631786</v>
      </c>
      <c r="E26" s="4099">
        <f>'[2]Phụ lục số 1'!C48</f>
        <v>1600000</v>
      </c>
      <c r="F26" s="4099"/>
      <c r="G26" s="4099">
        <f t="shared" si="19"/>
        <v>1600000</v>
      </c>
      <c r="H26" s="4099">
        <f>'[2]Phụ lục số 1'!F48</f>
        <v>1600000</v>
      </c>
      <c r="I26" s="4099"/>
      <c r="J26" s="4114">
        <v>1073006</v>
      </c>
      <c r="K26" s="4095"/>
      <c r="L26" s="4099">
        <f>'[2]Phụ lục số 1'!T48</f>
        <v>1950000</v>
      </c>
      <c r="M26" s="4099"/>
      <c r="N26" s="4099">
        <f t="shared" si="20"/>
        <v>1950000</v>
      </c>
      <c r="O26" s="4099">
        <f>'[2]Phụ lục số 1'!X48</f>
        <v>1950000</v>
      </c>
      <c r="P26" s="4099"/>
      <c r="Q26" s="4096">
        <f t="shared" si="25"/>
        <v>121.875</v>
      </c>
      <c r="R26" s="4097">
        <f t="shared" si="8"/>
        <v>350000</v>
      </c>
      <c r="S26" s="4099">
        <v>1850000</v>
      </c>
      <c r="T26" s="4099"/>
      <c r="U26" s="4099">
        <f t="shared" si="21"/>
        <v>1850000</v>
      </c>
      <c r="V26" s="4099">
        <f>S26</f>
        <v>1850000</v>
      </c>
      <c r="W26" s="4099"/>
      <c r="X26" s="4099">
        <f>'[2]Phụ lục số 1'!AE48</f>
        <v>1950000</v>
      </c>
      <c r="Y26" s="4099"/>
      <c r="Z26" s="4099">
        <f t="shared" si="22"/>
        <v>1950000</v>
      </c>
      <c r="AA26" s="4099">
        <f>'[2]Phụ lục số 1'!AI48</f>
        <v>1950000</v>
      </c>
      <c r="AB26" s="4099"/>
      <c r="AC26" s="4098">
        <f t="shared" si="11"/>
        <v>100</v>
      </c>
      <c r="AD26" s="4099">
        <f t="shared" si="12"/>
        <v>0</v>
      </c>
      <c r="AE26" s="4100">
        <f t="shared" si="13"/>
        <v>121.875</v>
      </c>
      <c r="AF26" s="4097">
        <f t="shared" si="14"/>
        <v>350000</v>
      </c>
      <c r="AG26" s="4101"/>
      <c r="AK26" s="4102"/>
      <c r="AM26" s="4102"/>
      <c r="AO26" s="4103"/>
      <c r="AP26" s="4104"/>
    </row>
    <row r="27" spans="1:42">
      <c r="A27" s="703" t="s">
        <v>33</v>
      </c>
      <c r="B27" s="704" t="s">
        <v>1976</v>
      </c>
      <c r="C27" s="4113">
        <v>112461</v>
      </c>
      <c r="D27" s="4099">
        <f>'[6]MB61.1-342thu'!$F$60</f>
        <v>389783.37025500002</v>
      </c>
      <c r="E27" s="4099">
        <f>'[2]Phụ lục số 1'!C49</f>
        <v>150000</v>
      </c>
      <c r="F27" s="4099">
        <f>'[2]Phụ lục số 1'!D49</f>
        <v>150000</v>
      </c>
      <c r="G27" s="4099">
        <f t="shared" si="19"/>
        <v>0</v>
      </c>
      <c r="H27" s="4099"/>
      <c r="I27" s="4099"/>
      <c r="J27" s="4114">
        <v>251022</v>
      </c>
      <c r="K27" s="4095">
        <f>J27/E27%</f>
        <v>167.34800000000001</v>
      </c>
      <c r="L27" s="4099">
        <f>'[2]Phụ lục số 1'!T49</f>
        <v>150745.51999999999</v>
      </c>
      <c r="M27" s="4099">
        <f>'[2]Phụ lục số 1'!V49</f>
        <v>150745.51999999999</v>
      </c>
      <c r="N27" s="4099">
        <f t="shared" si="20"/>
        <v>0</v>
      </c>
      <c r="O27" s="4099"/>
      <c r="P27" s="4099"/>
      <c r="Q27" s="4096">
        <f>L27/E27%</f>
        <v>100.49701333333333</v>
      </c>
      <c r="R27" s="4097">
        <f t="shared" si="8"/>
        <v>745.51999999998952</v>
      </c>
      <c r="S27" s="4099">
        <v>157000</v>
      </c>
      <c r="T27" s="4099">
        <f>S27</f>
        <v>157000</v>
      </c>
      <c r="U27" s="4099">
        <f t="shared" si="21"/>
        <v>0</v>
      </c>
      <c r="V27" s="4099"/>
      <c r="W27" s="4099"/>
      <c r="X27" s="4099">
        <f>'[2]Phụ lục số 1'!AE49</f>
        <v>200000</v>
      </c>
      <c r="Y27" s="4099">
        <f>'[2]Phụ lục số 1'!AG49</f>
        <v>200000</v>
      </c>
      <c r="Z27" s="4099">
        <f t="shared" si="22"/>
        <v>0</v>
      </c>
      <c r="AA27" s="4099"/>
      <c r="AB27" s="4099"/>
      <c r="AC27" s="4098">
        <f t="shared" si="11"/>
        <v>132.67392623011284</v>
      </c>
      <c r="AD27" s="4099">
        <f t="shared" si="12"/>
        <v>49254.48000000001</v>
      </c>
      <c r="AE27" s="4100">
        <f t="shared" si="13"/>
        <v>133.33333333333331</v>
      </c>
      <c r="AF27" s="4097">
        <f t="shared" si="14"/>
        <v>50000</v>
      </c>
      <c r="AG27" s="4101"/>
      <c r="AK27" s="4102"/>
      <c r="AM27" s="4102"/>
      <c r="AO27" s="4103"/>
      <c r="AP27" s="4104"/>
    </row>
    <row r="28" spans="1:42" s="4127" customFormat="1">
      <c r="A28" s="4117" t="s">
        <v>37</v>
      </c>
      <c r="B28" s="4118" t="s">
        <v>38</v>
      </c>
      <c r="C28" s="2284">
        <f>SUM(C29:C31)</f>
        <v>9084495</v>
      </c>
      <c r="D28" s="2261">
        <v>0</v>
      </c>
      <c r="E28" s="2261">
        <f>SUM(E29:E31)</f>
        <v>13833216</v>
      </c>
      <c r="F28" s="2261">
        <f>SUM(F29:F31)</f>
        <v>0</v>
      </c>
      <c r="G28" s="2261">
        <f>H28+I28</f>
        <v>13833216</v>
      </c>
      <c r="H28" s="4119">
        <f>H29+H31</f>
        <v>9084495</v>
      </c>
      <c r="I28" s="4119">
        <f t="shared" ref="I28:K28" si="26">I29+I31</f>
        <v>4748721</v>
      </c>
      <c r="J28" s="4119">
        <f t="shared" si="26"/>
        <v>0</v>
      </c>
      <c r="K28" s="4119">
        <f t="shared" si="26"/>
        <v>0</v>
      </c>
      <c r="L28" s="2261">
        <f>SUM(L29:L31)</f>
        <v>13515418</v>
      </c>
      <c r="M28" s="2261">
        <f>SUM(M29:M31)</f>
        <v>0</v>
      </c>
      <c r="N28" s="2261">
        <f>O28+P28</f>
        <v>13515418</v>
      </c>
      <c r="O28" s="4119">
        <f>O29+O31</f>
        <v>9084495</v>
      </c>
      <c r="P28" s="4119">
        <f t="shared" ref="P28" si="27">P29+P31</f>
        <v>4430923</v>
      </c>
      <c r="Q28" s="4096">
        <f>L28/E28%</f>
        <v>97.702645574246802</v>
      </c>
      <c r="R28" s="4120">
        <f t="shared" si="8"/>
        <v>-317798</v>
      </c>
      <c r="S28" s="4119"/>
      <c r="T28" s="4119"/>
      <c r="U28" s="4119"/>
      <c r="V28" s="4119"/>
      <c r="W28" s="4119"/>
      <c r="X28" s="2261">
        <f>SUM(X29:X31)</f>
        <v>13920336</v>
      </c>
      <c r="Y28" s="2261">
        <f>SUM(Y29:Y31)</f>
        <v>0</v>
      </c>
      <c r="Z28" s="2261">
        <f>AA28+AB28</f>
        <v>13920336</v>
      </c>
      <c r="AA28" s="4119">
        <f>AA29+AA31</f>
        <v>9256479</v>
      </c>
      <c r="AB28" s="4119">
        <f t="shared" ref="AB28" si="28">AB29+AB31</f>
        <v>4663857</v>
      </c>
      <c r="AC28" s="4121">
        <f t="shared" si="11"/>
        <v>102.99597097181901</v>
      </c>
      <c r="AD28" s="4122">
        <f t="shared" si="12"/>
        <v>404918</v>
      </c>
      <c r="AE28" s="4123">
        <f t="shared" si="13"/>
        <v>100.62978847435042</v>
      </c>
      <c r="AF28" s="4124">
        <f t="shared" si="14"/>
        <v>87120</v>
      </c>
      <c r="AG28" s="4125"/>
      <c r="AH28" s="4126"/>
      <c r="AI28" s="4126"/>
      <c r="AK28" s="4128"/>
      <c r="AM28" s="4128"/>
      <c r="AO28" s="4129"/>
      <c r="AP28" s="4130"/>
    </row>
    <row r="29" spans="1:42">
      <c r="A29" s="4131" t="s">
        <v>3</v>
      </c>
      <c r="B29" s="4132" t="s">
        <v>39</v>
      </c>
      <c r="C29" s="2277">
        <f>'[8]Phụ lục số 1'!$N$53</f>
        <v>6487488</v>
      </c>
      <c r="D29" s="2275">
        <v>0</v>
      </c>
      <c r="E29" s="2275">
        <f>F29+G29</f>
        <v>10918411</v>
      </c>
      <c r="F29" s="2275"/>
      <c r="G29" s="2275">
        <f>H29+I29</f>
        <v>10918411</v>
      </c>
      <c r="H29" s="704">
        <f>'[2]Phụ lục số 1'!F53</f>
        <v>6487488</v>
      </c>
      <c r="I29" s="3890">
        <f>'[2]Phụ lục số 3.1'!E15</f>
        <v>4430923</v>
      </c>
      <c r="J29" s="704"/>
      <c r="K29" s="704"/>
      <c r="L29" s="2275">
        <f>M29+N29</f>
        <v>10918411</v>
      </c>
      <c r="M29" s="2275"/>
      <c r="N29" s="2275">
        <f>O29+P29</f>
        <v>10918411</v>
      </c>
      <c r="O29" s="704">
        <f>'[2]Phụ lục số 1'!X53</f>
        <v>6487488</v>
      </c>
      <c r="P29" s="704">
        <f>'[2]Phụ lục số 3.1'!H15</f>
        <v>4430923</v>
      </c>
      <c r="Q29" s="4096">
        <f t="shared" ref="Q29:Q36" si="29">L29/E29%</f>
        <v>100</v>
      </c>
      <c r="R29" s="4097">
        <f t="shared" si="8"/>
        <v>0</v>
      </c>
      <c r="S29" s="704"/>
      <c r="T29" s="704"/>
      <c r="U29" s="704"/>
      <c r="V29" s="704"/>
      <c r="W29" s="704"/>
      <c r="X29" s="2275">
        <f>Y29+Z29</f>
        <v>11048111</v>
      </c>
      <c r="Y29" s="2275"/>
      <c r="Z29" s="2275">
        <f>AA29+AB29</f>
        <v>11048111</v>
      </c>
      <c r="AA29" s="704">
        <f>'[2]Phụ lục số 1'!AI53</f>
        <v>6617188</v>
      </c>
      <c r="AB29" s="704">
        <f>'[2]Phụ lục số 3.1'!K15</f>
        <v>4430923</v>
      </c>
      <c r="AC29" s="4098">
        <f t="shared" si="11"/>
        <v>101.18790179266928</v>
      </c>
      <c r="AD29" s="4099">
        <f t="shared" si="12"/>
        <v>129700</v>
      </c>
      <c r="AE29" s="4133">
        <f t="shared" si="13"/>
        <v>101.18790179266928</v>
      </c>
      <c r="AF29" s="4134">
        <f t="shared" si="14"/>
        <v>129700</v>
      </c>
      <c r="AG29" s="2908"/>
    </row>
    <row r="30" spans="1:42">
      <c r="A30" s="4131"/>
      <c r="B30" s="4132" t="s">
        <v>40</v>
      </c>
      <c r="C30" s="2277"/>
      <c r="D30" s="2275"/>
      <c r="E30" s="2275"/>
      <c r="F30" s="2275"/>
      <c r="G30" s="2275"/>
      <c r="H30" s="704"/>
      <c r="I30" s="3890"/>
      <c r="J30" s="704"/>
      <c r="K30" s="704"/>
      <c r="L30" s="2275"/>
      <c r="M30" s="2275"/>
      <c r="N30" s="2275"/>
      <c r="O30" s="704"/>
      <c r="P30" s="704"/>
      <c r="Q30" s="4096" t="e">
        <f t="shared" si="29"/>
        <v>#DIV/0!</v>
      </c>
      <c r="R30" s="4097">
        <f t="shared" si="8"/>
        <v>0</v>
      </c>
      <c r="S30" s="704"/>
      <c r="T30" s="704"/>
      <c r="U30" s="704"/>
      <c r="V30" s="704"/>
      <c r="W30" s="704"/>
      <c r="X30" s="2275"/>
      <c r="Y30" s="2275"/>
      <c r="Z30" s="2275"/>
      <c r="AA30" s="704"/>
      <c r="AB30" s="704"/>
      <c r="AC30" s="4098" t="e">
        <f t="shared" si="11"/>
        <v>#DIV/0!</v>
      </c>
      <c r="AD30" s="4099">
        <f t="shared" si="12"/>
        <v>0</v>
      </c>
      <c r="AE30" s="4133" t="e">
        <f t="shared" si="13"/>
        <v>#DIV/0!</v>
      </c>
      <c r="AF30" s="4134">
        <f t="shared" si="14"/>
        <v>0</v>
      </c>
      <c r="AG30" s="2908"/>
    </row>
    <row r="31" spans="1:42">
      <c r="A31" s="4131" t="s">
        <v>33</v>
      </c>
      <c r="B31" s="4132" t="s">
        <v>41</v>
      </c>
      <c r="C31" s="2277">
        <f>SUM(C32:C34)</f>
        <v>2597007</v>
      </c>
      <c r="D31" s="2275">
        <v>0</v>
      </c>
      <c r="E31" s="2275">
        <f>SUM(E32:E34)</f>
        <v>2914805</v>
      </c>
      <c r="F31" s="2275">
        <f t="shared" ref="F31:K31" si="30">SUM(F32:F34)</f>
        <v>0</v>
      </c>
      <c r="G31" s="2275">
        <f t="shared" si="30"/>
        <v>2914805</v>
      </c>
      <c r="H31" s="2275">
        <f t="shared" si="30"/>
        <v>2597007</v>
      </c>
      <c r="I31" s="2276">
        <f t="shared" si="30"/>
        <v>317798</v>
      </c>
      <c r="J31" s="2275">
        <f t="shared" si="30"/>
        <v>0</v>
      </c>
      <c r="K31" s="2275">
        <f t="shared" si="30"/>
        <v>0</v>
      </c>
      <c r="L31" s="2275">
        <f>SUM(L32:L34)</f>
        <v>2597007</v>
      </c>
      <c r="M31" s="2275">
        <f t="shared" ref="M31:P31" si="31">SUM(M32:M34)</f>
        <v>0</v>
      </c>
      <c r="N31" s="2275">
        <f t="shared" si="31"/>
        <v>2597007</v>
      </c>
      <c r="O31" s="2275">
        <f t="shared" si="31"/>
        <v>2597007</v>
      </c>
      <c r="P31" s="2275">
        <f t="shared" si="31"/>
        <v>0</v>
      </c>
      <c r="Q31" s="4096">
        <f t="shared" si="29"/>
        <v>89.09710941212191</v>
      </c>
      <c r="R31" s="4097">
        <f t="shared" si="8"/>
        <v>-317798</v>
      </c>
      <c r="S31" s="704"/>
      <c r="T31" s="704"/>
      <c r="U31" s="704"/>
      <c r="V31" s="704"/>
      <c r="W31" s="704"/>
      <c r="X31" s="2275">
        <f>SUM(X32:X34)</f>
        <v>2872225</v>
      </c>
      <c r="Y31" s="2275">
        <f t="shared" ref="Y31:AB31" si="32">SUM(Y32:Y34)</f>
        <v>0</v>
      </c>
      <c r="Z31" s="2275">
        <f t="shared" si="32"/>
        <v>2872225</v>
      </c>
      <c r="AA31" s="2275">
        <f t="shared" si="32"/>
        <v>2639291</v>
      </c>
      <c r="AB31" s="2275">
        <f t="shared" si="32"/>
        <v>232934</v>
      </c>
      <c r="AC31" s="4098">
        <f t="shared" si="11"/>
        <v>110.59750705331174</v>
      </c>
      <c r="AD31" s="4099">
        <f t="shared" si="12"/>
        <v>275218</v>
      </c>
      <c r="AE31" s="4133">
        <f t="shared" si="13"/>
        <v>98.539181866368423</v>
      </c>
      <c r="AF31" s="4134">
        <f t="shared" si="14"/>
        <v>-42580</v>
      </c>
      <c r="AG31" s="2908"/>
    </row>
    <row r="32" spans="1:42" s="597" customFormat="1">
      <c r="A32" s="4131">
        <v>1</v>
      </c>
      <c r="B32" s="4135" t="s">
        <v>42</v>
      </c>
      <c r="C32" s="2277">
        <f>'[8]Phụ lục số 1'!$N$55</f>
        <v>2417971</v>
      </c>
      <c r="D32" s="2275">
        <v>0</v>
      </c>
      <c r="E32" s="2275">
        <f t="shared" ref="E32:E35" si="33">F32+G32</f>
        <v>2735769</v>
      </c>
      <c r="F32" s="2275"/>
      <c r="G32" s="2275">
        <f>H32+I32</f>
        <v>2735769</v>
      </c>
      <c r="H32" s="44">
        <f>'[2]Phụ lục số 1'!F56</f>
        <v>2417971</v>
      </c>
      <c r="I32" s="1653">
        <f>'[2]Phụ lục số 3.1'!E16</f>
        <v>317798</v>
      </c>
      <c r="J32" s="44"/>
      <c r="K32" s="44"/>
      <c r="L32" s="44">
        <f>M32+N32</f>
        <v>2417971</v>
      </c>
      <c r="M32" s="44"/>
      <c r="N32" s="44">
        <f>SUM(O32:P32)</f>
        <v>2417971</v>
      </c>
      <c r="O32" s="44">
        <f>'[2]Phụ lục số 1'!X56</f>
        <v>2417971</v>
      </c>
      <c r="P32" s="44">
        <f>'[2]Phụ lục số 3.1'!H17</f>
        <v>0</v>
      </c>
      <c r="Q32" s="4096">
        <f t="shared" si="29"/>
        <v>88.383595252376935</v>
      </c>
      <c r="R32" s="4136">
        <f t="shared" si="8"/>
        <v>-317798</v>
      </c>
      <c r="S32" s="44"/>
      <c r="T32" s="44"/>
      <c r="U32" s="44"/>
      <c r="V32" s="44"/>
      <c r="W32" s="44"/>
      <c r="X32" s="44">
        <f>Y32+Z32</f>
        <v>1814491</v>
      </c>
      <c r="Y32" s="44"/>
      <c r="Z32" s="44">
        <f>SUM(AA32:AB32)</f>
        <v>1814491</v>
      </c>
      <c r="AA32" s="44">
        <f>'[2]Phụ lục số 1'!AI56</f>
        <v>1814491</v>
      </c>
      <c r="AB32" s="44">
        <f>'[2]Phụ lục số 3.1'!K17</f>
        <v>0</v>
      </c>
      <c r="AC32" s="4098">
        <f t="shared" si="11"/>
        <v>75.041884290589095</v>
      </c>
      <c r="AD32" s="4099">
        <f t="shared" si="12"/>
        <v>-603480</v>
      </c>
      <c r="AE32" s="4133">
        <f t="shared" si="13"/>
        <v>66.324715281151299</v>
      </c>
      <c r="AF32" s="4134">
        <f t="shared" si="14"/>
        <v>-921278</v>
      </c>
      <c r="AG32" s="609"/>
      <c r="AP32" s="4137"/>
    </row>
    <row r="33" spans="1:42" s="597" customFormat="1">
      <c r="A33" s="4131">
        <v>2</v>
      </c>
      <c r="B33" s="4135" t="s">
        <v>43</v>
      </c>
      <c r="C33" s="2277">
        <f>'[8]Phụ lục số 1'!$N$56</f>
        <v>179036</v>
      </c>
      <c r="D33" s="2275">
        <v>0</v>
      </c>
      <c r="E33" s="2275">
        <f t="shared" si="33"/>
        <v>179036</v>
      </c>
      <c r="F33" s="2275"/>
      <c r="G33" s="2275">
        <f t="shared" ref="G33:G36" si="34">H33+I33</f>
        <v>179036</v>
      </c>
      <c r="H33" s="44">
        <f>'[2]Phụ lục số 1'!F57</f>
        <v>179036</v>
      </c>
      <c r="I33" s="44"/>
      <c r="J33" s="44"/>
      <c r="K33" s="44"/>
      <c r="L33" s="44">
        <f>M33+N33</f>
        <v>179036</v>
      </c>
      <c r="M33" s="44"/>
      <c r="N33" s="44">
        <f t="shared" ref="N33:N36" si="35">SUM(O33:P33)</f>
        <v>179036</v>
      </c>
      <c r="O33" s="44">
        <f>'[2]Phụ lục số 1'!X57</f>
        <v>179036</v>
      </c>
      <c r="P33" s="44"/>
      <c r="Q33" s="4096">
        <f t="shared" si="29"/>
        <v>100</v>
      </c>
      <c r="R33" s="4136">
        <f t="shared" si="8"/>
        <v>0</v>
      </c>
      <c r="S33" s="44"/>
      <c r="T33" s="44"/>
      <c r="U33" s="44"/>
      <c r="V33" s="44"/>
      <c r="W33" s="44"/>
      <c r="X33" s="44">
        <f>Y33+Z33</f>
        <v>174485</v>
      </c>
      <c r="Y33" s="44"/>
      <c r="Z33" s="44">
        <f t="shared" ref="Z33:Z36" si="36">SUM(AA33:AB33)</f>
        <v>174485</v>
      </c>
      <c r="AA33" s="44">
        <f>'[2]Phụ lục số 1'!AI57</f>
        <v>174485</v>
      </c>
      <c r="AB33" s="44"/>
      <c r="AC33" s="4098">
        <f t="shared" si="11"/>
        <v>97.458053128979643</v>
      </c>
      <c r="AD33" s="4099">
        <f t="shared" si="12"/>
        <v>-4551</v>
      </c>
      <c r="AE33" s="4133">
        <f t="shared" si="13"/>
        <v>97.458053128979643</v>
      </c>
      <c r="AF33" s="4134">
        <f t="shared" si="14"/>
        <v>-4551</v>
      </c>
      <c r="AG33" s="609"/>
      <c r="AP33" s="4137"/>
    </row>
    <row r="34" spans="1:42" s="597" customFormat="1">
      <c r="A34" s="4131">
        <v>3</v>
      </c>
      <c r="B34" s="4135" t="s">
        <v>2400</v>
      </c>
      <c r="C34" s="2277">
        <v>0</v>
      </c>
      <c r="D34" s="2275"/>
      <c r="E34" s="2275">
        <f t="shared" si="33"/>
        <v>0</v>
      </c>
      <c r="F34" s="2275">
        <f>C34</f>
        <v>0</v>
      </c>
      <c r="G34" s="2275">
        <f t="shared" si="34"/>
        <v>0</v>
      </c>
      <c r="H34" s="44"/>
      <c r="I34" s="44"/>
      <c r="J34" s="44"/>
      <c r="K34" s="44"/>
      <c r="L34" s="44">
        <f>M34+N34</f>
        <v>0</v>
      </c>
      <c r="M34" s="44"/>
      <c r="N34" s="44">
        <f t="shared" si="35"/>
        <v>0</v>
      </c>
      <c r="O34" s="44"/>
      <c r="P34" s="44"/>
      <c r="Q34" s="4096"/>
      <c r="R34" s="4136">
        <f t="shared" si="8"/>
        <v>0</v>
      </c>
      <c r="S34" s="44"/>
      <c r="T34" s="44"/>
      <c r="U34" s="44"/>
      <c r="V34" s="44"/>
      <c r="W34" s="44"/>
      <c r="X34" s="44">
        <f>Y34+Z34</f>
        <v>883249</v>
      </c>
      <c r="Y34" s="44"/>
      <c r="Z34" s="44">
        <f t="shared" si="36"/>
        <v>883249</v>
      </c>
      <c r="AA34" s="44">
        <f>'[2]Phụ lục số 1'!AI58</f>
        <v>650315</v>
      </c>
      <c r="AB34" s="44">
        <f>'[2]Phụ lục số 3.1'!K19</f>
        <v>232934</v>
      </c>
      <c r="AC34" s="4098"/>
      <c r="AD34" s="4099">
        <f t="shared" si="12"/>
        <v>883249</v>
      </c>
      <c r="AE34" s="4133"/>
      <c r="AF34" s="4134">
        <f t="shared" si="14"/>
        <v>883249</v>
      </c>
      <c r="AG34" s="609"/>
      <c r="AP34" s="4137"/>
    </row>
    <row r="35" spans="1:42" s="685" customFormat="1" ht="34.799999999999997">
      <c r="A35" s="4117" t="s">
        <v>44</v>
      </c>
      <c r="B35" s="4118" t="s">
        <v>45</v>
      </c>
      <c r="C35" s="2284">
        <f>'[8]Phụ lục số 1'!$N$57</f>
        <v>0</v>
      </c>
      <c r="D35" s="2261">
        <v>0</v>
      </c>
      <c r="E35" s="2261">
        <f t="shared" si="33"/>
        <v>0</v>
      </c>
      <c r="F35" s="2261">
        <f>C35</f>
        <v>0</v>
      </c>
      <c r="G35" s="2281">
        <f t="shared" si="34"/>
        <v>0</v>
      </c>
      <c r="H35" s="3885"/>
      <c r="I35" s="3885"/>
      <c r="J35" s="3885"/>
      <c r="K35" s="3885"/>
      <c r="L35" s="3885">
        <f t="shared" ref="L35:L36" si="37">M35+N35</f>
        <v>431000</v>
      </c>
      <c r="M35" s="3885"/>
      <c r="N35" s="3885">
        <f t="shared" si="35"/>
        <v>431000</v>
      </c>
      <c r="O35" s="3885">
        <f>'[2]Phụ lục số 1'!X59</f>
        <v>89700</v>
      </c>
      <c r="P35" s="3885">
        <f>'[2]Phụ lục số 1'!Y59</f>
        <v>341300</v>
      </c>
      <c r="Q35" s="4096"/>
      <c r="R35" s="4124">
        <f t="shared" si="8"/>
        <v>431000</v>
      </c>
      <c r="S35" s="3885"/>
      <c r="T35" s="3885"/>
      <c r="U35" s="3885"/>
      <c r="V35" s="3885"/>
      <c r="W35" s="3885"/>
      <c r="X35" s="3885">
        <f t="shared" ref="X35:X36" si="38">Y35+Z35</f>
        <v>886000</v>
      </c>
      <c r="Y35" s="3885"/>
      <c r="Z35" s="3885">
        <f t="shared" si="36"/>
        <v>886000</v>
      </c>
      <c r="AA35" s="3885">
        <f>'[2]Phụ lục số 1'!AI59</f>
        <v>0</v>
      </c>
      <c r="AB35" s="3885">
        <f>'[2]Phụ lục số 1'!AJ59</f>
        <v>886000</v>
      </c>
      <c r="AC35" s="4121">
        <f t="shared" si="11"/>
        <v>205.56844547563804</v>
      </c>
      <c r="AD35" s="4122">
        <f t="shared" si="12"/>
        <v>455000</v>
      </c>
      <c r="AE35" s="4123"/>
      <c r="AF35" s="4124">
        <f t="shared" si="14"/>
        <v>886000</v>
      </c>
      <c r="AG35" s="2918"/>
      <c r="AP35" s="4017"/>
    </row>
    <row r="36" spans="1:42" s="685" customFormat="1">
      <c r="A36" s="4117" t="s">
        <v>46</v>
      </c>
      <c r="B36" s="4118" t="s">
        <v>47</v>
      </c>
      <c r="C36" s="2284">
        <f>'[8]Phụ lục số 1'!$N$58</f>
        <v>31500</v>
      </c>
      <c r="D36" s="2261"/>
      <c r="E36" s="2261">
        <f>F36+G36</f>
        <v>31500</v>
      </c>
      <c r="F36" s="2261"/>
      <c r="G36" s="2281">
        <f t="shared" si="34"/>
        <v>31500</v>
      </c>
      <c r="H36" s="3885">
        <f>'[2]Phụ lục số 1'!F60</f>
        <v>31500</v>
      </c>
      <c r="I36" s="3885"/>
      <c r="J36" s="3885"/>
      <c r="K36" s="3885"/>
      <c r="L36" s="3885">
        <f t="shared" si="37"/>
        <v>31500</v>
      </c>
      <c r="M36" s="3885"/>
      <c r="N36" s="3885">
        <f t="shared" si="35"/>
        <v>31500</v>
      </c>
      <c r="O36" s="3885">
        <f>'[2]Phụ lục số 1'!X60</f>
        <v>31500</v>
      </c>
      <c r="P36" s="3885"/>
      <c r="Q36" s="4096">
        <f t="shared" si="29"/>
        <v>100</v>
      </c>
      <c r="R36" s="4120">
        <f t="shared" si="8"/>
        <v>0</v>
      </c>
      <c r="S36" s="3885"/>
      <c r="T36" s="3885"/>
      <c r="U36" s="3885"/>
      <c r="V36" s="3885"/>
      <c r="W36" s="3885"/>
      <c r="X36" s="3885">
        <f t="shared" si="38"/>
        <v>0</v>
      </c>
      <c r="Y36" s="3885"/>
      <c r="Z36" s="3885">
        <f t="shared" si="36"/>
        <v>0</v>
      </c>
      <c r="AA36" s="3885">
        <f>'[2]Phụ lục số 1'!AI60</f>
        <v>0</v>
      </c>
      <c r="AB36" s="3885"/>
      <c r="AC36" s="4121">
        <f t="shared" si="11"/>
        <v>0</v>
      </c>
      <c r="AD36" s="4122">
        <f t="shared" si="12"/>
        <v>-31500</v>
      </c>
      <c r="AE36" s="4123">
        <f t="shared" si="13"/>
        <v>0</v>
      </c>
      <c r="AF36" s="4124">
        <f t="shared" si="14"/>
        <v>-31500</v>
      </c>
      <c r="AG36" s="2918"/>
      <c r="AP36" s="4017"/>
    </row>
    <row r="37" spans="1:42" s="708" customFormat="1" ht="17.399999999999999">
      <c r="A37" s="4117"/>
      <c r="B37" s="4118" t="s">
        <v>2401</v>
      </c>
      <c r="C37" s="2284" t="e">
        <f t="shared" ref="C37:D37" si="39">SUM(#REF!,C28,C35,C36)</f>
        <v>#REF!</v>
      </c>
      <c r="D37" s="2261" t="e">
        <f t="shared" si="39"/>
        <v>#REF!</v>
      </c>
      <c r="E37" s="2261">
        <f>E36+E35+E28+E7</f>
        <v>21454716</v>
      </c>
      <c r="F37" s="2261">
        <f t="shared" ref="F37:AB37" si="40">F36+F35+F28+F7</f>
        <v>886000</v>
      </c>
      <c r="G37" s="2261">
        <f t="shared" si="40"/>
        <v>20568716</v>
      </c>
      <c r="H37" s="2261">
        <f t="shared" si="40"/>
        <v>12922645</v>
      </c>
      <c r="I37" s="2261">
        <f t="shared" si="40"/>
        <v>7646071</v>
      </c>
      <c r="J37" s="2261">
        <f t="shared" si="40"/>
        <v>4941850</v>
      </c>
      <c r="K37" s="2261">
        <f t="shared" si="40"/>
        <v>65.110013175230563</v>
      </c>
      <c r="L37" s="2261">
        <f t="shared" si="40"/>
        <v>22128663.32</v>
      </c>
      <c r="M37" s="2261">
        <f t="shared" si="40"/>
        <v>700345.52</v>
      </c>
      <c r="N37" s="2261">
        <f t="shared" si="40"/>
        <v>21428317.800000001</v>
      </c>
      <c r="O37" s="2261">
        <f t="shared" si="40"/>
        <v>13068045.733333334</v>
      </c>
      <c r="P37" s="2261">
        <f t="shared" si="40"/>
        <v>8360272.0666666664</v>
      </c>
      <c r="Q37" s="4048"/>
      <c r="R37" s="4124">
        <f t="shared" si="8"/>
        <v>673947.3200000003</v>
      </c>
      <c r="S37" s="2261">
        <f t="shared" si="40"/>
        <v>8914000</v>
      </c>
      <c r="T37" s="2261">
        <f t="shared" si="40"/>
        <v>738000</v>
      </c>
      <c r="U37" s="2261">
        <f t="shared" si="40"/>
        <v>8175930</v>
      </c>
      <c r="V37" s="2261">
        <f t="shared" si="40"/>
        <v>4422430</v>
      </c>
      <c r="W37" s="2261">
        <f t="shared" si="40"/>
        <v>3753500</v>
      </c>
      <c r="X37" s="2261">
        <f t="shared" si="40"/>
        <v>24072336</v>
      </c>
      <c r="Y37" s="2261">
        <f t="shared" si="40"/>
        <v>781000</v>
      </c>
      <c r="Z37" s="2261">
        <f t="shared" si="40"/>
        <v>23291266</v>
      </c>
      <c r="AA37" s="2261">
        <f t="shared" si="40"/>
        <v>13802329</v>
      </c>
      <c r="AB37" s="2261">
        <f t="shared" si="40"/>
        <v>9488937</v>
      </c>
      <c r="AC37" s="4121">
        <f t="shared" si="11"/>
        <v>108.78350694704319</v>
      </c>
      <c r="AD37" s="4122">
        <f t="shared" si="12"/>
        <v>1943672.6799999997</v>
      </c>
      <c r="AE37" s="4123">
        <f t="shared" si="13"/>
        <v>112.20067420142033</v>
      </c>
      <c r="AF37" s="4124">
        <f t="shared" si="14"/>
        <v>2617620</v>
      </c>
      <c r="AG37" s="2906"/>
      <c r="AP37" s="4138"/>
    </row>
    <row r="38" spans="1:42" s="708" customFormat="1" ht="17.399999999999999">
      <c r="A38" s="4139" t="s">
        <v>725</v>
      </c>
      <c r="B38" s="2293" t="s">
        <v>2402</v>
      </c>
      <c r="C38" s="2906"/>
      <c r="D38" s="2906"/>
      <c r="E38" s="701">
        <f>F38+G38</f>
        <v>20568716</v>
      </c>
      <c r="F38" s="701"/>
      <c r="G38" s="701">
        <f>G39+G56+G60+G61</f>
        <v>20568716</v>
      </c>
      <c r="H38" s="701">
        <f t="shared" ref="H38:I38" si="41">H39+H56+H60+H61</f>
        <v>12922645</v>
      </c>
      <c r="I38" s="701">
        <f t="shared" si="41"/>
        <v>7646071</v>
      </c>
      <c r="J38" s="2906"/>
      <c r="K38" s="2906"/>
      <c r="L38" s="701">
        <f>M38+N38</f>
        <v>22040415.066666666</v>
      </c>
      <c r="M38" s="701"/>
      <c r="N38" s="701">
        <f>N39+N56+N60+N61</f>
        <v>22040415.066666666</v>
      </c>
      <c r="O38" s="701">
        <f t="shared" ref="O38:P38" si="42">O39+O56+O60+O61</f>
        <v>13362345</v>
      </c>
      <c r="P38" s="701">
        <f t="shared" si="42"/>
        <v>8678070.0666666664</v>
      </c>
      <c r="Q38" s="2906">
        <f>L38/E38*100</f>
        <v>107.15503615620278</v>
      </c>
      <c r="R38" s="4124">
        <f t="shared" si="8"/>
        <v>1471699.0666666664</v>
      </c>
      <c r="S38" s="2906"/>
      <c r="T38" s="2906"/>
      <c r="U38" s="2906"/>
      <c r="V38" s="2906"/>
      <c r="W38" s="2906"/>
      <c r="X38" s="701">
        <f>Y38+Z38</f>
        <v>23710732.264000002</v>
      </c>
      <c r="Y38" s="701"/>
      <c r="Z38" s="701">
        <f>Z39+Z56+Z60+Z61</f>
        <v>23710732.264000002</v>
      </c>
      <c r="AA38" s="701">
        <f>AA39+AA56+AA60+AA61</f>
        <v>13802328.916000001</v>
      </c>
      <c r="AB38" s="701">
        <f>AB39+AB56+AB60+AB61</f>
        <v>9908403.3479999993</v>
      </c>
      <c r="AC38" s="4121">
        <f t="shared" si="11"/>
        <v>107.57842895553939</v>
      </c>
      <c r="AD38" s="4122">
        <f t="shared" si="12"/>
        <v>1670317.1973333359</v>
      </c>
      <c r="AE38" s="4123">
        <f t="shared" si="13"/>
        <v>115.27570444358317</v>
      </c>
      <c r="AF38" s="4124">
        <f t="shared" si="14"/>
        <v>3142016.2640000023</v>
      </c>
      <c r="AG38" s="2906"/>
      <c r="AP38" s="4138"/>
    </row>
    <row r="39" spans="1:42" s="685" customFormat="1" ht="17.399999999999999">
      <c r="A39" s="683" t="s">
        <v>3</v>
      </c>
      <c r="B39" s="2779" t="s">
        <v>142</v>
      </c>
      <c r="C39" s="2918"/>
      <c r="D39" s="2918"/>
      <c r="E39" s="3885">
        <f>F39+G39</f>
        <v>13191488</v>
      </c>
      <c r="F39" s="3885"/>
      <c r="G39" s="3885">
        <f>SUM(H39:I39)</f>
        <v>13191488</v>
      </c>
      <c r="H39" s="3885">
        <f>H40+H46+H50+H51+H52+H53+H54+H55</f>
        <v>5545417</v>
      </c>
      <c r="I39" s="3885">
        <f>I40+I46+I50+I51+I52+I53+I54+I55</f>
        <v>7646071</v>
      </c>
      <c r="J39" s="2918"/>
      <c r="K39" s="2918"/>
      <c r="L39" s="3885">
        <f>M39+N39</f>
        <v>14663187.066666666</v>
      </c>
      <c r="M39" s="3885"/>
      <c r="N39" s="3885">
        <f>SUM(O39:P39)</f>
        <v>14663187.066666666</v>
      </c>
      <c r="O39" s="3885">
        <f>O40+O46+O50+O51+O52+O53+O54+O55</f>
        <v>5985117</v>
      </c>
      <c r="P39" s="3885">
        <f>P40+P46+P50+P51+P52+P53+P54+P55</f>
        <v>8678070.0666666664</v>
      </c>
      <c r="Q39" s="2906">
        <f t="shared" ref="Q39:Q61" si="43">L39/E39*100</f>
        <v>111.15642956023359</v>
      </c>
      <c r="R39" s="4124">
        <f t="shared" si="8"/>
        <v>1471699.0666666664</v>
      </c>
      <c r="S39" s="2918"/>
      <c r="T39" s="2918"/>
      <c r="U39" s="2918"/>
      <c r="V39" s="2918"/>
      <c r="W39" s="2918"/>
      <c r="X39" s="3885">
        <f>Y39+Z39</f>
        <v>16638432.915999999</v>
      </c>
      <c r="Y39" s="3885"/>
      <c r="Z39" s="3885">
        <f>SUM(AA39:AB39)</f>
        <v>16638432.915999999</v>
      </c>
      <c r="AA39" s="3885">
        <f>AA40+AA46+AA50+AA51+AA52+AA53+AA54+AA55</f>
        <v>6730029.568</v>
      </c>
      <c r="AB39" s="3885">
        <f>AB40+AB46+AB50+AB51+AB52+AB53+AB54+AB55</f>
        <v>9908403.3479999993</v>
      </c>
      <c r="AC39" s="4121">
        <f t="shared" si="11"/>
        <v>113.47078121797678</v>
      </c>
      <c r="AD39" s="4122">
        <f t="shared" si="12"/>
        <v>1975245.8493333329</v>
      </c>
      <c r="AE39" s="4123">
        <f t="shared" si="13"/>
        <v>126.13006899600711</v>
      </c>
      <c r="AF39" s="4124">
        <f t="shared" si="14"/>
        <v>3446944.9159999993</v>
      </c>
      <c r="AG39" s="2918"/>
      <c r="AP39" s="4017"/>
    </row>
    <row r="40" spans="1:42" s="685" customFormat="1" ht="17.399999999999999">
      <c r="A40" s="683">
        <v>1</v>
      </c>
      <c r="B40" s="2779" t="s">
        <v>208</v>
      </c>
      <c r="C40" s="2918"/>
      <c r="D40" s="2918"/>
      <c r="E40" s="3885">
        <f>F40+G40</f>
        <v>3561000</v>
      </c>
      <c r="F40" s="3885"/>
      <c r="G40" s="3885">
        <f>SUM(H40:I40)</f>
        <v>3561000</v>
      </c>
      <c r="H40" s="3885">
        <f>SUM(H41:H45)</f>
        <v>2240000</v>
      </c>
      <c r="I40" s="3885">
        <f>SUM(I41:I45)</f>
        <v>1321000</v>
      </c>
      <c r="J40" s="2918"/>
      <c r="K40" s="2918"/>
      <c r="L40" s="3885">
        <f>M40+N40</f>
        <v>4091000</v>
      </c>
      <c r="M40" s="3885"/>
      <c r="N40" s="3885">
        <f>SUM(O40:P40)</f>
        <v>4091000</v>
      </c>
      <c r="O40" s="3885">
        <f>SUM(O41:O45)</f>
        <v>2590000</v>
      </c>
      <c r="P40" s="3885">
        <f>SUM(P41:P45)</f>
        <v>1501000</v>
      </c>
      <c r="Q40" s="2906">
        <f t="shared" si="43"/>
        <v>114.88345970233081</v>
      </c>
      <c r="R40" s="4120">
        <f t="shared" si="8"/>
        <v>530000</v>
      </c>
      <c r="S40" s="2918"/>
      <c r="T40" s="2918"/>
      <c r="U40" s="2918"/>
      <c r="V40" s="2918"/>
      <c r="W40" s="2918"/>
      <c r="X40" s="3885">
        <f>Y40+Z40</f>
        <v>4923186.4089698764</v>
      </c>
      <c r="Y40" s="3885"/>
      <c r="Z40" s="3885">
        <f>SUM(AA40:AB40)</f>
        <v>4923186.4089698764</v>
      </c>
      <c r="AA40" s="3885">
        <f>SUM(AA41:AA45)</f>
        <v>3199186</v>
      </c>
      <c r="AB40" s="3885">
        <f>SUM(AB41:AB45)</f>
        <v>1724000.4089698761</v>
      </c>
      <c r="AC40" s="4121">
        <f t="shared" si="11"/>
        <v>120.34188239965475</v>
      </c>
      <c r="AD40" s="4122">
        <f t="shared" si="12"/>
        <v>832186.40896987636</v>
      </c>
      <c r="AE40" s="4123">
        <f t="shared" si="13"/>
        <v>138.25291797163371</v>
      </c>
      <c r="AF40" s="4124">
        <f t="shared" si="14"/>
        <v>1362186.4089698764</v>
      </c>
      <c r="AG40" s="2918"/>
      <c r="AP40" s="4017"/>
    </row>
    <row r="41" spans="1:42">
      <c r="A41" s="1016" t="s">
        <v>29</v>
      </c>
      <c r="B41" s="43" t="s">
        <v>143</v>
      </c>
      <c r="C41" s="2908"/>
      <c r="D41" s="2908"/>
      <c r="E41" s="704">
        <f t="shared" ref="E41:E46" si="44">F41+G41</f>
        <v>1061000</v>
      </c>
      <c r="F41" s="704"/>
      <c r="G41" s="704">
        <f t="shared" ref="G41:G45" si="45">SUM(H41:I41)</f>
        <v>1061000</v>
      </c>
      <c r="H41" s="704">
        <f>'[2]Phụ lục số 3'!D25</f>
        <v>540000</v>
      </c>
      <c r="I41" s="704">
        <f>'[2]Phụ lục số 3'!E25</f>
        <v>521000</v>
      </c>
      <c r="J41" s="2908"/>
      <c r="K41" s="2908"/>
      <c r="L41" s="704">
        <f t="shared" ref="L41:L46" si="46">M41+N41</f>
        <v>1061000</v>
      </c>
      <c r="M41" s="704"/>
      <c r="N41" s="704">
        <f t="shared" ref="N41:N45" si="47">SUM(O41:P41)</f>
        <v>1061000</v>
      </c>
      <c r="O41" s="704">
        <f>'[2]Phụ lục số 3.1'!G25</f>
        <v>540000</v>
      </c>
      <c r="P41" s="704">
        <f>'[2]Phụ lục số 3.1'!H25</f>
        <v>521000</v>
      </c>
      <c r="Q41" s="2908">
        <f t="shared" si="43"/>
        <v>100</v>
      </c>
      <c r="R41" s="4097">
        <f t="shared" si="8"/>
        <v>0</v>
      </c>
      <c r="S41" s="2908"/>
      <c r="T41" s="2908"/>
      <c r="U41" s="2908"/>
      <c r="V41" s="2908"/>
      <c r="W41" s="2908"/>
      <c r="X41" s="704">
        <f t="shared" ref="X41:X46" si="48">Y41+Z41</f>
        <v>1143186.4089698761</v>
      </c>
      <c r="Y41" s="704"/>
      <c r="Z41" s="704">
        <f t="shared" ref="Z41:Z45" si="49">SUM(AA41:AB41)</f>
        <v>1143186.4089698761</v>
      </c>
      <c r="AA41" s="704">
        <f>'[2]Phụ lục số 3.1'!J25</f>
        <v>562186</v>
      </c>
      <c r="AB41" s="704">
        <f>'[2]Phụ lục số 3.1'!K25</f>
        <v>581000.40896987612</v>
      </c>
      <c r="AC41" s="4098">
        <f t="shared" si="11"/>
        <v>107.74612714136438</v>
      </c>
      <c r="AD41" s="4099">
        <f t="shared" si="12"/>
        <v>82186.408969876124</v>
      </c>
      <c r="AE41" s="4100">
        <f t="shared" si="13"/>
        <v>107.74612714136438</v>
      </c>
      <c r="AF41" s="4097">
        <f t="shared" si="14"/>
        <v>82186.408969876124</v>
      </c>
      <c r="AG41" s="2908"/>
    </row>
    <row r="42" spans="1:42">
      <c r="A42" s="1016" t="s">
        <v>29</v>
      </c>
      <c r="B42" s="43" t="s">
        <v>144</v>
      </c>
      <c r="C42" s="2908"/>
      <c r="D42" s="2908"/>
      <c r="E42" s="704">
        <f t="shared" si="44"/>
        <v>900000</v>
      </c>
      <c r="F42" s="704"/>
      <c r="G42" s="704">
        <f t="shared" si="45"/>
        <v>900000</v>
      </c>
      <c r="H42" s="704">
        <f>'[2]Phụ lục số 3'!D26</f>
        <v>100000</v>
      </c>
      <c r="I42" s="704">
        <f>'[2]Phụ lục số 3'!E26</f>
        <v>800000</v>
      </c>
      <c r="J42" s="2908"/>
      <c r="K42" s="2908"/>
      <c r="L42" s="704">
        <f t="shared" si="46"/>
        <v>1080000</v>
      </c>
      <c r="M42" s="704"/>
      <c r="N42" s="704">
        <f t="shared" si="47"/>
        <v>1080000</v>
      </c>
      <c r="O42" s="704">
        <f>'[2]Phụ lục số 3.1'!G26</f>
        <v>100000</v>
      </c>
      <c r="P42" s="704">
        <f>'[2]Phụ lục số 3.1'!H26</f>
        <v>980000</v>
      </c>
      <c r="Q42" s="2908">
        <f t="shared" si="43"/>
        <v>120</v>
      </c>
      <c r="R42" s="4097">
        <f t="shared" si="8"/>
        <v>180000</v>
      </c>
      <c r="S42" s="2908"/>
      <c r="T42" s="2908"/>
      <c r="U42" s="2908"/>
      <c r="V42" s="2908"/>
      <c r="W42" s="2908"/>
      <c r="X42" s="704">
        <f t="shared" si="48"/>
        <v>1770000</v>
      </c>
      <c r="Y42" s="704"/>
      <c r="Z42" s="704">
        <f t="shared" si="49"/>
        <v>1770000</v>
      </c>
      <c r="AA42" s="704">
        <f>'[2]Phụ lục số 3.1'!J26</f>
        <v>627000</v>
      </c>
      <c r="AB42" s="704">
        <f>'[2]Phụ lục số 3.1'!K26</f>
        <v>1143000</v>
      </c>
      <c r="AC42" s="4098">
        <f t="shared" si="11"/>
        <v>163.88888888888889</v>
      </c>
      <c r="AD42" s="4099">
        <f t="shared" si="12"/>
        <v>690000</v>
      </c>
      <c r="AE42" s="4100">
        <f t="shared" si="13"/>
        <v>196.66666666666666</v>
      </c>
      <c r="AF42" s="4097">
        <f t="shared" si="14"/>
        <v>870000</v>
      </c>
      <c r="AG42" s="2908"/>
    </row>
    <row r="43" spans="1:42">
      <c r="A43" s="1016" t="s">
        <v>29</v>
      </c>
      <c r="B43" s="44" t="s">
        <v>145</v>
      </c>
      <c r="C43" s="2908"/>
      <c r="D43" s="2908"/>
      <c r="E43" s="704">
        <f t="shared" si="44"/>
        <v>1600000</v>
      </c>
      <c r="F43" s="704"/>
      <c r="G43" s="704">
        <f t="shared" si="45"/>
        <v>1600000</v>
      </c>
      <c r="H43" s="704">
        <f>'[2]Phụ lục số 3'!D27</f>
        <v>1600000</v>
      </c>
      <c r="I43" s="704">
        <f>'[2]Phụ lục số 3'!E27</f>
        <v>0</v>
      </c>
      <c r="J43" s="2908"/>
      <c r="K43" s="2908"/>
      <c r="L43" s="704">
        <f t="shared" si="46"/>
        <v>1950000</v>
      </c>
      <c r="M43" s="704"/>
      <c r="N43" s="704">
        <f t="shared" si="47"/>
        <v>1950000</v>
      </c>
      <c r="O43" s="704">
        <f>'[2]Phụ lục số 3.1'!G27</f>
        <v>1950000</v>
      </c>
      <c r="P43" s="704">
        <f>'[2]Phụ lục số 3.1'!H27</f>
        <v>0</v>
      </c>
      <c r="Q43" s="2908">
        <f t="shared" si="43"/>
        <v>121.875</v>
      </c>
      <c r="R43" s="4097">
        <f t="shared" si="8"/>
        <v>350000</v>
      </c>
      <c r="S43" s="2908"/>
      <c r="T43" s="2908"/>
      <c r="U43" s="2908"/>
      <c r="V43" s="2908"/>
      <c r="W43" s="2908"/>
      <c r="X43" s="704">
        <f t="shared" si="48"/>
        <v>1950000</v>
      </c>
      <c r="Y43" s="704"/>
      <c r="Z43" s="704">
        <f t="shared" si="49"/>
        <v>1950000</v>
      </c>
      <c r="AA43" s="704">
        <f>'[2]Phụ lục số 3.1'!J27</f>
        <v>1950000</v>
      </c>
      <c r="AB43" s="704">
        <f>'[2]Phụ lục số 3.1'!K27</f>
        <v>0</v>
      </c>
      <c r="AC43" s="4098">
        <f t="shared" si="11"/>
        <v>100</v>
      </c>
      <c r="AD43" s="4099">
        <f>X43-L43</f>
        <v>0</v>
      </c>
      <c r="AE43" s="4100">
        <f t="shared" si="13"/>
        <v>121.875</v>
      </c>
      <c r="AF43" s="4097">
        <f t="shared" si="14"/>
        <v>350000</v>
      </c>
      <c r="AG43" s="2908"/>
    </row>
    <row r="44" spans="1:42">
      <c r="A44" s="1016" t="s">
        <v>29</v>
      </c>
      <c r="B44" s="44" t="str">
        <f>'[2]Phụ lục số 3'!B28</f>
        <v>Chi đầu tư từ nguồn thu thoái vốn doanh nghiệp nhà nước địa phương quản lý;…</v>
      </c>
      <c r="C44" s="2908"/>
      <c r="D44" s="2908"/>
      <c r="E44" s="704">
        <f t="shared" si="44"/>
        <v>0</v>
      </c>
      <c r="F44" s="704"/>
      <c r="G44" s="704">
        <f t="shared" si="45"/>
        <v>0</v>
      </c>
      <c r="H44" s="704">
        <f>'[2]Phụ lục số 3'!D28</f>
        <v>0</v>
      </c>
      <c r="I44" s="704">
        <f>'[2]Phụ lục số 3'!E28</f>
        <v>0</v>
      </c>
      <c r="J44" s="2908"/>
      <c r="K44" s="2908"/>
      <c r="L44" s="704">
        <f t="shared" si="46"/>
        <v>0</v>
      </c>
      <c r="M44" s="704"/>
      <c r="N44" s="704">
        <f t="shared" si="47"/>
        <v>0</v>
      </c>
      <c r="O44" s="704">
        <f>'[2]Phụ lục số 3.1'!G28</f>
        <v>0</v>
      </c>
      <c r="P44" s="704">
        <f>'[2]Phụ lục số 3.1'!H28</f>
        <v>0</v>
      </c>
      <c r="Q44" s="2908"/>
      <c r="R44" s="4097">
        <f t="shared" si="8"/>
        <v>0</v>
      </c>
      <c r="S44" s="2908"/>
      <c r="T44" s="2908"/>
      <c r="U44" s="2908"/>
      <c r="V44" s="2908"/>
      <c r="W44" s="2908"/>
      <c r="X44" s="704">
        <f t="shared" si="48"/>
        <v>0</v>
      </c>
      <c r="Y44" s="704"/>
      <c r="Z44" s="704">
        <f t="shared" si="49"/>
        <v>0</v>
      </c>
      <c r="AA44" s="704">
        <f>'[2]Phụ lục số 3.1'!J28</f>
        <v>0</v>
      </c>
      <c r="AB44" s="704">
        <f>'[2]Phụ lục số 3.1'!K28</f>
        <v>0</v>
      </c>
      <c r="AC44" s="4098"/>
      <c r="AD44" s="4099">
        <f t="shared" si="12"/>
        <v>0</v>
      </c>
      <c r="AE44" s="4100"/>
      <c r="AF44" s="4097">
        <f t="shared" si="14"/>
        <v>0</v>
      </c>
      <c r="AG44" s="2908"/>
      <c r="AH44" s="6314"/>
      <c r="AI44" s="6314"/>
    </row>
    <row r="45" spans="1:42">
      <c r="A45" s="1016" t="s">
        <v>29</v>
      </c>
      <c r="B45" s="44" t="str">
        <f>'[2]Phụ lục số 3'!B29</f>
        <v>Chi đầu tư phát triển khác (Ủy thác qua NH Chính sách xã hội chi nhánh tỉnh Đồng Tháp)</v>
      </c>
      <c r="C45" s="2908"/>
      <c r="D45" s="2908"/>
      <c r="E45" s="704">
        <f t="shared" si="44"/>
        <v>0</v>
      </c>
      <c r="F45" s="704"/>
      <c r="G45" s="704">
        <f t="shared" si="45"/>
        <v>0</v>
      </c>
      <c r="H45" s="704">
        <f>'[2]Phụ lục số 3'!D29</f>
        <v>0</v>
      </c>
      <c r="I45" s="704">
        <f>'[2]Phụ lục số 3'!E29</f>
        <v>0</v>
      </c>
      <c r="J45" s="2908"/>
      <c r="K45" s="2908"/>
      <c r="L45" s="704">
        <f t="shared" si="46"/>
        <v>0</v>
      </c>
      <c r="M45" s="704"/>
      <c r="N45" s="704">
        <f t="shared" si="47"/>
        <v>0</v>
      </c>
      <c r="O45" s="704">
        <f>'[2]Phụ lục số 3.1'!G29</f>
        <v>0</v>
      </c>
      <c r="P45" s="704">
        <f>'[2]Phụ lục số 3.1'!H29</f>
        <v>0</v>
      </c>
      <c r="Q45" s="2908"/>
      <c r="R45" s="4097">
        <f t="shared" si="8"/>
        <v>0</v>
      </c>
      <c r="S45" s="2908"/>
      <c r="T45" s="2908"/>
      <c r="U45" s="2908"/>
      <c r="V45" s="2908"/>
      <c r="W45" s="2908"/>
      <c r="X45" s="704">
        <f t="shared" si="48"/>
        <v>60000</v>
      </c>
      <c r="Y45" s="704"/>
      <c r="Z45" s="704">
        <f t="shared" si="49"/>
        <v>60000</v>
      </c>
      <c r="AA45" s="704">
        <f>'[2]Phụ lục số 3.1'!J29</f>
        <v>60000</v>
      </c>
      <c r="AB45" s="704">
        <f>'[2]Phụ lục số 3.1'!K29</f>
        <v>0</v>
      </c>
      <c r="AC45" s="4098"/>
      <c r="AD45" s="4099">
        <f t="shared" si="12"/>
        <v>60000</v>
      </c>
      <c r="AE45" s="4100"/>
      <c r="AF45" s="4097">
        <f t="shared" si="14"/>
        <v>60000</v>
      </c>
      <c r="AG45" s="2908"/>
      <c r="AH45" s="6314"/>
      <c r="AI45" s="6314"/>
    </row>
    <row r="46" spans="1:42" s="4143" customFormat="1" ht="17.399999999999999">
      <c r="A46" s="4140">
        <v>2</v>
      </c>
      <c r="B46" s="4141" t="s">
        <v>209</v>
      </c>
      <c r="C46" s="4142"/>
      <c r="D46" s="4142"/>
      <c r="E46" s="4142">
        <f t="shared" si="44"/>
        <v>9353865</v>
      </c>
      <c r="F46" s="4142"/>
      <c r="G46" s="4142">
        <f>SUM(H46:I46)</f>
        <v>9353865</v>
      </c>
      <c r="H46" s="4142">
        <f>'[2]Phụ lục số 3.1'!D30</f>
        <v>3168035</v>
      </c>
      <c r="I46" s="4142">
        <f>'[2]Phụ lục số 3.1'!E30</f>
        <v>6185830</v>
      </c>
      <c r="J46" s="4142"/>
      <c r="K46" s="4142"/>
      <c r="L46" s="4142">
        <f t="shared" si="46"/>
        <v>9353865</v>
      </c>
      <c r="M46" s="4142"/>
      <c r="N46" s="4142">
        <f>SUM(O46:P46)</f>
        <v>9353865</v>
      </c>
      <c r="O46" s="4142">
        <f>'[2]Phụ lục số 3.1'!G30</f>
        <v>3168035</v>
      </c>
      <c r="P46" s="4142">
        <f>'[2]Phụ lục số 3.1'!H30</f>
        <v>6185830</v>
      </c>
      <c r="Q46" s="2906">
        <f t="shared" si="43"/>
        <v>100</v>
      </c>
      <c r="R46" s="4124">
        <f t="shared" si="8"/>
        <v>0</v>
      </c>
      <c r="S46" s="4142"/>
      <c r="T46" s="4142"/>
      <c r="U46" s="4142"/>
      <c r="V46" s="4142"/>
      <c r="W46" s="4142"/>
      <c r="X46" s="4142">
        <f t="shared" si="48"/>
        <v>10664978.394711081</v>
      </c>
      <c r="Y46" s="4142"/>
      <c r="Z46" s="4142">
        <f>SUM(AA46:AB46)</f>
        <v>10664978.394711081</v>
      </c>
      <c r="AA46" s="4142">
        <f>'[2]Phụ lục số 3.1'!J30</f>
        <v>3294440</v>
      </c>
      <c r="AB46" s="4142">
        <f>'[2]Phụ lục số 3.1'!K30</f>
        <v>7370538.3947110809</v>
      </c>
      <c r="AC46" s="4121">
        <f t="shared" si="11"/>
        <v>114.01680903787985</v>
      </c>
      <c r="AD46" s="4122">
        <f t="shared" si="12"/>
        <v>1311113.3947110809</v>
      </c>
      <c r="AE46" s="4123">
        <f t="shared" si="13"/>
        <v>114.01680903787985</v>
      </c>
      <c r="AF46" s="4124">
        <f t="shared" si="14"/>
        <v>1311113.3947110809</v>
      </c>
      <c r="AG46" s="4142"/>
      <c r="AP46" s="4144"/>
    </row>
    <row r="47" spans="1:42">
      <c r="A47" s="1016" t="s">
        <v>29</v>
      </c>
      <c r="B47" s="43" t="s">
        <v>2403</v>
      </c>
      <c r="C47" s="2908"/>
      <c r="D47" s="2908"/>
      <c r="E47" s="704">
        <f>F47+G47</f>
        <v>4179745</v>
      </c>
      <c r="F47" s="704"/>
      <c r="G47" s="704">
        <f>SUM(H47:I47)</f>
        <v>4179745</v>
      </c>
      <c r="H47" s="704">
        <f>'[2]Phụ lục số 3.1'!D31</f>
        <v>1017035</v>
      </c>
      <c r="I47" s="704">
        <f>'[2]Phụ lục số 3.1'!E31</f>
        <v>3162710</v>
      </c>
      <c r="J47" s="2908"/>
      <c r="K47" s="2908"/>
      <c r="L47" s="704">
        <f>M47+N47</f>
        <v>4179745</v>
      </c>
      <c r="M47" s="704"/>
      <c r="N47" s="704">
        <f>SUM(O47:P47)</f>
        <v>4179745</v>
      </c>
      <c r="O47" s="704">
        <f>'[2]Phụ lục số 3.1'!G31</f>
        <v>1017035</v>
      </c>
      <c r="P47" s="704">
        <f>'[2]Phụ lục số 3.1'!H31</f>
        <v>3162710</v>
      </c>
      <c r="Q47" s="2908">
        <f t="shared" si="43"/>
        <v>100</v>
      </c>
      <c r="R47" s="4097">
        <f t="shared" si="8"/>
        <v>0</v>
      </c>
      <c r="S47" s="2908"/>
      <c r="T47" s="2908"/>
      <c r="U47" s="2908"/>
      <c r="V47" s="2908"/>
      <c r="W47" s="2908"/>
      <c r="X47" s="704">
        <f>Y47+Z47</f>
        <v>4797945.7831797441</v>
      </c>
      <c r="Y47" s="704"/>
      <c r="Z47" s="704">
        <f>SUM(AA47:AB47)</f>
        <v>4797945.7831797441</v>
      </c>
      <c r="AA47" s="704">
        <f>'[2]Phụ lục số 3.1'!J31</f>
        <v>956676</v>
      </c>
      <c r="AB47" s="704">
        <f>'[2]Phụ lục số 3.1'!K31</f>
        <v>3841269.7831797441</v>
      </c>
      <c r="AC47" s="4098">
        <f t="shared" si="11"/>
        <v>114.7903947054125</v>
      </c>
      <c r="AD47" s="4099">
        <f>X47-L47</f>
        <v>618200.78317974415</v>
      </c>
      <c r="AE47" s="4100">
        <f t="shared" si="13"/>
        <v>114.7903947054125</v>
      </c>
      <c r="AF47" s="4097">
        <f t="shared" si="14"/>
        <v>618200.78317974415</v>
      </c>
      <c r="AG47" s="2908"/>
    </row>
    <row r="48" spans="1:42">
      <c r="A48" s="1016" t="s">
        <v>29</v>
      </c>
      <c r="B48" s="43" t="s">
        <v>2404</v>
      </c>
      <c r="C48" s="2908"/>
      <c r="D48" s="2908"/>
      <c r="E48" s="704">
        <f t="shared" ref="E48" si="50">F48+G48</f>
        <v>31000</v>
      </c>
      <c r="F48" s="704"/>
      <c r="G48" s="704">
        <f>SUM(H48:I48)</f>
        <v>31000</v>
      </c>
      <c r="H48" s="704">
        <f>'[2]Phụ lục số 3.1'!D32</f>
        <v>31000</v>
      </c>
      <c r="I48" s="704">
        <f>'[2]Phụ lục số 3.1'!E32</f>
        <v>0</v>
      </c>
      <c r="J48" s="2908"/>
      <c r="K48" s="2908"/>
      <c r="L48" s="704">
        <f t="shared" ref="L48" si="51">M48+N48</f>
        <v>31000</v>
      </c>
      <c r="M48" s="704"/>
      <c r="N48" s="704">
        <f>SUM(O48:P48)</f>
        <v>31000</v>
      </c>
      <c r="O48" s="704">
        <f>'[2]Phụ lục số 3.1'!G32</f>
        <v>31000</v>
      </c>
      <c r="P48" s="704">
        <f>'[2]Phụ lục số 3.1'!H32</f>
        <v>0</v>
      </c>
      <c r="Q48" s="2908">
        <f t="shared" si="43"/>
        <v>100</v>
      </c>
      <c r="R48" s="4097">
        <f t="shared" si="8"/>
        <v>0</v>
      </c>
      <c r="S48" s="2908"/>
      <c r="T48" s="2908"/>
      <c r="U48" s="2908"/>
      <c r="V48" s="2908"/>
      <c r="W48" s="2908"/>
      <c r="X48" s="704">
        <f t="shared" ref="X48" si="52">Y48+Z48</f>
        <v>31218</v>
      </c>
      <c r="Y48" s="704"/>
      <c r="Z48" s="704">
        <f>SUM(AA48:AB48)</f>
        <v>31218</v>
      </c>
      <c r="AA48" s="704">
        <f>'[2]Phụ lục số 3.1'!J32</f>
        <v>31218</v>
      </c>
      <c r="AB48" s="704">
        <f>'[2]Phụ lục số 3.1'!K32</f>
        <v>0</v>
      </c>
      <c r="AC48" s="4098">
        <f t="shared" si="11"/>
        <v>100.70322580645161</v>
      </c>
      <c r="AD48" s="4099">
        <f t="shared" si="12"/>
        <v>218</v>
      </c>
      <c r="AE48" s="4100">
        <f t="shared" si="13"/>
        <v>100.70322580645161</v>
      </c>
      <c r="AF48" s="4097">
        <f t="shared" si="14"/>
        <v>218</v>
      </c>
      <c r="AG48" s="2908"/>
    </row>
    <row r="49" spans="1:42">
      <c r="A49" s="1016" t="s">
        <v>29</v>
      </c>
      <c r="B49" s="43" t="s">
        <v>2405</v>
      </c>
      <c r="C49" s="2908"/>
      <c r="D49" s="2908"/>
      <c r="E49" s="704">
        <f>F49+G49</f>
        <v>5143120</v>
      </c>
      <c r="F49" s="704"/>
      <c r="G49" s="704">
        <f>SUM(H49:I49)</f>
        <v>5143120</v>
      </c>
      <c r="H49" s="704">
        <f>'[2]Phụ lục số 3.1'!D33</f>
        <v>2120000</v>
      </c>
      <c r="I49" s="704">
        <f>'[2]Phụ lục số 3.1'!E33</f>
        <v>3023120</v>
      </c>
      <c r="J49" s="2908"/>
      <c r="K49" s="2908"/>
      <c r="L49" s="704">
        <f>M49+N49</f>
        <v>5143120</v>
      </c>
      <c r="M49" s="704"/>
      <c r="N49" s="704">
        <f>SUM(O49:P49)</f>
        <v>5143120</v>
      </c>
      <c r="O49" s="704">
        <f>'[2]Phụ lục số 3.1'!G33</f>
        <v>2120000</v>
      </c>
      <c r="P49" s="704">
        <f>'[2]Phụ lục số 3.1'!H33</f>
        <v>3023120</v>
      </c>
      <c r="Q49" s="2908">
        <f t="shared" si="43"/>
        <v>100</v>
      </c>
      <c r="R49" s="4097">
        <f t="shared" si="8"/>
        <v>0</v>
      </c>
      <c r="S49" s="2908"/>
      <c r="T49" s="2908"/>
      <c r="U49" s="2908"/>
      <c r="V49" s="2908"/>
      <c r="W49" s="2908"/>
      <c r="X49" s="704">
        <f>Y49+Z49</f>
        <v>5835814.6115313368</v>
      </c>
      <c r="Y49" s="704"/>
      <c r="Z49" s="704">
        <f>SUM(AA49:AB49)</f>
        <v>5835814.6115313368</v>
      </c>
      <c r="AA49" s="704">
        <f>'[2]Phụ lục số 3.1'!J33</f>
        <v>2306546</v>
      </c>
      <c r="AB49" s="704">
        <f>'[2]Phụ lục số 3.1'!K33</f>
        <v>3529268.6115313368</v>
      </c>
      <c r="AC49" s="4098">
        <f t="shared" si="11"/>
        <v>113.46837350735228</v>
      </c>
      <c r="AD49" s="4099">
        <f t="shared" si="12"/>
        <v>692694.61153133679</v>
      </c>
      <c r="AE49" s="4100">
        <f t="shared" si="13"/>
        <v>113.46837350735228</v>
      </c>
      <c r="AF49" s="4097">
        <f t="shared" si="14"/>
        <v>692694.61153133679</v>
      </c>
      <c r="AG49" s="2908"/>
    </row>
    <row r="50" spans="1:42" s="2710" customFormat="1" ht="17.399999999999999">
      <c r="A50" s="683">
        <v>3</v>
      </c>
      <c r="B50" s="4145" t="s">
        <v>210</v>
      </c>
      <c r="C50" s="619"/>
      <c r="D50" s="619"/>
      <c r="E50" s="2659">
        <f t="shared" ref="E50:E54" si="53">F50+G50</f>
        <v>0</v>
      </c>
      <c r="F50" s="2659"/>
      <c r="G50" s="2659">
        <f t="shared" ref="G50:G54" si="54">SUM(H50:I50)</f>
        <v>0</v>
      </c>
      <c r="H50" s="2659">
        <f>'[2]Phụ lục số 3.1'!D34</f>
        <v>0</v>
      </c>
      <c r="I50" s="2659">
        <f>'[2]Phụ lục số 3.1'!E34</f>
        <v>0</v>
      </c>
      <c r="J50" s="619"/>
      <c r="K50" s="619"/>
      <c r="L50" s="2659">
        <f t="shared" ref="L50:L54" si="55">M50+N50</f>
        <v>431000</v>
      </c>
      <c r="M50" s="2659"/>
      <c r="N50" s="2659">
        <f t="shared" ref="N50:N54" si="56">SUM(O50:P50)</f>
        <v>431000</v>
      </c>
      <c r="O50" s="2659">
        <f>'[2]Phụ lục số 3.1'!G34</f>
        <v>89700</v>
      </c>
      <c r="P50" s="2659">
        <f>'[2]Phụ lục số 3.1'!H34</f>
        <v>341300</v>
      </c>
      <c r="Q50" s="2918"/>
      <c r="R50" s="4120">
        <f t="shared" si="8"/>
        <v>431000</v>
      </c>
      <c r="S50" s="619"/>
      <c r="T50" s="619"/>
      <c r="U50" s="619"/>
      <c r="V50" s="619"/>
      <c r="W50" s="619"/>
      <c r="X50" s="2659">
        <f t="shared" ref="X50:X54" si="57">Y50+Z50</f>
        <v>0</v>
      </c>
      <c r="Y50" s="2659"/>
      <c r="Z50" s="2659">
        <f t="shared" ref="Z50:Z54" si="58">SUM(AA50:AB50)</f>
        <v>0</v>
      </c>
      <c r="AA50" s="3885">
        <f>'[2]Phụ lục số 3.1'!J34</f>
        <v>0</v>
      </c>
      <c r="AB50" s="3885">
        <f>'[2]Phụ lục số 3.1'!K34</f>
        <v>0</v>
      </c>
      <c r="AC50" s="4146">
        <f t="shared" si="11"/>
        <v>0</v>
      </c>
      <c r="AD50" s="4045">
        <f t="shared" si="12"/>
        <v>-431000</v>
      </c>
      <c r="AE50" s="4147"/>
      <c r="AF50" s="4120">
        <f t="shared" si="14"/>
        <v>0</v>
      </c>
      <c r="AG50" s="619"/>
      <c r="AP50" s="4074"/>
    </row>
    <row r="51" spans="1:42" s="2710" customFormat="1" ht="17.399999999999999">
      <c r="A51" s="683">
        <v>4</v>
      </c>
      <c r="B51" s="4145" t="s">
        <v>211</v>
      </c>
      <c r="C51" s="619"/>
      <c r="D51" s="619"/>
      <c r="E51" s="2659">
        <f t="shared" si="53"/>
        <v>0</v>
      </c>
      <c r="F51" s="2659"/>
      <c r="G51" s="2659">
        <f t="shared" si="54"/>
        <v>0</v>
      </c>
      <c r="H51" s="2659">
        <f>'[2]Phụ lục số 3.1'!D35</f>
        <v>0</v>
      </c>
      <c r="I51" s="2659">
        <f>'[2]Phụ lục số 3.1'!E35</f>
        <v>0</v>
      </c>
      <c r="J51" s="619"/>
      <c r="K51" s="619"/>
      <c r="L51" s="2659">
        <f t="shared" si="55"/>
        <v>357489.34666666656</v>
      </c>
      <c r="M51" s="2659"/>
      <c r="N51" s="2659">
        <f t="shared" si="56"/>
        <v>357489.34666666656</v>
      </c>
      <c r="O51" s="2659">
        <f>'[2]Phụ lục số 3.1'!G35</f>
        <v>0</v>
      </c>
      <c r="P51" s="2659">
        <f>'[2]Phụ lục số 3.1'!H35</f>
        <v>357489.34666666656</v>
      </c>
      <c r="Q51" s="2918"/>
      <c r="R51" s="4120">
        <f t="shared" si="8"/>
        <v>357489.34666666656</v>
      </c>
      <c r="S51" s="619"/>
      <c r="T51" s="619"/>
      <c r="U51" s="619"/>
      <c r="V51" s="619"/>
      <c r="W51" s="619"/>
      <c r="X51" s="2659">
        <f t="shared" si="57"/>
        <v>717399.2</v>
      </c>
      <c r="Y51" s="2659"/>
      <c r="Z51" s="2659">
        <f t="shared" si="58"/>
        <v>717399.2</v>
      </c>
      <c r="AA51" s="3885">
        <f>'[2]Phụ lục số 3.1'!J35</f>
        <v>79139.200000000012</v>
      </c>
      <c r="AB51" s="3885">
        <f>'[2]Phụ lục số 3.1'!K35</f>
        <v>638260</v>
      </c>
      <c r="AC51" s="4146">
        <f t="shared" si="11"/>
        <v>200.67708497868156</v>
      </c>
      <c r="AD51" s="4045">
        <f t="shared" si="12"/>
        <v>359909.85333333339</v>
      </c>
      <c r="AE51" s="4147"/>
      <c r="AF51" s="4120">
        <f t="shared" si="14"/>
        <v>717399.2</v>
      </c>
      <c r="AG51" s="619"/>
      <c r="AP51" s="4074"/>
    </row>
    <row r="52" spans="1:42" s="2710" customFormat="1" ht="17.399999999999999">
      <c r="A52" s="683">
        <v>5</v>
      </c>
      <c r="B52" s="45" t="s">
        <v>212</v>
      </c>
      <c r="C52" s="619"/>
      <c r="D52" s="619"/>
      <c r="E52" s="2659">
        <f t="shared" si="53"/>
        <v>0</v>
      </c>
      <c r="F52" s="2659"/>
      <c r="G52" s="2659">
        <f t="shared" si="54"/>
        <v>0</v>
      </c>
      <c r="H52" s="2659">
        <f>'[2]Phụ lục số 3.1'!D36</f>
        <v>0</v>
      </c>
      <c r="I52" s="2659">
        <f>'[2]Phụ lục số 3.1'!E36</f>
        <v>0</v>
      </c>
      <c r="J52" s="619"/>
      <c r="K52" s="619"/>
      <c r="L52" s="2659">
        <f t="shared" si="55"/>
        <v>153209.71999999997</v>
      </c>
      <c r="M52" s="2659"/>
      <c r="N52" s="2659">
        <f t="shared" si="56"/>
        <v>153209.71999999997</v>
      </c>
      <c r="O52" s="2659">
        <f>'[2]Phụ lục số 3.1'!G36</f>
        <v>0</v>
      </c>
      <c r="P52" s="2659">
        <f>'[2]Phụ lục số 3.1'!H36</f>
        <v>153209.71999999997</v>
      </c>
      <c r="Q52" s="2918"/>
      <c r="R52" s="4120">
        <f t="shared" si="8"/>
        <v>153209.71999999997</v>
      </c>
      <c r="S52" s="619"/>
      <c r="T52" s="619"/>
      <c r="U52" s="619"/>
      <c r="V52" s="619"/>
      <c r="W52" s="619"/>
      <c r="X52" s="2659">
        <f t="shared" si="57"/>
        <v>0</v>
      </c>
      <c r="Y52" s="2659"/>
      <c r="Z52" s="2659">
        <f t="shared" si="58"/>
        <v>0</v>
      </c>
      <c r="AA52" s="3885">
        <f>'[2]Phụ lục số 3.1'!J36</f>
        <v>0</v>
      </c>
      <c r="AB52" s="3885">
        <f>'[2]Phụ lục số 3.1'!K36</f>
        <v>0</v>
      </c>
      <c r="AC52" s="4146">
        <f t="shared" si="11"/>
        <v>0</v>
      </c>
      <c r="AD52" s="4045">
        <f t="shared" si="12"/>
        <v>-153209.71999999997</v>
      </c>
      <c r="AE52" s="4147"/>
      <c r="AF52" s="4120">
        <f t="shared" si="14"/>
        <v>0</v>
      </c>
      <c r="AG52" s="619"/>
      <c r="AP52" s="4074"/>
    </row>
    <row r="53" spans="1:42" s="2710" customFormat="1" ht="17.399999999999999">
      <c r="A53" s="683">
        <v>6</v>
      </c>
      <c r="B53" s="2779" t="s">
        <v>174</v>
      </c>
      <c r="C53" s="619"/>
      <c r="D53" s="619"/>
      <c r="E53" s="2659">
        <f t="shared" si="53"/>
        <v>2000</v>
      </c>
      <c r="F53" s="2659"/>
      <c r="G53" s="2659">
        <f t="shared" si="54"/>
        <v>2000</v>
      </c>
      <c r="H53" s="2659">
        <f>'[2]Phụ lục số 3.1'!D37</f>
        <v>2000</v>
      </c>
      <c r="I53" s="2659">
        <f>'[2]Phụ lục số 3.1'!E37</f>
        <v>0</v>
      </c>
      <c r="J53" s="619"/>
      <c r="K53" s="619"/>
      <c r="L53" s="2659">
        <f t="shared" si="55"/>
        <v>2000</v>
      </c>
      <c r="M53" s="2659"/>
      <c r="N53" s="2659">
        <f t="shared" si="56"/>
        <v>2000</v>
      </c>
      <c r="O53" s="2659">
        <f>'[2]Phụ lục số 3.1'!G37</f>
        <v>2000</v>
      </c>
      <c r="P53" s="2659">
        <f>'[2]Phụ lục số 3.1'!H37</f>
        <v>0</v>
      </c>
      <c r="Q53" s="2918">
        <f t="shared" si="43"/>
        <v>100</v>
      </c>
      <c r="R53" s="4120">
        <f t="shared" si="8"/>
        <v>0</v>
      </c>
      <c r="S53" s="619"/>
      <c r="T53" s="619"/>
      <c r="U53" s="619"/>
      <c r="V53" s="619"/>
      <c r="W53" s="619"/>
      <c r="X53" s="2659">
        <f t="shared" si="57"/>
        <v>2000</v>
      </c>
      <c r="Y53" s="2659"/>
      <c r="Z53" s="2659">
        <f t="shared" si="58"/>
        <v>2000</v>
      </c>
      <c r="AA53" s="3885">
        <f>'[2]Phụ lục số 3.1'!J37</f>
        <v>2000</v>
      </c>
      <c r="AB53" s="3885">
        <f>'[2]Phụ lục số 3.1'!K37</f>
        <v>0</v>
      </c>
      <c r="AC53" s="4146">
        <f t="shared" si="11"/>
        <v>100</v>
      </c>
      <c r="AD53" s="4045">
        <f t="shared" si="12"/>
        <v>0</v>
      </c>
      <c r="AE53" s="4147">
        <f t="shared" si="13"/>
        <v>100</v>
      </c>
      <c r="AF53" s="4120">
        <f t="shared" si="14"/>
        <v>0</v>
      </c>
      <c r="AG53" s="619"/>
      <c r="AP53" s="4074"/>
    </row>
    <row r="54" spans="1:42" s="2710" customFormat="1" ht="17.399999999999999">
      <c r="A54" s="2298">
        <v>7</v>
      </c>
      <c r="B54" s="2779" t="s">
        <v>175</v>
      </c>
      <c r="C54" s="619"/>
      <c r="D54" s="619"/>
      <c r="E54" s="2659">
        <f t="shared" si="53"/>
        <v>274623</v>
      </c>
      <c r="F54" s="2659"/>
      <c r="G54" s="2659">
        <f t="shared" si="54"/>
        <v>274623</v>
      </c>
      <c r="H54" s="2659">
        <f>'[2]Phụ lục số 3.1'!D38</f>
        <v>135382</v>
      </c>
      <c r="I54" s="2659">
        <f>'[2]Phụ lục số 3.1'!E38</f>
        <v>139241</v>
      </c>
      <c r="J54" s="619"/>
      <c r="K54" s="619"/>
      <c r="L54" s="2659">
        <f t="shared" si="55"/>
        <v>274623</v>
      </c>
      <c r="M54" s="2659"/>
      <c r="N54" s="2659">
        <f t="shared" si="56"/>
        <v>274623</v>
      </c>
      <c r="O54" s="2659">
        <f>'[2]Phụ lục số 3.1'!G38</f>
        <v>135382</v>
      </c>
      <c r="P54" s="2659">
        <f>'[2]Phụ lục số 3.1'!H38</f>
        <v>139241</v>
      </c>
      <c r="Q54" s="2918">
        <f t="shared" si="43"/>
        <v>100</v>
      </c>
      <c r="R54" s="4120">
        <f t="shared" si="8"/>
        <v>0</v>
      </c>
      <c r="S54" s="619"/>
      <c r="T54" s="619"/>
      <c r="U54" s="619"/>
      <c r="V54" s="619"/>
      <c r="W54" s="619"/>
      <c r="X54" s="2659">
        <f t="shared" si="57"/>
        <v>327868.91231904214</v>
      </c>
      <c r="Y54" s="2659"/>
      <c r="Z54" s="2659">
        <f t="shared" si="58"/>
        <v>327868.91231904214</v>
      </c>
      <c r="AA54" s="3885">
        <f>'[2]Phụ lục số 3.1'!J38</f>
        <v>152264.36799999999</v>
      </c>
      <c r="AB54" s="3885">
        <f>'[2]Phụ lục số 3.1'!K38</f>
        <v>175604.54431904212</v>
      </c>
      <c r="AC54" s="4146">
        <f t="shared" si="11"/>
        <v>119.38873012058062</v>
      </c>
      <c r="AD54" s="4045">
        <f t="shared" si="12"/>
        <v>53245.912319042138</v>
      </c>
      <c r="AE54" s="4147">
        <f t="shared" si="13"/>
        <v>119.38873012058062</v>
      </c>
      <c r="AF54" s="4120">
        <f t="shared" si="14"/>
        <v>53245.912319042138</v>
      </c>
      <c r="AG54" s="619"/>
      <c r="AP54" s="4074"/>
    </row>
    <row r="55" spans="1:42" s="685" customFormat="1" ht="17.399999999999999">
      <c r="A55" s="2298">
        <v>8</v>
      </c>
      <c r="B55" s="2779" t="s">
        <v>213</v>
      </c>
      <c r="C55" s="2918"/>
      <c r="D55" s="2918"/>
      <c r="E55" s="3885">
        <f>F55+G55</f>
        <v>0</v>
      </c>
      <c r="F55" s="3885"/>
      <c r="G55" s="3885">
        <f>SUM(H55:I55)</f>
        <v>0</v>
      </c>
      <c r="H55" s="3885">
        <f>'[2]Phụ lục số 3.1'!D39</f>
        <v>0</v>
      </c>
      <c r="I55" s="3885">
        <f>'[2]Phụ lục số 3.1'!E39</f>
        <v>0</v>
      </c>
      <c r="J55" s="2918"/>
      <c r="K55" s="2918"/>
      <c r="L55" s="3885">
        <f>M55+N55</f>
        <v>0</v>
      </c>
      <c r="M55" s="3885"/>
      <c r="N55" s="3885">
        <f>SUM(O55:P55)</f>
        <v>0</v>
      </c>
      <c r="O55" s="3885">
        <f>'[2]Phụ lục số 3.1'!G39</f>
        <v>0</v>
      </c>
      <c r="P55" s="3885">
        <f>'[2]Phụ lục số 3.1'!H39</f>
        <v>0</v>
      </c>
      <c r="Q55" s="2918"/>
      <c r="R55" s="4120">
        <f t="shared" si="8"/>
        <v>0</v>
      </c>
      <c r="S55" s="2918"/>
      <c r="T55" s="2918"/>
      <c r="U55" s="2918"/>
      <c r="V55" s="2918"/>
      <c r="W55" s="2918"/>
      <c r="X55" s="3885">
        <f>Y55+Z55</f>
        <v>3000</v>
      </c>
      <c r="Y55" s="3885"/>
      <c r="Z55" s="3885">
        <f>SUM(AA55:AB55)</f>
        <v>3000</v>
      </c>
      <c r="AA55" s="3885">
        <f>'[2]Phụ lục số 3.1'!J39</f>
        <v>3000</v>
      </c>
      <c r="AB55" s="3885">
        <f>'[2]Phụ lục số 3.1'!K39</f>
        <v>0</v>
      </c>
      <c r="AC55" s="4146"/>
      <c r="AD55" s="4045">
        <f t="shared" si="12"/>
        <v>3000</v>
      </c>
      <c r="AE55" s="4147"/>
      <c r="AF55" s="4120">
        <f t="shared" si="14"/>
        <v>3000</v>
      </c>
      <c r="AG55" s="2918"/>
      <c r="AP55" s="4017"/>
    </row>
    <row r="56" spans="1:42" s="685" customFormat="1" ht="17.399999999999999">
      <c r="A56" s="683" t="s">
        <v>33</v>
      </c>
      <c r="B56" s="2779" t="s">
        <v>214</v>
      </c>
      <c r="C56" s="2918"/>
      <c r="D56" s="2918"/>
      <c r="E56" s="3885">
        <f>SUM(E57:E59)</f>
        <v>2597007</v>
      </c>
      <c r="F56" s="3885">
        <f t="shared" ref="F56:I56" si="59">SUM(F57:F59)</f>
        <v>0</v>
      </c>
      <c r="G56" s="3885">
        <f t="shared" si="59"/>
        <v>2597007</v>
      </c>
      <c r="H56" s="3885">
        <f t="shared" si="59"/>
        <v>2597007</v>
      </c>
      <c r="I56" s="3885">
        <f t="shared" si="59"/>
        <v>0</v>
      </c>
      <c r="J56" s="2918"/>
      <c r="K56" s="2918"/>
      <c r="L56" s="3885">
        <f>SUM(L57:L59)</f>
        <v>2597007</v>
      </c>
      <c r="M56" s="3885">
        <f t="shared" ref="M56:P56" si="60">SUM(M57:M59)</f>
        <v>0</v>
      </c>
      <c r="N56" s="3885">
        <f t="shared" si="60"/>
        <v>2597007</v>
      </c>
      <c r="O56" s="3885">
        <f t="shared" si="60"/>
        <v>2597007</v>
      </c>
      <c r="P56" s="3885">
        <f t="shared" si="60"/>
        <v>0</v>
      </c>
      <c r="Q56" s="2918">
        <f t="shared" si="43"/>
        <v>100</v>
      </c>
      <c r="R56" s="4120">
        <f t="shared" si="8"/>
        <v>0</v>
      </c>
      <c r="S56" s="2918"/>
      <c r="T56" s="2918"/>
      <c r="U56" s="2918"/>
      <c r="V56" s="2918"/>
      <c r="W56" s="2918"/>
      <c r="X56" s="3885">
        <f>SUM(X57:X59)</f>
        <v>1988976</v>
      </c>
      <c r="Y56" s="3885">
        <f t="shared" ref="Y56:AB56" si="61">SUM(Y57:Y59)</f>
        <v>0</v>
      </c>
      <c r="Z56" s="3885">
        <f t="shared" si="61"/>
        <v>1988976</v>
      </c>
      <c r="AA56" s="3885">
        <f t="shared" si="61"/>
        <v>1988976</v>
      </c>
      <c r="AB56" s="3885">
        <f t="shared" si="61"/>
        <v>0</v>
      </c>
      <c r="AC56" s="4146">
        <f t="shared" si="11"/>
        <v>76.587240619682589</v>
      </c>
      <c r="AD56" s="4045">
        <f t="shared" si="12"/>
        <v>-608031</v>
      </c>
      <c r="AE56" s="4147">
        <f t="shared" si="13"/>
        <v>76.587240619682589</v>
      </c>
      <c r="AF56" s="4120">
        <f t="shared" si="14"/>
        <v>-608031</v>
      </c>
      <c r="AG56" s="2918"/>
      <c r="AP56" s="4017"/>
    </row>
    <row r="57" spans="1:42">
      <c r="A57" s="1016">
        <v>1</v>
      </c>
      <c r="B57" s="46" t="str">
        <f>'[2]Phụ lục số 3'!B41</f>
        <v>Chi thực hiện mục tiêu, nhiệm vụ quan trọng (vốn đầu tư phát triển)</v>
      </c>
      <c r="C57" s="2908"/>
      <c r="D57" s="2908"/>
      <c r="E57" s="704">
        <f>SUM(F57:G57)</f>
        <v>2417971</v>
      </c>
      <c r="F57" s="704"/>
      <c r="G57" s="704">
        <f>SUM(H57:I57)</f>
        <v>2417971</v>
      </c>
      <c r="H57" s="704">
        <f>'[2]Phụ lục số 3.1'!D41</f>
        <v>2417971</v>
      </c>
      <c r="I57" s="704">
        <f>'[2]Phụ lục số 3.1'!E41</f>
        <v>0</v>
      </c>
      <c r="J57" s="2908"/>
      <c r="K57" s="2908"/>
      <c r="L57" s="704">
        <f>SUM(M57:N57)</f>
        <v>2417971</v>
      </c>
      <c r="M57" s="704"/>
      <c r="N57" s="704">
        <f>SUM(O57:P57)</f>
        <v>2417971</v>
      </c>
      <c r="O57" s="704">
        <f>'[2]Phụ lục số 3.1'!G41</f>
        <v>2417971</v>
      </c>
      <c r="P57" s="704">
        <f>'[2]Phụ lục số 3.1'!H41</f>
        <v>0</v>
      </c>
      <c r="Q57" s="2908">
        <f t="shared" si="43"/>
        <v>100</v>
      </c>
      <c r="R57" s="4097">
        <f t="shared" si="8"/>
        <v>0</v>
      </c>
      <c r="S57" s="2908"/>
      <c r="T57" s="2908"/>
      <c r="U57" s="2908"/>
      <c r="V57" s="2908"/>
      <c r="W57" s="2908"/>
      <c r="X57" s="704">
        <f>SUM(Y57:Z57)</f>
        <v>1814491</v>
      </c>
      <c r="Y57" s="704"/>
      <c r="Z57" s="704">
        <f>SUM(AA57:AB57)</f>
        <v>1814491</v>
      </c>
      <c r="AA57" s="704">
        <f>'[2]Phụ lục số 3.1'!J41</f>
        <v>1814491</v>
      </c>
      <c r="AB57" s="704">
        <f>'[2]Phụ lục số 3.1'!K41</f>
        <v>0</v>
      </c>
      <c r="AC57" s="4098">
        <f t="shared" si="11"/>
        <v>75.041884290589095</v>
      </c>
      <c r="AD57" s="4099">
        <f t="shared" si="12"/>
        <v>-603480</v>
      </c>
      <c r="AE57" s="4100">
        <f t="shared" si="13"/>
        <v>75.041884290589095</v>
      </c>
      <c r="AF57" s="4097">
        <f t="shared" si="14"/>
        <v>-603480</v>
      </c>
      <c r="AG57" s="2908"/>
    </row>
    <row r="58" spans="1:42">
      <c r="A58" s="1016">
        <v>2</v>
      </c>
      <c r="B58" s="46" t="str">
        <f>'[2]Phụ lục số 3'!B42</f>
        <v>Chi thực hiện mục tiêu, nhiệm vụ quan trọng (kinh phí sự nghiệp)</v>
      </c>
      <c r="C58" s="2908"/>
      <c r="D58" s="2908"/>
      <c r="E58" s="704">
        <f t="shared" ref="E58:E62" si="62">SUM(F58:G58)</f>
        <v>179036</v>
      </c>
      <c r="F58" s="704"/>
      <c r="G58" s="704">
        <f t="shared" ref="G58:G61" si="63">SUM(H58:I58)</f>
        <v>179036</v>
      </c>
      <c r="H58" s="704">
        <f>'[2]Phụ lục số 3.1'!D42</f>
        <v>179036</v>
      </c>
      <c r="I58" s="704">
        <f>'[2]Phụ lục số 3.1'!E42</f>
        <v>0</v>
      </c>
      <c r="J58" s="2908"/>
      <c r="K58" s="2908"/>
      <c r="L58" s="704">
        <f t="shared" ref="L58:L62" si="64">SUM(M58:N58)</f>
        <v>179036</v>
      </c>
      <c r="M58" s="704"/>
      <c r="N58" s="704">
        <f t="shared" ref="N58:N61" si="65">SUM(O58:P58)</f>
        <v>179036</v>
      </c>
      <c r="O58" s="704">
        <f>'[2]Phụ lục số 3.1'!G42</f>
        <v>179036</v>
      </c>
      <c r="P58" s="704">
        <f>'[2]Phụ lục số 3.1'!H42</f>
        <v>0</v>
      </c>
      <c r="Q58" s="2908">
        <f t="shared" si="43"/>
        <v>100</v>
      </c>
      <c r="R58" s="4097">
        <f t="shared" si="8"/>
        <v>0</v>
      </c>
      <c r="S58" s="2908"/>
      <c r="T58" s="2908"/>
      <c r="U58" s="2908"/>
      <c r="V58" s="2908"/>
      <c r="W58" s="2908"/>
      <c r="X58" s="704">
        <f t="shared" ref="X58:X62" si="66">SUM(Y58:Z58)</f>
        <v>174485</v>
      </c>
      <c r="Y58" s="704"/>
      <c r="Z58" s="704">
        <f t="shared" ref="Z58:Z61" si="67">SUM(AA58:AB58)</f>
        <v>174485</v>
      </c>
      <c r="AA58" s="704">
        <f>'[2]Phụ lục số 3.1'!J42</f>
        <v>174485</v>
      </c>
      <c r="AB58" s="704">
        <f>'[2]Phụ lục số 3.1'!K42</f>
        <v>0</v>
      </c>
      <c r="AC58" s="4098">
        <f t="shared" si="11"/>
        <v>97.458053128979643</v>
      </c>
      <c r="AD58" s="4099">
        <f t="shared" si="12"/>
        <v>-4551</v>
      </c>
      <c r="AE58" s="4100">
        <f t="shared" si="13"/>
        <v>97.458053128979643</v>
      </c>
      <c r="AF58" s="4097">
        <f t="shared" si="14"/>
        <v>-4551</v>
      </c>
      <c r="AG58" s="2908"/>
    </row>
    <row r="59" spans="1:42">
      <c r="A59" s="1016">
        <v>3</v>
      </c>
      <c r="B59" s="46" t="str">
        <f>'[2]Phụ lục số 3'!B43</f>
        <v>Chi bổ sung có mục tiêu nhiệm vụ quan trọng khác (nếu có)</v>
      </c>
      <c r="C59" s="2908"/>
      <c r="D59" s="2908"/>
      <c r="E59" s="704">
        <f t="shared" si="62"/>
        <v>0</v>
      </c>
      <c r="F59" s="704"/>
      <c r="G59" s="704">
        <f t="shared" si="63"/>
        <v>0</v>
      </c>
      <c r="H59" s="704">
        <f>'[2]Phụ lục số 3.1'!D43</f>
        <v>0</v>
      </c>
      <c r="I59" s="704">
        <f>'[2]Phụ lục số 3.1'!E43</f>
        <v>0</v>
      </c>
      <c r="J59" s="2908"/>
      <c r="K59" s="2908"/>
      <c r="L59" s="704">
        <f t="shared" si="64"/>
        <v>0</v>
      </c>
      <c r="M59" s="704"/>
      <c r="N59" s="704">
        <f t="shared" si="65"/>
        <v>0</v>
      </c>
      <c r="O59" s="704">
        <f>'[2]Phụ lục số 3.1'!G43</f>
        <v>0</v>
      </c>
      <c r="P59" s="704">
        <f>'[2]Phụ lục số 3.1'!H43</f>
        <v>0</v>
      </c>
      <c r="Q59" s="2908"/>
      <c r="R59" s="4097">
        <f t="shared" si="8"/>
        <v>0</v>
      </c>
      <c r="S59" s="2908"/>
      <c r="T59" s="2908"/>
      <c r="U59" s="2908"/>
      <c r="V59" s="2908"/>
      <c r="W59" s="2908"/>
      <c r="X59" s="704">
        <f t="shared" si="66"/>
        <v>0</v>
      </c>
      <c r="Y59" s="704"/>
      <c r="Z59" s="704">
        <f t="shared" si="67"/>
        <v>0</v>
      </c>
      <c r="AA59" s="704">
        <f>'[2]Phụ lục số 3.1'!J43</f>
        <v>0</v>
      </c>
      <c r="AB59" s="704">
        <f>'[2]Phụ lục số 3.1'!K43</f>
        <v>0</v>
      </c>
      <c r="AC59" s="4098"/>
      <c r="AD59" s="4099">
        <f t="shared" si="12"/>
        <v>0</v>
      </c>
      <c r="AE59" s="4100"/>
      <c r="AF59" s="4097">
        <f t="shared" si="14"/>
        <v>0</v>
      </c>
      <c r="AG59" s="2908"/>
    </row>
    <row r="60" spans="1:42" s="685" customFormat="1" ht="34.799999999999997">
      <c r="A60" s="683" t="s">
        <v>182</v>
      </c>
      <c r="B60" s="4148" t="s">
        <v>181</v>
      </c>
      <c r="C60" s="2918"/>
      <c r="D60" s="2918"/>
      <c r="E60" s="3885">
        <f t="shared" si="62"/>
        <v>31500</v>
      </c>
      <c r="F60" s="3885"/>
      <c r="G60" s="3885">
        <f t="shared" si="63"/>
        <v>31500</v>
      </c>
      <c r="H60" s="3885">
        <f>'[2]Phụ lục số 3.1'!D44</f>
        <v>31500</v>
      </c>
      <c r="I60" s="3885">
        <f>'[2]Phụ lục số 3.1'!E44</f>
        <v>0</v>
      </c>
      <c r="J60" s="2918"/>
      <c r="K60" s="2918"/>
      <c r="L60" s="3885">
        <f t="shared" si="64"/>
        <v>31500</v>
      </c>
      <c r="M60" s="3885"/>
      <c r="N60" s="3885">
        <f t="shared" si="65"/>
        <v>31500</v>
      </c>
      <c r="O60" s="3885">
        <f>'[2]Phụ lục số 3.1'!G44</f>
        <v>31500</v>
      </c>
      <c r="P60" s="3885">
        <f>'[2]Phụ lục số 3.1'!H44</f>
        <v>0</v>
      </c>
      <c r="Q60" s="2918">
        <f t="shared" si="43"/>
        <v>100</v>
      </c>
      <c r="R60" s="4120">
        <f t="shared" si="8"/>
        <v>0</v>
      </c>
      <c r="S60" s="2918"/>
      <c r="T60" s="2918"/>
      <c r="U60" s="2918"/>
      <c r="V60" s="2918"/>
      <c r="W60" s="2918"/>
      <c r="X60" s="3885">
        <f t="shared" si="66"/>
        <v>0</v>
      </c>
      <c r="Y60" s="3885"/>
      <c r="Z60" s="3885">
        <f t="shared" si="67"/>
        <v>0</v>
      </c>
      <c r="AA60" s="3885">
        <f>'[2]Phụ lục số 3.1'!J44</f>
        <v>0</v>
      </c>
      <c r="AB60" s="3885">
        <f>'[2]Phụ lục số 3.1'!K44</f>
        <v>0</v>
      </c>
      <c r="AC60" s="4121">
        <f t="shared" si="11"/>
        <v>0</v>
      </c>
      <c r="AD60" s="4122">
        <f t="shared" si="12"/>
        <v>-31500</v>
      </c>
      <c r="AE60" s="4123">
        <f t="shared" si="13"/>
        <v>0</v>
      </c>
      <c r="AF60" s="4124">
        <f t="shared" si="14"/>
        <v>-31500</v>
      </c>
      <c r="AG60" s="2918"/>
      <c r="AP60" s="4017"/>
    </row>
    <row r="61" spans="1:42" s="685" customFormat="1" ht="17.399999999999999">
      <c r="A61" s="683" t="s">
        <v>215</v>
      </c>
      <c r="B61" s="2779" t="s">
        <v>216</v>
      </c>
      <c r="C61" s="2918"/>
      <c r="D61" s="2918"/>
      <c r="E61" s="3885">
        <f t="shared" si="62"/>
        <v>4748721</v>
      </c>
      <c r="F61" s="3885"/>
      <c r="G61" s="3885">
        <f t="shared" si="63"/>
        <v>4748721</v>
      </c>
      <c r="H61" s="3885">
        <f>'[2]Phụ lục số 3.1'!D45</f>
        <v>4748721</v>
      </c>
      <c r="I61" s="3885"/>
      <c r="J61" s="2918"/>
      <c r="K61" s="2918"/>
      <c r="L61" s="3885">
        <f t="shared" si="64"/>
        <v>4748721</v>
      </c>
      <c r="M61" s="3885"/>
      <c r="N61" s="3885">
        <f t="shared" si="65"/>
        <v>4748721</v>
      </c>
      <c r="O61" s="3885">
        <f>'[2]Phụ lục số 3.1'!G45</f>
        <v>4748721</v>
      </c>
      <c r="P61" s="3885">
        <f>'[2]Phụ lục số 3.1'!H45</f>
        <v>0</v>
      </c>
      <c r="Q61" s="2918">
        <f t="shared" si="43"/>
        <v>100</v>
      </c>
      <c r="R61" s="4120">
        <f t="shared" si="8"/>
        <v>0</v>
      </c>
      <c r="S61" s="2918"/>
      <c r="T61" s="2918"/>
      <c r="U61" s="2918"/>
      <c r="V61" s="2918"/>
      <c r="W61" s="2918"/>
      <c r="X61" s="3885">
        <f t="shared" si="66"/>
        <v>5083323.3480000002</v>
      </c>
      <c r="Y61" s="3885"/>
      <c r="Z61" s="3885">
        <f t="shared" si="67"/>
        <v>5083323.3480000002</v>
      </c>
      <c r="AA61" s="3885">
        <f>'[2]Phụ lục số 3.1'!J45</f>
        <v>5083323.3480000002</v>
      </c>
      <c r="AB61" s="3885">
        <f>'[2]Phụ lục số 3.1'!K45</f>
        <v>0</v>
      </c>
      <c r="AC61" s="4121">
        <f t="shared" si="11"/>
        <v>107.04615722844109</v>
      </c>
      <c r="AD61" s="4122">
        <f t="shared" si="12"/>
        <v>334602.34800000023</v>
      </c>
      <c r="AE61" s="4123">
        <f t="shared" si="13"/>
        <v>107.04615722844109</v>
      </c>
      <c r="AF61" s="4124">
        <f t="shared" si="14"/>
        <v>334602.34800000023</v>
      </c>
      <c r="AG61" s="2918"/>
      <c r="AP61" s="4017"/>
    </row>
    <row r="62" spans="1:42" s="685" customFormat="1" ht="17.399999999999999">
      <c r="A62" s="4149" t="s">
        <v>726</v>
      </c>
      <c r="B62" s="4150" t="s">
        <v>217</v>
      </c>
      <c r="C62" s="4083"/>
      <c r="D62" s="4083"/>
      <c r="E62" s="4084">
        <f t="shared" si="62"/>
        <v>0</v>
      </c>
      <c r="F62" s="4084"/>
      <c r="G62" s="4084">
        <f>SUM(H62:I62)</f>
        <v>0</v>
      </c>
      <c r="H62" s="4084">
        <f>H37-H38</f>
        <v>0</v>
      </c>
      <c r="I62" s="4084">
        <f>I37-I38</f>
        <v>0</v>
      </c>
      <c r="J62" s="4083"/>
      <c r="K62" s="4083"/>
      <c r="L62" s="4084">
        <f t="shared" si="64"/>
        <v>-612097.26666666567</v>
      </c>
      <c r="M62" s="4084"/>
      <c r="N62" s="4084">
        <f>SUM(O62:P62)</f>
        <v>-612097.26666666567</v>
      </c>
      <c r="O62" s="4084">
        <f>O37-O38</f>
        <v>-294299.26666666567</v>
      </c>
      <c r="P62" s="4084">
        <f>P37-P38</f>
        <v>-317798</v>
      </c>
      <c r="Q62" s="4151"/>
      <c r="R62" s="4152">
        <f t="shared" si="8"/>
        <v>-612097.26666666567</v>
      </c>
      <c r="S62" s="4083"/>
      <c r="T62" s="4083"/>
      <c r="U62" s="4083"/>
      <c r="V62" s="4083"/>
      <c r="W62" s="4083"/>
      <c r="X62" s="4084">
        <f t="shared" si="66"/>
        <v>-419466.26400000043</v>
      </c>
      <c r="Y62" s="4084"/>
      <c r="Z62" s="4084">
        <f>SUM(AA62:AB62)</f>
        <v>-419466.26400000043</v>
      </c>
      <c r="AA62" s="4084">
        <f>AA37-AA38</f>
        <v>8.3999998867511749E-2</v>
      </c>
      <c r="AB62" s="4084">
        <f>AB37-AB38</f>
        <v>-419466.3479999993</v>
      </c>
      <c r="AC62" s="4121"/>
      <c r="AD62" s="4122"/>
      <c r="AE62" s="4123"/>
      <c r="AF62" s="4124">
        <f t="shared" si="14"/>
        <v>-419466.26400000043</v>
      </c>
      <c r="AG62" s="4083"/>
      <c r="AP62" s="4017"/>
    </row>
  </sheetData>
  <mergeCells count="40">
    <mergeCell ref="Q4:Q5"/>
    <mergeCell ref="R4:R5"/>
    <mergeCell ref="T4:T5"/>
    <mergeCell ref="U4:U5"/>
    <mergeCell ref="A1:AF1"/>
    <mergeCell ref="X2:AG2"/>
    <mergeCell ref="A3:A5"/>
    <mergeCell ref="B3:B5"/>
    <mergeCell ref="C3:C5"/>
    <mergeCell ref="D3:D5"/>
    <mergeCell ref="E3:E5"/>
    <mergeCell ref="F3:I3"/>
    <mergeCell ref="J3:J5"/>
    <mergeCell ref="K3:K5"/>
    <mergeCell ref="Y3:AB3"/>
    <mergeCell ref="AC3:AD3"/>
    <mergeCell ref="AE3:AF3"/>
    <mergeCell ref="AG3:AG5"/>
    <mergeCell ref="F4:F5"/>
    <mergeCell ref="G4:G5"/>
    <mergeCell ref="H4:I4"/>
    <mergeCell ref="M4:M5"/>
    <mergeCell ref="N4:N5"/>
    <mergeCell ref="O4:P4"/>
    <mergeCell ref="L3:L5"/>
    <mergeCell ref="M3:P3"/>
    <mergeCell ref="Q3:R3"/>
    <mergeCell ref="S3:S5"/>
    <mergeCell ref="T3:W3"/>
    <mergeCell ref="X3:X5"/>
    <mergeCell ref="AE4:AE5"/>
    <mergeCell ref="AF4:AF5"/>
    <mergeCell ref="AH44:AH45"/>
    <mergeCell ref="AI44:AI45"/>
    <mergeCell ref="V4:W4"/>
    <mergeCell ref="Y4:Y5"/>
    <mergeCell ref="Z4:Z5"/>
    <mergeCell ref="AA4:AB4"/>
    <mergeCell ref="AC4:AC5"/>
    <mergeCell ref="AD4:AD5"/>
  </mergeCells>
  <hyperlinks>
    <hyperlink ref="A3:A5" location="'Danh mục file'!A1" display="SỐ TT"/>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50"/>
  </sheetPr>
  <dimension ref="A1:AK105"/>
  <sheetViews>
    <sheetView topLeftCell="H1" workbookViewId="0">
      <selection activeCell="K19" sqref="K19"/>
    </sheetView>
  </sheetViews>
  <sheetFormatPr defaultColWidth="10.33203125" defaultRowHeight="18"/>
  <cols>
    <col min="1" max="1" width="8.6640625" style="667" bestFit="1" customWidth="1"/>
    <col min="2" max="2" width="47.33203125" style="667" customWidth="1"/>
    <col min="3" max="3" width="9.44140625" style="667" customWidth="1"/>
    <col min="4" max="4" width="9.33203125" style="667" hidden="1" customWidth="1"/>
    <col min="5" max="5" width="12.44140625" style="667" hidden="1" customWidth="1"/>
    <col min="6" max="6" width="12" style="667" hidden="1" customWidth="1"/>
    <col min="7" max="7" width="9.33203125" style="667" hidden="1" customWidth="1"/>
    <col min="8" max="8" width="10" style="667" customWidth="1"/>
    <col min="9" max="9" width="10" style="3045" customWidth="1"/>
    <col min="10" max="14" width="10" style="667" customWidth="1"/>
    <col min="15" max="15" width="10" style="3045" customWidth="1"/>
    <col min="16" max="20" width="10" style="667" customWidth="1"/>
    <col min="21" max="21" width="10" style="3045" customWidth="1"/>
    <col min="22" max="26" width="10" style="667" customWidth="1"/>
    <col min="27" max="27" width="10" style="3045" customWidth="1"/>
    <col min="28" max="31" width="10" style="667" customWidth="1"/>
    <col min="32" max="32" width="11" style="667" bestFit="1" customWidth="1"/>
    <col min="33" max="33" width="14.33203125" style="667" bestFit="1" customWidth="1"/>
    <col min="34" max="36" width="10.44140625" style="667" bestFit="1" customWidth="1"/>
    <col min="37" max="37" width="11.6640625" style="667" bestFit="1" customWidth="1"/>
    <col min="38" max="16384" width="10.33203125" style="667"/>
  </cols>
  <sheetData>
    <row r="1" spans="1:37" s="685" customFormat="1" ht="33.9" customHeight="1">
      <c r="A1" s="6304" t="s">
        <v>2406</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c r="Z1" s="6304"/>
      <c r="AA1" s="6304"/>
      <c r="AB1" s="6304"/>
      <c r="AC1" s="6304"/>
      <c r="AD1" s="6304"/>
      <c r="AE1" s="6304"/>
    </row>
    <row r="2" spans="1:37" s="685" customFormat="1">
      <c r="A2" s="6325" t="str">
        <f>'[2]Phụ lục số 1'!A2:AJ2</f>
        <v>(Kèm theo Báo cáo số         /BC-UBND ngày      tháng 10 năm 2023 của Ủy ban nhân dân tỉnh Đồng Tháp)</v>
      </c>
      <c r="B2" s="6325"/>
      <c r="C2" s="6325"/>
      <c r="D2" s="6325"/>
      <c r="E2" s="6325"/>
      <c r="F2" s="6325"/>
      <c r="G2" s="6325"/>
      <c r="H2" s="6325"/>
      <c r="I2" s="6325"/>
      <c r="J2" s="6325"/>
      <c r="K2" s="6325"/>
      <c r="L2" s="6325"/>
      <c r="M2" s="6325"/>
      <c r="N2" s="6325"/>
      <c r="O2" s="6325"/>
      <c r="P2" s="6325"/>
      <c r="Q2" s="6325"/>
      <c r="R2" s="6325"/>
      <c r="S2" s="6325"/>
      <c r="T2" s="6325"/>
      <c r="U2" s="6325"/>
      <c r="V2" s="6325"/>
      <c r="W2" s="6325"/>
      <c r="X2" s="6325"/>
      <c r="Y2" s="6325"/>
      <c r="Z2" s="6325"/>
      <c r="AA2" s="6325"/>
      <c r="AB2" s="6325"/>
      <c r="AC2" s="6325"/>
      <c r="AD2" s="6325"/>
      <c r="AE2" s="6325"/>
    </row>
    <row r="3" spans="1:37">
      <c r="B3" s="4153"/>
      <c r="C3" s="4154"/>
      <c r="D3" s="4154"/>
      <c r="E3" s="6326"/>
      <c r="F3" s="6326"/>
      <c r="G3" s="6326"/>
      <c r="H3" s="4155"/>
      <c r="I3" s="4156"/>
      <c r="J3" s="4157"/>
      <c r="L3" s="4158"/>
      <c r="AE3" s="690" t="s">
        <v>2407</v>
      </c>
    </row>
    <row r="4" spans="1:37" s="3046" customFormat="1" ht="23.1" customHeight="1">
      <c r="A4" s="6327" t="s">
        <v>0</v>
      </c>
      <c r="B4" s="6323" t="s">
        <v>49</v>
      </c>
      <c r="C4" s="6331" t="s">
        <v>1864</v>
      </c>
      <c r="D4" s="4159"/>
      <c r="E4" s="4159"/>
      <c r="F4" s="4159"/>
      <c r="G4" s="4160"/>
      <c r="H4" s="6320" t="s">
        <v>1865</v>
      </c>
      <c r="I4" s="6321"/>
      <c r="J4" s="6321"/>
      <c r="K4" s="6321"/>
      <c r="L4" s="6321"/>
      <c r="M4" s="6322"/>
      <c r="N4" s="6320" t="s">
        <v>50</v>
      </c>
      <c r="O4" s="6321"/>
      <c r="P4" s="6321"/>
      <c r="Q4" s="6321"/>
      <c r="R4" s="6321"/>
      <c r="S4" s="6322"/>
      <c r="T4" s="6320" t="s">
        <v>325</v>
      </c>
      <c r="U4" s="6321"/>
      <c r="V4" s="6321"/>
      <c r="W4" s="6321"/>
      <c r="X4" s="6321"/>
      <c r="Y4" s="6322"/>
      <c r="Z4" s="6320" t="s">
        <v>326</v>
      </c>
      <c r="AA4" s="6321"/>
      <c r="AB4" s="6321"/>
      <c r="AC4" s="6321"/>
      <c r="AD4" s="6321"/>
      <c r="AE4" s="6322"/>
    </row>
    <row r="5" spans="1:37" s="3046" customFormat="1" ht="22.35" customHeight="1">
      <c r="A5" s="6328"/>
      <c r="B5" s="6330"/>
      <c r="C5" s="6332"/>
      <c r="D5" s="6323" t="s">
        <v>53</v>
      </c>
      <c r="E5" s="4161" t="s">
        <v>1867</v>
      </c>
      <c r="F5" s="4159"/>
      <c r="G5" s="4160"/>
      <c r="H5" s="6323" t="s">
        <v>51</v>
      </c>
      <c r="I5" s="6323" t="s">
        <v>1868</v>
      </c>
      <c r="J5" s="6323" t="s">
        <v>53</v>
      </c>
      <c r="K5" s="6320" t="s">
        <v>1867</v>
      </c>
      <c r="L5" s="6321"/>
      <c r="M5" s="6322"/>
      <c r="N5" s="6323" t="s">
        <v>51</v>
      </c>
      <c r="O5" s="6323" t="s">
        <v>2408</v>
      </c>
      <c r="P5" s="6323" t="s">
        <v>53</v>
      </c>
      <c r="Q5" s="6320" t="s">
        <v>1867</v>
      </c>
      <c r="R5" s="6321"/>
      <c r="S5" s="6322"/>
      <c r="T5" s="6323" t="s">
        <v>51</v>
      </c>
      <c r="U5" s="6323" t="s">
        <v>1872</v>
      </c>
      <c r="V5" s="6323" t="s">
        <v>53</v>
      </c>
      <c r="W5" s="6320" t="s">
        <v>1867</v>
      </c>
      <c r="X5" s="6321"/>
      <c r="Y5" s="6322"/>
      <c r="Z5" s="6323" t="s">
        <v>51</v>
      </c>
      <c r="AA5" s="6323" t="s">
        <v>1873</v>
      </c>
      <c r="AB5" s="6323" t="s">
        <v>53</v>
      </c>
      <c r="AC5" s="6320" t="s">
        <v>1867</v>
      </c>
      <c r="AD5" s="6321"/>
      <c r="AE5" s="6322"/>
    </row>
    <row r="6" spans="1:37" s="3046" customFormat="1" ht="61.2" customHeight="1">
      <c r="A6" s="6329"/>
      <c r="B6" s="6324"/>
      <c r="C6" s="6333"/>
      <c r="D6" s="6334"/>
      <c r="E6" s="584" t="s">
        <v>54</v>
      </c>
      <c r="F6" s="584" t="s">
        <v>55</v>
      </c>
      <c r="G6" s="584" t="s">
        <v>56</v>
      </c>
      <c r="H6" s="6324"/>
      <c r="I6" s="6324"/>
      <c r="J6" s="6324"/>
      <c r="K6" s="584" t="s">
        <v>54</v>
      </c>
      <c r="L6" s="584" t="s">
        <v>55</v>
      </c>
      <c r="M6" s="584" t="s">
        <v>56</v>
      </c>
      <c r="N6" s="6324"/>
      <c r="O6" s="6324"/>
      <c r="P6" s="6324"/>
      <c r="Q6" s="584" t="s">
        <v>54</v>
      </c>
      <c r="R6" s="584" t="s">
        <v>55</v>
      </c>
      <c r="S6" s="584" t="s">
        <v>56</v>
      </c>
      <c r="T6" s="6324"/>
      <c r="U6" s="6324"/>
      <c r="V6" s="6324"/>
      <c r="W6" s="584" t="s">
        <v>54</v>
      </c>
      <c r="X6" s="584" t="s">
        <v>55</v>
      </c>
      <c r="Y6" s="584" t="s">
        <v>56</v>
      </c>
      <c r="Z6" s="6324"/>
      <c r="AA6" s="6324"/>
      <c r="AB6" s="6324"/>
      <c r="AC6" s="584" t="s">
        <v>54</v>
      </c>
      <c r="AD6" s="584" t="s">
        <v>55</v>
      </c>
      <c r="AE6" s="584" t="s">
        <v>56</v>
      </c>
    </row>
    <row r="7" spans="1:37" s="3044" customFormat="1">
      <c r="A7" s="4162">
        <v>1</v>
      </c>
      <c r="B7" s="4162">
        <v>2</v>
      </c>
      <c r="C7" s="4162">
        <v>3</v>
      </c>
      <c r="D7" s="4162"/>
      <c r="E7" s="4162"/>
      <c r="F7" s="4162"/>
      <c r="G7" s="4162"/>
      <c r="H7" s="4162" t="s">
        <v>1874</v>
      </c>
      <c r="I7" s="4162" t="s">
        <v>1875</v>
      </c>
      <c r="J7" s="4162">
        <v>6</v>
      </c>
      <c r="K7" s="4162" t="s">
        <v>1876</v>
      </c>
      <c r="L7" s="4162">
        <v>8</v>
      </c>
      <c r="M7" s="4162">
        <v>9</v>
      </c>
      <c r="N7" s="4162" t="s">
        <v>1877</v>
      </c>
      <c r="O7" s="4162" t="s">
        <v>1878</v>
      </c>
      <c r="P7" s="4162">
        <v>12</v>
      </c>
      <c r="Q7" s="4162" t="s">
        <v>1879</v>
      </c>
      <c r="R7" s="4162">
        <v>14</v>
      </c>
      <c r="S7" s="4162">
        <v>15</v>
      </c>
      <c r="T7" s="4162">
        <v>16</v>
      </c>
      <c r="U7" s="4162" t="s">
        <v>1880</v>
      </c>
      <c r="V7" s="4162">
        <v>18</v>
      </c>
      <c r="W7" s="4162" t="s">
        <v>1881</v>
      </c>
      <c r="X7" s="4162">
        <v>20</v>
      </c>
      <c r="Y7" s="4162">
        <v>21</v>
      </c>
      <c r="Z7" s="4162">
        <v>22</v>
      </c>
      <c r="AA7" s="4162" t="s">
        <v>1882</v>
      </c>
      <c r="AB7" s="4162">
        <v>24</v>
      </c>
      <c r="AC7" s="4162" t="s">
        <v>1883</v>
      </c>
      <c r="AD7" s="4162">
        <v>26</v>
      </c>
      <c r="AE7" s="4162">
        <v>27</v>
      </c>
    </row>
    <row r="8" spans="1:37" s="708" customFormat="1" ht="22.2" customHeight="1">
      <c r="A8" s="693" t="s">
        <v>1</v>
      </c>
      <c r="B8" s="4163" t="s">
        <v>2</v>
      </c>
      <c r="C8" s="4164">
        <f t="shared" ref="C8:H8" si="0">SUM(C9,C49)</f>
        <v>7590000</v>
      </c>
      <c r="D8" s="4165">
        <f t="shared" si="0"/>
        <v>886000</v>
      </c>
      <c r="E8" s="4165">
        <f t="shared" si="0"/>
        <v>6704000</v>
      </c>
      <c r="F8" s="4165">
        <f t="shared" si="0"/>
        <v>3806650</v>
      </c>
      <c r="G8" s="4165">
        <f t="shared" si="0"/>
        <v>2897350</v>
      </c>
      <c r="H8" s="4165">
        <f t="shared" si="0"/>
        <v>8150745.3199999994</v>
      </c>
      <c r="I8" s="4166">
        <f>H8/C8*100</f>
        <v>107.38794888010538</v>
      </c>
      <c r="J8" s="4165">
        <f>SUM(J9,J49)</f>
        <v>700345.52</v>
      </c>
      <c r="K8" s="4165">
        <f>SUM(K9,K49)</f>
        <v>7450399.7999999998</v>
      </c>
      <c r="L8" s="4165">
        <f>SUM(L9,L49)</f>
        <v>3862350.7333333334</v>
      </c>
      <c r="M8" s="4165">
        <f>SUM(M9,M49)</f>
        <v>3588049.0666666664</v>
      </c>
      <c r="N8" s="4164">
        <f>SUM(N9,N49)</f>
        <v>9266000</v>
      </c>
      <c r="O8" s="4164">
        <f>N8/H8*100</f>
        <v>113.6828552017621</v>
      </c>
      <c r="P8" s="4165">
        <f>SUM(P9,P49)</f>
        <v>781000</v>
      </c>
      <c r="Q8" s="4165">
        <f>SUM(Q9,Q49)</f>
        <v>8485000</v>
      </c>
      <c r="R8" s="4165">
        <f>SUM(R9,R49)</f>
        <v>4544420</v>
      </c>
      <c r="S8" s="4165">
        <f>SUM(S9,S49)</f>
        <v>3940580</v>
      </c>
      <c r="T8" s="4165">
        <f>SUM(T9,T49)</f>
        <v>10162499.699999999</v>
      </c>
      <c r="U8" s="4166">
        <f>T8/N8*100</f>
        <v>109.67515324843514</v>
      </c>
      <c r="V8" s="4165">
        <f>SUM(V9,V49)</f>
        <v>1044994.6153013352</v>
      </c>
      <c r="W8" s="4165">
        <f>SUM(W9,W49)</f>
        <v>9117505.0846986659</v>
      </c>
      <c r="X8" s="4165">
        <f>SUM(X9,X49)</f>
        <v>5621404.8269772194</v>
      </c>
      <c r="Y8" s="4165">
        <f>SUM(Y9,Y49)</f>
        <v>3496100.2577214451</v>
      </c>
      <c r="Z8" s="4165">
        <f>SUM(Z9,Z49)</f>
        <v>11039000</v>
      </c>
      <c r="AA8" s="4166">
        <f>Z8/T8*100</f>
        <v>108.62484945510012</v>
      </c>
      <c r="AB8" s="4165">
        <f>SUM(AB9,AB49)</f>
        <v>1125148.2938914755</v>
      </c>
      <c r="AC8" s="4165">
        <f>SUM(AC9,AC49)</f>
        <v>9913851.3061085232</v>
      </c>
      <c r="AD8" s="4165">
        <f>SUM(AD9,AD49)</f>
        <v>6174950.8132625353</v>
      </c>
      <c r="AE8" s="4165">
        <f>SUM(AE9,AE49)</f>
        <v>3738900.4928459888</v>
      </c>
    </row>
    <row r="9" spans="1:37" s="708" customFormat="1" ht="22.2" customHeight="1">
      <c r="A9" s="700" t="s">
        <v>3</v>
      </c>
      <c r="B9" s="2643" t="s">
        <v>4</v>
      </c>
      <c r="C9" s="4167">
        <f t="shared" ref="C9:H9" si="1">SUM(C11,C17,C23,C28,C34:C45,C47:C48)</f>
        <v>7440000</v>
      </c>
      <c r="D9" s="4167">
        <f t="shared" si="1"/>
        <v>736000</v>
      </c>
      <c r="E9" s="4167">
        <f t="shared" si="1"/>
        <v>6704000</v>
      </c>
      <c r="F9" s="4167">
        <f t="shared" si="1"/>
        <v>3806650</v>
      </c>
      <c r="G9" s="4167">
        <f t="shared" si="1"/>
        <v>2897350</v>
      </c>
      <c r="H9" s="4167">
        <f t="shared" si="1"/>
        <v>7999999.7999999998</v>
      </c>
      <c r="I9" s="4168">
        <f>H9/C9*100</f>
        <v>107.52687903225807</v>
      </c>
      <c r="J9" s="4167">
        <f>SUM(J11,J17,J23,J28,J34:J45,J47:J48)</f>
        <v>549600</v>
      </c>
      <c r="K9" s="4167">
        <f>SUM(K11,K17,K23,K28,K34:K45,K47:K48)</f>
        <v>7450399.7999999998</v>
      </c>
      <c r="L9" s="4167">
        <f>SUM(L11,L17,L23,L28,L34:L45,L47:L48)</f>
        <v>3862350.7333333334</v>
      </c>
      <c r="M9" s="4167">
        <f>SUM(M11,M17,M23,M28,M34:M45,M47:M48)</f>
        <v>3588049.0666666664</v>
      </c>
      <c r="N9" s="4167">
        <f>SUM(N11,N17,N23,N28,N34:N45,N47:N48)</f>
        <v>9066000</v>
      </c>
      <c r="O9" s="4169">
        <f>N9/H9*100</f>
        <v>113.32500283312508</v>
      </c>
      <c r="P9" s="4167">
        <f>SUM(P11,P17,P23,P28,P34:P45,P47:P48)</f>
        <v>581000</v>
      </c>
      <c r="Q9" s="4167">
        <f>SUM(Q11,Q17,Q23,Q28,Q34:Q45,Q47:Q48)</f>
        <v>8485000</v>
      </c>
      <c r="R9" s="4167">
        <f>SUM(R11,R17,R23,R28,R34:R45,R47:R48)</f>
        <v>4544420</v>
      </c>
      <c r="S9" s="4167">
        <f>SUM(S11,S17,S23,S28,S34:S45,S47:S48)</f>
        <v>3940580</v>
      </c>
      <c r="T9" s="4167">
        <f>SUM(T11,T17,T23,T28,T34:T45,T47:T48)</f>
        <v>9999999.6999999993</v>
      </c>
      <c r="U9" s="4168">
        <f>T9/N9*100</f>
        <v>110.30222479594087</v>
      </c>
      <c r="V9" s="4167">
        <f>SUM(V11,V17,V23,V28,V34:V45,V47:V48)</f>
        <v>882494.61530133523</v>
      </c>
      <c r="W9" s="4167">
        <f>SUM(W11,W17,W23,W28,W34:W45,W47:W48)</f>
        <v>9117505.0846986659</v>
      </c>
      <c r="X9" s="4167">
        <f>SUM(X11,X17,X23,X28,X34:X45,X47:X48)</f>
        <v>5621404.8269772194</v>
      </c>
      <c r="Y9" s="4167">
        <f>SUM(Y11,Y17,Y23,Y28,Y34:Y45,Y47:Y48)</f>
        <v>3496100.2577214451</v>
      </c>
      <c r="Z9" s="4167">
        <f>SUM(Z11,Z17,Z23,Z28,Z34:Z45,Z47:Z48)</f>
        <v>10870000</v>
      </c>
      <c r="AA9" s="4168">
        <f>Z9/T9*100</f>
        <v>108.70000326100011</v>
      </c>
      <c r="AB9" s="4167">
        <f>SUM(AB11,AB17,AB23,AB28,AB34:AB45,AB47:AB48)</f>
        <v>956148.29389147565</v>
      </c>
      <c r="AC9" s="4167">
        <f>SUM(AC11,AC17,AC23,AC28,AC34:AC45,AC47:AC48)</f>
        <v>9913851.3061085232</v>
      </c>
      <c r="AD9" s="4167">
        <f>SUM(AD11,AD17,AD23,AD28,AD34:AD45,AD47:AD48)</f>
        <v>6174950.8132625353</v>
      </c>
      <c r="AE9" s="4167">
        <f>SUM(AE11,AE17,AE23,AE28,AE34:AE45,AE47:AE48)</f>
        <v>3738900.4928459888</v>
      </c>
      <c r="AG9" s="708">
        <f>Z9+T9+N9</f>
        <v>29935999.699999999</v>
      </c>
      <c r="AH9" s="4170">
        <f>Z9/T9</f>
        <v>1.0870000326100011</v>
      </c>
      <c r="AI9" s="4170">
        <f>T9/N9</f>
        <v>1.1030222479594087</v>
      </c>
      <c r="AJ9" s="4170">
        <f>N9/C9</f>
        <v>1.2185483870967742</v>
      </c>
      <c r="AK9" s="4171">
        <f>SUM(AH9:AJ9)^1/3</f>
        <v>1.1361902225553946</v>
      </c>
    </row>
    <row r="10" spans="1:37" s="4176" customFormat="1" ht="36">
      <c r="A10" s="4172"/>
      <c r="B10" s="4173" t="s">
        <v>1884</v>
      </c>
      <c r="C10" s="4174">
        <f t="shared" ref="C10:H10" si="2">C9-C40-C48-C45</f>
        <v>4890000</v>
      </c>
      <c r="D10" s="4174">
        <f t="shared" si="2"/>
        <v>736000</v>
      </c>
      <c r="E10" s="4174">
        <f t="shared" si="2"/>
        <v>4154000</v>
      </c>
      <c r="F10" s="4174">
        <f t="shared" si="2"/>
        <v>2056650</v>
      </c>
      <c r="G10" s="4174">
        <f t="shared" si="2"/>
        <v>2097350</v>
      </c>
      <c r="H10" s="4174">
        <f t="shared" si="2"/>
        <v>4869999.8</v>
      </c>
      <c r="I10" s="4175">
        <f>H10/C10*100</f>
        <v>99.590997955010224</v>
      </c>
      <c r="J10" s="4174">
        <f>J9-J40-J48-J45</f>
        <v>549600</v>
      </c>
      <c r="K10" s="4174">
        <f>K9-K40-K48-K45</f>
        <v>4320399.8</v>
      </c>
      <c r="L10" s="4174">
        <f>L9-L40-L48-L45</f>
        <v>1712350.7333333334</v>
      </c>
      <c r="M10" s="4174">
        <f>M9-M40-M48-M45</f>
        <v>2608049.0666666664</v>
      </c>
      <c r="N10" s="4174">
        <f>N9-N40-N48-N45</f>
        <v>5309000</v>
      </c>
      <c r="O10" s="4175">
        <f>N10/H10*100</f>
        <v>109.01437819360898</v>
      </c>
      <c r="P10" s="4174">
        <f>P9-P40-P48-P45</f>
        <v>581000</v>
      </c>
      <c r="Q10" s="4174">
        <f>Q9-Q40-Q48-Q45</f>
        <v>4728000</v>
      </c>
      <c r="R10" s="4174">
        <f>R9-R40-R48-R45</f>
        <v>1930420</v>
      </c>
      <c r="S10" s="4174">
        <f>S9-S40-S48-S45</f>
        <v>2797580</v>
      </c>
      <c r="T10" s="4174">
        <f>T9-T40-T48-T45</f>
        <v>6363999.6999999993</v>
      </c>
      <c r="U10" s="4175">
        <f>T10/N10*100</f>
        <v>119.87190996421171</v>
      </c>
      <c r="V10" s="4174">
        <f>V9-V40-V48-V45</f>
        <v>882494.61530133523</v>
      </c>
      <c r="W10" s="4174">
        <f>W9-W40-W48-W45</f>
        <v>5481505.0846986659</v>
      </c>
      <c r="X10" s="4174">
        <f>X9-X40-X48-X45</f>
        <v>2760305.081214508</v>
      </c>
      <c r="Y10" s="4174">
        <f>Y9-Y40-Y48-Y45</f>
        <v>2721200.0034841569</v>
      </c>
      <c r="Z10" s="4174">
        <f>Z9-Z40-Z48-Z45</f>
        <v>6990000</v>
      </c>
      <c r="AA10" s="4175">
        <f>Z10/T10*100</f>
        <v>109.83658594452794</v>
      </c>
      <c r="AB10" s="4174">
        <f>AB9-AB40-AB48-AB45</f>
        <v>956148.29389147565</v>
      </c>
      <c r="AC10" s="4174">
        <f>AC9-AC40-AC48-AC45</f>
        <v>6033851.3061085232</v>
      </c>
      <c r="AD10" s="4174">
        <f>AD9-AD40-AD48-AD45</f>
        <v>3108551.0802116878</v>
      </c>
      <c r="AE10" s="4174">
        <f>AE9-AE40-AE48-AE45</f>
        <v>2925300.2258968363</v>
      </c>
      <c r="AG10" s="4176">
        <f>Z10+T10+N10</f>
        <v>18662999.699999999</v>
      </c>
      <c r="AH10" s="4170">
        <f>Z10/T10</f>
        <v>1.0983658594452794</v>
      </c>
      <c r="AI10" s="4170">
        <f>T10/N10</f>
        <v>1.1987190996421171</v>
      </c>
      <c r="AJ10" s="4170">
        <f>N10/C10</f>
        <v>1.0856850715746422</v>
      </c>
      <c r="AK10" s="4171">
        <f>SUM(AH10:AJ10)^1/3</f>
        <v>1.1275900102206797</v>
      </c>
    </row>
    <row r="11" spans="1:37" ht="22.2" customHeight="1">
      <c r="A11" s="709">
        <v>1</v>
      </c>
      <c r="B11" s="2659" t="s">
        <v>6</v>
      </c>
      <c r="C11" s="4177">
        <f t="shared" ref="C11:H11" si="3">SUM(C12:C16)</f>
        <v>250000</v>
      </c>
      <c r="D11" s="4178">
        <f t="shared" si="3"/>
        <v>0</v>
      </c>
      <c r="E11" s="4178">
        <f t="shared" si="3"/>
        <v>250000</v>
      </c>
      <c r="F11" s="4178">
        <f t="shared" si="3"/>
        <v>250000</v>
      </c>
      <c r="G11" s="4178">
        <f t="shared" si="3"/>
        <v>0</v>
      </c>
      <c r="H11" s="4177">
        <f t="shared" si="3"/>
        <v>210000</v>
      </c>
      <c r="I11" s="4179">
        <f>H11/C11*100</f>
        <v>84</v>
      </c>
      <c r="J11" s="4177">
        <f>SUM(J12:J16)</f>
        <v>0</v>
      </c>
      <c r="K11" s="4177">
        <f>SUM(K12:K16)</f>
        <v>210000</v>
      </c>
      <c r="L11" s="4177">
        <f>SUM(L12:L16)</f>
        <v>210000</v>
      </c>
      <c r="M11" s="4177">
        <f>SUM(M12:M16)</f>
        <v>0</v>
      </c>
      <c r="N11" s="4177">
        <f>SUM(N12:N16)</f>
        <v>230000</v>
      </c>
      <c r="O11" s="4179">
        <f>N11/H11*100</f>
        <v>109.52380952380953</v>
      </c>
      <c r="P11" s="4177">
        <f>SUM(P12:P16)</f>
        <v>0</v>
      </c>
      <c r="Q11" s="4177">
        <f>SUM(Q12:Q16)</f>
        <v>230000</v>
      </c>
      <c r="R11" s="4177">
        <f>SUM(R12:R16)</f>
        <v>230000</v>
      </c>
      <c r="S11" s="4177">
        <f>SUM(S12:S16)</f>
        <v>0</v>
      </c>
      <c r="T11" s="4177">
        <f>SUM(T12:T16)</f>
        <v>309999.7</v>
      </c>
      <c r="U11" s="4179">
        <f>T11/N11*100</f>
        <v>134.78247826086957</v>
      </c>
      <c r="V11" s="4177">
        <f>SUM(V12:V16)</f>
        <v>0</v>
      </c>
      <c r="W11" s="4177">
        <f>SUM(W12:W16)</f>
        <v>309999.7</v>
      </c>
      <c r="X11" s="4177">
        <f>SUM(X12:X16)</f>
        <v>309999.7</v>
      </c>
      <c r="Y11" s="4177">
        <f>SUM(Y12:Y16)</f>
        <v>0</v>
      </c>
      <c r="Z11" s="4177">
        <f>SUM(Z12:Z16)</f>
        <v>340000</v>
      </c>
      <c r="AA11" s="4179">
        <f>Z11/T11*100</f>
        <v>109.67752549437949</v>
      </c>
      <c r="AB11" s="4177">
        <f>SUM(AB12:AB16)</f>
        <v>0</v>
      </c>
      <c r="AC11" s="4177">
        <f>SUM(AC12:AC16)</f>
        <v>340000</v>
      </c>
      <c r="AD11" s="4177">
        <f>SUM(AD12:AD16)</f>
        <v>340000</v>
      </c>
      <c r="AE11" s="4177">
        <f>SUM(AE12:AE16)</f>
        <v>0</v>
      </c>
      <c r="AF11" s="667">
        <f>+H11-C11</f>
        <v>-40000</v>
      </c>
    </row>
    <row r="12" spans="1:37" ht="22.2" hidden="1" customHeight="1">
      <c r="A12" s="703" t="s">
        <v>29</v>
      </c>
      <c r="B12" s="44" t="s">
        <v>7</v>
      </c>
      <c r="C12" s="4180">
        <f>'[2]Phụ lục số 1'!C12</f>
        <v>196000</v>
      </c>
      <c r="D12" s="4181">
        <v>0</v>
      </c>
      <c r="E12" s="4181">
        <f>C12-D12</f>
        <v>196000</v>
      </c>
      <c r="F12" s="4181">
        <f>E12-G12</f>
        <v>196000</v>
      </c>
      <c r="G12" s="4181">
        <v>0</v>
      </c>
      <c r="H12" s="4180">
        <f>'[2]Phụ lục số 1'!T12</f>
        <v>154000</v>
      </c>
      <c r="I12" s="4182"/>
      <c r="J12" s="4183"/>
      <c r="K12" s="4183">
        <f>H12-J12</f>
        <v>154000</v>
      </c>
      <c r="L12" s="4183">
        <f t="shared" ref="L12:L22" si="4">K12</f>
        <v>154000</v>
      </c>
      <c r="M12" s="4183">
        <v>0</v>
      </c>
      <c r="N12" s="4180">
        <f>'[2]Phụ lục số 1'!AE12</f>
        <v>170000</v>
      </c>
      <c r="O12" s="4182"/>
      <c r="P12" s="4183"/>
      <c r="Q12" s="4183">
        <f>N12-P12</f>
        <v>170000</v>
      </c>
      <c r="R12" s="4183">
        <f>Q12</f>
        <v>170000</v>
      </c>
      <c r="S12" s="4183">
        <v>0</v>
      </c>
      <c r="T12" s="4183">
        <f>'[2]Phụ lục số 1'!AK12</f>
        <v>244000</v>
      </c>
      <c r="U12" s="4182"/>
      <c r="V12" s="4183"/>
      <c r="W12" s="4183">
        <f>T12-V12</f>
        <v>244000</v>
      </c>
      <c r="X12" s="4183">
        <f>W12</f>
        <v>244000</v>
      </c>
      <c r="Y12" s="4183">
        <v>0</v>
      </c>
      <c r="Z12" s="4183">
        <f>'[2]Phụ lục số 1'!AQ12</f>
        <v>268000</v>
      </c>
      <c r="AA12" s="4182"/>
      <c r="AB12" s="4183"/>
      <c r="AC12" s="4183">
        <f>Z12-AB12</f>
        <v>268000</v>
      </c>
      <c r="AD12" s="4183">
        <f>AC12</f>
        <v>268000</v>
      </c>
      <c r="AE12" s="4183">
        <v>0</v>
      </c>
      <c r="AF12" s="667">
        <f t="shared" ref="AF12:AF60" si="5">+H12-C12</f>
        <v>-42000</v>
      </c>
    </row>
    <row r="13" spans="1:37" ht="22.2" hidden="1" customHeight="1">
      <c r="A13" s="703" t="s">
        <v>29</v>
      </c>
      <c r="B13" s="44" t="s">
        <v>8</v>
      </c>
      <c r="C13" s="4183">
        <f>'[2]Phụ lục số 1'!C13</f>
        <v>12000</v>
      </c>
      <c r="D13" s="4181">
        <v>0</v>
      </c>
      <c r="E13" s="4181">
        <f>C13-D13</f>
        <v>12000</v>
      </c>
      <c r="F13" s="4181">
        <f t="shared" ref="F13:F27" si="6">E13-G13</f>
        <v>12000</v>
      </c>
      <c r="G13" s="4181">
        <v>0</v>
      </c>
      <c r="H13" s="4183">
        <f>'[2]Phụ lục số 1'!T13</f>
        <v>37000</v>
      </c>
      <c r="I13" s="4182"/>
      <c r="J13" s="4183"/>
      <c r="K13" s="4183">
        <f t="shared" ref="K13:K22" si="7">H13-J13</f>
        <v>37000</v>
      </c>
      <c r="L13" s="4183">
        <f t="shared" si="4"/>
        <v>37000</v>
      </c>
      <c r="M13" s="4183">
        <v>0</v>
      </c>
      <c r="N13" s="4183">
        <f>'[2]Phụ lục số 1'!AE13</f>
        <v>20000</v>
      </c>
      <c r="O13" s="4182"/>
      <c r="P13" s="4183"/>
      <c r="Q13" s="4183">
        <f>N13-P13</f>
        <v>20000</v>
      </c>
      <c r="R13" s="4183">
        <f>Q13</f>
        <v>20000</v>
      </c>
      <c r="S13" s="4183">
        <v>0</v>
      </c>
      <c r="T13" s="4183">
        <f>'[2]Phụ lục số 1'!AK13</f>
        <v>14000</v>
      </c>
      <c r="U13" s="4182"/>
      <c r="V13" s="4183"/>
      <c r="W13" s="4183">
        <f>T13-V13</f>
        <v>14000</v>
      </c>
      <c r="X13" s="4183">
        <f>W13</f>
        <v>14000</v>
      </c>
      <c r="Y13" s="4183">
        <v>0</v>
      </c>
      <c r="Z13" s="4183">
        <f>'[2]Phụ lục số 1'!AQ13</f>
        <v>15000</v>
      </c>
      <c r="AA13" s="4182"/>
      <c r="AB13" s="4183"/>
      <c r="AC13" s="4183">
        <f>Z13-AB13</f>
        <v>15000</v>
      </c>
      <c r="AD13" s="4183">
        <f>AC13</f>
        <v>15000</v>
      </c>
      <c r="AE13" s="4183">
        <v>0</v>
      </c>
      <c r="AF13" s="667">
        <f t="shared" si="5"/>
        <v>25000</v>
      </c>
    </row>
    <row r="14" spans="1:37" ht="22.2" hidden="1" customHeight="1">
      <c r="A14" s="703" t="s">
        <v>29</v>
      </c>
      <c r="B14" s="44" t="s">
        <v>9</v>
      </c>
      <c r="C14" s="4183">
        <f>'[2]Phụ lục số 1'!C14</f>
        <v>42000</v>
      </c>
      <c r="D14" s="4181">
        <v>0</v>
      </c>
      <c r="E14" s="4181">
        <f>C14-D14</f>
        <v>42000</v>
      </c>
      <c r="F14" s="4181">
        <f t="shared" si="6"/>
        <v>42000</v>
      </c>
      <c r="G14" s="4181">
        <v>0</v>
      </c>
      <c r="H14" s="4183">
        <f>'[2]Phụ lục số 1'!T14</f>
        <v>18990</v>
      </c>
      <c r="I14" s="4182"/>
      <c r="J14" s="4183"/>
      <c r="K14" s="4183">
        <f t="shared" si="7"/>
        <v>18990</v>
      </c>
      <c r="L14" s="4183">
        <f t="shared" si="4"/>
        <v>18990</v>
      </c>
      <c r="M14" s="4183">
        <v>0</v>
      </c>
      <c r="N14" s="4183">
        <f>'[2]Phụ lục số 1'!AE14</f>
        <v>40000</v>
      </c>
      <c r="O14" s="4182"/>
      <c r="P14" s="4183"/>
      <c r="Q14" s="4183">
        <f>N14-P14</f>
        <v>40000</v>
      </c>
      <c r="R14" s="4183">
        <f>Q14</f>
        <v>40000</v>
      </c>
      <c r="S14" s="4183">
        <v>0</v>
      </c>
      <c r="T14" s="4183">
        <f>'[2]Phụ lục số 1'!AK14</f>
        <v>51999.7</v>
      </c>
      <c r="U14" s="4182"/>
      <c r="V14" s="4183"/>
      <c r="W14" s="4183">
        <f>T14-V14</f>
        <v>51999.7</v>
      </c>
      <c r="X14" s="4183">
        <f>W14</f>
        <v>51999.7</v>
      </c>
      <c r="Y14" s="4183">
        <v>0</v>
      </c>
      <c r="Z14" s="4183">
        <f>'[2]Phụ lục số 1'!AQ14</f>
        <v>57000</v>
      </c>
      <c r="AA14" s="4182"/>
      <c r="AB14" s="4183"/>
      <c r="AC14" s="4183">
        <f>Z14-AB14</f>
        <v>57000</v>
      </c>
      <c r="AD14" s="4183">
        <f>AC14</f>
        <v>57000</v>
      </c>
      <c r="AE14" s="4183">
        <v>0</v>
      </c>
      <c r="AF14" s="667">
        <f t="shared" si="5"/>
        <v>-23010</v>
      </c>
    </row>
    <row r="15" spans="1:37" ht="22.2" hidden="1" customHeight="1">
      <c r="A15" s="703" t="s">
        <v>29</v>
      </c>
      <c r="B15" s="44" t="s">
        <v>10</v>
      </c>
      <c r="C15" s="4183">
        <f>'[2]Phụ lục số 1'!C15</f>
        <v>0</v>
      </c>
      <c r="D15" s="4181">
        <v>0</v>
      </c>
      <c r="E15" s="4181">
        <f>C15-D15</f>
        <v>0</v>
      </c>
      <c r="F15" s="4181">
        <f t="shared" si="6"/>
        <v>0</v>
      </c>
      <c r="G15" s="4181">
        <v>0</v>
      </c>
      <c r="H15" s="4183">
        <f>'[2]Phụ lục số 1'!T15</f>
        <v>10</v>
      </c>
      <c r="I15" s="4182"/>
      <c r="J15" s="4183"/>
      <c r="K15" s="4183">
        <f t="shared" si="7"/>
        <v>10</v>
      </c>
      <c r="L15" s="4183">
        <f t="shared" si="4"/>
        <v>10</v>
      </c>
      <c r="M15" s="4183">
        <v>0</v>
      </c>
      <c r="N15" s="4183">
        <f>'[2]Phụ lục số 1'!AE15</f>
        <v>0</v>
      </c>
      <c r="O15" s="4182"/>
      <c r="P15" s="4183"/>
      <c r="Q15" s="4183">
        <f>N15-P15</f>
        <v>0</v>
      </c>
      <c r="R15" s="4183">
        <f>Q15</f>
        <v>0</v>
      </c>
      <c r="S15" s="4183">
        <v>0</v>
      </c>
      <c r="T15" s="4183">
        <f>'[2]Phụ lục số 1'!AK15</f>
        <v>0</v>
      </c>
      <c r="U15" s="4182"/>
      <c r="V15" s="4183"/>
      <c r="W15" s="4183">
        <f>T15-V15</f>
        <v>0</v>
      </c>
      <c r="X15" s="4183">
        <f>W15</f>
        <v>0</v>
      </c>
      <c r="Y15" s="4183">
        <v>0</v>
      </c>
      <c r="Z15" s="4183">
        <f>'[2]Phụ lục số 1'!AQ15</f>
        <v>0</v>
      </c>
      <c r="AA15" s="4182"/>
      <c r="AB15" s="4183"/>
      <c r="AC15" s="4183">
        <f>Z15-AB15</f>
        <v>0</v>
      </c>
      <c r="AD15" s="4183">
        <f>AC15</f>
        <v>0</v>
      </c>
      <c r="AE15" s="4183">
        <v>0</v>
      </c>
      <c r="AF15" s="667">
        <f t="shared" si="5"/>
        <v>10</v>
      </c>
    </row>
    <row r="16" spans="1:37" ht="22.2" hidden="1" customHeight="1">
      <c r="A16" s="703" t="s">
        <v>29</v>
      </c>
      <c r="B16" s="44" t="s">
        <v>11</v>
      </c>
      <c r="C16" s="4183">
        <f>'[2]Phụ lục số 1'!C16</f>
        <v>0</v>
      </c>
      <c r="D16" s="4181">
        <f>C16</f>
        <v>0</v>
      </c>
      <c r="E16" s="4181">
        <f>C16-D16</f>
        <v>0</v>
      </c>
      <c r="F16" s="4181">
        <f t="shared" si="6"/>
        <v>0</v>
      </c>
      <c r="G16" s="4181">
        <v>0</v>
      </c>
      <c r="H16" s="4183">
        <f>'[2]Phụ lục số 1'!T16</f>
        <v>0</v>
      </c>
      <c r="I16" s="4182"/>
      <c r="J16" s="4183">
        <f>H16</f>
        <v>0</v>
      </c>
      <c r="K16" s="4183">
        <f t="shared" si="7"/>
        <v>0</v>
      </c>
      <c r="L16" s="4183">
        <f t="shared" si="4"/>
        <v>0</v>
      </c>
      <c r="M16" s="4183">
        <v>0</v>
      </c>
      <c r="N16" s="4183">
        <f>'[2]Phụ lục số 1'!AE16</f>
        <v>0</v>
      </c>
      <c r="O16" s="4182"/>
      <c r="P16" s="4183">
        <f>N16</f>
        <v>0</v>
      </c>
      <c r="Q16" s="4183">
        <f>N16-P16</f>
        <v>0</v>
      </c>
      <c r="R16" s="4183"/>
      <c r="S16" s="4183"/>
      <c r="T16" s="4183">
        <f>'[2]Phụ lục số 1'!AK16</f>
        <v>0</v>
      </c>
      <c r="U16" s="4182"/>
      <c r="V16" s="4183"/>
      <c r="W16" s="4183"/>
      <c r="X16" s="4183"/>
      <c r="Y16" s="4183"/>
      <c r="Z16" s="4183">
        <f>'[2]Phụ lục số 1'!AQ16</f>
        <v>0</v>
      </c>
      <c r="AA16" s="4182"/>
      <c r="AB16" s="4183"/>
      <c r="AC16" s="4183">
        <f>Z16-AB16</f>
        <v>0</v>
      </c>
      <c r="AD16" s="4183">
        <f>AC16</f>
        <v>0</v>
      </c>
      <c r="AE16" s="4183">
        <v>0</v>
      </c>
      <c r="AF16" s="667">
        <f t="shared" si="5"/>
        <v>0</v>
      </c>
    </row>
    <row r="17" spans="1:32">
      <c r="A17" s="709">
        <v>2</v>
      </c>
      <c r="B17" s="2659" t="s">
        <v>12</v>
      </c>
      <c r="C17" s="4178">
        <f t="shared" ref="C17:H17" si="8">SUM(C18:C22)</f>
        <v>350000</v>
      </c>
      <c r="D17" s="4178">
        <f t="shared" si="8"/>
        <v>0</v>
      </c>
      <c r="E17" s="4178">
        <f t="shared" si="8"/>
        <v>350000</v>
      </c>
      <c r="F17" s="4178">
        <f t="shared" si="8"/>
        <v>350000</v>
      </c>
      <c r="G17" s="4178">
        <f t="shared" si="8"/>
        <v>0</v>
      </c>
      <c r="H17" s="4177">
        <f t="shared" si="8"/>
        <v>270000</v>
      </c>
      <c r="I17" s="4179">
        <f>H17/C17*100</f>
        <v>77.142857142857153</v>
      </c>
      <c r="J17" s="4177">
        <f>SUM(J18:J22)</f>
        <v>0</v>
      </c>
      <c r="K17" s="4177">
        <f>SUM(K18:K22)</f>
        <v>270000</v>
      </c>
      <c r="L17" s="4177">
        <f>SUM(L18:L22)</f>
        <v>270000</v>
      </c>
      <c r="M17" s="4177">
        <f>SUM(M18:M22)</f>
        <v>0</v>
      </c>
      <c r="N17" s="4177">
        <f>SUM(N18:N22)</f>
        <v>300000</v>
      </c>
      <c r="O17" s="4179">
        <f>N17/H17*100</f>
        <v>111.11111111111111</v>
      </c>
      <c r="P17" s="4177">
        <f>SUM(P18:P22)</f>
        <v>0</v>
      </c>
      <c r="Q17" s="4177">
        <f>SUM(Q18:Q22)</f>
        <v>300000</v>
      </c>
      <c r="R17" s="4177">
        <f>SUM(R18:R22)</f>
        <v>300000</v>
      </c>
      <c r="S17" s="4177">
        <f>SUM(S18:S22)</f>
        <v>0</v>
      </c>
      <c r="T17" s="4177">
        <f>SUM(T18:T22)</f>
        <v>470000</v>
      </c>
      <c r="U17" s="4179">
        <f>T17/N17*100</f>
        <v>156.66666666666666</v>
      </c>
      <c r="V17" s="4177">
        <f>SUM(V18:V22)</f>
        <v>0</v>
      </c>
      <c r="W17" s="4177">
        <f>SUM(W18:W22)</f>
        <v>470000</v>
      </c>
      <c r="X17" s="4177">
        <f>SUM(X18:X22)</f>
        <v>470000</v>
      </c>
      <c r="Y17" s="4177">
        <f>SUM(Y18:Y22)</f>
        <v>0</v>
      </c>
      <c r="Z17" s="4177">
        <f>SUM(Z18:Z22)</f>
        <v>510000</v>
      </c>
      <c r="AA17" s="4179">
        <f>Z17/T17*100</f>
        <v>108.51063829787233</v>
      </c>
      <c r="AB17" s="4177">
        <f>SUM(AB18:AB22)</f>
        <v>0</v>
      </c>
      <c r="AC17" s="4177">
        <f>SUM(AC18:AC22)</f>
        <v>510000</v>
      </c>
      <c r="AD17" s="4177">
        <f>SUM(AD18:AD22)</f>
        <v>510000</v>
      </c>
      <c r="AE17" s="4177">
        <f>SUM(AE18:AE22)</f>
        <v>0</v>
      </c>
      <c r="AF17" s="667">
        <f t="shared" si="5"/>
        <v>-80000</v>
      </c>
    </row>
    <row r="18" spans="1:32">
      <c r="A18" s="703" t="s">
        <v>29</v>
      </c>
      <c r="B18" s="44" t="s">
        <v>7</v>
      </c>
      <c r="C18" s="4180">
        <f>'[2]Phụ lục số 1'!C18</f>
        <v>183000</v>
      </c>
      <c r="D18" s="4181">
        <v>0</v>
      </c>
      <c r="E18" s="4181">
        <f>C18-D18</f>
        <v>183000</v>
      </c>
      <c r="F18" s="4181">
        <f t="shared" si="6"/>
        <v>183000</v>
      </c>
      <c r="G18" s="4181">
        <v>0</v>
      </c>
      <c r="H18" s="4180">
        <f>'[2]Phụ lục số 1'!T18</f>
        <v>100000</v>
      </c>
      <c r="I18" s="4182"/>
      <c r="J18" s="4183"/>
      <c r="K18" s="4183">
        <f t="shared" si="7"/>
        <v>100000</v>
      </c>
      <c r="L18" s="4183">
        <f t="shared" si="4"/>
        <v>100000</v>
      </c>
      <c r="M18" s="4183">
        <v>0</v>
      </c>
      <c r="N18" s="4183">
        <f>'[2]Phụ lục số 1'!AE18</f>
        <v>110000</v>
      </c>
      <c r="O18" s="4182"/>
      <c r="P18" s="4183"/>
      <c r="Q18" s="4183">
        <f>N18-P18</f>
        <v>110000</v>
      </c>
      <c r="R18" s="4183">
        <f>Q18</f>
        <v>110000</v>
      </c>
      <c r="S18" s="4183">
        <v>0</v>
      </c>
      <c r="T18" s="4183">
        <f>'[2]Phụ lục số 1'!AK18</f>
        <v>241000</v>
      </c>
      <c r="U18" s="4182"/>
      <c r="V18" s="4183"/>
      <c r="W18" s="4183">
        <f>T18-V18</f>
        <v>241000</v>
      </c>
      <c r="X18" s="4183">
        <f>W18</f>
        <v>241000</v>
      </c>
      <c r="Y18" s="4183">
        <v>0</v>
      </c>
      <c r="Z18" s="4183">
        <f>'[2]Phụ lục số 1'!AQ18</f>
        <v>263000</v>
      </c>
      <c r="AA18" s="4182"/>
      <c r="AB18" s="4183"/>
      <c r="AC18" s="4183">
        <f>Z18-AB18</f>
        <v>263000</v>
      </c>
      <c r="AD18" s="4183">
        <f>AC18</f>
        <v>263000</v>
      </c>
      <c r="AE18" s="4183">
        <v>0</v>
      </c>
      <c r="AF18" s="667">
        <f t="shared" si="5"/>
        <v>-83000</v>
      </c>
    </row>
    <row r="19" spans="1:32">
      <c r="A19" s="703" t="s">
        <v>29</v>
      </c>
      <c r="B19" s="44" t="s">
        <v>8</v>
      </c>
      <c r="C19" s="4183">
        <f>'[2]Phụ lục số 1'!C19</f>
        <v>65000</v>
      </c>
      <c r="D19" s="4181">
        <v>0</v>
      </c>
      <c r="E19" s="4181">
        <f>C19-D19</f>
        <v>65000</v>
      </c>
      <c r="F19" s="4181">
        <f t="shared" si="6"/>
        <v>65000</v>
      </c>
      <c r="G19" s="4181">
        <v>0</v>
      </c>
      <c r="H19" s="4183">
        <f>'[2]Phụ lục số 1'!T19</f>
        <v>100000</v>
      </c>
      <c r="I19" s="4182"/>
      <c r="J19" s="4183"/>
      <c r="K19" s="4183">
        <f t="shared" si="7"/>
        <v>100000</v>
      </c>
      <c r="L19" s="4183">
        <f t="shared" si="4"/>
        <v>100000</v>
      </c>
      <c r="M19" s="4183">
        <v>0</v>
      </c>
      <c r="N19" s="4183">
        <f>'[2]Phụ lục số 1'!AE19</f>
        <v>106000</v>
      </c>
      <c r="O19" s="4182"/>
      <c r="P19" s="4183"/>
      <c r="Q19" s="4183">
        <f>N19-P19</f>
        <v>106000</v>
      </c>
      <c r="R19" s="4183">
        <f>Q19</f>
        <v>106000</v>
      </c>
      <c r="S19" s="4183">
        <v>0</v>
      </c>
      <c r="T19" s="4183">
        <f>'[2]Phụ lục số 1'!AK19</f>
        <v>103000</v>
      </c>
      <c r="U19" s="4182"/>
      <c r="V19" s="4183"/>
      <c r="W19" s="4183">
        <f>T19-V19</f>
        <v>103000</v>
      </c>
      <c r="X19" s="4183">
        <f>W19</f>
        <v>103000</v>
      </c>
      <c r="Y19" s="4183">
        <v>0</v>
      </c>
      <c r="Z19" s="4183">
        <f>'[2]Phụ lục số 1'!AQ19</f>
        <v>112000</v>
      </c>
      <c r="AA19" s="4182"/>
      <c r="AB19" s="4183"/>
      <c r="AC19" s="4183">
        <f>Z19-AB19</f>
        <v>112000</v>
      </c>
      <c r="AD19" s="4183">
        <f>AC19</f>
        <v>112000</v>
      </c>
      <c r="AE19" s="4183">
        <v>0</v>
      </c>
      <c r="AF19" s="667">
        <f t="shared" si="5"/>
        <v>35000</v>
      </c>
    </row>
    <row r="20" spans="1:32">
      <c r="A20" s="703" t="s">
        <v>29</v>
      </c>
      <c r="B20" s="44" t="s">
        <v>9</v>
      </c>
      <c r="C20" s="4183">
        <f>'[2]Phụ lục số 1'!C20</f>
        <v>0</v>
      </c>
      <c r="D20" s="4181">
        <v>0</v>
      </c>
      <c r="E20" s="4181">
        <f>C20-D20</f>
        <v>0</v>
      </c>
      <c r="F20" s="4181">
        <f t="shared" si="6"/>
        <v>0</v>
      </c>
      <c r="G20" s="4181">
        <v>0</v>
      </c>
      <c r="H20" s="4183">
        <f>'[2]Phụ lục số 1'!T20</f>
        <v>0</v>
      </c>
      <c r="I20" s="4182"/>
      <c r="J20" s="4183"/>
      <c r="K20" s="4183">
        <f t="shared" si="7"/>
        <v>0</v>
      </c>
      <c r="L20" s="4183">
        <f t="shared" si="4"/>
        <v>0</v>
      </c>
      <c r="M20" s="4183">
        <v>0</v>
      </c>
      <c r="N20" s="4183">
        <f>'[2]Phụ lục số 1'!AE20</f>
        <v>0</v>
      </c>
      <c r="O20" s="4182"/>
      <c r="P20" s="4183"/>
      <c r="Q20" s="4183">
        <f>N20-P20</f>
        <v>0</v>
      </c>
      <c r="R20" s="4183">
        <f>Q20</f>
        <v>0</v>
      </c>
      <c r="S20" s="4183">
        <v>0</v>
      </c>
      <c r="T20" s="4183">
        <f>'[2]Phụ lục số 1'!AK20</f>
        <v>0</v>
      </c>
      <c r="U20" s="4182"/>
      <c r="V20" s="4183"/>
      <c r="W20" s="4183">
        <f>T20-V20</f>
        <v>0</v>
      </c>
      <c r="X20" s="4183">
        <f>W20</f>
        <v>0</v>
      </c>
      <c r="Y20" s="4183">
        <v>0</v>
      </c>
      <c r="Z20" s="4183">
        <f>'[2]Phụ lục số 1'!AQ20</f>
        <v>0</v>
      </c>
      <c r="AA20" s="4182"/>
      <c r="AB20" s="4183"/>
      <c r="AC20" s="4183">
        <f>Z20-AB20</f>
        <v>0</v>
      </c>
      <c r="AD20" s="4183">
        <f>AC20</f>
        <v>0</v>
      </c>
      <c r="AE20" s="4183">
        <v>0</v>
      </c>
      <c r="AF20" s="667">
        <f t="shared" si="5"/>
        <v>0</v>
      </c>
    </row>
    <row r="21" spans="1:32">
      <c r="A21" s="703" t="s">
        <v>29</v>
      </c>
      <c r="B21" s="44" t="s">
        <v>10</v>
      </c>
      <c r="C21" s="4183">
        <f>'[2]Phụ lục số 1'!C21</f>
        <v>102000</v>
      </c>
      <c r="D21" s="4181">
        <v>0</v>
      </c>
      <c r="E21" s="4181">
        <f>C21-D21</f>
        <v>102000</v>
      </c>
      <c r="F21" s="4181">
        <f t="shared" si="6"/>
        <v>102000</v>
      </c>
      <c r="G21" s="4181">
        <v>0</v>
      </c>
      <c r="H21" s="4183">
        <f>'[2]Phụ lục số 1'!T21</f>
        <v>70000</v>
      </c>
      <c r="I21" s="4182"/>
      <c r="J21" s="4183"/>
      <c r="K21" s="4183">
        <f t="shared" si="7"/>
        <v>70000</v>
      </c>
      <c r="L21" s="4183">
        <f t="shared" si="4"/>
        <v>70000</v>
      </c>
      <c r="M21" s="4183">
        <v>0</v>
      </c>
      <c r="N21" s="4183">
        <f>'[2]Phụ lục số 1'!AE21</f>
        <v>84000</v>
      </c>
      <c r="O21" s="4182"/>
      <c r="P21" s="4183"/>
      <c r="Q21" s="4183">
        <f>N21-P21</f>
        <v>84000</v>
      </c>
      <c r="R21" s="4183">
        <f>Q21</f>
        <v>84000</v>
      </c>
      <c r="S21" s="4183">
        <v>0</v>
      </c>
      <c r="T21" s="4183">
        <f>'[2]Phụ lục số 1'!AK21</f>
        <v>126000</v>
      </c>
      <c r="U21" s="4182"/>
      <c r="V21" s="4183"/>
      <c r="W21" s="4183">
        <f>T21-V21</f>
        <v>126000</v>
      </c>
      <c r="X21" s="4183">
        <f>W21</f>
        <v>126000</v>
      </c>
      <c r="Y21" s="4183">
        <v>0</v>
      </c>
      <c r="Z21" s="4183">
        <f>'[2]Phụ lục số 1'!AQ21</f>
        <v>135000</v>
      </c>
      <c r="AA21" s="4182"/>
      <c r="AB21" s="4183"/>
      <c r="AC21" s="4183">
        <f>Z21-AB21</f>
        <v>135000</v>
      </c>
      <c r="AD21" s="4183">
        <f>AC21</f>
        <v>135000</v>
      </c>
      <c r="AE21" s="4183">
        <v>0</v>
      </c>
      <c r="AF21" s="667">
        <f t="shared" si="5"/>
        <v>-32000</v>
      </c>
    </row>
    <row r="22" spans="1:32">
      <c r="A22" s="703" t="s">
        <v>29</v>
      </c>
      <c r="B22" s="44" t="s">
        <v>11</v>
      </c>
      <c r="C22" s="4183">
        <f>'[2]Phụ lục số 1'!C22</f>
        <v>0</v>
      </c>
      <c r="D22" s="4181">
        <v>0</v>
      </c>
      <c r="E22" s="4181">
        <f>C22-D22</f>
        <v>0</v>
      </c>
      <c r="F22" s="4181">
        <f t="shared" si="6"/>
        <v>0</v>
      </c>
      <c r="G22" s="4181">
        <v>0</v>
      </c>
      <c r="H22" s="4183">
        <f>'[2]Phụ lục số 1'!T22</f>
        <v>0</v>
      </c>
      <c r="I22" s="4182"/>
      <c r="J22" s="4183"/>
      <c r="K22" s="4183">
        <f t="shared" si="7"/>
        <v>0</v>
      </c>
      <c r="L22" s="4183">
        <f t="shared" si="4"/>
        <v>0</v>
      </c>
      <c r="M22" s="4183">
        <v>0</v>
      </c>
      <c r="N22" s="4183">
        <f>'[2]Phụ lục số 1'!AE22</f>
        <v>0</v>
      </c>
      <c r="O22" s="4182"/>
      <c r="P22" s="4183"/>
      <c r="Q22" s="4183">
        <f>N22-P22</f>
        <v>0</v>
      </c>
      <c r="R22" s="4183">
        <f>Q22</f>
        <v>0</v>
      </c>
      <c r="S22" s="4183">
        <v>0</v>
      </c>
      <c r="T22" s="4183">
        <f>'[2]Phụ lục số 1'!AK22</f>
        <v>0</v>
      </c>
      <c r="U22" s="4182"/>
      <c r="V22" s="4183"/>
      <c r="W22" s="4183">
        <f>T22-V22</f>
        <v>0</v>
      </c>
      <c r="X22" s="4183">
        <f>W22</f>
        <v>0</v>
      </c>
      <c r="Y22" s="4183">
        <v>0</v>
      </c>
      <c r="Z22" s="4183">
        <f>'[2]Phụ lục số 1'!AQ22</f>
        <v>0</v>
      </c>
      <c r="AA22" s="4182"/>
      <c r="AB22" s="4183"/>
      <c r="AC22" s="4183">
        <f>Z22-AB22</f>
        <v>0</v>
      </c>
      <c r="AD22" s="4183">
        <f>AC22</f>
        <v>0</v>
      </c>
      <c r="AE22" s="4183">
        <v>0</v>
      </c>
      <c r="AF22" s="667">
        <f t="shared" si="5"/>
        <v>0</v>
      </c>
    </row>
    <row r="23" spans="1:32">
      <c r="A23" s="709">
        <v>3</v>
      </c>
      <c r="B23" s="2659" t="s">
        <v>13</v>
      </c>
      <c r="C23" s="4178">
        <f t="shared" ref="C23:H23" si="9">SUM(C24:C27)</f>
        <v>70000</v>
      </c>
      <c r="D23" s="4178">
        <f t="shared" si="9"/>
        <v>0</v>
      </c>
      <c r="E23" s="4178">
        <f t="shared" si="9"/>
        <v>70000</v>
      </c>
      <c r="F23" s="4178">
        <f t="shared" si="9"/>
        <v>70000</v>
      </c>
      <c r="G23" s="4178">
        <f t="shared" si="9"/>
        <v>0</v>
      </c>
      <c r="H23" s="4177">
        <f t="shared" si="9"/>
        <v>70000</v>
      </c>
      <c r="I23" s="4179">
        <f>H23/C23*100</f>
        <v>100</v>
      </c>
      <c r="J23" s="4177">
        <f>SUM(J24:J27)</f>
        <v>0</v>
      </c>
      <c r="K23" s="4177">
        <f>SUM(K24:K27)</f>
        <v>70000</v>
      </c>
      <c r="L23" s="4177">
        <f>SUM(L24:L27)</f>
        <v>70000</v>
      </c>
      <c r="M23" s="4177">
        <f>SUM(M24:M27)</f>
        <v>0</v>
      </c>
      <c r="N23" s="4177">
        <f>SUM(N24:N27)</f>
        <v>75000</v>
      </c>
      <c r="O23" s="4179">
        <f>N23/H23*100</f>
        <v>107.14285714285714</v>
      </c>
      <c r="P23" s="4177">
        <f>SUM(P24:P27)</f>
        <v>0</v>
      </c>
      <c r="Q23" s="4177">
        <f>SUM(Q24:Q27)</f>
        <v>75000</v>
      </c>
      <c r="R23" s="4177">
        <f>SUM(R24:R27)</f>
        <v>75000</v>
      </c>
      <c r="S23" s="4177">
        <f>SUM(S24:S27)</f>
        <v>0</v>
      </c>
      <c r="T23" s="4177">
        <f>SUM(T24:T27)</f>
        <v>100000</v>
      </c>
      <c r="U23" s="4179">
        <f>T23/N23*100</f>
        <v>133.33333333333331</v>
      </c>
      <c r="V23" s="4177">
        <f>SUM(V24:V27)</f>
        <v>0</v>
      </c>
      <c r="W23" s="4177">
        <f>SUM(W24:W27)</f>
        <v>100000</v>
      </c>
      <c r="X23" s="4177">
        <f>SUM(X24:X27)</f>
        <v>100000</v>
      </c>
      <c r="Y23" s="4177">
        <f>SUM(Y24:Y27)</f>
        <v>0</v>
      </c>
      <c r="Z23" s="4177">
        <f>SUM(Z24:Z27)</f>
        <v>110000</v>
      </c>
      <c r="AA23" s="4179">
        <f>Z23/T23*100</f>
        <v>110.00000000000001</v>
      </c>
      <c r="AB23" s="4177">
        <f>SUM(AB24:AB27)</f>
        <v>0</v>
      </c>
      <c r="AC23" s="4177">
        <f>SUM(AC24:AC27)</f>
        <v>110000</v>
      </c>
      <c r="AD23" s="4177">
        <f>SUM(AD24:AD27)</f>
        <v>110000</v>
      </c>
      <c r="AE23" s="4177">
        <f>SUM(AE24:AE27)</f>
        <v>0</v>
      </c>
      <c r="AF23" s="667">
        <f t="shared" si="5"/>
        <v>0</v>
      </c>
    </row>
    <row r="24" spans="1:32">
      <c r="A24" s="703" t="s">
        <v>29</v>
      </c>
      <c r="B24" s="44" t="s">
        <v>7</v>
      </c>
      <c r="C24" s="4180">
        <f>'[2]Phụ lục số 1'!C24</f>
        <v>18000</v>
      </c>
      <c r="D24" s="4181">
        <v>0</v>
      </c>
      <c r="E24" s="4181">
        <f>C24-D24</f>
        <v>18000</v>
      </c>
      <c r="F24" s="4181">
        <f t="shared" si="6"/>
        <v>18000</v>
      </c>
      <c r="G24" s="4181">
        <v>0</v>
      </c>
      <c r="H24" s="4180">
        <f>'[2]Phụ lục số 1'!T24</f>
        <v>15000</v>
      </c>
      <c r="I24" s="4182"/>
      <c r="J24" s="4183">
        <f>0</f>
        <v>0</v>
      </c>
      <c r="K24" s="4183">
        <f>H24-J24</f>
        <v>15000</v>
      </c>
      <c r="L24" s="4183">
        <f>K24-M24</f>
        <v>15000</v>
      </c>
      <c r="M24" s="4183">
        <v>0</v>
      </c>
      <c r="N24" s="4183">
        <f>'[2]Phụ lục số 1'!AE24</f>
        <v>16000</v>
      </c>
      <c r="O24" s="4182"/>
      <c r="P24" s="4183"/>
      <c r="Q24" s="4183">
        <f>N24-P24</f>
        <v>16000</v>
      </c>
      <c r="R24" s="4183">
        <f>Q24-S24</f>
        <v>16000</v>
      </c>
      <c r="S24" s="4183">
        <v>0</v>
      </c>
      <c r="T24" s="4183">
        <f>'[2]Phụ lục số 1'!AK24</f>
        <v>22000</v>
      </c>
      <c r="U24" s="4182"/>
      <c r="V24" s="4183"/>
      <c r="W24" s="4183">
        <f>T24-V24</f>
        <v>22000</v>
      </c>
      <c r="X24" s="4183">
        <f>W24-Y24</f>
        <v>22000</v>
      </c>
      <c r="Y24" s="4183">
        <v>0</v>
      </c>
      <c r="Z24" s="4183">
        <f>'[2]Phụ lục số 1'!AQ24</f>
        <v>24000</v>
      </c>
      <c r="AA24" s="4182"/>
      <c r="AB24" s="4183"/>
      <c r="AC24" s="4183">
        <f>Z24-AB24</f>
        <v>24000</v>
      </c>
      <c r="AD24" s="4183">
        <f>AC24-AE24</f>
        <v>24000</v>
      </c>
      <c r="AE24" s="4183">
        <v>0</v>
      </c>
      <c r="AF24" s="667">
        <f t="shared" si="5"/>
        <v>-3000</v>
      </c>
    </row>
    <row r="25" spans="1:32">
      <c r="A25" s="703" t="s">
        <v>29</v>
      </c>
      <c r="B25" s="44" t="s">
        <v>8</v>
      </c>
      <c r="C25" s="4183">
        <f>'[2]Phụ lục số 1'!C25</f>
        <v>52000</v>
      </c>
      <c r="D25" s="4181">
        <v>0</v>
      </c>
      <c r="E25" s="4181">
        <f>C25-D25</f>
        <v>52000</v>
      </c>
      <c r="F25" s="4181">
        <f t="shared" si="6"/>
        <v>52000</v>
      </c>
      <c r="G25" s="4181">
        <v>0</v>
      </c>
      <c r="H25" s="4183">
        <f>'[2]Phụ lục số 1'!T25</f>
        <v>54990</v>
      </c>
      <c r="I25" s="4182"/>
      <c r="J25" s="4183">
        <f>0</f>
        <v>0</v>
      </c>
      <c r="K25" s="4183">
        <f>H25-J25</f>
        <v>54990</v>
      </c>
      <c r="L25" s="4183">
        <f>K25-M25</f>
        <v>54990</v>
      </c>
      <c r="M25" s="4183">
        <v>0</v>
      </c>
      <c r="N25" s="4183">
        <f>'[2]Phụ lục số 1'!AE25</f>
        <v>59000</v>
      </c>
      <c r="O25" s="4182"/>
      <c r="P25" s="4183"/>
      <c r="Q25" s="4183">
        <f>N25-P25</f>
        <v>59000</v>
      </c>
      <c r="R25" s="4183">
        <f>Q25-S25</f>
        <v>59000</v>
      </c>
      <c r="S25" s="4183">
        <v>0</v>
      </c>
      <c r="T25" s="4183">
        <f>'[2]Phụ lục số 1'!AK25</f>
        <v>78000</v>
      </c>
      <c r="U25" s="4182"/>
      <c r="V25" s="4183"/>
      <c r="W25" s="4183">
        <f>T25-V25</f>
        <v>78000</v>
      </c>
      <c r="X25" s="4183">
        <f>W25-Y25</f>
        <v>78000</v>
      </c>
      <c r="Y25" s="4183">
        <v>0</v>
      </c>
      <c r="Z25" s="4183">
        <f>'[2]Phụ lục số 1'!AQ25</f>
        <v>86000</v>
      </c>
      <c r="AA25" s="4182"/>
      <c r="AB25" s="4183"/>
      <c r="AC25" s="4183">
        <f>Z25-AB25</f>
        <v>86000</v>
      </c>
      <c r="AD25" s="4183">
        <f>AC25-AE25</f>
        <v>86000</v>
      </c>
      <c r="AE25" s="4183">
        <v>0</v>
      </c>
      <c r="AF25" s="667">
        <f t="shared" si="5"/>
        <v>2990</v>
      </c>
    </row>
    <row r="26" spans="1:32">
      <c r="A26" s="703" t="s">
        <v>29</v>
      </c>
      <c r="B26" s="44" t="s">
        <v>10</v>
      </c>
      <c r="C26" s="4183">
        <f>'[2]Phụ lục số 1'!C26</f>
        <v>0</v>
      </c>
      <c r="D26" s="4181"/>
      <c r="E26" s="4181">
        <f>C26-D26</f>
        <v>0</v>
      </c>
      <c r="F26" s="4181">
        <f>C26</f>
        <v>0</v>
      </c>
      <c r="G26" s="4181">
        <v>0</v>
      </c>
      <c r="H26" s="4183">
        <f>'[2]Phụ lục số 1'!T26</f>
        <v>0</v>
      </c>
      <c r="I26" s="4182"/>
      <c r="J26" s="4183">
        <v>0</v>
      </c>
      <c r="K26" s="4183">
        <f>H26-J26</f>
        <v>0</v>
      </c>
      <c r="L26" s="4183">
        <f>K26-M26</f>
        <v>0</v>
      </c>
      <c r="M26" s="4183">
        <v>0</v>
      </c>
      <c r="N26" s="4183">
        <f>'[2]Phụ lục số 1'!AE26</f>
        <v>0</v>
      </c>
      <c r="O26" s="4182"/>
      <c r="P26" s="4183"/>
      <c r="Q26" s="4183">
        <f>N26-P26</f>
        <v>0</v>
      </c>
      <c r="R26" s="4183">
        <f>Q26-S26</f>
        <v>0</v>
      </c>
      <c r="S26" s="4183">
        <v>0</v>
      </c>
      <c r="T26" s="4183">
        <f>'[2]Phụ lục số 1'!AK26</f>
        <v>0</v>
      </c>
      <c r="U26" s="4182"/>
      <c r="V26" s="4183"/>
      <c r="W26" s="4183">
        <f>T26-V26</f>
        <v>0</v>
      </c>
      <c r="X26" s="4183">
        <f>W26-Y26</f>
        <v>0</v>
      </c>
      <c r="Y26" s="4183">
        <v>0</v>
      </c>
      <c r="Z26" s="4183">
        <f>'[2]Phụ lục số 1'!AQ26</f>
        <v>0</v>
      </c>
      <c r="AA26" s="4182"/>
      <c r="AB26" s="4183"/>
      <c r="AC26" s="4183">
        <f>Z26-AB26</f>
        <v>0</v>
      </c>
      <c r="AD26" s="4183"/>
      <c r="AE26" s="4183"/>
      <c r="AF26" s="667">
        <f t="shared" si="5"/>
        <v>0</v>
      </c>
    </row>
    <row r="27" spans="1:32">
      <c r="A27" s="703" t="s">
        <v>29</v>
      </c>
      <c r="B27" s="44" t="s">
        <v>14</v>
      </c>
      <c r="C27" s="4183">
        <f>'[2]Phụ lục số 1'!C27</f>
        <v>0</v>
      </c>
      <c r="D27" s="4181">
        <v>0</v>
      </c>
      <c r="E27" s="4181">
        <f>C27-D27</f>
        <v>0</v>
      </c>
      <c r="F27" s="4181">
        <f t="shared" si="6"/>
        <v>0</v>
      </c>
      <c r="G27" s="4181">
        <v>0</v>
      </c>
      <c r="H27" s="4183">
        <f>'[2]Phụ lục số 1'!T27</f>
        <v>10</v>
      </c>
      <c r="I27" s="4182"/>
      <c r="J27" s="4183"/>
      <c r="K27" s="4183">
        <f>H27-J27</f>
        <v>10</v>
      </c>
      <c r="L27" s="4183">
        <f>K27-M27</f>
        <v>10</v>
      </c>
      <c r="M27" s="4183">
        <v>0</v>
      </c>
      <c r="N27" s="4183">
        <f>'[2]Phụ lục số 1'!AE27</f>
        <v>0</v>
      </c>
      <c r="O27" s="4182"/>
      <c r="P27" s="4183">
        <v>0</v>
      </c>
      <c r="Q27" s="4183">
        <f>N27-P27</f>
        <v>0</v>
      </c>
      <c r="R27" s="4183">
        <f>Q27-S27</f>
        <v>0</v>
      </c>
      <c r="S27" s="4183">
        <v>0</v>
      </c>
      <c r="T27" s="4183">
        <f>'[2]Phụ lục số 1'!AK27</f>
        <v>0</v>
      </c>
      <c r="U27" s="4182"/>
      <c r="V27" s="4183">
        <v>0</v>
      </c>
      <c r="W27" s="4183">
        <f>T27-V27</f>
        <v>0</v>
      </c>
      <c r="X27" s="4183">
        <f>W27-Y27</f>
        <v>0</v>
      </c>
      <c r="Y27" s="4183">
        <v>0</v>
      </c>
      <c r="Z27" s="4183">
        <f>'[2]Phụ lục số 1'!AQ27</f>
        <v>0</v>
      </c>
      <c r="AA27" s="4182"/>
      <c r="AB27" s="4183"/>
      <c r="AC27" s="4183">
        <f>Z27-AB27</f>
        <v>0</v>
      </c>
      <c r="AD27" s="4183"/>
      <c r="AE27" s="4183"/>
      <c r="AF27" s="667">
        <f t="shared" si="5"/>
        <v>10</v>
      </c>
    </row>
    <row r="28" spans="1:32" s="685" customFormat="1">
      <c r="A28" s="709">
        <v>4</v>
      </c>
      <c r="B28" s="2659" t="s">
        <v>15</v>
      </c>
      <c r="C28" s="4178">
        <f t="shared" ref="C28:H28" si="10">SUM(C29:C33)</f>
        <v>1265000</v>
      </c>
      <c r="D28" s="4178">
        <f t="shared" si="10"/>
        <v>0</v>
      </c>
      <c r="E28" s="4178">
        <f t="shared" si="10"/>
        <v>1265000</v>
      </c>
      <c r="F28" s="4178">
        <f t="shared" si="10"/>
        <v>88850</v>
      </c>
      <c r="G28" s="4178">
        <f t="shared" si="10"/>
        <v>1176150</v>
      </c>
      <c r="H28" s="4177">
        <f t="shared" si="10"/>
        <v>1600000.2999999998</v>
      </c>
      <c r="I28" s="4179">
        <f>H28/C28*100</f>
        <v>126.48223715415018</v>
      </c>
      <c r="J28" s="4177">
        <f>SUM(J29:J33)</f>
        <v>0</v>
      </c>
      <c r="K28" s="4177">
        <f>SUM(K29:K33)</f>
        <v>1600000.2999999998</v>
      </c>
      <c r="L28" s="4177">
        <f>SUM(L29:L33)</f>
        <v>80950.399999999994</v>
      </c>
      <c r="M28" s="4177">
        <f>SUM(M29:M33)</f>
        <v>1519049.9</v>
      </c>
      <c r="N28" s="4177">
        <f>SUM(N29:N33)</f>
        <v>1701000</v>
      </c>
      <c r="O28" s="4179">
        <f>N28/H28*100</f>
        <v>106.31248006641</v>
      </c>
      <c r="P28" s="4177">
        <f>SUM(P29:P33)</f>
        <v>0</v>
      </c>
      <c r="Q28" s="4177">
        <f>SUM(Q29:Q33)</f>
        <v>1701000</v>
      </c>
      <c r="R28" s="4177">
        <f>SUM(R29:R33)</f>
        <v>69420</v>
      </c>
      <c r="S28" s="4177">
        <f>SUM(S29:S33)</f>
        <v>1631580</v>
      </c>
      <c r="T28" s="4177">
        <f>SUM(T29:T33)</f>
        <v>1620000</v>
      </c>
      <c r="U28" s="4179">
        <f>T28/N28*100</f>
        <v>95.238095238095227</v>
      </c>
      <c r="V28" s="4177">
        <f>SUM(V29:V33)</f>
        <v>0</v>
      </c>
      <c r="W28" s="4177">
        <f>SUM(W29:W33)</f>
        <v>1620000</v>
      </c>
      <c r="X28" s="4177">
        <f>SUM(X29:X33)</f>
        <v>118000</v>
      </c>
      <c r="Y28" s="4177">
        <f>SUM(Y29:Y33)</f>
        <v>1502000</v>
      </c>
      <c r="Z28" s="4177">
        <f>SUM(Z29:Z33)</f>
        <v>1790000</v>
      </c>
      <c r="AA28" s="4179">
        <f>Z28/T28*100</f>
        <v>110.49382716049382</v>
      </c>
      <c r="AB28" s="4177">
        <f>SUM(AB29:AB33)</f>
        <v>0</v>
      </c>
      <c r="AC28" s="4177">
        <f>SUM(AC29:AC33)</f>
        <v>1790000</v>
      </c>
      <c r="AD28" s="4177">
        <f>SUM(AD29:AD33)</f>
        <v>131000</v>
      </c>
      <c r="AE28" s="4177">
        <f>SUM(AE29:AE33)</f>
        <v>1659000</v>
      </c>
      <c r="AF28" s="667">
        <f t="shared" si="5"/>
        <v>335000.29999999981</v>
      </c>
    </row>
    <row r="29" spans="1:32">
      <c r="A29" s="703" t="s">
        <v>29</v>
      </c>
      <c r="B29" s="44" t="s">
        <v>7</v>
      </c>
      <c r="C29" s="4180">
        <f>'[2]Phụ lục số 1'!C29</f>
        <v>651170</v>
      </c>
      <c r="D29" s="4181">
        <v>0</v>
      </c>
      <c r="E29" s="4181">
        <f t="shared" ref="E29:E34" si="11">C29-D29</f>
        <v>651170</v>
      </c>
      <c r="F29" s="4181">
        <f>E29-G29</f>
        <v>0</v>
      </c>
      <c r="G29" s="4181">
        <f>C29</f>
        <v>651170</v>
      </c>
      <c r="H29" s="4180">
        <f>'[2]Phụ lục số 1'!T29</f>
        <v>728899.9</v>
      </c>
      <c r="I29" s="4182"/>
      <c r="J29" s="4183">
        <f>0</f>
        <v>0</v>
      </c>
      <c r="K29" s="4183">
        <f t="shared" ref="K29:K48" si="12">H29-J29</f>
        <v>728899.9</v>
      </c>
      <c r="L29" s="4181">
        <f>K29-M29</f>
        <v>0</v>
      </c>
      <c r="M29" s="4183">
        <f>H29</f>
        <v>728899.9</v>
      </c>
      <c r="N29" s="4183">
        <f>'[2]Phụ lục số 1'!AE29</f>
        <v>724290</v>
      </c>
      <c r="O29" s="4182"/>
      <c r="P29" s="4183"/>
      <c r="Q29" s="4183">
        <f t="shared" ref="Q29:Q47" si="13">N29-P29</f>
        <v>724290</v>
      </c>
      <c r="R29" s="4181">
        <f>Q29-S29</f>
        <v>0</v>
      </c>
      <c r="S29" s="4183">
        <f>N29</f>
        <v>724290</v>
      </c>
      <c r="T29" s="4183">
        <f>'[2]Phụ lục số 1'!AK29</f>
        <v>910000</v>
      </c>
      <c r="U29" s="4182"/>
      <c r="V29" s="4183"/>
      <c r="W29" s="4183">
        <f t="shared" ref="W29:W38" si="14">T29-V29</f>
        <v>910000</v>
      </c>
      <c r="X29" s="4181">
        <f t="shared" ref="X29:X36" si="15">W29-Y29</f>
        <v>0</v>
      </c>
      <c r="Y29" s="4183">
        <f>T29</f>
        <v>910000</v>
      </c>
      <c r="Z29" s="4183">
        <f>'[2]Phụ lục số 1'!AQ29</f>
        <v>1004000</v>
      </c>
      <c r="AA29" s="4182"/>
      <c r="AB29" s="4183"/>
      <c r="AC29" s="4183">
        <f>Z29-AB29</f>
        <v>1004000</v>
      </c>
      <c r="AD29" s="4181">
        <f t="shared" ref="AD29:AD36" si="16">AC29-AE29</f>
        <v>0</v>
      </c>
      <c r="AE29" s="4183">
        <f>Z29</f>
        <v>1004000</v>
      </c>
      <c r="AF29" s="667">
        <f t="shared" si="5"/>
        <v>77729.900000000023</v>
      </c>
    </row>
    <row r="30" spans="1:32">
      <c r="A30" s="703" t="s">
        <v>29</v>
      </c>
      <c r="B30" s="44" t="s">
        <v>8</v>
      </c>
      <c r="C30" s="4183">
        <f>'[2]Phụ lục số 1'!C30</f>
        <v>524980</v>
      </c>
      <c r="D30" s="4181">
        <v>0</v>
      </c>
      <c r="E30" s="4181">
        <f t="shared" si="11"/>
        <v>524980</v>
      </c>
      <c r="F30" s="4181">
        <f>E30-G30</f>
        <v>0</v>
      </c>
      <c r="G30" s="4181">
        <f>C30</f>
        <v>524980</v>
      </c>
      <c r="H30" s="4183">
        <f>'[2]Phụ lục số 1'!T30</f>
        <v>790000</v>
      </c>
      <c r="I30" s="4182"/>
      <c r="J30" s="4183">
        <f>0</f>
        <v>0</v>
      </c>
      <c r="K30" s="4183">
        <f t="shared" si="12"/>
        <v>790000</v>
      </c>
      <c r="L30" s="4181">
        <f>K30-M30</f>
        <v>0</v>
      </c>
      <c r="M30" s="4183">
        <f>H30</f>
        <v>790000</v>
      </c>
      <c r="N30" s="4183">
        <f>'[2]Phụ lục số 1'!AE30</f>
        <v>905790</v>
      </c>
      <c r="O30" s="4182"/>
      <c r="P30" s="4183"/>
      <c r="Q30" s="4183">
        <f t="shared" si="13"/>
        <v>905790</v>
      </c>
      <c r="R30" s="4181">
        <f>Q30-S30</f>
        <v>0</v>
      </c>
      <c r="S30" s="4183">
        <f>N30</f>
        <v>905790</v>
      </c>
      <c r="T30" s="4183">
        <f>'[2]Phụ lục số 1'!AK30</f>
        <v>592000</v>
      </c>
      <c r="U30" s="4182"/>
      <c r="V30" s="4183"/>
      <c r="W30" s="4183">
        <f t="shared" si="14"/>
        <v>592000</v>
      </c>
      <c r="X30" s="4181">
        <f t="shared" si="15"/>
        <v>0</v>
      </c>
      <c r="Y30" s="4183">
        <f>T30</f>
        <v>592000</v>
      </c>
      <c r="Z30" s="4183">
        <f>'[2]Phụ lục số 1'!AQ30</f>
        <v>655000</v>
      </c>
      <c r="AA30" s="4182"/>
      <c r="AB30" s="4183"/>
      <c r="AC30" s="4183">
        <f>Z30-AB30</f>
        <v>655000</v>
      </c>
      <c r="AD30" s="4181">
        <f t="shared" si="16"/>
        <v>0</v>
      </c>
      <c r="AE30" s="4183">
        <f>Z30</f>
        <v>655000</v>
      </c>
      <c r="AF30" s="667">
        <f t="shared" si="5"/>
        <v>265020</v>
      </c>
    </row>
    <row r="31" spans="1:32">
      <c r="A31" s="703" t="s">
        <v>29</v>
      </c>
      <c r="B31" s="44" t="s">
        <v>9</v>
      </c>
      <c r="C31" s="4183">
        <f>'[2]Phụ lục số 1'!C31</f>
        <v>85120</v>
      </c>
      <c r="D31" s="4181">
        <v>0</v>
      </c>
      <c r="E31" s="4181">
        <f t="shared" si="11"/>
        <v>85120</v>
      </c>
      <c r="F31" s="4181">
        <f>E31-G31</f>
        <v>85120</v>
      </c>
      <c r="G31" s="4181">
        <v>0</v>
      </c>
      <c r="H31" s="4183">
        <f>'[2]Phụ lục số 1'!T31</f>
        <v>76000.2</v>
      </c>
      <c r="I31" s="4182"/>
      <c r="J31" s="4183"/>
      <c r="K31" s="4183">
        <f t="shared" si="12"/>
        <v>76000.2</v>
      </c>
      <c r="L31" s="4181">
        <f>K31-M31</f>
        <v>76000.2</v>
      </c>
      <c r="M31" s="4183">
        <v>0</v>
      </c>
      <c r="N31" s="4183">
        <f>'[2]Phụ lục số 1'!AE31</f>
        <v>63450</v>
      </c>
      <c r="O31" s="4182"/>
      <c r="P31" s="4183"/>
      <c r="Q31" s="4183">
        <f t="shared" si="13"/>
        <v>63450</v>
      </c>
      <c r="R31" s="4181">
        <f>Q31-S31</f>
        <v>63450</v>
      </c>
      <c r="S31" s="4183"/>
      <c r="T31" s="4183">
        <f>'[2]Phụ lục số 1'!AK31</f>
        <v>109400</v>
      </c>
      <c r="U31" s="4182"/>
      <c r="V31" s="4183"/>
      <c r="W31" s="4183">
        <f t="shared" si="14"/>
        <v>109400</v>
      </c>
      <c r="X31" s="4181">
        <f t="shared" si="15"/>
        <v>109400</v>
      </c>
      <c r="Y31" s="4183"/>
      <c r="Z31" s="4183">
        <f>'[2]Phụ lục số 1'!AQ31</f>
        <v>122000</v>
      </c>
      <c r="AA31" s="4182"/>
      <c r="AB31" s="4183"/>
      <c r="AC31" s="4183">
        <f>Z31-AB31</f>
        <v>122000</v>
      </c>
      <c r="AD31" s="4181">
        <f t="shared" si="16"/>
        <v>122000</v>
      </c>
      <c r="AE31" s="4183"/>
      <c r="AF31" s="667">
        <f t="shared" si="5"/>
        <v>-9119.8000000000029</v>
      </c>
    </row>
    <row r="32" spans="1:32">
      <c r="A32" s="703" t="s">
        <v>29</v>
      </c>
      <c r="B32" s="44" t="s">
        <v>10</v>
      </c>
      <c r="C32" s="4183">
        <f>'[2]Phụ lục số 1'!C32</f>
        <v>3730</v>
      </c>
      <c r="D32" s="4181">
        <v>0</v>
      </c>
      <c r="E32" s="4181">
        <f t="shared" si="11"/>
        <v>3730</v>
      </c>
      <c r="F32" s="4181">
        <f>E32-G32</f>
        <v>3730</v>
      </c>
      <c r="G32" s="4181">
        <v>0</v>
      </c>
      <c r="H32" s="4183">
        <f>'[2]Phụ lục số 1'!T32</f>
        <v>4950.2</v>
      </c>
      <c r="I32" s="4182"/>
      <c r="J32" s="4183"/>
      <c r="K32" s="4183">
        <f t="shared" si="12"/>
        <v>4950.2</v>
      </c>
      <c r="L32" s="4181">
        <f>K32-M32</f>
        <v>4950.2</v>
      </c>
      <c r="M32" s="4183">
        <v>0</v>
      </c>
      <c r="N32" s="4183">
        <f>'[2]Phụ lục số 1'!AE32</f>
        <v>5970</v>
      </c>
      <c r="O32" s="4182"/>
      <c r="P32" s="4183"/>
      <c r="Q32" s="4183">
        <f t="shared" si="13"/>
        <v>5970</v>
      </c>
      <c r="R32" s="4181">
        <f>Q32-S32</f>
        <v>5970</v>
      </c>
      <c r="S32" s="4183"/>
      <c r="T32" s="4183">
        <f>'[2]Phụ lục số 1'!AK32</f>
        <v>8600</v>
      </c>
      <c r="U32" s="4182"/>
      <c r="V32" s="4183"/>
      <c r="W32" s="4183">
        <f t="shared" si="14"/>
        <v>8600</v>
      </c>
      <c r="X32" s="4181">
        <f>W32-Y32</f>
        <v>8600</v>
      </c>
      <c r="Y32" s="4183"/>
      <c r="Z32" s="4183">
        <f>'[2]Phụ lục số 1'!AQ32</f>
        <v>9000</v>
      </c>
      <c r="AA32" s="4182"/>
      <c r="AB32" s="4183"/>
      <c r="AC32" s="4183">
        <f t="shared" ref="AC32:AC38" si="17">Z32-AB32</f>
        <v>9000</v>
      </c>
      <c r="AD32" s="4181">
        <f t="shared" si="16"/>
        <v>9000</v>
      </c>
      <c r="AE32" s="4183"/>
      <c r="AF32" s="667">
        <f t="shared" si="5"/>
        <v>1220.1999999999998</v>
      </c>
    </row>
    <row r="33" spans="1:33">
      <c r="A33" s="703" t="s">
        <v>29</v>
      </c>
      <c r="B33" s="44" t="s">
        <v>16</v>
      </c>
      <c r="C33" s="4183">
        <f>'[2]Phụ lục số 1'!C33</f>
        <v>0</v>
      </c>
      <c r="D33" s="4181">
        <v>0</v>
      </c>
      <c r="E33" s="4181">
        <f t="shared" si="11"/>
        <v>0</v>
      </c>
      <c r="F33" s="4181">
        <f>E33-G33</f>
        <v>0</v>
      </c>
      <c r="G33" s="4181">
        <f>C33</f>
        <v>0</v>
      </c>
      <c r="H33" s="4183">
        <f>'[2]Phụ lục số 1'!T33</f>
        <v>150</v>
      </c>
      <c r="I33" s="4182"/>
      <c r="J33" s="4183"/>
      <c r="K33" s="4183">
        <f t="shared" si="12"/>
        <v>150</v>
      </c>
      <c r="L33" s="4181">
        <f>K33-M33</f>
        <v>0</v>
      </c>
      <c r="M33" s="4183">
        <f>H33</f>
        <v>150</v>
      </c>
      <c r="N33" s="4183">
        <f>'[2]Phụ lục số 1'!AE33</f>
        <v>1500</v>
      </c>
      <c r="O33" s="4182"/>
      <c r="P33" s="4183"/>
      <c r="Q33" s="4183">
        <f t="shared" si="13"/>
        <v>1500</v>
      </c>
      <c r="R33" s="4181">
        <f>Q33-S33</f>
        <v>0</v>
      </c>
      <c r="S33" s="4183">
        <f>N33</f>
        <v>1500</v>
      </c>
      <c r="T33" s="4183">
        <f>'[2]Phụ lục số 1'!AK33</f>
        <v>0</v>
      </c>
      <c r="U33" s="4182"/>
      <c r="V33" s="4183"/>
      <c r="W33" s="4183">
        <f t="shared" si="14"/>
        <v>0</v>
      </c>
      <c r="X33" s="4181">
        <f t="shared" si="15"/>
        <v>0</v>
      </c>
      <c r="Y33" s="4183">
        <f>T33</f>
        <v>0</v>
      </c>
      <c r="Z33" s="4183">
        <f>'[2]Phụ lục số 1'!AQ33</f>
        <v>0</v>
      </c>
      <c r="AA33" s="4182"/>
      <c r="AB33" s="4183"/>
      <c r="AC33" s="4183">
        <f t="shared" si="17"/>
        <v>0</v>
      </c>
      <c r="AD33" s="4181">
        <f t="shared" si="16"/>
        <v>0</v>
      </c>
      <c r="AE33" s="4183"/>
      <c r="AF33" s="667">
        <f t="shared" si="5"/>
        <v>150</v>
      </c>
    </row>
    <row r="34" spans="1:33">
      <c r="A34" s="709">
        <v>5</v>
      </c>
      <c r="B34" s="2659" t="s">
        <v>17</v>
      </c>
      <c r="C34" s="4177">
        <f>'[2]Phụ lục số 1'!C34</f>
        <v>295000</v>
      </c>
      <c r="D34" s="4178">
        <v>0</v>
      </c>
      <c r="E34" s="4178">
        <f t="shared" si="11"/>
        <v>295000</v>
      </c>
      <c r="F34" s="4178">
        <v>0</v>
      </c>
      <c r="G34" s="4178">
        <f>E34-F34</f>
        <v>295000</v>
      </c>
      <c r="H34" s="4177">
        <f>'[2]Phụ lục số 1'!T34</f>
        <v>340000</v>
      </c>
      <c r="I34" s="4179">
        <f>H34/C34*100</f>
        <v>115.2542372881356</v>
      </c>
      <c r="J34" s="4177">
        <f>0</f>
        <v>0</v>
      </c>
      <c r="K34" s="4177">
        <f t="shared" si="12"/>
        <v>340000</v>
      </c>
      <c r="L34" s="4177">
        <f t="shared" ref="L34:L41" si="18">K34-M34</f>
        <v>0</v>
      </c>
      <c r="M34" s="4177">
        <f>H34</f>
        <v>340000</v>
      </c>
      <c r="N34" s="4177">
        <f>'[2]Phụ lục số 1'!AE34</f>
        <v>350000</v>
      </c>
      <c r="O34" s="4179">
        <f>N34/H34*100</f>
        <v>102.94117647058823</v>
      </c>
      <c r="P34" s="4177">
        <f>0</f>
        <v>0</v>
      </c>
      <c r="Q34" s="4177">
        <f t="shared" si="13"/>
        <v>350000</v>
      </c>
      <c r="R34" s="4177">
        <f t="shared" ref="R34:R41" si="19">Q34-S34</f>
        <v>0</v>
      </c>
      <c r="S34" s="4177">
        <f>N34</f>
        <v>350000</v>
      </c>
      <c r="T34" s="4177">
        <f>'[2]Phụ lục số 1'!AK34</f>
        <v>436000</v>
      </c>
      <c r="U34" s="4179">
        <f>T34/N34*100</f>
        <v>124.57142857142858</v>
      </c>
      <c r="V34" s="4177">
        <f>0</f>
        <v>0</v>
      </c>
      <c r="W34" s="4177">
        <f t="shared" si="14"/>
        <v>436000</v>
      </c>
      <c r="X34" s="4177">
        <f t="shared" si="15"/>
        <v>0</v>
      </c>
      <c r="Y34" s="4177">
        <f>T34</f>
        <v>436000</v>
      </c>
      <c r="Z34" s="4177">
        <f>'[2]Phụ lục số 1'!AQ34</f>
        <v>480000</v>
      </c>
      <c r="AA34" s="4179">
        <f>Z34/T34*100</f>
        <v>110.09174311926606</v>
      </c>
      <c r="AB34" s="4177">
        <f>0</f>
        <v>0</v>
      </c>
      <c r="AC34" s="4177">
        <f t="shared" si="17"/>
        <v>480000</v>
      </c>
      <c r="AD34" s="4177">
        <f t="shared" si="16"/>
        <v>0</v>
      </c>
      <c r="AE34" s="4177">
        <f>Z34</f>
        <v>480000</v>
      </c>
      <c r="AF34" s="667">
        <f t="shared" si="5"/>
        <v>45000</v>
      </c>
    </row>
    <row r="35" spans="1:33">
      <c r="A35" s="709">
        <v>6</v>
      </c>
      <c r="B35" s="2659" t="s">
        <v>18</v>
      </c>
      <c r="C35" s="4178">
        <f>'[2]Phụ lục số 1'!C35</f>
        <v>0</v>
      </c>
      <c r="D35" s="4178">
        <v>0</v>
      </c>
      <c r="E35" s="4178">
        <f>C35-D35</f>
        <v>0</v>
      </c>
      <c r="F35" s="4178">
        <v>0</v>
      </c>
      <c r="G35" s="4178">
        <f>E35-F35</f>
        <v>0</v>
      </c>
      <c r="H35" s="4177">
        <f>'[2]Phụ lục số 1'!T35</f>
        <v>339.5</v>
      </c>
      <c r="I35" s="4179"/>
      <c r="J35" s="4177">
        <f>0</f>
        <v>0</v>
      </c>
      <c r="K35" s="4177">
        <f t="shared" si="12"/>
        <v>339.5</v>
      </c>
      <c r="L35" s="4177">
        <f t="shared" si="18"/>
        <v>0</v>
      </c>
      <c r="M35" s="4177">
        <f>H35</f>
        <v>339.5</v>
      </c>
      <c r="N35" s="4177">
        <f>'[2]Phụ lục số 1'!AE35</f>
        <v>0</v>
      </c>
      <c r="O35" s="4179"/>
      <c r="P35" s="4177">
        <f>0</f>
        <v>0</v>
      </c>
      <c r="Q35" s="4177">
        <f t="shared" si="13"/>
        <v>0</v>
      </c>
      <c r="R35" s="4177">
        <f t="shared" si="19"/>
        <v>0</v>
      </c>
      <c r="S35" s="4177"/>
      <c r="T35" s="4177">
        <f>'[2]Phụ lục số 1'!AK35</f>
        <v>0</v>
      </c>
      <c r="U35" s="4179"/>
      <c r="V35" s="4177">
        <f>0</f>
        <v>0</v>
      </c>
      <c r="W35" s="4177">
        <f t="shared" si="14"/>
        <v>0</v>
      </c>
      <c r="X35" s="4177">
        <f t="shared" si="15"/>
        <v>0</v>
      </c>
      <c r="Y35" s="4177">
        <v>0</v>
      </c>
      <c r="Z35" s="4177">
        <f>'[2]Phụ lục số 1'!AQ35</f>
        <v>0</v>
      </c>
      <c r="AA35" s="4179"/>
      <c r="AB35" s="4177">
        <f>0</f>
        <v>0</v>
      </c>
      <c r="AC35" s="4177">
        <f t="shared" si="17"/>
        <v>0</v>
      </c>
      <c r="AD35" s="4177">
        <f t="shared" si="16"/>
        <v>0</v>
      </c>
      <c r="AE35" s="4177">
        <v>0</v>
      </c>
      <c r="AF35" s="667">
        <f t="shared" si="5"/>
        <v>339.5</v>
      </c>
    </row>
    <row r="36" spans="1:33">
      <c r="A36" s="709">
        <v>7</v>
      </c>
      <c r="B36" s="2659" t="s">
        <v>19</v>
      </c>
      <c r="C36" s="4178">
        <f>'[2]Phụ lục số 1'!C36</f>
        <v>10000</v>
      </c>
      <c r="D36" s="4178">
        <v>0</v>
      </c>
      <c r="E36" s="4178">
        <f>C36-D36</f>
        <v>10000</v>
      </c>
      <c r="F36" s="4178">
        <v>0</v>
      </c>
      <c r="G36" s="4178">
        <f>E36-F36</f>
        <v>10000</v>
      </c>
      <c r="H36" s="4177">
        <f>'[2]Phụ lục số 1'!T36</f>
        <v>14660.1</v>
      </c>
      <c r="I36" s="4179">
        <f t="shared" ref="I36:I49" si="20">H36/C36*100</f>
        <v>146.601</v>
      </c>
      <c r="J36" s="4177">
        <f>0</f>
        <v>0</v>
      </c>
      <c r="K36" s="4177">
        <f t="shared" si="12"/>
        <v>14660.1</v>
      </c>
      <c r="L36" s="4177">
        <f t="shared" si="18"/>
        <v>0</v>
      </c>
      <c r="M36" s="4177">
        <f>H36</f>
        <v>14660.1</v>
      </c>
      <c r="N36" s="4177">
        <f>'[2]Phụ lục số 1'!AE36</f>
        <v>15000</v>
      </c>
      <c r="O36" s="4179">
        <f>N36/H36*100</f>
        <v>102.31853807272802</v>
      </c>
      <c r="P36" s="4177">
        <f>0</f>
        <v>0</v>
      </c>
      <c r="Q36" s="4177">
        <f t="shared" si="13"/>
        <v>15000</v>
      </c>
      <c r="R36" s="4177">
        <f t="shared" si="19"/>
        <v>0</v>
      </c>
      <c r="S36" s="4177">
        <f>N36</f>
        <v>15000</v>
      </c>
      <c r="T36" s="4177">
        <f>'[2]Phụ lục số 1'!AK36</f>
        <v>12000</v>
      </c>
      <c r="U36" s="4179">
        <f t="shared" ref="U36:U41" si="21">T36/N36*100</f>
        <v>80</v>
      </c>
      <c r="V36" s="4177">
        <f>0</f>
        <v>0</v>
      </c>
      <c r="W36" s="4177">
        <f t="shared" si="14"/>
        <v>12000</v>
      </c>
      <c r="X36" s="4177">
        <f t="shared" si="15"/>
        <v>0</v>
      </c>
      <c r="Y36" s="4177">
        <f>T36</f>
        <v>12000</v>
      </c>
      <c r="Z36" s="4177">
        <f>'[2]Phụ lục số 1'!AQ36</f>
        <v>13000</v>
      </c>
      <c r="AA36" s="4179">
        <f t="shared" ref="AA36:AA41" si="22">Z36/T36*100</f>
        <v>108.33333333333333</v>
      </c>
      <c r="AB36" s="4177">
        <f>0</f>
        <v>0</v>
      </c>
      <c r="AC36" s="4177">
        <f t="shared" si="17"/>
        <v>13000</v>
      </c>
      <c r="AD36" s="4177">
        <f t="shared" si="16"/>
        <v>0</v>
      </c>
      <c r="AE36" s="4177">
        <f>Z36</f>
        <v>13000</v>
      </c>
      <c r="AF36" s="667">
        <f t="shared" si="5"/>
        <v>4660.1000000000004</v>
      </c>
    </row>
    <row r="37" spans="1:33">
      <c r="A37" s="709">
        <v>8</v>
      </c>
      <c r="B37" s="2659" t="s">
        <v>20</v>
      </c>
      <c r="C37" s="4178">
        <f>'[2]Phụ lục số 1'!C37</f>
        <v>600000</v>
      </c>
      <c r="D37" s="4178">
        <v>0</v>
      </c>
      <c r="E37" s="4178">
        <f>C37-D37</f>
        <v>600000</v>
      </c>
      <c r="F37" s="4178">
        <f>E37-G37</f>
        <v>290500</v>
      </c>
      <c r="G37" s="4178">
        <f>'[2]Phụ lục số 1'!G37</f>
        <v>309500</v>
      </c>
      <c r="H37" s="4177">
        <f>'[2]Phụ lục số 1'!T37</f>
        <v>710000</v>
      </c>
      <c r="I37" s="4179">
        <f>H37/C37*100</f>
        <v>118.33333333333333</v>
      </c>
      <c r="J37" s="4177">
        <f>0</f>
        <v>0</v>
      </c>
      <c r="K37" s="4177">
        <f t="shared" si="12"/>
        <v>710000</v>
      </c>
      <c r="L37" s="4177">
        <f t="shared" si="18"/>
        <v>344000.33333333337</v>
      </c>
      <c r="M37" s="4177">
        <f>'[2]Phụ lục số 1'!Y37</f>
        <v>365999.66666666663</v>
      </c>
      <c r="N37" s="4177">
        <f>'[2]Phụ lục số 1'!AE37</f>
        <v>730000</v>
      </c>
      <c r="O37" s="4179">
        <f>N37/H37*100</f>
        <v>102.8169014084507</v>
      </c>
      <c r="P37" s="4177">
        <f>0</f>
        <v>0</v>
      </c>
      <c r="Q37" s="4177">
        <f t="shared" si="13"/>
        <v>730000</v>
      </c>
      <c r="R37" s="4177">
        <f>Q37-S37</f>
        <v>408000</v>
      </c>
      <c r="S37" s="4177">
        <f>'[2]Phụ lục số 1'!AJ37</f>
        <v>322000</v>
      </c>
      <c r="T37" s="4177">
        <f>'[2]Phụ lục số 1'!AK37</f>
        <v>870000</v>
      </c>
      <c r="U37" s="4179">
        <f t="shared" si="21"/>
        <v>119.17808219178083</v>
      </c>
      <c r="V37" s="4177">
        <f>0</f>
        <v>0</v>
      </c>
      <c r="W37" s="4177">
        <f t="shared" si="14"/>
        <v>870000</v>
      </c>
      <c r="X37" s="4177">
        <f>W37-Y37</f>
        <v>485999.57534246572</v>
      </c>
      <c r="Y37" s="4177">
        <f>'[2]Phụ lục số 1'!AP37</f>
        <v>384000.42465753428</v>
      </c>
      <c r="Z37" s="4177">
        <f>'[2]Phụ lục số 1'!AQ37</f>
        <v>940000</v>
      </c>
      <c r="AA37" s="4179">
        <f t="shared" si="22"/>
        <v>108.04597701149426</v>
      </c>
      <c r="AB37" s="4177">
        <f>0</f>
        <v>0</v>
      </c>
      <c r="AC37" s="4177">
        <f t="shared" si="17"/>
        <v>940000</v>
      </c>
      <c r="AD37" s="4177">
        <f>'[2]Phụ lục số 1'!AU37</f>
        <v>525099.98945048021</v>
      </c>
      <c r="AE37" s="4177">
        <f>'[2]Phụ lục số 1'!AV37</f>
        <v>414900.01054951979</v>
      </c>
      <c r="AF37" s="667">
        <f t="shared" si="5"/>
        <v>110000</v>
      </c>
    </row>
    <row r="38" spans="1:33">
      <c r="A38" s="709">
        <v>9</v>
      </c>
      <c r="B38" s="2659" t="s">
        <v>1701</v>
      </c>
      <c r="C38" s="4177">
        <f>'[2]Phụ lục số 1'!C38</f>
        <v>1500000</v>
      </c>
      <c r="D38" s="4177">
        <f>'[2]Phụ lục số 1'!D38</f>
        <v>600000</v>
      </c>
      <c r="E38" s="4178">
        <f>C38-D38</f>
        <v>900000</v>
      </c>
      <c r="F38" s="4178">
        <f>E38-G38</f>
        <v>900000</v>
      </c>
      <c r="G38" s="4178">
        <v>0</v>
      </c>
      <c r="H38" s="4177">
        <f>'[2]Phụ lục số 1'!T38</f>
        <v>980000</v>
      </c>
      <c r="I38" s="4179">
        <f t="shared" si="20"/>
        <v>65.333333333333329</v>
      </c>
      <c r="J38" s="4177">
        <f>INT(ROUND(H38*40%,-3))</f>
        <v>392000</v>
      </c>
      <c r="K38" s="4177">
        <f t="shared" si="12"/>
        <v>588000</v>
      </c>
      <c r="L38" s="4177">
        <f t="shared" si="18"/>
        <v>588000</v>
      </c>
      <c r="M38" s="4177">
        <v>0</v>
      </c>
      <c r="N38" s="4177">
        <f>'[2]Phụ lục số 1'!AE38</f>
        <v>1065000</v>
      </c>
      <c r="O38" s="4179">
        <f>N38/H38*100</f>
        <v>108.67346938775511</v>
      </c>
      <c r="P38" s="4177">
        <f>INT(ROUND(N38*40%,-3))</f>
        <v>426000</v>
      </c>
      <c r="Q38" s="4177">
        <f t="shared" si="13"/>
        <v>639000</v>
      </c>
      <c r="R38" s="4177">
        <f t="shared" si="19"/>
        <v>639000</v>
      </c>
      <c r="S38" s="4177">
        <v>0</v>
      </c>
      <c r="T38" s="4177">
        <f>'[2]Phụ lục số 1'!AK38</f>
        <v>1750000</v>
      </c>
      <c r="U38" s="4179">
        <f t="shared" si="21"/>
        <v>164.31924882629107</v>
      </c>
      <c r="V38" s="4177">
        <f>ROUND(T38*40%,-3)</f>
        <v>700000</v>
      </c>
      <c r="W38" s="4177">
        <f t="shared" si="14"/>
        <v>1050000</v>
      </c>
      <c r="X38" s="4177">
        <f>W38-Y38</f>
        <v>1050000</v>
      </c>
      <c r="Y38" s="4177">
        <v>0</v>
      </c>
      <c r="Z38" s="4177">
        <f>'[2]Phụ lục số 1'!AQ38</f>
        <v>1900000</v>
      </c>
      <c r="AA38" s="4179">
        <f t="shared" si="22"/>
        <v>108.57142857142857</v>
      </c>
      <c r="AB38" s="4177">
        <f>'[2]Phụ lục số 1'!AS38</f>
        <v>760000</v>
      </c>
      <c r="AC38" s="4177">
        <f t="shared" si="17"/>
        <v>1140000</v>
      </c>
      <c r="AD38" s="4177">
        <f>'[2]Phụ lục số 1'!AU38</f>
        <v>1140000</v>
      </c>
      <c r="AE38" s="4177">
        <v>0</v>
      </c>
      <c r="AF38" s="667">
        <f t="shared" si="5"/>
        <v>-520000</v>
      </c>
      <c r="AG38" s="667">
        <f>+L38-F38</f>
        <v>-312000</v>
      </c>
    </row>
    <row r="39" spans="1:33">
      <c r="A39" s="709">
        <v>10</v>
      </c>
      <c r="B39" s="2659" t="s">
        <v>22</v>
      </c>
      <c r="C39" s="4177">
        <f>'[2]Phụ lục số 1'!C39</f>
        <v>160000</v>
      </c>
      <c r="D39" s="4177">
        <f>'[2]Phụ lục số 1'!D39</f>
        <v>82000</v>
      </c>
      <c r="E39" s="4178">
        <f>C39-D39</f>
        <v>78000</v>
      </c>
      <c r="F39" s="4178">
        <f>E39-G39</f>
        <v>18800</v>
      </c>
      <c r="G39" s="4178">
        <f>'[2]Phụ lục số 1'!G39</f>
        <v>59200</v>
      </c>
      <c r="H39" s="4177">
        <f>'[2]Phụ lục số 1'!T39</f>
        <v>160000</v>
      </c>
      <c r="I39" s="4179">
        <f t="shared" si="20"/>
        <v>100</v>
      </c>
      <c r="J39" s="4177">
        <f>'[2]Phụ lục số 1'!V39</f>
        <v>82000</v>
      </c>
      <c r="K39" s="4177">
        <f t="shared" si="12"/>
        <v>78000</v>
      </c>
      <c r="L39" s="4177">
        <f t="shared" si="18"/>
        <v>19000</v>
      </c>
      <c r="M39" s="4177">
        <f>'[2]Phụ lục số 1'!Y39</f>
        <v>59000</v>
      </c>
      <c r="N39" s="4177">
        <f>'[2]Phụ lục số 1'!AE39</f>
        <v>170000</v>
      </c>
      <c r="O39" s="4179">
        <f>N39/H39*100</f>
        <v>106.25</v>
      </c>
      <c r="P39" s="4177">
        <f>'[2]Phụ lục số 1'!AG39</f>
        <v>60000</v>
      </c>
      <c r="Q39" s="4177">
        <f>R39+S39</f>
        <v>110000</v>
      </c>
      <c r="R39" s="4177">
        <f>N39-P39-S39</f>
        <v>47600</v>
      </c>
      <c r="S39" s="4177">
        <f>'[2]Phụ lục số 1'!AJ39</f>
        <v>62400</v>
      </c>
      <c r="T39" s="4177">
        <f>'[2]Phụ lục số 1'!AK39</f>
        <v>212000</v>
      </c>
      <c r="U39" s="4179">
        <f t="shared" si="21"/>
        <v>124.70588235294117</v>
      </c>
      <c r="V39" s="4177">
        <f>'[2]Phụ lục số 1'!AM39</f>
        <v>74729.529411764699</v>
      </c>
      <c r="W39" s="4177">
        <f>X39+Y39</f>
        <v>137270.4705882353</v>
      </c>
      <c r="X39" s="4177">
        <f>T39-V39-Y39</f>
        <v>59470.5</v>
      </c>
      <c r="Y39" s="4177">
        <f>'[2]Phụ lục số 1'!AP39</f>
        <v>77799.970588235301</v>
      </c>
      <c r="Z39" s="4177">
        <f>'[2]Phụ lục số 1'!AQ39</f>
        <v>226000</v>
      </c>
      <c r="AA39" s="4179">
        <f t="shared" si="22"/>
        <v>106.60377358490567</v>
      </c>
      <c r="AB39" s="4177">
        <f>'[2]Phụ lục số 1'!AS39</f>
        <v>79605.498335183118</v>
      </c>
      <c r="AC39" s="4177">
        <f>AD39+AE39</f>
        <v>146394.10166481687</v>
      </c>
      <c r="AD39" s="4184">
        <f>'[2]Phụ lục số 1'!AU39-0.2</f>
        <v>63494.397169811316</v>
      </c>
      <c r="AE39" s="4184">
        <f>'[2]Phụ lục số 1'!AV39</f>
        <v>82899.704495005557</v>
      </c>
      <c r="AF39" s="667">
        <f t="shared" si="5"/>
        <v>0</v>
      </c>
    </row>
    <row r="40" spans="1:33">
      <c r="A40" s="709">
        <v>11</v>
      </c>
      <c r="B40" s="2659" t="s">
        <v>23</v>
      </c>
      <c r="C40" s="4177">
        <f>'[2]Phụ lục số 1'!C40</f>
        <v>900000</v>
      </c>
      <c r="D40" s="4177">
        <v>0</v>
      </c>
      <c r="E40" s="4178">
        <f>F40+G40</f>
        <v>900000</v>
      </c>
      <c r="F40" s="4178">
        <f>C40-G40</f>
        <v>100000</v>
      </c>
      <c r="G40" s="4178">
        <f>'[2]Phụ lục số 1'!G40</f>
        <v>800000</v>
      </c>
      <c r="H40" s="4177">
        <f>'[2]Phụ lục số 1'!T40</f>
        <v>1080000</v>
      </c>
      <c r="I40" s="4179">
        <f t="shared" si="20"/>
        <v>120</v>
      </c>
      <c r="J40" s="4177">
        <f>0</f>
        <v>0</v>
      </c>
      <c r="K40" s="4177">
        <f>H40-J40</f>
        <v>1080000</v>
      </c>
      <c r="L40" s="4177">
        <f>K40-M40</f>
        <v>100000</v>
      </c>
      <c r="M40" s="4177">
        <f>'[2]Phụ lục số 1'!Y40</f>
        <v>980000</v>
      </c>
      <c r="N40" s="4177">
        <f>'[2]Phụ lục số 1'!AE40</f>
        <v>1770000</v>
      </c>
      <c r="O40" s="4179">
        <f t="shared" ref="O40:O51" si="23">N40/H40*100</f>
        <v>163.88888888888889</v>
      </c>
      <c r="P40" s="4177"/>
      <c r="Q40" s="4177">
        <f>N40-P40</f>
        <v>1770000</v>
      </c>
      <c r="R40" s="4177">
        <f>Q40-S40</f>
        <v>627000</v>
      </c>
      <c r="S40" s="4177">
        <f>'[2]Phụ lục số 1'!AJ40</f>
        <v>1143000</v>
      </c>
      <c r="T40" s="4177">
        <f>'[2]Phụ lục số 1'!AK40</f>
        <v>1200000</v>
      </c>
      <c r="U40" s="4179">
        <f t="shared" si="21"/>
        <v>67.796610169491515</v>
      </c>
      <c r="V40" s="4177">
        <f>0</f>
        <v>0</v>
      </c>
      <c r="W40" s="4177">
        <f t="shared" ref="W40:W47" si="24">T40-V40</f>
        <v>1200000</v>
      </c>
      <c r="X40" s="4177">
        <f t="shared" ref="X40:X45" si="25">W40-Y40</f>
        <v>425099.74576271186</v>
      </c>
      <c r="Y40" s="4177">
        <f>'[2]Phụ lục số 1'!AP40</f>
        <v>774900.25423728814</v>
      </c>
      <c r="Z40" s="4177">
        <f>'[2]Phụ lục số 1'!AQ40</f>
        <v>1260000</v>
      </c>
      <c r="AA40" s="4179">
        <f t="shared" si="22"/>
        <v>105</v>
      </c>
      <c r="AB40" s="4177">
        <f>0</f>
        <v>0</v>
      </c>
      <c r="AC40" s="4177">
        <f t="shared" ref="AC40:AC47" si="26">Z40-AB40</f>
        <v>1260000</v>
      </c>
      <c r="AD40" s="4177">
        <f>'[2]Phụ lục số 1'!AU40</f>
        <v>446399.73305084754</v>
      </c>
      <c r="AE40" s="4177">
        <f>'[2]Phụ lục số 1'!AV40</f>
        <v>813600.26694915246</v>
      </c>
      <c r="AF40" s="667">
        <f t="shared" si="5"/>
        <v>180000</v>
      </c>
    </row>
    <row r="41" spans="1:33">
      <c r="A41" s="709">
        <v>12</v>
      </c>
      <c r="B41" s="2659" t="s">
        <v>24</v>
      </c>
      <c r="C41" s="4178">
        <f>'[2]Phụ lục số 1'!C41</f>
        <v>115000</v>
      </c>
      <c r="D41" s="4178">
        <v>0</v>
      </c>
      <c r="E41" s="4178">
        <f>C41-D41</f>
        <v>115000</v>
      </c>
      <c r="F41" s="4178">
        <f>C41-G41</f>
        <v>0</v>
      </c>
      <c r="G41" s="4178">
        <f>'[2]Phụ lục số 1'!G41</f>
        <v>115000</v>
      </c>
      <c r="H41" s="4177">
        <f>'[2]Phụ lục số 1'!T41</f>
        <v>125999.8</v>
      </c>
      <c r="I41" s="4179">
        <f t="shared" si="20"/>
        <v>109.56504347826088</v>
      </c>
      <c r="J41" s="4177">
        <v>0</v>
      </c>
      <c r="K41" s="4177">
        <f t="shared" si="12"/>
        <v>125999.8</v>
      </c>
      <c r="L41" s="4177">
        <f t="shared" si="18"/>
        <v>0</v>
      </c>
      <c r="M41" s="4177">
        <f>'[2]Phụ lục số 1'!Y41</f>
        <v>125999.8</v>
      </c>
      <c r="N41" s="4177">
        <f>'[2]Phụ lục số 1'!AE41</f>
        <v>315000</v>
      </c>
      <c r="O41" s="4179">
        <f t="shared" si="23"/>
        <v>250.0003968260267</v>
      </c>
      <c r="P41" s="4177">
        <v>0</v>
      </c>
      <c r="Q41" s="4177">
        <f t="shared" si="13"/>
        <v>315000</v>
      </c>
      <c r="R41" s="4177">
        <f t="shared" si="19"/>
        <v>45900</v>
      </c>
      <c r="S41" s="4177">
        <f>'[2]Phụ lục số 1'!AJ41</f>
        <v>269100</v>
      </c>
      <c r="T41" s="4177">
        <f>'[2]Phụ lục số 1'!AK41</f>
        <v>184000</v>
      </c>
      <c r="U41" s="4179">
        <f t="shared" si="21"/>
        <v>58.412698412698418</v>
      </c>
      <c r="V41" s="4177">
        <v>0</v>
      </c>
      <c r="W41" s="4177">
        <f t="shared" si="24"/>
        <v>184000</v>
      </c>
      <c r="X41" s="4177">
        <f t="shared" si="25"/>
        <v>42700.428571428551</v>
      </c>
      <c r="Y41" s="4177">
        <f>'[2]Phụ lục số 1'!AP41</f>
        <v>141299.57142857145</v>
      </c>
      <c r="Z41" s="4177">
        <f>'[2]Phụ lục số 1'!AQ41</f>
        <v>250000</v>
      </c>
      <c r="AA41" s="4179">
        <f t="shared" si="22"/>
        <v>135.86956521739131</v>
      </c>
      <c r="AB41" s="4177">
        <v>0</v>
      </c>
      <c r="AC41" s="4177">
        <f t="shared" si="26"/>
        <v>250000</v>
      </c>
      <c r="AD41" s="4177">
        <f>'[2]Phụ lục số 1'!AU41</f>
        <v>155999.51542857144</v>
      </c>
      <c r="AE41" s="4177">
        <f>'[2]Phụ lục số 1'!AV41</f>
        <v>94000.484571428577</v>
      </c>
      <c r="AF41" s="667">
        <f t="shared" si="5"/>
        <v>10999.800000000003</v>
      </c>
    </row>
    <row r="42" spans="1:33">
      <c r="A42" s="709">
        <v>13</v>
      </c>
      <c r="B42" s="2659" t="s">
        <v>25</v>
      </c>
      <c r="C42" s="4178">
        <f>'[2]Phụ lục số 1'!C42</f>
        <v>0</v>
      </c>
      <c r="D42" s="4178">
        <v>0</v>
      </c>
      <c r="E42" s="4178">
        <v>0</v>
      </c>
      <c r="F42" s="4178">
        <v>0</v>
      </c>
      <c r="G42" s="4178">
        <v>0</v>
      </c>
      <c r="H42" s="4177">
        <f>'[2]Phụ lục số 1'!T42</f>
        <v>0</v>
      </c>
      <c r="I42" s="4179"/>
      <c r="J42" s="4177"/>
      <c r="K42" s="4177">
        <f>H42-J42</f>
        <v>0</v>
      </c>
      <c r="L42" s="4177">
        <f>K42-M42</f>
        <v>0</v>
      </c>
      <c r="M42" s="4177"/>
      <c r="N42" s="4177">
        <f>'[2]Phụ lục số 1'!AE42</f>
        <v>0</v>
      </c>
      <c r="O42" s="4179">
        <v>0</v>
      </c>
      <c r="P42" s="4177">
        <f>0</f>
        <v>0</v>
      </c>
      <c r="Q42" s="4177">
        <f>N42-P42</f>
        <v>0</v>
      </c>
      <c r="R42" s="4177">
        <f>Q42-S42</f>
        <v>0</v>
      </c>
      <c r="S42" s="4177">
        <v>0</v>
      </c>
      <c r="T42" s="4177">
        <f>'[2]Phụ lục số 1'!AK42</f>
        <v>0</v>
      </c>
      <c r="U42" s="4179"/>
      <c r="V42" s="4177">
        <f>0</f>
        <v>0</v>
      </c>
      <c r="W42" s="4177">
        <f t="shared" si="24"/>
        <v>0</v>
      </c>
      <c r="X42" s="4177">
        <f t="shared" si="25"/>
        <v>0</v>
      </c>
      <c r="Y42" s="4177">
        <v>0</v>
      </c>
      <c r="Z42" s="4177">
        <f>'[2]Phụ lục số 1'!AQ42</f>
        <v>0</v>
      </c>
      <c r="AA42" s="4179"/>
      <c r="AB42" s="4177"/>
      <c r="AC42" s="4177">
        <f>Z42-AB42</f>
        <v>0</v>
      </c>
      <c r="AD42" s="4177"/>
      <c r="AE42" s="4177"/>
      <c r="AF42" s="667">
        <f t="shared" si="5"/>
        <v>0</v>
      </c>
    </row>
    <row r="43" spans="1:33">
      <c r="A43" s="709">
        <v>14</v>
      </c>
      <c r="B43" s="2659" t="s">
        <v>26</v>
      </c>
      <c r="C43" s="4177">
        <f>'[2]Phụ lục số 1'!C43</f>
        <v>250000</v>
      </c>
      <c r="D43" s="4177">
        <f>'[2]Phụ lục số 1'!D43</f>
        <v>54000</v>
      </c>
      <c r="E43" s="4178">
        <f>C43-D43</f>
        <v>196000</v>
      </c>
      <c r="F43" s="4178">
        <f>E43-G43</f>
        <v>66500</v>
      </c>
      <c r="G43" s="4178">
        <f>'[2]Phụ lục số 1'!G43</f>
        <v>129500</v>
      </c>
      <c r="H43" s="4177">
        <f>'[2]Phụ lục số 1'!T43</f>
        <v>350000</v>
      </c>
      <c r="I43" s="4179">
        <f t="shared" si="20"/>
        <v>140</v>
      </c>
      <c r="J43" s="4177">
        <f>'[2]Phụ lục số 1'!V43</f>
        <v>75600</v>
      </c>
      <c r="K43" s="4177">
        <f t="shared" si="12"/>
        <v>274400</v>
      </c>
      <c r="L43" s="4177">
        <f>K43-M43</f>
        <v>93400</v>
      </c>
      <c r="M43" s="4177">
        <f>'[2]Phụ lục số 1'!Y43</f>
        <v>181000</v>
      </c>
      <c r="N43" s="4177">
        <f>'[2]Phụ lục số 1'!AE43</f>
        <v>326000</v>
      </c>
      <c r="O43" s="4179">
        <f t="shared" si="23"/>
        <v>93.142857142857139</v>
      </c>
      <c r="P43" s="4177">
        <f>'[2]Phụ lục số 1'!AG43</f>
        <v>95000</v>
      </c>
      <c r="Q43" s="4177">
        <f>N43-P43</f>
        <v>231000</v>
      </c>
      <c r="R43" s="4177">
        <f>Q43-S43</f>
        <v>85500</v>
      </c>
      <c r="S43" s="4177">
        <f>'[2]Phụ lục số 1'!AJ43</f>
        <v>145500</v>
      </c>
      <c r="T43" s="4177">
        <f>'[2]Phụ lục số 1'!AK43</f>
        <v>370000</v>
      </c>
      <c r="U43" s="4179">
        <f t="shared" ref="U43:U51" si="27">T43/N43*100</f>
        <v>113.49693251533743</v>
      </c>
      <c r="V43" s="4177">
        <f>'[2]Phụ lục số 1'!AM43</f>
        <v>107765.08588957056</v>
      </c>
      <c r="W43" s="4177">
        <f t="shared" si="24"/>
        <v>262234.91411042947</v>
      </c>
      <c r="X43" s="4177">
        <f t="shared" si="25"/>
        <v>97134.877300613502</v>
      </c>
      <c r="Y43" s="4177">
        <f>'[2]Phụ lục số 1'!AP43</f>
        <v>165100.03680981597</v>
      </c>
      <c r="Z43" s="4177">
        <f>'[2]Phụ lục số 1'!AQ43</f>
        <v>400000</v>
      </c>
      <c r="AA43" s="4179">
        <f t="shared" ref="AA43:AA51" si="28">Z43/T43*100</f>
        <v>108.10810810810811</v>
      </c>
      <c r="AB43" s="4177">
        <f>'[2]Phụ lục số 1'!AS43</f>
        <v>116542.79555629249</v>
      </c>
      <c r="AC43" s="4177">
        <f>Z43-AB43</f>
        <v>283457.20444370748</v>
      </c>
      <c r="AD43" s="4177">
        <f>'[2]Phụ lục số 1'!AU43</f>
        <v>104957.17816282535</v>
      </c>
      <c r="AE43" s="4177">
        <f>'[2]Phụ lục số 1'!AV43</f>
        <v>178500.02628088213</v>
      </c>
      <c r="AF43" s="667">
        <f t="shared" si="5"/>
        <v>100000</v>
      </c>
    </row>
    <row r="44" spans="1:33" s="597" customFormat="1" ht="34.799999999999997">
      <c r="A44" s="4185">
        <v>15</v>
      </c>
      <c r="B44" s="4145" t="s">
        <v>1886</v>
      </c>
      <c r="C44" s="4177">
        <f>'[2]Phụ lục số 1'!C44</f>
        <v>22000</v>
      </c>
      <c r="D44" s="4177">
        <v>0</v>
      </c>
      <c r="E44" s="4177">
        <f>C44-D44</f>
        <v>22000</v>
      </c>
      <c r="F44" s="4177">
        <f>E44-G44</f>
        <v>22000</v>
      </c>
      <c r="G44" s="4177">
        <v>0</v>
      </c>
      <c r="H44" s="4177">
        <f>'[2]Phụ lục số 1'!T44</f>
        <v>37000</v>
      </c>
      <c r="I44" s="4179"/>
      <c r="J44" s="4177">
        <v>0</v>
      </c>
      <c r="K44" s="4177">
        <f>H44-J44</f>
        <v>37000</v>
      </c>
      <c r="L44" s="4177">
        <f>K44-M44</f>
        <v>37000</v>
      </c>
      <c r="M44" s="4177">
        <v>0</v>
      </c>
      <c r="N44" s="4177">
        <f>'[2]Phụ lục số 1'!AE44</f>
        <v>30000</v>
      </c>
      <c r="O44" s="4179">
        <f>N44/H44*100</f>
        <v>81.081081081081081</v>
      </c>
      <c r="P44" s="4177">
        <v>0</v>
      </c>
      <c r="Q44" s="4177">
        <f>N44-P44</f>
        <v>30000</v>
      </c>
      <c r="R44" s="4177">
        <f>Q44-S44</f>
        <v>30000</v>
      </c>
      <c r="S44" s="4177">
        <v>0</v>
      </c>
      <c r="T44" s="4177">
        <f>'[2]Phụ lục số 1'!AK44</f>
        <v>27000</v>
      </c>
      <c r="U44" s="4179">
        <f t="shared" si="27"/>
        <v>90</v>
      </c>
      <c r="V44" s="4177">
        <v>0</v>
      </c>
      <c r="W44" s="4177">
        <f t="shared" si="24"/>
        <v>27000</v>
      </c>
      <c r="X44" s="4177">
        <f t="shared" si="25"/>
        <v>27000</v>
      </c>
      <c r="Y44" s="4177">
        <v>0</v>
      </c>
      <c r="Z44" s="4177">
        <f>'[2]Phụ lục số 1'!AQ44</f>
        <v>28000</v>
      </c>
      <c r="AA44" s="4179">
        <f t="shared" si="28"/>
        <v>103.7037037037037</v>
      </c>
      <c r="AB44" s="4177">
        <v>0</v>
      </c>
      <c r="AC44" s="4177">
        <f t="shared" si="26"/>
        <v>28000</v>
      </c>
      <c r="AD44" s="4177">
        <f t="shared" ref="AD44:AD45" si="29">AC44-AE44</f>
        <v>28000</v>
      </c>
      <c r="AE44" s="4177">
        <v>0</v>
      </c>
      <c r="AF44" s="597">
        <f t="shared" si="5"/>
        <v>15000</v>
      </c>
    </row>
    <row r="45" spans="1:33" s="597" customFormat="1" ht="34.799999999999997">
      <c r="A45" s="4185">
        <v>16</v>
      </c>
      <c r="B45" s="4145" t="s">
        <v>1887</v>
      </c>
      <c r="C45" s="4177">
        <f>'[2]Phụ lục số 1'!C45+C46</f>
        <v>50000</v>
      </c>
      <c r="D45" s="4177"/>
      <c r="E45" s="4177">
        <f>C45-D45</f>
        <v>50000</v>
      </c>
      <c r="F45" s="4177">
        <f>E45-G45</f>
        <v>50000</v>
      </c>
      <c r="G45" s="4177">
        <v>0</v>
      </c>
      <c r="H45" s="4177">
        <f>'[2]Phụ lục số 1'!T45</f>
        <v>100000</v>
      </c>
      <c r="I45" s="4179"/>
      <c r="J45" s="4177"/>
      <c r="K45" s="4177">
        <f>H45-J45</f>
        <v>100000</v>
      </c>
      <c r="L45" s="4177">
        <f>K45-M45</f>
        <v>100000</v>
      </c>
      <c r="M45" s="4177">
        <v>0</v>
      </c>
      <c r="N45" s="4177">
        <f>'[2]Phụ lục số 1'!AE45</f>
        <v>37000</v>
      </c>
      <c r="O45" s="4179">
        <f>N45/H45*100</f>
        <v>37</v>
      </c>
      <c r="P45" s="4177"/>
      <c r="Q45" s="4177">
        <f>N45-P45</f>
        <v>37000</v>
      </c>
      <c r="R45" s="4177">
        <f>Q45-S45</f>
        <v>37000</v>
      </c>
      <c r="S45" s="4177">
        <v>0</v>
      </c>
      <c r="T45" s="4177">
        <f>'[2]Phụ lục số 1'!AK45</f>
        <v>114000</v>
      </c>
      <c r="U45" s="4179">
        <f t="shared" si="27"/>
        <v>308.10810810810813</v>
      </c>
      <c r="V45" s="4177">
        <v>0</v>
      </c>
      <c r="W45" s="4177">
        <f t="shared" si="24"/>
        <v>114000</v>
      </c>
      <c r="X45" s="4177">
        <f t="shared" si="25"/>
        <v>114000</v>
      </c>
      <c r="Y45" s="4177">
        <v>0</v>
      </c>
      <c r="Z45" s="4177">
        <f>'[2]Phụ lục số 1'!AQ45</f>
        <v>120000</v>
      </c>
      <c r="AA45" s="4179">
        <f t="shared" si="28"/>
        <v>105.26315789473684</v>
      </c>
      <c r="AB45" s="4177">
        <v>0</v>
      </c>
      <c r="AC45" s="4177">
        <f t="shared" si="26"/>
        <v>120000</v>
      </c>
      <c r="AD45" s="4177">
        <f t="shared" si="29"/>
        <v>120000</v>
      </c>
      <c r="AE45" s="4177">
        <v>0</v>
      </c>
      <c r="AF45" s="597">
        <f t="shared" si="5"/>
        <v>50000</v>
      </c>
    </row>
    <row r="46" spans="1:33" s="688" customFormat="1">
      <c r="A46" s="4105" t="s">
        <v>29</v>
      </c>
      <c r="B46" s="2657" t="s">
        <v>30</v>
      </c>
      <c r="C46" s="4186">
        <f>'[2]Phụ lục số 1'!C46</f>
        <v>0</v>
      </c>
      <c r="D46" s="4186"/>
      <c r="E46" s="4187">
        <f>C46-D46</f>
        <v>0</v>
      </c>
      <c r="F46" s="4187">
        <f>E46-G46</f>
        <v>0</v>
      </c>
      <c r="G46" s="4187">
        <v>0</v>
      </c>
      <c r="H46" s="4186">
        <f>'[2]Phụ lục số 1'!T46</f>
        <v>0</v>
      </c>
      <c r="I46" s="4188"/>
      <c r="J46" s="4186"/>
      <c r="K46" s="4186">
        <f>H46-J46</f>
        <v>0</v>
      </c>
      <c r="L46" s="4186">
        <f>K46-M46</f>
        <v>0</v>
      </c>
      <c r="M46" s="4186">
        <v>0</v>
      </c>
      <c r="N46" s="4186">
        <f>'[2]Phụ lục số 1'!AE46</f>
        <v>0</v>
      </c>
      <c r="O46" s="4188"/>
      <c r="P46" s="4186"/>
      <c r="Q46" s="4186">
        <f>N46-P46</f>
        <v>0</v>
      </c>
      <c r="R46" s="4186">
        <f>Q46-S46</f>
        <v>0</v>
      </c>
      <c r="S46" s="4186">
        <v>0</v>
      </c>
      <c r="T46" s="4186">
        <f>'[2]Phụ lục số 1'!AK46</f>
        <v>0</v>
      </c>
      <c r="U46" s="4188"/>
      <c r="V46" s="4186"/>
      <c r="W46" s="4186">
        <f>T46-V46</f>
        <v>0</v>
      </c>
      <c r="X46" s="4186">
        <f>W46-Y46</f>
        <v>0</v>
      </c>
      <c r="Y46" s="4186">
        <v>0</v>
      </c>
      <c r="Z46" s="4183"/>
      <c r="AA46" s="4188"/>
      <c r="AB46" s="4186"/>
      <c r="AC46" s="4186"/>
      <c r="AD46" s="4186"/>
      <c r="AE46" s="4186"/>
      <c r="AF46" s="667">
        <f t="shared" si="5"/>
        <v>0</v>
      </c>
    </row>
    <row r="47" spans="1:33">
      <c r="A47" s="709">
        <v>17</v>
      </c>
      <c r="B47" s="2659" t="s">
        <v>31</v>
      </c>
      <c r="C47" s="4178">
        <f>'[2]Phụ lục số 1'!C47</f>
        <v>3000</v>
      </c>
      <c r="D47" s="4178">
        <v>0</v>
      </c>
      <c r="E47" s="4178">
        <f>F47+G47</f>
        <v>3000</v>
      </c>
      <c r="F47" s="4178">
        <v>0</v>
      </c>
      <c r="G47" s="4178">
        <f>C47</f>
        <v>3000</v>
      </c>
      <c r="H47" s="4177">
        <f>'[2]Phụ lục số 1'!T47</f>
        <v>2000.1</v>
      </c>
      <c r="I47" s="4179">
        <f t="shared" si="20"/>
        <v>66.67</v>
      </c>
      <c r="J47" s="4177">
        <f>0</f>
        <v>0</v>
      </c>
      <c r="K47" s="4177">
        <f t="shared" si="12"/>
        <v>2000.1</v>
      </c>
      <c r="L47" s="4177">
        <v>0</v>
      </c>
      <c r="M47" s="4177">
        <f>H47</f>
        <v>2000.1</v>
      </c>
      <c r="N47" s="4177">
        <f>'[2]Phụ lục số 1'!AE47</f>
        <v>2000</v>
      </c>
      <c r="O47" s="4179">
        <f t="shared" si="23"/>
        <v>99.995000249987513</v>
      </c>
      <c r="P47" s="4177">
        <f>0</f>
        <v>0</v>
      </c>
      <c r="Q47" s="4177">
        <f t="shared" si="13"/>
        <v>2000</v>
      </c>
      <c r="R47" s="4177">
        <v>0</v>
      </c>
      <c r="S47" s="4177">
        <f>N47</f>
        <v>2000</v>
      </c>
      <c r="T47" s="4177">
        <f>'[2]Phụ lục số 1'!AK47</f>
        <v>3000</v>
      </c>
      <c r="U47" s="4179">
        <f t="shared" si="27"/>
        <v>150</v>
      </c>
      <c r="V47" s="4177">
        <f>0</f>
        <v>0</v>
      </c>
      <c r="W47" s="4177">
        <f t="shared" si="24"/>
        <v>3000</v>
      </c>
      <c r="X47" s="4177">
        <v>0</v>
      </c>
      <c r="Y47" s="4177">
        <f>T47</f>
        <v>3000</v>
      </c>
      <c r="Z47" s="4177">
        <f>'[2]Phụ lục số 1'!AQ47</f>
        <v>3000</v>
      </c>
      <c r="AA47" s="4179">
        <f t="shared" si="28"/>
        <v>100</v>
      </c>
      <c r="AB47" s="4177">
        <f>0</f>
        <v>0</v>
      </c>
      <c r="AC47" s="4177">
        <f t="shared" si="26"/>
        <v>3000</v>
      </c>
      <c r="AD47" s="4177">
        <v>0</v>
      </c>
      <c r="AE47" s="4177">
        <f>Z47</f>
        <v>3000</v>
      </c>
      <c r="AF47" s="667">
        <f t="shared" si="5"/>
        <v>-999.90000000000009</v>
      </c>
    </row>
    <row r="48" spans="1:33" s="685" customFormat="1">
      <c r="A48" s="709">
        <v>18</v>
      </c>
      <c r="B48" s="2659" t="s">
        <v>32</v>
      </c>
      <c r="C48" s="4178">
        <f>'[2]Phụ lục số 1'!C48</f>
        <v>1600000</v>
      </c>
      <c r="D48" s="4178"/>
      <c r="E48" s="4178">
        <f>F48+G48</f>
        <v>1600000</v>
      </c>
      <c r="F48" s="4178">
        <f>C48</f>
        <v>1600000</v>
      </c>
      <c r="G48" s="4178">
        <v>0</v>
      </c>
      <c r="H48" s="4177">
        <f>'[2]Phụ lục số 1'!T48</f>
        <v>1950000</v>
      </c>
      <c r="I48" s="4179">
        <f t="shared" si="20"/>
        <v>121.875</v>
      </c>
      <c r="J48" s="4177">
        <v>0</v>
      </c>
      <c r="K48" s="4177">
        <f t="shared" si="12"/>
        <v>1950000</v>
      </c>
      <c r="L48" s="4177">
        <f>H48</f>
        <v>1950000</v>
      </c>
      <c r="M48" s="4177">
        <v>0</v>
      </c>
      <c r="N48" s="4177">
        <f>'[2]Phụ lục số 1'!AE48</f>
        <v>1950000</v>
      </c>
      <c r="O48" s="4179">
        <f t="shared" si="23"/>
        <v>100</v>
      </c>
      <c r="P48" s="4177">
        <v>0</v>
      </c>
      <c r="Q48" s="4177">
        <f>SUM(R48:S48)</f>
        <v>1950000</v>
      </c>
      <c r="R48" s="4177">
        <f>N48</f>
        <v>1950000</v>
      </c>
      <c r="S48" s="4177">
        <v>0</v>
      </c>
      <c r="T48" s="4177">
        <f>'[2]Phụ lục số 1'!AK48</f>
        <v>2322000</v>
      </c>
      <c r="U48" s="4179">
        <f t="shared" si="27"/>
        <v>119.07692307692308</v>
      </c>
      <c r="V48" s="4177">
        <v>0</v>
      </c>
      <c r="W48" s="4177">
        <f>SUM(X48:Y48)</f>
        <v>2322000</v>
      </c>
      <c r="X48" s="4177">
        <f>T48</f>
        <v>2322000</v>
      </c>
      <c r="Y48" s="4177">
        <v>0</v>
      </c>
      <c r="Z48" s="4177">
        <f>'[2]Phụ lục số 1'!AQ48</f>
        <v>2500000</v>
      </c>
      <c r="AA48" s="4179">
        <f t="shared" si="28"/>
        <v>107.66580534022394</v>
      </c>
      <c r="AB48" s="4177">
        <v>0</v>
      </c>
      <c r="AC48" s="4177">
        <f>SUM(AD48:AE48)</f>
        <v>2500000</v>
      </c>
      <c r="AD48" s="4177">
        <f>Z48</f>
        <v>2500000</v>
      </c>
      <c r="AE48" s="4177">
        <v>0</v>
      </c>
      <c r="AF48" s="667">
        <f t="shared" si="5"/>
        <v>350000</v>
      </c>
    </row>
    <row r="49" spans="1:32" s="696" customFormat="1">
      <c r="A49" s="700" t="s">
        <v>33</v>
      </c>
      <c r="B49" s="2643" t="s">
        <v>34</v>
      </c>
      <c r="C49" s="4169">
        <f t="shared" ref="C49:G49" si="30">SUM(C50:C51)</f>
        <v>150000</v>
      </c>
      <c r="D49" s="4169">
        <f t="shared" si="30"/>
        <v>150000</v>
      </c>
      <c r="E49" s="4169">
        <f t="shared" si="30"/>
        <v>0</v>
      </c>
      <c r="F49" s="4169">
        <f t="shared" si="30"/>
        <v>0</v>
      </c>
      <c r="G49" s="4169">
        <f t="shared" si="30"/>
        <v>0</v>
      </c>
      <c r="H49" s="4167">
        <f>SUM(H50:H51)</f>
        <v>150745.51999999999</v>
      </c>
      <c r="I49" s="4168">
        <f t="shared" si="20"/>
        <v>100.49701333333331</v>
      </c>
      <c r="J49" s="4167">
        <f>H49</f>
        <v>150745.51999999999</v>
      </c>
      <c r="K49" s="4167">
        <f>H49-J49</f>
        <v>0</v>
      </c>
      <c r="L49" s="4167">
        <f>K49-M49</f>
        <v>0</v>
      </c>
      <c r="M49" s="4167">
        <v>0</v>
      </c>
      <c r="N49" s="4167">
        <f>'[2]Phụ lục số 1'!AE49</f>
        <v>200000</v>
      </c>
      <c r="O49" s="4168">
        <f>N49/H49*100</f>
        <v>132.67392623011284</v>
      </c>
      <c r="P49" s="4167">
        <f>N49</f>
        <v>200000</v>
      </c>
      <c r="Q49" s="4167">
        <f>N49-P49</f>
        <v>0</v>
      </c>
      <c r="R49" s="4167">
        <f>Q49-S49</f>
        <v>0</v>
      </c>
      <c r="S49" s="4167">
        <v>0</v>
      </c>
      <c r="T49" s="4167">
        <f>'[2]Phụ lục số 1'!AK49</f>
        <v>162500</v>
      </c>
      <c r="U49" s="4168">
        <f t="shared" si="27"/>
        <v>81.25</v>
      </c>
      <c r="V49" s="4167">
        <f>T49</f>
        <v>162500</v>
      </c>
      <c r="W49" s="4167">
        <f>T49-V49</f>
        <v>0</v>
      </c>
      <c r="X49" s="4167">
        <f>W49-Y49</f>
        <v>0</v>
      </c>
      <c r="Y49" s="4167">
        <v>0</v>
      </c>
      <c r="Z49" s="4167">
        <f>'[2]Phụ lục số 1'!AQ49</f>
        <v>169000</v>
      </c>
      <c r="AA49" s="4168">
        <f t="shared" si="28"/>
        <v>104</v>
      </c>
      <c r="AB49" s="4167">
        <f>Z49</f>
        <v>169000</v>
      </c>
      <c r="AC49" s="4167">
        <f>Z49-AB49</f>
        <v>0</v>
      </c>
      <c r="AD49" s="4167">
        <f>AC49-AE49</f>
        <v>0</v>
      </c>
      <c r="AE49" s="4167">
        <v>0</v>
      </c>
      <c r="AF49" s="667">
        <f t="shared" si="5"/>
        <v>745.51999999998952</v>
      </c>
    </row>
    <row r="50" spans="1:32">
      <c r="A50" s="703">
        <v>1</v>
      </c>
      <c r="B50" s="44" t="s">
        <v>1888</v>
      </c>
      <c r="C50" s="4183">
        <f>'[2]Phụ lục số 1'!C50</f>
        <v>39500</v>
      </c>
      <c r="D50" s="4181">
        <f>C50</f>
        <v>39500</v>
      </c>
      <c r="E50" s="4181">
        <v>0</v>
      </c>
      <c r="F50" s="4181">
        <v>0</v>
      </c>
      <c r="G50" s="4181">
        <v>0</v>
      </c>
      <c r="H50" s="4183">
        <f>'[2]Phụ lục số 1'!T49</f>
        <v>150745.51999999999</v>
      </c>
      <c r="I50" s="4182"/>
      <c r="J50" s="4183">
        <f>H50</f>
        <v>150745.51999999999</v>
      </c>
      <c r="K50" s="4183">
        <v>0</v>
      </c>
      <c r="L50" s="4183">
        <v>0</v>
      </c>
      <c r="M50" s="4183">
        <v>0</v>
      </c>
      <c r="N50" s="4180">
        <f>1000+38500</f>
        <v>39500</v>
      </c>
      <c r="O50" s="4182"/>
      <c r="P50" s="4183">
        <f>N50</f>
        <v>39500</v>
      </c>
      <c r="Q50" s="4183">
        <v>0</v>
      </c>
      <c r="R50" s="4183">
        <v>0</v>
      </c>
      <c r="S50" s="4183">
        <v>0</v>
      </c>
      <c r="T50" s="4183">
        <v>45000</v>
      </c>
      <c r="U50" s="4182"/>
      <c r="V50" s="4183">
        <f>T50</f>
        <v>45000</v>
      </c>
      <c r="W50" s="4183">
        <v>0</v>
      </c>
      <c r="X50" s="4183">
        <v>0</v>
      </c>
      <c r="Y50" s="4183">
        <v>0</v>
      </c>
      <c r="Z50" s="4183">
        <v>45000</v>
      </c>
      <c r="AA50" s="4182"/>
      <c r="AB50" s="4183">
        <f>Z50</f>
        <v>45000</v>
      </c>
      <c r="AC50" s="4183">
        <v>0</v>
      </c>
      <c r="AD50" s="4183">
        <v>0</v>
      </c>
      <c r="AE50" s="4183">
        <v>0</v>
      </c>
      <c r="AF50" s="667">
        <f t="shared" si="5"/>
        <v>111245.51999999999</v>
      </c>
    </row>
    <row r="51" spans="1:32">
      <c r="A51" s="703">
        <v>2</v>
      </c>
      <c r="B51" s="44" t="s">
        <v>1889</v>
      </c>
      <c r="C51" s="4183">
        <f>'[2]Phụ lục số 1'!C51</f>
        <v>110500</v>
      </c>
      <c r="D51" s="4181">
        <f>C51</f>
        <v>110500</v>
      </c>
      <c r="E51" s="4181">
        <v>0</v>
      </c>
      <c r="F51" s="4181">
        <v>0</v>
      </c>
      <c r="G51" s="4181">
        <f>SUM(G52,G53)</f>
        <v>0</v>
      </c>
      <c r="H51" s="4183">
        <f>0</f>
        <v>0</v>
      </c>
      <c r="I51" s="4182"/>
      <c r="J51" s="4183">
        <f>H51</f>
        <v>0</v>
      </c>
      <c r="K51" s="4183">
        <v>0</v>
      </c>
      <c r="L51" s="4183">
        <v>0</v>
      </c>
      <c r="M51" s="4183">
        <v>0</v>
      </c>
      <c r="N51" s="4180">
        <f>110000+500</f>
        <v>110500</v>
      </c>
      <c r="O51" s="4182" t="e">
        <f t="shared" si="23"/>
        <v>#DIV/0!</v>
      </c>
      <c r="P51" s="4183">
        <f>N51</f>
        <v>110500</v>
      </c>
      <c r="Q51" s="4183">
        <v>0</v>
      </c>
      <c r="R51" s="4183">
        <v>0</v>
      </c>
      <c r="S51" s="4183">
        <v>0</v>
      </c>
      <c r="T51" s="4183">
        <v>75000</v>
      </c>
      <c r="U51" s="4182">
        <f t="shared" si="27"/>
        <v>67.873303167420815</v>
      </c>
      <c r="V51" s="4183">
        <f>T51</f>
        <v>75000</v>
      </c>
      <c r="W51" s="4183">
        <v>0</v>
      </c>
      <c r="X51" s="4183">
        <v>0</v>
      </c>
      <c r="Y51" s="4183">
        <v>0</v>
      </c>
      <c r="Z51" s="4183">
        <v>80000</v>
      </c>
      <c r="AA51" s="4182">
        <f t="shared" si="28"/>
        <v>106.66666666666667</v>
      </c>
      <c r="AB51" s="4183">
        <f>Z51</f>
        <v>80000</v>
      </c>
      <c r="AC51" s="4183">
        <v>0</v>
      </c>
      <c r="AD51" s="4183">
        <v>0</v>
      </c>
      <c r="AE51" s="4183">
        <v>0</v>
      </c>
      <c r="AF51" s="667">
        <f t="shared" si="5"/>
        <v>-110500</v>
      </c>
    </row>
    <row r="52" spans="1:32" s="708" customFormat="1">
      <c r="A52" s="700" t="s">
        <v>37</v>
      </c>
      <c r="B52" s="2643" t="s">
        <v>38</v>
      </c>
      <c r="C52" s="4167">
        <f t="shared" ref="C52:H52" si="31">SUM(C53:C54)</f>
        <v>9084495</v>
      </c>
      <c r="D52" s="4169">
        <f t="shared" si="31"/>
        <v>0</v>
      </c>
      <c r="E52" s="4169">
        <f t="shared" si="31"/>
        <v>9084495</v>
      </c>
      <c r="F52" s="4169">
        <f>SUM(F53:F54)</f>
        <v>9084495</v>
      </c>
      <c r="G52" s="4169">
        <f t="shared" si="31"/>
        <v>0</v>
      </c>
      <c r="H52" s="4167">
        <f t="shared" si="31"/>
        <v>9084495</v>
      </c>
      <c r="I52" s="4168">
        <f>H52/C52*100</f>
        <v>100</v>
      </c>
      <c r="J52" s="4167">
        <f>SUM(J53:J54)</f>
        <v>0</v>
      </c>
      <c r="K52" s="4167">
        <f>SUM(K53:K54)</f>
        <v>9084495</v>
      </c>
      <c r="L52" s="4167">
        <f>SUM(L53:L54)</f>
        <v>9084495</v>
      </c>
      <c r="M52" s="4167">
        <f>SUM(M53:M54)</f>
        <v>0</v>
      </c>
      <c r="N52" s="4167">
        <f>SUM(N53:N54)</f>
        <v>9256479</v>
      </c>
      <c r="O52" s="4168"/>
      <c r="P52" s="4167">
        <f>SUM(P53:P54)</f>
        <v>0</v>
      </c>
      <c r="Q52" s="4167">
        <f>SUM(Q53:Q54)</f>
        <v>9256479</v>
      </c>
      <c r="R52" s="4167">
        <f>SUM(R53:R54)</f>
        <v>9256479</v>
      </c>
      <c r="S52" s="4167">
        <f>SUM(S53:S54)</f>
        <v>0</v>
      </c>
      <c r="T52" s="4167">
        <f>SUM(T53:T54)</f>
        <v>8996673.3000000007</v>
      </c>
      <c r="U52" s="4168"/>
      <c r="V52" s="4167">
        <f>SUM(V53:V54)</f>
        <v>0</v>
      </c>
      <c r="W52" s="4167">
        <f>SUM(W53:W54)</f>
        <v>8996673.3000000007</v>
      </c>
      <c r="X52" s="4167">
        <f>SUM(X53:X54)</f>
        <v>8996673.3000000007</v>
      </c>
      <c r="Y52" s="4167">
        <f>SUM(Y53:Y54)</f>
        <v>0</v>
      </c>
      <c r="Z52" s="4167">
        <f>SUM(Z53:Z54)</f>
        <v>9646988.3000000007</v>
      </c>
      <c r="AA52" s="4168"/>
      <c r="AB52" s="4167">
        <f>SUM(AB53:AB54)</f>
        <v>0</v>
      </c>
      <c r="AC52" s="4167">
        <f>SUM(AC53:AC54)</f>
        <v>9646988.3000000007</v>
      </c>
      <c r="AD52" s="4167">
        <f>SUM(AD53:AD54)</f>
        <v>9646988.3000000007</v>
      </c>
      <c r="AE52" s="4167">
        <f>SUM(AE53:AE54)</f>
        <v>0</v>
      </c>
      <c r="AF52" s="667">
        <f t="shared" si="5"/>
        <v>0</v>
      </c>
    </row>
    <row r="53" spans="1:32" s="708" customFormat="1">
      <c r="A53" s="700" t="s">
        <v>3</v>
      </c>
      <c r="B53" s="2643" t="s">
        <v>39</v>
      </c>
      <c r="C53" s="4167">
        <f>'[2]Phụ lục số 1'!C53</f>
        <v>6487488</v>
      </c>
      <c r="D53" s="4169"/>
      <c r="E53" s="4169">
        <f>F53+G53</f>
        <v>6487488</v>
      </c>
      <c r="F53" s="4169">
        <f>C53</f>
        <v>6487488</v>
      </c>
      <c r="G53" s="4169">
        <v>0</v>
      </c>
      <c r="H53" s="4167">
        <f>'[2]Phụ lục số 1'!T53</f>
        <v>6487488</v>
      </c>
      <c r="I53" s="4168"/>
      <c r="J53" s="4167">
        <v>0</v>
      </c>
      <c r="K53" s="4167">
        <f>H53</f>
        <v>6487488</v>
      </c>
      <c r="L53" s="4167">
        <f>K53</f>
        <v>6487488</v>
      </c>
      <c r="M53" s="4167">
        <v>0</v>
      </c>
      <c r="N53" s="4167">
        <f>'[2]Phụ lục số 1'!AE53</f>
        <v>6617188</v>
      </c>
      <c r="O53" s="4168"/>
      <c r="P53" s="4167">
        <v>0</v>
      </c>
      <c r="Q53" s="4167">
        <f>R53+S53</f>
        <v>6617188</v>
      </c>
      <c r="R53" s="4167">
        <f>N53</f>
        <v>6617188</v>
      </c>
      <c r="S53" s="4167">
        <v>0</v>
      </c>
      <c r="T53" s="4167">
        <f>'[2]Phụ lục số 1'!AK53</f>
        <v>6617188</v>
      </c>
      <c r="U53" s="4168"/>
      <c r="V53" s="4167">
        <v>0</v>
      </c>
      <c r="W53" s="4167">
        <f>T53</f>
        <v>6617188</v>
      </c>
      <c r="X53" s="4167">
        <f>W53</f>
        <v>6617188</v>
      </c>
      <c r="Y53" s="4167">
        <v>0</v>
      </c>
      <c r="Z53" s="4167">
        <f>'[2]Phụ lục số 1'!AQ53</f>
        <v>6617188</v>
      </c>
      <c r="AA53" s="4168"/>
      <c r="AB53" s="4167">
        <v>0</v>
      </c>
      <c r="AC53" s="4167">
        <f>Z53</f>
        <v>6617188</v>
      </c>
      <c r="AD53" s="4167">
        <f>AC53</f>
        <v>6617188</v>
      </c>
      <c r="AE53" s="4167">
        <v>0</v>
      </c>
      <c r="AF53" s="667">
        <f t="shared" si="5"/>
        <v>0</v>
      </c>
    </row>
    <row r="54" spans="1:32" s="708" customFormat="1">
      <c r="A54" s="700" t="s">
        <v>33</v>
      </c>
      <c r="B54" s="2643" t="s">
        <v>41</v>
      </c>
      <c r="C54" s="4167">
        <f t="shared" ref="C54:H54" si="32">SUM(C55:C56)</f>
        <v>2597007</v>
      </c>
      <c r="D54" s="4167">
        <f t="shared" si="32"/>
        <v>0</v>
      </c>
      <c r="E54" s="4167">
        <f t="shared" si="32"/>
        <v>2597007</v>
      </c>
      <c r="F54" s="4167">
        <f t="shared" si="32"/>
        <v>2597007</v>
      </c>
      <c r="G54" s="4167">
        <f t="shared" si="32"/>
        <v>0</v>
      </c>
      <c r="H54" s="4167">
        <f t="shared" si="32"/>
        <v>2597007</v>
      </c>
      <c r="I54" s="4168"/>
      <c r="J54" s="4167">
        <f>SUM(J55:J56)</f>
        <v>0</v>
      </c>
      <c r="K54" s="4167">
        <f>H54</f>
        <v>2597007</v>
      </c>
      <c r="L54" s="4167">
        <f>K54</f>
        <v>2597007</v>
      </c>
      <c r="M54" s="4167">
        <f>SUM(M55:M56)</f>
        <v>0</v>
      </c>
      <c r="N54" s="4167">
        <f>SUM(N55:N57)</f>
        <v>2639291</v>
      </c>
      <c r="O54" s="4168"/>
      <c r="P54" s="4167">
        <f>SUM(P55:P56)</f>
        <v>0</v>
      </c>
      <c r="Q54" s="4167">
        <f>SUM(Q55:Q57)</f>
        <v>2639291</v>
      </c>
      <c r="R54" s="4167">
        <f t="shared" ref="R54:S54" si="33">SUM(R55:R57)</f>
        <v>2639291</v>
      </c>
      <c r="S54" s="4167">
        <f t="shared" si="33"/>
        <v>0</v>
      </c>
      <c r="T54" s="4167">
        <f>SUM(T55:T56)</f>
        <v>2379485.2999999998</v>
      </c>
      <c r="U54" s="4168"/>
      <c r="V54" s="4167">
        <f>SUM(V55:V56)</f>
        <v>0</v>
      </c>
      <c r="W54" s="4167">
        <f>SUM(W55:W56)</f>
        <v>2379485.2999999998</v>
      </c>
      <c r="X54" s="4167">
        <f>SUM(X55:X56)</f>
        <v>2379485.2999999998</v>
      </c>
      <c r="Y54" s="4167">
        <f>SUM(Y55:Y56)</f>
        <v>0</v>
      </c>
      <c r="Z54" s="4167">
        <f>SUM(Z55:Z57)</f>
        <v>3029800.3</v>
      </c>
      <c r="AA54" s="4168"/>
      <c r="AB54" s="4167">
        <f>SUM(AB55:AB56)</f>
        <v>0</v>
      </c>
      <c r="AC54" s="4167">
        <f>SUM(AC55:AC57)</f>
        <v>3029800.3</v>
      </c>
      <c r="AD54" s="4167">
        <f>SUM(AD55:AD57)</f>
        <v>3029800.3</v>
      </c>
      <c r="AE54" s="4167">
        <f>SUM(AE55:AE57)</f>
        <v>0</v>
      </c>
      <c r="AF54" s="667">
        <f t="shared" si="5"/>
        <v>0</v>
      </c>
    </row>
    <row r="55" spans="1:32" s="2660" customFormat="1" ht="36">
      <c r="A55" s="4131">
        <v>1</v>
      </c>
      <c r="B55" s="2780" t="str">
        <f>'[2]Phụ lục số 1'!B56</f>
        <v>Bổ sung thực hiện mục tiêu, nhiệm vụ quan trọng (vốn đầu tư phát triển)</v>
      </c>
      <c r="C55" s="4183">
        <f>'[2]Phụ lục số 1'!C56</f>
        <v>2417971</v>
      </c>
      <c r="D55" s="4183">
        <v>0</v>
      </c>
      <c r="E55" s="4183">
        <f>F55+G55</f>
        <v>2417971</v>
      </c>
      <c r="F55" s="4183">
        <f>C55</f>
        <v>2417971</v>
      </c>
      <c r="G55" s="4183">
        <v>0</v>
      </c>
      <c r="H55" s="4183">
        <f>'[2]Phụ lục số 1'!T56</f>
        <v>2417971</v>
      </c>
      <c r="I55" s="4182"/>
      <c r="J55" s="4183">
        <v>0</v>
      </c>
      <c r="K55" s="4183">
        <f>H55-J55</f>
        <v>2417971</v>
      </c>
      <c r="L55" s="4183">
        <f>K55-M55</f>
        <v>2417971</v>
      </c>
      <c r="M55" s="4183">
        <v>0</v>
      </c>
      <c r="N55" s="4183">
        <f>'[2]Phụ lục số 1'!AE56</f>
        <v>1814491</v>
      </c>
      <c r="O55" s="4182"/>
      <c r="P55" s="4183">
        <v>0</v>
      </c>
      <c r="Q55" s="4183">
        <f>R55+S55</f>
        <v>1814491</v>
      </c>
      <c r="R55" s="4183">
        <f>N55</f>
        <v>1814491</v>
      </c>
      <c r="S55" s="4183">
        <v>0</v>
      </c>
      <c r="T55" s="4183">
        <f>'[2]Phụ lục số 1'!AK56</f>
        <v>2205000</v>
      </c>
      <c r="U55" s="4182"/>
      <c r="V55" s="4183">
        <v>0</v>
      </c>
      <c r="W55" s="4183">
        <f>T55-V55</f>
        <v>2205000</v>
      </c>
      <c r="X55" s="4183">
        <f>W55-Y55</f>
        <v>2205000</v>
      </c>
      <c r="Y55" s="4183">
        <v>0</v>
      </c>
      <c r="Z55" s="4183">
        <f>'[2]Phụ lục số 1'!AQ56</f>
        <v>2205000</v>
      </c>
      <c r="AA55" s="4182"/>
      <c r="AB55" s="4183">
        <v>0</v>
      </c>
      <c r="AC55" s="4183">
        <f>Z55-AB55</f>
        <v>2205000</v>
      </c>
      <c r="AD55" s="4183">
        <f>AC55-AE55</f>
        <v>2205000</v>
      </c>
      <c r="AE55" s="4183">
        <v>0</v>
      </c>
      <c r="AF55" s="667">
        <f t="shared" si="5"/>
        <v>0</v>
      </c>
    </row>
    <row r="56" spans="1:32" s="2660" customFormat="1" ht="36">
      <c r="A56" s="4131">
        <v>2</v>
      </c>
      <c r="B56" s="2780" t="str">
        <f>'[2]Phụ lục số 1'!B57</f>
        <v>Bổ sung thực hiện mục tiêu, nhiệm vụ quan trọng (kinh phí sự nghiệp)</v>
      </c>
      <c r="C56" s="4183">
        <f>'[2]Phụ lục số 1'!C57</f>
        <v>179036</v>
      </c>
      <c r="D56" s="4183"/>
      <c r="E56" s="4183">
        <f>F56+G56</f>
        <v>179036</v>
      </c>
      <c r="F56" s="4183">
        <f>'[2]Phụ lục số 1'!F57</f>
        <v>179036</v>
      </c>
      <c r="G56" s="4183">
        <v>0</v>
      </c>
      <c r="H56" s="4183">
        <f>'[2]Phụ lục số 1'!T57</f>
        <v>179036</v>
      </c>
      <c r="I56" s="4182"/>
      <c r="J56" s="4183">
        <v>0</v>
      </c>
      <c r="K56" s="4183">
        <f>H56-J56</f>
        <v>179036</v>
      </c>
      <c r="L56" s="4183">
        <f>K56-M56</f>
        <v>179036</v>
      </c>
      <c r="M56" s="4183">
        <v>0</v>
      </c>
      <c r="N56" s="4183">
        <f>'[2]Phụ lục số 1'!AE57</f>
        <v>174485</v>
      </c>
      <c r="O56" s="4182"/>
      <c r="P56" s="4183"/>
      <c r="Q56" s="4183">
        <f>R56+S56</f>
        <v>174485</v>
      </c>
      <c r="R56" s="4183">
        <f>N56</f>
        <v>174485</v>
      </c>
      <c r="S56" s="4183">
        <v>0</v>
      </c>
      <c r="T56" s="4183">
        <f>'[2]Phụ lục số 1'!AK57</f>
        <v>174485.3</v>
      </c>
      <c r="U56" s="4182"/>
      <c r="V56" s="4183">
        <v>0</v>
      </c>
      <c r="W56" s="4183">
        <f>T56-V56</f>
        <v>174485.3</v>
      </c>
      <c r="X56" s="4183">
        <f>W56-Y56</f>
        <v>174485.3</v>
      </c>
      <c r="Y56" s="4183">
        <v>0</v>
      </c>
      <c r="Z56" s="4183">
        <f>'[2]Phụ lục số 1'!AQ57</f>
        <v>174485.3</v>
      </c>
      <c r="AA56" s="4182"/>
      <c r="AB56" s="4183">
        <v>0</v>
      </c>
      <c r="AC56" s="4183">
        <f>Z56-AB56</f>
        <v>174485.3</v>
      </c>
      <c r="AD56" s="4183">
        <f>AC56-AE56</f>
        <v>174485.3</v>
      </c>
      <c r="AE56" s="4183">
        <v>0</v>
      </c>
      <c r="AF56" s="667">
        <f t="shared" si="5"/>
        <v>0</v>
      </c>
    </row>
    <row r="57" spans="1:32" s="2660" customFormat="1" ht="36">
      <c r="A57" s="4131">
        <v>3</v>
      </c>
      <c r="B57" s="2780" t="str">
        <f>'[2]Phụ lục số 1'!B58</f>
        <v>Bổ sung nguồn thực hiện CCTL (nếu có); đảm bảo nhiệm vụ chi</v>
      </c>
      <c r="C57" s="4183">
        <f>'[2]Phụ lục số 1'!C58</f>
        <v>0</v>
      </c>
      <c r="D57" s="4183"/>
      <c r="E57" s="4183">
        <f>F57+G57</f>
        <v>0</v>
      </c>
      <c r="F57" s="4183">
        <f>'[2]Phụ lục số 1'!F58</f>
        <v>0</v>
      </c>
      <c r="G57" s="4189"/>
      <c r="H57" s="4183">
        <f>'[2]Phụ lục số 1'!T58</f>
        <v>0</v>
      </c>
      <c r="I57" s="4182"/>
      <c r="J57" s="4183"/>
      <c r="K57" s="4183"/>
      <c r="L57" s="4183"/>
      <c r="M57" s="4183"/>
      <c r="N57" s="4183">
        <f>'[2]Phụ lục số 1'!AE58</f>
        <v>650315</v>
      </c>
      <c r="O57" s="4182"/>
      <c r="P57" s="4183"/>
      <c r="Q57" s="4183">
        <f>R57+S57</f>
        <v>650315</v>
      </c>
      <c r="R57" s="4183">
        <f>'[2]Phụ lục số 1'!AI58</f>
        <v>650315</v>
      </c>
      <c r="S57" s="4183">
        <f>'[2]Phụ lục số 1'!AJ58</f>
        <v>0</v>
      </c>
      <c r="T57" s="4183">
        <f>'[2]Phụ lục số 1'!AK58</f>
        <v>650315</v>
      </c>
      <c r="U57" s="4182"/>
      <c r="V57" s="4183"/>
      <c r="W57" s="4183"/>
      <c r="X57" s="4183"/>
      <c r="Y57" s="4183"/>
      <c r="Z57" s="4183">
        <f>'[2]Phụ lục số 1'!AQ58</f>
        <v>650315</v>
      </c>
      <c r="AA57" s="4182"/>
      <c r="AB57" s="4183"/>
      <c r="AC57" s="4183">
        <f>Z57-AB57</f>
        <v>650315</v>
      </c>
      <c r="AD57" s="4183">
        <f>Z57</f>
        <v>650315</v>
      </c>
      <c r="AE57" s="4183"/>
      <c r="AF57" s="667"/>
    </row>
    <row r="58" spans="1:32" s="4126" customFormat="1" ht="34.799999999999997">
      <c r="A58" s="4117" t="s">
        <v>44</v>
      </c>
      <c r="B58" s="4190" t="str">
        <f>'[2]Phụ lục số 1'!B59</f>
        <v>Thu chuyển nguồn làm lương năm trước chuyển sang</v>
      </c>
      <c r="C58" s="4167">
        <f>'[2]Phụ lục số 1'!C59</f>
        <v>0</v>
      </c>
      <c r="D58" s="4167">
        <v>0</v>
      </c>
      <c r="E58" s="4167">
        <f>F58+G58</f>
        <v>0</v>
      </c>
      <c r="F58" s="4167">
        <f>'[2]Phụ lục số 1'!F59</f>
        <v>0</v>
      </c>
      <c r="G58" s="4191">
        <f>'[2]Phụ lục số 1'!G59</f>
        <v>0</v>
      </c>
      <c r="H58" s="4167">
        <f>L58+M58</f>
        <v>431000</v>
      </c>
      <c r="I58" s="4168"/>
      <c r="J58" s="4167"/>
      <c r="K58" s="4167">
        <f>H58-J58</f>
        <v>431000</v>
      </c>
      <c r="L58" s="4167">
        <f>'[2]Phụ lục số 1'!X59</f>
        <v>89700</v>
      </c>
      <c r="M58" s="4167">
        <f>'[2]Phụ lục số 1'!Y59</f>
        <v>341300</v>
      </c>
      <c r="N58" s="4167">
        <f>SUM(Q58)</f>
        <v>886000</v>
      </c>
      <c r="O58" s="4192"/>
      <c r="P58" s="4167">
        <v>0</v>
      </c>
      <c r="Q58" s="4167">
        <f>R58+S58</f>
        <v>886000</v>
      </c>
      <c r="R58" s="4167">
        <f>'[2]Phụ lục số 1'!AI59</f>
        <v>0</v>
      </c>
      <c r="S58" s="4167">
        <f>'[2]Phụ lục số 1'!AJ59</f>
        <v>886000</v>
      </c>
      <c r="T58" s="4167">
        <f>X58+Y58</f>
        <v>717399.2</v>
      </c>
      <c r="U58" s="4192"/>
      <c r="V58" s="4167"/>
      <c r="W58" s="4167">
        <f>SUM(X58:Y58)</f>
        <v>717399.2</v>
      </c>
      <c r="X58" s="4167">
        <f>'[2]Phụ lục số 1'!AO59</f>
        <v>79139.200000000012</v>
      </c>
      <c r="Y58" s="4167">
        <f>'[2]Phụ lục số 1'!AP59</f>
        <v>638260</v>
      </c>
      <c r="Z58" s="4167">
        <f>AD58+AE58</f>
        <v>882854.2423493322</v>
      </c>
      <c r="AA58" s="4192"/>
      <c r="AB58" s="4167">
        <v>0</v>
      </c>
      <c r="AC58" s="4167">
        <f>SUM(AD58:AE58)</f>
        <v>882854.2423493322</v>
      </c>
      <c r="AD58" s="4167">
        <f>'[2]Phụ lục số 1'!AU59</f>
        <v>567070.94060725369</v>
      </c>
      <c r="AE58" s="4167">
        <f>'[2]Phụ lục số 1'!AV59</f>
        <v>315783.30174207845</v>
      </c>
      <c r="AF58" s="4127">
        <f t="shared" si="5"/>
        <v>431000</v>
      </c>
    </row>
    <row r="59" spans="1:32" s="4126" customFormat="1" ht="34.799999999999997">
      <c r="A59" s="4117" t="s">
        <v>46</v>
      </c>
      <c r="B59" s="4190" t="str">
        <f>'[2]Phụ lục số 1'!B60</f>
        <v>Thu vay từ nguồn Chính phủ vay về cho vay lại</v>
      </c>
      <c r="C59" s="4167">
        <f>'[2]Phụ lục số 1'!C60</f>
        <v>31500</v>
      </c>
      <c r="D59" s="4167"/>
      <c r="E59" s="4167">
        <f>F59+G59</f>
        <v>31500</v>
      </c>
      <c r="F59" s="4191">
        <f>'[2]Phụ lục số 1'!F60</f>
        <v>31500</v>
      </c>
      <c r="G59" s="4167"/>
      <c r="H59" s="4167">
        <f>'[2]Phụ lục số 1'!T60</f>
        <v>31500</v>
      </c>
      <c r="I59" s="4168"/>
      <c r="J59" s="4167"/>
      <c r="K59" s="4167">
        <f>H59-J59</f>
        <v>31500</v>
      </c>
      <c r="L59" s="4167">
        <f>K59-M59</f>
        <v>31500</v>
      </c>
      <c r="M59" s="4167"/>
      <c r="N59" s="4167">
        <f>'[2]Phụ lục số 1'!AH60</f>
        <v>0</v>
      </c>
      <c r="O59" s="4192"/>
      <c r="P59" s="4167"/>
      <c r="Q59" s="4167">
        <f>SUM(R59:S59)</f>
        <v>0</v>
      </c>
      <c r="R59" s="4167">
        <f>'[2]Phụ lục số 1'!AI60</f>
        <v>0</v>
      </c>
      <c r="S59" s="4167">
        <v>0</v>
      </c>
      <c r="T59" s="4167">
        <f>W59</f>
        <v>0</v>
      </c>
      <c r="U59" s="4192"/>
      <c r="V59" s="4167"/>
      <c r="W59" s="4167">
        <f>SUM(X59:Y59)</f>
        <v>0</v>
      </c>
      <c r="X59" s="4167">
        <f>'[2]Phụ lục số 1'!AO60</f>
        <v>0</v>
      </c>
      <c r="Y59" s="4167">
        <v>0</v>
      </c>
      <c r="Z59" s="4167">
        <f>AC59</f>
        <v>0</v>
      </c>
      <c r="AA59" s="4192"/>
      <c r="AB59" s="4167"/>
      <c r="AC59" s="4167">
        <f>SUM(AD59:AE59)</f>
        <v>0</v>
      </c>
      <c r="AD59" s="4167">
        <f>'[2]Phụ lục số 1'!AU60</f>
        <v>0</v>
      </c>
      <c r="AE59" s="4167">
        <v>0</v>
      </c>
      <c r="AF59" s="597">
        <f t="shared" si="5"/>
        <v>0</v>
      </c>
    </row>
    <row r="60" spans="1:32" s="708" customFormat="1">
      <c r="A60" s="715"/>
      <c r="B60" s="4193" t="s">
        <v>48</v>
      </c>
      <c r="C60" s="4194">
        <f t="shared" ref="C60:H60" si="34">SUM(C8,C52,C58,C59)</f>
        <v>16705995</v>
      </c>
      <c r="D60" s="4194">
        <f t="shared" si="34"/>
        <v>886000</v>
      </c>
      <c r="E60" s="4194">
        <f t="shared" si="34"/>
        <v>15819995</v>
      </c>
      <c r="F60" s="4194">
        <f t="shared" si="34"/>
        <v>12922645</v>
      </c>
      <c r="G60" s="4194">
        <f t="shared" si="34"/>
        <v>2897350</v>
      </c>
      <c r="H60" s="4194">
        <f t="shared" si="34"/>
        <v>17697740.32</v>
      </c>
      <c r="I60" s="4195"/>
      <c r="J60" s="4194">
        <f>SUM(J8,J52,J58,J59)</f>
        <v>700345.52</v>
      </c>
      <c r="K60" s="4194">
        <f>SUM(K8,K52,K58,K59)</f>
        <v>16997394.800000001</v>
      </c>
      <c r="L60" s="4194">
        <f>SUM(L8,L52,L58,L59)</f>
        <v>13068045.733333334</v>
      </c>
      <c r="M60" s="4194">
        <f>SUM(M8,M52,M58,M59)</f>
        <v>3929349.0666666664</v>
      </c>
      <c r="N60" s="4194">
        <f>SUM(N8,N52,N58,N59)</f>
        <v>19408479</v>
      </c>
      <c r="O60" s="4195"/>
      <c r="P60" s="4194">
        <f>SUM(P8,P52,P58,P59)</f>
        <v>781000</v>
      </c>
      <c r="Q60" s="4194">
        <f>SUM(Q8,Q52,Q58,Q59)</f>
        <v>18627479</v>
      </c>
      <c r="R60" s="4194">
        <f>SUM(R8,R52,R58,R59)</f>
        <v>13800899</v>
      </c>
      <c r="S60" s="4194">
        <f>SUM(S8,S52,S58,S59)</f>
        <v>4826580</v>
      </c>
      <c r="T60" s="4194">
        <f>SUM(T8,T52,T58,T59)</f>
        <v>19876572.199999999</v>
      </c>
      <c r="U60" s="4195"/>
      <c r="V60" s="4194">
        <f>SUM(V8,V52,V58,V59)</f>
        <v>1044994.6153013352</v>
      </c>
      <c r="W60" s="4194">
        <f>SUM(W8,W52,W58,W59)</f>
        <v>18831577.584698666</v>
      </c>
      <c r="X60" s="4194">
        <f>SUM(X8,X52,X58,X59)</f>
        <v>14697217.326977219</v>
      </c>
      <c r="Y60" s="4194">
        <f>SUM(Y8,Y52,Y58,Y59)</f>
        <v>4134360.2577214451</v>
      </c>
      <c r="Z60" s="4194">
        <f>SUM(Z8,Z52,Z58,Z59)</f>
        <v>21568842.542349331</v>
      </c>
      <c r="AA60" s="4195"/>
      <c r="AB60" s="4194">
        <f>SUM(AB8,AB52,AB58,AB59)</f>
        <v>1125148.2938914755</v>
      </c>
      <c r="AC60" s="4194">
        <f>SUM(AC8,AC52,AC58,AC59)</f>
        <v>20443693.848457858</v>
      </c>
      <c r="AD60" s="4194">
        <f>SUM(AD8,AD52,AD58,AD59)</f>
        <v>16389010.053869789</v>
      </c>
      <c r="AE60" s="4194">
        <f>SUM(AE8,AE52,AE58,AE59)</f>
        <v>4054683.7945880671</v>
      </c>
      <c r="AF60" s="667">
        <f t="shared" si="5"/>
        <v>991745.3200000003</v>
      </c>
    </row>
    <row r="62" spans="1:32">
      <c r="K62" s="667">
        <f>K60*2%</f>
        <v>339947.89600000001</v>
      </c>
      <c r="N62" s="692">
        <v>6818777</v>
      </c>
      <c r="P62" s="692">
        <f>N62-Q62</f>
        <v>1009000</v>
      </c>
      <c r="Q62" s="692">
        <v>5809777</v>
      </c>
      <c r="R62" s="2245"/>
    </row>
    <row r="63" spans="1:32">
      <c r="H63" s="692">
        <v>4090000</v>
      </c>
      <c r="K63" s="2245">
        <f>+K8/E8</f>
        <v>1.1113364856801908</v>
      </c>
      <c r="N63" s="685">
        <f>N8-N62</f>
        <v>2447223</v>
      </c>
      <c r="P63" s="667">
        <f>P8-P62</f>
        <v>-228000</v>
      </c>
      <c r="Q63" s="3872">
        <f>Q8-Q62</f>
        <v>2675223</v>
      </c>
      <c r="R63" s="429">
        <f>+R53/L53</f>
        <v>1.0199923298509377</v>
      </c>
    </row>
    <row r="64" spans="1:32">
      <c r="H64" s="692">
        <f>+H63-H10</f>
        <v>-779999.79999999981</v>
      </c>
      <c r="K64" s="667">
        <f>+K8-E8</f>
        <v>746399.79999999981</v>
      </c>
      <c r="N64" s="692">
        <v>6708777</v>
      </c>
      <c r="Q64" s="692"/>
      <c r="W64" s="692">
        <f>W8+W53+W58</f>
        <v>16452092.284698665</v>
      </c>
    </row>
    <row r="65" spans="8:31">
      <c r="K65" s="667">
        <f>+K10-E10</f>
        <v>166399.79999999981</v>
      </c>
      <c r="L65" s="667">
        <f>+L10-F10</f>
        <v>-344299.2666666666</v>
      </c>
      <c r="M65" s="667">
        <f>+M10-G10</f>
        <v>510699.06666666642</v>
      </c>
      <c r="N65" s="667">
        <f>+N9-N64</f>
        <v>2357223</v>
      </c>
      <c r="Q65" s="692"/>
    </row>
    <row r="66" spans="8:31">
      <c r="H66" s="667">
        <v>1283</v>
      </c>
      <c r="K66" s="2245"/>
      <c r="N66" s="667">
        <v>945000</v>
      </c>
      <c r="Q66" s="692">
        <f>+Q8+Q53</f>
        <v>15102188</v>
      </c>
      <c r="R66" s="692">
        <f>Q8-Q66</f>
        <v>-6617188</v>
      </c>
    </row>
    <row r="67" spans="8:31">
      <c r="H67" s="667">
        <v>1500</v>
      </c>
      <c r="K67" s="2245"/>
      <c r="L67" s="2245">
        <f>L8/$K$8</f>
        <v>0.51840851994725623</v>
      </c>
      <c r="M67" s="2245">
        <f>M8/$K$8</f>
        <v>0.48159148005274383</v>
      </c>
      <c r="N67" s="667">
        <f>N28-N66</f>
        <v>756000</v>
      </c>
      <c r="Q67" s="692">
        <f>+Q66*2%</f>
        <v>302043.76</v>
      </c>
      <c r="R67" s="2245">
        <f>R8/$Q$8</f>
        <v>0.53558279316440782</v>
      </c>
      <c r="S67" s="2245">
        <f>S8/$Q$8</f>
        <v>0.46441720683559223</v>
      </c>
      <c r="X67" s="2245">
        <f>+X8/$W$8</f>
        <v>0.61655077510307821</v>
      </c>
      <c r="Y67" s="2245">
        <f>+Y8/$W$8</f>
        <v>0.38344922489692163</v>
      </c>
      <c r="AD67" s="2245">
        <f>+AD8/$AC$8</f>
        <v>0.62286094703253969</v>
      </c>
      <c r="AE67" s="2245">
        <f>+AE8/$AC$8</f>
        <v>0.37713905296746042</v>
      </c>
    </row>
    <row r="68" spans="8:31">
      <c r="H68" s="667">
        <f>+H67-H66</f>
        <v>217</v>
      </c>
      <c r="N68" s="667">
        <v>220000</v>
      </c>
      <c r="Q68" s="692">
        <v>935</v>
      </c>
    </row>
    <row r="69" spans="8:31">
      <c r="H69" s="692">
        <f>H38-C38</f>
        <v>-520000</v>
      </c>
      <c r="L69" s="667">
        <f>L38-F38</f>
        <v>-312000</v>
      </c>
      <c r="N69" s="667">
        <f>+N34-N68</f>
        <v>130000</v>
      </c>
      <c r="Q69" s="667">
        <v>30</v>
      </c>
    </row>
    <row r="70" spans="8:31">
      <c r="H70" s="692"/>
      <c r="N70" s="667">
        <v>8000</v>
      </c>
      <c r="Q70" s="4158">
        <f>+Q68/Q69</f>
        <v>31.166666666666668</v>
      </c>
    </row>
    <row r="71" spans="8:31">
      <c r="H71" s="692">
        <f>6515000</f>
        <v>6515000</v>
      </c>
      <c r="N71" s="667">
        <f>N36-N70</f>
        <v>7000</v>
      </c>
    </row>
    <row r="72" spans="8:31">
      <c r="H72" s="667">
        <f>+H9-H71</f>
        <v>1484999.7999999998</v>
      </c>
      <c r="N72" s="667">
        <v>800000</v>
      </c>
      <c r="Q72" s="692"/>
    </row>
    <row r="73" spans="8:31">
      <c r="N73" s="667">
        <f>N40-N72</f>
        <v>970000</v>
      </c>
      <c r="Q73" s="692"/>
    </row>
    <row r="74" spans="8:31">
      <c r="N74" s="667">
        <v>120000</v>
      </c>
      <c r="Q74" s="692">
        <f>Q8*20%</f>
        <v>1697000</v>
      </c>
    </row>
    <row r="75" spans="8:31">
      <c r="N75" s="667">
        <f>N41-N74</f>
        <v>195000</v>
      </c>
      <c r="Q75" s="667">
        <v>37000</v>
      </c>
    </row>
    <row r="76" spans="8:31">
      <c r="N76" s="667">
        <f>3000</f>
        <v>3000</v>
      </c>
      <c r="Q76" s="667">
        <v>17500</v>
      </c>
    </row>
    <row r="77" spans="8:31">
      <c r="N77" s="692">
        <v>7519985</v>
      </c>
      <c r="Q77" s="667">
        <f>+Q75+Q76</f>
        <v>54500</v>
      </c>
    </row>
    <row r="78" spans="8:31">
      <c r="N78" s="692">
        <f>+N52-N77</f>
        <v>1736494</v>
      </c>
    </row>
    <row r="79" spans="8:31">
      <c r="N79" s="692"/>
    </row>
    <row r="80" spans="8:31">
      <c r="N80" s="692">
        <f>N67+N69+N71+N73+N75+N77</f>
        <v>9577985</v>
      </c>
      <c r="Q80" s="667">
        <v>84800</v>
      </c>
    </row>
    <row r="81" spans="14:19">
      <c r="N81" s="692"/>
      <c r="Q81" s="667">
        <v>213</v>
      </c>
    </row>
    <row r="82" spans="14:19">
      <c r="N82" s="692">
        <f>N38</f>
        <v>1065000</v>
      </c>
      <c r="Q82" s="692">
        <f>Q38</f>
        <v>639000</v>
      </c>
    </row>
    <row r="83" spans="14:19">
      <c r="N83" s="692">
        <f>N82/12</f>
        <v>88750</v>
      </c>
      <c r="Q83" s="692">
        <f>Q82/12</f>
        <v>53250</v>
      </c>
    </row>
    <row r="84" spans="14:19">
      <c r="N84" s="692">
        <f>N83/2</f>
        <v>44375</v>
      </c>
      <c r="Q84" s="692">
        <f>Q83/2</f>
        <v>26625</v>
      </c>
    </row>
    <row r="85" spans="14:19">
      <c r="N85" s="692">
        <f>N83*3+N84*9</f>
        <v>665625</v>
      </c>
      <c r="Q85" s="692">
        <f>Q83*3+Q84*9</f>
        <v>399375</v>
      </c>
    </row>
    <row r="86" spans="14:19">
      <c r="N86" s="667">
        <f>+N82-N85</f>
        <v>399375</v>
      </c>
      <c r="Q86" s="667">
        <f>+Q82-Q85</f>
        <v>239625</v>
      </c>
      <c r="S86" s="692"/>
    </row>
    <row r="87" spans="14:19">
      <c r="N87" s="4196">
        <f>N86/N9</f>
        <v>4.4051952349437457E-2</v>
      </c>
    </row>
    <row r="88" spans="14:19">
      <c r="Q88" s="667">
        <v>13425</v>
      </c>
    </row>
    <row r="89" spans="14:19">
      <c r="N89" s="667">
        <v>7390000</v>
      </c>
      <c r="Q89" s="667">
        <v>6349</v>
      </c>
    </row>
    <row r="90" spans="14:19">
      <c r="N90" s="667">
        <f>+N9-N89</f>
        <v>1676000</v>
      </c>
      <c r="Q90" s="667">
        <f>+Q88-Q89</f>
        <v>7076</v>
      </c>
    </row>
    <row r="91" spans="14:19">
      <c r="Q91" s="692">
        <v>6654000</v>
      </c>
    </row>
    <row r="92" spans="14:19">
      <c r="Q92" s="692">
        <f>+Q8-Q91</f>
        <v>1831000</v>
      </c>
    </row>
    <row r="93" spans="14:19">
      <c r="N93" s="2245">
        <f>N38/N10</f>
        <v>0.20060275004708986</v>
      </c>
      <c r="Q93" s="692"/>
    </row>
    <row r="94" spans="14:19">
      <c r="N94" s="2245">
        <v>0.35714285714285715</v>
      </c>
      <c r="Q94" s="692"/>
    </row>
    <row r="95" spans="14:19">
      <c r="Q95" s="692"/>
    </row>
    <row r="96" spans="14:19">
      <c r="N96" s="692"/>
      <c r="Q96" s="692"/>
    </row>
    <row r="97" spans="14:17">
      <c r="N97" s="692"/>
      <c r="Q97" s="692"/>
    </row>
    <row r="98" spans="14:17">
      <c r="Q98" s="692"/>
    </row>
    <row r="99" spans="14:17">
      <c r="N99" s="692">
        <v>1500000</v>
      </c>
      <c r="Q99" s="692"/>
    </row>
    <row r="100" spans="14:17">
      <c r="N100" s="692">
        <f>N99*48%</f>
        <v>720000</v>
      </c>
      <c r="Q100" s="692"/>
    </row>
    <row r="101" spans="14:17">
      <c r="N101" s="692">
        <f>N99*60%</f>
        <v>900000</v>
      </c>
      <c r="Q101" s="692"/>
    </row>
    <row r="102" spans="14:17">
      <c r="N102" s="692">
        <f>+N101-N100</f>
        <v>180000</v>
      </c>
      <c r="Q102" s="692"/>
    </row>
    <row r="103" spans="14:17">
      <c r="N103" s="692"/>
    </row>
    <row r="104" spans="14:17">
      <c r="N104" s="692"/>
    </row>
    <row r="105" spans="14:17">
      <c r="N105" s="692"/>
    </row>
  </sheetData>
  <mergeCells count="27">
    <mergeCell ref="A1:AE1"/>
    <mergeCell ref="A2:AE2"/>
    <mergeCell ref="E3:G3"/>
    <mergeCell ref="A4:A6"/>
    <mergeCell ref="B4:B6"/>
    <mergeCell ref="C4:C6"/>
    <mergeCell ref="H4:M4"/>
    <mergeCell ref="N4:S4"/>
    <mergeCell ref="T4:Y4"/>
    <mergeCell ref="Z4:AE4"/>
    <mergeCell ref="V5:V6"/>
    <mergeCell ref="D5:D6"/>
    <mergeCell ref="H5:H6"/>
    <mergeCell ref="I5:I6"/>
    <mergeCell ref="J5:J6"/>
    <mergeCell ref="K5:M5"/>
    <mergeCell ref="N5:N6"/>
    <mergeCell ref="O5:O6"/>
    <mergeCell ref="P5:P6"/>
    <mergeCell ref="Q5:S5"/>
    <mergeCell ref="T5:T6"/>
    <mergeCell ref="AC5:AE5"/>
    <mergeCell ref="U5:U6"/>
    <mergeCell ref="W5:Y5"/>
    <mergeCell ref="Z5:Z6"/>
    <mergeCell ref="AA5:AA6"/>
    <mergeCell ref="AB5:AB6"/>
  </mergeCells>
  <hyperlinks>
    <hyperlink ref="A4:A6" location="'Danh mục file'!A1" display="SỐ TT"/>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50"/>
  </sheetPr>
  <dimension ref="A1:Y121"/>
  <sheetViews>
    <sheetView topLeftCell="B1" workbookViewId="0">
      <selection activeCell="K19" sqref="K19"/>
    </sheetView>
  </sheetViews>
  <sheetFormatPr defaultColWidth="10.33203125" defaultRowHeight="18"/>
  <cols>
    <col min="1" max="1" width="6.5546875" style="717" customWidth="1"/>
    <col min="2" max="2" width="35.109375" style="667" customWidth="1"/>
    <col min="3" max="6" width="10" style="667" customWidth="1"/>
    <col min="7" max="7" width="10" style="4197" customWidth="1"/>
    <col min="8" max="25" width="10" style="667" customWidth="1"/>
    <col min="26" max="16384" width="10.33203125" style="667"/>
  </cols>
  <sheetData>
    <row r="1" spans="1:25" ht="34.200000000000003" customHeight="1">
      <c r="A1" s="6304" t="s">
        <v>2409</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row>
    <row r="2" spans="1:25">
      <c r="A2" s="686"/>
      <c r="B2" s="686"/>
      <c r="C2" s="686"/>
      <c r="D2" s="686"/>
      <c r="E2" s="686"/>
      <c r="F2" s="686"/>
      <c r="G2" s="6335"/>
      <c r="H2" s="6335"/>
      <c r="I2" s="6335"/>
      <c r="J2" s="686"/>
    </row>
    <row r="3" spans="1:25" ht="18.600000000000001" thickBot="1">
      <c r="A3" s="386"/>
      <c r="B3" s="685"/>
      <c r="D3" s="6335"/>
      <c r="E3" s="6335"/>
      <c r="F3" s="692"/>
      <c r="H3" s="692"/>
      <c r="I3" s="685"/>
      <c r="J3" s="4198"/>
      <c r="Y3" s="4199" t="s">
        <v>246</v>
      </c>
    </row>
    <row r="4" spans="1:25" s="4200" customFormat="1" ht="20.25" customHeight="1">
      <c r="A4" s="6336" t="s">
        <v>0</v>
      </c>
      <c r="B4" s="6338" t="s">
        <v>1893</v>
      </c>
      <c r="C4" s="6340" t="s">
        <v>1864</v>
      </c>
      <c r="D4" s="6341"/>
      <c r="E4" s="6342"/>
      <c r="F4" s="6343" t="s">
        <v>2410</v>
      </c>
      <c r="G4" s="6344"/>
      <c r="H4" s="6344"/>
      <c r="I4" s="6344"/>
      <c r="J4" s="6345"/>
      <c r="K4" s="6340" t="s">
        <v>140</v>
      </c>
      <c r="L4" s="6341"/>
      <c r="M4" s="6341"/>
      <c r="N4" s="6341"/>
      <c r="O4" s="6342"/>
      <c r="P4" s="6340" t="s">
        <v>2411</v>
      </c>
      <c r="Q4" s="6341"/>
      <c r="R4" s="6341"/>
      <c r="S4" s="6341"/>
      <c r="T4" s="6342"/>
      <c r="U4" s="6340" t="s">
        <v>2412</v>
      </c>
      <c r="V4" s="6341"/>
      <c r="W4" s="6341"/>
      <c r="X4" s="6341"/>
      <c r="Y4" s="6346"/>
    </row>
    <row r="5" spans="1:25" s="4200" customFormat="1" ht="87" customHeight="1">
      <c r="A5" s="6337"/>
      <c r="B5" s="6339"/>
      <c r="C5" s="584" t="s">
        <v>1903</v>
      </c>
      <c r="D5" s="430" t="s">
        <v>1904</v>
      </c>
      <c r="E5" s="430" t="s">
        <v>1905</v>
      </c>
      <c r="F5" s="584" t="s">
        <v>1903</v>
      </c>
      <c r="G5" s="4201" t="s">
        <v>69</v>
      </c>
      <c r="H5" s="584" t="s">
        <v>1907</v>
      </c>
      <c r="I5" s="430" t="s">
        <v>1904</v>
      </c>
      <c r="J5" s="430" t="s">
        <v>1905</v>
      </c>
      <c r="K5" s="584" t="s">
        <v>1903</v>
      </c>
      <c r="L5" s="584" t="s">
        <v>69</v>
      </c>
      <c r="M5" s="584" t="s">
        <v>1907</v>
      </c>
      <c r="N5" s="430" t="s">
        <v>1904</v>
      </c>
      <c r="O5" s="430" t="s">
        <v>1905</v>
      </c>
      <c r="P5" s="584" t="s">
        <v>1903</v>
      </c>
      <c r="Q5" s="584" t="s">
        <v>69</v>
      </c>
      <c r="R5" s="584" t="s">
        <v>1908</v>
      </c>
      <c r="S5" s="430" t="s">
        <v>1904</v>
      </c>
      <c r="T5" s="430" t="s">
        <v>1905</v>
      </c>
      <c r="U5" s="584" t="s">
        <v>1903</v>
      </c>
      <c r="V5" s="584" t="s">
        <v>69</v>
      </c>
      <c r="W5" s="584" t="s">
        <v>2413</v>
      </c>
      <c r="X5" s="430" t="s">
        <v>1904</v>
      </c>
      <c r="Y5" s="4202" t="s">
        <v>1905</v>
      </c>
    </row>
    <row r="6" spans="1:25" s="685" customFormat="1" ht="19.649999999999999" customHeight="1">
      <c r="A6" s="4203">
        <v>1</v>
      </c>
      <c r="B6" s="4204">
        <v>2</v>
      </c>
      <c r="C6" s="4204" t="s">
        <v>1360</v>
      </c>
      <c r="D6" s="4205">
        <v>4</v>
      </c>
      <c r="E6" s="4204">
        <v>5</v>
      </c>
      <c r="F6" s="4205" t="s">
        <v>1909</v>
      </c>
      <c r="G6" s="4206">
        <v>7</v>
      </c>
      <c r="H6" s="4205" t="s">
        <v>1910</v>
      </c>
      <c r="I6" s="4204">
        <v>9</v>
      </c>
      <c r="J6" s="4205">
        <v>10</v>
      </c>
      <c r="K6" s="4205" t="s">
        <v>1911</v>
      </c>
      <c r="L6" s="4204">
        <v>12</v>
      </c>
      <c r="M6" s="4204" t="s">
        <v>1912</v>
      </c>
      <c r="N6" s="4204">
        <v>14</v>
      </c>
      <c r="O6" s="4205">
        <v>15</v>
      </c>
      <c r="P6" s="4204" t="s">
        <v>1913</v>
      </c>
      <c r="Q6" s="4205">
        <v>17</v>
      </c>
      <c r="R6" s="4204" t="s">
        <v>1914</v>
      </c>
      <c r="S6" s="4205">
        <v>19</v>
      </c>
      <c r="T6" s="4204">
        <v>20</v>
      </c>
      <c r="U6" s="4205" t="s">
        <v>1915</v>
      </c>
      <c r="V6" s="4204">
        <v>22</v>
      </c>
      <c r="W6" s="4205" t="s">
        <v>1916</v>
      </c>
      <c r="X6" s="4204">
        <v>24</v>
      </c>
      <c r="Y6" s="4207">
        <v>25</v>
      </c>
    </row>
    <row r="7" spans="1:25" s="708" customFormat="1" ht="20.100000000000001" customHeight="1">
      <c r="A7" s="4208"/>
      <c r="B7" s="4209" t="s">
        <v>1917</v>
      </c>
      <c r="C7" s="4163">
        <f>SUM(C8,C35,C39)</f>
        <v>15819995</v>
      </c>
      <c r="D7" s="4163">
        <f>SUM(D8,D35,D39)</f>
        <v>8173924</v>
      </c>
      <c r="E7" s="4163">
        <f>SUM(E8,E35,E39)</f>
        <v>7646071</v>
      </c>
      <c r="F7" s="4163">
        <f>SUM(F8,F35,F39)</f>
        <v>17291694.066666666</v>
      </c>
      <c r="G7" s="4163">
        <f>F7/$F$7*100</f>
        <v>100</v>
      </c>
      <c r="H7" s="4163">
        <f t="shared" ref="H7:H35" si="0">F7/C7*100</f>
        <v>109.30277832999738</v>
      </c>
      <c r="I7" s="4163">
        <f>SUM(I8,I35,I39)</f>
        <v>8613624</v>
      </c>
      <c r="J7" s="4163">
        <f>SUM(J8,J35,J39)</f>
        <v>8678070.0666666664</v>
      </c>
      <c r="K7" s="4163">
        <f>SUM(K8,K35,K39)</f>
        <v>18627408.915999997</v>
      </c>
      <c r="L7" s="4210">
        <f>K7/$K$7*100</f>
        <v>100</v>
      </c>
      <c r="M7" s="4163">
        <f>K7/C7%</f>
        <v>117.74598485018483</v>
      </c>
      <c r="N7" s="4163">
        <f>SUM(N8,N35,N39)</f>
        <v>8719005.568</v>
      </c>
      <c r="O7" s="4163">
        <f>SUM(O8,O35,O39)</f>
        <v>9908403.3479999993</v>
      </c>
      <c r="P7" s="4163">
        <f>SUM(P8,P35,P39)</f>
        <v>19480339.542349335</v>
      </c>
      <c r="Q7" s="4163">
        <f>P7/$P$7*100</f>
        <v>100</v>
      </c>
      <c r="R7" s="4163">
        <f>P7/K7%</f>
        <v>104.5789010709735</v>
      </c>
      <c r="S7" s="4163">
        <f>SUM(S8,S35,S39)</f>
        <v>10262655.986369964</v>
      </c>
      <c r="T7" s="4163">
        <f>SUM(T8,T35,T39)</f>
        <v>9217683.5559793673</v>
      </c>
      <c r="U7" s="4163">
        <f>SUM(U8,U35,U39)</f>
        <v>20440715.503054265</v>
      </c>
      <c r="V7" s="4163">
        <f>U7/$U$7*100</f>
        <v>100</v>
      </c>
      <c r="W7" s="4163">
        <f>U7/P7%</f>
        <v>104.92997546894456</v>
      </c>
      <c r="X7" s="4163">
        <f>SUM(X8,X35,X39)</f>
        <v>11302708.573156692</v>
      </c>
      <c r="Y7" s="4211">
        <f>SUM(Y8,Y35,Y39)</f>
        <v>9138006.929897571</v>
      </c>
    </row>
    <row r="8" spans="1:25" s="708" customFormat="1" ht="20.100000000000001" customHeight="1">
      <c r="A8" s="4212" t="s">
        <v>1</v>
      </c>
      <c r="B8" s="2643" t="s">
        <v>142</v>
      </c>
      <c r="C8" s="2643">
        <f>SUM(C9,C15,C29:C34)</f>
        <v>13191488</v>
      </c>
      <c r="D8" s="2643">
        <f>SUM(D9,D15,D29:D34)</f>
        <v>5545417</v>
      </c>
      <c r="E8" s="2643">
        <f>SUM(E9,E15,E29:E34)</f>
        <v>7646071</v>
      </c>
      <c r="F8" s="2643">
        <f>SUM(F9,F15,F29:F34)</f>
        <v>14663187.066666666</v>
      </c>
      <c r="G8" s="4213">
        <f t="shared" ref="G8:G35" si="1">F8/$F$7*100</f>
        <v>84.79901974979424</v>
      </c>
      <c r="H8" s="4213">
        <f t="shared" si="0"/>
        <v>111.15642956023359</v>
      </c>
      <c r="I8" s="2261">
        <f>SUM(I9,I15,I29:I34)</f>
        <v>5985117</v>
      </c>
      <c r="J8" s="2261">
        <f>SUM(J9,J15,J29:J34)</f>
        <v>8678070.0666666664</v>
      </c>
      <c r="K8" s="2643">
        <f>SUM(K9,K15,K29:K34)</f>
        <v>16638432.915999997</v>
      </c>
      <c r="L8" s="4214">
        <f>K8/$K$7*100</f>
        <v>89.322315256140811</v>
      </c>
      <c r="M8" s="4213">
        <f>K8/C8%</f>
        <v>126.1300689960071</v>
      </c>
      <c r="N8" s="2643">
        <f>SUM(N9,N15,N29:N34)</f>
        <v>6730029.568</v>
      </c>
      <c r="O8" s="2643">
        <f>SUM(O9,O15,O29:O34)</f>
        <v>9908403.3479999993</v>
      </c>
      <c r="P8" s="2261">
        <f>SUM(P9,P15,P29:P34)</f>
        <v>17100854.242349334</v>
      </c>
      <c r="Q8" s="4213">
        <f t="shared" ref="Q8:Q30" si="2">P8/$P$7*100</f>
        <v>87.78519596731303</v>
      </c>
      <c r="R8" s="4213">
        <f t="shared" ref="R8:R30" si="3">P8/K8%</f>
        <v>102.77923605356283</v>
      </c>
      <c r="S8" s="2261">
        <f>SUM(S9,S15,S29:S34)</f>
        <v>7883170.6863699649</v>
      </c>
      <c r="T8" s="2261">
        <f>SUM(T9,T15,T29:T34)</f>
        <v>9217683.5559793673</v>
      </c>
      <c r="U8" s="2261">
        <f>SUM(U9,U15,U29:U34)</f>
        <v>18061230.203054264</v>
      </c>
      <c r="V8" s="4213">
        <f t="shared" ref="V8:V35" si="4">U8/$U$7*100</f>
        <v>88.359089975864805</v>
      </c>
      <c r="W8" s="4213">
        <f t="shared" ref="W8:W29" si="5">U8/P8%</f>
        <v>105.6159531395023</v>
      </c>
      <c r="X8" s="2261">
        <f>SUM(X9,X15,X29:X34)</f>
        <v>8923223.2731566913</v>
      </c>
      <c r="Y8" s="4215">
        <f>SUM(Y9,Y15,Y29:Y34)</f>
        <v>9138006.929897571</v>
      </c>
    </row>
    <row r="9" spans="1:25" s="685" customFormat="1" ht="20.100000000000001" customHeight="1">
      <c r="A9" s="4216" t="s">
        <v>3</v>
      </c>
      <c r="B9" s="4217" t="s">
        <v>1680</v>
      </c>
      <c r="C9" s="2281">
        <f>SUM(C10:C13)</f>
        <v>3561000</v>
      </c>
      <c r="D9" s="2281">
        <f>SUM(D10:D13)</f>
        <v>2240000</v>
      </c>
      <c r="E9" s="2281">
        <f>SUM(E10:E13)</f>
        <v>1321000</v>
      </c>
      <c r="F9" s="2281">
        <f>SUM(F10:F13)</f>
        <v>4091000</v>
      </c>
      <c r="G9" s="4218">
        <f t="shared" si="1"/>
        <v>23.658757691568535</v>
      </c>
      <c r="H9" s="4218">
        <f t="shared" si="0"/>
        <v>114.88345970233081</v>
      </c>
      <c r="I9" s="2281">
        <f>SUM(I10:I13)</f>
        <v>2590000</v>
      </c>
      <c r="J9" s="2281">
        <f>SUM(J10:J13)</f>
        <v>1501000</v>
      </c>
      <c r="K9" s="2281">
        <f>SUM(K10:K14)</f>
        <v>4923186.4089698764</v>
      </c>
      <c r="L9" s="4219">
        <f t="shared" ref="L9:L30" si="6">K9/$K$7*100</f>
        <v>26.429797247544766</v>
      </c>
      <c r="M9" s="4218">
        <f>K9/C9%</f>
        <v>138.25291797163371</v>
      </c>
      <c r="N9" s="2281">
        <f>SUM(N10:N14)</f>
        <v>3199186</v>
      </c>
      <c r="O9" s="2281">
        <f>SUM(O10:O14)</f>
        <v>1724000.4089698761</v>
      </c>
      <c r="P9" s="2281">
        <f>SUM(P10:P14)</f>
        <v>4795000</v>
      </c>
      <c r="Q9" s="4218">
        <f t="shared" si="2"/>
        <v>24.614560693749187</v>
      </c>
      <c r="R9" s="4218">
        <f t="shared" si="3"/>
        <v>97.396271472956514</v>
      </c>
      <c r="S9" s="2281">
        <f>SUM(S10:S14)</f>
        <v>3439099.7457627119</v>
      </c>
      <c r="T9" s="2281">
        <f>SUM(T10:T13)</f>
        <v>1355900.2542372881</v>
      </c>
      <c r="U9" s="2281">
        <f>SUM(U10:U14)</f>
        <v>5085000</v>
      </c>
      <c r="V9" s="4218">
        <f t="shared" si="4"/>
        <v>24.876819988224952</v>
      </c>
      <c r="W9" s="4218">
        <f t="shared" si="5"/>
        <v>106.04796663190824</v>
      </c>
      <c r="X9" s="2281">
        <f>SUM(X10:X14)</f>
        <v>3690399.7330508474</v>
      </c>
      <c r="Y9" s="2281">
        <f>SUM(Y10:Y14)</f>
        <v>1394600.2669491526</v>
      </c>
    </row>
    <row r="10" spans="1:25" ht="20.100000000000001" customHeight="1">
      <c r="A10" s="4220">
        <v>1</v>
      </c>
      <c r="B10" s="4135" t="s">
        <v>143</v>
      </c>
      <c r="C10" s="44">
        <f>D10+E10</f>
        <v>1061000</v>
      </c>
      <c r="D10" s="44">
        <f>'[2]Phụ lục số 2'!D10</f>
        <v>540000</v>
      </c>
      <c r="E10" s="44">
        <f>'[2]Phụ lục số 2'!E10</f>
        <v>521000</v>
      </c>
      <c r="F10" s="2275">
        <f>SUM(I10,J10)</f>
        <v>1061000</v>
      </c>
      <c r="G10" s="4221">
        <f>F10/$F$7*100</f>
        <v>6.1358938916534385</v>
      </c>
      <c r="H10" s="4221">
        <f t="shared" si="0"/>
        <v>100</v>
      </c>
      <c r="I10" s="2275">
        <f>'[2]Phụ lục số 2'!S10</f>
        <v>540000</v>
      </c>
      <c r="J10" s="2275">
        <f>'[2]Phụ lục số 2'!T10</f>
        <v>521000</v>
      </c>
      <c r="K10" s="2275">
        <f>N10+O10</f>
        <v>1143186.4089698761</v>
      </c>
      <c r="L10" s="4222">
        <f t="shared" si="6"/>
        <v>6.1371198438014485</v>
      </c>
      <c r="M10" s="4221">
        <f t="shared" ref="M10:M30" si="7">K10/C10%</f>
        <v>107.74612714136438</v>
      </c>
      <c r="N10" s="2275">
        <f>'[2]Phụ lục số 2'!AA10</f>
        <v>562186</v>
      </c>
      <c r="O10" s="2275">
        <f>'[2]Phụ lục số 2'!AB10</f>
        <v>581000.40896987612</v>
      </c>
      <c r="P10" s="2275">
        <f>S10+T10</f>
        <v>1213000</v>
      </c>
      <c r="Q10" s="4221">
        <f t="shared" si="2"/>
        <v>6.2267908491173651</v>
      </c>
      <c r="R10" s="4221">
        <f t="shared" si="3"/>
        <v>106.10692976074066</v>
      </c>
      <c r="S10" s="2275">
        <f>'[2]Phụ lục số 2'!AF10</f>
        <v>632000</v>
      </c>
      <c r="T10" s="2275">
        <f>'[2]Phụ lục số 2'!AG10</f>
        <v>581000</v>
      </c>
      <c r="U10" s="2275">
        <f>X10+Y10</f>
        <v>1265000</v>
      </c>
      <c r="V10" s="4221">
        <f t="shared" si="4"/>
        <v>6.1886287679654997</v>
      </c>
      <c r="W10" s="4221">
        <f t="shared" si="5"/>
        <v>104.28689200329761</v>
      </c>
      <c r="X10" s="2275">
        <f>'[2]Phụ lục số 2'!AK10</f>
        <v>684000</v>
      </c>
      <c r="Y10" s="4223">
        <f>'[2]Phụ lục số 2'!AL10</f>
        <v>581000</v>
      </c>
    </row>
    <row r="11" spans="1:25" ht="20.100000000000001" customHeight="1">
      <c r="A11" s="4220">
        <v>2</v>
      </c>
      <c r="B11" s="4135" t="s">
        <v>144</v>
      </c>
      <c r="C11" s="44">
        <f>D11+E11</f>
        <v>900000</v>
      </c>
      <c r="D11" s="44">
        <f>'[2]Phụ lục số 2'!D11</f>
        <v>100000</v>
      </c>
      <c r="E11" s="44">
        <f>'[2]Phụ lục số 2'!E11</f>
        <v>800000</v>
      </c>
      <c r="F11" s="2275">
        <f>SUM(I11,J11)</f>
        <v>1080000</v>
      </c>
      <c r="G11" s="4221">
        <f t="shared" si="1"/>
        <v>6.245773235613302</v>
      </c>
      <c r="H11" s="4221">
        <f t="shared" si="0"/>
        <v>120</v>
      </c>
      <c r="I11" s="2275">
        <f>'[2]Phụ lục số 2'!S11</f>
        <v>100000</v>
      </c>
      <c r="J11" s="2275">
        <f>'[2]Phụ lục số 2'!T11</f>
        <v>980000</v>
      </c>
      <c r="K11" s="2275">
        <f>SUM(N11,O11)</f>
        <v>1770000</v>
      </c>
      <c r="L11" s="4222">
        <f t="shared" si="6"/>
        <v>9.5021267208004438</v>
      </c>
      <c r="M11" s="4221">
        <f t="shared" si="7"/>
        <v>196.66666666666666</v>
      </c>
      <c r="N11" s="2275">
        <f>'[2]Phụ lục số 2'!AA11</f>
        <v>627000</v>
      </c>
      <c r="O11" s="2275">
        <f>'[2]Phụ lục số 2'!AB11</f>
        <v>1143000</v>
      </c>
      <c r="P11" s="2275">
        <f>SUM(S11,T11)</f>
        <v>1200000</v>
      </c>
      <c r="Q11" s="4221">
        <f t="shared" si="2"/>
        <v>6.1600568993741449</v>
      </c>
      <c r="R11" s="4221">
        <f t="shared" si="3"/>
        <v>67.79661016949153</v>
      </c>
      <c r="S11" s="2275">
        <f>'[2]Phụ lục số 2'!AF11</f>
        <v>425099.74576271186</v>
      </c>
      <c r="T11" s="2275">
        <f>'[2]Phụ lục số 2'!AG11</f>
        <v>774900.25423728814</v>
      </c>
      <c r="U11" s="2275">
        <f>SUM(X11,Y11)</f>
        <v>1260000</v>
      </c>
      <c r="V11" s="4221">
        <f t="shared" si="4"/>
        <v>6.1641677846929088</v>
      </c>
      <c r="W11" s="4221">
        <f t="shared" si="5"/>
        <v>105</v>
      </c>
      <c r="X11" s="2275">
        <f>'[2]Phụ lục số 2'!AK11</f>
        <v>446399.73305084754</v>
      </c>
      <c r="Y11" s="4223">
        <f>'[2]Phụ lục số 2'!AL11</f>
        <v>813600.26694915246</v>
      </c>
    </row>
    <row r="12" spans="1:25" ht="20.100000000000001" customHeight="1">
      <c r="A12" s="4220">
        <v>3</v>
      </c>
      <c r="B12" s="44" t="s">
        <v>1918</v>
      </c>
      <c r="C12" s="44">
        <f>D12+E12</f>
        <v>1600000</v>
      </c>
      <c r="D12" s="44">
        <f>'[2]Phụ lục số 2'!D12</f>
        <v>1600000</v>
      </c>
      <c r="E12" s="44">
        <f>'[2]Phụ lục số 2'!E12</f>
        <v>0</v>
      </c>
      <c r="F12" s="2275">
        <f>SUM(I12,J12)</f>
        <v>1950000</v>
      </c>
      <c r="G12" s="4221">
        <f t="shared" si="1"/>
        <v>11.277090564301794</v>
      </c>
      <c r="H12" s="4221">
        <f t="shared" si="0"/>
        <v>121.875</v>
      </c>
      <c r="I12" s="2275">
        <f>'[2]Phụ lục số 2'!S12</f>
        <v>1950000</v>
      </c>
      <c r="J12" s="2275">
        <f>'[2]Phụ lục số 2'!T12</f>
        <v>0</v>
      </c>
      <c r="K12" s="2275">
        <f>SUM(N12,O12)</f>
        <v>1950000</v>
      </c>
      <c r="L12" s="4222">
        <f t="shared" si="6"/>
        <v>10.468444692407267</v>
      </c>
      <c r="M12" s="4221">
        <f t="shared" si="7"/>
        <v>121.875</v>
      </c>
      <c r="N12" s="2275">
        <f>'[2]Phụ lục số 2'!AA12</f>
        <v>1950000</v>
      </c>
      <c r="O12" s="2275">
        <f>'[2]Phụ lục số 2'!AB12</f>
        <v>0</v>
      </c>
      <c r="P12" s="2275">
        <f>SUM(S12,T12)</f>
        <v>2322000</v>
      </c>
      <c r="Q12" s="4221">
        <f t="shared" si="2"/>
        <v>11.919710100288972</v>
      </c>
      <c r="R12" s="4221">
        <f t="shared" si="3"/>
        <v>119.07692307692308</v>
      </c>
      <c r="S12" s="2275">
        <f>'[2]Phụ lục số 2'!AF12</f>
        <v>2322000</v>
      </c>
      <c r="T12" s="2275">
        <f>'[2]Phụ lục số 2'!AG12</f>
        <v>0</v>
      </c>
      <c r="U12" s="2275">
        <f>SUM(X12,Y12)</f>
        <v>2500000</v>
      </c>
      <c r="V12" s="4221">
        <f t="shared" si="4"/>
        <v>12.230491636295454</v>
      </c>
      <c r="W12" s="4221">
        <f t="shared" si="5"/>
        <v>107.66580534022394</v>
      </c>
      <c r="X12" s="2275">
        <f>'[2]Phụ lục số 2'!AK12</f>
        <v>2500000</v>
      </c>
      <c r="Y12" s="4223">
        <f>'[2]Phụ lục số 2'!AL12</f>
        <v>0</v>
      </c>
    </row>
    <row r="13" spans="1:25" ht="54">
      <c r="A13" s="4220">
        <v>4</v>
      </c>
      <c r="B13" s="2780" t="str">
        <f>'[2]Phụ lục số 2'!B13</f>
        <v>Chi đầu tư từ nguồn thu thoái vốn doanh nghiệp nhà nước địa phương quản lý;…</v>
      </c>
      <c r="C13" s="44">
        <f>D13+E13</f>
        <v>0</v>
      </c>
      <c r="D13" s="44">
        <f>'[2]Phụ lục số 2'!D13</f>
        <v>0</v>
      </c>
      <c r="E13" s="44">
        <f>'[2]Phụ lục số 2'!E13</f>
        <v>0</v>
      </c>
      <c r="F13" s="2275">
        <f>SUM(I13,J13)</f>
        <v>0</v>
      </c>
      <c r="G13" s="4221"/>
      <c r="H13" s="4221"/>
      <c r="I13" s="2275">
        <f>'[2]Phụ lục số 2'!S13</f>
        <v>0</v>
      </c>
      <c r="J13" s="2275">
        <f>'[2]Phụ lục số 2'!T13</f>
        <v>0</v>
      </c>
      <c r="K13" s="2275">
        <f>SUM(N13,O13)</f>
        <v>0</v>
      </c>
      <c r="L13" s="4222"/>
      <c r="M13" s="4221"/>
      <c r="N13" s="2275">
        <f>'[2]Phụ lục số 2'!AA13</f>
        <v>0</v>
      </c>
      <c r="O13" s="2275">
        <f>'[2]Phụ lục số 2'!AB13</f>
        <v>0</v>
      </c>
      <c r="P13" s="2275">
        <f>SUM(S13,T13)</f>
        <v>0</v>
      </c>
      <c r="Q13" s="4221"/>
      <c r="R13" s="4221"/>
      <c r="S13" s="2275">
        <f>'[2]Phụ lục số 2'!AF13</f>
        <v>0</v>
      </c>
      <c r="T13" s="2275">
        <f>'[2]Phụ lục số 2'!AG13</f>
        <v>0</v>
      </c>
      <c r="U13" s="2275">
        <f t="shared" ref="U13:U14" si="8">SUM(X13,Y13)</f>
        <v>0</v>
      </c>
      <c r="V13" s="4221"/>
      <c r="W13" s="4221"/>
      <c r="X13" s="2275">
        <f>'[2]Phụ lục số 2'!AK13</f>
        <v>0</v>
      </c>
      <c r="Y13" s="4223">
        <f>'[2]Phụ lục số 2'!AL13</f>
        <v>0</v>
      </c>
    </row>
    <row r="14" spans="1:25" ht="54">
      <c r="A14" s="4220">
        <v>5</v>
      </c>
      <c r="B14" s="2780" t="str">
        <f>'[2]Phụ lục số 2'!B14</f>
        <v>Chi đầu tư phát triển khác (Ủy thác qua NH Chính sách xã hội chi nhánh tỉnh Đồng Tháp)</v>
      </c>
      <c r="C14" s="44"/>
      <c r="D14" s="44"/>
      <c r="E14" s="44"/>
      <c r="F14" s="2275"/>
      <c r="G14" s="4221"/>
      <c r="H14" s="4221"/>
      <c r="I14" s="2275"/>
      <c r="J14" s="2275"/>
      <c r="K14" s="2275">
        <f>SUM(N14,O14)</f>
        <v>60000</v>
      </c>
      <c r="L14" s="4222"/>
      <c r="M14" s="4221"/>
      <c r="N14" s="2275">
        <f>'[2]Phụ lục số 2'!AA14</f>
        <v>60000</v>
      </c>
      <c r="O14" s="2275">
        <f>'[2]Phụ lục số 2'!AB14</f>
        <v>0</v>
      </c>
      <c r="P14" s="2275">
        <f>SUM(S14,T14)</f>
        <v>60000</v>
      </c>
      <c r="Q14" s="4221"/>
      <c r="R14" s="4221"/>
      <c r="S14" s="2275">
        <f>'[2]Phụ lục số 2'!AF14</f>
        <v>60000</v>
      </c>
      <c r="T14" s="2275">
        <f>'[2]Phụ lục số 2'!AG14</f>
        <v>0</v>
      </c>
      <c r="U14" s="2275">
        <f t="shared" si="8"/>
        <v>60000</v>
      </c>
      <c r="V14" s="4221"/>
      <c r="W14" s="4221"/>
      <c r="X14" s="2275">
        <f>'[2]Phụ lục số 2'!AK14</f>
        <v>60000</v>
      </c>
      <c r="Y14" s="4223"/>
    </row>
    <row r="15" spans="1:25" s="685" customFormat="1" ht="17.399999999999999">
      <c r="A15" s="4216" t="s">
        <v>33</v>
      </c>
      <c r="B15" s="4217" t="s">
        <v>151</v>
      </c>
      <c r="C15" s="2659">
        <f>SUM(C16:C18,C26,C27,C28)</f>
        <v>9353865</v>
      </c>
      <c r="D15" s="2659">
        <f>SUM(D16:D18,D26,D27,D28)</f>
        <v>3168035</v>
      </c>
      <c r="E15" s="2659">
        <f>SUM(E16:E18,E26,E27,E28)</f>
        <v>6185830</v>
      </c>
      <c r="F15" s="2281">
        <f>SUM(F16,F17,F18,F26,F27,F28)</f>
        <v>9353865</v>
      </c>
      <c r="G15" s="4218">
        <f t="shared" si="1"/>
        <v>54.094555246796318</v>
      </c>
      <c r="H15" s="4218">
        <f t="shared" si="0"/>
        <v>100</v>
      </c>
      <c r="I15" s="2281">
        <f>SUM(I16,I17,I18,I26,I27,I28)</f>
        <v>3168035</v>
      </c>
      <c r="J15" s="2281">
        <f>SUM(J16,J17,J18,J26,J27,J28)</f>
        <v>6185830</v>
      </c>
      <c r="K15" s="2281">
        <f>SUM(K16,K17,K18,K26,K27,K28)</f>
        <v>10664978.394711081</v>
      </c>
      <c r="L15" s="4219">
        <f t="shared" si="6"/>
        <v>57.254223831154569</v>
      </c>
      <c r="M15" s="4218">
        <f>K15/C15%</f>
        <v>114.01680903787987</v>
      </c>
      <c r="N15" s="2281">
        <f>SUM(N16,N17,N18,N26,N27,N28)</f>
        <v>3294440</v>
      </c>
      <c r="O15" s="2281">
        <f>SUM(O16,O17,O18,O26,O27,O28)</f>
        <v>7370538.3947110809</v>
      </c>
      <c r="P15" s="2281">
        <f>SUM(P16,P17,P18,P26,P27,P28)</f>
        <v>11071000</v>
      </c>
      <c r="Q15" s="4218">
        <f t="shared" si="2"/>
        <v>56.831658277475974</v>
      </c>
      <c r="R15" s="4218">
        <f t="shared" si="3"/>
        <v>103.80705511311932</v>
      </c>
      <c r="S15" s="2281">
        <f>SUM(S16,S17,S18,S26,S27,S28)</f>
        <v>3701000</v>
      </c>
      <c r="T15" s="2281">
        <f>SUM(T16,T17,T18,T26,T27,T28)</f>
        <v>7370000</v>
      </c>
      <c r="U15" s="2281">
        <f>SUM(U16,U17,U18,U26,U27,U28)</f>
        <v>11373000</v>
      </c>
      <c r="V15" s="4218">
        <f t="shared" si="4"/>
        <v>55.638952551835274</v>
      </c>
      <c r="W15" s="4218">
        <f t="shared" si="5"/>
        <v>102.72784752958179</v>
      </c>
      <c r="X15" s="2281">
        <f>SUM(X16,X17,X18,X26,X27,X28)</f>
        <v>4003000</v>
      </c>
      <c r="Y15" s="4224">
        <f>SUM(Y16,Y17,Y18,Y26,Y27,Y28)</f>
        <v>7370000</v>
      </c>
    </row>
    <row r="16" spans="1:25" s="685" customFormat="1" ht="20.100000000000001" customHeight="1">
      <c r="A16" s="4216">
        <v>1</v>
      </c>
      <c r="B16" s="4217" t="s">
        <v>1729</v>
      </c>
      <c r="C16" s="2659">
        <f t="shared" ref="C16:C37" si="9">D16+E16</f>
        <v>1793642</v>
      </c>
      <c r="D16" s="2659">
        <f>'[2]Phụ lục số 2'!D16</f>
        <v>540000</v>
      </c>
      <c r="E16" s="2659">
        <f>'[2]Phụ lục số 2'!E16</f>
        <v>1253642</v>
      </c>
      <c r="F16" s="2281">
        <f>I16+J16</f>
        <v>1793642</v>
      </c>
      <c r="G16" s="4218">
        <f>F16/$F$7*100</f>
        <v>10.372852960992512</v>
      </c>
      <c r="H16" s="4218">
        <f t="shared" si="0"/>
        <v>100</v>
      </c>
      <c r="I16" s="2281">
        <f>'[2]Phụ lục số 2'!S16</f>
        <v>540000</v>
      </c>
      <c r="J16" s="2281">
        <f>'[2]Phụ lục số 2'!T16</f>
        <v>1253642</v>
      </c>
      <c r="K16" s="2281">
        <f>N16+O16</f>
        <v>2068978.6115313373</v>
      </c>
      <c r="L16" s="4219">
        <f t="shared" si="6"/>
        <v>11.107173417738148</v>
      </c>
      <c r="M16" s="4218">
        <f t="shared" si="7"/>
        <v>115.35070050385403</v>
      </c>
      <c r="N16" s="2281">
        <f>'[2]Phụ lục số 2'!AA16</f>
        <v>545710</v>
      </c>
      <c r="O16" s="2281">
        <f>'[2]Phụ lục số 2'!AB16</f>
        <v>1523268.6115313373</v>
      </c>
      <c r="P16" s="2281">
        <f>S16+T16</f>
        <v>2136000</v>
      </c>
      <c r="Q16" s="4218">
        <f t="shared" si="2"/>
        <v>10.964901280885979</v>
      </c>
      <c r="R16" s="4218">
        <f t="shared" si="3"/>
        <v>103.23934660779589</v>
      </c>
      <c r="S16" s="2281">
        <f>'[2]Phụ lục số 2'!AF16</f>
        <v>613000</v>
      </c>
      <c r="T16" s="2281">
        <f>'[2]Phụ lục số 2'!AG16</f>
        <v>1523000</v>
      </c>
      <c r="U16" s="2281">
        <f>SUM(X16,Y16)</f>
        <v>2186000</v>
      </c>
      <c r="V16" s="4218">
        <f t="shared" si="4"/>
        <v>10.694341886776744</v>
      </c>
      <c r="W16" s="4218">
        <f t="shared" si="5"/>
        <v>102.34082397003745</v>
      </c>
      <c r="X16" s="2281">
        <f>'[2]Phụ lục số 2'!AK16</f>
        <v>663000</v>
      </c>
      <c r="Y16" s="4224">
        <f>'[2]Phụ lục số 2'!AL16</f>
        <v>1523000</v>
      </c>
    </row>
    <row r="17" spans="1:25" s="685" customFormat="1" ht="20.100000000000001" customHeight="1">
      <c r="A17" s="4216">
        <v>2</v>
      </c>
      <c r="B17" s="4217" t="s">
        <v>1681</v>
      </c>
      <c r="C17" s="2659">
        <f t="shared" si="9"/>
        <v>136670</v>
      </c>
      <c r="D17" s="2281">
        <f>'[2]Phụ lục số 2'!D17</f>
        <v>62000</v>
      </c>
      <c r="E17" s="2659">
        <f>'[2]Phụ lục số 2'!E17</f>
        <v>74670</v>
      </c>
      <c r="F17" s="2281">
        <f>I17+J17</f>
        <v>136670</v>
      </c>
      <c r="G17" s="4218">
        <f t="shared" si="1"/>
        <v>0.79037947047339818</v>
      </c>
      <c r="H17" s="4218">
        <f t="shared" si="0"/>
        <v>100</v>
      </c>
      <c r="I17" s="2281">
        <f>'[2]Phụ lục số 2'!S17</f>
        <v>62000</v>
      </c>
      <c r="J17" s="2281">
        <f>'[2]Phụ lục số 2'!T17</f>
        <v>74670</v>
      </c>
      <c r="K17" s="2281">
        <f>N17+O17</f>
        <v>151965</v>
      </c>
      <c r="L17" s="4219">
        <f>K17/$K$7*100</f>
        <v>0.81581394752906178</v>
      </c>
      <c r="M17" s="4218">
        <f>K17/C17%</f>
        <v>111.1911904587693</v>
      </c>
      <c r="N17" s="2281">
        <f>'[2]Phụ lục số 2'!AA17</f>
        <v>67965</v>
      </c>
      <c r="O17" s="2281">
        <f>'[2]Phụ lục số 2'!AB17</f>
        <v>84000</v>
      </c>
      <c r="P17" s="2281">
        <f>S17+T17</f>
        <v>160000</v>
      </c>
      <c r="Q17" s="4218">
        <f t="shared" si="2"/>
        <v>0.82134091991655278</v>
      </c>
      <c r="R17" s="4218">
        <f t="shared" si="3"/>
        <v>105.28740170433981</v>
      </c>
      <c r="S17" s="2281">
        <f>'[2]Phụ lục số 2'!AF17</f>
        <v>76000</v>
      </c>
      <c r="T17" s="2281">
        <f>'[2]Phụ lục số 2'!AG17</f>
        <v>84000</v>
      </c>
      <c r="U17" s="2281">
        <f>SUM(X17,Y17)</f>
        <v>166000</v>
      </c>
      <c r="V17" s="4218">
        <f t="shared" si="4"/>
        <v>0.81210464465001808</v>
      </c>
      <c r="W17" s="4218">
        <f t="shared" si="5"/>
        <v>103.75</v>
      </c>
      <c r="X17" s="2281">
        <f>'[2]Phụ lục số 2'!AK17</f>
        <v>82000</v>
      </c>
      <c r="Y17" s="4224">
        <f>'[2]Phụ lục số 2'!AL17</f>
        <v>84000</v>
      </c>
    </row>
    <row r="18" spans="1:25" s="685" customFormat="1" ht="20.100000000000001" customHeight="1">
      <c r="A18" s="4216">
        <v>3</v>
      </c>
      <c r="B18" s="4217" t="s">
        <v>1682</v>
      </c>
      <c r="C18" s="2659">
        <f>SUM(C19:C25)</f>
        <v>5659998</v>
      </c>
      <c r="D18" s="2659">
        <f>SUM(D19:D25)</f>
        <v>1951035</v>
      </c>
      <c r="E18" s="2659">
        <f>SUM(E19:E25)</f>
        <v>3708963</v>
      </c>
      <c r="F18" s="2281">
        <f>SUM(F19:F25)</f>
        <v>5659998</v>
      </c>
      <c r="G18" s="4218">
        <f t="shared" si="1"/>
        <v>32.732466687060018</v>
      </c>
      <c r="H18" s="4218">
        <f t="shared" si="0"/>
        <v>100</v>
      </c>
      <c r="I18" s="2281">
        <f>SUM(I19:I25)</f>
        <v>1951035</v>
      </c>
      <c r="J18" s="2281">
        <f>SUM(J19:J25)</f>
        <v>3708963</v>
      </c>
      <c r="K18" s="2281">
        <f>SUM(K19:K25)</f>
        <v>6454249.7831797441</v>
      </c>
      <c r="L18" s="4219">
        <f t="shared" si="6"/>
        <v>34.649208659589107</v>
      </c>
      <c r="M18" s="4218">
        <f t="shared" si="7"/>
        <v>114.03272197586897</v>
      </c>
      <c r="N18" s="2281">
        <f>SUM(N19:N25)</f>
        <v>1996980</v>
      </c>
      <c r="O18" s="2281">
        <f>SUM(O19:O25)</f>
        <v>4457269.7831797441</v>
      </c>
      <c r="P18" s="2281">
        <f>SUM(P19:P25)</f>
        <v>6701000</v>
      </c>
      <c r="Q18" s="4218">
        <f t="shared" si="2"/>
        <v>34.398784402255124</v>
      </c>
      <c r="R18" s="4218">
        <f t="shared" si="3"/>
        <v>103.82306581104601</v>
      </c>
      <c r="S18" s="2281">
        <f>SUM(S19:S25)</f>
        <v>2244000</v>
      </c>
      <c r="T18" s="2281">
        <f>SUM(T19:T25)</f>
        <v>4457000</v>
      </c>
      <c r="U18" s="2281">
        <f>SUM(U19:U25)</f>
        <v>6884000</v>
      </c>
      <c r="V18" s="4218">
        <f t="shared" si="4"/>
        <v>33.677881769703163</v>
      </c>
      <c r="W18" s="4218">
        <f t="shared" si="5"/>
        <v>102.7309356812416</v>
      </c>
      <c r="X18" s="2281">
        <f>SUM(X19:X25)</f>
        <v>2427000</v>
      </c>
      <c r="Y18" s="4224">
        <f>SUM(Y19:Y25)</f>
        <v>4457000</v>
      </c>
    </row>
    <row r="19" spans="1:25" ht="20.100000000000001" customHeight="1">
      <c r="A19" s="4220" t="s">
        <v>99</v>
      </c>
      <c r="B19" s="4135" t="s">
        <v>739</v>
      </c>
      <c r="C19" s="44">
        <f t="shared" si="9"/>
        <v>31000</v>
      </c>
      <c r="D19" s="44">
        <f>'[2]Phụ lục số 2'!D19</f>
        <v>31000</v>
      </c>
      <c r="E19" s="44">
        <f>'[2]Phụ lục số 2'!E19</f>
        <v>0</v>
      </c>
      <c r="F19" s="2275">
        <f>SUM(I19,J19)</f>
        <v>31000</v>
      </c>
      <c r="G19" s="4221">
        <f t="shared" si="1"/>
        <v>0.17927682435556699</v>
      </c>
      <c r="H19" s="4221">
        <f t="shared" si="0"/>
        <v>100</v>
      </c>
      <c r="I19" s="2275">
        <f>'[2]Phụ lục số 2'!S19</f>
        <v>31000</v>
      </c>
      <c r="J19" s="2275">
        <f>'[2]Phụ lục số 2'!T19</f>
        <v>0</v>
      </c>
      <c r="K19" s="2275">
        <f t="shared" ref="K19:K34" si="10">N19+O19</f>
        <v>31218</v>
      </c>
      <c r="L19" s="4222">
        <f t="shared" si="6"/>
        <v>0.16759174687567699</v>
      </c>
      <c r="M19" s="4221">
        <f>K19/C19%</f>
        <v>100.70322580645161</v>
      </c>
      <c r="N19" s="2275">
        <f>'[2]Phụ lục số 2'!AA19</f>
        <v>31218</v>
      </c>
      <c r="O19" s="2275">
        <f>'[2]Phụ lục số 2'!AB19</f>
        <v>0</v>
      </c>
      <c r="P19" s="2275">
        <f>S19+T19</f>
        <v>35000</v>
      </c>
      <c r="Q19" s="4221">
        <f t="shared" si="2"/>
        <v>0.17966832623174592</v>
      </c>
      <c r="R19" s="4221">
        <f t="shared" si="3"/>
        <v>112.11480556089435</v>
      </c>
      <c r="S19" s="2275">
        <f>'[2]Phụ lục số 2'!AF19</f>
        <v>35000</v>
      </c>
      <c r="T19" s="2275">
        <f>'[2]Phụ lục số 2'!AG19</f>
        <v>0</v>
      </c>
      <c r="U19" s="2275">
        <f>X19+Y19</f>
        <v>38000</v>
      </c>
      <c r="V19" s="4221">
        <f t="shared" si="4"/>
        <v>0.1859034728716909</v>
      </c>
      <c r="W19" s="4221">
        <f t="shared" si="5"/>
        <v>108.57142857142857</v>
      </c>
      <c r="X19" s="2275">
        <f>'[2]Phụ lục số 2'!AK19</f>
        <v>38000</v>
      </c>
      <c r="Y19" s="4223">
        <f>'[2]Phụ lục số 2'!AL19</f>
        <v>0</v>
      </c>
    </row>
    <row r="20" spans="1:25" ht="20.100000000000001" customHeight="1">
      <c r="A20" s="4220" t="s">
        <v>101</v>
      </c>
      <c r="B20" s="4135" t="s">
        <v>1684</v>
      </c>
      <c r="C20" s="44">
        <f t="shared" si="9"/>
        <v>4179745</v>
      </c>
      <c r="D20" s="44">
        <f>'[2]Phụ lục số 2'!D20</f>
        <v>1017035</v>
      </c>
      <c r="E20" s="44">
        <f>'[2]Phụ lục số 2'!E20</f>
        <v>3162710</v>
      </c>
      <c r="F20" s="2275">
        <f>SUM(I20,J20)</f>
        <v>4179745</v>
      </c>
      <c r="G20" s="4221">
        <f t="shared" si="1"/>
        <v>24.171980974711595</v>
      </c>
      <c r="H20" s="4221">
        <f t="shared" si="0"/>
        <v>100</v>
      </c>
      <c r="I20" s="2275">
        <f>'[2]Phụ lục số 2'!S20</f>
        <v>1017035</v>
      </c>
      <c r="J20" s="2275">
        <f>'[2]Phụ lục số 2'!T20</f>
        <v>3162710</v>
      </c>
      <c r="K20" s="4225">
        <f t="shared" si="10"/>
        <v>4797945.7831797441</v>
      </c>
      <c r="L20" s="4222">
        <f>K20/$K$7*100</f>
        <v>25.757451317120939</v>
      </c>
      <c r="M20" s="4221">
        <f t="shared" si="7"/>
        <v>114.79039470541252</v>
      </c>
      <c r="N20" s="2275">
        <f>'[2]Phụ lục số 2'!AA20</f>
        <v>956676</v>
      </c>
      <c r="O20" s="2275">
        <f>'[2]Phụ lục số 2'!AB20</f>
        <v>3841269.7831797441</v>
      </c>
      <c r="P20" s="2275">
        <f>S20+T20</f>
        <v>4916000</v>
      </c>
      <c r="Q20" s="4221">
        <f t="shared" si="2"/>
        <v>25.235699764436081</v>
      </c>
      <c r="R20" s="4221">
        <f t="shared" si="3"/>
        <v>102.46051585730962</v>
      </c>
      <c r="S20" s="2275">
        <f>'[2]Phụ lục số 2'!AF20</f>
        <v>1075000</v>
      </c>
      <c r="T20" s="2275">
        <f>'[2]Phụ lục số 2'!AG20</f>
        <v>3841000</v>
      </c>
      <c r="U20" s="2275">
        <f>X20+Y20</f>
        <v>5004000</v>
      </c>
      <c r="V20" s="4221">
        <f t="shared" si="4"/>
        <v>24.480552059208978</v>
      </c>
      <c r="W20" s="4221">
        <f t="shared" si="5"/>
        <v>101.7900732302685</v>
      </c>
      <c r="X20" s="2275">
        <f>'[2]Phụ lục số 2'!AK20</f>
        <v>1163000</v>
      </c>
      <c r="Y20" s="4223">
        <f>'[2]Phụ lục số 2'!AL20</f>
        <v>3841000</v>
      </c>
    </row>
    <row r="21" spans="1:25" ht="20.100000000000001" customHeight="1">
      <c r="A21" s="4220" t="s">
        <v>147</v>
      </c>
      <c r="B21" s="44" t="s">
        <v>1685</v>
      </c>
      <c r="C21" s="44">
        <f t="shared" si="9"/>
        <v>750000</v>
      </c>
      <c r="D21" s="44">
        <f>'[2]Phụ lục số 2'!D21</f>
        <v>750000</v>
      </c>
      <c r="E21" s="44">
        <f>'[2]Phụ lục số 2'!E21</f>
        <v>0</v>
      </c>
      <c r="F21" s="2275">
        <f>SUM(I21,J21)</f>
        <v>750000</v>
      </c>
      <c r="G21" s="4221">
        <f t="shared" si="1"/>
        <v>4.3373425247314596</v>
      </c>
      <c r="H21" s="4221">
        <f t="shared" si="0"/>
        <v>100</v>
      </c>
      <c r="I21" s="2275">
        <f>'[2]Phụ lục số 2'!S21</f>
        <v>750000</v>
      </c>
      <c r="J21" s="2275">
        <f>'[2]Phụ lục số 2'!T21</f>
        <v>0</v>
      </c>
      <c r="K21" s="2275">
        <f t="shared" si="10"/>
        <v>828538</v>
      </c>
      <c r="L21" s="4222">
        <f t="shared" si="6"/>
        <v>4.4479508864398634</v>
      </c>
      <c r="M21" s="4221">
        <f t="shared" si="7"/>
        <v>110.47173333333333</v>
      </c>
      <c r="N21" s="2275">
        <f>'[2]Phụ lục số 2'!AA21</f>
        <v>828538</v>
      </c>
      <c r="O21" s="2275">
        <f>'[2]Phụ lục số 2'!AB21</f>
        <v>0</v>
      </c>
      <c r="P21" s="2275">
        <f>S21+T21</f>
        <v>931000</v>
      </c>
      <c r="Q21" s="4221">
        <f t="shared" si="2"/>
        <v>4.7791774777644411</v>
      </c>
      <c r="R21" s="4221">
        <f>P21/K21%</f>
        <v>112.36660237671659</v>
      </c>
      <c r="S21" s="2275">
        <f>'[2]Phụ lục số 2'!AF21</f>
        <v>931000</v>
      </c>
      <c r="T21" s="2275">
        <f>'[2]Phụ lục số 2'!AG21</f>
        <v>0</v>
      </c>
      <c r="U21" s="2275">
        <f>X21+Y21</f>
        <v>1007000</v>
      </c>
      <c r="V21" s="4221">
        <f t="shared" si="4"/>
        <v>4.9264420310998087</v>
      </c>
      <c r="W21" s="4221">
        <f t="shared" si="5"/>
        <v>108.16326530612245</v>
      </c>
      <c r="X21" s="2275">
        <f>'[2]Phụ lục số 2'!AK21</f>
        <v>1007000</v>
      </c>
      <c r="Y21" s="4223">
        <f>'[2]Phụ lục số 2'!AL21</f>
        <v>0</v>
      </c>
    </row>
    <row r="22" spans="1:25" s="685" customFormat="1" ht="20.100000000000001" customHeight="1">
      <c r="A22" s="4220" t="s">
        <v>148</v>
      </c>
      <c r="B22" s="44" t="s">
        <v>1686</v>
      </c>
      <c r="C22" s="44">
        <f t="shared" si="9"/>
        <v>78978</v>
      </c>
      <c r="D22" s="44">
        <f>'[2]Phụ lục số 2'!D22</f>
        <v>40000</v>
      </c>
      <c r="E22" s="44">
        <f>'[2]Phụ lục số 2'!E22</f>
        <v>38978</v>
      </c>
      <c r="F22" s="2275">
        <f>SUM(I22,J22)</f>
        <v>78978</v>
      </c>
      <c r="G22" s="4221">
        <f t="shared" si="1"/>
        <v>0.45673951722432166</v>
      </c>
      <c r="H22" s="4221">
        <f t="shared" si="0"/>
        <v>100</v>
      </c>
      <c r="I22" s="2275">
        <f>'[2]Phụ lục số 2'!S22</f>
        <v>40000</v>
      </c>
      <c r="J22" s="2275">
        <f>'[2]Phụ lục số 2'!T22</f>
        <v>38978</v>
      </c>
      <c r="K22" s="2275">
        <f t="shared" si="10"/>
        <v>91888</v>
      </c>
      <c r="L22" s="4222">
        <f t="shared" si="6"/>
        <v>0.49329458763893286</v>
      </c>
      <c r="M22" s="4221">
        <f t="shared" si="7"/>
        <v>116.34632429284105</v>
      </c>
      <c r="N22" s="2275">
        <f>'[2]Phụ lục số 2'!AA22</f>
        <v>47888</v>
      </c>
      <c r="O22" s="2275">
        <f>'[2]Phụ lục số 2'!AB22</f>
        <v>44000</v>
      </c>
      <c r="P22" s="2275">
        <f t="shared" ref="P22:P34" si="11">S22+T22</f>
        <v>98000</v>
      </c>
      <c r="Q22" s="4221">
        <f t="shared" si="2"/>
        <v>0.50307131344888856</v>
      </c>
      <c r="R22" s="4221">
        <f t="shared" si="3"/>
        <v>106.65157583144698</v>
      </c>
      <c r="S22" s="2275">
        <f>'[2]Phụ lục số 2'!AF22</f>
        <v>54000</v>
      </c>
      <c r="T22" s="2275">
        <f>'[2]Phụ lục số 2'!AG22</f>
        <v>44000</v>
      </c>
      <c r="U22" s="2275">
        <f t="shared" ref="U22:U34" si="12">X22+Y22</f>
        <v>102000</v>
      </c>
      <c r="V22" s="4221">
        <f t="shared" si="4"/>
        <v>0.49900405876085452</v>
      </c>
      <c r="W22" s="4221">
        <f t="shared" si="5"/>
        <v>104.08163265306122</v>
      </c>
      <c r="X22" s="2275">
        <f>'[2]Phụ lục số 2'!AK22</f>
        <v>58000</v>
      </c>
      <c r="Y22" s="4223">
        <f>'[2]Phụ lục số 2'!AL22</f>
        <v>44000</v>
      </c>
    </row>
    <row r="23" spans="1:25" s="685" customFormat="1" ht="20.100000000000001" customHeight="1">
      <c r="A23" s="4220" t="s">
        <v>157</v>
      </c>
      <c r="B23" s="44" t="s">
        <v>1687</v>
      </c>
      <c r="C23" s="44">
        <f t="shared" si="9"/>
        <v>42757</v>
      </c>
      <c r="D23" s="44">
        <f>'[2]Phụ lục số 2'!D23</f>
        <v>14000</v>
      </c>
      <c r="E23" s="44">
        <f>'[2]Phụ lục số 2'!E23</f>
        <v>28757</v>
      </c>
      <c r="F23" s="2275">
        <f t="shared" ref="F23:F29" si="13">SUM(I23,J23)</f>
        <v>42757</v>
      </c>
      <c r="G23" s="4221">
        <f t="shared" si="1"/>
        <v>0.24726900577325736</v>
      </c>
      <c r="H23" s="4221">
        <f t="shared" si="0"/>
        <v>100</v>
      </c>
      <c r="I23" s="2275">
        <f>'[2]Phụ lục số 2'!S23</f>
        <v>14000</v>
      </c>
      <c r="J23" s="2275">
        <f>'[2]Phụ lục số 2'!T23</f>
        <v>28757</v>
      </c>
      <c r="K23" s="2275">
        <f t="shared" si="10"/>
        <v>50073</v>
      </c>
      <c r="L23" s="4222">
        <f t="shared" si="6"/>
        <v>0.26881355440149185</v>
      </c>
      <c r="M23" s="4221">
        <f t="shared" si="7"/>
        <v>117.11064854877564</v>
      </c>
      <c r="N23" s="2275">
        <f>'[2]Phụ lục số 2'!AA23</f>
        <v>18073</v>
      </c>
      <c r="O23" s="2275">
        <f>'[2]Phụ lục số 2'!AB23</f>
        <v>32000</v>
      </c>
      <c r="P23" s="2275">
        <f t="shared" si="11"/>
        <v>52000</v>
      </c>
      <c r="Q23" s="4221">
        <f t="shared" si="2"/>
        <v>0.26693579897287961</v>
      </c>
      <c r="R23" s="4221">
        <f t="shared" si="3"/>
        <v>103.84838136320971</v>
      </c>
      <c r="S23" s="2275">
        <f>'[2]Phụ lục số 2'!AF23</f>
        <v>20000</v>
      </c>
      <c r="T23" s="2275">
        <f>'[2]Phụ lục số 2'!AG23</f>
        <v>32000</v>
      </c>
      <c r="U23" s="2275">
        <f t="shared" si="12"/>
        <v>54000</v>
      </c>
      <c r="V23" s="4221">
        <f t="shared" si="4"/>
        <v>0.26417861934398179</v>
      </c>
      <c r="W23" s="4221">
        <f t="shared" si="5"/>
        <v>103.84615384615384</v>
      </c>
      <c r="X23" s="2275">
        <f>'[2]Phụ lục số 2'!AK23</f>
        <v>22000</v>
      </c>
      <c r="Y23" s="4223">
        <f>'[2]Phụ lục số 2'!AL23</f>
        <v>32000</v>
      </c>
    </row>
    <row r="24" spans="1:25">
      <c r="A24" s="4220" t="s">
        <v>1688</v>
      </c>
      <c r="B24" s="44" t="s">
        <v>2414</v>
      </c>
      <c r="C24" s="44">
        <f t="shared" si="9"/>
        <v>38378</v>
      </c>
      <c r="D24" s="44">
        <f>'[2]Phụ lục số 2'!D24</f>
        <v>24000</v>
      </c>
      <c r="E24" s="44">
        <f>'[2]Phụ lục số 2'!E24</f>
        <v>14378</v>
      </c>
      <c r="F24" s="2275">
        <f t="shared" si="13"/>
        <v>38378</v>
      </c>
      <c r="G24" s="4221">
        <f t="shared" si="1"/>
        <v>0.22194470855219198</v>
      </c>
      <c r="H24" s="4221">
        <f t="shared" si="0"/>
        <v>100</v>
      </c>
      <c r="I24" s="2275">
        <f>'[2]Phụ lục số 2'!S24</f>
        <v>24000</v>
      </c>
      <c r="J24" s="2275">
        <f>'[2]Phụ lục số 2'!T24</f>
        <v>14378</v>
      </c>
      <c r="K24" s="2275">
        <f t="shared" si="10"/>
        <v>53202</v>
      </c>
      <c r="L24" s="4222">
        <f t="shared" si="6"/>
        <v>0.28561138180792384</v>
      </c>
      <c r="M24" s="4221">
        <f t="shared" si="7"/>
        <v>138.6262963155975</v>
      </c>
      <c r="N24" s="2275">
        <f>'[2]Phụ lục số 2'!AA24</f>
        <v>37202</v>
      </c>
      <c r="O24" s="2275">
        <f>'[2]Phụ lục số 2'!AB24</f>
        <v>16000</v>
      </c>
      <c r="P24" s="2275">
        <f t="shared" si="11"/>
        <v>58000</v>
      </c>
      <c r="Q24" s="4221">
        <f t="shared" si="2"/>
        <v>0.29773608346975033</v>
      </c>
      <c r="R24" s="4221">
        <f t="shared" si="3"/>
        <v>109.01845795270854</v>
      </c>
      <c r="S24" s="2275">
        <f>'[2]Phụ lục số 2'!AF24</f>
        <v>42000</v>
      </c>
      <c r="T24" s="2275">
        <f>'[2]Phụ lục số 2'!AG24</f>
        <v>16000</v>
      </c>
      <c r="U24" s="2275">
        <f t="shared" si="12"/>
        <v>61000</v>
      </c>
      <c r="V24" s="4221">
        <f t="shared" si="4"/>
        <v>0.29842399592560903</v>
      </c>
      <c r="W24" s="4221">
        <f t="shared" si="5"/>
        <v>105.17241379310344</v>
      </c>
      <c r="X24" s="2275">
        <f>'[2]Phụ lục số 2'!AK24</f>
        <v>45000</v>
      </c>
      <c r="Y24" s="4223">
        <f>'[2]Phụ lục số 2'!AL24</f>
        <v>16000</v>
      </c>
    </row>
    <row r="25" spans="1:25">
      <c r="A25" s="4220" t="s">
        <v>159</v>
      </c>
      <c r="B25" s="44" t="s">
        <v>1730</v>
      </c>
      <c r="C25" s="44">
        <f t="shared" si="9"/>
        <v>539140</v>
      </c>
      <c r="D25" s="44">
        <f>'[2]Phụ lục số 2'!D25</f>
        <v>75000</v>
      </c>
      <c r="E25" s="44">
        <f>'[2]Phụ lục số 2'!E25</f>
        <v>464140</v>
      </c>
      <c r="F25" s="2275">
        <f t="shared" si="13"/>
        <v>539140</v>
      </c>
      <c r="G25" s="4221">
        <f t="shared" si="1"/>
        <v>3.1179131317116258</v>
      </c>
      <c r="H25" s="4221">
        <f t="shared" si="0"/>
        <v>100</v>
      </c>
      <c r="I25" s="2275">
        <f>'[2]Phụ lục số 2'!S25</f>
        <v>75000</v>
      </c>
      <c r="J25" s="2275">
        <f>'[2]Phụ lục số 2'!T25</f>
        <v>464140</v>
      </c>
      <c r="K25" s="2275">
        <f t="shared" si="10"/>
        <v>601385</v>
      </c>
      <c r="L25" s="4222">
        <f t="shared" si="6"/>
        <v>3.2284951853042796</v>
      </c>
      <c r="M25" s="4221">
        <f t="shared" si="7"/>
        <v>111.54523871350671</v>
      </c>
      <c r="N25" s="2275">
        <f>'[2]Phụ lục số 2'!AA25</f>
        <v>77385</v>
      </c>
      <c r="O25" s="2275">
        <f>'[2]Phụ lục số 2'!AB25</f>
        <v>524000</v>
      </c>
      <c r="P25" s="2275">
        <f t="shared" si="11"/>
        <v>611000</v>
      </c>
      <c r="Q25" s="4221">
        <f t="shared" si="2"/>
        <v>3.1364956379313358</v>
      </c>
      <c r="R25" s="4221">
        <f t="shared" si="3"/>
        <v>101.59880941493385</v>
      </c>
      <c r="S25" s="2275">
        <f>'[2]Phụ lục số 2'!AF25</f>
        <v>87000</v>
      </c>
      <c r="T25" s="2275">
        <f>'[2]Phụ lục số 2'!AG25</f>
        <v>524000</v>
      </c>
      <c r="U25" s="2275">
        <f t="shared" si="12"/>
        <v>618000</v>
      </c>
      <c r="V25" s="4221">
        <f t="shared" si="4"/>
        <v>3.0233775324922361</v>
      </c>
      <c r="W25" s="4221">
        <f t="shared" si="5"/>
        <v>101.1456628477905</v>
      </c>
      <c r="X25" s="2275">
        <f>'[2]Phụ lục số 2'!AK25</f>
        <v>94000</v>
      </c>
      <c r="Y25" s="4223">
        <f>'[2]Phụ lục số 2'!AL25</f>
        <v>524000</v>
      </c>
    </row>
    <row r="26" spans="1:25" s="685" customFormat="1">
      <c r="A26" s="4216">
        <v>4</v>
      </c>
      <c r="B26" s="2659" t="s">
        <v>1690</v>
      </c>
      <c r="C26" s="2659">
        <f t="shared" si="9"/>
        <v>1388540</v>
      </c>
      <c r="D26" s="2659">
        <f>'[2]Phụ lục số 2'!D26</f>
        <v>455000</v>
      </c>
      <c r="E26" s="44">
        <f>'[2]Phụ lục số 2'!E26</f>
        <v>933540</v>
      </c>
      <c r="F26" s="2281">
        <f t="shared" si="13"/>
        <v>1388540</v>
      </c>
      <c r="G26" s="4218">
        <f t="shared" si="1"/>
        <v>8.0300981190541609</v>
      </c>
      <c r="H26" s="4218">
        <f t="shared" si="0"/>
        <v>100</v>
      </c>
      <c r="I26" s="2281">
        <f>'[2]Phụ lục số 2'!S26</f>
        <v>455000</v>
      </c>
      <c r="J26" s="2281">
        <f>'[2]Phụ lục số 2'!T26</f>
        <v>933540</v>
      </c>
      <c r="K26" s="2281">
        <f t="shared" si="10"/>
        <v>1570458</v>
      </c>
      <c r="L26" s="4219">
        <f t="shared" si="6"/>
        <v>8.4308988280761703</v>
      </c>
      <c r="M26" s="4218">
        <f t="shared" si="7"/>
        <v>113.10138706843159</v>
      </c>
      <c r="N26" s="2281">
        <f>'[2]Phụ lục số 2'!AA26</f>
        <v>515458</v>
      </c>
      <c r="O26" s="2281">
        <f>'[2]Phụ lục số 2'!AB26</f>
        <v>1055000</v>
      </c>
      <c r="P26" s="2281">
        <f t="shared" si="11"/>
        <v>1634000</v>
      </c>
      <c r="Q26" s="4218">
        <f t="shared" si="2"/>
        <v>8.3879441446477951</v>
      </c>
      <c r="R26" s="4218">
        <f t="shared" si="3"/>
        <v>104.04608082482945</v>
      </c>
      <c r="S26" s="2281">
        <f>'[2]Phụ lục số 2'!AF26</f>
        <v>579000</v>
      </c>
      <c r="T26" s="2281">
        <f>'[2]Phụ lục số 2'!AG26</f>
        <v>1055000</v>
      </c>
      <c r="U26" s="2281">
        <f t="shared" si="12"/>
        <v>1681000</v>
      </c>
      <c r="V26" s="4218">
        <f t="shared" si="4"/>
        <v>8.2237825762450623</v>
      </c>
      <c r="W26" s="4218">
        <f t="shared" si="5"/>
        <v>102.87637698898409</v>
      </c>
      <c r="X26" s="2281">
        <f>'[2]Phụ lục số 2'!AK26</f>
        <v>626000</v>
      </c>
      <c r="Y26" s="4224">
        <f>'[2]Phụ lục số 2'!AL26</f>
        <v>1055000</v>
      </c>
    </row>
    <row r="27" spans="1:25" s="685" customFormat="1">
      <c r="A27" s="4216">
        <v>5</v>
      </c>
      <c r="B27" s="2659" t="s">
        <v>1691</v>
      </c>
      <c r="C27" s="2659">
        <f t="shared" si="9"/>
        <v>326504</v>
      </c>
      <c r="D27" s="2659">
        <f>'[2]Phụ lục số 2'!D27</f>
        <v>140000</v>
      </c>
      <c r="E27" s="44">
        <f>'[2]Phụ lục số 2'!E27</f>
        <v>186504</v>
      </c>
      <c r="F27" s="2281">
        <f>I27+J27</f>
        <v>326504</v>
      </c>
      <c r="G27" s="4218">
        <f t="shared" si="1"/>
        <v>1.8882129115932276</v>
      </c>
      <c r="H27" s="4218">
        <f t="shared" si="0"/>
        <v>100</v>
      </c>
      <c r="I27" s="2281">
        <f>'[2]Phụ lục số 2'!S27</f>
        <v>140000</v>
      </c>
      <c r="J27" s="2281">
        <f>'[2]Phụ lục số 2'!T27</f>
        <v>186504</v>
      </c>
      <c r="K27" s="2281">
        <f t="shared" si="10"/>
        <v>367327</v>
      </c>
      <c r="L27" s="4219">
        <f t="shared" si="6"/>
        <v>1.9719704530912228</v>
      </c>
      <c r="M27" s="4218">
        <f t="shared" si="7"/>
        <v>112.50306274961409</v>
      </c>
      <c r="N27" s="2281">
        <f>'[2]Phụ lục số 2'!AA27</f>
        <v>148327</v>
      </c>
      <c r="O27" s="2281">
        <f>'[2]Phụ lục số 2'!AB27</f>
        <v>219000</v>
      </c>
      <c r="P27" s="2281">
        <f t="shared" si="11"/>
        <v>386000</v>
      </c>
      <c r="Q27" s="4218">
        <f t="shared" si="2"/>
        <v>1.9814849692986833</v>
      </c>
      <c r="R27" s="4218">
        <f t="shared" si="3"/>
        <v>105.08348147563343</v>
      </c>
      <c r="S27" s="2281">
        <f>'[2]Phụ lục số 2'!AF27</f>
        <v>167000</v>
      </c>
      <c r="T27" s="2281">
        <f>'[2]Phụ lục số 2'!AG27</f>
        <v>219000</v>
      </c>
      <c r="U27" s="2281">
        <f t="shared" si="12"/>
        <v>400000</v>
      </c>
      <c r="V27" s="4218">
        <f t="shared" si="4"/>
        <v>1.9568786618072727</v>
      </c>
      <c r="W27" s="4218">
        <f t="shared" si="5"/>
        <v>103.62694300518135</v>
      </c>
      <c r="X27" s="2281">
        <f>'[2]Phụ lục số 2'!AK27</f>
        <v>181000</v>
      </c>
      <c r="Y27" s="4224">
        <f>'[2]Phụ lục số 2'!AL27</f>
        <v>219000</v>
      </c>
    </row>
    <row r="28" spans="1:25" s="685" customFormat="1">
      <c r="A28" s="4216">
        <v>6</v>
      </c>
      <c r="B28" s="2659" t="s">
        <v>721</v>
      </c>
      <c r="C28" s="2659">
        <f t="shared" si="9"/>
        <v>48511</v>
      </c>
      <c r="D28" s="2659">
        <f>'[2]Phụ lục số 2'!D28</f>
        <v>20000</v>
      </c>
      <c r="E28" s="44">
        <f>'[2]Phụ lục số 2'!E28</f>
        <v>28511</v>
      </c>
      <c r="F28" s="2281">
        <f t="shared" si="13"/>
        <v>48511</v>
      </c>
      <c r="G28" s="4218">
        <f t="shared" si="1"/>
        <v>0.28054509762299712</v>
      </c>
      <c r="H28" s="4218">
        <f t="shared" si="0"/>
        <v>100</v>
      </c>
      <c r="I28" s="2281">
        <f>'[2]Phụ lục số 2'!S28</f>
        <v>20000</v>
      </c>
      <c r="J28" s="2281">
        <f>'[2]Phụ lục số 2'!T28</f>
        <v>28511</v>
      </c>
      <c r="K28" s="2281">
        <f t="shared" si="10"/>
        <v>52000</v>
      </c>
      <c r="L28" s="4219">
        <f t="shared" si="6"/>
        <v>0.27915852513086048</v>
      </c>
      <c r="M28" s="4218">
        <f t="shared" si="7"/>
        <v>107.19218321617777</v>
      </c>
      <c r="N28" s="2281">
        <f>'[2]Phụ lục số 2'!AA28</f>
        <v>20000</v>
      </c>
      <c r="O28" s="2281">
        <f>'[2]Phụ lục số 2'!AB28</f>
        <v>32000</v>
      </c>
      <c r="P28" s="2281">
        <f t="shared" si="11"/>
        <v>54000</v>
      </c>
      <c r="Q28" s="4218">
        <f t="shared" si="2"/>
        <v>0.2772025604718365</v>
      </c>
      <c r="R28" s="4218">
        <f t="shared" si="3"/>
        <v>103.84615384615384</v>
      </c>
      <c r="S28" s="2281">
        <f>'[2]Phụ lục số 2'!AF28</f>
        <v>22000</v>
      </c>
      <c r="T28" s="2281">
        <f>'[2]Phụ lục số 2'!AG28</f>
        <v>32000</v>
      </c>
      <c r="U28" s="2281">
        <f t="shared" si="12"/>
        <v>56000</v>
      </c>
      <c r="V28" s="4218">
        <f t="shared" si="4"/>
        <v>0.27396301265301815</v>
      </c>
      <c r="W28" s="4218">
        <f t="shared" si="5"/>
        <v>103.70370370370371</v>
      </c>
      <c r="X28" s="2281">
        <f>'[2]Phụ lục số 2'!AK28</f>
        <v>24000</v>
      </c>
      <c r="Y28" s="4224">
        <f>'[2]Phụ lục số 2'!AL28</f>
        <v>32000</v>
      </c>
    </row>
    <row r="29" spans="1:25" s="685" customFormat="1">
      <c r="A29" s="4226" t="s">
        <v>182</v>
      </c>
      <c r="B29" s="2659" t="s">
        <v>742</v>
      </c>
      <c r="C29" s="2659">
        <f t="shared" si="9"/>
        <v>2000</v>
      </c>
      <c r="D29" s="2659">
        <f>'[2]Phụ lục số 2'!D29</f>
        <v>2000</v>
      </c>
      <c r="E29" s="44">
        <f>'[2]Phụ lục số 2'!E29</f>
        <v>0</v>
      </c>
      <c r="F29" s="2281">
        <f t="shared" si="13"/>
        <v>2000</v>
      </c>
      <c r="G29" s="4218">
        <f t="shared" si="1"/>
        <v>1.1566246732617226E-2</v>
      </c>
      <c r="H29" s="4218">
        <f t="shared" si="0"/>
        <v>100</v>
      </c>
      <c r="I29" s="2281">
        <f>'[2]Phụ lục số 2'!S29</f>
        <v>2000</v>
      </c>
      <c r="J29" s="2281">
        <f>'[2]Phụ lục số 2'!T29</f>
        <v>0</v>
      </c>
      <c r="K29" s="2281">
        <f>+N29</f>
        <v>2000</v>
      </c>
      <c r="L29" s="4227">
        <f t="shared" si="6"/>
        <v>1.0736866351186942E-2</v>
      </c>
      <c r="M29" s="4218">
        <f t="shared" si="7"/>
        <v>100</v>
      </c>
      <c r="N29" s="2281">
        <f>'[2]Phụ lục số 2'!AA29</f>
        <v>2000</v>
      </c>
      <c r="O29" s="2281">
        <f>'[2]Phụ lục số 2'!AB29</f>
        <v>0</v>
      </c>
      <c r="P29" s="2281">
        <f t="shared" si="11"/>
        <v>2000</v>
      </c>
      <c r="Q29" s="4218">
        <f t="shared" si="2"/>
        <v>1.0266761498956908E-2</v>
      </c>
      <c r="R29" s="4218">
        <f t="shared" si="3"/>
        <v>100</v>
      </c>
      <c r="S29" s="2281">
        <f>'[2]Phụ lục số 2'!AF29</f>
        <v>2000</v>
      </c>
      <c r="T29" s="2281">
        <f>'[2]Phụ lục số 2'!AG29</f>
        <v>0</v>
      </c>
      <c r="U29" s="2281">
        <f t="shared" si="12"/>
        <v>2000</v>
      </c>
      <c r="V29" s="4218">
        <f t="shared" si="4"/>
        <v>9.7843933090363631E-3</v>
      </c>
      <c r="W29" s="4218">
        <f t="shared" si="5"/>
        <v>100</v>
      </c>
      <c r="X29" s="2281">
        <f>'[2]Phụ lục số 2'!AK29</f>
        <v>2000</v>
      </c>
      <c r="Y29" s="4224">
        <f>'[2]Phụ lục số 2'!AL29</f>
        <v>0</v>
      </c>
    </row>
    <row r="30" spans="1:25" s="685" customFormat="1" ht="17.399999999999999">
      <c r="A30" s="4226" t="s">
        <v>215</v>
      </c>
      <c r="B30" s="2659" t="s">
        <v>175</v>
      </c>
      <c r="C30" s="2659">
        <f t="shared" si="9"/>
        <v>274623</v>
      </c>
      <c r="D30" s="2659">
        <f>'[2]Phụ lục số 2'!D30</f>
        <v>135382</v>
      </c>
      <c r="E30" s="2659">
        <f>'[2]Phụ lục số 2'!E30</f>
        <v>139241</v>
      </c>
      <c r="F30" s="2281">
        <f>I30+J30</f>
        <v>274623</v>
      </c>
      <c r="G30" s="4218">
        <f t="shared" si="1"/>
        <v>1.5881786882257702</v>
      </c>
      <c r="H30" s="4218">
        <f t="shared" si="0"/>
        <v>100</v>
      </c>
      <c r="I30" s="2281">
        <f>'[2]Phụ lục số 2'!S30</f>
        <v>135382</v>
      </c>
      <c r="J30" s="2281">
        <f>'[2]Phụ lục số 2'!T30</f>
        <v>139241</v>
      </c>
      <c r="K30" s="2281">
        <f t="shared" si="10"/>
        <v>327868.91231904214</v>
      </c>
      <c r="L30" s="4219">
        <f t="shared" si="6"/>
        <v>1.7601423461392924</v>
      </c>
      <c r="M30" s="4218">
        <f t="shared" si="7"/>
        <v>119.38873012058063</v>
      </c>
      <c r="N30" s="2281">
        <f>'[2]Phụ lục số 2'!AA30</f>
        <v>152264.36799999999</v>
      </c>
      <c r="O30" s="2281">
        <f>'[2]Phụ lục số 2'!AB30</f>
        <v>175604.54431904212</v>
      </c>
      <c r="P30" s="2281">
        <f t="shared" si="11"/>
        <v>347000</v>
      </c>
      <c r="Q30" s="4218">
        <f t="shared" si="2"/>
        <v>1.7812831200690236</v>
      </c>
      <c r="R30" s="4218">
        <f t="shared" si="3"/>
        <v>105.83498067738176</v>
      </c>
      <c r="S30" s="2281">
        <f>'[2]Phụ lục số 2'!AF30</f>
        <v>171000</v>
      </c>
      <c r="T30" s="2281">
        <f>'[2]Phụ lục số 2'!AG30</f>
        <v>176000</v>
      </c>
      <c r="U30" s="2281">
        <f t="shared" si="12"/>
        <v>361000</v>
      </c>
      <c r="V30" s="4218">
        <f t="shared" si="4"/>
        <v>1.7660829922810637</v>
      </c>
      <c r="W30" s="4218"/>
      <c r="X30" s="2281">
        <f>'[2]Phụ lục số 2'!AK30</f>
        <v>185000</v>
      </c>
      <c r="Y30" s="4224">
        <f>'[2]Phụ lục số 2'!AL30</f>
        <v>176000</v>
      </c>
    </row>
    <row r="31" spans="1:25" s="685" customFormat="1">
      <c r="A31" s="4226" t="s">
        <v>718</v>
      </c>
      <c r="B31" s="911" t="s">
        <v>2415</v>
      </c>
      <c r="C31" s="2659">
        <f t="shared" si="9"/>
        <v>0</v>
      </c>
      <c r="D31" s="2659">
        <f>'[2]Phụ lục số 2'!D31</f>
        <v>0</v>
      </c>
      <c r="E31" s="2659">
        <f>'[2]Phụ lục số 2'!E31</f>
        <v>0</v>
      </c>
      <c r="F31" s="2281">
        <f>I31+J31</f>
        <v>431000</v>
      </c>
      <c r="G31" s="4218"/>
      <c r="H31" s="4218"/>
      <c r="I31" s="2281">
        <f>'[2]Phụ lục số 2'!S31</f>
        <v>89700</v>
      </c>
      <c r="J31" s="2281">
        <f>'[2]Phụ lục số 2'!T31</f>
        <v>341300</v>
      </c>
      <c r="K31" s="2281">
        <f t="shared" si="10"/>
        <v>0</v>
      </c>
      <c r="L31" s="4219"/>
      <c r="M31" s="4218"/>
      <c r="N31" s="2275">
        <f>'[2]Phụ lục số 2'!AA31</f>
        <v>0</v>
      </c>
      <c r="O31" s="2275">
        <f>'[2]Phụ lục số 2'!AB31</f>
        <v>0</v>
      </c>
      <c r="P31" s="2281">
        <f t="shared" si="11"/>
        <v>0</v>
      </c>
      <c r="Q31" s="4218"/>
      <c r="R31" s="4218"/>
      <c r="S31" s="2281">
        <f>'[2]Phụ lục số 2'!AF31</f>
        <v>0</v>
      </c>
      <c r="T31" s="2281">
        <f>'[2]Phụ lục số 2'!AG31</f>
        <v>0</v>
      </c>
      <c r="U31" s="2281">
        <f t="shared" si="12"/>
        <v>0</v>
      </c>
      <c r="V31" s="4218">
        <f t="shared" si="4"/>
        <v>0</v>
      </c>
      <c r="W31" s="4218"/>
      <c r="X31" s="2281">
        <f>'[2]Phụ lục số 2'!AK31</f>
        <v>0</v>
      </c>
      <c r="Y31" s="4224">
        <f>'[2]Phụ lục số 2'!AL31</f>
        <v>0</v>
      </c>
    </row>
    <row r="32" spans="1:25" s="685" customFormat="1" ht="17.399999999999999">
      <c r="A32" s="4226" t="s">
        <v>744</v>
      </c>
      <c r="B32" s="45" t="s">
        <v>1715</v>
      </c>
      <c r="C32" s="2659">
        <f t="shared" si="9"/>
        <v>0</v>
      </c>
      <c r="D32" s="2659">
        <f>'[2]Phụ lục số 2'!D32</f>
        <v>0</v>
      </c>
      <c r="E32" s="2659">
        <f>'[2]Phụ lục số 2'!E32</f>
        <v>0</v>
      </c>
      <c r="F32" s="2281">
        <f t="shared" ref="F32:F34" si="14">I32+J32</f>
        <v>357489.34666666656</v>
      </c>
      <c r="G32" s="4218"/>
      <c r="H32" s="4218"/>
      <c r="I32" s="2281">
        <f>'[2]Phụ lục số 2'!S32</f>
        <v>0</v>
      </c>
      <c r="J32" s="2281">
        <f>'[2]Phụ lục số 2'!T32</f>
        <v>357489.34666666656</v>
      </c>
      <c r="K32" s="2281">
        <f t="shared" si="10"/>
        <v>717399.2</v>
      </c>
      <c r="L32" s="4219"/>
      <c r="M32" s="4218"/>
      <c r="N32" s="2281">
        <f>'[2]Phụ lục số 2'!AA32</f>
        <v>79139.200000000012</v>
      </c>
      <c r="O32" s="2281">
        <f>'[2]Phụ lục số 2'!AB32</f>
        <v>638260</v>
      </c>
      <c r="P32" s="2281">
        <f t="shared" si="11"/>
        <v>882854.2423493322</v>
      </c>
      <c r="Q32" s="4218"/>
      <c r="R32" s="4218"/>
      <c r="S32" s="2281">
        <f>'[2]Phụ lục số 2'!AF32</f>
        <v>567070.94060725369</v>
      </c>
      <c r="T32" s="2281">
        <f>'[2]Phụ lục số 2'!AG32</f>
        <v>315783.30174207845</v>
      </c>
      <c r="U32" s="2281">
        <f t="shared" si="12"/>
        <v>1237230.2030542626</v>
      </c>
      <c r="V32" s="4218"/>
      <c r="W32" s="4218"/>
      <c r="X32" s="2281">
        <f>'[2]Phụ lục số 2'!AK32</f>
        <v>1039823.5401058444</v>
      </c>
      <c r="Y32" s="4224">
        <f>'[2]Phụ lục số 2'!AL32</f>
        <v>197406.66294841812</v>
      </c>
    </row>
    <row r="33" spans="1:25" s="685" customFormat="1">
      <c r="A33" s="4226" t="s">
        <v>745</v>
      </c>
      <c r="B33" s="45" t="s">
        <v>212</v>
      </c>
      <c r="C33" s="2659">
        <f t="shared" si="9"/>
        <v>0</v>
      </c>
      <c r="D33" s="2659">
        <f>'[2]Phụ lục số 2'!D33</f>
        <v>0</v>
      </c>
      <c r="E33" s="2659">
        <f>'[2]Phụ lục số 2'!E33</f>
        <v>0</v>
      </c>
      <c r="F33" s="2281">
        <f t="shared" si="14"/>
        <v>153209.71999999997</v>
      </c>
      <c r="G33" s="4218"/>
      <c r="H33" s="4218"/>
      <c r="I33" s="2281">
        <f>'[2]Phụ lục số 2'!S33</f>
        <v>0</v>
      </c>
      <c r="J33" s="2281">
        <f>'[2]Phụ lục số 2'!T33</f>
        <v>153209.71999999997</v>
      </c>
      <c r="K33" s="2281">
        <f t="shared" si="10"/>
        <v>0</v>
      </c>
      <c r="L33" s="4219"/>
      <c r="M33" s="4218"/>
      <c r="N33" s="2275">
        <f>'[2]Phụ lục số 2'!AA33</f>
        <v>0</v>
      </c>
      <c r="O33" s="2275">
        <f>'[2]Phụ lục số 2'!AB33</f>
        <v>0</v>
      </c>
      <c r="P33" s="2281">
        <f t="shared" si="11"/>
        <v>0</v>
      </c>
      <c r="Q33" s="4218"/>
      <c r="R33" s="4218"/>
      <c r="S33" s="2281">
        <f>'[2]Phụ lục số 2'!AF33</f>
        <v>0</v>
      </c>
      <c r="T33" s="2281">
        <f>'[2]Phụ lục số 2'!AG33</f>
        <v>0</v>
      </c>
      <c r="U33" s="2281">
        <f t="shared" si="12"/>
        <v>0</v>
      </c>
      <c r="V33" s="4218"/>
      <c r="W33" s="4218"/>
      <c r="X33" s="2281">
        <f>'[2]Phụ lục số 2'!AK33</f>
        <v>0</v>
      </c>
      <c r="Y33" s="4224">
        <f>'[2]Phụ lục số 2'!AL33</f>
        <v>0</v>
      </c>
    </row>
    <row r="34" spans="1:25" s="685" customFormat="1">
      <c r="A34" s="4226" t="s">
        <v>1716</v>
      </c>
      <c r="B34" s="2659" t="s">
        <v>213</v>
      </c>
      <c r="C34" s="2659">
        <f t="shared" si="9"/>
        <v>0</v>
      </c>
      <c r="D34" s="2659">
        <f>'[2]Phụ lục số 2'!D34</f>
        <v>0</v>
      </c>
      <c r="E34" s="2659">
        <f>'[2]Phụ lục số 2'!E34</f>
        <v>0</v>
      </c>
      <c r="F34" s="2281">
        <f t="shared" si="14"/>
        <v>0</v>
      </c>
      <c r="G34" s="4218"/>
      <c r="H34" s="4218"/>
      <c r="I34" s="2281">
        <f>'[2]Phụ lục số 2'!S34</f>
        <v>0</v>
      </c>
      <c r="J34" s="2281">
        <f>'[2]Phụ lục số 2'!T34</f>
        <v>0</v>
      </c>
      <c r="K34" s="2281">
        <f t="shared" si="10"/>
        <v>3000</v>
      </c>
      <c r="L34" s="4219"/>
      <c r="M34" s="4218"/>
      <c r="N34" s="2281">
        <f>'[2]Phụ lục số 2'!AA34</f>
        <v>3000</v>
      </c>
      <c r="O34" s="2275">
        <f>'[2]Phụ lục số 2'!AB34</f>
        <v>0</v>
      </c>
      <c r="P34" s="2281">
        <f t="shared" si="11"/>
        <v>3000</v>
      </c>
      <c r="Q34" s="4218"/>
      <c r="R34" s="4218"/>
      <c r="S34" s="2281">
        <f>'[2]Phụ lục số 2'!AF34</f>
        <v>3000</v>
      </c>
      <c r="T34" s="2281">
        <f>'[2]Phụ lục số 2'!AG34</f>
        <v>0</v>
      </c>
      <c r="U34" s="2281">
        <f t="shared" si="12"/>
        <v>3000</v>
      </c>
      <c r="V34" s="4218"/>
      <c r="W34" s="4218"/>
      <c r="X34" s="2281">
        <f>'[2]Phụ lục số 2'!AK34</f>
        <v>3000</v>
      </c>
      <c r="Y34" s="4224">
        <f>'[2]Phụ lục số 2'!AL34</f>
        <v>0</v>
      </c>
    </row>
    <row r="35" spans="1:25" s="708" customFormat="1" ht="17.399999999999999">
      <c r="A35" s="4212" t="s">
        <v>37</v>
      </c>
      <c r="B35" s="2643" t="s">
        <v>1921</v>
      </c>
      <c r="C35" s="2643">
        <f t="shared" si="9"/>
        <v>2597007</v>
      </c>
      <c r="D35" s="2643">
        <f>SUM(D36:D37)</f>
        <v>2597007</v>
      </c>
      <c r="E35" s="2643">
        <f>SUM(E36:E37)</f>
        <v>0</v>
      </c>
      <c r="F35" s="2261">
        <f>SUM(F36:F37)</f>
        <v>2597007</v>
      </c>
      <c r="G35" s="4213">
        <f t="shared" si="1"/>
        <v>15.018811864167031</v>
      </c>
      <c r="H35" s="4213">
        <f t="shared" si="0"/>
        <v>100</v>
      </c>
      <c r="I35" s="2261">
        <f>SUM(I36:I37)</f>
        <v>2597007</v>
      </c>
      <c r="J35" s="2261">
        <f>SUM(J36:J37)</f>
        <v>0</v>
      </c>
      <c r="K35" s="2261">
        <f>N35+O35</f>
        <v>1988976</v>
      </c>
      <c r="L35" s="4214">
        <f>K35/$K$7*100</f>
        <v>10.677684743859199</v>
      </c>
      <c r="M35" s="4213">
        <f>K35/C35%</f>
        <v>76.587240619682575</v>
      </c>
      <c r="N35" s="2261">
        <f>SUM(N36:N37)</f>
        <v>1988976</v>
      </c>
      <c r="O35" s="2261">
        <f>SUM(O36:O37)</f>
        <v>0</v>
      </c>
      <c r="P35" s="2261">
        <f>S35+T35</f>
        <v>2379485.2999999998</v>
      </c>
      <c r="Q35" s="4213">
        <f>P35/$K$7*100</f>
        <v>12.774107825356982</v>
      </c>
      <c r="R35" s="4213"/>
      <c r="S35" s="2261">
        <f>SUM(S36:S37)</f>
        <v>2379485.2999999998</v>
      </c>
      <c r="T35" s="2261">
        <f>SUM(T36:T37)</f>
        <v>0</v>
      </c>
      <c r="U35" s="2261">
        <f>X35+Y35</f>
        <v>2379485.2999999998</v>
      </c>
      <c r="V35" s="4213">
        <f t="shared" si="4"/>
        <v>11.64091002413519</v>
      </c>
      <c r="W35" s="4213"/>
      <c r="X35" s="2261">
        <f>SUM(X36:X37)</f>
        <v>2379485.2999999998</v>
      </c>
      <c r="Y35" s="4215">
        <f>SUM(Y36:Y37)</f>
        <v>0</v>
      </c>
    </row>
    <row r="36" spans="1:25" ht="54">
      <c r="A36" s="4228" t="s">
        <v>3</v>
      </c>
      <c r="B36" s="2780" t="str">
        <f>'[2]Phụ lục số 2'!B36</f>
        <v>Chi thực hiện mục tiêu, nhiệm vụ quan trọng (vốn đầu tư phát triển)</v>
      </c>
      <c r="C36" s="44">
        <f t="shared" si="9"/>
        <v>2417971</v>
      </c>
      <c r="D36" s="44">
        <f>'[2]Phụ lục số 2'!D36</f>
        <v>2417971</v>
      </c>
      <c r="E36" s="44">
        <f>'[2]Phụ lục số 2'!E36</f>
        <v>0</v>
      </c>
      <c r="F36" s="2275">
        <f>SUM(I36,J36)</f>
        <v>2417971</v>
      </c>
      <c r="G36" s="4221"/>
      <c r="H36" s="4221"/>
      <c r="I36" s="2275">
        <f>'[2]Phụ lục số 2'!S36</f>
        <v>2417971</v>
      </c>
      <c r="J36" s="2275">
        <f>'[2]Phụ lục số 2'!T36</f>
        <v>0</v>
      </c>
      <c r="K36" s="2275">
        <f>N36+O36</f>
        <v>1814491</v>
      </c>
      <c r="L36" s="4222">
        <f>K36/$K$7*100</f>
        <v>9.7409736812157721</v>
      </c>
      <c r="M36" s="4221"/>
      <c r="N36" s="2275">
        <f>'[2]Phụ lục số 2'!AA36</f>
        <v>1814491</v>
      </c>
      <c r="O36" s="2275">
        <f>'[2]Phụ lục số 2'!AB36</f>
        <v>0</v>
      </c>
      <c r="P36" s="2275">
        <f>SUM(S36:T36)</f>
        <v>2205000</v>
      </c>
      <c r="Q36" s="4221">
        <f>P36/$K$7*100</f>
        <v>11.837395152183603</v>
      </c>
      <c r="R36" s="4221"/>
      <c r="S36" s="2275">
        <f>'[2]Phụ lục số 2'!AF36</f>
        <v>2205000</v>
      </c>
      <c r="T36" s="2275">
        <f>'[2]Phụ lục số 2'!AG36</f>
        <v>0</v>
      </c>
      <c r="U36" s="2275">
        <f>SUM(X36:Y36)</f>
        <v>2205000</v>
      </c>
      <c r="V36" s="4221">
        <f>U36/$K$7*100</f>
        <v>11.837395152183603</v>
      </c>
      <c r="W36" s="4221"/>
      <c r="X36" s="2275">
        <f>'[2]Phụ lục số 2'!AK36</f>
        <v>2205000</v>
      </c>
      <c r="Y36" s="4223">
        <f>'[2]Phụ lục số 2'!AL36</f>
        <v>0</v>
      </c>
    </row>
    <row r="37" spans="1:25" ht="49.5" customHeight="1">
      <c r="A37" s="4228" t="s">
        <v>33</v>
      </c>
      <c r="B37" s="2780" t="str">
        <f>'[2]Phụ lục số 2'!B37</f>
        <v>Chi thực hiện mục tiêu, nhiệm vụ quan trọng (kinh phí sự nghiệp)</v>
      </c>
      <c r="C37" s="44">
        <f t="shared" si="9"/>
        <v>179036</v>
      </c>
      <c r="D37" s="44">
        <f>'[2]Phụ lục số 2'!D37</f>
        <v>179036</v>
      </c>
      <c r="E37" s="44">
        <f>'[2]Phụ lục số 2'!E37</f>
        <v>0</v>
      </c>
      <c r="F37" s="2275">
        <f>SUM(I37,J37)</f>
        <v>179036</v>
      </c>
      <c r="G37" s="4221"/>
      <c r="H37" s="4221"/>
      <c r="I37" s="2275">
        <f>'[2]Phụ lục số 2'!S37</f>
        <v>179036</v>
      </c>
      <c r="J37" s="2275">
        <f>'[2]Phụ lục số 2'!T37</f>
        <v>0</v>
      </c>
      <c r="K37" s="2275">
        <f>N37+O37</f>
        <v>174485</v>
      </c>
      <c r="L37" s="4222">
        <f>K37/$K$7*100</f>
        <v>0.93671106264342674</v>
      </c>
      <c r="M37" s="4221"/>
      <c r="N37" s="2275">
        <f>'[2]Phụ lục số 2'!AA37</f>
        <v>174485</v>
      </c>
      <c r="O37" s="2275">
        <f>'[2]Phụ lục số 2'!AB37</f>
        <v>0</v>
      </c>
      <c r="P37" s="2275">
        <f t="shared" ref="P37:P38" si="15">SUM(S37:T37)</f>
        <v>174485.3</v>
      </c>
      <c r="Q37" s="4221">
        <f>P37/$K$7*100</f>
        <v>0.93671267317337936</v>
      </c>
      <c r="R37" s="4221"/>
      <c r="S37" s="2275">
        <f>'[2]Phụ lục số 2'!AF37</f>
        <v>174485.3</v>
      </c>
      <c r="T37" s="2275">
        <f>'[2]Phụ lục số 2'!AG37</f>
        <v>0</v>
      </c>
      <c r="U37" s="2275">
        <f t="shared" ref="U37:U38" si="16">SUM(X37:Y37)</f>
        <v>174485.3</v>
      </c>
      <c r="V37" s="4221">
        <f>U37/$K$7*100</f>
        <v>0.93671267317337936</v>
      </c>
      <c r="W37" s="4221"/>
      <c r="X37" s="2275">
        <f>'[2]Phụ lục số 2'!AK37</f>
        <v>174485.3</v>
      </c>
      <c r="Y37" s="4223">
        <f>'[2]Phụ lục số 2'!AL37</f>
        <v>0</v>
      </c>
    </row>
    <row r="38" spans="1:25" ht="36">
      <c r="A38" s="4229" t="s">
        <v>182</v>
      </c>
      <c r="B38" s="333" t="str">
        <f>'[2]Phụ lục số 2'!B38</f>
        <v>Chi bổ sung có mục tiêu nhiệm vụ quan trọng khác (nếu có)</v>
      </c>
      <c r="C38" s="4230"/>
      <c r="D38" s="44">
        <f>'[2]Phụ lục số 2'!D38</f>
        <v>0</v>
      </c>
      <c r="E38" s="44">
        <f>'[2]Phụ lục số 2'!E38</f>
        <v>0</v>
      </c>
      <c r="F38" s="4231"/>
      <c r="G38" s="4232"/>
      <c r="H38" s="4232"/>
      <c r="I38" s="2275">
        <f>'[2]Phụ lục số 2'!S38</f>
        <v>0</v>
      </c>
      <c r="J38" s="2275">
        <f>'[2]Phụ lục số 2'!T38</f>
        <v>0</v>
      </c>
      <c r="K38" s="4231"/>
      <c r="L38" s="4233"/>
      <c r="M38" s="4232"/>
      <c r="N38" s="2275">
        <f>'[2]Phụ lục số 2'!AA38</f>
        <v>0</v>
      </c>
      <c r="O38" s="2275">
        <f>'[2]Phụ lục số 2'!AB38</f>
        <v>0</v>
      </c>
      <c r="P38" s="2275">
        <f t="shared" si="15"/>
        <v>0</v>
      </c>
      <c r="Q38" s="4232"/>
      <c r="R38" s="4232"/>
      <c r="S38" s="2275">
        <f>'[2]Phụ lục số 2'!AF38</f>
        <v>0</v>
      </c>
      <c r="T38" s="2275">
        <f>'[2]Phụ lục số 2'!AG38</f>
        <v>0</v>
      </c>
      <c r="U38" s="2275">
        <f t="shared" si="16"/>
        <v>0</v>
      </c>
      <c r="V38" s="4232"/>
      <c r="W38" s="4232"/>
      <c r="X38" s="2275">
        <f>'[2]Phụ lục số 2'!AK38</f>
        <v>0</v>
      </c>
      <c r="Y38" s="4223">
        <f>'[2]Phụ lục số 2'!AL38</f>
        <v>0</v>
      </c>
    </row>
    <row r="39" spans="1:25" s="708" customFormat="1" ht="35.4" thickBot="1">
      <c r="A39" s="4234" t="s">
        <v>44</v>
      </c>
      <c r="B39" s="4235" t="s">
        <v>181</v>
      </c>
      <c r="C39" s="4236">
        <f>D39+E39</f>
        <v>31500</v>
      </c>
      <c r="D39" s="4236">
        <f>'[2]Phụ lục số 2'!D39</f>
        <v>31500</v>
      </c>
      <c r="E39" s="4236">
        <f>'[2]Phụ lục số 2'!E39</f>
        <v>0</v>
      </c>
      <c r="F39" s="4237">
        <f>I39+J39</f>
        <v>31500</v>
      </c>
      <c r="G39" s="4238"/>
      <c r="H39" s="4239"/>
      <c r="I39" s="4237">
        <f>'[2]Phụ lục số 2'!S39</f>
        <v>31500</v>
      </c>
      <c r="J39" s="4237">
        <f>'[2]Phụ lục số 2'!T39</f>
        <v>0</v>
      </c>
      <c r="K39" s="4237">
        <f>N39+O39</f>
        <v>0</v>
      </c>
      <c r="L39" s="4240">
        <f>K39/$K$7*100</f>
        <v>0</v>
      </c>
      <c r="M39" s="4236"/>
      <c r="N39" s="4237">
        <f>'[2]Phụ lục số 2'!AA39</f>
        <v>0</v>
      </c>
      <c r="O39" s="4237">
        <f>'[2]Phụ lục số 2'!AB39</f>
        <v>0</v>
      </c>
      <c r="P39" s="4237">
        <f>R39+S39</f>
        <v>0</v>
      </c>
      <c r="Q39" s="4239">
        <f>P39/$K$7*100</f>
        <v>0</v>
      </c>
      <c r="R39" s="4236"/>
      <c r="S39" s="4237">
        <f>'[2]Phụ lục số 2'!AF39</f>
        <v>0</v>
      </c>
      <c r="T39" s="4237">
        <f>'[2]Phụ lục số 2'!AG39</f>
        <v>0</v>
      </c>
      <c r="U39" s="4241">
        <f>W39+X39</f>
        <v>0</v>
      </c>
      <c r="V39" s="4242">
        <f>U39/$K$7*100</f>
        <v>0</v>
      </c>
      <c r="W39" s="4243"/>
      <c r="X39" s="4241">
        <f>'[2]Phụ lục số 2'!AK39</f>
        <v>0</v>
      </c>
      <c r="Y39" s="4244">
        <f>'[2]Phụ lục số 2'!AL39</f>
        <v>0</v>
      </c>
    </row>
    <row r="40" spans="1:25" s="4247" customFormat="1" ht="17.399999999999999">
      <c r="A40" s="4245" t="s">
        <v>1923</v>
      </c>
      <c r="B40" s="685"/>
      <c r="C40" s="685"/>
      <c r="D40" s="685"/>
      <c r="E40" s="685"/>
      <c r="F40" s="685"/>
      <c r="G40" s="4246"/>
      <c r="H40" s="685"/>
      <c r="I40" s="3872">
        <f>'[2]Phụ lục 4-HĐND'!D39</f>
        <v>13000</v>
      </c>
      <c r="J40" s="685" t="s">
        <v>1924</v>
      </c>
      <c r="K40" s="685"/>
      <c r="L40" s="685"/>
      <c r="M40" s="685"/>
      <c r="N40" s="685"/>
      <c r="O40" s="685"/>
      <c r="P40" s="685">
        <f>P36-K36</f>
        <v>390509</v>
      </c>
      <c r="Q40" s="685"/>
      <c r="R40" s="685"/>
      <c r="S40" s="685"/>
      <c r="T40" s="685"/>
      <c r="U40" s="685"/>
      <c r="V40" s="685"/>
      <c r="W40" s="685"/>
      <c r="X40" s="685"/>
      <c r="Y40" s="685"/>
    </row>
    <row r="41" spans="1:25">
      <c r="N41" s="4248">
        <f>'[1]Phụ lục số 3-thu bs'!Y31</f>
        <v>1.0047879424816806</v>
      </c>
      <c r="O41" s="4249">
        <f>'[1]Phụ lục số 3-thu bs'!Z31</f>
        <v>1.0127502007166578</v>
      </c>
      <c r="P41" s="716">
        <f>P36/K36</f>
        <v>1.2152168294028463</v>
      </c>
      <c r="S41" s="4248">
        <f>'[1]Phụ lục số 3-thu bs'!AB31</f>
        <v>1.0267006153038798</v>
      </c>
      <c r="T41" s="4248">
        <f>'[1]Phụ lục số 3-thu bs'!AC31</f>
        <v>1.0186611374861316</v>
      </c>
      <c r="X41" s="4248">
        <f>'[1]Phụ lục số 3-thu bs'!AE31</f>
        <v>1.0278959515568287</v>
      </c>
      <c r="Y41" s="4248">
        <f>'[1]Phụ lục số 3-thu bs'!AF31</f>
        <v>1.0203782588786079</v>
      </c>
    </row>
    <row r="42" spans="1:25">
      <c r="K42" s="667">
        <v>9045866</v>
      </c>
      <c r="N42" s="667">
        <f>+K8+P8+U8</f>
        <v>51800517.361403599</v>
      </c>
    </row>
    <row r="43" spans="1:25">
      <c r="I43" s="4250">
        <f>I34/I39</f>
        <v>0</v>
      </c>
      <c r="K43" s="685">
        <f>+K42-K15</f>
        <v>-1619112.3947110809</v>
      </c>
      <c r="N43" s="667">
        <f>+K9+P9+U9</f>
        <v>14803186.408969875</v>
      </c>
    </row>
    <row r="44" spans="1:25">
      <c r="K44" s="667">
        <v>252266</v>
      </c>
      <c r="N44" s="4251">
        <f>+N43/N42</f>
        <v>0.28577294519455287</v>
      </c>
    </row>
    <row r="45" spans="1:25">
      <c r="K45" s="685">
        <f>K30-K44</f>
        <v>75602.912319042138</v>
      </c>
      <c r="N45" s="667">
        <f>+K15+P15+U15</f>
        <v>33108978.394711081</v>
      </c>
    </row>
    <row r="46" spans="1:25">
      <c r="N46" s="4251">
        <f>+N45/N42</f>
        <v>0.6391630833282077</v>
      </c>
    </row>
    <row r="47" spans="1:25">
      <c r="N47" s="667">
        <f>D21-N21</f>
        <v>-78538</v>
      </c>
    </row>
    <row r="48" spans="1:25">
      <c r="K48" s="667">
        <f>K8*2%</f>
        <v>332768.65831999993</v>
      </c>
      <c r="N48" s="667">
        <f>'[1]Phụ lục số 4'!C9</f>
        <v>12922645</v>
      </c>
    </row>
    <row r="49" spans="3:14">
      <c r="N49" s="667">
        <f>+N48-N7</f>
        <v>4203639.432</v>
      </c>
    </row>
    <row r="50" spans="3:14">
      <c r="K50" s="667">
        <v>974980</v>
      </c>
      <c r="N50" s="667">
        <f>+K52-K10</f>
        <v>-107006.40896987612</v>
      </c>
    </row>
    <row r="51" spans="3:14">
      <c r="K51" s="667">
        <v>61200</v>
      </c>
      <c r="N51" s="667">
        <f>+K8*2%</f>
        <v>332768.65831999993</v>
      </c>
    </row>
    <row r="52" spans="3:14">
      <c r="K52" s="667">
        <f>+K50+K51</f>
        <v>1036180</v>
      </c>
      <c r="N52" s="667">
        <f>D26-N26</f>
        <v>-60458</v>
      </c>
    </row>
    <row r="53" spans="3:14">
      <c r="N53" s="667">
        <f>D27-N27</f>
        <v>-8327</v>
      </c>
    </row>
    <row r="54" spans="3:14">
      <c r="K54" s="667">
        <v>1067085</v>
      </c>
      <c r="N54" s="667">
        <f>D28-N28</f>
        <v>0</v>
      </c>
    </row>
    <row r="55" spans="3:14">
      <c r="K55" s="667">
        <v>64400</v>
      </c>
      <c r="N55" s="667">
        <f>D29-N29</f>
        <v>0</v>
      </c>
    </row>
    <row r="56" spans="3:14">
      <c r="K56" s="667">
        <f>+K54+K55</f>
        <v>1131485</v>
      </c>
    </row>
    <row r="57" spans="3:14">
      <c r="N57" s="667">
        <f>SUM(N43:N56)</f>
        <v>65116889.409967117</v>
      </c>
    </row>
    <row r="58" spans="3:14">
      <c r="K58" s="667">
        <v>974980</v>
      </c>
    </row>
    <row r="59" spans="3:14">
      <c r="K59" s="667">
        <f>+K52-K58</f>
        <v>61200</v>
      </c>
    </row>
    <row r="60" spans="3:14">
      <c r="C60" s="667">
        <v>9045866</v>
      </c>
      <c r="N60" s="692">
        <f>N10*1000000</f>
        <v>562186000000</v>
      </c>
    </row>
    <row r="61" spans="3:14">
      <c r="C61" s="667">
        <f>+C60*3%</f>
        <v>271375.98</v>
      </c>
      <c r="K61" s="4252">
        <f>K7/'[1]Định mức chi TX 2022'!E44</f>
        <v>11.63794818487106</v>
      </c>
    </row>
    <row r="62" spans="3:14">
      <c r="K62" s="4252">
        <f>K8/'[1]Định mức chi TX 2022'!E44</f>
        <v>10.395284767036845</v>
      </c>
    </row>
    <row r="63" spans="3:14">
      <c r="K63" s="4252">
        <v>8.8000000000000007</v>
      </c>
      <c r="N63" s="667">
        <v>531239</v>
      </c>
    </row>
    <row r="64" spans="3:14">
      <c r="K64" s="4251">
        <f>+K63/K62</f>
        <v>0.84653765598654429</v>
      </c>
      <c r="N64" s="667">
        <f>N10</f>
        <v>562186</v>
      </c>
    </row>
    <row r="65" spans="3:14">
      <c r="N65" s="667">
        <f>+N63-N64</f>
        <v>-30947</v>
      </c>
    </row>
    <row r="66" spans="3:14">
      <c r="K66" s="667">
        <v>116757</v>
      </c>
    </row>
    <row r="67" spans="3:14">
      <c r="K67" s="667">
        <v>167395</v>
      </c>
    </row>
    <row r="68" spans="3:14">
      <c r="K68" s="667">
        <f>+K67-K66</f>
        <v>50638</v>
      </c>
    </row>
    <row r="69" spans="3:14">
      <c r="C69" s="667">
        <f>C15*3%</f>
        <v>280615.95</v>
      </c>
      <c r="N69" s="667">
        <f>N7/12</f>
        <v>726583.79733333329</v>
      </c>
    </row>
    <row r="70" spans="3:14">
      <c r="K70" s="667">
        <v>3290357</v>
      </c>
    </row>
    <row r="71" spans="3:14">
      <c r="K71" s="667">
        <v>3313757</v>
      </c>
      <c r="N71" s="667">
        <f>733000/12</f>
        <v>61083.333333333336</v>
      </c>
    </row>
    <row r="72" spans="3:14">
      <c r="K72" s="667">
        <f>+K71-K70</f>
        <v>23400</v>
      </c>
      <c r="N72" s="667">
        <f>1500000/12</f>
        <v>125000</v>
      </c>
    </row>
    <row r="73" spans="3:14">
      <c r="K73" s="667">
        <v>48300</v>
      </c>
      <c r="N73" s="667">
        <f>5809777/12</f>
        <v>484148.08333333331</v>
      </c>
    </row>
    <row r="74" spans="3:14">
      <c r="K74" s="667">
        <f>+K72+K73</f>
        <v>71700</v>
      </c>
      <c r="N74" s="667">
        <v>28571469</v>
      </c>
    </row>
    <row r="75" spans="3:14">
      <c r="K75" s="667">
        <f>+K9-K70</f>
        <v>1632829.4089698764</v>
      </c>
      <c r="N75" s="667">
        <v>9909393</v>
      </c>
    </row>
    <row r="76" spans="3:14">
      <c r="K76" s="667">
        <f>+K75-K74</f>
        <v>1561129.4089698764</v>
      </c>
      <c r="N76" s="667">
        <f>+N74-N75</f>
        <v>18662076</v>
      </c>
    </row>
    <row r="77" spans="3:14">
      <c r="N77" s="667">
        <v>27554674</v>
      </c>
    </row>
    <row r="78" spans="3:14">
      <c r="N78" s="667">
        <f>+N74-N77</f>
        <v>1016795</v>
      </c>
    </row>
    <row r="79" spans="3:14">
      <c r="N79" s="667">
        <v>1061000</v>
      </c>
    </row>
    <row r="80" spans="3:14">
      <c r="N80" s="667">
        <v>247800</v>
      </c>
    </row>
    <row r="81" spans="11:21">
      <c r="K81" s="4251">
        <f>K9/K8</f>
        <v>0.2958924337300779</v>
      </c>
      <c r="N81" s="667">
        <f>+N79-N80</f>
        <v>813200</v>
      </c>
      <c r="P81" s="4251">
        <f>P9/P8</f>
        <v>0.28039534938116972</v>
      </c>
      <c r="U81" s="4251">
        <f>U9/U8</f>
        <v>0.28154228382184593</v>
      </c>
    </row>
    <row r="82" spans="11:21">
      <c r="K82" s="4251">
        <f>K15/K8</f>
        <v>0.64098454755647871</v>
      </c>
      <c r="P82" s="4251">
        <f>P15/P8</f>
        <v>0.64739455954096559</v>
      </c>
      <c r="U82" s="4251">
        <f>U15/U8</f>
        <v>0.62969132623517288</v>
      </c>
    </row>
    <row r="84" spans="11:21">
      <c r="K84" s="667">
        <v>15338664</v>
      </c>
      <c r="N84" s="667">
        <f>K84+P85</f>
        <v>15586464</v>
      </c>
      <c r="P84" s="667">
        <f>K7-N84</f>
        <v>3040944.9159999974</v>
      </c>
    </row>
    <row r="85" spans="11:21">
      <c r="K85" s="667">
        <v>12893688</v>
      </c>
      <c r="N85" s="667">
        <f>K85+P85</f>
        <v>13141488</v>
      </c>
      <c r="P85" s="667">
        <v>247800</v>
      </c>
      <c r="Q85" s="667" t="s">
        <v>1926</v>
      </c>
    </row>
    <row r="86" spans="11:21">
      <c r="K86" s="667">
        <v>3226904</v>
      </c>
      <c r="P86" s="667">
        <v>2000</v>
      </c>
      <c r="Q86" s="667" t="s">
        <v>1927</v>
      </c>
    </row>
    <row r="87" spans="11:21">
      <c r="K87" s="667">
        <v>9402554</v>
      </c>
    </row>
    <row r="88" spans="11:21">
      <c r="K88" s="667">
        <v>4179745</v>
      </c>
      <c r="N88" s="667">
        <f>4090257</f>
        <v>4090257</v>
      </c>
      <c r="P88" s="667">
        <f>+K88-N88</f>
        <v>89488</v>
      </c>
    </row>
    <row r="89" spans="11:21">
      <c r="K89" s="667">
        <v>27918</v>
      </c>
      <c r="P89" s="667">
        <f>+N89+N90</f>
        <v>0</v>
      </c>
    </row>
    <row r="90" spans="11:21">
      <c r="K90" s="667">
        <f>K87-K88-K89</f>
        <v>5194891</v>
      </c>
    </row>
    <row r="91" spans="11:21">
      <c r="K91" s="667">
        <v>1400</v>
      </c>
      <c r="P91" s="667">
        <f>776904+247000</f>
        <v>1023904</v>
      </c>
    </row>
    <row r="92" spans="11:21">
      <c r="K92" s="667">
        <v>262830</v>
      </c>
      <c r="N92" s="667">
        <f>(6504000+6486688)*2%</f>
        <v>259813.76000000001</v>
      </c>
    </row>
    <row r="94" spans="11:21">
      <c r="K94" s="667">
        <v>6654000</v>
      </c>
    </row>
    <row r="95" spans="11:21">
      <c r="K95" s="667">
        <f>13140688-K94</f>
        <v>6486688</v>
      </c>
    </row>
    <row r="98" spans="1:19">
      <c r="K98" s="667">
        <v>15490695</v>
      </c>
      <c r="N98" s="667">
        <f>+K98+247800+31500</f>
        <v>15769995</v>
      </c>
    </row>
    <row r="99" spans="1:19">
      <c r="C99" s="3872">
        <f>SUM(C100,C105,C109,C110)</f>
        <v>12589889</v>
      </c>
      <c r="D99" s="692"/>
      <c r="E99" s="692"/>
      <c r="F99" s="692"/>
      <c r="G99" s="4253"/>
      <c r="H99" s="692"/>
      <c r="I99" s="692"/>
      <c r="J99" s="692"/>
      <c r="K99" s="3872">
        <f>SUM(K100,K105,K109,K110)</f>
        <v>12893688</v>
      </c>
    </row>
    <row r="100" spans="1:19">
      <c r="C100" s="3872">
        <f>SUM(C101:C104)</f>
        <v>3290357</v>
      </c>
      <c r="D100" s="692"/>
      <c r="E100" s="692">
        <v>3313757</v>
      </c>
      <c r="F100" s="692">
        <f>+E100-C100</f>
        <v>23400</v>
      </c>
      <c r="G100" s="4253"/>
      <c r="H100" s="692"/>
      <c r="I100" s="692"/>
      <c r="J100" s="692"/>
      <c r="K100" s="3872">
        <f>SUM(K101:K103)</f>
        <v>3226904</v>
      </c>
      <c r="P100" s="667">
        <f>+K100-C100</f>
        <v>-63453</v>
      </c>
    </row>
    <row r="101" spans="1:19">
      <c r="C101" s="692">
        <v>951580</v>
      </c>
      <c r="D101" s="692"/>
      <c r="E101" s="692"/>
      <c r="F101" s="692"/>
      <c r="G101" s="4253"/>
      <c r="H101" s="692"/>
      <c r="I101" s="692"/>
      <c r="J101" s="692"/>
      <c r="K101" s="692">
        <v>776904</v>
      </c>
      <c r="N101" s="667">
        <f>+K101+P85</f>
        <v>1024704</v>
      </c>
      <c r="P101" s="667">
        <f>+K101-C101</f>
        <v>-174676</v>
      </c>
      <c r="R101" s="2245">
        <f>+N101/(C101+23400)</f>
        <v>1.0510000205132413</v>
      </c>
    </row>
    <row r="102" spans="1:19">
      <c r="C102" s="692">
        <v>800000</v>
      </c>
      <c r="D102" s="692"/>
      <c r="E102" s="692"/>
      <c r="F102" s="692"/>
      <c r="G102" s="4253"/>
      <c r="H102" s="692"/>
      <c r="I102" s="692"/>
      <c r="J102" s="692"/>
      <c r="K102" s="692">
        <v>850000</v>
      </c>
      <c r="P102" s="667">
        <f>+K102-C102</f>
        <v>50000</v>
      </c>
    </row>
    <row r="103" spans="1:19">
      <c r="C103" s="692">
        <v>1500000</v>
      </c>
      <c r="D103" s="692"/>
      <c r="E103" s="692"/>
      <c r="F103" s="692"/>
      <c r="G103" s="4253"/>
      <c r="H103" s="692"/>
      <c r="I103" s="692"/>
      <c r="J103" s="692"/>
      <c r="K103" s="692">
        <v>1600000</v>
      </c>
      <c r="P103" s="667">
        <f>+K103-C103</f>
        <v>100000</v>
      </c>
    </row>
    <row r="104" spans="1:19">
      <c r="C104" s="692">
        <v>38777</v>
      </c>
      <c r="D104" s="692"/>
      <c r="E104" s="692"/>
      <c r="F104" s="692"/>
      <c r="G104" s="4253"/>
      <c r="H104" s="692"/>
      <c r="I104" s="692"/>
      <c r="J104" s="692"/>
      <c r="K104" s="692"/>
      <c r="P104" s="667">
        <f>+K104-C104</f>
        <v>-38777</v>
      </c>
    </row>
    <row r="105" spans="1:19" s="685" customFormat="1" ht="17.399999999999999">
      <c r="A105" s="687"/>
      <c r="C105" s="3872">
        <v>9045866</v>
      </c>
      <c r="D105" s="3872"/>
      <c r="E105" s="3872"/>
      <c r="F105" s="3872"/>
      <c r="G105" s="4254"/>
      <c r="H105" s="3872"/>
      <c r="I105" s="3872"/>
      <c r="J105" s="3872"/>
      <c r="K105" s="3872">
        <v>9402554</v>
      </c>
      <c r="P105" s="685">
        <f t="shared" ref="P105:P110" si="17">K105-C105</f>
        <v>356688</v>
      </c>
      <c r="Q105" s="4255"/>
      <c r="R105" s="4255">
        <f t="shared" ref="R105:R110" si="18">+K105/C105</f>
        <v>1.0394310506036679</v>
      </c>
      <c r="S105" s="4255">
        <f t="shared" ref="S105:S110" si="19">R105-100%</f>
        <v>3.9431050603667916E-2</v>
      </c>
    </row>
    <row r="106" spans="1:19">
      <c r="C106" s="692">
        <v>4090257</v>
      </c>
      <c r="D106" s="692"/>
      <c r="E106" s="692"/>
      <c r="F106" s="692"/>
      <c r="G106" s="4253"/>
      <c r="H106" s="692"/>
      <c r="I106" s="692"/>
      <c r="J106" s="692"/>
      <c r="K106" s="692">
        <v>4179745</v>
      </c>
      <c r="P106" s="667">
        <f t="shared" si="17"/>
        <v>89488</v>
      </c>
      <c r="R106" s="2245">
        <f t="shared" si="18"/>
        <v>1.0218783318505413</v>
      </c>
      <c r="S106" s="2245">
        <f t="shared" si="19"/>
        <v>2.1878331850541333E-2</v>
      </c>
    </row>
    <row r="107" spans="1:19">
      <c r="C107" s="692">
        <v>27026</v>
      </c>
      <c r="D107" s="692"/>
      <c r="E107" s="692"/>
      <c r="F107" s="692"/>
      <c r="G107" s="4253"/>
      <c r="H107" s="692"/>
      <c r="I107" s="692"/>
      <c r="J107" s="692"/>
      <c r="K107" s="692">
        <v>27918</v>
      </c>
      <c r="P107" s="667">
        <f t="shared" si="17"/>
        <v>892</v>
      </c>
      <c r="R107" s="2245">
        <f t="shared" si="18"/>
        <v>1.0330052541996595</v>
      </c>
      <c r="S107" s="2245">
        <f t="shared" si="19"/>
        <v>3.3005254199659495E-2</v>
      </c>
    </row>
    <row r="108" spans="1:19">
      <c r="C108" s="692">
        <f>+C105-C106-C107</f>
        <v>4928583</v>
      </c>
      <c r="D108" s="692"/>
      <c r="E108" s="692"/>
      <c r="F108" s="692"/>
      <c r="G108" s="4253"/>
      <c r="H108" s="692"/>
      <c r="I108" s="692"/>
      <c r="J108" s="692"/>
      <c r="K108" s="692">
        <f>+K105-K106-K107</f>
        <v>5194891</v>
      </c>
      <c r="P108" s="667">
        <f t="shared" si="17"/>
        <v>266308</v>
      </c>
      <c r="R108" s="2245">
        <f t="shared" si="18"/>
        <v>1.0540333803853967</v>
      </c>
      <c r="S108" s="2245">
        <f t="shared" si="19"/>
        <v>5.4033380385396734E-2</v>
      </c>
    </row>
    <row r="109" spans="1:19" s="685" customFormat="1" ht="17.399999999999999">
      <c r="A109" s="687"/>
      <c r="C109" s="3872">
        <v>1400</v>
      </c>
      <c r="D109" s="3872"/>
      <c r="E109" s="3872"/>
      <c r="F109" s="3872"/>
      <c r="G109" s="4254"/>
      <c r="H109" s="3872"/>
      <c r="I109" s="3872"/>
      <c r="J109" s="3872"/>
      <c r="K109" s="3872">
        <v>1400</v>
      </c>
      <c r="P109" s="685">
        <f t="shared" si="17"/>
        <v>0</v>
      </c>
      <c r="R109" s="4255">
        <f t="shared" si="18"/>
        <v>1</v>
      </c>
      <c r="S109" s="4255">
        <f t="shared" si="19"/>
        <v>0</v>
      </c>
    </row>
    <row r="110" spans="1:19" s="685" customFormat="1" ht="17.399999999999999">
      <c r="A110" s="687"/>
      <c r="C110" s="3872">
        <v>252266</v>
      </c>
      <c r="D110" s="3872"/>
      <c r="E110" s="3872"/>
      <c r="F110" s="3872"/>
      <c r="G110" s="4254"/>
      <c r="H110" s="3872"/>
      <c r="I110" s="3872"/>
      <c r="J110" s="3872"/>
      <c r="K110" s="3872">
        <v>262830</v>
      </c>
      <c r="P110" s="685">
        <f t="shared" si="17"/>
        <v>10564</v>
      </c>
      <c r="R110" s="4255">
        <f t="shared" si="18"/>
        <v>1.0418764320201692</v>
      </c>
      <c r="S110" s="4255">
        <f t="shared" si="19"/>
        <v>4.1876432020169219E-2</v>
      </c>
    </row>
    <row r="121" spans="11:11">
      <c r="K121" s="729">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Danh mục file'!A1" display="SỐ TT"/>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50"/>
  </sheetPr>
  <dimension ref="A1:CS48"/>
  <sheetViews>
    <sheetView workbookViewId="0">
      <selection activeCell="K19" sqref="K19"/>
    </sheetView>
  </sheetViews>
  <sheetFormatPr defaultColWidth="10.33203125" defaultRowHeight="18"/>
  <cols>
    <col min="1" max="1" width="6.33203125" style="47" customWidth="1"/>
    <col min="2" max="2" width="47.109375" style="47" customWidth="1"/>
    <col min="3" max="3" width="10.44140625" style="4256" customWidth="1"/>
    <col min="4" max="5" width="10.44140625" style="47" customWidth="1"/>
    <col min="6" max="6" width="9.6640625" style="47" customWidth="1"/>
    <col min="7" max="7" width="9.88671875" style="47" customWidth="1"/>
    <col min="8" max="8" width="11.5546875" style="47" customWidth="1"/>
    <col min="9" max="9" width="10.33203125" style="47"/>
    <col min="10" max="10" width="12" style="47" customWidth="1"/>
    <col min="11" max="13" width="10.33203125" style="47" customWidth="1"/>
    <col min="14" max="14" width="11.109375" style="47" bestFit="1" customWidth="1"/>
    <col min="15" max="16384" width="10.33203125" style="47"/>
  </cols>
  <sheetData>
    <row r="1" spans="1:97">
      <c r="A1" s="6247" t="s">
        <v>2416</v>
      </c>
      <c r="B1" s="6247"/>
      <c r="C1" s="6247"/>
      <c r="D1" s="6247"/>
      <c r="E1" s="6247"/>
      <c r="F1" s="6247"/>
      <c r="G1" s="6247"/>
      <c r="H1" s="6247"/>
      <c r="AB1" s="47" t="s">
        <v>2130</v>
      </c>
      <c r="AG1" s="2883"/>
      <c r="AO1" s="2883"/>
      <c r="AW1" s="2883"/>
      <c r="BE1" s="2883"/>
      <c r="BM1" s="2883"/>
      <c r="BU1" s="2883"/>
      <c r="CC1" s="2883"/>
      <c r="CK1" s="2883"/>
      <c r="CS1" s="2883"/>
    </row>
    <row r="2" spans="1:97">
      <c r="A2" s="317"/>
      <c r="B2" s="317"/>
      <c r="D2" s="6082"/>
      <c r="E2" s="6082"/>
    </row>
    <row r="3" spans="1:97" ht="18.600000000000001" thickBot="1">
      <c r="A3" s="317"/>
      <c r="H3" s="4257" t="s">
        <v>246</v>
      </c>
    </row>
    <row r="4" spans="1:97" ht="87.6" thickTop="1">
      <c r="A4" s="4258" t="s">
        <v>200</v>
      </c>
      <c r="B4" s="2620" t="s">
        <v>1526</v>
      </c>
      <c r="C4" s="2620" t="s">
        <v>1954</v>
      </c>
      <c r="D4" s="2620" t="s">
        <v>2417</v>
      </c>
      <c r="E4" s="2620" t="s">
        <v>1454</v>
      </c>
      <c r="F4" s="2620" t="s">
        <v>1785</v>
      </c>
      <c r="G4" s="2620" t="s">
        <v>1961</v>
      </c>
      <c r="H4" s="2621" t="s">
        <v>2418</v>
      </c>
    </row>
    <row r="5" spans="1:97">
      <c r="A5" s="1641" t="s">
        <v>1</v>
      </c>
      <c r="B5" s="4259" t="s">
        <v>827</v>
      </c>
      <c r="C5" s="4260">
        <f>SUM(C6:C7)</f>
        <v>7590000</v>
      </c>
      <c r="D5" s="4260">
        <f>SUM(D6:D7)</f>
        <v>8150745.3199999994</v>
      </c>
      <c r="E5" s="2740">
        <f>SUM(E6:E7)</f>
        <v>9266000</v>
      </c>
      <c r="F5" s="2740">
        <f>SUM(F6:F7)</f>
        <v>10162499.699999999</v>
      </c>
      <c r="G5" s="2740">
        <f>SUM(G6:G7)</f>
        <v>11039000</v>
      </c>
      <c r="H5" s="4261">
        <f>SUM(E5:G5)</f>
        <v>30467499.699999999</v>
      </c>
      <c r="J5" s="47">
        <f>E5/C5</f>
        <v>1.2208168642951251</v>
      </c>
      <c r="K5" s="47">
        <f>F5/E5</f>
        <v>1.0967515324843513</v>
      </c>
      <c r="L5" s="47">
        <f>G5/F5</f>
        <v>1.0862484945510011</v>
      </c>
      <c r="M5" s="1536">
        <f>SUM(J5:L5)^1/3</f>
        <v>1.1346056304434926</v>
      </c>
    </row>
    <row r="6" spans="1:97" s="49" customFormat="1">
      <c r="A6" s="4262" t="s">
        <v>3</v>
      </c>
      <c r="B6" s="453" t="s">
        <v>4</v>
      </c>
      <c r="C6" s="4263">
        <f>[2]Thu03nam!C9</f>
        <v>7440000</v>
      </c>
      <c r="D6" s="4263">
        <f>[2]Thu03nam!H9</f>
        <v>7999999.7999999998</v>
      </c>
      <c r="E6" s="2746">
        <f>[2]Thu03nam!N9</f>
        <v>9066000</v>
      </c>
      <c r="F6" s="2746">
        <f>[2]Thu03nam!T9</f>
        <v>9999999.6999999993</v>
      </c>
      <c r="G6" s="2746">
        <f>[2]Thu03nam!Z9</f>
        <v>10870000</v>
      </c>
      <c r="H6" s="4264">
        <f>SUM(E6:G6)</f>
        <v>29935999.699999999</v>
      </c>
      <c r="J6" s="47">
        <f>E6/C6</f>
        <v>1.2185483870967742</v>
      </c>
      <c r="K6" s="47">
        <f t="shared" ref="K6:L6" si="0">F6/E6</f>
        <v>1.1030222479594087</v>
      </c>
      <c r="L6" s="47">
        <f t="shared" si="0"/>
        <v>1.0870000326100011</v>
      </c>
      <c r="M6" s="1536">
        <f>SUM(J6:L6)^1/3</f>
        <v>1.1361902225553948</v>
      </c>
    </row>
    <row r="7" spans="1:97" s="49" customFormat="1">
      <c r="A7" s="4262" t="s">
        <v>33</v>
      </c>
      <c r="B7" s="453" t="s">
        <v>828</v>
      </c>
      <c r="C7" s="4263">
        <f>[2]Thu03nam!C49</f>
        <v>150000</v>
      </c>
      <c r="D7" s="4263">
        <f>[2]Thu03nam!H49</f>
        <v>150745.51999999999</v>
      </c>
      <c r="E7" s="2746">
        <f>[2]Thu03nam!N49</f>
        <v>200000</v>
      </c>
      <c r="F7" s="2746">
        <f>[2]Thu03nam!T49</f>
        <v>162500</v>
      </c>
      <c r="G7" s="2746">
        <f>[2]Thu03nam!Z49</f>
        <v>169000</v>
      </c>
      <c r="H7" s="4264">
        <f>SUM(E7:G7)</f>
        <v>531500</v>
      </c>
      <c r="J7" s="47">
        <f>E7/C7</f>
        <v>1.3333333333333333</v>
      </c>
      <c r="K7" s="47">
        <f>F7/E7</f>
        <v>0.8125</v>
      </c>
      <c r="L7" s="47">
        <f>G7/F7</f>
        <v>1.04</v>
      </c>
      <c r="M7" s="1536">
        <f>SUM(J7:L7)^1/3</f>
        <v>1.0619444444444444</v>
      </c>
    </row>
    <row r="8" spans="1:97" s="1644" customFormat="1">
      <c r="A8" s="4265" t="s">
        <v>37</v>
      </c>
      <c r="B8" s="4266" t="s">
        <v>2419</v>
      </c>
      <c r="C8" s="4267">
        <f>SUM(C9,C15,C20)</f>
        <v>15819995</v>
      </c>
      <c r="D8" s="4267">
        <f>SUM(D9,D15,D20)</f>
        <v>16997394.800000001</v>
      </c>
      <c r="E8" s="4267">
        <f t="shared" ref="E8:H8" si="1">SUM(E9,E15,E20)</f>
        <v>18627479</v>
      </c>
      <c r="F8" s="4267">
        <f t="shared" si="1"/>
        <v>19481892.584698666</v>
      </c>
      <c r="G8" s="4267">
        <f>SUM(G9,G15,G20)</f>
        <v>20443693.848457854</v>
      </c>
      <c r="H8" s="4268">
        <f t="shared" si="1"/>
        <v>58553065.43315652</v>
      </c>
      <c r="I8" s="4269"/>
    </row>
    <row r="9" spans="1:97" s="2770" customFormat="1">
      <c r="A9" s="611" t="s">
        <v>3</v>
      </c>
      <c r="B9" s="1923" t="s">
        <v>2420</v>
      </c>
      <c r="C9" s="4263">
        <f>SUM(C10,C14,C19,C18)</f>
        <v>13191488</v>
      </c>
      <c r="D9" s="4263">
        <f t="shared" ref="D9:H9" si="2">SUM(D10,D14,D19,D18)</f>
        <v>14368887.800000001</v>
      </c>
      <c r="E9" s="4263">
        <f t="shared" si="2"/>
        <v>16638503</v>
      </c>
      <c r="F9" s="4263">
        <f t="shared" si="2"/>
        <v>17102407.284698665</v>
      </c>
      <c r="G9" s="4263">
        <f t="shared" si="2"/>
        <v>18064208.548457853</v>
      </c>
      <c r="H9" s="4270">
        <f t="shared" si="2"/>
        <v>51805118.833156519</v>
      </c>
      <c r="J9" s="4271">
        <f>H9-[2]CĐNSĐP03namBS!R6</f>
        <v>1955546.0717529356</v>
      </c>
    </row>
    <row r="10" spans="1:97" s="2770" customFormat="1">
      <c r="A10" s="603">
        <v>1</v>
      </c>
      <c r="B10" s="297" t="s">
        <v>831</v>
      </c>
      <c r="C10" s="4272">
        <f>[2]Thu03nam!E8</f>
        <v>6704000</v>
      </c>
      <c r="D10" s="4272">
        <f>[2]Thu03nam!K8</f>
        <v>7450399.7999999998</v>
      </c>
      <c r="E10" s="2748">
        <f>[2]Thu03nam!Q8</f>
        <v>8485000</v>
      </c>
      <c r="F10" s="2748">
        <f>[2]Thu03nam!W8</f>
        <v>9117505.0846986659</v>
      </c>
      <c r="G10" s="2748">
        <f>[2]Thu03nam!AC8</f>
        <v>9913851.3061085232</v>
      </c>
      <c r="H10" s="4273">
        <f>SUM(E10:G10)</f>
        <v>27516356.390807189</v>
      </c>
    </row>
    <row r="11" spans="1:97" s="4276" customFormat="1">
      <c r="A11" s="614" t="s">
        <v>99</v>
      </c>
      <c r="B11" s="2625" t="s">
        <v>832</v>
      </c>
      <c r="C11" s="4274">
        <f>C10-C12</f>
        <v>3374730</v>
      </c>
      <c r="D11" s="4274">
        <f>D10-D12</f>
        <v>3685519.7</v>
      </c>
      <c r="E11" s="1088">
        <f>E10-E12</f>
        <v>4901470</v>
      </c>
      <c r="F11" s="1088">
        <f>F10-F12</f>
        <v>4832105.3846986657</v>
      </c>
      <c r="G11" s="1088">
        <f>G10-G12</f>
        <v>5227851.3061085232</v>
      </c>
      <c r="H11" s="4275">
        <f>SUM(E11:G11)</f>
        <v>14961426.69080719</v>
      </c>
    </row>
    <row r="12" spans="1:97" s="4276" customFormat="1">
      <c r="A12" s="2629" t="s">
        <v>101</v>
      </c>
      <c r="B12" s="1924" t="s">
        <v>833</v>
      </c>
      <c r="C12" s="4274">
        <f>[2]Thu03nam!E12+[2]Thu03nam!E13+[2]Thu03nam!E18+[2]Thu03nam!E19+[2]Thu03nam!E20+[2]Thu03nam!E14+[2]Thu03nam!E24+[2]Thu03nam!E25+[2]Thu03nam!E29+[2]Thu03nam!E30+[2]Thu03nam!E31+[2]Thu03nam!E37+[2]Thu03nam!E38</f>
        <v>3329270</v>
      </c>
      <c r="D12" s="4274">
        <f>[2]Thu03nam!H12+[2]Thu03nam!H13+[2]Thu03nam!H14+[2]Thu03nam!H18+[2]Thu03nam!H19+[2]Thu03nam!H20+[2]Thu03nam!H24+[2]Thu03nam!H25+[2]Thu03nam!H29+[2]Thu03nam!H30+[2]Thu03nam!H31+[2]Thu03nam!H37+[2]Thu03nam!H38</f>
        <v>3764880.0999999996</v>
      </c>
      <c r="E12" s="1088">
        <f>[2]Thu03nam!Q12+[2]Thu03nam!Q13+[2]Thu03nam!Q14+[2]Thu03nam!Q18+[2]Thu03nam!Q19+[2]Thu03nam!Q20+[2]Thu03nam!Q24+[2]Thu03nam!Q25+[2]Thu03nam!Q29+[2]Thu03nam!Q30+[2]Thu03nam!Q31+[2]Thu03nam!Q37+[2]Thu03nam!Q38</f>
        <v>3583530</v>
      </c>
      <c r="F12" s="1088">
        <f>[2]Thu03nam!W12+[2]Thu03nam!W13+[2]Thu03nam!W14+[2]Thu03nam!W18+[2]Thu03nam!W19+[2]Thu03nam!W20+[2]Thu03nam!W24+[2]Thu03nam!W25+[2]Thu03nam!W29+[2]Thu03nam!W30+[2]Thu03nam!W31+[2]Thu03nam!W37+[2]Thu03nam!W38</f>
        <v>4285399.7</v>
      </c>
      <c r="G12" s="1088">
        <f>[2]Thu03nam!AC12+[2]Thu03nam!AC13+[2]Thu03nam!AC14+[2]Thu03nam!AC18+[2]Thu03nam!AC19+[2]Thu03nam!AC20+[2]Thu03nam!AC24+[2]Thu03nam!AC25+[2]Thu03nam!AC29+[2]Thu03nam!AC30+[2]Thu03nam!AC31+[2]Thu03nam!AC37+[2]Thu03nam!AC38</f>
        <v>4686000</v>
      </c>
      <c r="H12" s="4275">
        <f>SUM(E12:G12)</f>
        <v>12554929.699999999</v>
      </c>
    </row>
    <row r="13" spans="1:97" s="2770" customFormat="1">
      <c r="A13" s="603">
        <v>2</v>
      </c>
      <c r="B13" s="297" t="s">
        <v>834</v>
      </c>
      <c r="C13" s="4272">
        <f>SUM(C14:C15)</f>
        <v>9084495</v>
      </c>
      <c r="D13" s="4272">
        <f t="shared" ref="D13:G13" si="3">SUM(D14:D15)</f>
        <v>9084495</v>
      </c>
      <c r="E13" s="2748">
        <f t="shared" si="3"/>
        <v>8606164</v>
      </c>
      <c r="F13" s="2748">
        <f t="shared" si="3"/>
        <v>8996673.3000000007</v>
      </c>
      <c r="G13" s="2748">
        <f t="shared" si="3"/>
        <v>8996673.3000000007</v>
      </c>
      <c r="H13" s="4273">
        <f>SUM(H14:H15)</f>
        <v>26599510.600000001</v>
      </c>
    </row>
    <row r="14" spans="1:97" s="4276" customFormat="1">
      <c r="A14" s="614" t="s">
        <v>99</v>
      </c>
      <c r="B14" s="2625" t="s">
        <v>835</v>
      </c>
      <c r="C14" s="4274">
        <f>[2]Thu03nam!C53</f>
        <v>6487488</v>
      </c>
      <c r="D14" s="4274">
        <f>+[2]Thu03nam!H53</f>
        <v>6487488</v>
      </c>
      <c r="E14" s="1088">
        <f>[2]Thu03nam!N53</f>
        <v>6617188</v>
      </c>
      <c r="F14" s="1088">
        <f>[2]Thu03nam!T53</f>
        <v>6617188</v>
      </c>
      <c r="G14" s="1088">
        <f>[2]Thu03nam!Z53</f>
        <v>6617188</v>
      </c>
      <c r="H14" s="4275">
        <f>SUM(E14:G14)</f>
        <v>19851564</v>
      </c>
    </row>
    <row r="15" spans="1:97" s="4276" customFormat="1">
      <c r="A15" s="614" t="s">
        <v>101</v>
      </c>
      <c r="B15" s="2625" t="s">
        <v>207</v>
      </c>
      <c r="C15" s="4274">
        <f>SUM(C16:C18)</f>
        <v>2597007</v>
      </c>
      <c r="D15" s="4274">
        <f t="shared" ref="D15" si="4">SUM(D16:D18)</f>
        <v>2597007</v>
      </c>
      <c r="E15" s="1088">
        <f>SUM(E16:E18)-E18</f>
        <v>1988976</v>
      </c>
      <c r="F15" s="1088">
        <f t="shared" ref="F15:H15" si="5">SUM(F16:F18)-F18</f>
        <v>2379485.2999999998</v>
      </c>
      <c r="G15" s="1088">
        <f t="shared" si="5"/>
        <v>2379485.2999999998</v>
      </c>
      <c r="H15" s="4275">
        <f t="shared" si="5"/>
        <v>6747946.5999999996</v>
      </c>
    </row>
    <row r="16" spans="1:97" s="4276" customFormat="1">
      <c r="A16" s="1926" t="s">
        <v>29</v>
      </c>
      <c r="B16" s="46" t="str">
        <f>[2]Thu03nam!B55</f>
        <v>Bổ sung thực hiện mục tiêu, nhiệm vụ quan trọng (vốn đầu tư phát triển)</v>
      </c>
      <c r="C16" s="4274">
        <f>[2]Thu03nam!C55</f>
        <v>2417971</v>
      </c>
      <c r="D16" s="4274">
        <f>[2]Thu03nam!H55</f>
        <v>2417971</v>
      </c>
      <c r="E16" s="1088">
        <f>[2]Thu03nam!N55</f>
        <v>1814491</v>
      </c>
      <c r="F16" s="1088">
        <f>[2]Thu03nam!T55</f>
        <v>2205000</v>
      </c>
      <c r="G16" s="1088">
        <f>[2]Thu03nam!Z55</f>
        <v>2205000</v>
      </c>
      <c r="H16" s="4275">
        <f>SUM(E16:G16)</f>
        <v>6224491</v>
      </c>
    </row>
    <row r="17" spans="1:14" s="4276" customFormat="1">
      <c r="A17" s="1926" t="s">
        <v>29</v>
      </c>
      <c r="B17" s="46" t="str">
        <f>[2]Thu03nam!B56</f>
        <v>Bổ sung thực hiện mục tiêu, nhiệm vụ quan trọng (kinh phí sự nghiệp)</v>
      </c>
      <c r="C17" s="4274">
        <f>[2]Thu03nam!C56</f>
        <v>179036</v>
      </c>
      <c r="D17" s="4274">
        <f>[2]Thu03nam!H56</f>
        <v>179036</v>
      </c>
      <c r="E17" s="1088">
        <f>[2]Thu03nam!N56</f>
        <v>174485</v>
      </c>
      <c r="F17" s="1088">
        <f>[2]Thu03nam!T56</f>
        <v>174485.3</v>
      </c>
      <c r="G17" s="1088">
        <f>[2]Thu03nam!Z56</f>
        <v>174485.3</v>
      </c>
      <c r="H17" s="4275">
        <f>SUM(E17:G17)</f>
        <v>523455.6</v>
      </c>
    </row>
    <row r="18" spans="1:14" s="4276" customFormat="1">
      <c r="A18" s="1926" t="s">
        <v>29</v>
      </c>
      <c r="B18" s="46" t="str">
        <f>[2]Thu03nam!B57</f>
        <v>Bổ sung nguồn thực hiện CCTL (nếu có); đảm bảo nhiệm vụ chi</v>
      </c>
      <c r="C18" s="4274">
        <f>[2]Thu03nam!C57</f>
        <v>0</v>
      </c>
      <c r="D18" s="4274">
        <f>[2]Thu03nam!H57</f>
        <v>0</v>
      </c>
      <c r="E18" s="1088">
        <f>[2]Thu03nam!N57</f>
        <v>650315</v>
      </c>
      <c r="F18" s="1088">
        <f>[2]Thu03nam!T57</f>
        <v>650315</v>
      </c>
      <c r="G18" s="1088">
        <f>[2]Thu03nam!Z57</f>
        <v>650315</v>
      </c>
      <c r="H18" s="4275">
        <f>SUM(E18:G18)</f>
        <v>1950945</v>
      </c>
    </row>
    <row r="19" spans="1:14" s="2770" customFormat="1">
      <c r="A19" s="603">
        <v>3</v>
      </c>
      <c r="B19" s="1929" t="s">
        <v>1531</v>
      </c>
      <c r="C19" s="4272">
        <f>[2]Thu03nam!C58</f>
        <v>0</v>
      </c>
      <c r="D19" s="4272">
        <f>[2]Thu03nam!H58</f>
        <v>431000</v>
      </c>
      <c r="E19" s="2748">
        <f>[2]Thu03nam!N58</f>
        <v>886000</v>
      </c>
      <c r="F19" s="2748">
        <f>[2]Thu03nam!T58</f>
        <v>717399.2</v>
      </c>
      <c r="G19" s="2748">
        <f>[2]Thu03nam!Z58</f>
        <v>882854.2423493322</v>
      </c>
      <c r="H19" s="4273">
        <f>SUM(E19:G19)</f>
        <v>2486253.4423493324</v>
      </c>
    </row>
    <row r="20" spans="1:14" s="1644" customFormat="1">
      <c r="A20" s="4265" t="s">
        <v>33</v>
      </c>
      <c r="B20" s="2699" t="s">
        <v>47</v>
      </c>
      <c r="C20" s="4267">
        <f>[2]Thu03nam!C59</f>
        <v>31500</v>
      </c>
      <c r="D20" s="4267">
        <f>[2]Thu03nam!H59</f>
        <v>31500</v>
      </c>
      <c r="E20" s="2742">
        <f>[2]Thu03nam!N59</f>
        <v>0</v>
      </c>
      <c r="F20" s="2742">
        <f>[2]Thu03nam!T59</f>
        <v>0</v>
      </c>
      <c r="G20" s="2742">
        <f>[2]Thu03nam!Z59</f>
        <v>0</v>
      </c>
      <c r="H20" s="4277">
        <f t="shared" ref="H20" si="6">SUM(E20:G20)</f>
        <v>0</v>
      </c>
    </row>
    <row r="21" spans="1:14" s="1644" customFormat="1">
      <c r="A21" s="4265" t="s">
        <v>44</v>
      </c>
      <c r="B21" s="4278" t="s">
        <v>837</v>
      </c>
      <c r="C21" s="4267">
        <f>SUM(C22,C31:C31,C35)</f>
        <v>15819995</v>
      </c>
      <c r="D21" s="4267">
        <f t="shared" ref="D21:G21" si="7">SUM(D22,D31:D31,D35)</f>
        <v>17291694.066666666</v>
      </c>
      <c r="E21" s="2742">
        <f t="shared" si="7"/>
        <v>18627408.915999997</v>
      </c>
      <c r="F21" s="2742">
        <f t="shared" si="7"/>
        <v>19480339.542349335</v>
      </c>
      <c r="G21" s="2742">
        <f t="shared" si="7"/>
        <v>20440715.503054265</v>
      </c>
      <c r="H21" s="2745">
        <f>SUM(H22,H31:H31,H35)</f>
        <v>58548463.961403593</v>
      </c>
    </row>
    <row r="22" spans="1:14">
      <c r="A22" s="4262" t="s">
        <v>3</v>
      </c>
      <c r="B22" s="453" t="s">
        <v>142</v>
      </c>
      <c r="C22" s="4263">
        <f>SUM(C23:C30)</f>
        <v>13191488</v>
      </c>
      <c r="D22" s="4263">
        <f>SUM(D23:D30)</f>
        <v>14663187.066666666</v>
      </c>
      <c r="E22" s="2746">
        <f>SUM(E23:E30)</f>
        <v>16638432.915999997</v>
      </c>
      <c r="F22" s="2746">
        <f t="shared" ref="F22:G22" si="8">SUM(F23:F30)</f>
        <v>17100854.242349334</v>
      </c>
      <c r="G22" s="2746">
        <f t="shared" si="8"/>
        <v>18061230.203054264</v>
      </c>
      <c r="H22" s="4264">
        <f>SUM(H23:H30)</f>
        <v>51800517.361403592</v>
      </c>
      <c r="J22" s="47">
        <f>E22/C22</f>
        <v>1.2613006899600709</v>
      </c>
      <c r="K22" s="47">
        <f>F22/E22</f>
        <v>1.0277923605356283</v>
      </c>
      <c r="L22" s="47">
        <f t="shared" ref="L22" si="9">G22/F22</f>
        <v>1.0561595313950229</v>
      </c>
      <c r="M22" s="1536">
        <f>SUM(J22:L22)^1/3</f>
        <v>1.1150841939635743</v>
      </c>
      <c r="N22" s="679"/>
    </row>
    <row r="23" spans="1:14">
      <c r="A23" s="4279">
        <v>1</v>
      </c>
      <c r="B23" s="518" t="s">
        <v>208</v>
      </c>
      <c r="C23" s="4272">
        <f>[2]ChiNSĐP03nam!C9</f>
        <v>3561000</v>
      </c>
      <c r="D23" s="4272">
        <f>[2]ChiNSĐP03nam!F9</f>
        <v>4091000</v>
      </c>
      <c r="E23" s="2743">
        <f>[2]ChiNSĐP03nam!K9</f>
        <v>4923186.4089698764</v>
      </c>
      <c r="F23" s="2743">
        <f>[2]ChiNSĐP03nam!P9</f>
        <v>4795000</v>
      </c>
      <c r="G23" s="2743">
        <f>[2]ChiNSĐP03nam!U9</f>
        <v>5085000</v>
      </c>
      <c r="H23" s="4280">
        <f t="shared" ref="H23:H30" si="10">SUM(E23:G23)</f>
        <v>14803186.408969875</v>
      </c>
      <c r="J23" s="1637">
        <f>H23/H22</f>
        <v>0.28577294519455293</v>
      </c>
    </row>
    <row r="24" spans="1:14">
      <c r="A24" s="4279">
        <v>2</v>
      </c>
      <c r="B24" s="518" t="s">
        <v>209</v>
      </c>
      <c r="C24" s="4272">
        <f>[2]ChiNSĐP03nam!C15</f>
        <v>9353865</v>
      </c>
      <c r="D24" s="4272">
        <f>[2]ChiNSĐP03nam!F15</f>
        <v>9353865</v>
      </c>
      <c r="E24" s="2743">
        <f>[2]ChiNSĐP03nam!K15</f>
        <v>10664978.394711081</v>
      </c>
      <c r="F24" s="2743">
        <f>[2]ChiNSĐP03nam!P15</f>
        <v>11071000</v>
      </c>
      <c r="G24" s="2743">
        <f>[2]ChiNSĐP03nam!U15</f>
        <v>11373000</v>
      </c>
      <c r="H24" s="4280">
        <f t="shared" si="10"/>
        <v>33108978.394711081</v>
      </c>
      <c r="J24" s="1637">
        <f>H24/H22</f>
        <v>0.63916308332820782</v>
      </c>
    </row>
    <row r="25" spans="1:14">
      <c r="A25" s="4279">
        <v>3</v>
      </c>
      <c r="B25" s="4281" t="s">
        <v>210</v>
      </c>
      <c r="C25" s="4272">
        <f>'[2]Phụ lục số 2'!C31</f>
        <v>0</v>
      </c>
      <c r="D25" s="4272">
        <f>[2]ChiNSĐP03nam!F31</f>
        <v>431000</v>
      </c>
      <c r="E25" s="2743">
        <f>[2]ChiNSĐP03nam!K31</f>
        <v>0</v>
      </c>
      <c r="F25" s="2743">
        <f>[2]ChiNSĐP03nam!P31</f>
        <v>0</v>
      </c>
      <c r="G25" s="2743">
        <f>[2]ChiNSĐP03nam!U31</f>
        <v>0</v>
      </c>
      <c r="H25" s="4280">
        <f t="shared" si="10"/>
        <v>0</v>
      </c>
    </row>
    <row r="26" spans="1:14" s="2770" customFormat="1">
      <c r="A26" s="603">
        <v>4</v>
      </c>
      <c r="B26" s="46" t="s">
        <v>211</v>
      </c>
      <c r="C26" s="4272">
        <f>'[2]Phụ lục số 2'!C32</f>
        <v>0</v>
      </c>
      <c r="D26" s="4272">
        <f>[2]ChiNSĐP03nam!F32</f>
        <v>357489.34666666656</v>
      </c>
      <c r="E26" s="2748">
        <f>[2]ChiNSĐP03nam!K32</f>
        <v>717399.2</v>
      </c>
      <c r="F26" s="2748">
        <f>[2]ChiNSĐP03nam!P32</f>
        <v>882854.2423493322</v>
      </c>
      <c r="G26" s="2748">
        <f>[2]ChiNSĐP03nam!U32</f>
        <v>1237230.2030542626</v>
      </c>
      <c r="H26" s="4273">
        <f>SUM(E26:G26)</f>
        <v>2837483.6454035947</v>
      </c>
      <c r="J26" s="2770">
        <v>48229</v>
      </c>
    </row>
    <row r="27" spans="1:14" s="2770" customFormat="1">
      <c r="A27" s="603">
        <v>5</v>
      </c>
      <c r="B27" s="46" t="s">
        <v>212</v>
      </c>
      <c r="C27" s="4272">
        <f>'[2]Phụ lục số 2'!C33</f>
        <v>0</v>
      </c>
      <c r="D27" s="4272">
        <f>[2]ChiNSĐP03nam!F33</f>
        <v>153209.71999999997</v>
      </c>
      <c r="E27" s="2748">
        <f>[2]ChiNSĐP03nam!K33</f>
        <v>0</v>
      </c>
      <c r="F27" s="2748">
        <f>[2]ChiNSĐP03nam!P33</f>
        <v>0</v>
      </c>
      <c r="G27" s="2748">
        <f>[2]ChiNSĐP03nam!U33</f>
        <v>0</v>
      </c>
      <c r="H27" s="4273">
        <f t="shared" si="10"/>
        <v>0</v>
      </c>
      <c r="J27" s="2770">
        <v>52197</v>
      </c>
    </row>
    <row r="28" spans="1:14" s="2770" customFormat="1">
      <c r="A28" s="603">
        <v>6</v>
      </c>
      <c r="B28" s="1929" t="s">
        <v>174</v>
      </c>
      <c r="C28" s="4272">
        <f>[2]ChiNSĐP03nam!C29</f>
        <v>2000</v>
      </c>
      <c r="D28" s="4272">
        <f>[2]ChiNSĐP03nam!F29</f>
        <v>2000</v>
      </c>
      <c r="E28" s="2748">
        <f>[2]ChiNSĐP03nam!K29</f>
        <v>2000</v>
      </c>
      <c r="F28" s="2748">
        <f>[2]ChiNSĐP03nam!P29</f>
        <v>2000</v>
      </c>
      <c r="G28" s="2748">
        <f>[2]ChiNSĐP03nam!U29</f>
        <v>2000</v>
      </c>
      <c r="H28" s="4273">
        <f t="shared" si="10"/>
        <v>6000</v>
      </c>
    </row>
    <row r="29" spans="1:14" s="2770" customFormat="1">
      <c r="A29" s="603">
        <v>7</v>
      </c>
      <c r="B29" s="1929" t="s">
        <v>175</v>
      </c>
      <c r="C29" s="4272">
        <f>[2]ChiNSĐP03nam!C30</f>
        <v>274623</v>
      </c>
      <c r="D29" s="4272">
        <f>[2]ChiNSĐP03nam!F30</f>
        <v>274623</v>
      </c>
      <c r="E29" s="2748">
        <f>[2]ChiNSĐP03nam!K30</f>
        <v>327868.91231904214</v>
      </c>
      <c r="F29" s="2748">
        <f>[2]ChiNSĐP03nam!P30</f>
        <v>347000</v>
      </c>
      <c r="G29" s="2748">
        <f>[2]ChiNSĐP03nam!U30</f>
        <v>361000</v>
      </c>
      <c r="H29" s="4273">
        <f t="shared" si="10"/>
        <v>1035868.9123190421</v>
      </c>
    </row>
    <row r="30" spans="1:14" s="2770" customFormat="1">
      <c r="A30" s="603">
        <v>8</v>
      </c>
      <c r="B30" s="1929" t="s">
        <v>213</v>
      </c>
      <c r="C30" s="4272">
        <f>[2]ChiNSĐP03nam!C34</f>
        <v>0</v>
      </c>
      <c r="D30" s="4272">
        <f>[2]ChiNSĐP03nam!F34</f>
        <v>0</v>
      </c>
      <c r="E30" s="2748">
        <f>[2]ChiNSĐP03nam!K34</f>
        <v>3000</v>
      </c>
      <c r="F30" s="2748">
        <f>[2]ChiNSĐP03nam!P34</f>
        <v>3000</v>
      </c>
      <c r="G30" s="2748">
        <f>[2]ChiNSĐP03nam!U34</f>
        <v>3000</v>
      </c>
      <c r="H30" s="4273">
        <f t="shared" si="10"/>
        <v>9000</v>
      </c>
    </row>
    <row r="31" spans="1:14" s="2770" customFormat="1">
      <c r="A31" s="611" t="s">
        <v>33</v>
      </c>
      <c r="B31" s="1923" t="s">
        <v>841</v>
      </c>
      <c r="C31" s="4263">
        <f>SUM(C32:C34)</f>
        <v>2597007</v>
      </c>
      <c r="D31" s="4263">
        <f>SUM(D32:D34)</f>
        <v>2597007</v>
      </c>
      <c r="E31" s="4263">
        <f t="shared" ref="E31:G31" si="11">SUM(E32:E34)</f>
        <v>1988976</v>
      </c>
      <c r="F31" s="4263">
        <f t="shared" si="11"/>
        <v>2379485.2999999998</v>
      </c>
      <c r="G31" s="4263">
        <f t="shared" si="11"/>
        <v>2379485.2999999998</v>
      </c>
      <c r="H31" s="4270">
        <f>SUM(H32:H34)</f>
        <v>6747946.5999999996</v>
      </c>
    </row>
    <row r="32" spans="1:14">
      <c r="A32" s="603">
        <v>1</v>
      </c>
      <c r="B32" s="46" t="str">
        <f>'[2]Phụ lục số 2'!B36</f>
        <v>Chi thực hiện mục tiêu, nhiệm vụ quan trọng (vốn đầu tư phát triển)</v>
      </c>
      <c r="C32" s="4282">
        <f>[2]ChiNSĐP03nam!C36</f>
        <v>2417971</v>
      </c>
      <c r="D32" s="4282">
        <f>[2]ChiNSĐP03nam!F36</f>
        <v>2417971</v>
      </c>
      <c r="E32" s="4282">
        <f>[2]ChiNSĐP03nam!K36</f>
        <v>1814491</v>
      </c>
      <c r="F32" s="4282">
        <f>[2]ChiNSĐP03nam!P36</f>
        <v>2205000</v>
      </c>
      <c r="G32" s="4282">
        <f>[2]ChiNSĐP03nam!U36</f>
        <v>2205000</v>
      </c>
      <c r="H32" s="4273">
        <f>SUM(E32:G32)</f>
        <v>6224491</v>
      </c>
    </row>
    <row r="33" spans="1:11">
      <c r="A33" s="603">
        <v>2</v>
      </c>
      <c r="B33" s="46" t="str">
        <f>'[2]Phụ lục số 2'!B37</f>
        <v>Chi thực hiện mục tiêu, nhiệm vụ quan trọng (kinh phí sự nghiệp)</v>
      </c>
      <c r="C33" s="4282">
        <f>[2]ChiNSĐP03nam!C37</f>
        <v>179036</v>
      </c>
      <c r="D33" s="4282">
        <f>[2]ChiNSĐP03nam!F37</f>
        <v>179036</v>
      </c>
      <c r="E33" s="4282">
        <f>[2]ChiNSĐP03nam!K37</f>
        <v>174485</v>
      </c>
      <c r="F33" s="4282">
        <f>[2]ChiNSĐP03nam!P37</f>
        <v>174485.3</v>
      </c>
      <c r="G33" s="4282">
        <f>[2]ChiNSĐP03nam!U37</f>
        <v>174485.3</v>
      </c>
      <c r="H33" s="4273">
        <f>SUM(E33:G33)</f>
        <v>523455.6</v>
      </c>
      <c r="K33" s="47" t="s">
        <v>117</v>
      </c>
    </row>
    <row r="34" spans="1:11">
      <c r="A34" s="603">
        <v>3</v>
      </c>
      <c r="B34" s="46" t="str">
        <f>'[2]Phụ lục số 2'!B38</f>
        <v>Chi bổ sung có mục tiêu nhiệm vụ quan trọng khác (nếu có)</v>
      </c>
      <c r="C34" s="4282">
        <f>[2]ChiNSĐP03nam!C38</f>
        <v>0</v>
      </c>
      <c r="D34" s="4282">
        <f>[2]ChiNSĐP03nam!F38</f>
        <v>0</v>
      </c>
      <c r="E34" s="4282">
        <f>[2]ChiNSĐP03nam!K38</f>
        <v>0</v>
      </c>
      <c r="F34" s="4282">
        <f>[2]ChiNSĐP03nam!P38</f>
        <v>0</v>
      </c>
      <c r="G34" s="4282">
        <f>[2]ChiNSĐP03nam!U38</f>
        <v>0</v>
      </c>
      <c r="H34" s="4273">
        <f t="shared" ref="H34:H46" si="12">SUM(E34:G34)</f>
        <v>0</v>
      </c>
    </row>
    <row r="35" spans="1:11" s="4287" customFormat="1" ht="18.600000000000001" thickBot="1">
      <c r="A35" s="1935" t="s">
        <v>182</v>
      </c>
      <c r="B35" s="1660" t="s">
        <v>181</v>
      </c>
      <c r="C35" s="4283">
        <f>[2]ChiNSĐP03nam!C39</f>
        <v>31500</v>
      </c>
      <c r="D35" s="4283">
        <f>[2]ChiNSĐP03nam!F39</f>
        <v>31500</v>
      </c>
      <c r="E35" s="2749">
        <f>[2]ChiNSĐP03nam!K39</f>
        <v>0</v>
      </c>
      <c r="F35" s="4284">
        <f>[2]ChiNSĐP03nam!P39</f>
        <v>0</v>
      </c>
      <c r="G35" s="4285">
        <f>[2]ChiNSĐP03nam!U39</f>
        <v>0</v>
      </c>
      <c r="H35" s="4286">
        <f t="shared" si="12"/>
        <v>0</v>
      </c>
    </row>
    <row r="36" spans="1:11" ht="18.600000000000001" thickTop="1">
      <c r="A36" s="4288" t="s">
        <v>46</v>
      </c>
      <c r="B36" s="4289" t="s">
        <v>2150</v>
      </c>
      <c r="C36" s="4290"/>
      <c r="D36" s="4291"/>
      <c r="E36" s="4291"/>
      <c r="F36" s="4291"/>
      <c r="G36" s="4291"/>
      <c r="H36" s="4292">
        <f t="shared" si="12"/>
        <v>0</v>
      </c>
    </row>
    <row r="37" spans="1:11" ht="34.799999999999997">
      <c r="A37" s="1085" t="s">
        <v>725</v>
      </c>
      <c r="B37" s="4293" t="s">
        <v>2151</v>
      </c>
      <c r="C37" s="4294"/>
      <c r="D37" s="4295"/>
      <c r="E37" s="4295"/>
      <c r="F37" s="4295"/>
      <c r="G37" s="4295"/>
      <c r="H37" s="46">
        <f t="shared" si="12"/>
        <v>0</v>
      </c>
    </row>
    <row r="38" spans="1:11">
      <c r="A38" s="1085" t="s">
        <v>3</v>
      </c>
      <c r="B38" s="4293" t="s">
        <v>2021</v>
      </c>
      <c r="C38" s="4294"/>
      <c r="D38" s="4295"/>
      <c r="E38" s="4295"/>
      <c r="F38" s="4295"/>
      <c r="G38" s="4295"/>
      <c r="H38" s="46">
        <f t="shared" si="12"/>
        <v>0</v>
      </c>
    </row>
    <row r="39" spans="1:11">
      <c r="A39" s="1085" t="s">
        <v>33</v>
      </c>
      <c r="B39" s="4293" t="s">
        <v>2022</v>
      </c>
      <c r="C39" s="4294"/>
      <c r="D39" s="4295"/>
      <c r="E39" s="4295"/>
      <c r="F39" s="4295"/>
      <c r="G39" s="4295"/>
      <c r="H39" s="46">
        <f t="shared" si="12"/>
        <v>0</v>
      </c>
    </row>
    <row r="40" spans="1:11">
      <c r="A40" s="1085" t="s">
        <v>182</v>
      </c>
      <c r="B40" s="4293" t="s">
        <v>2152</v>
      </c>
      <c r="C40" s="4294"/>
      <c r="D40" s="4295"/>
      <c r="E40" s="4295"/>
      <c r="F40" s="4295"/>
      <c r="G40" s="4295"/>
      <c r="H40" s="46">
        <f t="shared" si="12"/>
        <v>0</v>
      </c>
    </row>
    <row r="41" spans="1:11">
      <c r="A41" s="1084">
        <v>1</v>
      </c>
      <c r="B41" s="4296" t="s">
        <v>2026</v>
      </c>
      <c r="C41" s="2773"/>
      <c r="D41" s="4297"/>
      <c r="E41" s="4297"/>
      <c r="F41" s="4297"/>
      <c r="G41" s="4297"/>
      <c r="H41" s="46">
        <f t="shared" si="12"/>
        <v>0</v>
      </c>
    </row>
    <row r="42" spans="1:11" ht="36">
      <c r="A42" s="1084">
        <v>2</v>
      </c>
      <c r="B42" s="4296" t="s">
        <v>2153</v>
      </c>
      <c r="C42" s="2773"/>
      <c r="D42" s="4297"/>
      <c r="E42" s="4297"/>
      <c r="F42" s="4297"/>
      <c r="G42" s="4297"/>
      <c r="H42" s="46">
        <f t="shared" si="12"/>
        <v>0</v>
      </c>
    </row>
    <row r="43" spans="1:11">
      <c r="A43" s="1085" t="s">
        <v>215</v>
      </c>
      <c r="B43" s="4293" t="s">
        <v>2154</v>
      </c>
      <c r="C43" s="4294"/>
      <c r="D43" s="4295"/>
      <c r="E43" s="4295"/>
      <c r="F43" s="4295"/>
      <c r="G43" s="4295"/>
      <c r="H43" s="46">
        <f t="shared" si="12"/>
        <v>0</v>
      </c>
    </row>
    <row r="44" spans="1:11">
      <c r="A44" s="1084">
        <v>1</v>
      </c>
      <c r="B44" s="4296" t="s">
        <v>2029</v>
      </c>
      <c r="C44" s="2773"/>
      <c r="D44" s="4297"/>
      <c r="E44" s="4297"/>
      <c r="F44" s="4297"/>
      <c r="G44" s="4297"/>
      <c r="H44" s="46">
        <f t="shared" si="12"/>
        <v>0</v>
      </c>
    </row>
    <row r="45" spans="1:11">
      <c r="A45" s="1084">
        <v>2</v>
      </c>
      <c r="B45" s="4296" t="s">
        <v>2030</v>
      </c>
      <c r="C45" s="2773"/>
      <c r="D45" s="4297"/>
      <c r="E45" s="4297"/>
      <c r="F45" s="4297"/>
      <c r="G45" s="4297"/>
      <c r="H45" s="46">
        <f t="shared" si="12"/>
        <v>0</v>
      </c>
    </row>
    <row r="46" spans="1:11">
      <c r="A46" s="1085" t="s">
        <v>718</v>
      </c>
      <c r="B46" s="4293" t="s">
        <v>2031</v>
      </c>
      <c r="C46" s="4294"/>
      <c r="D46" s="4295"/>
      <c r="E46" s="4295"/>
      <c r="F46" s="4295"/>
      <c r="G46" s="4295"/>
      <c r="H46" s="46">
        <f t="shared" si="12"/>
        <v>0</v>
      </c>
    </row>
    <row r="48" spans="1:11">
      <c r="D48" s="679">
        <f>D21-D8</f>
        <v>294299.26666666567</v>
      </c>
      <c r="E48" s="679">
        <f t="shared" ref="E48:G48" si="13">E21-E8</f>
        <v>-70.084000002592802</v>
      </c>
      <c r="F48" s="679">
        <f>F21-F8</f>
        <v>-1553.0423493310809</v>
      </c>
      <c r="G48" s="679">
        <f t="shared" si="13"/>
        <v>-2978.3454035893083</v>
      </c>
      <c r="H48" s="679">
        <f>H21-H8</f>
        <v>-4601.4717529267073</v>
      </c>
    </row>
  </sheetData>
  <mergeCells count="2">
    <mergeCell ref="A1:H1"/>
    <mergeCell ref="D2:E2"/>
  </mergeCells>
  <hyperlinks>
    <hyperlink ref="A4" location="'Danh mục file'!A1" display="TT"/>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50"/>
  </sheetPr>
  <dimension ref="A1:AF88"/>
  <sheetViews>
    <sheetView workbookViewId="0">
      <selection activeCell="K19" sqref="K19"/>
    </sheetView>
  </sheetViews>
  <sheetFormatPr defaultColWidth="10.33203125" defaultRowHeight="16.8"/>
  <cols>
    <col min="1" max="1" width="4.88671875" style="4336" customWidth="1"/>
    <col min="2" max="2" width="37.44140625" style="4299" customWidth="1"/>
    <col min="3" max="17" width="10.88671875" style="4299" customWidth="1"/>
    <col min="18" max="20" width="11.5546875" style="4299" customWidth="1"/>
    <col min="21" max="21" width="20" style="4299" customWidth="1"/>
    <col min="22" max="22" width="18.88671875" style="4299" customWidth="1"/>
    <col min="23" max="23" width="15.88671875" style="4299" customWidth="1"/>
    <col min="24" max="24" width="18.88671875" style="4299" customWidth="1"/>
    <col min="25" max="25" width="19.44140625" style="4299" customWidth="1"/>
    <col min="26" max="26" width="19" style="4299" customWidth="1"/>
    <col min="27" max="27" width="33.88671875" style="4299" customWidth="1"/>
    <col min="28" max="28" width="14.33203125" style="4299" customWidth="1"/>
    <col min="29" max="29" width="12.5546875" style="4299" customWidth="1"/>
    <col min="30" max="30" width="46.6640625" style="4299" bestFit="1" customWidth="1"/>
    <col min="31" max="16384" width="10.33203125" style="4299"/>
  </cols>
  <sheetData>
    <row r="1" spans="1:32" ht="34.5" customHeight="1">
      <c r="A1" s="6133" t="s">
        <v>2421</v>
      </c>
      <c r="B1" s="6133"/>
      <c r="C1" s="6133"/>
      <c r="D1" s="6133"/>
      <c r="E1" s="6133"/>
      <c r="F1" s="6133"/>
      <c r="G1" s="6133"/>
      <c r="H1" s="6133"/>
      <c r="I1" s="6133"/>
      <c r="J1" s="6133"/>
      <c r="K1" s="6133"/>
      <c r="L1" s="6133"/>
      <c r="M1" s="6133"/>
      <c r="N1" s="6133"/>
      <c r="O1" s="6133"/>
      <c r="P1" s="6133"/>
      <c r="Q1" s="6133"/>
      <c r="R1" s="4298"/>
      <c r="S1" s="4298"/>
      <c r="T1" s="4298"/>
      <c r="U1" s="1192"/>
      <c r="V1" s="1192"/>
      <c r="W1" s="1192"/>
      <c r="X1" s="1192"/>
      <c r="Y1" s="1192"/>
      <c r="Z1" s="1192"/>
      <c r="AC1" s="1382"/>
    </row>
    <row r="2" spans="1:32" ht="17.399999999999999" thickBot="1">
      <c r="A2" s="1410"/>
      <c r="B2" s="1410"/>
      <c r="C2" s="1410"/>
      <c r="D2" s="1410"/>
      <c r="E2" s="1410"/>
      <c r="F2" s="1410"/>
      <c r="G2" s="1192"/>
      <c r="H2" s="2428"/>
      <c r="L2" s="1409"/>
      <c r="M2" s="1409"/>
      <c r="N2" s="4300"/>
      <c r="O2" s="1409"/>
      <c r="P2" s="1409"/>
      <c r="Q2" s="1409"/>
      <c r="R2" s="6350" t="s">
        <v>964</v>
      </c>
      <c r="S2" s="6350"/>
      <c r="T2" s="6350"/>
      <c r="U2" s="1192"/>
      <c r="V2" s="1192"/>
      <c r="W2" s="1192"/>
      <c r="X2" s="1192"/>
      <c r="Y2" s="1192"/>
      <c r="Z2" s="1192"/>
    </row>
    <row r="3" spans="1:32" s="4301" customFormat="1" ht="17.25" customHeight="1">
      <c r="A3" s="6351" t="s">
        <v>200</v>
      </c>
      <c r="B3" s="6353" t="s">
        <v>201</v>
      </c>
      <c r="C3" s="6355" t="s">
        <v>2422</v>
      </c>
      <c r="D3" s="6355"/>
      <c r="E3" s="6355"/>
      <c r="F3" s="6356" t="s">
        <v>2423</v>
      </c>
      <c r="G3" s="6357"/>
      <c r="H3" s="6358"/>
      <c r="I3" s="6356" t="s">
        <v>219</v>
      </c>
      <c r="J3" s="6357"/>
      <c r="K3" s="6358"/>
      <c r="L3" s="6356" t="s">
        <v>2424</v>
      </c>
      <c r="M3" s="6357"/>
      <c r="N3" s="6358"/>
      <c r="O3" s="6356" t="s">
        <v>2141</v>
      </c>
      <c r="P3" s="6357"/>
      <c r="Q3" s="6359"/>
      <c r="R3" s="6348" t="s">
        <v>2425</v>
      </c>
      <c r="S3" s="6348"/>
      <c r="T3" s="6349"/>
      <c r="U3" s="6347" t="s">
        <v>2426</v>
      </c>
      <c r="V3" s="6348"/>
      <c r="W3" s="6349"/>
      <c r="X3" s="6347" t="s">
        <v>2427</v>
      </c>
      <c r="Y3" s="6348"/>
      <c r="Z3" s="6349"/>
      <c r="AA3" s="6347" t="s">
        <v>2428</v>
      </c>
      <c r="AB3" s="6348"/>
      <c r="AC3" s="6349"/>
      <c r="AD3" s="6347" t="s">
        <v>2429</v>
      </c>
      <c r="AE3" s="6348"/>
      <c r="AF3" s="6349"/>
    </row>
    <row r="4" spans="1:32" s="4301" customFormat="1">
      <c r="A4" s="6352"/>
      <c r="B4" s="6354"/>
      <c r="C4" s="2237" t="s">
        <v>220</v>
      </c>
      <c r="D4" s="4302" t="s">
        <v>221</v>
      </c>
      <c r="E4" s="4302" t="s">
        <v>222</v>
      </c>
      <c r="F4" s="2237" t="s">
        <v>220</v>
      </c>
      <c r="G4" s="4302" t="s">
        <v>221</v>
      </c>
      <c r="H4" s="4302" t="s">
        <v>222</v>
      </c>
      <c r="I4" s="2237" t="s">
        <v>220</v>
      </c>
      <c r="J4" s="4302" t="s">
        <v>221</v>
      </c>
      <c r="K4" s="4302" t="s">
        <v>222</v>
      </c>
      <c r="L4" s="2237" t="s">
        <v>220</v>
      </c>
      <c r="M4" s="4302" t="s">
        <v>221</v>
      </c>
      <c r="N4" s="4302" t="s">
        <v>222</v>
      </c>
      <c r="O4" s="2237" t="s">
        <v>220</v>
      </c>
      <c r="P4" s="4302" t="s">
        <v>221</v>
      </c>
      <c r="Q4" s="4303" t="s">
        <v>222</v>
      </c>
      <c r="R4" s="4304" t="s">
        <v>220</v>
      </c>
      <c r="S4" s="4302" t="s">
        <v>221</v>
      </c>
      <c r="T4" s="4302" t="s">
        <v>222</v>
      </c>
      <c r="U4" s="2237" t="s">
        <v>220</v>
      </c>
      <c r="V4" s="1586" t="s">
        <v>1839</v>
      </c>
      <c r="W4" s="1586" t="s">
        <v>1840</v>
      </c>
      <c r="X4" s="2237" t="s">
        <v>220</v>
      </c>
      <c r="Y4" s="1586" t="s">
        <v>1839</v>
      </c>
      <c r="Z4" s="1586" t="s">
        <v>1840</v>
      </c>
      <c r="AA4" s="2237" t="s">
        <v>220</v>
      </c>
      <c r="AB4" s="1586" t="s">
        <v>1839</v>
      </c>
      <c r="AC4" s="1586" t="s">
        <v>1840</v>
      </c>
      <c r="AD4" s="2237" t="s">
        <v>220</v>
      </c>
      <c r="AE4" s="1586" t="s">
        <v>1839</v>
      </c>
      <c r="AF4" s="1586" t="s">
        <v>1840</v>
      </c>
    </row>
    <row r="5" spans="1:32" s="4301" customFormat="1" ht="17.399999999999999">
      <c r="A5" s="4305" t="s">
        <v>1</v>
      </c>
      <c r="B5" s="4306" t="s">
        <v>233</v>
      </c>
      <c r="C5" s="4307">
        <f t="shared" ref="C5:T5" si="0">SUM(C8,C13,C19,C20)</f>
        <v>15819995</v>
      </c>
      <c r="D5" s="4307">
        <f t="shared" si="0"/>
        <v>12922645</v>
      </c>
      <c r="E5" s="4307">
        <f t="shared" si="0"/>
        <v>2897350</v>
      </c>
      <c r="F5" s="4307">
        <f t="shared" si="0"/>
        <v>16997394.800000001</v>
      </c>
      <c r="G5" s="4307">
        <f t="shared" si="0"/>
        <v>13068045.733333334</v>
      </c>
      <c r="H5" s="4307">
        <f t="shared" si="0"/>
        <v>3929349.0666666664</v>
      </c>
      <c r="I5" s="4307">
        <f>SUM(I8,I13,I19,I20)</f>
        <v>18627479</v>
      </c>
      <c r="J5" s="4307">
        <f>SUM(J8,J13,J19,J20)</f>
        <v>13800899</v>
      </c>
      <c r="K5" s="4307">
        <f t="shared" si="0"/>
        <v>4826580</v>
      </c>
      <c r="L5" s="4308">
        <f t="shared" si="0"/>
        <v>19481892.584698666</v>
      </c>
      <c r="M5" s="4307">
        <f t="shared" si="0"/>
        <v>15347532.326977219</v>
      </c>
      <c r="N5" s="4307">
        <f t="shared" si="0"/>
        <v>4134360.2577214451</v>
      </c>
      <c r="O5" s="4307">
        <f>SUM(O8,O13,O19,O20)</f>
        <v>20443693.848457858</v>
      </c>
      <c r="P5" s="4307">
        <f t="shared" si="0"/>
        <v>16389010.053869789</v>
      </c>
      <c r="Q5" s="4309">
        <f t="shared" si="0"/>
        <v>4054683.7945880671</v>
      </c>
      <c r="R5" s="4310">
        <f t="shared" si="0"/>
        <v>58553065.43315652</v>
      </c>
      <c r="S5" s="4307">
        <f t="shared" si="0"/>
        <v>45537441.380847007</v>
      </c>
      <c r="T5" s="4307">
        <f t="shared" si="0"/>
        <v>13015624.052309511</v>
      </c>
      <c r="U5" s="4311" t="s">
        <v>2430</v>
      </c>
      <c r="V5" s="4307"/>
      <c r="W5" s="4307"/>
      <c r="X5" s="4311" t="s">
        <v>2430</v>
      </c>
      <c r="Y5" s="4307"/>
      <c r="Z5" s="4307"/>
      <c r="AA5" s="4311" t="s">
        <v>2430</v>
      </c>
      <c r="AB5" s="4307"/>
      <c r="AC5" s="4307"/>
      <c r="AD5" s="4311" t="s">
        <v>2430</v>
      </c>
      <c r="AE5" s="4307"/>
      <c r="AF5" s="4307"/>
    </row>
    <row r="6" spans="1:32" s="4301" customFormat="1" ht="17.399999999999999">
      <c r="A6" s="4312"/>
      <c r="B6" s="2779" t="s">
        <v>2431</v>
      </c>
      <c r="C6" s="3098">
        <f t="shared" ref="C6:T6" si="1">C8+C14+C19-C45</f>
        <v>13191488</v>
      </c>
      <c r="D6" s="3098">
        <f t="shared" si="1"/>
        <v>5545417</v>
      </c>
      <c r="E6" s="3098">
        <f t="shared" si="1"/>
        <v>7646071</v>
      </c>
      <c r="F6" s="3098">
        <f t="shared" si="1"/>
        <v>14663187.066666666</v>
      </c>
      <c r="G6" s="3098">
        <f t="shared" si="1"/>
        <v>5985117</v>
      </c>
      <c r="H6" s="3098">
        <f t="shared" si="1"/>
        <v>8678070.0666666664</v>
      </c>
      <c r="I6" s="3098">
        <f t="shared" si="1"/>
        <v>15988118.315999996</v>
      </c>
      <c r="J6" s="3098">
        <f t="shared" si="1"/>
        <v>6079714.568</v>
      </c>
      <c r="K6" s="3098">
        <f t="shared" si="1"/>
        <v>9908403.3479999993</v>
      </c>
      <c r="L6" s="3098">
        <f t="shared" si="1"/>
        <v>16450539.242349332</v>
      </c>
      <c r="M6" s="3098">
        <f t="shared" si="1"/>
        <v>7232855.686369963</v>
      </c>
      <c r="N6" s="3098">
        <f t="shared" si="1"/>
        <v>9217683.5559793673</v>
      </c>
      <c r="O6" s="3098">
        <f t="shared" si="1"/>
        <v>17410915.20305426</v>
      </c>
      <c r="P6" s="3098">
        <f t="shared" si="1"/>
        <v>8272908.2731566913</v>
      </c>
      <c r="Q6" s="4313">
        <f t="shared" si="1"/>
        <v>9138006.929897571</v>
      </c>
      <c r="R6" s="4314">
        <f>R8+R14+R19-R45</f>
        <v>49849572.761403583</v>
      </c>
      <c r="S6" s="3098">
        <f t="shared" si="1"/>
        <v>21585478.527526654</v>
      </c>
      <c r="T6" s="3098">
        <f t="shared" si="1"/>
        <v>28264093.833876938</v>
      </c>
      <c r="U6" s="4315"/>
      <c r="V6" s="3098"/>
      <c r="W6" s="3098"/>
      <c r="X6" s="4315"/>
      <c r="Y6" s="3098"/>
      <c r="Z6" s="3098"/>
      <c r="AA6" s="4315"/>
      <c r="AB6" s="3098"/>
      <c r="AC6" s="3098"/>
      <c r="AD6" s="4315"/>
      <c r="AE6" s="3098"/>
      <c r="AF6" s="3098"/>
    </row>
    <row r="7" spans="1:32" s="4301" customFormat="1" ht="17.399999999999999">
      <c r="A7" s="4312"/>
      <c r="B7" s="2779" t="s">
        <v>2432</v>
      </c>
      <c r="C7" s="3098">
        <f>+D7+E7</f>
        <v>10691488</v>
      </c>
      <c r="D7" s="3098">
        <f>D6-D9-D10</f>
        <v>3845417</v>
      </c>
      <c r="E7" s="3098">
        <f>E6-E9-E10</f>
        <v>6846071</v>
      </c>
      <c r="F7" s="3098">
        <f>+G7+H7</f>
        <v>11633187.066666666</v>
      </c>
      <c r="G7" s="3098">
        <f>G6-G9-G10</f>
        <v>3935117</v>
      </c>
      <c r="H7" s="3098">
        <f>H6-H9-H10</f>
        <v>7698070.0666666664</v>
      </c>
      <c r="I7" s="3098">
        <f>+J7+K7</f>
        <v>12268117.915999999</v>
      </c>
      <c r="J7" s="3098">
        <f>J6-J9-J10</f>
        <v>3502714.568</v>
      </c>
      <c r="K7" s="3098">
        <f>K6-K9-K10</f>
        <v>8765403.3479999993</v>
      </c>
      <c r="L7" s="3098">
        <f>+M7+N7</f>
        <v>12928539.24234933</v>
      </c>
      <c r="M7" s="3098">
        <f>M6-M9-M10</f>
        <v>4485755.9406072516</v>
      </c>
      <c r="N7" s="3098">
        <f>N6-N9-N10</f>
        <v>8442783.3017420787</v>
      </c>
      <c r="O7" s="3098">
        <f>+P7+Q7</f>
        <v>13650915.203054262</v>
      </c>
      <c r="P7" s="3098">
        <f>P6-P9-P10</f>
        <v>5326508.5401058439</v>
      </c>
      <c r="Q7" s="4313">
        <f>Q6-Q9-Q10</f>
        <v>8324406.6629484184</v>
      </c>
      <c r="R7" s="4316">
        <f>+S7+T7</f>
        <v>38847572.361403592</v>
      </c>
      <c r="S7" s="3098">
        <f>S6-S9-S10</f>
        <v>13314979.048713095</v>
      </c>
      <c r="T7" s="3098">
        <f>T6-T9-T10</f>
        <v>25532593.312690496</v>
      </c>
      <c r="U7" s="4315"/>
      <c r="V7" s="3098"/>
      <c r="W7" s="3098"/>
      <c r="X7" s="4315"/>
      <c r="Y7" s="3098"/>
      <c r="Z7" s="3098"/>
      <c r="AA7" s="4315"/>
      <c r="AB7" s="3098"/>
      <c r="AC7" s="3098"/>
      <c r="AD7" s="4315"/>
      <c r="AE7" s="3098"/>
      <c r="AF7" s="3098"/>
    </row>
    <row r="8" spans="1:32" s="4301" customFormat="1" ht="17.399999999999999">
      <c r="A8" s="4312">
        <v>1</v>
      </c>
      <c r="B8" s="2779" t="s">
        <v>202</v>
      </c>
      <c r="C8" s="3098">
        <f>SUM(D8:E8)</f>
        <v>6704000</v>
      </c>
      <c r="D8" s="3098">
        <f>[2]Thu03nam!F8</f>
        <v>3806650</v>
      </c>
      <c r="E8" s="3098">
        <f>[2]Thu03nam!G8</f>
        <v>2897350</v>
      </c>
      <c r="F8" s="3098">
        <f t="shared" ref="F8:F20" si="2">SUM(G8:H8)</f>
        <v>7450399.7999999998</v>
      </c>
      <c r="G8" s="3098">
        <f>[2]Thu03nam!L8</f>
        <v>3862350.7333333334</v>
      </c>
      <c r="H8" s="3098">
        <f>[2]Thu03nam!M8</f>
        <v>3588049.0666666664</v>
      </c>
      <c r="I8" s="3098">
        <f t="shared" ref="I8:I15" si="3">SUM(J8:K8)</f>
        <v>8485000</v>
      </c>
      <c r="J8" s="3098">
        <f>[2]Thu03nam!R8</f>
        <v>4544420</v>
      </c>
      <c r="K8" s="3098">
        <f>[2]Thu03nam!S8</f>
        <v>3940580</v>
      </c>
      <c r="L8" s="3098">
        <f t="shared" ref="L8:L14" si="4">SUM(M8:N8)</f>
        <v>9117505.084698664</v>
      </c>
      <c r="M8" s="3098">
        <f>[2]Thu03nam!X8</f>
        <v>5621404.8269772194</v>
      </c>
      <c r="N8" s="3098">
        <f>[2]Thu03nam!Y8</f>
        <v>3496100.2577214451</v>
      </c>
      <c r="O8" s="3098">
        <f t="shared" ref="O8:O14" si="5">SUM(P8:Q8)</f>
        <v>9913851.3061085232</v>
      </c>
      <c r="P8" s="3098">
        <f>[2]Thu03nam!AD8</f>
        <v>6174950.8132625353</v>
      </c>
      <c r="Q8" s="4313">
        <f>[2]Thu03nam!AE8</f>
        <v>3738900.4928459888</v>
      </c>
      <c r="R8" s="4316">
        <f t="shared" ref="R8:T14" si="6">I8+L8+O8</f>
        <v>27516356.390807185</v>
      </c>
      <c r="S8" s="3098">
        <f t="shared" si="6"/>
        <v>16340775.640239755</v>
      </c>
      <c r="T8" s="3098">
        <f t="shared" si="6"/>
        <v>11175580.750567432</v>
      </c>
      <c r="U8" s="3098">
        <f>SUM(V8:W8)</f>
        <v>746399.79999999981</v>
      </c>
      <c r="V8" s="3098">
        <f>G8-$D$8</f>
        <v>55700.733333333395</v>
      </c>
      <c r="W8" s="3098">
        <f>H8-$E$8</f>
        <v>690699.06666666642</v>
      </c>
      <c r="X8" s="3098">
        <f>SUM(Y8:Z8)</f>
        <v>1781000</v>
      </c>
      <c r="Y8" s="3098">
        <f>J8-$D$8</f>
        <v>737770</v>
      </c>
      <c r="Z8" s="3098">
        <f>K8-$E$8</f>
        <v>1043230</v>
      </c>
      <c r="AA8" s="3098">
        <f>SUM(AB8:AC8)</f>
        <v>2413505.0846986645</v>
      </c>
      <c r="AB8" s="3098">
        <f>M8-$D$8</f>
        <v>1814754.8269772194</v>
      </c>
      <c r="AC8" s="3098">
        <f>N8-$E$8</f>
        <v>598750.25772144506</v>
      </c>
      <c r="AD8" s="3098">
        <f>SUM(AE8:AF8)</f>
        <v>3209851.3061085241</v>
      </c>
      <c r="AE8" s="3098">
        <f>P8-$D$8</f>
        <v>2368300.8132625353</v>
      </c>
      <c r="AF8" s="3098">
        <f>Q8-$E$8</f>
        <v>841550.49284598883</v>
      </c>
    </row>
    <row r="9" spans="1:32" s="4301" customFormat="1" ht="18">
      <c r="A9" s="4317"/>
      <c r="B9" s="43" t="s">
        <v>2433</v>
      </c>
      <c r="C9" s="3106">
        <f t="shared" ref="C9:C20" si="7">SUM(D9:E9)</f>
        <v>900000</v>
      </c>
      <c r="D9" s="3106">
        <f>[2]Thu03nam!F40</f>
        <v>100000</v>
      </c>
      <c r="E9" s="3106">
        <f>[2]Thu03nam!G40</f>
        <v>800000</v>
      </c>
      <c r="F9" s="3106">
        <f t="shared" si="2"/>
        <v>1080000</v>
      </c>
      <c r="G9" s="3106">
        <f>[2]Thu03nam!L40</f>
        <v>100000</v>
      </c>
      <c r="H9" s="3106">
        <f>[2]Thu03nam!M40</f>
        <v>980000</v>
      </c>
      <c r="I9" s="3106">
        <f t="shared" si="3"/>
        <v>1770000</v>
      </c>
      <c r="J9" s="3106">
        <f>[2]Thu03nam!R40</f>
        <v>627000</v>
      </c>
      <c r="K9" s="3106">
        <f>[2]Thu03nam!S40</f>
        <v>1143000</v>
      </c>
      <c r="L9" s="3106">
        <f t="shared" si="4"/>
        <v>1200000</v>
      </c>
      <c r="M9" s="3106">
        <f>[2]Thu03nam!X40</f>
        <v>425099.74576271186</v>
      </c>
      <c r="N9" s="3106">
        <f>[2]Thu03nam!Y40</f>
        <v>774900.25423728814</v>
      </c>
      <c r="O9" s="3106">
        <f t="shared" si="5"/>
        <v>1260000</v>
      </c>
      <c r="P9" s="3106">
        <f>[2]Thu03nam!AD40</f>
        <v>446399.73305084754</v>
      </c>
      <c r="Q9" s="4318">
        <f>[2]Thu03nam!AE40</f>
        <v>813600.26694915246</v>
      </c>
      <c r="R9" s="4319">
        <f>I9+L9+O9</f>
        <v>4230000</v>
      </c>
      <c r="S9" s="3106">
        <f>J9+M9+P9</f>
        <v>1498499.4788135593</v>
      </c>
      <c r="T9" s="3106">
        <f>K9+N9+Q9</f>
        <v>2731500.5211864407</v>
      </c>
      <c r="U9" s="4315" t="s">
        <v>2434</v>
      </c>
      <c r="V9" s="3098"/>
      <c r="W9" s="3098"/>
      <c r="X9" s="4315" t="s">
        <v>2434</v>
      </c>
      <c r="Y9" s="3098"/>
      <c r="Z9" s="3098"/>
      <c r="AA9" s="4315" t="s">
        <v>2434</v>
      </c>
      <c r="AB9" s="3098"/>
      <c r="AC9" s="3098"/>
      <c r="AD9" s="4315" t="s">
        <v>2434</v>
      </c>
      <c r="AE9" s="3098"/>
      <c r="AF9" s="3098"/>
    </row>
    <row r="10" spans="1:32" s="4301" customFormat="1" ht="18">
      <c r="A10" s="4317"/>
      <c r="B10" s="43" t="s">
        <v>2435</v>
      </c>
      <c r="C10" s="3106">
        <f>SUM(D10:E10)</f>
        <v>1600000</v>
      </c>
      <c r="D10" s="3106">
        <f>[2]Thu03nam!F48</f>
        <v>1600000</v>
      </c>
      <c r="E10" s="3106">
        <f>[2]Thu03nam!G48</f>
        <v>0</v>
      </c>
      <c r="F10" s="3106">
        <f>SUM(G10:H10)</f>
        <v>1950000</v>
      </c>
      <c r="G10" s="3106">
        <f>[2]Thu03nam!L48</f>
        <v>1950000</v>
      </c>
      <c r="H10" s="3106">
        <f>[2]Thu03nam!M48</f>
        <v>0</v>
      </c>
      <c r="I10" s="3106">
        <f>SUM(J10:K10)</f>
        <v>1950000</v>
      </c>
      <c r="J10" s="3106">
        <f>[2]Thu03nam!R48</f>
        <v>1950000</v>
      </c>
      <c r="K10" s="3106">
        <f>[2]Thu03nam!S48</f>
        <v>0</v>
      </c>
      <c r="L10" s="3106">
        <f>SUM(M10:N10)</f>
        <v>2322000</v>
      </c>
      <c r="M10" s="3106">
        <f>[2]Thu03nam!X48</f>
        <v>2322000</v>
      </c>
      <c r="N10" s="3106">
        <f>[2]Thu03nam!Y48</f>
        <v>0</v>
      </c>
      <c r="O10" s="3106">
        <f>SUM(P10:Q10)</f>
        <v>2500000</v>
      </c>
      <c r="P10" s="3106">
        <f>[2]Thu03nam!AD48</f>
        <v>2500000</v>
      </c>
      <c r="Q10" s="4318">
        <f>[2]Thu03nam!AE48</f>
        <v>0</v>
      </c>
      <c r="R10" s="4319">
        <f>I10+L10+O10</f>
        <v>6772000</v>
      </c>
      <c r="S10" s="3106">
        <f t="shared" ref="S10:T11" si="8">J10+M10+P10</f>
        <v>6772000</v>
      </c>
      <c r="T10" s="3106">
        <f t="shared" si="8"/>
        <v>0</v>
      </c>
      <c r="U10" s="3098">
        <f>SUM(V10:W10)</f>
        <v>530000</v>
      </c>
      <c r="V10" s="3098">
        <f>(G9+G10+G11)-($D$9+$D$10+$D$11)</f>
        <v>350000</v>
      </c>
      <c r="W10" s="3098">
        <f>(H9+H10+H11)-($E$9+$E$10+$E$11)</f>
        <v>180000</v>
      </c>
      <c r="X10" s="3098">
        <f>SUM(Y10:Z10)</f>
        <v>1220000</v>
      </c>
      <c r="Y10" s="3098">
        <f>(J9+J10+J11)-($D$9+$D$10+$D$11)</f>
        <v>877000</v>
      </c>
      <c r="Z10" s="3098">
        <f>(K9+K10+K11)-($E$9+$E$10+$E$11)</f>
        <v>343000</v>
      </c>
      <c r="AA10" s="3098">
        <f>SUM(AB10:AC10)</f>
        <v>1022000</v>
      </c>
      <c r="AB10" s="3098">
        <f>(M9+M10+M11)-($D$9+$D$10+$D$11)</f>
        <v>1047099.7457627119</v>
      </c>
      <c r="AC10" s="3098">
        <f>(N9+N10+N11)-($E$9+$E$10+$E$11)</f>
        <v>-25099.745762711857</v>
      </c>
      <c r="AD10" s="3098">
        <f>SUM(AE10:AF10)</f>
        <v>1260000</v>
      </c>
      <c r="AE10" s="3098">
        <f>(P9+P10+P11)-($D$9+$D$10+$D$11)</f>
        <v>1246399.7330508474</v>
      </c>
      <c r="AF10" s="3098">
        <f>(Q9+Q10+Q11)-($E$9+$E$10+$E$11)</f>
        <v>13600.266949152458</v>
      </c>
    </row>
    <row r="11" spans="1:32" s="4301" customFormat="1" ht="18">
      <c r="A11" s="4317"/>
      <c r="B11" s="43" t="s">
        <v>2436</v>
      </c>
      <c r="C11" s="3106">
        <f>SUM(D11:E11)</f>
        <v>0</v>
      </c>
      <c r="D11" s="3106">
        <f>[2]Thu03nam!F46</f>
        <v>0</v>
      </c>
      <c r="E11" s="3106">
        <f>[2]Thu03nam!G46</f>
        <v>0</v>
      </c>
      <c r="F11" s="3106">
        <f>SUM(G11:H11)</f>
        <v>0</v>
      </c>
      <c r="G11" s="3106">
        <f>[2]Thu03nam!L46</f>
        <v>0</v>
      </c>
      <c r="H11" s="3106">
        <f>[2]Thu03nam!M46</f>
        <v>0</v>
      </c>
      <c r="I11" s="3106">
        <f>SUM(J11:K11)</f>
        <v>0</v>
      </c>
      <c r="J11" s="3106">
        <f>[2]Thu03nam!R46</f>
        <v>0</v>
      </c>
      <c r="K11" s="3106">
        <f>[2]Thu03nam!S46</f>
        <v>0</v>
      </c>
      <c r="L11" s="3106">
        <f>SUM(M11:N11)</f>
        <v>0</v>
      </c>
      <c r="M11" s="3106">
        <f>[2]Thu03nam!X46</f>
        <v>0</v>
      </c>
      <c r="N11" s="3106">
        <f>[2]Thu03nam!Y46</f>
        <v>0</v>
      </c>
      <c r="O11" s="3106">
        <f>SUM(P11:Q11)</f>
        <v>0</v>
      </c>
      <c r="P11" s="3106">
        <f>[2]Thu03nam!AD46</f>
        <v>0</v>
      </c>
      <c r="Q11" s="4318">
        <f>[2]Thu03nam!AE46</f>
        <v>0</v>
      </c>
      <c r="R11" s="4319">
        <f>I11+L11+O11</f>
        <v>0</v>
      </c>
      <c r="S11" s="3106">
        <f t="shared" si="8"/>
        <v>0</v>
      </c>
      <c r="T11" s="3106">
        <f t="shared" si="8"/>
        <v>0</v>
      </c>
      <c r="U11" s="3098"/>
      <c r="V11" s="3098"/>
      <c r="W11" s="3098"/>
      <c r="X11" s="3098"/>
      <c r="Y11" s="3098"/>
      <c r="Z11" s="3098"/>
      <c r="AA11" s="3098"/>
      <c r="AB11" s="3098"/>
      <c r="AC11" s="3098"/>
      <c r="AD11" s="3098"/>
      <c r="AE11" s="3098"/>
      <c r="AF11" s="3098"/>
    </row>
    <row r="12" spans="1:32" s="4301" customFormat="1" ht="18">
      <c r="A12" s="4317"/>
      <c r="B12" s="43" t="s">
        <v>2437</v>
      </c>
      <c r="C12" s="3106">
        <f>SUM(D12:E12)</f>
        <v>4204000</v>
      </c>
      <c r="D12" s="3106">
        <f>D8-D9-D10-D11</f>
        <v>2106650</v>
      </c>
      <c r="E12" s="3106">
        <f>E8-E9-E10-E11</f>
        <v>2097350</v>
      </c>
      <c r="F12" s="3106">
        <f>SUM(G12:H12)</f>
        <v>4420399.8</v>
      </c>
      <c r="G12" s="3106">
        <f>G8-G9-G10-G11</f>
        <v>1812350.7333333334</v>
      </c>
      <c r="H12" s="3106">
        <f>H8-H9-H10-H11</f>
        <v>2608049.0666666664</v>
      </c>
      <c r="I12" s="3106">
        <f>SUM(J12:K12)</f>
        <v>4765000</v>
      </c>
      <c r="J12" s="3106">
        <f>J8-J9-J10-J11</f>
        <v>1967420</v>
      </c>
      <c r="K12" s="3106">
        <f>K8-K9-K10-K11</f>
        <v>2797580</v>
      </c>
      <c r="L12" s="3106">
        <f>SUM(M12:N12)</f>
        <v>5595505.084698665</v>
      </c>
      <c r="M12" s="3106">
        <f>M8-M9-M10-M11</f>
        <v>2874305.081214508</v>
      </c>
      <c r="N12" s="3106">
        <f>N8-N9-N10-N11</f>
        <v>2721200.0034841569</v>
      </c>
      <c r="O12" s="3106">
        <f>SUM(P12:Q12)</f>
        <v>6153851.3061085241</v>
      </c>
      <c r="P12" s="3106">
        <f>P8-P9-P10-P11</f>
        <v>3228551.0802116878</v>
      </c>
      <c r="Q12" s="4318">
        <f>Q8-Q9-Q10-Q11</f>
        <v>2925300.2258968363</v>
      </c>
      <c r="R12" s="4319">
        <f>I12+L12+O12</f>
        <v>16514356.390807189</v>
      </c>
      <c r="S12" s="3106">
        <f>J12+M12+P12</f>
        <v>8070276.1614261959</v>
      </c>
      <c r="T12" s="3106">
        <f>K12+N12+Q12</f>
        <v>8444080.2293809932</v>
      </c>
      <c r="U12" s="3098"/>
      <c r="V12" s="3098"/>
      <c r="W12" s="3098"/>
      <c r="X12" s="3098"/>
      <c r="Y12" s="3098"/>
      <c r="Z12" s="3098"/>
      <c r="AA12" s="3098"/>
      <c r="AB12" s="3098"/>
      <c r="AC12" s="3098"/>
      <c r="AD12" s="3098"/>
      <c r="AE12" s="3098"/>
      <c r="AF12" s="3098"/>
    </row>
    <row r="13" spans="1:32" s="4301" customFormat="1" ht="17.399999999999999">
      <c r="A13" s="4312">
        <v>2</v>
      </c>
      <c r="B13" s="2779" t="s">
        <v>203</v>
      </c>
      <c r="C13" s="3098">
        <f>SUM(C14:C15)</f>
        <v>9084495</v>
      </c>
      <c r="D13" s="3098">
        <f t="shared" ref="D13:E13" si="9">SUM(D14:D15)</f>
        <v>9084495</v>
      </c>
      <c r="E13" s="3098">
        <f t="shared" si="9"/>
        <v>0</v>
      </c>
      <c r="F13" s="3098">
        <f t="shared" si="2"/>
        <v>9084495</v>
      </c>
      <c r="G13" s="3098">
        <f>G14+G15</f>
        <v>9084495</v>
      </c>
      <c r="H13" s="3098"/>
      <c r="I13" s="3098">
        <f>SUM(J13:K13)</f>
        <v>9256479</v>
      </c>
      <c r="J13" s="3098">
        <f>J14+J15</f>
        <v>9256479</v>
      </c>
      <c r="K13" s="3098"/>
      <c r="L13" s="3098">
        <f>SUM(M13:N13)</f>
        <v>9646988.3000000007</v>
      </c>
      <c r="M13" s="3098">
        <f>M14+M15</f>
        <v>9646988.3000000007</v>
      </c>
      <c r="N13" s="3098"/>
      <c r="O13" s="3098">
        <f>SUM(P13:Q13)</f>
        <v>9646988.3000000007</v>
      </c>
      <c r="P13" s="3098">
        <f>P14+P15</f>
        <v>9646988.3000000007</v>
      </c>
      <c r="Q13" s="4313"/>
      <c r="R13" s="4316">
        <f>I13+L13+O13</f>
        <v>28550455.600000001</v>
      </c>
      <c r="S13" s="3098">
        <f t="shared" si="6"/>
        <v>28550455.600000001</v>
      </c>
      <c r="T13" s="3098">
        <f t="shared" si="6"/>
        <v>0</v>
      </c>
      <c r="U13" s="4315" t="s">
        <v>2438</v>
      </c>
      <c r="V13" s="3098"/>
      <c r="W13" s="3098"/>
      <c r="X13" s="4315" t="s">
        <v>2438</v>
      </c>
      <c r="Y13" s="3098"/>
      <c r="Z13" s="3098"/>
      <c r="AA13" s="4315" t="s">
        <v>2438</v>
      </c>
      <c r="AB13" s="3098"/>
      <c r="AC13" s="3098"/>
      <c r="AD13" s="4315" t="s">
        <v>2438</v>
      </c>
      <c r="AE13" s="3098"/>
      <c r="AF13" s="3098"/>
    </row>
    <row r="14" spans="1:32" s="4301" customFormat="1" ht="18">
      <c r="A14" s="4317" t="s">
        <v>204</v>
      </c>
      <c r="B14" s="43" t="s">
        <v>205</v>
      </c>
      <c r="C14" s="3106">
        <f t="shared" si="7"/>
        <v>6487488</v>
      </c>
      <c r="D14" s="3106">
        <f>[2]Thu03nam!F53</f>
        <v>6487488</v>
      </c>
      <c r="E14" s="3106">
        <f>[2]Thu03nam!G53</f>
        <v>0</v>
      </c>
      <c r="F14" s="3106">
        <f t="shared" si="2"/>
        <v>6487488</v>
      </c>
      <c r="G14" s="3106">
        <f>[2]Thu03nam!L53</f>
        <v>6487488</v>
      </c>
      <c r="H14" s="3106"/>
      <c r="I14" s="3106">
        <f t="shared" si="3"/>
        <v>6617188</v>
      </c>
      <c r="J14" s="3106">
        <f>[2]Thu03nam!R53</f>
        <v>6617188</v>
      </c>
      <c r="K14" s="3106">
        <f>[2]Thu03nam!S53</f>
        <v>0</v>
      </c>
      <c r="L14" s="3106">
        <f t="shared" si="4"/>
        <v>6617188</v>
      </c>
      <c r="M14" s="3106">
        <f>[2]Thu03nam!X53</f>
        <v>6617188</v>
      </c>
      <c r="N14" s="3106">
        <f>[2]Thu03nam!Y53</f>
        <v>0</v>
      </c>
      <c r="O14" s="3106">
        <f t="shared" si="5"/>
        <v>6617188</v>
      </c>
      <c r="P14" s="3106">
        <f>[2]Thu03nam!AD53</f>
        <v>6617188</v>
      </c>
      <c r="Q14" s="4318">
        <f>[2]Thu03nam!AE53</f>
        <v>0</v>
      </c>
      <c r="R14" s="4319">
        <f>I14+L14+O14</f>
        <v>19851564</v>
      </c>
      <c r="S14" s="3106">
        <f t="shared" si="6"/>
        <v>19851564</v>
      </c>
      <c r="T14" s="3106">
        <f t="shared" si="6"/>
        <v>0</v>
      </c>
      <c r="U14" s="3098">
        <f>SUM(V14:W14)</f>
        <v>216399.79999999981</v>
      </c>
      <c r="V14" s="3098">
        <f>V8-V10</f>
        <v>-294299.2666666666</v>
      </c>
      <c r="W14" s="3098">
        <f>W8-W10</f>
        <v>510699.06666666642</v>
      </c>
      <c r="X14" s="3098">
        <f>SUM(Y14:Z14)</f>
        <v>561000</v>
      </c>
      <c r="Y14" s="3098">
        <f>Y8-Y10</f>
        <v>-139230</v>
      </c>
      <c r="Z14" s="3098">
        <f>Z8-Z10</f>
        <v>700230</v>
      </c>
      <c r="AA14" s="3098">
        <f>SUM(AB14:AC14)</f>
        <v>1391505.0846986645</v>
      </c>
      <c r="AB14" s="3098">
        <f>AB8-AB10</f>
        <v>767655.08121450758</v>
      </c>
      <c r="AC14" s="3098">
        <f>AC8-AC10</f>
        <v>623850.00348415691</v>
      </c>
      <c r="AD14" s="3098">
        <f>SUM(AE14:AF14)</f>
        <v>1949851.3061085241</v>
      </c>
      <c r="AE14" s="3098">
        <f>AE8-AE10</f>
        <v>1121901.0802116878</v>
      </c>
      <c r="AF14" s="3098">
        <f>AF8-AF10</f>
        <v>827950.22589683637</v>
      </c>
    </row>
    <row r="15" spans="1:32" s="4301" customFormat="1" ht="18">
      <c r="A15" s="4317" t="s">
        <v>206</v>
      </c>
      <c r="B15" s="43" t="s">
        <v>207</v>
      </c>
      <c r="C15" s="3106">
        <f>SUM(C16:C18)</f>
        <v>2597007</v>
      </c>
      <c r="D15" s="3106">
        <f t="shared" ref="D15:E15" si="10">SUM(D16:D18)</f>
        <v>2597007</v>
      </c>
      <c r="E15" s="3106">
        <f t="shared" si="10"/>
        <v>0</v>
      </c>
      <c r="F15" s="3106">
        <f>SUM(F16:F18)</f>
        <v>2597007</v>
      </c>
      <c r="G15" s="3106">
        <f t="shared" ref="G15:H15" si="11">SUM(G16:G18)</f>
        <v>2597007</v>
      </c>
      <c r="H15" s="3106">
        <f t="shared" si="11"/>
        <v>0</v>
      </c>
      <c r="I15" s="3106">
        <f t="shared" si="3"/>
        <v>2639291</v>
      </c>
      <c r="J15" s="3106">
        <f>SUM(J16:J18)</f>
        <v>2639291</v>
      </c>
      <c r="K15" s="3106">
        <f t="shared" ref="K15" si="12">SUM(K16:K18)</f>
        <v>0</v>
      </c>
      <c r="L15" s="3106">
        <f>SUM(M15:N15)</f>
        <v>3029800.3</v>
      </c>
      <c r="M15" s="3106">
        <f>SUM(M16:M18)</f>
        <v>3029800.3</v>
      </c>
      <c r="N15" s="3106">
        <f t="shared" ref="N15" si="13">SUM(N16:N18)</f>
        <v>0</v>
      </c>
      <c r="O15" s="3106">
        <f>SUM(P15:Q15)</f>
        <v>3029800.3</v>
      </c>
      <c r="P15" s="3106">
        <f>SUM(P16:P18)</f>
        <v>3029800.3</v>
      </c>
      <c r="Q15" s="4318">
        <f t="shared" ref="Q15" si="14">SUM(Q16:Q18)</f>
        <v>0</v>
      </c>
      <c r="R15" s="4319">
        <f>SUM(S15:T15)</f>
        <v>8698891.5999999996</v>
      </c>
      <c r="S15" s="3106">
        <f>SUM(S16:S18)</f>
        <v>8698891.5999999996</v>
      </c>
      <c r="T15" s="3106">
        <f t="shared" ref="T15" si="15">SUM(T16:T18)</f>
        <v>0</v>
      </c>
      <c r="U15" s="4315"/>
      <c r="V15" s="3098"/>
      <c r="W15" s="3098"/>
      <c r="X15" s="4315"/>
      <c r="Y15" s="3098"/>
      <c r="Z15" s="3098"/>
      <c r="AA15" s="4315"/>
      <c r="AB15" s="3098"/>
      <c r="AC15" s="3098"/>
      <c r="AD15" s="4315"/>
      <c r="AE15" s="3098"/>
      <c r="AF15" s="3098"/>
    </row>
    <row r="16" spans="1:32" s="4301" customFormat="1" ht="18">
      <c r="A16" s="3810" t="s">
        <v>99</v>
      </c>
      <c r="B16" s="44" t="str">
        <f>'[2]Phụ lục số 3'!B17</f>
        <v>Bổ sung thực hiện mục tiêu, nhiệm vụ quan trọng (vốn đầu tư phát triển)</v>
      </c>
      <c r="C16" s="3106">
        <f>SUM(D16:E16)</f>
        <v>2417971</v>
      </c>
      <c r="D16" s="3106">
        <f>[2]Thu03nam!F55</f>
        <v>2417971</v>
      </c>
      <c r="E16" s="3106">
        <f>[2]Thu03nam!G55</f>
        <v>0</v>
      </c>
      <c r="F16" s="3106">
        <f>SUM(G16:H16)</f>
        <v>2417971</v>
      </c>
      <c r="G16" s="3106">
        <f>[2]Thu03nam!L55</f>
        <v>2417971</v>
      </c>
      <c r="H16" s="3106">
        <f>[2]Thu03nam!M55</f>
        <v>0</v>
      </c>
      <c r="I16" s="3106">
        <f>SUM(J16:K16)</f>
        <v>1814491</v>
      </c>
      <c r="J16" s="3106">
        <f>[2]Thu03nam!R55</f>
        <v>1814491</v>
      </c>
      <c r="K16" s="3106">
        <f>[2]Thu03nam!S55</f>
        <v>0</v>
      </c>
      <c r="L16" s="3106">
        <f>SUM(M16:N16)</f>
        <v>2205000</v>
      </c>
      <c r="M16" s="3106">
        <f>[2]Thu03nam!X55</f>
        <v>2205000</v>
      </c>
      <c r="N16" s="3106">
        <f>[2]Thu03nam!Y55</f>
        <v>0</v>
      </c>
      <c r="O16" s="3106">
        <f>SUM(P16:Q16)</f>
        <v>2205000</v>
      </c>
      <c r="P16" s="3106">
        <f>[2]Thu03nam!AD55</f>
        <v>2205000</v>
      </c>
      <c r="Q16" s="4318">
        <f>[2]Thu03nam!AE55</f>
        <v>0</v>
      </c>
      <c r="R16" s="4319">
        <f>SUM(S16:T16)</f>
        <v>6224491</v>
      </c>
      <c r="S16" s="3106">
        <f t="shared" ref="S16:T20" si="16">J16+M16+P16</f>
        <v>6224491</v>
      </c>
      <c r="T16" s="3106">
        <f t="shared" si="16"/>
        <v>0</v>
      </c>
      <c r="U16" s="4315"/>
      <c r="V16" s="3098"/>
      <c r="W16" s="3098"/>
      <c r="X16" s="4315"/>
      <c r="Y16" s="3098"/>
      <c r="Z16" s="3098"/>
      <c r="AA16" s="4315"/>
      <c r="AB16" s="3098"/>
      <c r="AC16" s="3098"/>
      <c r="AD16" s="4315"/>
      <c r="AE16" s="3098"/>
      <c r="AF16" s="3098"/>
    </row>
    <row r="17" spans="1:32" s="4301" customFormat="1" ht="18">
      <c r="A17" s="3810" t="s">
        <v>101</v>
      </c>
      <c r="B17" s="44" t="str">
        <f>'[2]Phụ lục số 3'!B18</f>
        <v>Bổ sung thực hiện mục tiêu, nhiệm vụ quan trọng (kinh phí sự nghiệp)</v>
      </c>
      <c r="C17" s="3106">
        <f t="shared" ref="C17:C18" si="17">SUM(D17:E17)</f>
        <v>179036</v>
      </c>
      <c r="D17" s="3106">
        <f>[2]Thu03nam!F56</f>
        <v>179036</v>
      </c>
      <c r="E17" s="3106">
        <f>[2]Thu03nam!G56</f>
        <v>0</v>
      </c>
      <c r="F17" s="3106">
        <f t="shared" ref="F17:F18" si="18">SUM(G17:H17)</f>
        <v>179036</v>
      </c>
      <c r="G17" s="3106">
        <f>[2]Thu03nam!L56</f>
        <v>179036</v>
      </c>
      <c r="H17" s="3106">
        <f>[2]Thu03nam!M56</f>
        <v>0</v>
      </c>
      <c r="I17" s="3106">
        <f t="shared" ref="I17:I20" si="19">SUM(J17:K17)</f>
        <v>174485</v>
      </c>
      <c r="J17" s="3106">
        <f>[2]Thu03nam!R56</f>
        <v>174485</v>
      </c>
      <c r="K17" s="3106">
        <f>[2]Thu03nam!S56</f>
        <v>0</v>
      </c>
      <c r="L17" s="3106">
        <f t="shared" ref="L17:L20" si="20">SUM(M17:N17)</f>
        <v>174485.3</v>
      </c>
      <c r="M17" s="3106">
        <f>[2]Thu03nam!X56</f>
        <v>174485.3</v>
      </c>
      <c r="N17" s="3106">
        <f>[2]Thu03nam!Y56</f>
        <v>0</v>
      </c>
      <c r="O17" s="3106">
        <f t="shared" ref="O17:O20" si="21">SUM(P17:Q17)</f>
        <v>174485.3</v>
      </c>
      <c r="P17" s="3106">
        <f>[2]Thu03nam!AD56</f>
        <v>174485.3</v>
      </c>
      <c r="Q17" s="4318">
        <f>[2]Thu03nam!AE56</f>
        <v>0</v>
      </c>
      <c r="R17" s="4319">
        <f t="shared" ref="R17:R20" si="22">SUM(S17:T17)</f>
        <v>523455.6</v>
      </c>
      <c r="S17" s="3106">
        <f t="shared" si="16"/>
        <v>523455.6</v>
      </c>
      <c r="T17" s="3106">
        <f t="shared" si="16"/>
        <v>0</v>
      </c>
      <c r="U17" s="4315"/>
      <c r="V17" s="3098"/>
      <c r="W17" s="3098"/>
      <c r="X17" s="4315"/>
      <c r="Y17" s="3098"/>
      <c r="Z17" s="3098"/>
      <c r="AA17" s="4315"/>
      <c r="AB17" s="3098"/>
      <c r="AC17" s="3098"/>
      <c r="AD17" s="4315"/>
      <c r="AE17" s="3098"/>
      <c r="AF17" s="3098"/>
    </row>
    <row r="18" spans="1:32" s="4301" customFormat="1" ht="18">
      <c r="A18" s="3810" t="s">
        <v>147</v>
      </c>
      <c r="B18" s="44" t="str">
        <f>'[2]Phụ lục số 3'!B19</f>
        <v>Bổ sung nguồn thực hiện CCTL (nếu có); đảm bảo nhiệm vụ chi</v>
      </c>
      <c r="C18" s="3106">
        <f t="shared" si="17"/>
        <v>0</v>
      </c>
      <c r="D18" s="3106">
        <f>[2]Thu03nam!F57</f>
        <v>0</v>
      </c>
      <c r="E18" s="3106">
        <f>[2]Thu03nam!G57</f>
        <v>0</v>
      </c>
      <c r="F18" s="3106">
        <f t="shared" si="18"/>
        <v>0</v>
      </c>
      <c r="G18" s="3106">
        <f>[2]Thu03nam!L57</f>
        <v>0</v>
      </c>
      <c r="H18" s="3106">
        <f>[2]Thu03nam!M57</f>
        <v>0</v>
      </c>
      <c r="I18" s="3106">
        <f t="shared" si="19"/>
        <v>650315</v>
      </c>
      <c r="J18" s="3106">
        <f>[2]Thu03nam!R57</f>
        <v>650315</v>
      </c>
      <c r="K18" s="3106">
        <f>[2]Thu03nam!S57</f>
        <v>0</v>
      </c>
      <c r="L18" s="3106">
        <f t="shared" si="20"/>
        <v>650315</v>
      </c>
      <c r="M18" s="3106">
        <f>'[2]CĐNSĐP03nam-BS'!M18</f>
        <v>650315</v>
      </c>
      <c r="N18" s="3106">
        <f>[2]Thu03nam!Y57</f>
        <v>0</v>
      </c>
      <c r="O18" s="3106">
        <f t="shared" si="21"/>
        <v>650315</v>
      </c>
      <c r="P18" s="3106">
        <f>[2]Thu03nam!AD57</f>
        <v>650315</v>
      </c>
      <c r="Q18" s="4318">
        <f>[2]Thu03nam!AE57</f>
        <v>0</v>
      </c>
      <c r="R18" s="4319">
        <f t="shared" si="22"/>
        <v>1950945</v>
      </c>
      <c r="S18" s="3106">
        <f t="shared" si="16"/>
        <v>1950945</v>
      </c>
      <c r="T18" s="3106">
        <f t="shared" si="16"/>
        <v>0</v>
      </c>
      <c r="U18" s="4315"/>
      <c r="V18" s="3098"/>
      <c r="W18" s="3098"/>
      <c r="X18" s="4315"/>
      <c r="Y18" s="3098"/>
      <c r="Z18" s="3098"/>
      <c r="AA18" s="4315"/>
      <c r="AB18" s="3098"/>
      <c r="AC18" s="3098"/>
      <c r="AD18" s="4315"/>
      <c r="AE18" s="3098"/>
      <c r="AF18" s="3098"/>
    </row>
    <row r="19" spans="1:32" s="4301" customFormat="1" ht="17.399999999999999">
      <c r="A19" s="4312">
        <v>3</v>
      </c>
      <c r="B19" s="4320" t="str">
        <f>'[2]Phụ lục số 3'!B20</f>
        <v>Thu chuyển nguồn làm lương năm trước chuyển sang</v>
      </c>
      <c r="C19" s="3098">
        <f t="shared" si="7"/>
        <v>0</v>
      </c>
      <c r="D19" s="3098">
        <f>[2]Thu03nam!F58</f>
        <v>0</v>
      </c>
      <c r="E19" s="3098">
        <f>[2]Thu03nam!G58</f>
        <v>0</v>
      </c>
      <c r="F19" s="3098">
        <f t="shared" si="2"/>
        <v>431000</v>
      </c>
      <c r="G19" s="3098">
        <f>[2]Thu03nam!L58</f>
        <v>89700</v>
      </c>
      <c r="H19" s="3098">
        <f>[2]Thu03nam!M58</f>
        <v>341300</v>
      </c>
      <c r="I19" s="3098">
        <f t="shared" si="19"/>
        <v>886000</v>
      </c>
      <c r="J19" s="3098">
        <f>[2]Thu03nam!R58</f>
        <v>0</v>
      </c>
      <c r="K19" s="3098">
        <f>[2]Thu03nam!S58</f>
        <v>886000</v>
      </c>
      <c r="L19" s="3098">
        <f t="shared" si="20"/>
        <v>717399.2</v>
      </c>
      <c r="M19" s="3098">
        <f>[2]Thu03nam!X58</f>
        <v>79139.200000000012</v>
      </c>
      <c r="N19" s="3098">
        <f>[2]Thu03nam!Y58</f>
        <v>638260</v>
      </c>
      <c r="O19" s="3106">
        <f t="shared" si="21"/>
        <v>882854.2423493322</v>
      </c>
      <c r="P19" s="3098">
        <f>[2]Thu03nam!AD58</f>
        <v>567070.94060725369</v>
      </c>
      <c r="Q19" s="4313">
        <f>[2]Thu03nam!AE58</f>
        <v>315783.30174207845</v>
      </c>
      <c r="R19" s="4316">
        <f t="shared" si="22"/>
        <v>2486253.4423493324</v>
      </c>
      <c r="S19" s="3098">
        <f>J19+M19+P19</f>
        <v>646210.14060725365</v>
      </c>
      <c r="T19" s="3098">
        <f>K19+N19+Q19</f>
        <v>1840043.3017420785</v>
      </c>
      <c r="U19" s="4315" t="s">
        <v>2439</v>
      </c>
      <c r="V19" s="3098"/>
      <c r="W19" s="3098"/>
      <c r="X19" s="4315" t="s">
        <v>2439</v>
      </c>
      <c r="Y19" s="3098"/>
      <c r="Z19" s="3098"/>
      <c r="AA19" s="4315" t="s">
        <v>2439</v>
      </c>
      <c r="AB19" s="3098"/>
      <c r="AC19" s="3098"/>
      <c r="AD19" s="4315" t="s">
        <v>2439</v>
      </c>
      <c r="AE19" s="3098"/>
      <c r="AF19" s="3098"/>
    </row>
    <row r="20" spans="1:32" s="4301" customFormat="1" ht="17.399999999999999">
      <c r="A20" s="4312">
        <v>4</v>
      </c>
      <c r="B20" s="2779" t="s">
        <v>47</v>
      </c>
      <c r="C20" s="3098">
        <f t="shared" si="7"/>
        <v>31500</v>
      </c>
      <c r="D20" s="3098">
        <f>[2]Thu03nam!F59</f>
        <v>31500</v>
      </c>
      <c r="E20" s="3098">
        <f>[2]Thu03nam!G59</f>
        <v>0</v>
      </c>
      <c r="F20" s="3098">
        <f t="shared" si="2"/>
        <v>31500</v>
      </c>
      <c r="G20" s="3098">
        <f>[2]Thu03nam!L59</f>
        <v>31500</v>
      </c>
      <c r="H20" s="3098">
        <f>[2]Thu03nam!M59</f>
        <v>0</v>
      </c>
      <c r="I20" s="3098">
        <f t="shared" si="19"/>
        <v>0</v>
      </c>
      <c r="J20" s="3098">
        <f>[2]Thu03nam!R59</f>
        <v>0</v>
      </c>
      <c r="K20" s="3098">
        <f>[2]Thu03nam!S59</f>
        <v>0</v>
      </c>
      <c r="L20" s="3098">
        <f t="shared" si="20"/>
        <v>0</v>
      </c>
      <c r="M20" s="3098">
        <f>[2]Thu03nam!X59</f>
        <v>0</v>
      </c>
      <c r="N20" s="3098">
        <f>[2]Thu03nam!Y59</f>
        <v>0</v>
      </c>
      <c r="O20" s="3106">
        <f t="shared" si="21"/>
        <v>0</v>
      </c>
      <c r="P20" s="3098">
        <f>[2]Thu03nam!AD59</f>
        <v>0</v>
      </c>
      <c r="Q20" s="4313">
        <f>[2]Thu03nam!AE59</f>
        <v>0</v>
      </c>
      <c r="R20" s="4319">
        <f t="shared" si="22"/>
        <v>0</v>
      </c>
      <c r="S20" s="3106">
        <f t="shared" si="16"/>
        <v>0</v>
      </c>
      <c r="T20" s="3106">
        <f t="shared" si="16"/>
        <v>0</v>
      </c>
      <c r="U20" s="3098">
        <f>V20+W20</f>
        <v>0</v>
      </c>
      <c r="V20" s="3098"/>
      <c r="W20" s="3098"/>
      <c r="X20" s="3098"/>
      <c r="Y20" s="3098"/>
      <c r="Z20" s="3098"/>
      <c r="AA20" s="3098"/>
      <c r="AB20" s="3098"/>
      <c r="AC20" s="3098"/>
      <c r="AD20" s="3098"/>
      <c r="AE20" s="3098"/>
      <c r="AF20" s="3098"/>
    </row>
    <row r="21" spans="1:32" s="4322" customFormat="1" ht="17.399999999999999">
      <c r="A21" s="4312" t="s">
        <v>37</v>
      </c>
      <c r="B21" s="2779" t="s">
        <v>2440</v>
      </c>
      <c r="C21" s="3098">
        <f t="shared" ref="C21:H21" si="23">SUM(C22+C39+C43)</f>
        <v>15819995</v>
      </c>
      <c r="D21" s="3098">
        <f t="shared" si="23"/>
        <v>8173924</v>
      </c>
      <c r="E21" s="3098">
        <f t="shared" si="23"/>
        <v>7646071</v>
      </c>
      <c r="F21" s="3098">
        <f t="shared" si="23"/>
        <v>16780995</v>
      </c>
      <c r="G21" s="3098">
        <f t="shared" si="23"/>
        <v>8613624</v>
      </c>
      <c r="H21" s="3098">
        <f t="shared" si="23"/>
        <v>8678070.0666666664</v>
      </c>
      <c r="I21" s="4321">
        <f>SUM(I22+I39+I43)+0.4</f>
        <v>18627409.315999996</v>
      </c>
      <c r="J21" s="3098">
        <f t="shared" ref="J21:T21" si="24">SUM(J22+J39+J43)</f>
        <v>8719005.568</v>
      </c>
      <c r="K21" s="3098">
        <f t="shared" si="24"/>
        <v>9908403.3479999993</v>
      </c>
      <c r="L21" s="4321">
        <f t="shared" si="24"/>
        <v>19480339.542349335</v>
      </c>
      <c r="M21" s="3098">
        <f>SUM(M22+M39+M43)</f>
        <v>10262655.986369964</v>
      </c>
      <c r="N21" s="3098">
        <f t="shared" si="24"/>
        <v>9217683.5559793673</v>
      </c>
      <c r="O21" s="3098">
        <f t="shared" si="24"/>
        <v>20440715.503054265</v>
      </c>
      <c r="P21" s="3098">
        <f t="shared" si="24"/>
        <v>11302708.573156692</v>
      </c>
      <c r="Q21" s="4313">
        <f t="shared" si="24"/>
        <v>9138006.929897571</v>
      </c>
      <c r="R21" s="4316">
        <f t="shared" si="24"/>
        <v>58548463.961403593</v>
      </c>
      <c r="S21" s="3098">
        <f t="shared" si="24"/>
        <v>30284370.127526656</v>
      </c>
      <c r="T21" s="3098">
        <f t="shared" si="24"/>
        <v>28264093.833876934</v>
      </c>
      <c r="U21" s="3098">
        <f>SUM(V21:W21)</f>
        <v>151479</v>
      </c>
      <c r="V21" s="3098">
        <f>INT(V14*70%)</f>
        <v>-206010</v>
      </c>
      <c r="W21" s="3098">
        <f>INT(W14*70%)</f>
        <v>357489</v>
      </c>
      <c r="X21" s="3098">
        <f>SUM(Y21:Z21)</f>
        <v>280500</v>
      </c>
      <c r="Y21" s="3098">
        <f>INT(Y14/2)</f>
        <v>-69615</v>
      </c>
      <c r="Z21" s="3098">
        <f>INT(Z14/2)</f>
        <v>350115</v>
      </c>
      <c r="AA21" s="3098">
        <f>SUM(AB21:AC21)</f>
        <v>695752</v>
      </c>
      <c r="AB21" s="3098">
        <f>INT(AB14/2)</f>
        <v>383827</v>
      </c>
      <c r="AC21" s="3098">
        <f>INT(AC14/2)</f>
        <v>311925</v>
      </c>
      <c r="AD21" s="3098">
        <f>SUM(AE21:AF21)</f>
        <v>974925</v>
      </c>
      <c r="AE21" s="3098">
        <f>INT(AE14/2)</f>
        <v>560950</v>
      </c>
      <c r="AF21" s="3098">
        <f>INT(AF14/2)</f>
        <v>413975</v>
      </c>
    </row>
    <row r="22" spans="1:32" s="4322" customFormat="1" ht="17.399999999999999">
      <c r="A22" s="4312" t="s">
        <v>3</v>
      </c>
      <c r="B22" s="2779" t="s">
        <v>2441</v>
      </c>
      <c r="C22" s="3098">
        <f t="shared" ref="C22:T22" si="25">SUM(C23,C29,C33:C38)</f>
        <v>13191488</v>
      </c>
      <c r="D22" s="3098">
        <f t="shared" si="25"/>
        <v>5545417</v>
      </c>
      <c r="E22" s="3098">
        <f t="shared" si="25"/>
        <v>7646071</v>
      </c>
      <c r="F22" s="3098">
        <f t="shared" si="25"/>
        <v>14152488</v>
      </c>
      <c r="G22" s="3098">
        <f t="shared" si="25"/>
        <v>5985117</v>
      </c>
      <c r="H22" s="3098">
        <f t="shared" si="25"/>
        <v>8678070.0666666664</v>
      </c>
      <c r="I22" s="3098">
        <f t="shared" si="25"/>
        <v>16638432.915999997</v>
      </c>
      <c r="J22" s="3098">
        <f t="shared" si="25"/>
        <v>6730029.568</v>
      </c>
      <c r="K22" s="3098">
        <f t="shared" si="25"/>
        <v>9908403.3479999993</v>
      </c>
      <c r="L22" s="3098">
        <f t="shared" si="25"/>
        <v>17100854.242349334</v>
      </c>
      <c r="M22" s="3098">
        <f t="shared" si="25"/>
        <v>7883170.6863699649</v>
      </c>
      <c r="N22" s="3098">
        <f t="shared" si="25"/>
        <v>9217683.5559793673</v>
      </c>
      <c r="O22" s="3098">
        <f>SUM(O23,O29,O33:O38)</f>
        <v>18061230.203054264</v>
      </c>
      <c r="P22" s="3098">
        <f t="shared" si="25"/>
        <v>8923223.2731566913</v>
      </c>
      <c r="Q22" s="4313">
        <f t="shared" si="25"/>
        <v>9138006.929897571</v>
      </c>
      <c r="R22" s="4316">
        <f t="shared" si="25"/>
        <v>51800517.361403592</v>
      </c>
      <c r="S22" s="3098">
        <f t="shared" si="25"/>
        <v>23536423.527526658</v>
      </c>
      <c r="T22" s="3098">
        <f t="shared" si="25"/>
        <v>28264093.833876934</v>
      </c>
      <c r="U22" s="3098"/>
      <c r="V22" s="3098"/>
      <c r="W22" s="3098"/>
      <c r="X22" s="3098"/>
      <c r="Y22" s="3098"/>
      <c r="Z22" s="3098"/>
      <c r="AA22" s="3098"/>
      <c r="AB22" s="3098"/>
      <c r="AC22" s="3098"/>
      <c r="AD22" s="3098"/>
      <c r="AE22" s="3098"/>
      <c r="AF22" s="3098"/>
    </row>
    <row r="23" spans="1:32" s="4322" customFormat="1" ht="17.399999999999999">
      <c r="A23" s="4312">
        <v>1</v>
      </c>
      <c r="B23" s="2779" t="s">
        <v>208</v>
      </c>
      <c r="C23" s="3098">
        <f>SUM(C24:C27)</f>
        <v>3561000</v>
      </c>
      <c r="D23" s="3098">
        <f t="shared" ref="D23:H23" si="26">SUM(D24:D27)</f>
        <v>2240000</v>
      </c>
      <c r="E23" s="3098">
        <f t="shared" si="26"/>
        <v>1321000</v>
      </c>
      <c r="F23" s="3098">
        <f t="shared" si="26"/>
        <v>4091000</v>
      </c>
      <c r="G23" s="3098">
        <f t="shared" si="26"/>
        <v>2590000</v>
      </c>
      <c r="H23" s="3098">
        <f t="shared" si="26"/>
        <v>1501000</v>
      </c>
      <c r="I23" s="3098">
        <f t="shared" ref="I23:O23" si="27">SUM(I24:I28)</f>
        <v>4923186.4089698764</v>
      </c>
      <c r="J23" s="3098">
        <f t="shared" si="27"/>
        <v>3199186</v>
      </c>
      <c r="K23" s="3098">
        <f t="shared" si="27"/>
        <v>1724000.4089698761</v>
      </c>
      <c r="L23" s="3098">
        <f t="shared" si="27"/>
        <v>4795000</v>
      </c>
      <c r="M23" s="3098">
        <f t="shared" si="27"/>
        <v>3439099.7457627119</v>
      </c>
      <c r="N23" s="3098">
        <f t="shared" si="27"/>
        <v>1355900.2542372881</v>
      </c>
      <c r="O23" s="3098">
        <f t="shared" si="27"/>
        <v>5085000</v>
      </c>
      <c r="P23" s="3098">
        <f>SUM(P24:P28)</f>
        <v>3690399.7330508474</v>
      </c>
      <c r="Q23" s="4313">
        <f>SUM(Q24:Q28)</f>
        <v>1394600.2669491526</v>
      </c>
      <c r="R23" s="4316">
        <f>SUM(R24:R28)</f>
        <v>14803186.408969875</v>
      </c>
      <c r="S23" s="3098">
        <f>SUM(S24:S28)</f>
        <v>10328685.478813559</v>
      </c>
      <c r="T23" s="3098">
        <f>SUM(T24:T28)</f>
        <v>4474500.9301563166</v>
      </c>
      <c r="U23" s="4323"/>
      <c r="V23" s="3098"/>
      <c r="W23" s="3098"/>
      <c r="X23" s="3098"/>
      <c r="Y23" s="3098"/>
      <c r="Z23" s="3098"/>
      <c r="AA23" s="3098"/>
      <c r="AB23" s="3098"/>
      <c r="AC23" s="3098"/>
      <c r="AD23" s="3098"/>
      <c r="AE23" s="3098"/>
      <c r="AF23" s="3098"/>
    </row>
    <row r="24" spans="1:32" s="4322" customFormat="1" ht="18">
      <c r="A24" s="4317" t="s">
        <v>29</v>
      </c>
      <c r="B24" s="43" t="s">
        <v>2442</v>
      </c>
      <c r="C24" s="3106">
        <f>SUM(D24:E24)</f>
        <v>1061000</v>
      </c>
      <c r="D24" s="3106">
        <f>[2]ChiNSĐP03nam!D10</f>
        <v>540000</v>
      </c>
      <c r="E24" s="3106">
        <f>[2]ChiNSĐP03nam!E10</f>
        <v>521000</v>
      </c>
      <c r="F24" s="3106">
        <f t="shared" ref="F24:F44" si="28">SUM(G24:H24)</f>
        <v>1061000</v>
      </c>
      <c r="G24" s="3106">
        <f>[2]ChiNSĐP03nam!I10</f>
        <v>540000</v>
      </c>
      <c r="H24" s="3106">
        <f>[2]ChiNSĐP03nam!J10</f>
        <v>521000</v>
      </c>
      <c r="I24" s="3106">
        <f t="shared" ref="I24:I44" si="29">SUM(J24:K24)</f>
        <v>1143186.4089698761</v>
      </c>
      <c r="J24" s="3106">
        <f>[2]ChiNSĐP03nam!N10</f>
        <v>562186</v>
      </c>
      <c r="K24" s="3106">
        <f>[2]ChiNSĐP03nam!O10</f>
        <v>581000.40896987612</v>
      </c>
      <c r="L24" s="3106">
        <f t="shared" ref="L24:L32" si="30">SUM(M24:N24)</f>
        <v>1213000</v>
      </c>
      <c r="M24" s="3106">
        <f>[2]ChiNSĐP03nam!S10</f>
        <v>632000</v>
      </c>
      <c r="N24" s="3106">
        <f>[2]ChiNSĐP03nam!T10</f>
        <v>581000</v>
      </c>
      <c r="O24" s="3106">
        <f t="shared" ref="O24:O32" si="31">SUM(P24:Q24)</f>
        <v>1265000</v>
      </c>
      <c r="P24" s="3106">
        <f>[2]ChiNSĐP03nam!X10</f>
        <v>684000</v>
      </c>
      <c r="Q24" s="4318">
        <f>[2]ChiNSĐP03nam!Y10</f>
        <v>581000</v>
      </c>
      <c r="R24" s="4319">
        <f>I24+L24+O24</f>
        <v>3621186.4089698764</v>
      </c>
      <c r="S24" s="3106">
        <f>J24+M24+P24</f>
        <v>1878186</v>
      </c>
      <c r="T24" s="3106">
        <f t="shared" ref="R24:T45" si="32">K24+N24+Q24</f>
        <v>1743000.4089698761</v>
      </c>
      <c r="U24" s="3106"/>
      <c r="V24" s="3106"/>
      <c r="W24" s="3106"/>
      <c r="X24" s="3098"/>
      <c r="Y24" s="3098"/>
      <c r="Z24" s="3098"/>
      <c r="AA24" s="3098"/>
      <c r="AB24" s="3098"/>
      <c r="AC24" s="3098"/>
      <c r="AD24" s="3098"/>
      <c r="AE24" s="3098"/>
      <c r="AF24" s="3098"/>
    </row>
    <row r="25" spans="1:32" s="4322" customFormat="1" ht="18">
      <c r="A25" s="4317" t="s">
        <v>29</v>
      </c>
      <c r="B25" s="43" t="s">
        <v>2443</v>
      </c>
      <c r="C25" s="3106">
        <f t="shared" ref="C25:C44" si="33">SUM(D25:E25)</f>
        <v>900000</v>
      </c>
      <c r="D25" s="3106">
        <f>[2]ChiNSĐP03nam!D11</f>
        <v>100000</v>
      </c>
      <c r="E25" s="3106">
        <f>[2]ChiNSĐP03nam!E11</f>
        <v>800000</v>
      </c>
      <c r="F25" s="3106">
        <f t="shared" si="28"/>
        <v>1080000</v>
      </c>
      <c r="G25" s="3106">
        <f>[2]ChiNSĐP03nam!I11</f>
        <v>100000</v>
      </c>
      <c r="H25" s="3106">
        <f>[2]ChiNSĐP03nam!J11</f>
        <v>980000</v>
      </c>
      <c r="I25" s="3106">
        <f t="shared" si="29"/>
        <v>1770000</v>
      </c>
      <c r="J25" s="3106">
        <f>[2]ChiNSĐP03nam!N11</f>
        <v>627000</v>
      </c>
      <c r="K25" s="3106">
        <f>[2]ChiNSĐP03nam!O11</f>
        <v>1143000</v>
      </c>
      <c r="L25" s="3106">
        <f t="shared" si="30"/>
        <v>1200000</v>
      </c>
      <c r="M25" s="3106">
        <f>[2]ChiNSĐP03nam!S11</f>
        <v>425099.74576271186</v>
      </c>
      <c r="N25" s="3106">
        <f>[2]ChiNSĐP03nam!T11</f>
        <v>774900.25423728814</v>
      </c>
      <c r="O25" s="3106">
        <f t="shared" si="31"/>
        <v>1260000</v>
      </c>
      <c r="P25" s="3106">
        <f>[2]ChiNSĐP03nam!X11</f>
        <v>446399.73305084754</v>
      </c>
      <c r="Q25" s="4318">
        <f>[2]ChiNSĐP03nam!Y11</f>
        <v>813600.26694915246</v>
      </c>
      <c r="R25" s="4319">
        <f>I25+L25+O25</f>
        <v>4230000</v>
      </c>
      <c r="S25" s="3106">
        <f>J25+M25+P25</f>
        <v>1498499.4788135593</v>
      </c>
      <c r="T25" s="3106">
        <f t="shared" si="32"/>
        <v>2731500.5211864407</v>
      </c>
      <c r="U25" s="3106"/>
      <c r="V25" s="3098"/>
      <c r="W25" s="3098"/>
      <c r="X25" s="3098"/>
      <c r="Y25" s="3098"/>
      <c r="Z25" s="3098"/>
      <c r="AA25" s="3098"/>
      <c r="AB25" s="3098"/>
      <c r="AC25" s="3098"/>
      <c r="AD25" s="3098"/>
      <c r="AE25" s="3098"/>
      <c r="AF25" s="3098"/>
    </row>
    <row r="26" spans="1:32" s="4322" customFormat="1" ht="18">
      <c r="A26" s="4317" t="s">
        <v>29</v>
      </c>
      <c r="B26" s="44" t="s">
        <v>1918</v>
      </c>
      <c r="C26" s="3106">
        <f t="shared" si="33"/>
        <v>1600000</v>
      </c>
      <c r="D26" s="3106">
        <f>[2]ChiNSĐP03nam!D12</f>
        <v>1600000</v>
      </c>
      <c r="E26" s="3106">
        <f>[2]ChiNSĐP03nam!E12</f>
        <v>0</v>
      </c>
      <c r="F26" s="3106">
        <f t="shared" si="28"/>
        <v>1950000</v>
      </c>
      <c r="G26" s="3106">
        <f>[2]ChiNSĐP03nam!I12</f>
        <v>1950000</v>
      </c>
      <c r="H26" s="3106">
        <f>[2]ChiNSĐP03nam!J12</f>
        <v>0</v>
      </c>
      <c r="I26" s="3106">
        <f t="shared" si="29"/>
        <v>1950000</v>
      </c>
      <c r="J26" s="3106">
        <f>[2]ChiNSĐP03nam!N12</f>
        <v>1950000</v>
      </c>
      <c r="K26" s="3106">
        <f>[2]ChiNSĐP03nam!O12</f>
        <v>0</v>
      </c>
      <c r="L26" s="3106">
        <f t="shared" si="30"/>
        <v>2322000</v>
      </c>
      <c r="M26" s="3106">
        <f>[2]ChiNSĐP03nam!S12</f>
        <v>2322000</v>
      </c>
      <c r="N26" s="3106">
        <f>[2]ChiNSĐP03nam!T12</f>
        <v>0</v>
      </c>
      <c r="O26" s="3106">
        <f t="shared" si="31"/>
        <v>2500000</v>
      </c>
      <c r="P26" s="3106">
        <f>[2]ChiNSĐP03nam!X12</f>
        <v>2500000</v>
      </c>
      <c r="Q26" s="4318">
        <f>[2]ChiNSĐP03nam!Y12</f>
        <v>0</v>
      </c>
      <c r="R26" s="4319">
        <f t="shared" ref="R26:R38" si="34">I26+L26+O26</f>
        <v>6772000</v>
      </c>
      <c r="S26" s="3106">
        <f t="shared" si="32"/>
        <v>6772000</v>
      </c>
      <c r="T26" s="3106">
        <f t="shared" si="32"/>
        <v>0</v>
      </c>
      <c r="U26" s="3098"/>
      <c r="V26" s="3098"/>
      <c r="W26" s="3098"/>
      <c r="X26" s="3098"/>
      <c r="Y26" s="3098"/>
      <c r="Z26" s="3098"/>
      <c r="AA26" s="3098"/>
      <c r="AB26" s="3098"/>
      <c r="AC26" s="3098"/>
      <c r="AD26" s="3098"/>
      <c r="AE26" s="3098"/>
      <c r="AF26" s="3098"/>
    </row>
    <row r="27" spans="1:32" s="4322" customFormat="1" ht="18">
      <c r="A27" s="4317" t="s">
        <v>29</v>
      </c>
      <c r="B27" s="44" t="str">
        <f>'[2]Phụ lục số 2'!B13</f>
        <v>Chi đầu tư từ nguồn thu thoái vốn doanh nghiệp nhà nước địa phương quản lý;…</v>
      </c>
      <c r="C27" s="3106">
        <f t="shared" si="33"/>
        <v>0</v>
      </c>
      <c r="D27" s="3106">
        <f>[2]ChiNSĐP03nam!D13</f>
        <v>0</v>
      </c>
      <c r="E27" s="3106">
        <f>[2]ChiNSĐP03nam!E13</f>
        <v>0</v>
      </c>
      <c r="F27" s="3106">
        <f t="shared" si="28"/>
        <v>0</v>
      </c>
      <c r="G27" s="3106">
        <f>[2]ChiNSĐP03nam!I13</f>
        <v>0</v>
      </c>
      <c r="H27" s="3106">
        <f>[2]ChiNSĐP03nam!J13</f>
        <v>0</v>
      </c>
      <c r="I27" s="3106">
        <f t="shared" si="29"/>
        <v>0</v>
      </c>
      <c r="J27" s="3106">
        <f>[2]ChiNSĐP03nam!N13</f>
        <v>0</v>
      </c>
      <c r="K27" s="3106">
        <f>[2]ChiNSĐP03nam!O13</f>
        <v>0</v>
      </c>
      <c r="L27" s="3106">
        <f t="shared" si="30"/>
        <v>0</v>
      </c>
      <c r="M27" s="3106">
        <f>[2]ChiNSĐP03nam!S13</f>
        <v>0</v>
      </c>
      <c r="N27" s="3106">
        <f>[2]ChiNSĐP03nam!T13</f>
        <v>0</v>
      </c>
      <c r="O27" s="3106">
        <f t="shared" si="31"/>
        <v>0</v>
      </c>
      <c r="P27" s="3106">
        <f>[2]ChiNSĐP03nam!X13</f>
        <v>0</v>
      </c>
      <c r="Q27" s="4318">
        <f>[2]ChiNSĐP03nam!Y13</f>
        <v>0</v>
      </c>
      <c r="R27" s="4319">
        <f t="shared" si="34"/>
        <v>0</v>
      </c>
      <c r="S27" s="3106">
        <f t="shared" si="32"/>
        <v>0</v>
      </c>
      <c r="T27" s="3106">
        <f t="shared" si="32"/>
        <v>0</v>
      </c>
      <c r="U27" s="3098"/>
      <c r="V27" s="3098"/>
      <c r="W27" s="3098"/>
      <c r="X27" s="3098"/>
      <c r="Y27" s="3098"/>
      <c r="Z27" s="3098"/>
      <c r="AA27" s="3098"/>
      <c r="AB27" s="3098"/>
      <c r="AC27" s="3098"/>
      <c r="AD27" s="3098"/>
      <c r="AE27" s="3098"/>
      <c r="AF27" s="3098"/>
    </row>
    <row r="28" spans="1:32" s="4322" customFormat="1" ht="18">
      <c r="A28" s="4317"/>
      <c r="B28" s="44" t="str">
        <f>'[2]Phụ lục số 2'!B14</f>
        <v>Chi đầu tư phát triển khác (Ủy thác qua NH Chính sách xã hội chi nhánh tỉnh Đồng Tháp)</v>
      </c>
      <c r="C28" s="3106"/>
      <c r="D28" s="3106"/>
      <c r="E28" s="3106"/>
      <c r="F28" s="3106"/>
      <c r="G28" s="3106"/>
      <c r="H28" s="3106"/>
      <c r="I28" s="3106">
        <f t="shared" si="29"/>
        <v>60000</v>
      </c>
      <c r="J28" s="3106">
        <f>[2]ChiNSĐP03nam!N14</f>
        <v>60000</v>
      </c>
      <c r="K28" s="3106"/>
      <c r="L28" s="3106">
        <f t="shared" si="30"/>
        <v>60000</v>
      </c>
      <c r="M28" s="3106">
        <f>J28</f>
        <v>60000</v>
      </c>
      <c r="N28" s="3106"/>
      <c r="O28" s="3106">
        <f t="shared" si="31"/>
        <v>60000</v>
      </c>
      <c r="P28" s="3106">
        <f>M28</f>
        <v>60000</v>
      </c>
      <c r="Q28" s="4318"/>
      <c r="R28" s="4319">
        <f t="shared" si="34"/>
        <v>180000</v>
      </c>
      <c r="S28" s="3106">
        <f t="shared" si="32"/>
        <v>180000</v>
      </c>
      <c r="T28" s="3106"/>
      <c r="U28" s="3098"/>
      <c r="V28" s="3098"/>
      <c r="W28" s="3098"/>
      <c r="X28" s="3098"/>
      <c r="Y28" s="3098"/>
      <c r="Z28" s="3098"/>
      <c r="AA28" s="3098"/>
      <c r="AB28" s="3098"/>
      <c r="AC28" s="3098"/>
      <c r="AD28" s="3098"/>
      <c r="AE28" s="3098"/>
      <c r="AF28" s="3098"/>
    </row>
    <row r="29" spans="1:32" s="4322" customFormat="1" ht="17.399999999999999">
      <c r="A29" s="4324">
        <v>2</v>
      </c>
      <c r="B29" s="4325" t="s">
        <v>209</v>
      </c>
      <c r="C29" s="3098">
        <f t="shared" si="33"/>
        <v>9353865</v>
      </c>
      <c r="D29" s="3098">
        <f>[2]ChiNSĐP03nam!D15</f>
        <v>3168035</v>
      </c>
      <c r="E29" s="3098">
        <f>[2]ChiNSĐP03nam!E15</f>
        <v>6185830</v>
      </c>
      <c r="F29" s="3098">
        <f t="shared" si="28"/>
        <v>9353865</v>
      </c>
      <c r="G29" s="3098">
        <f>[2]ChiNSĐP03nam!I15</f>
        <v>3168035</v>
      </c>
      <c r="H29" s="3098">
        <f>[2]ChiNSĐP03nam!J15</f>
        <v>6185830</v>
      </c>
      <c r="I29" s="3098">
        <f t="shared" si="29"/>
        <v>10664978.394711081</v>
      </c>
      <c r="J29" s="3098">
        <f>[2]ChiNSĐP03nam!N15</f>
        <v>3294440</v>
      </c>
      <c r="K29" s="3098">
        <f>[2]ChiNSĐP03nam!O15</f>
        <v>7370538.3947110809</v>
      </c>
      <c r="L29" s="3098">
        <f t="shared" si="30"/>
        <v>11071000</v>
      </c>
      <c r="M29" s="3098">
        <f>[2]ChiNSĐP03nam!S15</f>
        <v>3701000</v>
      </c>
      <c r="N29" s="3098">
        <f>[2]ChiNSĐP03nam!T15</f>
        <v>7370000</v>
      </c>
      <c r="O29" s="3098">
        <f t="shared" si="31"/>
        <v>11373000</v>
      </c>
      <c r="P29" s="3098">
        <f>[2]ChiNSĐP03nam!X15</f>
        <v>4003000</v>
      </c>
      <c r="Q29" s="4313">
        <f>[2]ChiNSĐP03nam!Y15</f>
        <v>7370000</v>
      </c>
      <c r="R29" s="4316">
        <f t="shared" si="34"/>
        <v>33108978.394711081</v>
      </c>
      <c r="S29" s="3098">
        <f t="shared" si="32"/>
        <v>10998440</v>
      </c>
      <c r="T29" s="3098">
        <f t="shared" si="32"/>
        <v>22110538.394711081</v>
      </c>
      <c r="U29" s="4315" t="s">
        <v>2444</v>
      </c>
      <c r="V29" s="3098"/>
      <c r="W29" s="3098"/>
      <c r="X29" s="4315" t="s">
        <v>2444</v>
      </c>
      <c r="Y29" s="3098"/>
      <c r="Z29" s="3098"/>
      <c r="AA29" s="4315" t="s">
        <v>2444</v>
      </c>
      <c r="AB29" s="3098"/>
      <c r="AC29" s="3098"/>
      <c r="AD29" s="4315" t="s">
        <v>2444</v>
      </c>
      <c r="AE29" s="3098"/>
      <c r="AF29" s="3098"/>
    </row>
    <row r="30" spans="1:32" s="4322" customFormat="1" ht="18">
      <c r="A30" s="4317" t="s">
        <v>29</v>
      </c>
      <c r="B30" s="43" t="s">
        <v>2445</v>
      </c>
      <c r="C30" s="3106">
        <f t="shared" si="33"/>
        <v>4179745</v>
      </c>
      <c r="D30" s="3106">
        <f>[2]ChiNSĐP03nam!D20</f>
        <v>1017035</v>
      </c>
      <c r="E30" s="3106">
        <f>[2]ChiNSĐP03nam!E20</f>
        <v>3162710</v>
      </c>
      <c r="F30" s="3106">
        <f t="shared" si="28"/>
        <v>4179745</v>
      </c>
      <c r="G30" s="3106">
        <f>[2]ChiNSĐP03nam!I20</f>
        <v>1017035</v>
      </c>
      <c r="H30" s="3106">
        <f>[2]ChiNSĐP03nam!J20</f>
        <v>3162710</v>
      </c>
      <c r="I30" s="3106">
        <f t="shared" si="29"/>
        <v>4797945.7831797441</v>
      </c>
      <c r="J30" s="3106">
        <f>[2]ChiNSĐP03nam!N20</f>
        <v>956676</v>
      </c>
      <c r="K30" s="3106">
        <f>[2]ChiNSĐP03nam!O20</f>
        <v>3841269.7831797441</v>
      </c>
      <c r="L30" s="3106">
        <f t="shared" si="30"/>
        <v>4916000</v>
      </c>
      <c r="M30" s="3106">
        <f>[2]ChiNSĐP03nam!S20</f>
        <v>1075000</v>
      </c>
      <c r="N30" s="3106">
        <f>[2]ChiNSĐP03nam!T20</f>
        <v>3841000</v>
      </c>
      <c r="O30" s="3106">
        <f t="shared" si="31"/>
        <v>5004000</v>
      </c>
      <c r="P30" s="3106">
        <f>[2]ChiNSĐP03nam!X20</f>
        <v>1163000</v>
      </c>
      <c r="Q30" s="4318">
        <f>[2]ChiNSĐP03nam!Y20</f>
        <v>3841000</v>
      </c>
      <c r="R30" s="4319">
        <f t="shared" si="34"/>
        <v>14717945.783179745</v>
      </c>
      <c r="S30" s="3106">
        <f t="shared" si="32"/>
        <v>3194676</v>
      </c>
      <c r="T30" s="3106">
        <f t="shared" si="32"/>
        <v>11523269.783179745</v>
      </c>
      <c r="U30" s="3098">
        <f>V30+W30</f>
        <v>64920.799999999814</v>
      </c>
      <c r="V30" s="3098">
        <f>V14-V21</f>
        <v>-88289.266666666605</v>
      </c>
      <c r="W30" s="3098">
        <f>W14-W21</f>
        <v>153210.06666666642</v>
      </c>
      <c r="X30" s="3098">
        <f>Y30+Z30</f>
        <v>280500</v>
      </c>
      <c r="Y30" s="3098">
        <f>Y14-Y21</f>
        <v>-69615</v>
      </c>
      <c r="Z30" s="3098">
        <f>Z14-Z21</f>
        <v>350115</v>
      </c>
      <c r="AA30" s="3098">
        <f>AB30+AC30</f>
        <v>695753.08469866449</v>
      </c>
      <c r="AB30" s="3098">
        <f>AB14-AB21</f>
        <v>383828.08121450758</v>
      </c>
      <c r="AC30" s="3098">
        <f>AC14-AC21</f>
        <v>311925.00348415691</v>
      </c>
      <c r="AD30" s="3098">
        <f>AE30+AF30</f>
        <v>974926.30610852421</v>
      </c>
      <c r="AE30" s="3098">
        <f>AE14-AE21</f>
        <v>560951.08021168783</v>
      </c>
      <c r="AF30" s="3098">
        <f>AF14-AF21</f>
        <v>413975.22589683637</v>
      </c>
    </row>
    <row r="31" spans="1:32" s="4322" customFormat="1" ht="18">
      <c r="A31" s="4317" t="s">
        <v>29</v>
      </c>
      <c r="B31" s="43" t="s">
        <v>2446</v>
      </c>
      <c r="C31" s="3106">
        <f t="shared" si="33"/>
        <v>31000</v>
      </c>
      <c r="D31" s="3106">
        <f>[2]ChiNSĐP03nam!D19</f>
        <v>31000</v>
      </c>
      <c r="E31" s="3106">
        <f>'[1]Phụ lục số 2'!E18</f>
        <v>0</v>
      </c>
      <c r="F31" s="3106">
        <f t="shared" si="28"/>
        <v>31000</v>
      </c>
      <c r="G31" s="3106">
        <f>[2]ChiNSĐP03nam!I19</f>
        <v>31000</v>
      </c>
      <c r="H31" s="3106">
        <f>'[1]Phụ lục số 2'!J18</f>
        <v>0</v>
      </c>
      <c r="I31" s="3106">
        <f t="shared" si="29"/>
        <v>31218</v>
      </c>
      <c r="J31" s="3106">
        <f>[2]ChiNSĐP03nam!N19</f>
        <v>31218</v>
      </c>
      <c r="K31" s="3106">
        <f>[2]ChiNSĐP03nam!O19</f>
        <v>0</v>
      </c>
      <c r="L31" s="3106">
        <f t="shared" si="30"/>
        <v>35000</v>
      </c>
      <c r="M31" s="3106">
        <f>[2]ChiNSĐP03nam!S19</f>
        <v>35000</v>
      </c>
      <c r="N31" s="3106">
        <f>'[1]Phụ lục số 2'!T18</f>
        <v>0</v>
      </c>
      <c r="O31" s="3106">
        <f t="shared" si="31"/>
        <v>38000</v>
      </c>
      <c r="P31" s="3106">
        <f>[2]ChiNSĐP03nam!X19</f>
        <v>38000</v>
      </c>
      <c r="Q31" s="4318">
        <f>'[1]Phụ lục số 2'!Y18</f>
        <v>0</v>
      </c>
      <c r="R31" s="4319">
        <f t="shared" si="34"/>
        <v>104218</v>
      </c>
      <c r="S31" s="3106">
        <f t="shared" si="32"/>
        <v>104218</v>
      </c>
      <c r="T31" s="3106">
        <f t="shared" si="32"/>
        <v>0</v>
      </c>
      <c r="U31" s="3098"/>
      <c r="V31" s="3098"/>
      <c r="W31" s="3098"/>
      <c r="X31" s="3098"/>
      <c r="Y31" s="3098"/>
      <c r="Z31" s="3098"/>
      <c r="AA31" s="3098"/>
      <c r="AB31" s="3098"/>
      <c r="AC31" s="3098"/>
      <c r="AD31" s="3098"/>
      <c r="AE31" s="3098"/>
      <c r="AF31" s="3098"/>
    </row>
    <row r="32" spans="1:32" s="4322" customFormat="1" ht="18">
      <c r="A32" s="4317" t="s">
        <v>29</v>
      </c>
      <c r="B32" s="43" t="s">
        <v>2405</v>
      </c>
      <c r="C32" s="3106">
        <f>SUM(D32:E32)</f>
        <v>5143120</v>
      </c>
      <c r="D32" s="3106">
        <f>D29-D30-D31</f>
        <v>2120000</v>
      </c>
      <c r="E32" s="3106">
        <f>E29-E30-E31</f>
        <v>3023120</v>
      </c>
      <c r="F32" s="3106">
        <f t="shared" si="28"/>
        <v>5143120</v>
      </c>
      <c r="G32" s="3106">
        <f>G29-G30-G31</f>
        <v>2120000</v>
      </c>
      <c r="H32" s="3106">
        <f>H29-H30-H31</f>
        <v>3023120</v>
      </c>
      <c r="I32" s="3106">
        <f t="shared" si="29"/>
        <v>5835814.6115313368</v>
      </c>
      <c r="J32" s="3106">
        <f>J29-J30-J31</f>
        <v>2306546</v>
      </c>
      <c r="K32" s="3106">
        <f>K29-K30-K31</f>
        <v>3529268.6115313368</v>
      </c>
      <c r="L32" s="3106">
        <f t="shared" si="30"/>
        <v>6120000</v>
      </c>
      <c r="M32" s="3106">
        <f>M29-M30-M31</f>
        <v>2591000</v>
      </c>
      <c r="N32" s="3106">
        <f>N29-N30-N31</f>
        <v>3529000</v>
      </c>
      <c r="O32" s="3106">
        <f t="shared" si="31"/>
        <v>6331000</v>
      </c>
      <c r="P32" s="3106">
        <f>P29-P30-P31</f>
        <v>2802000</v>
      </c>
      <c r="Q32" s="4318">
        <f>Q29-Q30-Q31</f>
        <v>3529000</v>
      </c>
      <c r="R32" s="4319">
        <f t="shared" si="34"/>
        <v>18286814.611531336</v>
      </c>
      <c r="S32" s="3106">
        <f t="shared" si="32"/>
        <v>7699546</v>
      </c>
      <c r="T32" s="3106">
        <f t="shared" si="32"/>
        <v>10587268.611531336</v>
      </c>
      <c r="U32" s="3536"/>
      <c r="V32" s="3536"/>
      <c r="W32" s="3536"/>
      <c r="X32" s="3536">
        <f>I7/$C$7</f>
        <v>1.1474659014722739</v>
      </c>
      <c r="Y32" s="3536">
        <f>J7/D7</f>
        <v>0.91088029412674876</v>
      </c>
      <c r="Z32" s="3536">
        <f>K7/E7</f>
        <v>1.2803553086142401</v>
      </c>
      <c r="AA32" s="3536">
        <f>L7/C7</f>
        <v>1.2092366602618205</v>
      </c>
      <c r="AB32" s="3536">
        <f>M7/J7</f>
        <v>1.2806512930251563</v>
      </c>
      <c r="AC32" s="3536">
        <f>N7/K7</f>
        <v>0.9631939303361855</v>
      </c>
      <c r="AD32" s="3536">
        <f>O7/C7</f>
        <v>1.2768021816097312</v>
      </c>
      <c r="AE32" s="3536">
        <f>P7/M7</f>
        <v>1.1874271829832939</v>
      </c>
      <c r="AF32" s="3536">
        <f>Q7/N7</f>
        <v>0.98597895568760663</v>
      </c>
    </row>
    <row r="33" spans="1:32" s="4322" customFormat="1" ht="34.799999999999997">
      <c r="A33" s="4312">
        <v>3</v>
      </c>
      <c r="B33" s="4145" t="s">
        <v>210</v>
      </c>
      <c r="C33" s="3098">
        <f>SUM(D33:E33)</f>
        <v>0</v>
      </c>
      <c r="D33" s="3098">
        <f>'[1]Phụ lục số 2'!D30</f>
        <v>0</v>
      </c>
      <c r="E33" s="3098">
        <f>'[1]Phụ lục số 2'!E30</f>
        <v>0</v>
      </c>
      <c r="F33" s="3098">
        <f>SUM(G33:H33)</f>
        <v>431000</v>
      </c>
      <c r="G33" s="3098">
        <f>[2]ChiNSĐP03nam!I31</f>
        <v>89700</v>
      </c>
      <c r="H33" s="3098">
        <f>[2]ChiNSĐP03nam!J31</f>
        <v>341300</v>
      </c>
      <c r="I33" s="3098">
        <f>SUM(J33:K33)</f>
        <v>0</v>
      </c>
      <c r="J33" s="3098">
        <f>[2]ChiNSĐP03nam!N31</f>
        <v>0</v>
      </c>
      <c r="K33" s="3098">
        <f>[2]ChiNSĐP03nam!O31</f>
        <v>0</v>
      </c>
      <c r="L33" s="3098">
        <f>SUM(M33:N33)</f>
        <v>0</v>
      </c>
      <c r="M33" s="3098">
        <f>[2]ChiNSĐP03nam!S31</f>
        <v>0</v>
      </c>
      <c r="N33" s="3098">
        <f>[2]ChiNSĐP03nam!T31</f>
        <v>0</v>
      </c>
      <c r="O33" s="3098">
        <f>SUM(P33:Q33)</f>
        <v>0</v>
      </c>
      <c r="P33" s="3098">
        <f>[2]ChiNSĐP03nam!X31</f>
        <v>0</v>
      </c>
      <c r="Q33" s="4313">
        <f>[2]ChiNSĐP03nam!Y31</f>
        <v>0</v>
      </c>
      <c r="R33" s="4316">
        <f t="shared" si="34"/>
        <v>0</v>
      </c>
      <c r="S33" s="3098">
        <f t="shared" si="32"/>
        <v>0</v>
      </c>
      <c r="T33" s="3098">
        <f t="shared" si="32"/>
        <v>0</v>
      </c>
      <c r="U33" s="3098"/>
      <c r="V33" s="3098"/>
      <c r="W33" s="3098"/>
      <c r="X33" s="3098"/>
      <c r="Y33" s="3536">
        <f>Y32-1</f>
        <v>-8.9119705873251243E-2</v>
      </c>
      <c r="Z33" s="3536">
        <f>Z32-1</f>
        <v>0.28035530861424007</v>
      </c>
      <c r="AA33" s="3098"/>
      <c r="AB33" s="3536">
        <f>AB32-1</f>
        <v>0.28065129302515635</v>
      </c>
      <c r="AC33" s="3536">
        <f>AC32-1</f>
        <v>-3.68060696638145E-2</v>
      </c>
      <c r="AD33" s="3098"/>
      <c r="AE33" s="3536">
        <f>AE32-1</f>
        <v>0.18742718298329386</v>
      </c>
      <c r="AF33" s="3536">
        <f>AF32-1</f>
        <v>-1.4021044312393371E-2</v>
      </c>
    </row>
    <row r="34" spans="1:32" s="4322" customFormat="1" ht="34.799999999999997">
      <c r="A34" s="4312">
        <v>4</v>
      </c>
      <c r="B34" s="4145" t="s">
        <v>211</v>
      </c>
      <c r="C34" s="3098"/>
      <c r="D34" s="3098"/>
      <c r="E34" s="3098"/>
      <c r="F34" s="3098"/>
      <c r="G34" s="3098">
        <f>[2]ChiNSĐP03nam!I32</f>
        <v>0</v>
      </c>
      <c r="H34" s="3098">
        <f>[2]ChiNSĐP03nam!J32</f>
        <v>357489.34666666656</v>
      </c>
      <c r="I34" s="3098">
        <f t="shared" ref="I34:I38" si="35">SUM(J34:K34)</f>
        <v>717399.2</v>
      </c>
      <c r="J34" s="3098">
        <f>[2]ChiNSĐP03nam!N32</f>
        <v>79139.200000000012</v>
      </c>
      <c r="K34" s="3098">
        <f>[2]ChiNSĐP03nam!O32</f>
        <v>638260</v>
      </c>
      <c r="L34" s="3098">
        <f t="shared" ref="L34:L44" si="36">SUM(M34:N34)</f>
        <v>882854.2423493322</v>
      </c>
      <c r="M34" s="3098">
        <f>[2]ChiNSĐP03nam!S32</f>
        <v>567070.94060725369</v>
      </c>
      <c r="N34" s="3098">
        <f>[2]ChiNSĐP03nam!T32</f>
        <v>315783.30174207845</v>
      </c>
      <c r="O34" s="3098">
        <f t="shared" ref="O34:O38" si="37">SUM(P34:Q34)</f>
        <v>1237230.2030542626</v>
      </c>
      <c r="P34" s="3098">
        <f>[2]ChiNSĐP03nam!X32</f>
        <v>1039823.5401058444</v>
      </c>
      <c r="Q34" s="4313">
        <f>[2]ChiNSĐP03nam!Y32</f>
        <v>197406.66294841812</v>
      </c>
      <c r="R34" s="4316">
        <f t="shared" si="34"/>
        <v>2837483.6454035947</v>
      </c>
      <c r="S34" s="3098">
        <f t="shared" si="32"/>
        <v>1686033.680713098</v>
      </c>
      <c r="T34" s="3098">
        <f t="shared" si="32"/>
        <v>1151449.9646904967</v>
      </c>
      <c r="U34" s="3098"/>
      <c r="V34" s="3098"/>
      <c r="W34" s="3098"/>
      <c r="X34" s="3098"/>
      <c r="Y34" s="3536"/>
      <c r="Z34" s="3536"/>
      <c r="AA34" s="3098"/>
      <c r="AB34" s="3536"/>
      <c r="AC34" s="3536"/>
      <c r="AD34" s="3098"/>
      <c r="AE34" s="3536"/>
      <c r="AF34" s="3536"/>
    </row>
    <row r="35" spans="1:32" s="4322" customFormat="1" ht="17.399999999999999">
      <c r="A35" s="4312">
        <v>5</v>
      </c>
      <c r="B35" s="45" t="s">
        <v>212</v>
      </c>
      <c r="C35" s="3098"/>
      <c r="D35" s="3098"/>
      <c r="E35" s="3098"/>
      <c r="F35" s="3098"/>
      <c r="G35" s="3098">
        <f>[2]ChiNSĐP03nam!I33</f>
        <v>0</v>
      </c>
      <c r="H35" s="3098">
        <f>[2]ChiNSĐP03nam!J33</f>
        <v>153209.71999999997</v>
      </c>
      <c r="I35" s="3098">
        <f t="shared" si="35"/>
        <v>0</v>
      </c>
      <c r="J35" s="3098">
        <f>[2]ChiNSĐP03nam!N33</f>
        <v>0</v>
      </c>
      <c r="K35" s="3098">
        <f>[2]ChiNSĐP03nam!O33</f>
        <v>0</v>
      </c>
      <c r="L35" s="3098">
        <f t="shared" si="36"/>
        <v>0</v>
      </c>
      <c r="M35" s="3098">
        <f>[2]ChiNSĐP03nam!S33</f>
        <v>0</v>
      </c>
      <c r="N35" s="3098">
        <f>[2]ChiNSĐP03nam!T33</f>
        <v>0</v>
      </c>
      <c r="O35" s="3098">
        <f t="shared" si="37"/>
        <v>0</v>
      </c>
      <c r="P35" s="3098">
        <f>[2]ChiNSĐP03nam!X33</f>
        <v>0</v>
      </c>
      <c r="Q35" s="4313">
        <f>[2]ChiNSĐP03nam!Y33</f>
        <v>0</v>
      </c>
      <c r="R35" s="4316">
        <f t="shared" si="34"/>
        <v>0</v>
      </c>
      <c r="S35" s="3098">
        <f t="shared" si="32"/>
        <v>0</v>
      </c>
      <c r="T35" s="3098">
        <f t="shared" si="32"/>
        <v>0</v>
      </c>
      <c r="U35" s="3098"/>
      <c r="V35" s="3098"/>
      <c r="W35" s="3098"/>
      <c r="X35" s="3098"/>
      <c r="Y35" s="3536"/>
      <c r="Z35" s="3536"/>
      <c r="AA35" s="3098"/>
      <c r="AB35" s="3536"/>
      <c r="AC35" s="3536"/>
      <c r="AD35" s="3098"/>
      <c r="AE35" s="3536"/>
      <c r="AF35" s="3536"/>
    </row>
    <row r="36" spans="1:32" s="4322" customFormat="1" ht="17.399999999999999">
      <c r="A36" s="4312">
        <v>6</v>
      </c>
      <c r="B36" s="2779" t="s">
        <v>174</v>
      </c>
      <c r="C36" s="3098">
        <f t="shared" si="33"/>
        <v>2000</v>
      </c>
      <c r="D36" s="3098">
        <f>[2]ChiNSĐP03nam!D29</f>
        <v>2000</v>
      </c>
      <c r="E36" s="3098">
        <f>[2]ChiNSĐP03nam!E29</f>
        <v>0</v>
      </c>
      <c r="F36" s="3098">
        <f t="shared" si="28"/>
        <v>2000</v>
      </c>
      <c r="G36" s="3098">
        <f>[2]ChiNSĐP03nam!I29</f>
        <v>2000</v>
      </c>
      <c r="H36" s="3098">
        <f>[2]ChiNSĐP03nam!J29</f>
        <v>0</v>
      </c>
      <c r="I36" s="3098">
        <f t="shared" si="35"/>
        <v>2000</v>
      </c>
      <c r="J36" s="3098">
        <f>[2]ChiNSĐP03nam!N29</f>
        <v>2000</v>
      </c>
      <c r="K36" s="3098">
        <f>[2]ChiNSĐP03nam!O29</f>
        <v>0</v>
      </c>
      <c r="L36" s="3098">
        <f t="shared" si="36"/>
        <v>2000</v>
      </c>
      <c r="M36" s="3098">
        <f>[2]ChiNSĐP03nam!S29</f>
        <v>2000</v>
      </c>
      <c r="N36" s="3098">
        <f>[2]ChiNSĐP03nam!T29</f>
        <v>0</v>
      </c>
      <c r="O36" s="3098">
        <f t="shared" si="37"/>
        <v>2000</v>
      </c>
      <c r="P36" s="3098">
        <f>[2]ChiNSĐP03nam!X29</f>
        <v>2000</v>
      </c>
      <c r="Q36" s="4313">
        <f>[2]ChiNSĐP03nam!Y29</f>
        <v>0</v>
      </c>
      <c r="R36" s="4316">
        <f t="shared" si="34"/>
        <v>6000</v>
      </c>
      <c r="S36" s="3098">
        <f t="shared" si="32"/>
        <v>6000</v>
      </c>
      <c r="T36" s="3098">
        <f t="shared" si="32"/>
        <v>0</v>
      </c>
      <c r="U36" s="3098"/>
      <c r="V36" s="3098"/>
      <c r="W36" s="3098"/>
      <c r="X36" s="3098"/>
      <c r="Y36" s="3536">
        <f>Y33/2</f>
        <v>-4.4559852936625621E-2</v>
      </c>
      <c r="Z36" s="3536">
        <f>Z33/2</f>
        <v>0.14017765430712004</v>
      </c>
      <c r="AA36" s="3098"/>
      <c r="AB36" s="3536">
        <f>AB33/2</f>
        <v>0.14032564651257817</v>
      </c>
      <c r="AC36" s="3536">
        <f>AC33/2</f>
        <v>-1.840303483190725E-2</v>
      </c>
      <c r="AD36" s="3098"/>
      <c r="AE36" s="3536">
        <f>AE33/2</f>
        <v>9.371359149164693E-2</v>
      </c>
      <c r="AF36" s="3536">
        <f>AF33/2</f>
        <v>-7.0105221561966857E-3</v>
      </c>
    </row>
    <row r="37" spans="1:32" s="4322" customFormat="1" ht="17.399999999999999">
      <c r="A37" s="4326">
        <v>7</v>
      </c>
      <c r="B37" s="2779" t="s">
        <v>175</v>
      </c>
      <c r="C37" s="3098">
        <f t="shared" si="33"/>
        <v>274623</v>
      </c>
      <c r="D37" s="3098">
        <f>[2]ChiNSĐP03nam!D30</f>
        <v>135382</v>
      </c>
      <c r="E37" s="3098">
        <f>[2]ChiNSĐP03nam!E30</f>
        <v>139241</v>
      </c>
      <c r="F37" s="3098">
        <f t="shared" si="28"/>
        <v>274623</v>
      </c>
      <c r="G37" s="3098">
        <f>[2]ChiNSĐP03nam!I30</f>
        <v>135382</v>
      </c>
      <c r="H37" s="3098">
        <f>[2]ChiNSĐP03nam!J30</f>
        <v>139241</v>
      </c>
      <c r="I37" s="3098">
        <f t="shared" si="35"/>
        <v>327868.91231904214</v>
      </c>
      <c r="J37" s="3098">
        <f>[2]ChiNSĐP03nam!N30</f>
        <v>152264.36799999999</v>
      </c>
      <c r="K37" s="3098">
        <f>[2]ChiNSĐP03nam!O30</f>
        <v>175604.54431904212</v>
      </c>
      <c r="L37" s="3098">
        <f t="shared" si="36"/>
        <v>347000</v>
      </c>
      <c r="M37" s="3098">
        <f>[2]ChiNSĐP03nam!S30</f>
        <v>171000</v>
      </c>
      <c r="N37" s="3098">
        <f>[2]ChiNSĐP03nam!T30</f>
        <v>176000</v>
      </c>
      <c r="O37" s="3098">
        <f t="shared" si="37"/>
        <v>361000</v>
      </c>
      <c r="P37" s="3098">
        <f>[2]ChiNSĐP03nam!X30</f>
        <v>185000</v>
      </c>
      <c r="Q37" s="4313">
        <f>[2]ChiNSĐP03nam!Y30</f>
        <v>176000</v>
      </c>
      <c r="R37" s="4316">
        <f t="shared" si="34"/>
        <v>1035868.9123190421</v>
      </c>
      <c r="S37" s="3098">
        <f t="shared" si="32"/>
        <v>508264.36800000002</v>
      </c>
      <c r="T37" s="3098">
        <f t="shared" si="32"/>
        <v>527604.54431904212</v>
      </c>
      <c r="U37" s="3098"/>
      <c r="V37" s="3098"/>
      <c r="W37" s="3098"/>
      <c r="X37" s="3098" t="s">
        <v>2447</v>
      </c>
      <c r="Y37" s="3536">
        <f>1+Y36</f>
        <v>0.95544014706337443</v>
      </c>
      <c r="Z37" s="3536">
        <f>1+Z36</f>
        <v>1.14017765430712</v>
      </c>
      <c r="AA37" s="3098" t="s">
        <v>2447</v>
      </c>
      <c r="AB37" s="3536">
        <f>1+AB36</f>
        <v>1.1403256465125782</v>
      </c>
      <c r="AC37" s="3536">
        <f>1+AC36</f>
        <v>0.98159696516809269</v>
      </c>
      <c r="AD37" s="3098" t="s">
        <v>2447</v>
      </c>
      <c r="AE37" s="3536">
        <f>1+AE36</f>
        <v>1.0937135914916469</v>
      </c>
      <c r="AF37" s="3536">
        <f>1+AF36</f>
        <v>0.99298947784380331</v>
      </c>
    </row>
    <row r="38" spans="1:32" s="4322" customFormat="1" ht="17.399999999999999">
      <c r="A38" s="4326">
        <v>8</v>
      </c>
      <c r="B38" s="2779" t="s">
        <v>213</v>
      </c>
      <c r="C38" s="3098">
        <f t="shared" si="33"/>
        <v>0</v>
      </c>
      <c r="D38" s="3098">
        <f>[2]ChiNSĐP03nam!D34</f>
        <v>0</v>
      </c>
      <c r="E38" s="3098">
        <f>[2]ChiNSĐP03nam!E34</f>
        <v>0</v>
      </c>
      <c r="F38" s="3098">
        <f t="shared" si="28"/>
        <v>0</v>
      </c>
      <c r="G38" s="3098">
        <f>[2]ChiNSĐP03nam!I34</f>
        <v>0</v>
      </c>
      <c r="H38" s="3098">
        <f>[2]ChiNSĐP03nam!J34</f>
        <v>0</v>
      </c>
      <c r="I38" s="3098">
        <f t="shared" si="35"/>
        <v>3000</v>
      </c>
      <c r="J38" s="3098">
        <f>[2]ChiNSĐP03nam!N34</f>
        <v>3000</v>
      </c>
      <c r="K38" s="3098">
        <f>[2]ChiNSĐP03nam!O34</f>
        <v>0</v>
      </c>
      <c r="L38" s="3098">
        <f t="shared" si="36"/>
        <v>3000</v>
      </c>
      <c r="M38" s="3098">
        <f>[2]ChiNSĐP03nam!S34</f>
        <v>3000</v>
      </c>
      <c r="N38" s="3098">
        <f>[2]ChiNSĐP03nam!T34</f>
        <v>0</v>
      </c>
      <c r="O38" s="3098">
        <f t="shared" si="37"/>
        <v>3000</v>
      </c>
      <c r="P38" s="3098">
        <f>[2]ChiNSĐP03nam!X34</f>
        <v>3000</v>
      </c>
      <c r="Q38" s="4313">
        <f>[2]ChiNSĐP03nam!Y34</f>
        <v>0</v>
      </c>
      <c r="R38" s="4316">
        <f t="shared" si="34"/>
        <v>9000</v>
      </c>
      <c r="S38" s="3098">
        <f t="shared" si="32"/>
        <v>9000</v>
      </c>
      <c r="T38" s="3098">
        <f t="shared" si="32"/>
        <v>0</v>
      </c>
      <c r="U38" s="3098"/>
      <c r="V38" s="3098"/>
      <c r="W38" s="3098"/>
      <c r="X38" s="3098"/>
      <c r="Y38" s="3098"/>
      <c r="Z38" s="3098"/>
      <c r="AA38" s="3098"/>
      <c r="AB38" s="3098"/>
      <c r="AC38" s="3098"/>
      <c r="AD38" s="3098"/>
      <c r="AE38" s="3098"/>
      <c r="AF38" s="3098"/>
    </row>
    <row r="39" spans="1:32" s="4322" customFormat="1" ht="34.799999999999997">
      <c r="A39" s="4312" t="s">
        <v>33</v>
      </c>
      <c r="B39" s="4327" t="s">
        <v>2448</v>
      </c>
      <c r="C39" s="3098">
        <f>SUM(D39:E39)</f>
        <v>2597007</v>
      </c>
      <c r="D39" s="3098">
        <f>SUM(D40:D42)</f>
        <v>2597007</v>
      </c>
      <c r="E39" s="3098">
        <f t="shared" ref="E39" si="38">SUM(E40:E42)</f>
        <v>0</v>
      </c>
      <c r="F39" s="3098">
        <f>SUM(G39:H39)</f>
        <v>2597007</v>
      </c>
      <c r="G39" s="3098">
        <f>SUM(G40:G42)</f>
        <v>2597007</v>
      </c>
      <c r="H39" s="3098">
        <f t="shared" ref="H39" si="39">SUM(H40:H42)</f>
        <v>0</v>
      </c>
      <c r="I39" s="3098">
        <f t="shared" si="29"/>
        <v>1988976</v>
      </c>
      <c r="J39" s="3098">
        <f>SUM(J40:J42)</f>
        <v>1988976</v>
      </c>
      <c r="K39" s="3098">
        <f>SUM(K40:K42)</f>
        <v>0</v>
      </c>
      <c r="L39" s="3098">
        <f t="shared" si="36"/>
        <v>2379485.2999999998</v>
      </c>
      <c r="M39" s="3098">
        <f>SUM(M40:M42)</f>
        <v>2379485.2999999998</v>
      </c>
      <c r="N39" s="3098">
        <f>SUM(N40:N42)</f>
        <v>0</v>
      </c>
      <c r="O39" s="3098">
        <f>SUM(P39:Q39)</f>
        <v>2379485.2999999998</v>
      </c>
      <c r="P39" s="3098">
        <f>SUM(P40:P42)</f>
        <v>2379485.2999999998</v>
      </c>
      <c r="Q39" s="4313">
        <f t="shared" ref="Q39" si="40">SUM(Q40:Q42)</f>
        <v>0</v>
      </c>
      <c r="R39" s="4316">
        <f>SUM(R40:R42)</f>
        <v>6747946.5999999996</v>
      </c>
      <c r="S39" s="3098">
        <f t="shared" ref="S39:T39" si="41">SUM(S40:S42)</f>
        <v>6747946.5999999996</v>
      </c>
      <c r="T39" s="3098">
        <f t="shared" si="41"/>
        <v>0</v>
      </c>
      <c r="U39" s="3098"/>
      <c r="V39" s="3098"/>
      <c r="W39" s="3098"/>
      <c r="X39" s="3098"/>
      <c r="Y39" s="3098"/>
      <c r="Z39" s="3098"/>
      <c r="AA39" s="3098"/>
      <c r="AB39" s="3098"/>
      <c r="AC39" s="3098"/>
      <c r="AD39" s="3098"/>
      <c r="AE39" s="3098"/>
      <c r="AF39" s="3098"/>
    </row>
    <row r="40" spans="1:32" s="4328" customFormat="1" ht="18">
      <c r="A40" s="4317">
        <v>1</v>
      </c>
      <c r="B40" s="46" t="str">
        <f>'[2]Phụ lục số 3'!B41</f>
        <v>Chi thực hiện mục tiêu, nhiệm vụ quan trọng (vốn đầu tư phát triển)</v>
      </c>
      <c r="C40" s="3106">
        <f>SUM(D40:E40)</f>
        <v>2417971</v>
      </c>
      <c r="D40" s="3106">
        <f>[2]ChiNSĐP03nam!D36</f>
        <v>2417971</v>
      </c>
      <c r="E40" s="3106">
        <f>[2]ChiNSĐP03nam!E36</f>
        <v>0</v>
      </c>
      <c r="F40" s="3106">
        <f>SUM(G40:H40)</f>
        <v>2417971</v>
      </c>
      <c r="G40" s="3106">
        <f>[2]ChiNSĐP03nam!I36</f>
        <v>2417971</v>
      </c>
      <c r="H40" s="3106"/>
      <c r="I40" s="3106">
        <f>SUM(J40:K40)</f>
        <v>1814491</v>
      </c>
      <c r="J40" s="3106">
        <f>[2]ChiNSĐP03nam!N36</f>
        <v>1814491</v>
      </c>
      <c r="K40" s="3106"/>
      <c r="L40" s="3106">
        <f>SUM(M40:N40)</f>
        <v>2205000</v>
      </c>
      <c r="M40" s="3106">
        <f>[2]ChiNSĐP03nam!S36</f>
        <v>2205000</v>
      </c>
      <c r="N40" s="3106"/>
      <c r="O40" s="3106">
        <f>SUM(P40:Q40)</f>
        <v>2205000</v>
      </c>
      <c r="P40" s="3106">
        <f>[2]ChiNSĐP03nam!X36</f>
        <v>2205000</v>
      </c>
      <c r="Q40" s="4318">
        <f>[2]ChiNSĐP03nam!Y36</f>
        <v>0</v>
      </c>
      <c r="R40" s="4319">
        <f>I40+L40+O40</f>
        <v>6224491</v>
      </c>
      <c r="S40" s="3106">
        <f t="shared" si="32"/>
        <v>6224491</v>
      </c>
      <c r="T40" s="3106">
        <f t="shared" si="32"/>
        <v>0</v>
      </c>
      <c r="U40" s="3106"/>
      <c r="V40" s="3106"/>
      <c r="W40" s="3106"/>
      <c r="X40" s="3106"/>
      <c r="Y40" s="3106"/>
      <c r="Z40" s="3106"/>
      <c r="AA40" s="3106"/>
      <c r="AB40" s="3106"/>
      <c r="AC40" s="3106"/>
      <c r="AD40" s="3106"/>
      <c r="AE40" s="3106"/>
      <c r="AF40" s="3106"/>
    </row>
    <row r="41" spans="1:32" s="4328" customFormat="1" ht="18">
      <c r="A41" s="4317">
        <v>2</v>
      </c>
      <c r="B41" s="46" t="str">
        <f>'[2]Phụ lục số 3'!B42</f>
        <v>Chi thực hiện mục tiêu, nhiệm vụ quan trọng (kinh phí sự nghiệp)</v>
      </c>
      <c r="C41" s="3106">
        <f t="shared" ref="C41:C42" si="42">SUM(D41:E41)</f>
        <v>179036</v>
      </c>
      <c r="D41" s="3106">
        <f>[2]ChiNSĐP03nam!D37</f>
        <v>179036</v>
      </c>
      <c r="E41" s="3106">
        <f>[2]ChiNSĐP03nam!E37</f>
        <v>0</v>
      </c>
      <c r="F41" s="3106">
        <f t="shared" ref="F41:F43" si="43">SUM(G41:H41)</f>
        <v>179036</v>
      </c>
      <c r="G41" s="3106">
        <f>[2]ChiNSĐP03nam!I37</f>
        <v>179036</v>
      </c>
      <c r="H41" s="3106"/>
      <c r="I41" s="3106">
        <f t="shared" ref="I41:I42" si="44">SUM(J41:K41)</f>
        <v>174485</v>
      </c>
      <c r="J41" s="3106">
        <f>[2]ChiNSĐP03nam!N37</f>
        <v>174485</v>
      </c>
      <c r="K41" s="3106"/>
      <c r="L41" s="3106">
        <f t="shared" ref="L41:L42" si="45">SUM(M41:N41)</f>
        <v>174485.3</v>
      </c>
      <c r="M41" s="3106">
        <f>[2]ChiNSĐP03nam!S37</f>
        <v>174485.3</v>
      </c>
      <c r="N41" s="3106"/>
      <c r="O41" s="3106">
        <f t="shared" ref="O41:O44" si="46">SUM(P41:Q41)</f>
        <v>174485.3</v>
      </c>
      <c r="P41" s="3106">
        <f>[2]ChiNSĐP03nam!X37</f>
        <v>174485.3</v>
      </c>
      <c r="Q41" s="4318">
        <f>[2]ChiNSĐP03nam!Y37</f>
        <v>0</v>
      </c>
      <c r="R41" s="4319">
        <f t="shared" ref="R41:R44" si="47">I41+L41+O41</f>
        <v>523455.6</v>
      </c>
      <c r="S41" s="3106">
        <f t="shared" si="32"/>
        <v>523455.6</v>
      </c>
      <c r="T41" s="3106">
        <f t="shared" si="32"/>
        <v>0</v>
      </c>
      <c r="U41" s="3106"/>
      <c r="V41" s="3106"/>
      <c r="W41" s="3106"/>
      <c r="X41" s="3106"/>
      <c r="Y41" s="3106"/>
      <c r="Z41" s="3106"/>
      <c r="AA41" s="3106"/>
      <c r="AB41" s="3106"/>
      <c r="AC41" s="3106"/>
      <c r="AD41" s="3106"/>
      <c r="AE41" s="3106"/>
      <c r="AF41" s="3106"/>
    </row>
    <row r="42" spans="1:32" s="4328" customFormat="1" ht="18">
      <c r="A42" s="4317">
        <v>3</v>
      </c>
      <c r="B42" s="46" t="str">
        <f>'[2]Phụ lục số 3'!B43</f>
        <v>Chi bổ sung có mục tiêu nhiệm vụ quan trọng khác (nếu có)</v>
      </c>
      <c r="C42" s="3106">
        <f t="shared" si="42"/>
        <v>0</v>
      </c>
      <c r="D42" s="3106">
        <f>[2]ChiNSĐP03nam!D38</f>
        <v>0</v>
      </c>
      <c r="E42" s="3106">
        <f>[2]ChiNSĐP03nam!E38</f>
        <v>0</v>
      </c>
      <c r="F42" s="3106">
        <f t="shared" si="43"/>
        <v>0</v>
      </c>
      <c r="G42" s="3106">
        <f>[2]ChiNSĐP03nam!I38</f>
        <v>0</v>
      </c>
      <c r="H42" s="3106"/>
      <c r="I42" s="3106">
        <f t="shared" si="44"/>
        <v>0</v>
      </c>
      <c r="J42" s="3106">
        <f>[2]ChiNSĐP03nam!N38</f>
        <v>0</v>
      </c>
      <c r="K42" s="3106"/>
      <c r="L42" s="3106">
        <f t="shared" si="45"/>
        <v>0</v>
      </c>
      <c r="M42" s="3106">
        <f>[2]ChiNSĐP03nam!S38</f>
        <v>0</v>
      </c>
      <c r="N42" s="3106"/>
      <c r="O42" s="3106">
        <f t="shared" si="46"/>
        <v>0</v>
      </c>
      <c r="P42" s="3106">
        <f>[2]ChiNSĐP03nam!X38</f>
        <v>0</v>
      </c>
      <c r="Q42" s="4318">
        <f>[2]ChiNSĐP03nam!Y38</f>
        <v>0</v>
      </c>
      <c r="R42" s="4319">
        <f t="shared" si="47"/>
        <v>0</v>
      </c>
      <c r="S42" s="3106">
        <f t="shared" si="32"/>
        <v>0</v>
      </c>
      <c r="T42" s="3106">
        <f t="shared" si="32"/>
        <v>0</v>
      </c>
      <c r="U42" s="3106"/>
      <c r="V42" s="3106"/>
      <c r="W42" s="3106"/>
      <c r="X42" s="3106"/>
      <c r="Y42" s="3106"/>
      <c r="Z42" s="3106"/>
      <c r="AA42" s="3106"/>
      <c r="AB42" s="3106"/>
      <c r="AC42" s="3106"/>
      <c r="AD42" s="3106"/>
      <c r="AE42" s="3106"/>
      <c r="AF42" s="3106"/>
    </row>
    <row r="43" spans="1:32" s="4322" customFormat="1" ht="39.75" customHeight="1">
      <c r="A43" s="4312" t="s">
        <v>182</v>
      </c>
      <c r="B43" s="4148" t="s">
        <v>181</v>
      </c>
      <c r="C43" s="3098">
        <f t="shared" si="33"/>
        <v>31500</v>
      </c>
      <c r="D43" s="3098">
        <f>[2]ChiNSĐP03nam!D39</f>
        <v>31500</v>
      </c>
      <c r="E43" s="3098">
        <f>'[1]Phụ lục số 2'!E35</f>
        <v>0</v>
      </c>
      <c r="F43" s="3098">
        <f t="shared" si="43"/>
        <v>31500</v>
      </c>
      <c r="G43" s="3098">
        <f>[2]ChiNSĐP03nam!I39</f>
        <v>31500</v>
      </c>
      <c r="H43" s="3098">
        <f>'[1]Phụ lục số 2'!J35</f>
        <v>0</v>
      </c>
      <c r="I43" s="3098">
        <f>SUM(J43:K43)</f>
        <v>0</v>
      </c>
      <c r="J43" s="3098">
        <f>[2]ChiNSĐP03nam!N39</f>
        <v>0</v>
      </c>
      <c r="K43" s="3098">
        <f>'[1]Phụ lục số 2'!O35</f>
        <v>0</v>
      </c>
      <c r="L43" s="3098">
        <f>SUM(M43:N43)</f>
        <v>0</v>
      </c>
      <c r="M43" s="3098">
        <f>[2]ChiNSĐP03nam!S39</f>
        <v>0</v>
      </c>
      <c r="N43" s="3098">
        <f>'[1]Phụ lục số 2'!T35</f>
        <v>0</v>
      </c>
      <c r="O43" s="3098">
        <f t="shared" si="46"/>
        <v>0</v>
      </c>
      <c r="P43" s="3098">
        <f>[2]ChiNSĐP03nam!X39</f>
        <v>0</v>
      </c>
      <c r="Q43" s="4313">
        <f>[2]ChiNSĐP03nam!Y39</f>
        <v>0</v>
      </c>
      <c r="R43" s="4316">
        <f t="shared" si="47"/>
        <v>0</v>
      </c>
      <c r="S43" s="3098">
        <f t="shared" si="32"/>
        <v>0</v>
      </c>
      <c r="T43" s="3098">
        <f t="shared" si="32"/>
        <v>0</v>
      </c>
      <c r="U43" s="3098"/>
      <c r="V43" s="3098"/>
      <c r="W43" s="3098"/>
      <c r="X43" s="3098"/>
      <c r="Y43" s="3098"/>
      <c r="Z43" s="3098"/>
      <c r="AA43" s="3098"/>
      <c r="AB43" s="3098"/>
      <c r="AC43" s="3098"/>
      <c r="AD43" s="3098"/>
      <c r="AE43" s="3098"/>
      <c r="AF43" s="3098"/>
    </row>
    <row r="44" spans="1:32" s="4329" customFormat="1" ht="17.399999999999999">
      <c r="A44" s="4312" t="s">
        <v>215</v>
      </c>
      <c r="B44" s="2779" t="s">
        <v>216</v>
      </c>
      <c r="C44" s="3098">
        <f t="shared" si="33"/>
        <v>0</v>
      </c>
      <c r="D44" s="3098">
        <f>E13</f>
        <v>0</v>
      </c>
      <c r="E44" s="3098"/>
      <c r="F44" s="3098">
        <f t="shared" si="28"/>
        <v>0</v>
      </c>
      <c r="G44" s="3098">
        <f>H13</f>
        <v>0</v>
      </c>
      <c r="H44" s="3098"/>
      <c r="I44" s="3098">
        <f t="shared" si="29"/>
        <v>0</v>
      </c>
      <c r="J44" s="3098">
        <f>K13</f>
        <v>0</v>
      </c>
      <c r="K44" s="3098"/>
      <c r="L44" s="3098">
        <f t="shared" si="36"/>
        <v>0</v>
      </c>
      <c r="M44" s="3098">
        <f>N13</f>
        <v>0</v>
      </c>
      <c r="N44" s="3098"/>
      <c r="O44" s="3098">
        <f t="shared" si="46"/>
        <v>0</v>
      </c>
      <c r="P44" s="3098">
        <f>Q13</f>
        <v>0</v>
      </c>
      <c r="Q44" s="4313"/>
      <c r="R44" s="4316">
        <f t="shared" si="47"/>
        <v>0</v>
      </c>
      <c r="S44" s="3098">
        <f t="shared" si="32"/>
        <v>0</v>
      </c>
      <c r="T44" s="3098">
        <f t="shared" si="32"/>
        <v>0</v>
      </c>
      <c r="U44" s="3098"/>
      <c r="V44" s="3098"/>
      <c r="W44" s="3098"/>
      <c r="X44" s="3098"/>
      <c r="Y44" s="3098"/>
      <c r="Z44" s="3098"/>
      <c r="AA44" s="3098"/>
      <c r="AB44" s="3098"/>
      <c r="AC44" s="3098"/>
      <c r="AD44" s="3098"/>
      <c r="AE44" s="3098"/>
      <c r="AF44" s="3098"/>
    </row>
    <row r="45" spans="1:32" s="4335" customFormat="1" ht="18" thickBot="1">
      <c r="A45" s="4330" t="s">
        <v>44</v>
      </c>
      <c r="B45" s="4331" t="s">
        <v>217</v>
      </c>
      <c r="C45" s="4332">
        <f>C5-C21</f>
        <v>0</v>
      </c>
      <c r="D45" s="4332">
        <f>D5-D21</f>
        <v>4748721</v>
      </c>
      <c r="E45" s="4332">
        <f>E5-E21</f>
        <v>-4748721</v>
      </c>
      <c r="F45" s="4332">
        <f>G45+H45</f>
        <v>-294299.26666666567</v>
      </c>
      <c r="G45" s="4332">
        <f t="shared" ref="G45:Q45" si="48">G5-G21</f>
        <v>4454421.7333333343</v>
      </c>
      <c r="H45" s="4332">
        <f t="shared" si="48"/>
        <v>-4748721</v>
      </c>
      <c r="I45" s="4332">
        <f t="shared" si="48"/>
        <v>69.684000004082918</v>
      </c>
      <c r="J45" s="4332">
        <f t="shared" si="48"/>
        <v>5081893.432</v>
      </c>
      <c r="K45" s="4332">
        <f t="shared" si="48"/>
        <v>-5081823.3479999993</v>
      </c>
      <c r="L45" s="4332">
        <f t="shared" si="48"/>
        <v>1553.0423493310809</v>
      </c>
      <c r="M45" s="4332">
        <f t="shared" si="48"/>
        <v>5084876.3406072557</v>
      </c>
      <c r="N45" s="4332">
        <f t="shared" si="48"/>
        <v>-5083323.2982579228</v>
      </c>
      <c r="O45" s="4332">
        <f t="shared" si="48"/>
        <v>2978.3454035930336</v>
      </c>
      <c r="P45" s="4332">
        <f t="shared" si="48"/>
        <v>5086301.4807130974</v>
      </c>
      <c r="Q45" s="4333">
        <f t="shared" si="48"/>
        <v>-5083323.1353095043</v>
      </c>
      <c r="R45" s="4334">
        <f t="shared" si="32"/>
        <v>4601.0717529281974</v>
      </c>
      <c r="S45" s="3256">
        <f t="shared" si="32"/>
        <v>15253071.253320353</v>
      </c>
      <c r="T45" s="3256">
        <f t="shared" si="32"/>
        <v>-15248469.781567426</v>
      </c>
      <c r="U45" s="3256"/>
      <c r="V45" s="3256"/>
      <c r="W45" s="3256"/>
      <c r="X45" s="3256"/>
      <c r="Y45" s="3256"/>
      <c r="Z45" s="3256"/>
      <c r="AA45" s="3256"/>
      <c r="AB45" s="3256"/>
      <c r="AC45" s="3256"/>
      <c r="AD45" s="3256"/>
      <c r="AE45" s="3256"/>
      <c r="AF45" s="3256"/>
    </row>
    <row r="47" spans="1:32" hidden="1">
      <c r="C47" s="4337"/>
      <c r="D47" s="4337">
        <f>D45*1000</f>
        <v>4748721000</v>
      </c>
      <c r="E47" s="4337">
        <f>E45*1000</f>
        <v>-4748721000</v>
      </c>
      <c r="F47" s="4337"/>
      <c r="G47" s="4337">
        <f>G45*1000000</f>
        <v>4454421733333.334</v>
      </c>
      <c r="H47" s="4337">
        <f>H45*1000000</f>
        <v>-4748721000000</v>
      </c>
      <c r="I47" s="4337">
        <f>+I45*1000000</f>
        <v>69684000.004082918</v>
      </c>
      <c r="J47" s="4337">
        <f>J45*1000000</f>
        <v>5081893432000</v>
      </c>
      <c r="K47" s="4337">
        <f>K45*1000000</f>
        <v>-5081823347999.999</v>
      </c>
      <c r="L47" s="4337"/>
      <c r="M47" s="4337">
        <f>M45*1000000</f>
        <v>5084876340607.2559</v>
      </c>
      <c r="N47" s="4337">
        <f>N45*1000000</f>
        <v>-5083323298257.9229</v>
      </c>
      <c r="O47" s="4337"/>
      <c r="P47" s="4337">
        <f>P45*1000000</f>
        <v>5086301480713.0977</v>
      </c>
      <c r="Q47" s="4337">
        <f>Q45*1000000</f>
        <v>-5083323135309.5039</v>
      </c>
      <c r="R47" s="4337"/>
      <c r="S47" s="4337">
        <f>S45*1000000</f>
        <v>15253071253320.354</v>
      </c>
      <c r="T47" s="4337">
        <f>T45*1000000</f>
        <v>-15248469781567.426</v>
      </c>
    </row>
    <row r="48" spans="1:32" hidden="1"/>
    <row r="49" spans="3:20">
      <c r="C49" s="4338">
        <f>+C45*1000</f>
        <v>0</v>
      </c>
      <c r="D49" s="4338">
        <f>+D45*1000</f>
        <v>4748721000</v>
      </c>
      <c r="E49" s="4338">
        <f t="shared" ref="E49:T49" si="49">+E45*1000</f>
        <v>-4748721000</v>
      </c>
      <c r="F49" s="4338">
        <f>+F45*1000</f>
        <v>-294299266.66666567</v>
      </c>
      <c r="G49" s="4338">
        <f>+G45*1000</f>
        <v>4454421733.333334</v>
      </c>
      <c r="H49" s="4338">
        <f t="shared" si="49"/>
        <v>-4748721000</v>
      </c>
      <c r="I49" s="4338">
        <f t="shared" si="49"/>
        <v>69684.000004082918</v>
      </c>
      <c r="J49" s="4338">
        <f t="shared" si="49"/>
        <v>5081893432</v>
      </c>
      <c r="K49" s="4338">
        <f t="shared" si="49"/>
        <v>-5081823347.999999</v>
      </c>
      <c r="L49" s="4338">
        <f t="shared" si="49"/>
        <v>1553042.3493310809</v>
      </c>
      <c r="M49" s="4338">
        <f t="shared" si="49"/>
        <v>5084876340.6072559</v>
      </c>
      <c r="N49" s="4338">
        <f t="shared" si="49"/>
        <v>-5083323298.2579231</v>
      </c>
      <c r="O49" s="4338">
        <f t="shared" si="49"/>
        <v>2978345.4035930336</v>
      </c>
      <c r="P49" s="4338">
        <f t="shared" si="49"/>
        <v>5086301480.7130976</v>
      </c>
      <c r="Q49" s="4338">
        <f t="shared" si="49"/>
        <v>-5083323135.3095045</v>
      </c>
      <c r="R49" s="4338">
        <f t="shared" si="49"/>
        <v>4601071.7529281974</v>
      </c>
      <c r="S49" s="4338">
        <f t="shared" si="49"/>
        <v>15253071253.320353</v>
      </c>
      <c r="T49" s="4338">
        <f t="shared" si="49"/>
        <v>-15248469781.567427</v>
      </c>
    </row>
    <row r="50" spans="3:20">
      <c r="J50" s="4339" t="e">
        <f>J14+#REF!</f>
        <v>#REF!</v>
      </c>
      <c r="R50" s="4340">
        <f>R23/$R$22</f>
        <v>0.28577294519455293</v>
      </c>
    </row>
    <row r="51" spans="3:20">
      <c r="J51" s="4339">
        <f>I22</f>
        <v>16638432.915999997</v>
      </c>
      <c r="R51" s="4340">
        <f>R29/$R$22</f>
        <v>0.63916308332820782</v>
      </c>
    </row>
    <row r="52" spans="3:20">
      <c r="J52" s="4340" t="e">
        <f>+J50/J51</f>
        <v>#REF!</v>
      </c>
    </row>
    <row r="55" spans="3:20">
      <c r="J55" s="4339"/>
    </row>
    <row r="56" spans="3:20">
      <c r="F56" s="4339">
        <f>-F45</f>
        <v>294299.26666666567</v>
      </c>
      <c r="H56" s="4339">
        <f>H45-E45</f>
        <v>0</v>
      </c>
      <c r="I56" s="4299">
        <f>+I6*1%</f>
        <v>159881.18315999996</v>
      </c>
    </row>
    <row r="57" spans="3:20">
      <c r="F57" s="4339">
        <f>+F56+F5</f>
        <v>17291694.066666666</v>
      </c>
      <c r="I57" s="4299">
        <f>INT(I56)</f>
        <v>159881</v>
      </c>
    </row>
    <row r="58" spans="3:20">
      <c r="I58" s="4299">
        <f>+(I36+I37)*1%</f>
        <v>3298.6891231904215</v>
      </c>
      <c r="J58" s="4340">
        <f>+J45/D45</f>
        <v>1.0701604562575902</v>
      </c>
    </row>
    <row r="59" spans="3:20">
      <c r="I59" s="4299">
        <f>+I57-I58</f>
        <v>156582.31087680958</v>
      </c>
    </row>
    <row r="60" spans="3:20">
      <c r="I60" s="4299">
        <v>120000</v>
      </c>
    </row>
    <row r="61" spans="3:20">
      <c r="I61" s="4340">
        <f>I32/C32</f>
        <v>1.1346837350735228</v>
      </c>
    </row>
    <row r="88" spans="2:2">
      <c r="B88" s="4341"/>
    </row>
  </sheetData>
  <mergeCells count="14">
    <mergeCell ref="U3:W3"/>
    <mergeCell ref="X3:Z3"/>
    <mergeCell ref="AA3:AC3"/>
    <mergeCell ref="AD3:AF3"/>
    <mergeCell ref="A1:Q1"/>
    <mergeCell ref="R2:T2"/>
    <mergeCell ref="A3:A4"/>
    <mergeCell ref="B3:B4"/>
    <mergeCell ref="C3:E3"/>
    <mergeCell ref="F3:H3"/>
    <mergeCell ref="I3:K3"/>
    <mergeCell ref="L3:N3"/>
    <mergeCell ref="O3:Q3"/>
    <mergeCell ref="R3:T3"/>
  </mergeCells>
  <hyperlinks>
    <hyperlink ref="A3:A4" location="'Danh mục file'!A1" display="TT"/>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00B050"/>
  </sheetPr>
  <dimension ref="A1:AF68"/>
  <sheetViews>
    <sheetView workbookViewId="0">
      <selection activeCell="K19" sqref="K19"/>
    </sheetView>
  </sheetViews>
  <sheetFormatPr defaultColWidth="10.33203125" defaultRowHeight="18"/>
  <cols>
    <col min="1" max="1" width="4.88671875" style="583" customWidth="1"/>
    <col min="2" max="2" width="64.88671875" style="381" customWidth="1"/>
    <col min="3" max="17" width="10" style="381" customWidth="1"/>
    <col min="18" max="20" width="12.109375" style="381" customWidth="1"/>
    <col min="21" max="21" width="20" style="381" customWidth="1"/>
    <col min="22" max="22" width="18.6640625" style="381" customWidth="1"/>
    <col min="23" max="23" width="15.88671875" style="381" customWidth="1"/>
    <col min="24" max="24" width="19" style="381" customWidth="1"/>
    <col min="25" max="25" width="19.44140625" style="381" customWidth="1"/>
    <col min="26" max="26" width="19.109375" style="381" customWidth="1"/>
    <col min="27" max="27" width="34" style="381" customWidth="1"/>
    <col min="28" max="28" width="14.109375" style="381" customWidth="1"/>
    <col min="29" max="29" width="12.5546875" style="381" customWidth="1"/>
    <col min="30" max="30" width="46.6640625" style="381" customWidth="1"/>
    <col min="31" max="32" width="10.33203125" style="381" customWidth="1"/>
    <col min="33" max="16384" width="10.33203125" style="381"/>
  </cols>
  <sheetData>
    <row r="1" spans="1:32" ht="34.5" customHeight="1">
      <c r="A1" s="6109" t="s">
        <v>2449</v>
      </c>
      <c r="B1" s="6109"/>
      <c r="C1" s="6109"/>
      <c r="D1" s="6109"/>
      <c r="E1" s="6109"/>
      <c r="F1" s="6109"/>
      <c r="G1" s="6109"/>
      <c r="H1" s="6109"/>
      <c r="I1" s="6109"/>
      <c r="J1" s="6109"/>
      <c r="K1" s="6109"/>
      <c r="L1" s="2083"/>
      <c r="M1" s="2083"/>
      <c r="N1" s="2083"/>
      <c r="O1" s="2083"/>
      <c r="P1" s="2083"/>
      <c r="Q1" s="2083"/>
      <c r="R1" s="431"/>
      <c r="S1" s="431"/>
      <c r="T1" s="431"/>
      <c r="AC1" s="431"/>
    </row>
    <row r="2" spans="1:32" ht="18.600000000000001" thickBot="1">
      <c r="A2" s="641"/>
      <c r="B2" s="641"/>
      <c r="C2" s="319"/>
      <c r="D2" s="319"/>
      <c r="E2" s="319"/>
      <c r="F2" s="319"/>
      <c r="G2" s="47"/>
      <c r="H2" s="679"/>
      <c r="I2" s="6365" t="s">
        <v>964</v>
      </c>
      <c r="J2" s="6365"/>
      <c r="K2" s="6365"/>
      <c r="L2" s="4342"/>
      <c r="M2" s="4342"/>
      <c r="N2" s="4342"/>
      <c r="O2" s="4342"/>
      <c r="P2" s="2565"/>
      <c r="Q2" s="2565"/>
      <c r="R2" s="2565"/>
      <c r="S2" s="2565"/>
      <c r="T2" s="2565"/>
    </row>
    <row r="3" spans="1:32" s="641" customFormat="1" ht="17.25" customHeight="1" thickTop="1">
      <c r="A3" s="6366" t="s">
        <v>200</v>
      </c>
      <c r="B3" s="6368" t="s">
        <v>201</v>
      </c>
      <c r="C3" s="6078" t="s">
        <v>2422</v>
      </c>
      <c r="D3" s="6078"/>
      <c r="E3" s="6078"/>
      <c r="F3" s="6078" t="s">
        <v>2423</v>
      </c>
      <c r="G3" s="6078"/>
      <c r="H3" s="6078"/>
      <c r="I3" s="6225" t="s">
        <v>219</v>
      </c>
      <c r="J3" s="6226"/>
      <c r="K3" s="6228"/>
      <c r="L3" s="6225" t="s">
        <v>2424</v>
      </c>
      <c r="M3" s="6226"/>
      <c r="N3" s="6228"/>
      <c r="O3" s="6225" t="s">
        <v>2141</v>
      </c>
      <c r="P3" s="6226"/>
      <c r="Q3" s="6227"/>
      <c r="R3" s="6363" t="s">
        <v>2450</v>
      </c>
      <c r="S3" s="6363"/>
      <c r="T3" s="6364"/>
      <c r="U3" s="6360" t="s">
        <v>2426</v>
      </c>
      <c r="V3" s="6361"/>
      <c r="W3" s="6362"/>
      <c r="X3" s="6360" t="s">
        <v>2427</v>
      </c>
      <c r="Y3" s="6361"/>
      <c r="Z3" s="6362"/>
      <c r="AA3" s="6360" t="s">
        <v>2428</v>
      </c>
      <c r="AB3" s="6361"/>
      <c r="AC3" s="6362"/>
      <c r="AD3" s="6360" t="s">
        <v>2429</v>
      </c>
      <c r="AE3" s="6361"/>
      <c r="AF3" s="6362"/>
    </row>
    <row r="4" spans="1:32" s="641" customFormat="1" ht="17.399999999999999">
      <c r="A4" s="6367"/>
      <c r="B4" s="6369"/>
      <c r="C4" s="50" t="s">
        <v>220</v>
      </c>
      <c r="D4" s="51" t="s">
        <v>221</v>
      </c>
      <c r="E4" s="51" t="s">
        <v>222</v>
      </c>
      <c r="F4" s="50" t="s">
        <v>220</v>
      </c>
      <c r="G4" s="51" t="s">
        <v>221</v>
      </c>
      <c r="H4" s="51" t="s">
        <v>222</v>
      </c>
      <c r="I4" s="3041" t="s">
        <v>220</v>
      </c>
      <c r="J4" s="4288" t="s">
        <v>221</v>
      </c>
      <c r="K4" s="4288" t="s">
        <v>222</v>
      </c>
      <c r="L4" s="3041" t="s">
        <v>220</v>
      </c>
      <c r="M4" s="4288" t="s">
        <v>221</v>
      </c>
      <c r="N4" s="4288" t="s">
        <v>222</v>
      </c>
      <c r="O4" s="3041" t="s">
        <v>220</v>
      </c>
      <c r="P4" s="4288" t="s">
        <v>221</v>
      </c>
      <c r="Q4" s="4343" t="s">
        <v>222</v>
      </c>
      <c r="R4" s="4344" t="s">
        <v>220</v>
      </c>
      <c r="S4" s="4345" t="s">
        <v>221</v>
      </c>
      <c r="T4" s="4345" t="s">
        <v>222</v>
      </c>
      <c r="U4" s="4346" t="s">
        <v>220</v>
      </c>
      <c r="V4" s="2239" t="s">
        <v>1839</v>
      </c>
      <c r="W4" s="2239" t="s">
        <v>1840</v>
      </c>
      <c r="X4" s="4346" t="s">
        <v>220</v>
      </c>
      <c r="Y4" s="2239" t="s">
        <v>1839</v>
      </c>
      <c r="Z4" s="2239" t="s">
        <v>1840</v>
      </c>
      <c r="AA4" s="4346" t="s">
        <v>220</v>
      </c>
      <c r="AB4" s="2239" t="s">
        <v>1839</v>
      </c>
      <c r="AC4" s="2239" t="s">
        <v>1840</v>
      </c>
      <c r="AD4" s="4346" t="s">
        <v>220</v>
      </c>
      <c r="AE4" s="2239" t="s">
        <v>1839</v>
      </c>
      <c r="AF4" s="2239" t="s">
        <v>1840</v>
      </c>
    </row>
    <row r="5" spans="1:32" s="641" customFormat="1" ht="17.399999999999999">
      <c r="A5" s="4347" t="s">
        <v>1</v>
      </c>
      <c r="B5" s="4348" t="s">
        <v>2451</v>
      </c>
      <c r="C5" s="4349">
        <f>SUM(C8,C13,C19,C20)</f>
        <v>20568716</v>
      </c>
      <c r="D5" s="4349">
        <f t="shared" ref="D5:E5" si="0">SUM(D8,D13,D19,D20)</f>
        <v>12922645</v>
      </c>
      <c r="E5" s="4349">
        <f t="shared" si="0"/>
        <v>7646071</v>
      </c>
      <c r="F5" s="4349">
        <f>SUM(F8,F13,F19,F20)</f>
        <v>21746115.800000001</v>
      </c>
      <c r="G5" s="4349">
        <f t="shared" ref="G5:Q5" si="1">SUM(G8,G13,G19,G20)</f>
        <v>13068045.733333334</v>
      </c>
      <c r="H5" s="4349">
        <f t="shared" si="1"/>
        <v>8678070.0666666664</v>
      </c>
      <c r="I5" s="4350">
        <f t="shared" si="1"/>
        <v>23710732.348000001</v>
      </c>
      <c r="J5" s="4350">
        <f t="shared" si="1"/>
        <v>13802329</v>
      </c>
      <c r="K5" s="4350">
        <f>SUM(K8,K13,K19,K20)</f>
        <v>9908403.3480000012</v>
      </c>
      <c r="L5" s="4350">
        <f t="shared" si="1"/>
        <v>24565215.932698663</v>
      </c>
      <c r="M5" s="4350">
        <f t="shared" si="1"/>
        <v>15347532.326977219</v>
      </c>
      <c r="N5" s="4350">
        <f>SUM(N8,N13,N19,N20)</f>
        <v>9217683.6057214458</v>
      </c>
      <c r="O5" s="4350">
        <f t="shared" si="1"/>
        <v>25527017.296457857</v>
      </c>
      <c r="P5" s="4350">
        <f t="shared" si="1"/>
        <v>16389010.253869791</v>
      </c>
      <c r="Q5" s="4351">
        <f t="shared" si="1"/>
        <v>9138007.0425880682</v>
      </c>
      <c r="R5" s="4352">
        <f>I5+L5+O5</f>
        <v>73802965.577156514</v>
      </c>
      <c r="S5" s="4353">
        <f>J5+M5+P5</f>
        <v>45538871.58084701</v>
      </c>
      <c r="T5" s="4353">
        <f>K5+N5+Q5</f>
        <v>28264093.996309519</v>
      </c>
      <c r="U5" s="4354" t="s">
        <v>2430</v>
      </c>
      <c r="V5" s="4353"/>
      <c r="W5" s="4353"/>
      <c r="X5" s="4354" t="s">
        <v>2430</v>
      </c>
      <c r="Y5" s="4353"/>
      <c r="Z5" s="4353"/>
      <c r="AA5" s="4354" t="s">
        <v>2430</v>
      </c>
      <c r="AB5" s="4353"/>
      <c r="AC5" s="4353"/>
      <c r="AD5" s="4354" t="s">
        <v>2430</v>
      </c>
      <c r="AE5" s="4353"/>
      <c r="AF5" s="4353"/>
    </row>
    <row r="6" spans="1:32" s="641" customFormat="1" ht="17.399999999999999">
      <c r="A6" s="52"/>
      <c r="B6" s="2779" t="s">
        <v>2452</v>
      </c>
      <c r="C6" s="2280">
        <f>SUM(D6:E6)</f>
        <v>12873690</v>
      </c>
      <c r="D6" s="2280">
        <f>D8+D14+D19-D44</f>
        <v>5545417</v>
      </c>
      <c r="E6" s="2280">
        <f>E8+E14+E19-E44</f>
        <v>7328273</v>
      </c>
      <c r="F6" s="2280">
        <f>SUM(G6:H6)</f>
        <v>14051089.800000001</v>
      </c>
      <c r="G6" s="2280">
        <f>G8+G14+G19-G44</f>
        <v>5690817.7333333343</v>
      </c>
      <c r="H6" s="2280">
        <f>H8+H14+H19-H44</f>
        <v>8360272.0666666664</v>
      </c>
      <c r="I6" s="2280">
        <f>I8+I14+I19-I44+I18</f>
        <v>15986032.651999999</v>
      </c>
      <c r="J6" s="2280">
        <f>J8+J14+J19-J44+J18</f>
        <v>6730029.6519999998</v>
      </c>
      <c r="K6" s="2280">
        <f>K8+K14+K19-K44+K18</f>
        <v>9256003</v>
      </c>
      <c r="L6" s="2280">
        <f t="shared" ref="L6:P6" si="2">L8+L14+L19-L44</f>
        <v>15799691.93669866</v>
      </c>
      <c r="M6" s="2280">
        <f>M8+M14+M19-M44</f>
        <v>7234408.6789772185</v>
      </c>
      <c r="N6" s="2280">
        <f>N8+N14+N19-N44</f>
        <v>8565283.2577214446</v>
      </c>
      <c r="O6" s="2280">
        <f t="shared" si="2"/>
        <v>16761493.300457854</v>
      </c>
      <c r="P6" s="2280">
        <f t="shared" si="2"/>
        <v>8275886.6058697896</v>
      </c>
      <c r="Q6" s="4355">
        <f>Q8+Q14+Q19-Q44</f>
        <v>8485606.694588067</v>
      </c>
      <c r="R6" s="4356">
        <f>SUM(R8,S14,S16,R19)</f>
        <v>56078594.93315652</v>
      </c>
      <c r="S6" s="2281">
        <f>S8+S14+S16+S19-S45</f>
        <v>43059939.571526662</v>
      </c>
      <c r="T6" s="2281">
        <f>R6-S6</f>
        <v>13018655.361629859</v>
      </c>
      <c r="U6" s="4357"/>
      <c r="V6" s="2281"/>
      <c r="W6" s="2281"/>
      <c r="X6" s="4357"/>
      <c r="Y6" s="2281"/>
      <c r="Z6" s="2281"/>
      <c r="AA6" s="4357"/>
      <c r="AB6" s="2281"/>
      <c r="AC6" s="2281"/>
      <c r="AD6" s="4357"/>
      <c r="AE6" s="2281"/>
      <c r="AF6" s="2281"/>
    </row>
    <row r="7" spans="1:32" s="641" customFormat="1" ht="17.399999999999999">
      <c r="A7" s="52"/>
      <c r="B7" s="2779" t="s">
        <v>2453</v>
      </c>
      <c r="C7" s="2280">
        <f>+D7+E7</f>
        <v>10373690</v>
      </c>
      <c r="D7" s="2280">
        <f>D6-D9-D10</f>
        <v>3845417</v>
      </c>
      <c r="E7" s="2280">
        <f>E6-E9-E10</f>
        <v>6528273</v>
      </c>
      <c r="F7" s="2280">
        <f>+G7+H7</f>
        <v>11021089.800000001</v>
      </c>
      <c r="G7" s="2280">
        <f>G6-G9-G10-G11</f>
        <v>3640817.7333333343</v>
      </c>
      <c r="H7" s="2280">
        <f>H6-H9-H10</f>
        <v>7380272.0666666664</v>
      </c>
      <c r="I7" s="2280">
        <f>+J7+K7</f>
        <v>12266032.651999999</v>
      </c>
      <c r="J7" s="2280">
        <f>J6-J9-J10-J11</f>
        <v>4153029.6519999998</v>
      </c>
      <c r="K7" s="2280">
        <f>K6-K9-K10</f>
        <v>8113003</v>
      </c>
      <c r="L7" s="2280">
        <f>+M7+N7</f>
        <v>12277691.936698662</v>
      </c>
      <c r="M7" s="2280">
        <f>M6-M9-M10-M11</f>
        <v>4487308.9332145061</v>
      </c>
      <c r="N7" s="2280">
        <f>N6-N9-N10</f>
        <v>7790383.003484156</v>
      </c>
      <c r="O7" s="2280">
        <f>+P7+Q7</f>
        <v>13001493.300457858</v>
      </c>
      <c r="P7" s="2280">
        <f>P6-P9-P10-P11</f>
        <v>5329486.8728189422</v>
      </c>
      <c r="Q7" s="4355">
        <f>Q6-Q9-Q10</f>
        <v>7672006.4276389144</v>
      </c>
      <c r="R7" s="4356">
        <f>+S7+T7</f>
        <v>45076594.93315652</v>
      </c>
      <c r="S7" s="2281">
        <f>S6-S9-S10</f>
        <v>34789440.092713103</v>
      </c>
      <c r="T7" s="2281">
        <f>T6-T9-T10</f>
        <v>10287154.840443417</v>
      </c>
      <c r="U7" s="4357"/>
      <c r="V7" s="2281"/>
      <c r="W7" s="2281"/>
      <c r="X7" s="4357"/>
      <c r="Y7" s="2281"/>
      <c r="Z7" s="2281"/>
      <c r="AA7" s="4357"/>
      <c r="AB7" s="2281"/>
      <c r="AC7" s="2281"/>
      <c r="AD7" s="4357"/>
      <c r="AE7" s="2281"/>
      <c r="AF7" s="2281"/>
    </row>
    <row r="8" spans="1:32" s="641" customFormat="1" ht="17.399999999999999">
      <c r="A8" s="52">
        <v>1</v>
      </c>
      <c r="B8" s="2779" t="s">
        <v>202</v>
      </c>
      <c r="C8" s="2280">
        <f>SUM(D8:E8)</f>
        <v>6704000</v>
      </c>
      <c r="D8" s="2280">
        <f>'[2]Phụ lục số 1'!F8</f>
        <v>3806650</v>
      </c>
      <c r="E8" s="2280">
        <f>'[2]Phụ lục số 1'!G8</f>
        <v>2897350</v>
      </c>
      <c r="F8" s="2280">
        <f>SUM(G8:H8)</f>
        <v>7450399.7999999998</v>
      </c>
      <c r="G8" s="2280">
        <f>'[2]Phụ lục số 1'!X8</f>
        <v>3862350.7333333334</v>
      </c>
      <c r="H8" s="2280">
        <f>'[2]Phụ lục số 1'!Y8</f>
        <v>3588049.0666666664</v>
      </c>
      <c r="I8" s="2280">
        <f>SUM(J8:K8)</f>
        <v>8484930</v>
      </c>
      <c r="J8" s="2280">
        <f>'[2]Phụ lục số 1'!AI8</f>
        <v>4545850</v>
      </c>
      <c r="K8" s="2280">
        <f>'[2]Phụ lục số 1'!AJ8</f>
        <v>3939080</v>
      </c>
      <c r="L8" s="2280">
        <f t="shared" ref="L8:L20" si="3">SUM(M8:N8)</f>
        <v>9117505.084698664</v>
      </c>
      <c r="M8" s="2280">
        <f>'[2]Phụ lục số 1'!AO8</f>
        <v>5621404.8269772194</v>
      </c>
      <c r="N8" s="2280">
        <f>'[2]Phụ lục số 1'!AP8</f>
        <v>3496100.2577214451</v>
      </c>
      <c r="O8" s="2280">
        <f t="shared" ref="O8:O20" si="4">SUM(P8:Q8)</f>
        <v>9913851.4061085247</v>
      </c>
      <c r="P8" s="2280">
        <f>'[2]Phụ lục số 1'!AU8</f>
        <v>6174951.0132625364</v>
      </c>
      <c r="Q8" s="4355">
        <f>'[2]Phụ lục số 1'!AV8</f>
        <v>3738900.3928459887</v>
      </c>
      <c r="R8" s="4356">
        <f t="shared" ref="R8:T22" si="5">I8+L8+O8</f>
        <v>27516286.490807187</v>
      </c>
      <c r="S8" s="2281">
        <f t="shared" si="5"/>
        <v>16342205.840239756</v>
      </c>
      <c r="T8" s="2281">
        <f t="shared" si="5"/>
        <v>11174080.650567433</v>
      </c>
      <c r="U8" s="2281">
        <f>SUM(V8:W8)</f>
        <v>746399.79999999981</v>
      </c>
      <c r="V8" s="2281">
        <f>G8-$D$8</f>
        <v>55700.733333333395</v>
      </c>
      <c r="W8" s="2281">
        <f>H8-$E$8</f>
        <v>690699.06666666642</v>
      </c>
      <c r="X8" s="2281">
        <f>SUM(Y8:Z8)</f>
        <v>1780930</v>
      </c>
      <c r="Y8" s="2281">
        <f>J8-$D$8</f>
        <v>739200</v>
      </c>
      <c r="Z8" s="2281">
        <f>K8-$E$8</f>
        <v>1041730</v>
      </c>
      <c r="AA8" s="2281">
        <f>SUM(AB8:AC8)</f>
        <v>2413505.0846986645</v>
      </c>
      <c r="AB8" s="2281">
        <f>M8-$D$8</f>
        <v>1814754.8269772194</v>
      </c>
      <c r="AC8" s="2281">
        <f>N8-$E$8</f>
        <v>598750.25772144506</v>
      </c>
      <c r="AD8" s="2281">
        <f>SUM(AE8:AF8)</f>
        <v>3209851.4061085251</v>
      </c>
      <c r="AE8" s="2281">
        <f>P8-$D$8</f>
        <v>2368301.0132625364</v>
      </c>
      <c r="AF8" s="2281">
        <f>Q8-$E$8</f>
        <v>841550.39284598874</v>
      </c>
    </row>
    <row r="9" spans="1:32" s="641" customFormat="1">
      <c r="A9" s="593"/>
      <c r="B9" s="43" t="s">
        <v>1506</v>
      </c>
      <c r="C9" s="2277">
        <f t="shared" ref="C9:C20" si="6">SUM(D9:E9)</f>
        <v>900000</v>
      </c>
      <c r="D9" s="2277">
        <f>'[2]Phụ lục số 1'!F40</f>
        <v>100000</v>
      </c>
      <c r="E9" s="2277">
        <f>'[2]Phụ lục số 1'!G40</f>
        <v>800000</v>
      </c>
      <c r="F9" s="2277">
        <f t="shared" ref="F9:F20" si="7">SUM(G9:H9)</f>
        <v>1080000</v>
      </c>
      <c r="G9" s="2277">
        <f>'[2]Phụ lục số 1'!X40</f>
        <v>100000</v>
      </c>
      <c r="H9" s="2277">
        <f>'[2]Phụ lục số 1'!Y40</f>
        <v>980000</v>
      </c>
      <c r="I9" s="2277">
        <f>SUM(J9:K9)</f>
        <v>1770000</v>
      </c>
      <c r="J9" s="2277">
        <f>'[2]Phụ lục số 1'!AI40</f>
        <v>627000</v>
      </c>
      <c r="K9" s="2277">
        <f>'[2]Phụ lục số 1'!AJ40</f>
        <v>1143000</v>
      </c>
      <c r="L9" s="2277">
        <f t="shared" si="3"/>
        <v>1200000</v>
      </c>
      <c r="M9" s="2277">
        <f>'[2]Phụ lục số 1'!AO40</f>
        <v>425099.74576271186</v>
      </c>
      <c r="N9" s="2277">
        <f>'[2]Phụ lục số 1'!AP40</f>
        <v>774900.25423728814</v>
      </c>
      <c r="O9" s="2277">
        <f t="shared" si="4"/>
        <v>1260000</v>
      </c>
      <c r="P9" s="2277">
        <f>'[2]Phụ lục số 1'!AU40</f>
        <v>446399.73305084754</v>
      </c>
      <c r="Q9" s="2757">
        <f>'[2]Phụ lục số 1'!AV40</f>
        <v>813600.26694915246</v>
      </c>
      <c r="R9" s="4358">
        <f>I9+L9+O9</f>
        <v>4230000</v>
      </c>
      <c r="S9" s="2275">
        <f t="shared" si="5"/>
        <v>1498499.4788135593</v>
      </c>
      <c r="T9" s="2275">
        <f t="shared" si="5"/>
        <v>2731500.5211864407</v>
      </c>
      <c r="U9" s="4357" t="s">
        <v>2434</v>
      </c>
      <c r="V9" s="2281"/>
      <c r="W9" s="2281"/>
      <c r="X9" s="4357" t="s">
        <v>2434</v>
      </c>
      <c r="Y9" s="2281"/>
      <c r="Z9" s="2281"/>
      <c r="AA9" s="4357" t="s">
        <v>2434</v>
      </c>
      <c r="AB9" s="2281"/>
      <c r="AC9" s="2281"/>
      <c r="AD9" s="4357" t="s">
        <v>2434</v>
      </c>
      <c r="AE9" s="2281"/>
      <c r="AF9" s="2281"/>
    </row>
    <row r="10" spans="1:32" s="641" customFormat="1">
      <c r="A10" s="593"/>
      <c r="B10" s="43" t="s">
        <v>2454</v>
      </c>
      <c r="C10" s="2277">
        <f t="shared" si="6"/>
        <v>1600000</v>
      </c>
      <c r="D10" s="2277">
        <f>'[2]Phụ lục số 1'!F48</f>
        <v>1600000</v>
      </c>
      <c r="E10" s="2277">
        <f>'[2]Phụ lục số 1'!G48</f>
        <v>0</v>
      </c>
      <c r="F10" s="2277">
        <f>SUM(G10:H10)</f>
        <v>1950000</v>
      </c>
      <c r="G10" s="2277">
        <f>'[2]Phụ lục số 1'!X48</f>
        <v>1950000</v>
      </c>
      <c r="H10" s="2277">
        <f>'[2]Phụ lục số 1'!Y48</f>
        <v>0</v>
      </c>
      <c r="I10" s="2277">
        <f>SUM(J10:K10)</f>
        <v>1950000</v>
      </c>
      <c r="J10" s="2277">
        <f>'[2]Phụ lục số 1'!AI48</f>
        <v>1950000</v>
      </c>
      <c r="K10" s="2277">
        <f>'[9]Phụ lục số 1'!S48</f>
        <v>0</v>
      </c>
      <c r="L10" s="2277">
        <f t="shared" si="3"/>
        <v>2322000</v>
      </c>
      <c r="M10" s="2277">
        <f>'[2]Phụ lục số 1'!AO48</f>
        <v>2322000</v>
      </c>
      <c r="N10" s="2277">
        <f>'[2]Phụ lục số 1'!AP48</f>
        <v>0</v>
      </c>
      <c r="O10" s="2277">
        <f>SUM(P10:Q10)</f>
        <v>2500000</v>
      </c>
      <c r="P10" s="2277">
        <f>'[2]Phụ lục số 1'!AU48</f>
        <v>2500000</v>
      </c>
      <c r="Q10" s="2757">
        <f>'[2]Phụ lục số 1'!AV48</f>
        <v>0</v>
      </c>
      <c r="R10" s="4358">
        <f t="shared" si="5"/>
        <v>6772000</v>
      </c>
      <c r="S10" s="2275">
        <f t="shared" si="5"/>
        <v>6772000</v>
      </c>
      <c r="T10" s="2275">
        <f t="shared" si="5"/>
        <v>0</v>
      </c>
      <c r="U10" s="2281">
        <f>SUM(V10:W10)</f>
        <v>530000</v>
      </c>
      <c r="V10" s="2281">
        <f>(G9+G10+G11)-($D$9+$D$10+$D$11)</f>
        <v>350000</v>
      </c>
      <c r="W10" s="2281">
        <f>(H9+H10+H11)-($E$9+$E$10+$E$11)</f>
        <v>180000</v>
      </c>
      <c r="X10" s="2281">
        <f>SUM(Y10:Z10)</f>
        <v>1220000</v>
      </c>
      <c r="Y10" s="2281">
        <f>(J9+J10+J11)-($D$9+$D$10+$D$11)</f>
        <v>877000</v>
      </c>
      <c r="Z10" s="2281">
        <f>(K9+K10+K11)-($E$9+$E$10+$E$11)</f>
        <v>343000</v>
      </c>
      <c r="AA10" s="2281">
        <f>SUM(AB10:AC10)</f>
        <v>1022000</v>
      </c>
      <c r="AB10" s="2281">
        <f>(M9+M10+M11)-($D$9+$D$10+$D$11)</f>
        <v>1047099.7457627119</v>
      </c>
      <c r="AC10" s="2281">
        <f>(N9+N10+N11)-($E$9+$E$10+$E$11)</f>
        <v>-25099.745762711857</v>
      </c>
      <c r="AD10" s="2281">
        <f>SUM(AE10:AF10)</f>
        <v>1260000</v>
      </c>
      <c r="AE10" s="2281">
        <f>(P9+P10+P11)-($D$9+$D$10+$D$11)</f>
        <v>1246399.7330508474</v>
      </c>
      <c r="AF10" s="2281">
        <f>(Q9+Q10+Q11)-($E$9+$E$10+$E$11)</f>
        <v>13600.266949152458</v>
      </c>
    </row>
    <row r="11" spans="1:32" s="641" customFormat="1">
      <c r="A11" s="593"/>
      <c r="B11" s="43" t="s">
        <v>2455</v>
      </c>
      <c r="C11" s="2277">
        <f t="shared" si="6"/>
        <v>0</v>
      </c>
      <c r="D11" s="2277">
        <f>'[2]Phụ lục số 1'!F45-'[2]Phụ lục số 1'!F45</f>
        <v>0</v>
      </c>
      <c r="E11" s="2277">
        <f>'[2]Phụ lục số 1'!G46</f>
        <v>0</v>
      </c>
      <c r="F11" s="2277">
        <f>SUM(G11:H11)</f>
        <v>0</v>
      </c>
      <c r="G11" s="2277">
        <f>'[2]Phụ lục số 1'!X46</f>
        <v>0</v>
      </c>
      <c r="H11" s="2277">
        <f>'[2]Phụ lục số 1'!Y46</f>
        <v>0</v>
      </c>
      <c r="I11" s="2277">
        <f>SUM(J11:K11)</f>
        <v>0</v>
      </c>
      <c r="J11" s="2277">
        <f>'[2]Phụ lục số 1'!AI46</f>
        <v>0</v>
      </c>
      <c r="K11" s="2277">
        <f>'[2]Phụ lục số 1'!AJ46</f>
        <v>0</v>
      </c>
      <c r="L11" s="2277">
        <f t="shared" si="3"/>
        <v>0</v>
      </c>
      <c r="M11" s="2277">
        <f>'[2]Phụ lục số 1'!AO46</f>
        <v>0</v>
      </c>
      <c r="N11" s="2277">
        <f>'[2]Phụ lục số 1'!AP46</f>
        <v>0</v>
      </c>
      <c r="O11" s="2277">
        <f>SUM(P11:Q11)</f>
        <v>0</v>
      </c>
      <c r="P11" s="2277">
        <f>'[2]Phụ lục số 1'!AU46</f>
        <v>0</v>
      </c>
      <c r="Q11" s="2757">
        <f>'[2]Phụ lục số 1'!AV46</f>
        <v>0</v>
      </c>
      <c r="R11" s="4358">
        <f t="shared" si="5"/>
        <v>0</v>
      </c>
      <c r="S11" s="2275">
        <f t="shared" si="5"/>
        <v>0</v>
      </c>
      <c r="T11" s="2275">
        <f t="shared" si="5"/>
        <v>0</v>
      </c>
      <c r="U11" s="2281"/>
      <c r="V11" s="2281"/>
      <c r="W11" s="2281"/>
      <c r="X11" s="2281"/>
      <c r="Y11" s="2281"/>
      <c r="Z11" s="2281"/>
      <c r="AA11" s="2281"/>
      <c r="AB11" s="2281"/>
      <c r="AC11" s="2281"/>
      <c r="AD11" s="2281"/>
      <c r="AE11" s="2281"/>
      <c r="AF11" s="2281"/>
    </row>
    <row r="12" spans="1:32" s="641" customFormat="1">
      <c r="A12" s="593"/>
      <c r="B12" s="43" t="s">
        <v>2456</v>
      </c>
      <c r="C12" s="2277">
        <f>SUM(D12:E12)</f>
        <v>4204000</v>
      </c>
      <c r="D12" s="2277">
        <f>D8-D9-D10-D11</f>
        <v>2106650</v>
      </c>
      <c r="E12" s="2277">
        <f>E8-E9-E10-E11</f>
        <v>2097350</v>
      </c>
      <c r="F12" s="2277">
        <f>SUM(G12:H12)</f>
        <v>4420399.8</v>
      </c>
      <c r="G12" s="2277">
        <f>G8-G9-G10-G11</f>
        <v>1812350.7333333334</v>
      </c>
      <c r="H12" s="2277">
        <f>H8-H9-H10-H11</f>
        <v>2608049.0666666664</v>
      </c>
      <c r="I12" s="2277">
        <f t="shared" ref="I12" si="8">SUM(J12:K12)</f>
        <v>4764930</v>
      </c>
      <c r="J12" s="2277">
        <f>J8-J9-J10-J11</f>
        <v>1968850</v>
      </c>
      <c r="K12" s="2277">
        <f>K8-K9-K10-K11</f>
        <v>2796080</v>
      </c>
      <c r="L12" s="2277">
        <f t="shared" si="3"/>
        <v>5595505.084698665</v>
      </c>
      <c r="M12" s="2277">
        <f>M8-M9-M10-M11</f>
        <v>2874305.081214508</v>
      </c>
      <c r="N12" s="2277">
        <f>N8-N9-N10-N11</f>
        <v>2721200.0034841569</v>
      </c>
      <c r="O12" s="2277">
        <f>SUM(P12:Q12)</f>
        <v>6153851.4061085247</v>
      </c>
      <c r="P12" s="2277">
        <f>P8-P9-P10-P11</f>
        <v>3228551.280211689</v>
      </c>
      <c r="Q12" s="2757">
        <f>Q8-Q9-Q10-Q11</f>
        <v>2925300.1258968362</v>
      </c>
      <c r="R12" s="4358">
        <f t="shared" si="5"/>
        <v>16514286.490807191</v>
      </c>
      <c r="S12" s="2275">
        <f t="shared" si="5"/>
        <v>8071706.361426197</v>
      </c>
      <c r="T12" s="2275">
        <f t="shared" si="5"/>
        <v>8442580.1293809935</v>
      </c>
      <c r="U12" s="2281"/>
      <c r="V12" s="2281"/>
      <c r="W12" s="2281"/>
      <c r="X12" s="2281"/>
      <c r="Y12" s="2281"/>
      <c r="Z12" s="2281"/>
      <c r="AA12" s="2281"/>
      <c r="AB12" s="2281"/>
      <c r="AC12" s="2281"/>
      <c r="AD12" s="2281"/>
      <c r="AE12" s="2281"/>
      <c r="AF12" s="2281"/>
    </row>
    <row r="13" spans="1:32" s="641" customFormat="1" ht="17.399999999999999">
      <c r="A13" s="52">
        <v>2</v>
      </c>
      <c r="B13" s="2779" t="s">
        <v>203</v>
      </c>
      <c r="C13" s="2280">
        <f>SUM(C14:C15)</f>
        <v>13833216</v>
      </c>
      <c r="D13" s="2280">
        <f t="shared" ref="D13:E13" si="9">SUM(D14:D15)</f>
        <v>9084495</v>
      </c>
      <c r="E13" s="2280">
        <f t="shared" si="9"/>
        <v>4748721</v>
      </c>
      <c r="F13" s="2280">
        <f t="shared" si="7"/>
        <v>13833216</v>
      </c>
      <c r="G13" s="2280">
        <f>G14+G15</f>
        <v>9084495</v>
      </c>
      <c r="H13" s="2280">
        <f>H14+H15</f>
        <v>4748721</v>
      </c>
      <c r="I13" s="2280">
        <f>SUM(J13:K13)</f>
        <v>14339802.348000001</v>
      </c>
      <c r="J13" s="2280">
        <f>J14+J15</f>
        <v>9256479</v>
      </c>
      <c r="K13" s="2280">
        <f>K14+K15</f>
        <v>5083323.3480000002</v>
      </c>
      <c r="L13" s="2280">
        <f t="shared" si="3"/>
        <v>14730311.648000002</v>
      </c>
      <c r="M13" s="2280">
        <f>M14+M15</f>
        <v>9646988.3000000007</v>
      </c>
      <c r="N13" s="2280">
        <f>N14+N15</f>
        <v>5083323.3480000002</v>
      </c>
      <c r="O13" s="2280">
        <f>SUM(P13:Q13)</f>
        <v>14730311.648000002</v>
      </c>
      <c r="P13" s="2280">
        <f>P14+P15</f>
        <v>9646988.3000000007</v>
      </c>
      <c r="Q13" s="4355">
        <f>Q14+Q15</f>
        <v>5083323.3480000002</v>
      </c>
      <c r="R13" s="4356">
        <f t="shared" si="5"/>
        <v>43800425.644000009</v>
      </c>
      <c r="S13" s="2281">
        <f t="shared" si="5"/>
        <v>28550455.600000001</v>
      </c>
      <c r="T13" s="2281">
        <f t="shared" si="5"/>
        <v>15249970.044</v>
      </c>
      <c r="U13" s="4357" t="s">
        <v>2438</v>
      </c>
      <c r="V13" s="2281"/>
      <c r="W13" s="2281"/>
      <c r="X13" s="4357" t="s">
        <v>2438</v>
      </c>
      <c r="Y13" s="2281"/>
      <c r="Z13" s="2281"/>
      <c r="AA13" s="4357" t="s">
        <v>2438</v>
      </c>
      <c r="AB13" s="2281"/>
      <c r="AC13" s="2281"/>
      <c r="AD13" s="4357" t="s">
        <v>2438</v>
      </c>
      <c r="AE13" s="2281"/>
      <c r="AF13" s="2281"/>
    </row>
    <row r="14" spans="1:32" s="641" customFormat="1">
      <c r="A14" s="593" t="s">
        <v>204</v>
      </c>
      <c r="B14" s="43" t="s">
        <v>205</v>
      </c>
      <c r="C14" s="2277">
        <f t="shared" si="6"/>
        <v>10918411</v>
      </c>
      <c r="D14" s="2277">
        <f>'[2]Phụ lục số 1'!F53</f>
        <v>6487488</v>
      </c>
      <c r="E14" s="2277">
        <f>'[1]Phụ lục số 3-thu bs'!$K$14</f>
        <v>4430923</v>
      </c>
      <c r="F14" s="2277">
        <f t="shared" si="7"/>
        <v>10918411</v>
      </c>
      <c r="G14" s="2277">
        <f>$D$14</f>
        <v>6487488</v>
      </c>
      <c r="H14" s="2277">
        <f>E14</f>
        <v>4430923</v>
      </c>
      <c r="I14" s="2277">
        <f>SUM(J14:K14)</f>
        <v>11048111</v>
      </c>
      <c r="J14" s="2277">
        <f>'[2]Phụ lục số 1'!AI53</f>
        <v>6617188</v>
      </c>
      <c r="K14" s="2277">
        <f>'[1]Phụ lục số 3-thu bs'!$N$14</f>
        <v>4430923</v>
      </c>
      <c r="L14" s="2277">
        <f t="shared" si="3"/>
        <v>11048111</v>
      </c>
      <c r="M14" s="2277">
        <f>$J$14</f>
        <v>6617188</v>
      </c>
      <c r="N14" s="2277">
        <f>K14</f>
        <v>4430923</v>
      </c>
      <c r="O14" s="2277">
        <f t="shared" si="4"/>
        <v>11048111</v>
      </c>
      <c r="P14" s="2277">
        <f>$J$14</f>
        <v>6617188</v>
      </c>
      <c r="Q14" s="2757">
        <f>N14</f>
        <v>4430923</v>
      </c>
      <c r="R14" s="4358">
        <f t="shared" si="5"/>
        <v>33144333</v>
      </c>
      <c r="S14" s="2275">
        <f t="shared" si="5"/>
        <v>19851564</v>
      </c>
      <c r="T14" s="2275">
        <f t="shared" si="5"/>
        <v>13292769</v>
      </c>
      <c r="U14" s="2281">
        <f>SUM(V14:W14)</f>
        <v>216399.79999999981</v>
      </c>
      <c r="V14" s="2281">
        <f>V8-V10</f>
        <v>-294299.2666666666</v>
      </c>
      <c r="W14" s="2281">
        <f>W8-W10</f>
        <v>510699.06666666642</v>
      </c>
      <c r="X14" s="2281">
        <f>SUM(Y14:Z14)</f>
        <v>560930</v>
      </c>
      <c r="Y14" s="2281">
        <f>Y8-Y10</f>
        <v>-137800</v>
      </c>
      <c r="Z14" s="2281">
        <f>Z8-Z10</f>
        <v>698730</v>
      </c>
      <c r="AA14" s="2281">
        <f>SUM(AB14:AC14)</f>
        <v>1391505.0846986645</v>
      </c>
      <c r="AB14" s="2281">
        <f>AB8-AB10</f>
        <v>767655.08121450758</v>
      </c>
      <c r="AC14" s="2281">
        <f>AC8-AC10</f>
        <v>623850.00348415691</v>
      </c>
      <c r="AD14" s="2281">
        <f>SUM(AE14:AF14)</f>
        <v>1949851.4061085251</v>
      </c>
      <c r="AE14" s="2281">
        <f>AE8-AE10</f>
        <v>1121901.280211689</v>
      </c>
      <c r="AF14" s="2281">
        <f>AF8-AF10</f>
        <v>827950.12589683628</v>
      </c>
    </row>
    <row r="15" spans="1:32" s="641" customFormat="1">
      <c r="A15" s="593" t="s">
        <v>206</v>
      </c>
      <c r="B15" s="43" t="s">
        <v>207</v>
      </c>
      <c r="C15" s="2277">
        <f>SUM(D15:E15)</f>
        <v>2914805</v>
      </c>
      <c r="D15" s="2277">
        <f>SUM(D16:D18)</f>
        <v>2597007</v>
      </c>
      <c r="E15" s="2277">
        <f>'[1]Phụ lục số 3-thu bs'!$K$15</f>
        <v>317798</v>
      </c>
      <c r="F15" s="2277">
        <f t="shared" si="7"/>
        <v>2914805</v>
      </c>
      <c r="G15" s="2277">
        <f>SUM(G16:G18)</f>
        <v>2597007</v>
      </c>
      <c r="H15" s="2277">
        <f t="shared" ref="H15" si="10">SUM(H16:H18)</f>
        <v>317798</v>
      </c>
      <c r="I15" s="2277">
        <f>SUM(J15:K15)</f>
        <v>3291691.3480000002</v>
      </c>
      <c r="J15" s="2277">
        <f>SUM(J16:J18)</f>
        <v>2639291</v>
      </c>
      <c r="K15" s="2277">
        <f>SUM(K16:K18)</f>
        <v>652400.348</v>
      </c>
      <c r="L15" s="2277">
        <f t="shared" si="3"/>
        <v>3682200.648</v>
      </c>
      <c r="M15" s="2277">
        <f>SUM(M16:M18)</f>
        <v>3029800.3</v>
      </c>
      <c r="N15" s="2277">
        <f>SUM(N16:N18)</f>
        <v>652400.348</v>
      </c>
      <c r="O15" s="2277">
        <f>SUM(P15:Q15)</f>
        <v>3682200.648</v>
      </c>
      <c r="P15" s="2277">
        <f>SUM(P16:P18)</f>
        <v>3029800.3</v>
      </c>
      <c r="Q15" s="2757">
        <f>SUM(Q16:Q18)</f>
        <v>652400.348</v>
      </c>
      <c r="R15" s="4358">
        <f t="shared" si="5"/>
        <v>10656092.644000001</v>
      </c>
      <c r="S15" s="2275">
        <f t="shared" si="5"/>
        <v>8698891.5999999996</v>
      </c>
      <c r="T15" s="2275">
        <f t="shared" si="5"/>
        <v>1957201.044</v>
      </c>
      <c r="U15" s="4357"/>
      <c r="V15" s="2281"/>
      <c r="W15" s="2281"/>
      <c r="X15" s="4357"/>
      <c r="Y15" s="2281"/>
      <c r="Z15" s="2281"/>
      <c r="AA15" s="4357"/>
      <c r="AB15" s="2281"/>
      <c r="AC15" s="2281"/>
      <c r="AD15" s="4357"/>
      <c r="AE15" s="2281"/>
      <c r="AF15" s="2281"/>
    </row>
    <row r="16" spans="1:32" s="641" customFormat="1">
      <c r="A16" s="4359" t="s">
        <v>99</v>
      </c>
      <c r="B16" s="44" t="s">
        <v>1890</v>
      </c>
      <c r="C16" s="2277">
        <f>SUM(D16:E16)</f>
        <v>2417971</v>
      </c>
      <c r="D16" s="2277">
        <f>'[2]Phụ lục số 1'!F56</f>
        <v>2417971</v>
      </c>
      <c r="E16" s="2277"/>
      <c r="F16" s="2277">
        <f t="shared" si="7"/>
        <v>2735769</v>
      </c>
      <c r="G16" s="2277">
        <f>'[2]Phụ lục số 1'!X56</f>
        <v>2417971</v>
      </c>
      <c r="H16" s="2277">
        <f>E15</f>
        <v>317798</v>
      </c>
      <c r="I16" s="2277">
        <f>SUM(J16:K16)</f>
        <v>2466891.3480000002</v>
      </c>
      <c r="J16" s="2277">
        <f>'[2]Phụ lục số 1'!AI56</f>
        <v>1814491</v>
      </c>
      <c r="K16" s="2277">
        <f>'[2]Phụ lục số 5'!E38</f>
        <v>652400.348</v>
      </c>
      <c r="L16" s="2277">
        <f t="shared" si="3"/>
        <v>2857400.3480000002</v>
      </c>
      <c r="M16" s="2277">
        <f>'[2]Phụ lục số 1'!AO56</f>
        <v>2205000</v>
      </c>
      <c r="N16" s="2277">
        <f>K16</f>
        <v>652400.348</v>
      </c>
      <c r="O16" s="2277">
        <f t="shared" si="4"/>
        <v>2857400.3480000002</v>
      </c>
      <c r="P16" s="2277">
        <f>'[2]Phụ lục số 1'!AU56</f>
        <v>2205000</v>
      </c>
      <c r="Q16" s="2757">
        <f>N16</f>
        <v>652400.348</v>
      </c>
      <c r="R16" s="4358">
        <f>I16+L16+O16</f>
        <v>8181692.0440000007</v>
      </c>
      <c r="S16" s="2275">
        <f t="shared" si="5"/>
        <v>6224491</v>
      </c>
      <c r="T16" s="2275">
        <f>K16+N16+Q16</f>
        <v>1957201.044</v>
      </c>
      <c r="U16" s="4357"/>
      <c r="V16" s="2281"/>
      <c r="W16" s="2281"/>
      <c r="X16" s="4357"/>
      <c r="Y16" s="2281"/>
      <c r="Z16" s="2281"/>
      <c r="AA16" s="4357"/>
      <c r="AB16" s="2281"/>
      <c r="AC16" s="2281"/>
      <c r="AD16" s="4357"/>
      <c r="AE16" s="2281"/>
      <c r="AF16" s="2281"/>
    </row>
    <row r="17" spans="1:32" s="641" customFormat="1">
      <c r="A17" s="4359" t="s">
        <v>101</v>
      </c>
      <c r="B17" s="44" t="s">
        <v>43</v>
      </c>
      <c r="C17" s="2277">
        <f t="shared" ref="C17:C19" si="11">SUM(D17:E17)</f>
        <v>179036</v>
      </c>
      <c r="D17" s="2277">
        <f>'[2]Phụ lục số 1'!F57</f>
        <v>179036</v>
      </c>
      <c r="E17" s="2277"/>
      <c r="F17" s="2277">
        <f t="shared" si="7"/>
        <v>179036</v>
      </c>
      <c r="G17" s="2277">
        <f>'[2]Phụ lục số 1'!X57</f>
        <v>179036</v>
      </c>
      <c r="H17" s="2277"/>
      <c r="I17" s="2277">
        <f t="shared" ref="I17:I18" si="12">SUM(J17:K17)</f>
        <v>174485</v>
      </c>
      <c r="J17" s="2277">
        <f>'[2]Phụ lục số 1'!AI57</f>
        <v>174485</v>
      </c>
      <c r="K17" s="2277"/>
      <c r="L17" s="2277">
        <f t="shared" si="3"/>
        <v>174485.3</v>
      </c>
      <c r="M17" s="2277">
        <f>'[2]Phụ lục số 1'!AO57</f>
        <v>174485.3</v>
      </c>
      <c r="N17" s="2277"/>
      <c r="O17" s="2277"/>
      <c r="P17" s="2277">
        <f>'[2]Phụ lục số 1'!AU57</f>
        <v>174485.3</v>
      </c>
      <c r="Q17" s="2757"/>
      <c r="R17" s="4358">
        <f t="shared" ref="R17:R20" si="13">I17+L17+O17</f>
        <v>348970.3</v>
      </c>
      <c r="S17" s="2275">
        <f t="shared" si="5"/>
        <v>523455.6</v>
      </c>
      <c r="T17" s="2275">
        <f t="shared" si="5"/>
        <v>0</v>
      </c>
      <c r="U17" s="4357"/>
      <c r="V17" s="2281"/>
      <c r="W17" s="2281"/>
      <c r="X17" s="4357"/>
      <c r="Y17" s="2281"/>
      <c r="Z17" s="2281"/>
      <c r="AA17" s="4357"/>
      <c r="AB17" s="2281"/>
      <c r="AC17" s="2281"/>
      <c r="AD17" s="4357"/>
      <c r="AE17" s="2281"/>
      <c r="AF17" s="2281"/>
    </row>
    <row r="18" spans="1:32" s="641" customFormat="1">
      <c r="A18" s="4359" t="s">
        <v>147</v>
      </c>
      <c r="B18" s="44" t="s">
        <v>2400</v>
      </c>
      <c r="C18" s="2277">
        <f t="shared" si="11"/>
        <v>0</v>
      </c>
      <c r="D18" s="2277">
        <f>'[2]Phụ lục số 1'!F58</f>
        <v>0</v>
      </c>
      <c r="E18" s="2277"/>
      <c r="F18" s="2277">
        <f t="shared" si="7"/>
        <v>0</v>
      </c>
      <c r="G18" s="2277"/>
      <c r="H18" s="2277"/>
      <c r="I18" s="2277">
        <f t="shared" si="12"/>
        <v>650315</v>
      </c>
      <c r="J18" s="2277">
        <f>'[2]Phụ lục số 1'!AI58</f>
        <v>650315</v>
      </c>
      <c r="K18" s="2277"/>
      <c r="L18" s="2275">
        <f t="shared" si="3"/>
        <v>650315</v>
      </c>
      <c r="M18" s="2275">
        <f>J18</f>
        <v>650315</v>
      </c>
      <c r="N18" s="2275"/>
      <c r="O18" s="2275"/>
      <c r="P18" s="2275">
        <f>M18</f>
        <v>650315</v>
      </c>
      <c r="Q18" s="4360"/>
      <c r="R18" s="4358">
        <f t="shared" si="13"/>
        <v>1300630</v>
      </c>
      <c r="S18" s="2275">
        <f t="shared" si="5"/>
        <v>1950945</v>
      </c>
      <c r="T18" s="2275">
        <f t="shared" si="5"/>
        <v>0</v>
      </c>
      <c r="U18" s="4357"/>
      <c r="V18" s="2281"/>
      <c r="W18" s="2281"/>
      <c r="X18" s="4357"/>
      <c r="Y18" s="2281"/>
      <c r="Z18" s="2281"/>
      <c r="AA18" s="4357"/>
      <c r="AB18" s="2281"/>
      <c r="AC18" s="2281"/>
      <c r="AD18" s="4357"/>
      <c r="AE18" s="2281"/>
      <c r="AF18" s="2281"/>
    </row>
    <row r="19" spans="1:32" s="641" customFormat="1">
      <c r="A19" s="52">
        <v>3</v>
      </c>
      <c r="B19" s="2779" t="s">
        <v>2457</v>
      </c>
      <c r="C19" s="2277">
        <f t="shared" si="11"/>
        <v>0</v>
      </c>
      <c r="D19" s="2280">
        <f>'[2]Phụ lục số 1'!F59</f>
        <v>0</v>
      </c>
      <c r="E19" s="2280">
        <f>'[9]Phụ lục số 1'!G58</f>
        <v>0</v>
      </c>
      <c r="F19" s="2280">
        <f t="shared" si="7"/>
        <v>431000</v>
      </c>
      <c r="G19" s="2280">
        <f>'[2]Phụ lục số 1'!X59</f>
        <v>89700</v>
      </c>
      <c r="H19" s="2280">
        <f>'[2]Phụ lục số 1'!Y59</f>
        <v>341300</v>
      </c>
      <c r="I19" s="2280">
        <f>SUM(J19:K19)</f>
        <v>886000</v>
      </c>
      <c r="J19" s="2280">
        <f>'[2]Phụ lục số 1'!AI59</f>
        <v>0</v>
      </c>
      <c r="K19" s="2280">
        <f>'[2]Phụ lục số 1'!AJ59</f>
        <v>886000</v>
      </c>
      <c r="L19" s="2281">
        <f t="shared" si="3"/>
        <v>717399.2</v>
      </c>
      <c r="M19" s="2281">
        <f>'[2]Phụ lục số 1'!AO59</f>
        <v>79139.200000000012</v>
      </c>
      <c r="N19" s="2281">
        <f>'[2]Phụ lục số 1'!AP59</f>
        <v>638260</v>
      </c>
      <c r="O19" s="2281">
        <f t="shared" si="4"/>
        <v>882854.2423493322</v>
      </c>
      <c r="P19" s="2281">
        <f>'[2]Phụ lục số 1'!AU59</f>
        <v>567070.94060725369</v>
      </c>
      <c r="Q19" s="4361">
        <f>'[2]Phụ lục số 1'!AV59</f>
        <v>315783.30174207845</v>
      </c>
      <c r="R19" s="4358">
        <f t="shared" si="13"/>
        <v>2486253.4423493324</v>
      </c>
      <c r="S19" s="2275">
        <f t="shared" si="5"/>
        <v>646210.14060725365</v>
      </c>
      <c r="T19" s="2275">
        <f t="shared" si="5"/>
        <v>1840043.3017420785</v>
      </c>
      <c r="U19" s="4357" t="s">
        <v>2439</v>
      </c>
      <c r="V19" s="2281"/>
      <c r="W19" s="2281"/>
      <c r="X19" s="4357" t="s">
        <v>2439</v>
      </c>
      <c r="Y19" s="2281"/>
      <c r="Z19" s="2281"/>
      <c r="AA19" s="4357" t="s">
        <v>2439</v>
      </c>
      <c r="AB19" s="2281"/>
      <c r="AC19" s="2281"/>
      <c r="AD19" s="4357" t="s">
        <v>2439</v>
      </c>
      <c r="AE19" s="2281"/>
      <c r="AF19" s="2281"/>
    </row>
    <row r="20" spans="1:32" s="641" customFormat="1">
      <c r="A20" s="52">
        <v>4</v>
      </c>
      <c r="B20" s="2779" t="s">
        <v>47</v>
      </c>
      <c r="C20" s="2280">
        <f t="shared" si="6"/>
        <v>31500</v>
      </c>
      <c r="D20" s="2280">
        <f>'[2]Phụ lục số 1'!F60</f>
        <v>31500</v>
      </c>
      <c r="E20" s="2280">
        <f>'[2]Phụ lục số 1'!G60</f>
        <v>0</v>
      </c>
      <c r="F20" s="2280">
        <f t="shared" si="7"/>
        <v>31500</v>
      </c>
      <c r="G20" s="2280">
        <f>'[2]Phụ lục số 1'!X60</f>
        <v>31500</v>
      </c>
      <c r="H20" s="2280">
        <f>'[2]Phụ lục số 1'!Y60</f>
        <v>0</v>
      </c>
      <c r="I20" s="2280">
        <f>SUM(J20:K20)</f>
        <v>0</v>
      </c>
      <c r="J20" s="2280">
        <f>'[2]Phụ lục số 1'!AI60</f>
        <v>0</v>
      </c>
      <c r="K20" s="2280">
        <f>'[2]Phụ lục số 1'!AJ60</f>
        <v>0</v>
      </c>
      <c r="L20" s="2281">
        <f t="shared" si="3"/>
        <v>0</v>
      </c>
      <c r="M20" s="2281">
        <f>'[2]Phụ lục số 1'!AO60</f>
        <v>0</v>
      </c>
      <c r="N20" s="2281">
        <f>'[2]Phụ lục số 1'!AP60</f>
        <v>0</v>
      </c>
      <c r="O20" s="2281">
        <f t="shared" si="4"/>
        <v>0</v>
      </c>
      <c r="P20" s="2281">
        <f>'[2]Phụ lục số 1'!AU60</f>
        <v>0</v>
      </c>
      <c r="Q20" s="4361">
        <f>'[2]Phụ lục số 1'!AV60</f>
        <v>0</v>
      </c>
      <c r="R20" s="4358">
        <f t="shared" si="13"/>
        <v>0</v>
      </c>
      <c r="S20" s="2275">
        <f t="shared" si="5"/>
        <v>0</v>
      </c>
      <c r="T20" s="2275">
        <f t="shared" si="5"/>
        <v>0</v>
      </c>
      <c r="U20" s="2281">
        <f>V20+W20</f>
        <v>0</v>
      </c>
      <c r="V20" s="2281"/>
      <c r="W20" s="2281"/>
      <c r="X20" s="2281"/>
      <c r="Y20" s="2281"/>
      <c r="Z20" s="2281"/>
      <c r="AA20" s="2281"/>
      <c r="AB20" s="2281"/>
      <c r="AC20" s="2281"/>
      <c r="AD20" s="2281"/>
      <c r="AE20" s="2281"/>
      <c r="AF20" s="2281"/>
    </row>
    <row r="21" spans="1:32" s="641" customFormat="1" ht="17.399999999999999">
      <c r="A21" s="52" t="s">
        <v>37</v>
      </c>
      <c r="B21" s="2779" t="s">
        <v>2458</v>
      </c>
      <c r="C21" s="2280">
        <f t="shared" ref="C21:I21" si="14">SUM(C22,C39)+C43+C44</f>
        <v>20568716</v>
      </c>
      <c r="D21" s="2280">
        <f t="shared" si="14"/>
        <v>12922645</v>
      </c>
      <c r="E21" s="2280">
        <f t="shared" si="14"/>
        <v>7646071</v>
      </c>
      <c r="F21" s="2280">
        <f t="shared" si="14"/>
        <v>22040415.066666666</v>
      </c>
      <c r="G21" s="2280">
        <f t="shared" si="14"/>
        <v>13362345</v>
      </c>
      <c r="H21" s="2280">
        <f t="shared" si="14"/>
        <v>8678070.0666666664</v>
      </c>
      <c r="I21" s="2280">
        <f t="shared" si="14"/>
        <v>23710732.263999999</v>
      </c>
      <c r="J21" s="2280">
        <f>SUM(J22,J39)+J43+J44</f>
        <v>13802328.916000001</v>
      </c>
      <c r="K21" s="2280">
        <f t="shared" ref="K21:Q21" si="15">SUM(K22,K39)+K43+K44</f>
        <v>9908403.3479999993</v>
      </c>
      <c r="L21" s="2281">
        <f>SUM(L22,L39)+L43+L44</f>
        <v>24563662.890349336</v>
      </c>
      <c r="M21" s="2281">
        <f t="shared" si="15"/>
        <v>15345979.334369965</v>
      </c>
      <c r="N21" s="2281">
        <f t="shared" si="15"/>
        <v>9217683.5559793673</v>
      </c>
      <c r="O21" s="2281">
        <f>SUM(O22,O39)+O43+O44</f>
        <v>25524038.851054266</v>
      </c>
      <c r="P21" s="2281">
        <f t="shared" si="15"/>
        <v>16386031.921156693</v>
      </c>
      <c r="Q21" s="4361">
        <f t="shared" si="15"/>
        <v>9138006.929897571</v>
      </c>
      <c r="R21" s="4356">
        <f t="shared" si="5"/>
        <v>73798434.005403608</v>
      </c>
      <c r="S21" s="2281">
        <f t="shared" si="5"/>
        <v>45534340.171526656</v>
      </c>
      <c r="T21" s="2281">
        <f t="shared" si="5"/>
        <v>28264093.833876938</v>
      </c>
      <c r="U21" s="2281">
        <f>SUM(V21:W21)</f>
        <v>151479</v>
      </c>
      <c r="V21" s="2281">
        <f>INT(V14*70%)</f>
        <v>-206010</v>
      </c>
      <c r="W21" s="2281">
        <f>INT(W14*70%)</f>
        <v>357489</v>
      </c>
      <c r="X21" s="2281">
        <f>SUM(Y21:Z21)</f>
        <v>280465</v>
      </c>
      <c r="Y21" s="2281">
        <f>INT(Y14/2)</f>
        <v>-68900</v>
      </c>
      <c r="Z21" s="2281">
        <f>INT(Z14/2)</f>
        <v>349365</v>
      </c>
      <c r="AA21" s="2281">
        <f>SUM(AB21:AC21)</f>
        <v>695752</v>
      </c>
      <c r="AB21" s="2281">
        <f>INT(AB14/2)</f>
        <v>383827</v>
      </c>
      <c r="AC21" s="2281">
        <f>INT(AC14/2)</f>
        <v>311925</v>
      </c>
      <c r="AD21" s="2281">
        <f>SUM(AE21:AF21)</f>
        <v>974925</v>
      </c>
      <c r="AE21" s="2281">
        <f>INT(AE14/2)</f>
        <v>560950</v>
      </c>
      <c r="AF21" s="2281">
        <f>INT(AF14/2)</f>
        <v>413975</v>
      </c>
    </row>
    <row r="22" spans="1:32" s="641" customFormat="1" ht="17.399999999999999">
      <c r="A22" s="52" t="s">
        <v>3</v>
      </c>
      <c r="B22" s="2779" t="s">
        <v>142</v>
      </c>
      <c r="C22" s="2280">
        <f>SUM(C23,C29,C33:C38)</f>
        <v>13191488</v>
      </c>
      <c r="D22" s="2280">
        <f>SUM(D23,D29,D33:D38)</f>
        <v>5545417</v>
      </c>
      <c r="E22" s="2280">
        <f t="shared" ref="E22" si="16">SUM(E23,E29,E33:E38)</f>
        <v>7646071</v>
      </c>
      <c r="F22" s="2280">
        <f>SUM(F23,F29,F33:F38)</f>
        <v>14663187.066666666</v>
      </c>
      <c r="G22" s="2280">
        <f>SUM(G23,G29,G33:G38)</f>
        <v>5985117</v>
      </c>
      <c r="H22" s="2280">
        <f t="shared" ref="H22" si="17">SUM(H23,H29,H33:H38)</f>
        <v>8678070.0666666664</v>
      </c>
      <c r="I22" s="2280">
        <f>SUM(I23,I29,I33:I38)</f>
        <v>16638432.915999997</v>
      </c>
      <c r="J22" s="2280">
        <f t="shared" ref="J22:Q22" si="18">SUM(J23,J29,J33:J38)</f>
        <v>6730029.568</v>
      </c>
      <c r="K22" s="2280">
        <f t="shared" si="18"/>
        <v>9908403.3479999993</v>
      </c>
      <c r="L22" s="2281">
        <f t="shared" si="18"/>
        <v>17100854.242349334</v>
      </c>
      <c r="M22" s="2281">
        <f t="shared" si="18"/>
        <v>7883170.6863699649</v>
      </c>
      <c r="N22" s="2281">
        <f t="shared" si="18"/>
        <v>9217683.5559793673</v>
      </c>
      <c r="O22" s="2281">
        <f t="shared" si="18"/>
        <v>18061230.203054264</v>
      </c>
      <c r="P22" s="2281">
        <f t="shared" si="18"/>
        <v>8923223.2731566913</v>
      </c>
      <c r="Q22" s="4361">
        <f t="shared" si="18"/>
        <v>9138006.929897571</v>
      </c>
      <c r="R22" s="4356">
        <f t="shared" si="5"/>
        <v>51800517.361403599</v>
      </c>
      <c r="S22" s="2281">
        <f t="shared" si="5"/>
        <v>23536423.527526654</v>
      </c>
      <c r="T22" s="2281">
        <f t="shared" si="5"/>
        <v>28264093.833876938</v>
      </c>
      <c r="U22" s="2281"/>
      <c r="V22" s="2281"/>
      <c r="W22" s="2281"/>
      <c r="X22" s="2281"/>
      <c r="Y22" s="2281"/>
      <c r="Z22" s="2281"/>
      <c r="AA22" s="2281"/>
      <c r="AB22" s="2281"/>
      <c r="AC22" s="2281"/>
      <c r="AD22" s="2281"/>
      <c r="AE22" s="2281"/>
      <c r="AF22" s="2281"/>
    </row>
    <row r="23" spans="1:32" s="641" customFormat="1" ht="17.399999999999999">
      <c r="A23" s="52">
        <v>1</v>
      </c>
      <c r="B23" s="2779" t="s">
        <v>208</v>
      </c>
      <c r="C23" s="2280">
        <f>SUM(C24:C27)</f>
        <v>3561000</v>
      </c>
      <c r="D23" s="2280">
        <f t="shared" ref="D23:T23" si="19">SUM(D24:D27)</f>
        <v>2240000</v>
      </c>
      <c r="E23" s="2280">
        <f t="shared" si="19"/>
        <v>1321000</v>
      </c>
      <c r="F23" s="2280">
        <f t="shared" si="19"/>
        <v>4091000</v>
      </c>
      <c r="G23" s="2280">
        <f t="shared" si="19"/>
        <v>2590000</v>
      </c>
      <c r="H23" s="2280">
        <f t="shared" si="19"/>
        <v>1501000</v>
      </c>
      <c r="I23" s="2280">
        <f>SUM(I24:I28)</f>
        <v>4923186.4089698764</v>
      </c>
      <c r="J23" s="2280">
        <f>SUM(J24:J28)</f>
        <v>3199186</v>
      </c>
      <c r="K23" s="2280">
        <f>SUM(K24:K28)</f>
        <v>1724000.4089698761</v>
      </c>
      <c r="L23" s="2281">
        <f>SUM(L24:L28)</f>
        <v>4795000</v>
      </c>
      <c r="M23" s="2281">
        <f t="shared" ref="M23:Q23" si="20">SUM(M24:M28)</f>
        <v>3439099.7457627119</v>
      </c>
      <c r="N23" s="2281">
        <f t="shared" si="20"/>
        <v>1355900.2542372881</v>
      </c>
      <c r="O23" s="2281">
        <f t="shared" si="20"/>
        <v>5085000</v>
      </c>
      <c r="P23" s="2281">
        <f t="shared" si="20"/>
        <v>3690399.7330508474</v>
      </c>
      <c r="Q23" s="4361">
        <f t="shared" si="20"/>
        <v>1394600.2669491526</v>
      </c>
      <c r="R23" s="4356">
        <f t="shared" si="19"/>
        <v>14623186.408969875</v>
      </c>
      <c r="S23" s="2281">
        <f t="shared" si="19"/>
        <v>10148685.478813559</v>
      </c>
      <c r="T23" s="2281">
        <f t="shared" si="19"/>
        <v>4474500.9301563166</v>
      </c>
      <c r="U23" s="4362"/>
      <c r="V23" s="2281"/>
      <c r="W23" s="2281"/>
      <c r="X23" s="2281"/>
      <c r="Y23" s="2281"/>
      <c r="Z23" s="2281"/>
      <c r="AA23" s="2281"/>
      <c r="AB23" s="2281"/>
      <c r="AC23" s="2281"/>
      <c r="AD23" s="2281"/>
      <c r="AE23" s="2281"/>
      <c r="AF23" s="2281"/>
    </row>
    <row r="24" spans="1:32" s="641" customFormat="1">
      <c r="A24" s="593" t="s">
        <v>29</v>
      </c>
      <c r="B24" s="43" t="s">
        <v>143</v>
      </c>
      <c r="C24" s="2277">
        <f t="shared" ref="C24:C44" si="21">SUM(D24:E24)</f>
        <v>1061000</v>
      </c>
      <c r="D24" s="2277">
        <f>'[2]Phụ lục số 2'!D10</f>
        <v>540000</v>
      </c>
      <c r="E24" s="2277">
        <f>'[2]Phụ lục số 2'!E10</f>
        <v>521000</v>
      </c>
      <c r="F24" s="2277">
        <f t="shared" ref="F24:F44" si="22">SUM(G24:H24)</f>
        <v>1061000</v>
      </c>
      <c r="G24" s="2277">
        <f>'[2]Phụ lục số 2'!S10</f>
        <v>540000</v>
      </c>
      <c r="H24" s="2277">
        <f>'[2]Phụ lục số 2'!T10</f>
        <v>521000</v>
      </c>
      <c r="I24" s="2277">
        <f t="shared" ref="I24:I29" si="23">SUM(J24:K24)</f>
        <v>1143186.4089698761</v>
      </c>
      <c r="J24" s="2277">
        <f>'[2]Phụ lục số 2'!AA10</f>
        <v>562186</v>
      </c>
      <c r="K24" s="2277">
        <f>'[2]Phụ lục số 2'!AB10</f>
        <v>581000.40896987612</v>
      </c>
      <c r="L24" s="2275">
        <f t="shared" ref="L24:L32" si="24">SUM(M24:N24)</f>
        <v>1213000</v>
      </c>
      <c r="M24" s="2275">
        <f>'[2]Phụ lục số 2'!AF10</f>
        <v>632000</v>
      </c>
      <c r="N24" s="2275">
        <f>'[2]Phụ lục số 2'!AG10</f>
        <v>581000</v>
      </c>
      <c r="O24" s="2275">
        <f t="shared" ref="O24:O32" si="25">SUM(P24:Q24)</f>
        <v>1265000</v>
      </c>
      <c r="P24" s="2275">
        <f>'[2]Phụ lục số 2'!AK10</f>
        <v>684000</v>
      </c>
      <c r="Q24" s="4360">
        <f>'[2]Phụ lục số 2'!AL10</f>
        <v>581000</v>
      </c>
      <c r="R24" s="4358">
        <f t="shared" ref="R24:T45" si="26">I24+L24+O24</f>
        <v>3621186.4089698764</v>
      </c>
      <c r="S24" s="2275">
        <f t="shared" si="26"/>
        <v>1878186</v>
      </c>
      <c r="T24" s="2275">
        <f t="shared" si="26"/>
        <v>1743000.4089698761</v>
      </c>
      <c r="U24" s="2275"/>
      <c r="V24" s="2275"/>
      <c r="W24" s="2275"/>
      <c r="X24" s="2281"/>
      <c r="Y24" s="2281"/>
      <c r="Z24" s="2281"/>
      <c r="AA24" s="2281"/>
      <c r="AB24" s="2281"/>
      <c r="AC24" s="2281"/>
      <c r="AD24" s="2281"/>
      <c r="AE24" s="2281"/>
      <c r="AF24" s="2281"/>
    </row>
    <row r="25" spans="1:32" s="641" customFormat="1">
      <c r="A25" s="593" t="s">
        <v>29</v>
      </c>
      <c r="B25" s="43" t="s">
        <v>144</v>
      </c>
      <c r="C25" s="2277">
        <f t="shared" si="21"/>
        <v>900000</v>
      </c>
      <c r="D25" s="2277">
        <f>'[2]Phụ lục số 2'!D11</f>
        <v>100000</v>
      </c>
      <c r="E25" s="2277">
        <f>'[2]Phụ lục số 2'!E11</f>
        <v>800000</v>
      </c>
      <c r="F25" s="2277">
        <f t="shared" si="22"/>
        <v>1080000</v>
      </c>
      <c r="G25" s="2277">
        <f>'[2]Phụ lục số 2'!S11</f>
        <v>100000</v>
      </c>
      <c r="H25" s="2277">
        <f>'[2]Phụ lục số 2'!T11</f>
        <v>980000</v>
      </c>
      <c r="I25" s="2277">
        <f t="shared" si="23"/>
        <v>1770000</v>
      </c>
      <c r="J25" s="2277">
        <f>'[2]Phụ lục số 2'!AA11</f>
        <v>627000</v>
      </c>
      <c r="K25" s="2277">
        <f>'[2]Phụ lục số 2'!AB11</f>
        <v>1143000</v>
      </c>
      <c r="L25" s="2275">
        <f t="shared" si="24"/>
        <v>1200000</v>
      </c>
      <c r="M25" s="2275">
        <f>'[2]Phụ lục số 2'!AF11</f>
        <v>425099.74576271186</v>
      </c>
      <c r="N25" s="2275">
        <f>'[2]Phụ lục số 2'!AG11</f>
        <v>774900.25423728814</v>
      </c>
      <c r="O25" s="2275">
        <f t="shared" si="25"/>
        <v>1260000</v>
      </c>
      <c r="P25" s="2275">
        <f>'[2]Phụ lục số 2'!AK11</f>
        <v>446399.73305084754</v>
      </c>
      <c r="Q25" s="4360">
        <f>'[2]Phụ lục số 2'!AL11</f>
        <v>813600.26694915246</v>
      </c>
      <c r="R25" s="4358">
        <f t="shared" si="26"/>
        <v>4230000</v>
      </c>
      <c r="S25" s="2275">
        <f t="shared" si="26"/>
        <v>1498499.4788135593</v>
      </c>
      <c r="T25" s="2275">
        <f>K25+N25+Q25</f>
        <v>2731500.5211864407</v>
      </c>
      <c r="U25" s="2275"/>
      <c r="V25" s="2281"/>
      <c r="W25" s="2281"/>
      <c r="X25" s="2281"/>
      <c r="Y25" s="2281"/>
      <c r="Z25" s="2281"/>
      <c r="AA25" s="2281"/>
      <c r="AB25" s="2281"/>
      <c r="AC25" s="2281"/>
      <c r="AD25" s="2281"/>
      <c r="AE25" s="2281"/>
      <c r="AF25" s="2281"/>
    </row>
    <row r="26" spans="1:32" s="641" customFormat="1">
      <c r="A26" s="593" t="s">
        <v>29</v>
      </c>
      <c r="B26" s="44" t="s">
        <v>145</v>
      </c>
      <c r="C26" s="2277">
        <f t="shared" si="21"/>
        <v>1600000</v>
      </c>
      <c r="D26" s="2277">
        <f>'[2]Phụ lục số 2'!D12</f>
        <v>1600000</v>
      </c>
      <c r="E26" s="2277">
        <f>'[2]Phụ lục số 2'!E12</f>
        <v>0</v>
      </c>
      <c r="F26" s="2277">
        <f t="shared" si="22"/>
        <v>1950000</v>
      </c>
      <c r="G26" s="2277">
        <f>'[2]Phụ lục số 2'!S12</f>
        <v>1950000</v>
      </c>
      <c r="H26" s="2277">
        <f>'[2]Phụ lục số 2'!T12</f>
        <v>0</v>
      </c>
      <c r="I26" s="2277">
        <f t="shared" si="23"/>
        <v>1950000</v>
      </c>
      <c r="J26" s="2277">
        <f>'[2]Phụ lục số 2'!AA12</f>
        <v>1950000</v>
      </c>
      <c r="K26" s="2277">
        <f>'[9]Phụ lục số 2'!O12</f>
        <v>0</v>
      </c>
      <c r="L26" s="2275">
        <f t="shared" si="24"/>
        <v>2322000</v>
      </c>
      <c r="M26" s="2275">
        <f>'[2]Phụ lục số 2'!AF12</f>
        <v>2322000</v>
      </c>
      <c r="N26" s="2275">
        <f>'[2]Phụ lục số 2'!AG12</f>
        <v>0</v>
      </c>
      <c r="O26" s="2275">
        <f t="shared" si="25"/>
        <v>2500000</v>
      </c>
      <c r="P26" s="2275">
        <f>'[2]Phụ lục số 2'!AK12</f>
        <v>2500000</v>
      </c>
      <c r="Q26" s="4360">
        <f>'[2]Phụ lục số 2'!AL12</f>
        <v>0</v>
      </c>
      <c r="R26" s="4358">
        <f t="shared" si="26"/>
        <v>6772000</v>
      </c>
      <c r="S26" s="2275">
        <f>J26+M26+P26</f>
        <v>6772000</v>
      </c>
      <c r="T26" s="2275">
        <f t="shared" si="26"/>
        <v>0</v>
      </c>
      <c r="U26" s="2281"/>
      <c r="V26" s="2281"/>
      <c r="W26" s="2281"/>
      <c r="X26" s="2281"/>
      <c r="Y26" s="2281"/>
      <c r="Z26" s="2281"/>
      <c r="AA26" s="2281"/>
      <c r="AB26" s="2281"/>
      <c r="AC26" s="2281"/>
      <c r="AD26" s="2281"/>
      <c r="AE26" s="2281"/>
      <c r="AF26" s="2281"/>
    </row>
    <row r="27" spans="1:32" s="641" customFormat="1">
      <c r="A27" s="593" t="s">
        <v>29</v>
      </c>
      <c r="B27" s="44" t="str">
        <f>'[2]Phụ lục số 2'!B13</f>
        <v>Chi đầu tư từ nguồn thu thoái vốn doanh nghiệp nhà nước địa phương quản lý;…</v>
      </c>
      <c r="C27" s="2277">
        <f t="shared" si="21"/>
        <v>0</v>
      </c>
      <c r="D27" s="2277">
        <f>'[2]Phụ lục số 2'!D13</f>
        <v>0</v>
      </c>
      <c r="E27" s="2277">
        <f>'[2]Phụ lục số 2'!E13</f>
        <v>0</v>
      </c>
      <c r="F27" s="2277">
        <f t="shared" si="22"/>
        <v>0</v>
      </c>
      <c r="G27" s="2277">
        <f>'[2]Phụ lục số 2'!S13</f>
        <v>0</v>
      </c>
      <c r="H27" s="2277">
        <f>'[2]Phụ lục số 2'!T13</f>
        <v>0</v>
      </c>
      <c r="I27" s="2277">
        <f t="shared" si="23"/>
        <v>0</v>
      </c>
      <c r="J27" s="2277">
        <f>'[2]Phụ lục số 2'!AA13</f>
        <v>0</v>
      </c>
      <c r="K27" s="2277">
        <f>'[9]Phụ lục số 2'!O13</f>
        <v>0</v>
      </c>
      <c r="L27" s="2275">
        <f t="shared" si="24"/>
        <v>0</v>
      </c>
      <c r="M27" s="2275">
        <f>'[2]Phụ lục số 2'!AF13</f>
        <v>0</v>
      </c>
      <c r="N27" s="2275">
        <f>'[2]Phụ lục số 2'!AG13</f>
        <v>0</v>
      </c>
      <c r="O27" s="2275">
        <f t="shared" si="25"/>
        <v>0</v>
      </c>
      <c r="P27" s="2275">
        <f>'[2]Phụ lục số 2'!AK13</f>
        <v>0</v>
      </c>
      <c r="Q27" s="4360">
        <f>'[2]Phụ lục số 2'!AL13</f>
        <v>0</v>
      </c>
      <c r="R27" s="4358">
        <f t="shared" si="26"/>
        <v>0</v>
      </c>
      <c r="S27" s="2275">
        <f t="shared" si="26"/>
        <v>0</v>
      </c>
      <c r="T27" s="2275">
        <f t="shared" si="26"/>
        <v>0</v>
      </c>
      <c r="U27" s="2281"/>
      <c r="V27" s="2281"/>
      <c r="W27" s="2281"/>
      <c r="X27" s="2281"/>
      <c r="Y27" s="2281"/>
      <c r="Z27" s="2281"/>
      <c r="AA27" s="2281"/>
      <c r="AB27" s="2281"/>
      <c r="AC27" s="2281"/>
      <c r="AD27" s="2281"/>
      <c r="AE27" s="2281"/>
      <c r="AF27" s="2281"/>
    </row>
    <row r="28" spans="1:32" s="641" customFormat="1">
      <c r="A28" s="593"/>
      <c r="B28" s="44" t="str">
        <f>'[2]Phụ lục số 2'!B14</f>
        <v>Chi đầu tư phát triển khác (Ủy thác qua NH Chính sách xã hội chi nhánh tỉnh Đồng Tháp)</v>
      </c>
      <c r="C28" s="2277"/>
      <c r="D28" s="2277"/>
      <c r="E28" s="2277"/>
      <c r="F28" s="2277"/>
      <c r="G28" s="2277"/>
      <c r="H28" s="2277"/>
      <c r="I28" s="2277">
        <f t="shared" si="23"/>
        <v>60000</v>
      </c>
      <c r="J28" s="2277">
        <f>'[2]Phụ lục số 2'!AA14</f>
        <v>60000</v>
      </c>
      <c r="K28" s="2277"/>
      <c r="L28" s="2275">
        <f t="shared" si="24"/>
        <v>60000</v>
      </c>
      <c r="M28" s="2275">
        <f>J28</f>
        <v>60000</v>
      </c>
      <c r="N28" s="2275"/>
      <c r="O28" s="2275">
        <f t="shared" si="25"/>
        <v>60000</v>
      </c>
      <c r="P28" s="2275">
        <f>M28</f>
        <v>60000</v>
      </c>
      <c r="Q28" s="4360"/>
      <c r="R28" s="4358"/>
      <c r="S28" s="2275"/>
      <c r="T28" s="2275"/>
      <c r="U28" s="2281"/>
      <c r="V28" s="2281"/>
      <c r="W28" s="2281"/>
      <c r="X28" s="2281"/>
      <c r="Y28" s="2281"/>
      <c r="Z28" s="2281"/>
      <c r="AA28" s="2281"/>
      <c r="AB28" s="2281"/>
      <c r="AC28" s="2281"/>
      <c r="AD28" s="2281"/>
      <c r="AE28" s="2281"/>
      <c r="AF28" s="2281"/>
    </row>
    <row r="29" spans="1:32" s="641" customFormat="1" ht="17.399999999999999">
      <c r="A29" s="4363">
        <v>2</v>
      </c>
      <c r="B29" s="4325" t="s">
        <v>209</v>
      </c>
      <c r="C29" s="4364">
        <f t="shared" si="21"/>
        <v>9353865</v>
      </c>
      <c r="D29" s="4364">
        <f>'[2]Phụ lục số 2'!D15</f>
        <v>3168035</v>
      </c>
      <c r="E29" s="4364">
        <f>'[2]Phụ lục số 2'!E15</f>
        <v>6185830</v>
      </c>
      <c r="F29" s="4364">
        <f t="shared" ref="F29:F40" si="27">SUM(G29:H29)</f>
        <v>9353865</v>
      </c>
      <c r="G29" s="4364">
        <f>'[2]Phụ lục số 2'!S15</f>
        <v>3168035</v>
      </c>
      <c r="H29" s="4364">
        <f>'[2]Phụ lục số 2'!T15</f>
        <v>6185830</v>
      </c>
      <c r="I29" s="4364">
        <f t="shared" si="23"/>
        <v>10664978.394711081</v>
      </c>
      <c r="J29" s="4364">
        <f>'[2]Phụ lục số 2'!AA15</f>
        <v>3294440</v>
      </c>
      <c r="K29" s="4364">
        <f>'[2]Phụ lục số 2'!AB15</f>
        <v>7370538.3947110809</v>
      </c>
      <c r="L29" s="4365">
        <f t="shared" si="24"/>
        <v>11071000</v>
      </c>
      <c r="M29" s="4365">
        <f>'[2]Phụ lục số 2'!AF15</f>
        <v>3701000</v>
      </c>
      <c r="N29" s="4365">
        <f>'[2]Phụ lục số 2'!AG15</f>
        <v>7370000</v>
      </c>
      <c r="O29" s="4365">
        <f t="shared" si="25"/>
        <v>11373000</v>
      </c>
      <c r="P29" s="4365">
        <f>'[2]Phụ lục số 2'!AK15</f>
        <v>4003000</v>
      </c>
      <c r="Q29" s="4366">
        <f>'[2]Phụ lục số 2'!AL15</f>
        <v>7370000</v>
      </c>
      <c r="R29" s="4367">
        <f t="shared" si="26"/>
        <v>33108978.394711081</v>
      </c>
      <c r="S29" s="4365">
        <f t="shared" si="26"/>
        <v>10998440</v>
      </c>
      <c r="T29" s="4365">
        <f t="shared" si="26"/>
        <v>22110538.394711081</v>
      </c>
      <c r="U29" s="4357" t="s">
        <v>2444</v>
      </c>
      <c r="V29" s="2281"/>
      <c r="W29" s="2281"/>
      <c r="X29" s="4357" t="s">
        <v>2444</v>
      </c>
      <c r="Y29" s="2281"/>
      <c r="Z29" s="2281"/>
      <c r="AA29" s="4357" t="s">
        <v>2444</v>
      </c>
      <c r="AB29" s="2281"/>
      <c r="AC29" s="2281"/>
      <c r="AD29" s="4357" t="s">
        <v>2444</v>
      </c>
      <c r="AE29" s="2281"/>
      <c r="AF29" s="2281"/>
    </row>
    <row r="30" spans="1:32" s="641" customFormat="1">
      <c r="A30" s="593" t="s">
        <v>29</v>
      </c>
      <c r="B30" s="43" t="s">
        <v>2403</v>
      </c>
      <c r="C30" s="2277">
        <f t="shared" si="21"/>
        <v>4179745</v>
      </c>
      <c r="D30" s="2277">
        <f>'[2]Phụ lục số 2'!D20</f>
        <v>1017035</v>
      </c>
      <c r="E30" s="2277">
        <f>'[2]Phụ lục số 2'!E20</f>
        <v>3162710</v>
      </c>
      <c r="F30" s="2277">
        <f t="shared" si="27"/>
        <v>4179745</v>
      </c>
      <c r="G30" s="2277">
        <f>'[2]Phụ lục số 2'!S20</f>
        <v>1017035</v>
      </c>
      <c r="H30" s="2277">
        <f>'[2]Phụ lục số 2'!T20</f>
        <v>3162710</v>
      </c>
      <c r="I30" s="2277">
        <f>SUM(J30:K30)</f>
        <v>4797945.7831797441</v>
      </c>
      <c r="J30" s="2277">
        <f>'[2]Phụ lục số 2'!AA20</f>
        <v>956676</v>
      </c>
      <c r="K30" s="2277">
        <f>'[2]Phụ lục số 2'!AB20</f>
        <v>3841269.7831797441</v>
      </c>
      <c r="L30" s="2275">
        <f t="shared" si="24"/>
        <v>4916000</v>
      </c>
      <c r="M30" s="2275">
        <f>'[2]Phụ lục số 2'!AF20</f>
        <v>1075000</v>
      </c>
      <c r="N30" s="2275">
        <f>'[2]Phụ lục số 2'!AG20</f>
        <v>3841000</v>
      </c>
      <c r="O30" s="2275">
        <f t="shared" si="25"/>
        <v>5004000</v>
      </c>
      <c r="P30" s="2275">
        <f>'[2]Phụ lục số 2'!AK20</f>
        <v>1163000</v>
      </c>
      <c r="Q30" s="4360">
        <f>'[2]Phụ lục số 2'!AL20</f>
        <v>3841000</v>
      </c>
      <c r="R30" s="4358">
        <f>I30+L30+O30</f>
        <v>14717945.783179745</v>
      </c>
      <c r="S30" s="2275">
        <f t="shared" si="26"/>
        <v>3194676</v>
      </c>
      <c r="T30" s="2275">
        <f t="shared" si="26"/>
        <v>11523269.783179745</v>
      </c>
      <c r="U30" s="2281">
        <f>V30+W30</f>
        <v>64920.799999999814</v>
      </c>
      <c r="V30" s="2281">
        <f>V14-V21</f>
        <v>-88289.266666666605</v>
      </c>
      <c r="W30" s="2281">
        <f>W14-W21</f>
        <v>153210.06666666642</v>
      </c>
      <c r="X30" s="2281">
        <f>Y30+Z30</f>
        <v>280465</v>
      </c>
      <c r="Y30" s="2281">
        <f>Y14-Y21</f>
        <v>-68900</v>
      </c>
      <c r="Z30" s="2281">
        <f>Z14-Z21</f>
        <v>349365</v>
      </c>
      <c r="AA30" s="2281">
        <f>AB30+AC30</f>
        <v>695753.08469866449</v>
      </c>
      <c r="AB30" s="2281">
        <f>AB14-AB21</f>
        <v>383828.08121450758</v>
      </c>
      <c r="AC30" s="2281">
        <f>AC14-AC21</f>
        <v>311925.00348415691</v>
      </c>
      <c r="AD30" s="2281">
        <f>AE30+AF30</f>
        <v>974926.40610852523</v>
      </c>
      <c r="AE30" s="2281">
        <f>AE14-AE21</f>
        <v>560951.28021168895</v>
      </c>
      <c r="AF30" s="2281">
        <f>AF14-AF21</f>
        <v>413975.12589683628</v>
      </c>
    </row>
    <row r="31" spans="1:32" s="641" customFormat="1">
      <c r="A31" s="593" t="s">
        <v>29</v>
      </c>
      <c r="B31" s="43" t="s">
        <v>2404</v>
      </c>
      <c r="C31" s="2277">
        <f t="shared" si="21"/>
        <v>31000</v>
      </c>
      <c r="D31" s="2277">
        <f>'[2]Phụ lục số 2'!D19</f>
        <v>31000</v>
      </c>
      <c r="E31" s="2277">
        <f>'[2]Phụ lục số 2'!E19</f>
        <v>0</v>
      </c>
      <c r="F31" s="2277">
        <f t="shared" si="27"/>
        <v>31000</v>
      </c>
      <c r="G31" s="2277">
        <f>'[2]Phụ lục số 2'!S19</f>
        <v>31000</v>
      </c>
      <c r="H31" s="2277">
        <f>'[2]Phụ lục số 2'!T19</f>
        <v>0</v>
      </c>
      <c r="I31" s="2277">
        <f>SUM(J31:K31)</f>
        <v>31218</v>
      </c>
      <c r="J31" s="2277">
        <f>'[2]Phụ lục số 2'!AA19</f>
        <v>31218</v>
      </c>
      <c r="K31" s="2277">
        <f>'[9]Phụ lục số 2'!O18</f>
        <v>0</v>
      </c>
      <c r="L31" s="2275">
        <f t="shared" si="24"/>
        <v>35000</v>
      </c>
      <c r="M31" s="2275">
        <f>'[2]Phụ lục số 2'!AF19</f>
        <v>35000</v>
      </c>
      <c r="N31" s="2275">
        <f>'[2]Phụ lục số 2'!AG19</f>
        <v>0</v>
      </c>
      <c r="O31" s="2275">
        <f t="shared" si="25"/>
        <v>38000</v>
      </c>
      <c r="P31" s="2275">
        <f>'[2]Phụ lục số 2'!AK19</f>
        <v>38000</v>
      </c>
      <c r="Q31" s="4360">
        <f>'[9]Phụ lục số 2'!Y18</f>
        <v>0</v>
      </c>
      <c r="R31" s="4358">
        <f t="shared" si="26"/>
        <v>104218</v>
      </c>
      <c r="S31" s="2275">
        <f t="shared" si="26"/>
        <v>104218</v>
      </c>
      <c r="T31" s="2275">
        <f t="shared" si="26"/>
        <v>0</v>
      </c>
      <c r="U31" s="2281"/>
      <c r="V31" s="2281"/>
      <c r="W31" s="2281"/>
      <c r="X31" s="2281"/>
      <c r="Y31" s="2281"/>
      <c r="Z31" s="2281"/>
      <c r="AA31" s="2281"/>
      <c r="AB31" s="2281"/>
      <c r="AC31" s="2281"/>
      <c r="AD31" s="2281"/>
      <c r="AE31" s="2281"/>
      <c r="AF31" s="2281"/>
    </row>
    <row r="32" spans="1:32" s="641" customFormat="1">
      <c r="A32" s="593" t="s">
        <v>29</v>
      </c>
      <c r="B32" s="43" t="s">
        <v>2405</v>
      </c>
      <c r="C32" s="2277">
        <f>SUM(D32:E32)</f>
        <v>5143120</v>
      </c>
      <c r="D32" s="2277">
        <f>D29-D30-D31</f>
        <v>2120000</v>
      </c>
      <c r="E32" s="2277">
        <f>E29-E30-E31</f>
        <v>3023120</v>
      </c>
      <c r="F32" s="2277">
        <f t="shared" si="27"/>
        <v>5143120</v>
      </c>
      <c r="G32" s="2277">
        <f>G29-G30-G31</f>
        <v>2120000</v>
      </c>
      <c r="H32" s="2277">
        <f>H29-H30-H31</f>
        <v>3023120</v>
      </c>
      <c r="I32" s="2277">
        <f>SUM(J32:K32)</f>
        <v>5835814.6115313368</v>
      </c>
      <c r="J32" s="2277">
        <f>J29-J30-J31</f>
        <v>2306546</v>
      </c>
      <c r="K32" s="2277">
        <f>K29-K30-K31</f>
        <v>3529268.6115313368</v>
      </c>
      <c r="L32" s="2275">
        <f t="shared" si="24"/>
        <v>6120000</v>
      </c>
      <c r="M32" s="2275">
        <f>M29-M30-M31</f>
        <v>2591000</v>
      </c>
      <c r="N32" s="2275">
        <f>N29-N30-N31</f>
        <v>3529000</v>
      </c>
      <c r="O32" s="2275">
        <f t="shared" si="25"/>
        <v>6331000</v>
      </c>
      <c r="P32" s="2275">
        <f>P29-P30-P31</f>
        <v>2802000</v>
      </c>
      <c r="Q32" s="4360">
        <f>Q29-Q30-Q31</f>
        <v>3529000</v>
      </c>
      <c r="R32" s="4358">
        <f t="shared" si="26"/>
        <v>18286814.611531336</v>
      </c>
      <c r="S32" s="2275">
        <f t="shared" si="26"/>
        <v>7699546</v>
      </c>
      <c r="T32" s="2275">
        <f t="shared" si="26"/>
        <v>10587268.611531336</v>
      </c>
      <c r="U32" s="4368"/>
      <c r="V32" s="4368"/>
      <c r="W32" s="4368"/>
      <c r="X32" s="4368">
        <f>I7/$C$7</f>
        <v>1.182417505439241</v>
      </c>
      <c r="Y32" s="4368">
        <f>J7/D7</f>
        <v>1.0799946148883202</v>
      </c>
      <c r="Z32" s="4368">
        <f>K7/E7</f>
        <v>1.2427487330876021</v>
      </c>
      <c r="AA32" s="4368">
        <f>L7/C7</f>
        <v>1.1835414338291064</v>
      </c>
      <c r="AB32" s="4368">
        <f>M7/J7</f>
        <v>1.0804904634026693</v>
      </c>
      <c r="AC32" s="4368">
        <f>N7/K7</f>
        <v>0.96023420717139585</v>
      </c>
      <c r="AD32" s="4368">
        <f>O7/C7</f>
        <v>1.2533142305638454</v>
      </c>
      <c r="AE32" s="4368">
        <f>P7/M7</f>
        <v>1.1876799552111821</v>
      </c>
      <c r="AF32" s="4368">
        <f>Q7/N7</f>
        <v>0.98480478099827706</v>
      </c>
    </row>
    <row r="33" spans="1:32" s="641" customFormat="1" ht="17.399999999999999">
      <c r="A33" s="52">
        <v>3</v>
      </c>
      <c r="B33" s="4369" t="s">
        <v>210</v>
      </c>
      <c r="C33" s="2280">
        <f>SUM(D33:E33)</f>
        <v>0</v>
      </c>
      <c r="D33" s="2280"/>
      <c r="E33" s="2280">
        <f>'[9]Phụ lục số 2'!E30</f>
        <v>0</v>
      </c>
      <c r="F33" s="2280">
        <f t="shared" si="27"/>
        <v>431000</v>
      </c>
      <c r="G33" s="2280">
        <f>'[2]Phụ lục số 2'!S31</f>
        <v>89700</v>
      </c>
      <c r="H33" s="2280">
        <f>'[2]Phụ lục số 2'!T31</f>
        <v>341300</v>
      </c>
      <c r="I33" s="2280">
        <f>SUM(J33:K33)</f>
        <v>0</v>
      </c>
      <c r="J33" s="2280">
        <f>'[2]Phụ lục số 2'!AA31</f>
        <v>0</v>
      </c>
      <c r="K33" s="2280">
        <f>'[2]Phụ lục số 2'!AB31</f>
        <v>0</v>
      </c>
      <c r="L33" s="2281">
        <f>SUM(M33:N33)</f>
        <v>0</v>
      </c>
      <c r="M33" s="2281">
        <f>'[2]Phụ lục số 2'!AF31</f>
        <v>0</v>
      </c>
      <c r="N33" s="2281">
        <f>'[2]Phụ lục số 2'!AG31</f>
        <v>0</v>
      </c>
      <c r="O33" s="2281">
        <f>SUM(P33:Q33)</f>
        <v>0</v>
      </c>
      <c r="P33" s="2281">
        <f>'[2]Phụ lục số 2'!AK31</f>
        <v>0</v>
      </c>
      <c r="Q33" s="4361">
        <f>'[2]Phụ lục số 2'!AL31</f>
        <v>0</v>
      </c>
      <c r="R33" s="4356">
        <f t="shared" si="26"/>
        <v>0</v>
      </c>
      <c r="S33" s="2281">
        <f t="shared" si="26"/>
        <v>0</v>
      </c>
      <c r="T33" s="2281">
        <f t="shared" si="26"/>
        <v>0</v>
      </c>
      <c r="U33" s="2281"/>
      <c r="V33" s="2281"/>
      <c r="W33" s="2281"/>
      <c r="X33" s="2281"/>
      <c r="Y33" s="4368">
        <f>Y32-1</f>
        <v>7.9994614888320159E-2</v>
      </c>
      <c r="Z33" s="4368">
        <f>Z32-1</f>
        <v>0.24274873308760214</v>
      </c>
      <c r="AA33" s="2281"/>
      <c r="AB33" s="4368">
        <f>AB32-1</f>
        <v>8.0490463402669299E-2</v>
      </c>
      <c r="AC33" s="4368">
        <f>AC32-1</f>
        <v>-3.9765792828604152E-2</v>
      </c>
      <c r="AD33" s="2281"/>
      <c r="AE33" s="4368">
        <f>AE32-1</f>
        <v>0.18767995521118208</v>
      </c>
      <c r="AF33" s="4368">
        <f>AF32-1</f>
        <v>-1.5195219001722937E-2</v>
      </c>
    </row>
    <row r="34" spans="1:32" s="382" customFormat="1" ht="17.399999999999999">
      <c r="A34" s="52">
        <v>4</v>
      </c>
      <c r="B34" s="4145" t="s">
        <v>211</v>
      </c>
      <c r="C34" s="2280"/>
      <c r="D34" s="2280"/>
      <c r="E34" s="2280"/>
      <c r="F34" s="2280">
        <f t="shared" si="27"/>
        <v>357489.34666666656</v>
      </c>
      <c r="G34" s="2280">
        <f>'[2]Phụ lục số 2'!S32</f>
        <v>0</v>
      </c>
      <c r="H34" s="2280">
        <f>'[2]Phụ lục số 2'!T32</f>
        <v>357489.34666666656</v>
      </c>
      <c r="I34" s="2280">
        <f t="shared" ref="I34:I38" si="28">SUM(J34:K34)</f>
        <v>717399.2</v>
      </c>
      <c r="J34" s="2280">
        <f>'[2]Phụ lục số 2'!AA32</f>
        <v>79139.200000000012</v>
      </c>
      <c r="K34" s="2280">
        <f>'[2]Phụ lục số 2'!AB32</f>
        <v>638260</v>
      </c>
      <c r="L34" s="2281">
        <f>SUM(M34:N34)</f>
        <v>882854.2423493322</v>
      </c>
      <c r="M34" s="2281">
        <f>'[2]Phụ lục số 2'!AF32</f>
        <v>567070.94060725369</v>
      </c>
      <c r="N34" s="2281">
        <f>'[2]Phụ lục số 2'!AG32</f>
        <v>315783.30174207845</v>
      </c>
      <c r="O34" s="2281">
        <f t="shared" ref="O34:O38" si="29">SUM(P34:Q34)</f>
        <v>1237230.2030542626</v>
      </c>
      <c r="P34" s="2281">
        <f>'[2]Phụ lục số 2'!AK32</f>
        <v>1039823.5401058444</v>
      </c>
      <c r="Q34" s="4361">
        <f>'[2]Phụ lục số 2'!AL32</f>
        <v>197406.66294841812</v>
      </c>
      <c r="R34" s="4356">
        <f t="shared" si="26"/>
        <v>2837483.6454035947</v>
      </c>
      <c r="S34" s="2281">
        <f t="shared" si="26"/>
        <v>1686033.680713098</v>
      </c>
      <c r="T34" s="2281">
        <f t="shared" si="26"/>
        <v>1151449.9646904967</v>
      </c>
      <c r="U34" s="2281"/>
      <c r="V34" s="2281"/>
      <c r="W34" s="2281"/>
      <c r="X34" s="2281"/>
      <c r="Y34" s="4368"/>
      <c r="Z34" s="4368"/>
      <c r="AA34" s="2281"/>
      <c r="AB34" s="4368"/>
      <c r="AC34" s="4368"/>
      <c r="AD34" s="2281"/>
      <c r="AE34" s="4368"/>
      <c r="AF34" s="4368"/>
    </row>
    <row r="35" spans="1:32" s="641" customFormat="1" ht="34.799999999999997">
      <c r="A35" s="52">
        <v>5</v>
      </c>
      <c r="B35" s="334" t="s">
        <v>212</v>
      </c>
      <c r="C35" s="2280"/>
      <c r="D35" s="2280"/>
      <c r="E35" s="2280"/>
      <c r="F35" s="2280">
        <f t="shared" si="27"/>
        <v>153209.71999999997</v>
      </c>
      <c r="G35" s="2280">
        <f>'[2]Phụ lục số 2'!S33</f>
        <v>0</v>
      </c>
      <c r="H35" s="2280">
        <f>'[2]Phụ lục số 2'!T33</f>
        <v>153209.71999999997</v>
      </c>
      <c r="I35" s="2280"/>
      <c r="J35" s="2280"/>
      <c r="K35" s="2280"/>
      <c r="L35" s="2281">
        <f>SUM(M35:N35)</f>
        <v>0</v>
      </c>
      <c r="M35" s="2281">
        <f>'[2]Phụ lục số 2'!AF33</f>
        <v>0</v>
      </c>
      <c r="N35" s="2281">
        <f>'[2]Phụ lục số 2'!AG33</f>
        <v>0</v>
      </c>
      <c r="O35" s="2281">
        <f t="shared" si="29"/>
        <v>0</v>
      </c>
      <c r="P35" s="2281">
        <f>'[2]Phụ lục số 2'!AK33</f>
        <v>0</v>
      </c>
      <c r="Q35" s="4361">
        <f>'[2]Phụ lục số 2'!AL33</f>
        <v>0</v>
      </c>
      <c r="R35" s="4356">
        <f t="shared" si="26"/>
        <v>0</v>
      </c>
      <c r="S35" s="2281">
        <f t="shared" si="26"/>
        <v>0</v>
      </c>
      <c r="T35" s="2281">
        <f t="shared" si="26"/>
        <v>0</v>
      </c>
      <c r="U35" s="2281"/>
      <c r="V35" s="2281"/>
      <c r="W35" s="2281"/>
      <c r="X35" s="2281"/>
      <c r="Y35" s="4368"/>
      <c r="Z35" s="4368"/>
      <c r="AA35" s="2281"/>
      <c r="AB35" s="4368"/>
      <c r="AC35" s="4368"/>
      <c r="AD35" s="2281"/>
      <c r="AE35" s="4368"/>
      <c r="AF35" s="4368"/>
    </row>
    <row r="36" spans="1:32" s="641" customFormat="1" ht="17.399999999999999">
      <c r="A36" s="52">
        <v>6</v>
      </c>
      <c r="B36" s="2779" t="s">
        <v>174</v>
      </c>
      <c r="C36" s="2280">
        <f t="shared" si="21"/>
        <v>2000</v>
      </c>
      <c r="D36" s="2280">
        <f>'[2]Phụ lục số 2'!D29</f>
        <v>2000</v>
      </c>
      <c r="E36" s="2280">
        <f>'[9]Phụ lục số 2'!E28</f>
        <v>0</v>
      </c>
      <c r="F36" s="2280">
        <f t="shared" si="27"/>
        <v>2000</v>
      </c>
      <c r="G36" s="2280">
        <f>'[2]Phụ lục số 2'!S29</f>
        <v>2000</v>
      </c>
      <c r="H36" s="2280">
        <f>'[2]Phụ lục số 2'!T29</f>
        <v>0</v>
      </c>
      <c r="I36" s="2280">
        <f t="shared" si="28"/>
        <v>2000</v>
      </c>
      <c r="J36" s="2280">
        <f>'[9]Phụ lục số 2'!N28</f>
        <v>2000</v>
      </c>
      <c r="K36" s="2280">
        <f>'[9]Phụ lục số 2'!O28</f>
        <v>0</v>
      </c>
      <c r="L36" s="2281">
        <f t="shared" ref="L36:L44" si="30">SUM(M36:N36)</f>
        <v>2000</v>
      </c>
      <c r="M36" s="2281">
        <f>'[2]Phụ lục số 2'!AF29</f>
        <v>2000</v>
      </c>
      <c r="N36" s="2281">
        <f>'[2]Phụ lục số 2'!AG29</f>
        <v>0</v>
      </c>
      <c r="O36" s="2281">
        <f t="shared" si="29"/>
        <v>2000</v>
      </c>
      <c r="P36" s="2281">
        <f>'[2]Phụ lục số 2'!AK29</f>
        <v>2000</v>
      </c>
      <c r="Q36" s="4361">
        <f>'[2]Phụ lục số 2'!AL29</f>
        <v>0</v>
      </c>
      <c r="R36" s="4356">
        <f t="shared" si="26"/>
        <v>6000</v>
      </c>
      <c r="S36" s="2281">
        <f t="shared" si="26"/>
        <v>6000</v>
      </c>
      <c r="T36" s="2281">
        <f t="shared" si="26"/>
        <v>0</v>
      </c>
      <c r="U36" s="2281"/>
      <c r="V36" s="2281"/>
      <c r="W36" s="2281"/>
      <c r="X36" s="2281"/>
      <c r="Y36" s="4368">
        <f>Y33/2</f>
        <v>3.999730744416008E-2</v>
      </c>
      <c r="Z36" s="4368">
        <f>Z33/2</f>
        <v>0.12137436654380107</v>
      </c>
      <c r="AA36" s="2281"/>
      <c r="AB36" s="4368">
        <f>AB33/2</f>
        <v>4.0245231701334649E-2</v>
      </c>
      <c r="AC36" s="4368">
        <f>AC33/2</f>
        <v>-1.9882896414302076E-2</v>
      </c>
      <c r="AD36" s="2281"/>
      <c r="AE36" s="4368">
        <f>AE33/2</f>
        <v>9.3839977605591041E-2</v>
      </c>
      <c r="AF36" s="4368">
        <f>AF33/2</f>
        <v>-7.5976095008614686E-3</v>
      </c>
    </row>
    <row r="37" spans="1:32" s="641" customFormat="1" ht="17.399999999999999">
      <c r="A37" s="4370">
        <v>7</v>
      </c>
      <c r="B37" s="2779" t="s">
        <v>175</v>
      </c>
      <c r="C37" s="2280">
        <f t="shared" si="21"/>
        <v>274623</v>
      </c>
      <c r="D37" s="2280">
        <f>'[2]Phụ lục số 2'!D30</f>
        <v>135382</v>
      </c>
      <c r="E37" s="2280">
        <f>'[2]Phụ lục số 2'!E30</f>
        <v>139241</v>
      </c>
      <c r="F37" s="2280">
        <f t="shared" si="27"/>
        <v>274623</v>
      </c>
      <c r="G37" s="2280">
        <f>'[2]Phụ lục số 2'!S30</f>
        <v>135382</v>
      </c>
      <c r="H37" s="2280">
        <f>'[2]Phụ lục số 2'!T30</f>
        <v>139241</v>
      </c>
      <c r="I37" s="2280">
        <f t="shared" si="28"/>
        <v>327868.91231904214</v>
      </c>
      <c r="J37" s="2280">
        <f>'[2]Phụ lục số 2'!AA30</f>
        <v>152264.36799999999</v>
      </c>
      <c r="K37" s="2280">
        <f>'[2]Phụ lục số 2'!AB30</f>
        <v>175604.54431904212</v>
      </c>
      <c r="L37" s="2281">
        <f>SUM(M37:N37)</f>
        <v>347000</v>
      </c>
      <c r="M37" s="2281">
        <f>'[2]Phụ lục số 2'!AF30</f>
        <v>171000</v>
      </c>
      <c r="N37" s="2281">
        <f>'[2]Phụ lục số 2'!AG30</f>
        <v>176000</v>
      </c>
      <c r="O37" s="2281">
        <f>SUM(P37:Q37)</f>
        <v>361000</v>
      </c>
      <c r="P37" s="2281">
        <f>'[2]Phụ lục số 2'!AK30</f>
        <v>185000</v>
      </c>
      <c r="Q37" s="4361">
        <f>'[2]Phụ lục số 2'!AL30</f>
        <v>176000</v>
      </c>
      <c r="R37" s="4356">
        <f t="shared" si="26"/>
        <v>1035868.9123190421</v>
      </c>
      <c r="S37" s="2281">
        <f t="shared" si="26"/>
        <v>508264.36800000002</v>
      </c>
      <c r="T37" s="2281">
        <f t="shared" si="26"/>
        <v>527604.54431904212</v>
      </c>
      <c r="U37" s="2281"/>
      <c r="V37" s="2281"/>
      <c r="W37" s="2281"/>
      <c r="X37" s="4371" t="s">
        <v>2447</v>
      </c>
      <c r="Y37" s="4368">
        <f>1+Y36</f>
        <v>1.03999730744416</v>
      </c>
      <c r="Z37" s="4368">
        <f>1+Z36</f>
        <v>1.121374366543801</v>
      </c>
      <c r="AA37" s="4371" t="s">
        <v>2447</v>
      </c>
      <c r="AB37" s="4368">
        <f>1+AB36</f>
        <v>1.0402452317013346</v>
      </c>
      <c r="AC37" s="4368">
        <f>1+AC36</f>
        <v>0.98011710358569792</v>
      </c>
      <c r="AD37" s="4371" t="s">
        <v>2447</v>
      </c>
      <c r="AE37" s="4368">
        <f>1+AE36</f>
        <v>1.0938399776055912</v>
      </c>
      <c r="AF37" s="4368">
        <f>1+AF36</f>
        <v>0.99240239049913859</v>
      </c>
    </row>
    <row r="38" spans="1:32" s="641" customFormat="1" ht="17.399999999999999">
      <c r="A38" s="4370">
        <v>8</v>
      </c>
      <c r="B38" s="2779" t="s">
        <v>213</v>
      </c>
      <c r="C38" s="2280">
        <f t="shared" si="21"/>
        <v>0</v>
      </c>
      <c r="D38" s="2280">
        <f>'[2]Phụ lục số 2'!D34</f>
        <v>0</v>
      </c>
      <c r="E38" s="2280">
        <f>'[9]Phụ lục số 2'!E31</f>
        <v>0</v>
      </c>
      <c r="F38" s="2280">
        <f t="shared" si="27"/>
        <v>0</v>
      </c>
      <c r="G38" s="2280">
        <f>'[2]Phụ lục số 2'!S34</f>
        <v>0</v>
      </c>
      <c r="H38" s="2280">
        <f>'[2]Phụ lục số 2'!T34</f>
        <v>0</v>
      </c>
      <c r="I38" s="2280">
        <f t="shared" si="28"/>
        <v>3000</v>
      </c>
      <c r="J38" s="2280">
        <f>'[2]Phụ lục số 2'!AA34</f>
        <v>3000</v>
      </c>
      <c r="K38" s="2280">
        <f>'[9]Phụ lục số 2'!O31</f>
        <v>0</v>
      </c>
      <c r="L38" s="2281">
        <f t="shared" si="30"/>
        <v>3000</v>
      </c>
      <c r="M38" s="2281">
        <f>'[2]Phụ lục số 2'!AF34</f>
        <v>3000</v>
      </c>
      <c r="N38" s="2281">
        <f>'[2]Phụ lục số 2'!AG34</f>
        <v>0</v>
      </c>
      <c r="O38" s="2281">
        <f t="shared" si="29"/>
        <v>3000</v>
      </c>
      <c r="P38" s="2281">
        <f>'[2]Phụ lục số 2'!AK34</f>
        <v>3000</v>
      </c>
      <c r="Q38" s="4361">
        <f>'[2]Phụ lục số 2'!AL34</f>
        <v>0</v>
      </c>
      <c r="R38" s="4356">
        <f t="shared" si="26"/>
        <v>9000</v>
      </c>
      <c r="S38" s="2281">
        <f t="shared" si="26"/>
        <v>9000</v>
      </c>
      <c r="T38" s="2281">
        <f t="shared" si="26"/>
        <v>0</v>
      </c>
      <c r="U38" s="2281"/>
      <c r="V38" s="2281"/>
      <c r="W38" s="2281"/>
      <c r="X38" s="2281"/>
      <c r="Y38" s="2281"/>
      <c r="Z38" s="2281"/>
      <c r="AA38" s="2281"/>
      <c r="AB38" s="2281"/>
      <c r="AC38" s="2281"/>
      <c r="AD38" s="2281"/>
      <c r="AE38" s="2281"/>
      <c r="AF38" s="2281"/>
    </row>
    <row r="39" spans="1:32" s="641" customFormat="1" ht="17.399999999999999">
      <c r="A39" s="52" t="s">
        <v>33</v>
      </c>
      <c r="B39" s="2779" t="s">
        <v>214</v>
      </c>
      <c r="C39" s="2280">
        <f>SUM(C40:C42)</f>
        <v>2597007</v>
      </c>
      <c r="D39" s="2280">
        <f t="shared" ref="D39:G39" si="31">SUM(D40:D42)</f>
        <v>2597007</v>
      </c>
      <c r="E39" s="2280">
        <f t="shared" si="31"/>
        <v>0</v>
      </c>
      <c r="F39" s="2280">
        <f t="shared" si="27"/>
        <v>2597007</v>
      </c>
      <c r="G39" s="2280">
        <f t="shared" si="31"/>
        <v>2597007</v>
      </c>
      <c r="H39" s="2280">
        <f>SUM(H40:H42)</f>
        <v>0</v>
      </c>
      <c r="I39" s="2280">
        <f>SUM(J39:K39)</f>
        <v>1988976</v>
      </c>
      <c r="J39" s="2280">
        <f>SUM(J40:J41)</f>
        <v>1988976</v>
      </c>
      <c r="K39" s="2280">
        <f>SUM(K40:K41)</f>
        <v>0</v>
      </c>
      <c r="L39" s="2281">
        <f>SUM(M39:N39)</f>
        <v>2379485.2999999998</v>
      </c>
      <c r="M39" s="2281">
        <f>SUM(M40:M41)</f>
        <v>2379485.2999999998</v>
      </c>
      <c r="N39" s="2281">
        <f>SUM(N40:N41)</f>
        <v>0</v>
      </c>
      <c r="O39" s="2281">
        <f>SUM(P39:Q39)</f>
        <v>2379485.2999999998</v>
      </c>
      <c r="P39" s="2281">
        <f>SUM(P40:P41)</f>
        <v>2379485.2999999998</v>
      </c>
      <c r="Q39" s="4361">
        <f>SUM(Q40:Q41)</f>
        <v>0</v>
      </c>
      <c r="R39" s="4356">
        <f>SUM(S39:T39)</f>
        <v>6747946.5999999996</v>
      </c>
      <c r="S39" s="2281">
        <f>SUM(S40:S41)</f>
        <v>6747946.5999999996</v>
      </c>
      <c r="T39" s="2281">
        <f>SUM(T40:T41)</f>
        <v>0</v>
      </c>
      <c r="U39" s="2281"/>
      <c r="V39" s="2281"/>
      <c r="W39" s="2281"/>
      <c r="X39" s="2281"/>
      <c r="Y39" s="2281"/>
      <c r="Z39" s="2281"/>
      <c r="AA39" s="2281"/>
      <c r="AB39" s="2281"/>
      <c r="AC39" s="2281"/>
      <c r="AD39" s="2281"/>
      <c r="AE39" s="2281"/>
      <c r="AF39" s="2281"/>
    </row>
    <row r="40" spans="1:32" s="583" customFormat="1">
      <c r="A40" s="593">
        <v>1</v>
      </c>
      <c r="B40" s="46" t="str">
        <f>[2]CĐNSĐP03namBS!B40</f>
        <v>Chi thực hiện mục tiêu, nhiệm vụ quan trọng (vốn đầu tư phát triển)</v>
      </c>
      <c r="C40" s="2277">
        <f>SUM(D40:E40)</f>
        <v>2417971</v>
      </c>
      <c r="D40" s="2277">
        <f>'[2]Phụ lục số 1'!F56</f>
        <v>2417971</v>
      </c>
      <c r="E40" s="2277"/>
      <c r="F40" s="2277">
        <f t="shared" si="27"/>
        <v>2417971</v>
      </c>
      <c r="G40" s="2277">
        <f>'[2]Phụ lục số 2'!S36</f>
        <v>2417971</v>
      </c>
      <c r="H40" s="2277"/>
      <c r="I40" s="2277">
        <f>SUM(J40:K40)</f>
        <v>1814491</v>
      </c>
      <c r="J40" s="2277">
        <f>'[2]Phụ lục số 2'!AA36</f>
        <v>1814491</v>
      </c>
      <c r="K40" s="2277"/>
      <c r="L40" s="2275">
        <f>SUM(M40:N40)</f>
        <v>2205000</v>
      </c>
      <c r="M40" s="2275">
        <f>'[2]Phụ lục số 2'!AF36</f>
        <v>2205000</v>
      </c>
      <c r="N40" s="2275"/>
      <c r="O40" s="2275">
        <f>SUM(P40:Q40)</f>
        <v>2205000</v>
      </c>
      <c r="P40" s="2275">
        <f>'[2]Phụ lục số 2'!AK36</f>
        <v>2205000</v>
      </c>
      <c r="Q40" s="4360">
        <f>'[2]Phụ lục số 2'!AL36</f>
        <v>0</v>
      </c>
      <c r="R40" s="4358">
        <f>SUM(S40:T40)</f>
        <v>6224491</v>
      </c>
      <c r="S40" s="2275">
        <f t="shared" si="26"/>
        <v>6224491</v>
      </c>
      <c r="T40" s="2275">
        <f t="shared" si="26"/>
        <v>0</v>
      </c>
      <c r="U40" s="2275"/>
      <c r="V40" s="2275"/>
      <c r="W40" s="2275"/>
      <c r="X40" s="2275"/>
      <c r="Y40" s="2275"/>
      <c r="Z40" s="2275"/>
      <c r="AA40" s="2275"/>
      <c r="AB40" s="2275"/>
      <c r="AC40" s="2275"/>
      <c r="AD40" s="2275"/>
      <c r="AE40" s="2275"/>
      <c r="AF40" s="2275"/>
    </row>
    <row r="41" spans="1:32" s="583" customFormat="1">
      <c r="A41" s="593">
        <v>2</v>
      </c>
      <c r="B41" s="46" t="str">
        <f>[2]CĐNSĐP03namBS!B41</f>
        <v>Chi thực hiện mục tiêu, nhiệm vụ quan trọng (kinh phí sự nghiệp)</v>
      </c>
      <c r="C41" s="2277">
        <f>SUM(D41:E41)</f>
        <v>179036</v>
      </c>
      <c r="D41" s="2277">
        <f>'[2]Phụ lục số 1'!F57</f>
        <v>179036</v>
      </c>
      <c r="E41" s="2277"/>
      <c r="F41" s="2277">
        <f t="shared" ref="F41:F42" si="32">SUM(G41:H41)</f>
        <v>179036</v>
      </c>
      <c r="G41" s="2277">
        <f>'[2]Phụ lục số 2'!S37</f>
        <v>179036</v>
      </c>
      <c r="H41" s="2277"/>
      <c r="I41" s="2277">
        <f>SUM(J41:K41)</f>
        <v>174485</v>
      </c>
      <c r="J41" s="2277">
        <f>'[2]Phụ lục số 2'!AA37</f>
        <v>174485</v>
      </c>
      <c r="K41" s="2277"/>
      <c r="L41" s="2275">
        <f>SUM(M41:N41)</f>
        <v>174485.3</v>
      </c>
      <c r="M41" s="2275">
        <f>'[2]Phụ lục số 2'!AF37</f>
        <v>174485.3</v>
      </c>
      <c r="N41" s="2275"/>
      <c r="O41" s="2275">
        <f>SUM(P41:Q41)</f>
        <v>174485.3</v>
      </c>
      <c r="P41" s="2275">
        <f>'[2]Phụ lục số 2'!AK37</f>
        <v>174485.3</v>
      </c>
      <c r="Q41" s="4360">
        <f>'[2]Phụ lục số 2'!AL37</f>
        <v>0</v>
      </c>
      <c r="R41" s="4358">
        <f>SUM(S41:T41)</f>
        <v>523455.6</v>
      </c>
      <c r="S41" s="2275">
        <f t="shared" si="26"/>
        <v>523455.6</v>
      </c>
      <c r="T41" s="2275">
        <f t="shared" si="26"/>
        <v>0</v>
      </c>
      <c r="U41" s="2275"/>
      <c r="V41" s="2275"/>
      <c r="W41" s="2275"/>
      <c r="X41" s="2275"/>
      <c r="Y41" s="2275"/>
      <c r="Z41" s="2275"/>
      <c r="AA41" s="2275"/>
      <c r="AB41" s="2275"/>
      <c r="AC41" s="2275"/>
      <c r="AD41" s="2275"/>
      <c r="AE41" s="2275"/>
      <c r="AF41" s="2275"/>
    </row>
    <row r="42" spans="1:32" s="583" customFormat="1">
      <c r="A42" s="593">
        <v>3</v>
      </c>
      <c r="B42" s="46" t="str">
        <f>[2]CĐNSĐP03namBS!B42</f>
        <v>Chi bổ sung có mục tiêu nhiệm vụ quan trọng khác (nếu có)</v>
      </c>
      <c r="C42" s="2277"/>
      <c r="D42" s="2277"/>
      <c r="E42" s="2277"/>
      <c r="F42" s="2277">
        <f t="shared" si="32"/>
        <v>0</v>
      </c>
      <c r="G42" s="2277"/>
      <c r="H42" s="2277"/>
      <c r="I42" s="2277"/>
      <c r="J42" s="2277"/>
      <c r="K42" s="2277"/>
      <c r="L42" s="2275">
        <f>SUM(M42:N42)</f>
        <v>0</v>
      </c>
      <c r="M42" s="2275"/>
      <c r="N42" s="2275"/>
      <c r="O42" s="2275">
        <f>SUM(P42:Q42)</f>
        <v>0</v>
      </c>
      <c r="P42" s="2275"/>
      <c r="Q42" s="4360"/>
      <c r="R42" s="4358">
        <f t="shared" ref="R42:R43" si="33">SUM(S42:T42)</f>
        <v>0</v>
      </c>
      <c r="S42" s="2275">
        <f t="shared" si="26"/>
        <v>0</v>
      </c>
      <c r="T42" s="2275"/>
      <c r="U42" s="2275"/>
      <c r="V42" s="2275"/>
      <c r="W42" s="2275"/>
      <c r="X42" s="2275"/>
      <c r="Y42" s="2275"/>
      <c r="Z42" s="2275"/>
      <c r="AA42" s="2275"/>
      <c r="AB42" s="2275"/>
      <c r="AC42" s="2275"/>
      <c r="AD42" s="2275"/>
      <c r="AE42" s="2275"/>
      <c r="AF42" s="2275"/>
    </row>
    <row r="43" spans="1:32" s="641" customFormat="1">
      <c r="A43" s="52" t="s">
        <v>182</v>
      </c>
      <c r="B43" s="4148" t="s">
        <v>181</v>
      </c>
      <c r="C43" s="2280">
        <f t="shared" si="21"/>
        <v>31500</v>
      </c>
      <c r="D43" s="2280">
        <f>'[2]Phụ lục số 2'!D39</f>
        <v>31500</v>
      </c>
      <c r="E43" s="2280">
        <f>'[9]Phụ lục số 2'!E35</f>
        <v>0</v>
      </c>
      <c r="F43" s="2280">
        <f t="shared" si="22"/>
        <v>31500</v>
      </c>
      <c r="G43" s="2280">
        <f>'[2]Phụ lục số 2'!S39</f>
        <v>31500</v>
      </c>
      <c r="H43" s="2280">
        <f>'[2]Phụ lục số 2'!T39</f>
        <v>0</v>
      </c>
      <c r="I43" s="2280">
        <f>SUM(J43:K43)</f>
        <v>0</v>
      </c>
      <c r="J43" s="2280">
        <f>'[2]Phụ lục số 2'!AA39</f>
        <v>0</v>
      </c>
      <c r="K43" s="2280">
        <f>'[2]Phụ lục số 2'!AB39</f>
        <v>0</v>
      </c>
      <c r="L43" s="2281">
        <f t="shared" si="30"/>
        <v>0</v>
      </c>
      <c r="M43" s="2281">
        <f>'[2]Phụ lục số 2'!AF39</f>
        <v>0</v>
      </c>
      <c r="N43" s="2281">
        <f>'[2]Phụ lục số 2'!AG39</f>
        <v>0</v>
      </c>
      <c r="O43" s="2281">
        <f t="shared" ref="O43:O44" si="34">SUM(P43:Q43)</f>
        <v>0</v>
      </c>
      <c r="P43" s="2281">
        <f>'[2]Phụ lục số 2'!AK39</f>
        <v>0</v>
      </c>
      <c r="Q43" s="4361">
        <f>'[2]Phụ lục số 2'!AL39</f>
        <v>0</v>
      </c>
      <c r="R43" s="4358">
        <f t="shared" si="33"/>
        <v>0</v>
      </c>
      <c r="S43" s="2275">
        <f t="shared" si="26"/>
        <v>0</v>
      </c>
      <c r="T43" s="2281">
        <f t="shared" si="26"/>
        <v>0</v>
      </c>
      <c r="U43" s="2281"/>
      <c r="V43" s="2281"/>
      <c r="W43" s="2281"/>
      <c r="X43" s="2281"/>
      <c r="Y43" s="2281"/>
      <c r="Z43" s="2281"/>
      <c r="AA43" s="2281"/>
      <c r="AB43" s="2281"/>
      <c r="AC43" s="2281"/>
      <c r="AD43" s="2281"/>
      <c r="AE43" s="2281"/>
      <c r="AF43" s="2281"/>
    </row>
    <row r="44" spans="1:32" s="386" customFormat="1" ht="17.399999999999999">
      <c r="A44" s="52" t="s">
        <v>215</v>
      </c>
      <c r="B44" s="2779" t="s">
        <v>216</v>
      </c>
      <c r="C44" s="2280">
        <f t="shared" si="21"/>
        <v>4748721</v>
      </c>
      <c r="D44" s="2280">
        <f>E13</f>
        <v>4748721</v>
      </c>
      <c r="E44" s="2280"/>
      <c r="F44" s="2280">
        <f t="shared" si="22"/>
        <v>4748721</v>
      </c>
      <c r="G44" s="2280">
        <f>H13</f>
        <v>4748721</v>
      </c>
      <c r="H44" s="2280"/>
      <c r="I44" s="2280">
        <f>SUM(J44:K44)</f>
        <v>5083323.3480000002</v>
      </c>
      <c r="J44" s="2280">
        <f>K13</f>
        <v>5083323.3480000002</v>
      </c>
      <c r="K44" s="2280"/>
      <c r="L44" s="2281">
        <f t="shared" si="30"/>
        <v>5083323.3480000002</v>
      </c>
      <c r="M44" s="2281">
        <f>N13</f>
        <v>5083323.3480000002</v>
      </c>
      <c r="N44" s="2281"/>
      <c r="O44" s="2281">
        <f t="shared" si="34"/>
        <v>5083323.3480000002</v>
      </c>
      <c r="P44" s="2281">
        <f>Q13</f>
        <v>5083323.3480000002</v>
      </c>
      <c r="Q44" s="4361"/>
      <c r="R44" s="4356">
        <f t="shared" si="26"/>
        <v>15249970.044</v>
      </c>
      <c r="S44" s="2281">
        <f t="shared" si="26"/>
        <v>15249970.044</v>
      </c>
      <c r="T44" s="2281">
        <f t="shared" si="26"/>
        <v>0</v>
      </c>
      <c r="U44" s="2281"/>
      <c r="V44" s="2281"/>
      <c r="W44" s="2281"/>
      <c r="X44" s="2281"/>
      <c r="Y44" s="2281"/>
      <c r="Z44" s="2281"/>
      <c r="AA44" s="2281"/>
      <c r="AB44" s="2281"/>
      <c r="AC44" s="2281"/>
      <c r="AD44" s="2281"/>
      <c r="AE44" s="2281"/>
      <c r="AF44" s="2281"/>
    </row>
    <row r="45" spans="1:32" ht="18.600000000000001" thickBot="1">
      <c r="A45" s="2781" t="s">
        <v>44</v>
      </c>
      <c r="B45" s="4372" t="s">
        <v>217</v>
      </c>
      <c r="C45" s="4373">
        <f>C5-C21</f>
        <v>0</v>
      </c>
      <c r="D45" s="4373">
        <f>D5-D21</f>
        <v>0</v>
      </c>
      <c r="E45" s="4373">
        <f>E5-E21</f>
        <v>0</v>
      </c>
      <c r="F45" s="4373">
        <f>G45+H45</f>
        <v>-294299.26666666567</v>
      </c>
      <c r="G45" s="4373">
        <f t="shared" ref="G45:P45" si="35">G5-G21</f>
        <v>-294299.26666666567</v>
      </c>
      <c r="H45" s="4373">
        <f t="shared" si="35"/>
        <v>0</v>
      </c>
      <c r="I45" s="4373">
        <f t="shared" si="35"/>
        <v>8.4000002592802048E-2</v>
      </c>
      <c r="J45" s="4373">
        <f>J5-J21</f>
        <v>8.3999998867511749E-2</v>
      </c>
      <c r="K45" s="4373">
        <f t="shared" si="35"/>
        <v>0</v>
      </c>
      <c r="L45" s="4374">
        <f t="shared" si="35"/>
        <v>1553.0423493273556</v>
      </c>
      <c r="M45" s="4374">
        <f t="shared" si="35"/>
        <v>1552.992607254535</v>
      </c>
      <c r="N45" s="4374">
        <f t="shared" si="35"/>
        <v>4.97420784085989E-2</v>
      </c>
      <c r="O45" s="4374">
        <f t="shared" si="35"/>
        <v>2978.4454035907984</v>
      </c>
      <c r="P45" s="4374">
        <f t="shared" si="35"/>
        <v>2978.3327130973339</v>
      </c>
      <c r="Q45" s="4375">
        <f>Q5-Q21</f>
        <v>0.11269049718976021</v>
      </c>
      <c r="R45" s="4376">
        <f t="shared" si="26"/>
        <v>4531.5717529207468</v>
      </c>
      <c r="S45" s="2844">
        <f t="shared" si="26"/>
        <v>4531.4093203507364</v>
      </c>
      <c r="T45" s="2844">
        <f t="shared" si="26"/>
        <v>0.16243257559835911</v>
      </c>
      <c r="U45" s="2844"/>
      <c r="V45" s="2844"/>
      <c r="W45" s="2844"/>
      <c r="X45" s="2844"/>
      <c r="Y45" s="2844"/>
      <c r="Z45" s="2844"/>
      <c r="AA45" s="2844"/>
      <c r="AB45" s="2844"/>
      <c r="AC45" s="2844"/>
      <c r="AD45" s="2844"/>
      <c r="AE45" s="2844"/>
      <c r="AF45" s="2844"/>
    </row>
    <row r="46" spans="1:32" ht="18.600000000000001" thickTop="1"/>
    <row r="47" spans="1:32">
      <c r="C47" s="3902"/>
      <c r="D47" s="3902"/>
      <c r="E47" s="3902"/>
      <c r="F47" s="3902"/>
      <c r="G47" s="3902"/>
      <c r="H47" s="3902"/>
      <c r="I47" s="3902"/>
      <c r="J47" s="3902"/>
      <c r="K47" s="3902"/>
      <c r="L47" s="3902"/>
      <c r="M47" s="3902"/>
      <c r="N47" s="3902"/>
      <c r="O47" s="3902"/>
      <c r="P47" s="3902"/>
      <c r="Q47" s="3902"/>
      <c r="R47" s="3902"/>
      <c r="S47" s="3902"/>
      <c r="T47" s="3902"/>
    </row>
    <row r="48" spans="1:32">
      <c r="G48" s="2805"/>
      <c r="I48" s="2307"/>
    </row>
    <row r="49" spans="1:20">
      <c r="C49" s="692"/>
      <c r="D49" s="692"/>
      <c r="E49" s="692"/>
      <c r="F49" s="692"/>
      <c r="G49" s="692">
        <f>G48-G47</f>
        <v>0</v>
      </c>
      <c r="H49" s="692"/>
      <c r="I49" s="692"/>
      <c r="J49" s="692"/>
      <c r="K49" s="692"/>
      <c r="L49" s="692"/>
      <c r="M49" s="692"/>
      <c r="N49" s="692"/>
      <c r="O49" s="692"/>
      <c r="P49" s="692"/>
      <c r="Q49" s="692"/>
      <c r="R49" s="692"/>
      <c r="S49" s="692"/>
      <c r="T49" s="692"/>
    </row>
    <row r="50" spans="1:20">
      <c r="A50" s="641" t="s">
        <v>46</v>
      </c>
      <c r="B50" s="381" t="s">
        <v>2459</v>
      </c>
      <c r="I50" s="4377">
        <f>I51+C5</f>
        <v>22349646</v>
      </c>
      <c r="J50" s="2307">
        <f>J12-D12</f>
        <v>-137800</v>
      </c>
      <c r="K50" s="2307">
        <f>K12-E12</f>
        <v>698730</v>
      </c>
      <c r="L50" s="2307">
        <f>M50+N50</f>
        <v>830575.08469866496</v>
      </c>
      <c r="M50" s="2307">
        <f>M12-J12</f>
        <v>905455.08121450804</v>
      </c>
      <c r="N50" s="2307">
        <f>N12-K12</f>
        <v>-74879.996515843086</v>
      </c>
      <c r="R50" s="716"/>
    </row>
    <row r="51" spans="1:20">
      <c r="A51" s="583">
        <v>1</v>
      </c>
      <c r="B51" s="381" t="s">
        <v>2460</v>
      </c>
      <c r="F51" s="2307">
        <f>SUM(G51:H51)</f>
        <v>746399.79999999981</v>
      </c>
      <c r="G51" s="2307">
        <f>G8-D8</f>
        <v>55700.733333333395</v>
      </c>
      <c r="H51" s="2307">
        <f>H8-E8</f>
        <v>690699.06666666642</v>
      </c>
      <c r="I51" s="2307">
        <f>SUM(J51:K51)</f>
        <v>1780930</v>
      </c>
      <c r="J51" s="2307">
        <f>J8-D8</f>
        <v>739200</v>
      </c>
      <c r="K51" s="2307">
        <f>K8-E8</f>
        <v>1041730</v>
      </c>
      <c r="L51" s="4378">
        <f>SUM(M51:N51)</f>
        <v>632575.08469866449</v>
      </c>
      <c r="M51" s="4378">
        <f>M8-J8</f>
        <v>1075554.8269772194</v>
      </c>
      <c r="N51" s="4378">
        <f>N8-K8</f>
        <v>-442979.74227855494</v>
      </c>
      <c r="O51" s="4378">
        <f>SUM(P51:Q51)</f>
        <v>796346.32140986063</v>
      </c>
      <c r="P51" s="4378">
        <f>P8-M8</f>
        <v>553546.18628531694</v>
      </c>
      <c r="Q51" s="4378">
        <f>Q8-N8</f>
        <v>242800.13512454368</v>
      </c>
      <c r="R51" s="716"/>
    </row>
    <row r="52" spans="1:20">
      <c r="A52" s="583">
        <v>2</v>
      </c>
      <c r="B52" s="381" t="s">
        <v>2461</v>
      </c>
      <c r="F52" s="2307">
        <f>SUM(G52:H52)</f>
        <v>530000</v>
      </c>
      <c r="G52" s="2307">
        <f>SUM(G9:G11)-SUM(D9:D11)</f>
        <v>350000</v>
      </c>
      <c r="H52" s="2307">
        <f>SUM(H9:H11)-SUM(E9:E11)</f>
        <v>180000</v>
      </c>
      <c r="I52" s="2307">
        <f t="shared" ref="I52" si="36">SUM(J52:K52)</f>
        <v>1220000</v>
      </c>
      <c r="J52" s="4379">
        <f>SUM(J9:J11)-SUM(D9:D11)</f>
        <v>877000</v>
      </c>
      <c r="K52" s="4379">
        <f>SUM(K9:K11)-SUM(E9:E11)</f>
        <v>343000</v>
      </c>
      <c r="L52" s="4378">
        <f t="shared" ref="L52" si="37">SUM(M52:N52)</f>
        <v>-198000</v>
      </c>
      <c r="M52" s="4378">
        <f>SUM(M9:M11)-SUM(J9:J11)</f>
        <v>170099.74576271186</v>
      </c>
      <c r="N52" s="4378">
        <f>SUM(N9:N11)-SUM(K9:K11)</f>
        <v>-368099.74576271186</v>
      </c>
      <c r="O52" s="4378">
        <f>SUM(P52:Q52)</f>
        <v>237999.99999999988</v>
      </c>
      <c r="P52" s="4378">
        <f>SUM(P9:P11)-SUM(M9:M11)</f>
        <v>199299.98728813557</v>
      </c>
      <c r="Q52" s="4378">
        <f>SUM(Q9:Q11)-SUM(N9:N11)</f>
        <v>38700.012711864314</v>
      </c>
    </row>
    <row r="53" spans="1:20">
      <c r="A53" s="583">
        <v>3</v>
      </c>
      <c r="B53" s="381" t="s">
        <v>2462</v>
      </c>
      <c r="F53" s="2307">
        <f>SUM(G53:H53)</f>
        <v>216399.79999999981</v>
      </c>
      <c r="G53" s="2307">
        <f>G51-G52</f>
        <v>-294299.2666666666</v>
      </c>
      <c r="H53" s="2307">
        <f>H51-H52</f>
        <v>510699.06666666642</v>
      </c>
      <c r="I53" s="2307">
        <f>SUM(J53:K53)</f>
        <v>560930</v>
      </c>
      <c r="J53" s="2307">
        <f>J51-J52</f>
        <v>-137800</v>
      </c>
      <c r="K53" s="2307">
        <f>K51-K52</f>
        <v>698730</v>
      </c>
      <c r="L53" s="4378">
        <f>L51-L52</f>
        <v>830575.08469866449</v>
      </c>
      <c r="M53" s="4378">
        <f>M51-M52</f>
        <v>905455.08121450758</v>
      </c>
      <c r="N53" s="4378">
        <f>N51-N52</f>
        <v>-74879.996515843086</v>
      </c>
      <c r="O53" s="4378">
        <f t="shared" ref="O53:O55" si="38">SUM(P53:Q53)</f>
        <v>558346.32140986074</v>
      </c>
      <c r="P53" s="4378">
        <f>P51-P52</f>
        <v>354246.19899718137</v>
      </c>
      <c r="Q53" s="4378">
        <f>Q51-Q52</f>
        <v>204100.12241267937</v>
      </c>
    </row>
    <row r="54" spans="1:20" s="4381" customFormat="1" ht="36">
      <c r="A54" s="4380">
        <v>4</v>
      </c>
      <c r="B54" s="4381" t="s">
        <v>2463</v>
      </c>
      <c r="F54" s="4382">
        <f>SUM(G54:H54)</f>
        <v>210339.71333333314</v>
      </c>
      <c r="G54" s="4382">
        <f>G53*50%</f>
        <v>-147149.6333333333</v>
      </c>
      <c r="H54" s="4382">
        <f>H53*70%</f>
        <v>357489.34666666645</v>
      </c>
      <c r="I54" s="4382">
        <f>SUM(J54:K54)</f>
        <v>280465</v>
      </c>
      <c r="J54" s="4382">
        <f>J53*50%</f>
        <v>-68900</v>
      </c>
      <c r="K54" s="4382">
        <f>K53*50%</f>
        <v>349365</v>
      </c>
      <c r="L54" s="4383">
        <f>SUM(M54:N54)</f>
        <v>415287.54234933225</v>
      </c>
      <c r="M54" s="4383">
        <f>M53*50%</f>
        <v>452727.54060725379</v>
      </c>
      <c r="N54" s="4383">
        <f>N53*50%</f>
        <v>-37439.998257921543</v>
      </c>
      <c r="O54" s="4383">
        <f t="shared" si="38"/>
        <v>279173.16070493037</v>
      </c>
      <c r="P54" s="4383">
        <f>P53*50%</f>
        <v>177123.09949859069</v>
      </c>
      <c r="Q54" s="4383">
        <f>Q53*50%</f>
        <v>102050.06120633968</v>
      </c>
    </row>
    <row r="55" spans="1:20" s="596" customFormat="1">
      <c r="A55" s="2510">
        <v>5</v>
      </c>
      <c r="B55" s="4384" t="s">
        <v>2464</v>
      </c>
      <c r="F55" s="602">
        <f>SUM(G55:H55)</f>
        <v>6060.0866666666698</v>
      </c>
      <c r="G55" s="602">
        <f>G53-G54</f>
        <v>-147149.6333333333</v>
      </c>
      <c r="H55" s="602">
        <f>H53-H54</f>
        <v>153209.71999999997</v>
      </c>
      <c r="I55" s="4385">
        <f>I53-I54</f>
        <v>280465</v>
      </c>
      <c r="J55" s="4385">
        <f t="shared" ref="J55:K55" si="39">J53-J54</f>
        <v>-68900</v>
      </c>
      <c r="K55" s="4385">
        <f t="shared" si="39"/>
        <v>349365</v>
      </c>
      <c r="L55" s="4383">
        <f>SUM(M55:N55)</f>
        <v>415287.54234933225</v>
      </c>
      <c r="M55" s="4386">
        <f>M53-M54</f>
        <v>452727.54060725379</v>
      </c>
      <c r="N55" s="4386">
        <f>N53-N54</f>
        <v>-37439.998257921543</v>
      </c>
      <c r="O55" s="4383">
        <f t="shared" si="38"/>
        <v>279173.16070493037</v>
      </c>
      <c r="P55" s="4383">
        <f>P53-P54</f>
        <v>177123.09949859069</v>
      </c>
      <c r="Q55" s="4383">
        <f t="shared" ref="Q55" si="40">Q53-Q54</f>
        <v>102050.06120633968</v>
      </c>
    </row>
    <row r="56" spans="1:20">
      <c r="A56" s="641" t="s">
        <v>725</v>
      </c>
      <c r="B56" s="381" t="s">
        <v>2465</v>
      </c>
      <c r="F56" s="2307"/>
      <c r="H56" s="2307"/>
    </row>
    <row r="57" spans="1:20">
      <c r="A57" s="583">
        <v>1</v>
      </c>
      <c r="B57" s="381" t="s">
        <v>2466</v>
      </c>
      <c r="F57" s="2307"/>
      <c r="I57" s="729">
        <f>I7/C7</f>
        <v>1.182417505439241</v>
      </c>
      <c r="J57" s="729">
        <f>J7/D7</f>
        <v>1.0799946148883202</v>
      </c>
      <c r="K57" s="729">
        <f>K7/E7</f>
        <v>1.2427487330876021</v>
      </c>
      <c r="L57" s="729">
        <f>L7/I7</f>
        <v>1.0009505342949467</v>
      </c>
      <c r="M57" s="729">
        <f>M7/J7</f>
        <v>1.0804904634026693</v>
      </c>
      <c r="N57" s="729">
        <f>N7/K7</f>
        <v>0.96023420717139585</v>
      </c>
      <c r="O57" s="729">
        <f>O7/L7</f>
        <v>1.0589525594461053</v>
      </c>
      <c r="P57" s="729">
        <f t="shared" ref="P57:Q57" si="41">P7/M7</f>
        <v>1.1876799552111821</v>
      </c>
      <c r="Q57" s="729">
        <f t="shared" si="41"/>
        <v>0.98480478099827706</v>
      </c>
    </row>
    <row r="58" spans="1:20">
      <c r="I58" s="729">
        <f t="shared" ref="I58:Q58" si="42">I57-1</f>
        <v>0.18241750543924096</v>
      </c>
      <c r="J58" s="729">
        <f>J57-1</f>
        <v>7.9994614888320159E-2</v>
      </c>
      <c r="K58" s="729">
        <f>K57-1</f>
        <v>0.24274873308760214</v>
      </c>
      <c r="L58" s="729">
        <f>L57-1</f>
        <v>9.5053429494673658E-4</v>
      </c>
      <c r="M58" s="729">
        <f>M57-1</f>
        <v>8.0490463402669299E-2</v>
      </c>
      <c r="N58" s="729">
        <f>N57-1</f>
        <v>-3.9765792828604152E-2</v>
      </c>
      <c r="O58" s="729">
        <f t="shared" si="42"/>
        <v>5.8952559446105335E-2</v>
      </c>
      <c r="P58" s="729">
        <f t="shared" si="42"/>
        <v>0.18767995521118208</v>
      </c>
      <c r="Q58" s="729">
        <f t="shared" si="42"/>
        <v>-1.5195219001722937E-2</v>
      </c>
    </row>
    <row r="59" spans="1:20">
      <c r="A59" s="583">
        <v>2</v>
      </c>
      <c r="B59" s="381" t="s">
        <v>2467</v>
      </c>
      <c r="I59" s="729">
        <f t="shared" ref="I59:Q59" si="43">I58/2</f>
        <v>9.1208752719620478E-2</v>
      </c>
      <c r="J59" s="729">
        <f t="shared" si="43"/>
        <v>3.999730744416008E-2</v>
      </c>
      <c r="K59" s="729">
        <f t="shared" si="43"/>
        <v>0.12137436654380107</v>
      </c>
      <c r="L59" s="729">
        <f t="shared" si="43"/>
        <v>4.7526714747336829E-4</v>
      </c>
      <c r="M59" s="729">
        <f>M58/2</f>
        <v>4.0245231701334649E-2</v>
      </c>
      <c r="N59" s="729">
        <f t="shared" si="43"/>
        <v>-1.9882896414302076E-2</v>
      </c>
      <c r="O59" s="729">
        <f t="shared" si="43"/>
        <v>2.9476279723052667E-2</v>
      </c>
      <c r="P59" s="729">
        <f t="shared" si="43"/>
        <v>9.3839977605591041E-2</v>
      </c>
      <c r="Q59" s="729">
        <f t="shared" si="43"/>
        <v>-7.5976095008614686E-3</v>
      </c>
    </row>
    <row r="60" spans="1:20">
      <c r="A60" s="583">
        <v>3</v>
      </c>
      <c r="B60" s="381" t="s">
        <v>2468</v>
      </c>
      <c r="I60" s="4387">
        <f>1+I59</f>
        <v>1.0912087527196204</v>
      </c>
      <c r="J60" s="4388">
        <f>1+J59</f>
        <v>1.03999730744416</v>
      </c>
      <c r="K60" s="4388">
        <f>1+K59</f>
        <v>1.121374366543801</v>
      </c>
      <c r="L60" s="729">
        <f t="shared" ref="L60:Q60" si="44">1+L59</f>
        <v>1.0004752671474733</v>
      </c>
      <c r="M60" s="729">
        <f>1+M59</f>
        <v>1.0402452317013346</v>
      </c>
      <c r="N60" s="729">
        <f t="shared" si="44"/>
        <v>0.98011710358569792</v>
      </c>
      <c r="O60" s="729">
        <f t="shared" si="44"/>
        <v>1.0294762797230526</v>
      </c>
      <c r="P60" s="729">
        <f t="shared" si="44"/>
        <v>1.0938399776055912</v>
      </c>
      <c r="Q60" s="729">
        <f t="shared" si="44"/>
        <v>0.99240239049913859</v>
      </c>
    </row>
    <row r="61" spans="1:20">
      <c r="I61" s="716"/>
    </row>
    <row r="62" spans="1:20">
      <c r="I62" s="2316">
        <f>SUM(J62:K62)</f>
        <v>16699041</v>
      </c>
      <c r="J62" s="2307">
        <f>J12+J14+J19</f>
        <v>8586038</v>
      </c>
      <c r="K62" s="2307">
        <f>K12+K14+K19</f>
        <v>8113003</v>
      </c>
      <c r="L62" s="2316">
        <f>SUM(M62:N62)</f>
        <v>17361015.284698665</v>
      </c>
      <c r="M62" s="2307">
        <f>M12+M14+M19</f>
        <v>9570632.2812145073</v>
      </c>
      <c r="N62" s="2307">
        <f>N12+N14+N19</f>
        <v>7790383.0034841569</v>
      </c>
      <c r="O62" s="2316">
        <f>SUM(P62:Q62)</f>
        <v>18084816.648457855</v>
      </c>
      <c r="P62" s="2307">
        <f>P12+P14+P19</f>
        <v>10412810.220818942</v>
      </c>
      <c r="Q62" s="2307">
        <f>Q12+Q14+Q19</f>
        <v>7672006.4276389144</v>
      </c>
    </row>
    <row r="63" spans="1:20">
      <c r="M63" s="381">
        <f>M62/J62</f>
        <v>1.1146738788268242</v>
      </c>
      <c r="N63" s="381">
        <f>N62/K62</f>
        <v>0.96023420717139596</v>
      </c>
      <c r="P63" s="381">
        <f>P62/M62</f>
        <v>1.0879960607469461</v>
      </c>
      <c r="Q63" s="381">
        <f>Q62/N62</f>
        <v>0.98480478099827695</v>
      </c>
    </row>
    <row r="64" spans="1:20">
      <c r="M64" s="381">
        <f>M63-1</f>
        <v>0.11467387882682423</v>
      </c>
      <c r="N64" s="381">
        <f>N63-1</f>
        <v>-3.9765792828604041E-2</v>
      </c>
      <c r="P64" s="381">
        <f>P63-1</f>
        <v>8.7996060746946103E-2</v>
      </c>
      <c r="Q64" s="381">
        <f>Q63-1</f>
        <v>-1.5195219001723048E-2</v>
      </c>
    </row>
    <row r="65" spans="2:17">
      <c r="I65" s="2307"/>
      <c r="M65" s="381">
        <f>M64/2</f>
        <v>5.7336939413412114E-2</v>
      </c>
      <c r="N65" s="381">
        <f>N64/2</f>
        <v>-1.988289641430202E-2</v>
      </c>
      <c r="P65" s="381">
        <f>P64/2</f>
        <v>4.3998030373473052E-2</v>
      </c>
      <c r="Q65" s="381">
        <f>Q64/2</f>
        <v>-7.5976095008615241E-3</v>
      </c>
    </row>
    <row r="66" spans="2:17">
      <c r="I66" s="2307"/>
      <c r="L66" s="2307"/>
      <c r="M66" s="381">
        <f>1+M65</f>
        <v>1.0573369394134122</v>
      </c>
      <c r="N66" s="381">
        <f>1+N65</f>
        <v>0.98011710358569792</v>
      </c>
      <c r="O66" s="2307"/>
      <c r="P66" s="381">
        <f>1+P65</f>
        <v>1.0439980303734731</v>
      </c>
      <c r="Q66" s="381">
        <f>1+Q65</f>
        <v>0.99240239049913848</v>
      </c>
    </row>
    <row r="68" spans="2:17">
      <c r="B68" s="381" t="s">
        <v>117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Danh mục file'!A1" display="TT"/>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CU22"/>
  <sheetViews>
    <sheetView workbookViewId="0">
      <selection activeCell="A5" sqref="A5:A6"/>
    </sheetView>
  </sheetViews>
  <sheetFormatPr defaultColWidth="10.33203125" defaultRowHeight="15.6"/>
  <cols>
    <col min="1" max="1" width="4.44140625" style="3265" customWidth="1"/>
    <col min="2" max="2" width="38.88671875" style="2428" customWidth="1"/>
    <col min="3" max="28" width="9.6640625" style="2428" customWidth="1"/>
    <col min="29" max="29" width="10.88671875" style="2428" customWidth="1"/>
    <col min="30" max="16384" width="10.33203125" style="2428"/>
  </cols>
  <sheetData>
    <row r="1" spans="1:99">
      <c r="A1" s="1192"/>
      <c r="B1" s="1193"/>
      <c r="C1" s="1193" t="s">
        <v>2155</v>
      </c>
      <c r="D1" s="1193"/>
      <c r="E1" s="1193" t="s">
        <v>2130</v>
      </c>
      <c r="F1" s="1193"/>
      <c r="G1" s="1193"/>
      <c r="H1" s="1193"/>
      <c r="I1" s="1193"/>
      <c r="J1" s="1193"/>
      <c r="K1" s="1193"/>
      <c r="L1" s="1193"/>
      <c r="M1" s="1193"/>
      <c r="N1" s="1193"/>
      <c r="AD1" s="2428" t="s">
        <v>2130</v>
      </c>
      <c r="AI1" s="1193" t="s">
        <v>2155</v>
      </c>
      <c r="AQ1" s="1193" t="s">
        <v>2155</v>
      </c>
      <c r="AY1" s="1193" t="s">
        <v>2155</v>
      </c>
      <c r="BG1" s="1193" t="s">
        <v>2155</v>
      </c>
      <c r="BO1" s="1193" t="s">
        <v>2155</v>
      </c>
      <c r="BW1" s="1193" t="s">
        <v>2155</v>
      </c>
      <c r="CE1" s="1193" t="s">
        <v>2155</v>
      </c>
      <c r="CM1" s="1193" t="s">
        <v>2155</v>
      </c>
      <c r="CU1" s="1193" t="s">
        <v>2155</v>
      </c>
    </row>
    <row r="2" spans="1:99">
      <c r="A2" s="6371" t="s">
        <v>2156</v>
      </c>
      <c r="B2" s="6371"/>
      <c r="C2" s="6371"/>
      <c r="D2" s="6371"/>
      <c r="E2" s="6371"/>
      <c r="F2" s="6371"/>
      <c r="G2" s="6371"/>
      <c r="H2" s="6371"/>
      <c r="I2" s="6371"/>
      <c r="J2" s="6371"/>
      <c r="K2" s="6371"/>
      <c r="L2" s="6371"/>
      <c r="M2" s="6371"/>
      <c r="N2" s="6371"/>
      <c r="O2" s="6371"/>
      <c r="P2" s="6371"/>
      <c r="Q2" s="6371"/>
      <c r="R2" s="6371"/>
      <c r="S2" s="6371"/>
      <c r="T2" s="6371"/>
      <c r="U2" s="6371"/>
      <c r="V2" s="6371"/>
      <c r="W2" s="6371"/>
      <c r="X2" s="6371"/>
      <c r="Y2" s="6371"/>
      <c r="Z2" s="6371"/>
      <c r="AA2" s="6371"/>
      <c r="AB2" s="6371"/>
      <c r="AC2" s="6371"/>
    </row>
    <row r="3" spans="1:99">
      <c r="A3" s="3071"/>
      <c r="B3" s="3071"/>
      <c r="C3" s="3071"/>
      <c r="D3" s="3071"/>
      <c r="E3" s="3071"/>
      <c r="F3" s="3071"/>
      <c r="G3" s="3071"/>
      <c r="H3" s="3071"/>
      <c r="I3" s="3071"/>
      <c r="J3" s="3071"/>
      <c r="K3" s="3071"/>
      <c r="L3" s="3071"/>
      <c r="M3" s="3071"/>
      <c r="N3" s="3071"/>
    </row>
    <row r="4" spans="1:99">
      <c r="A4" s="1192"/>
      <c r="Q4" s="3063"/>
      <c r="R4" s="3063"/>
      <c r="S4" s="3063"/>
      <c r="T4" s="3063"/>
      <c r="AC4" s="3290" t="s">
        <v>638</v>
      </c>
    </row>
    <row r="5" spans="1:99" s="3586" customFormat="1">
      <c r="A5" s="6318" t="s">
        <v>0</v>
      </c>
      <c r="B5" s="6370" t="s">
        <v>1893</v>
      </c>
      <c r="C5" s="6370" t="s">
        <v>1934</v>
      </c>
      <c r="D5" s="6370" t="s">
        <v>1937</v>
      </c>
      <c r="E5" s="6370" t="s">
        <v>1938</v>
      </c>
      <c r="F5" s="6370" t="s">
        <v>1939</v>
      </c>
      <c r="G5" s="6370" t="s">
        <v>1940</v>
      </c>
      <c r="H5" s="6370" t="s">
        <v>1941</v>
      </c>
      <c r="I5" s="6370" t="s">
        <v>2038</v>
      </c>
      <c r="J5" s="6370" t="s">
        <v>2039</v>
      </c>
      <c r="K5" s="6370" t="s">
        <v>2040</v>
      </c>
      <c r="L5" s="6372" t="s">
        <v>1944</v>
      </c>
      <c r="M5" s="6372" t="s">
        <v>1945</v>
      </c>
      <c r="N5" s="6370" t="s">
        <v>2041</v>
      </c>
      <c r="O5" s="6370" t="s">
        <v>2042</v>
      </c>
      <c r="P5" s="6370" t="s">
        <v>2043</v>
      </c>
      <c r="Q5" s="6370" t="s">
        <v>2044</v>
      </c>
      <c r="R5" s="6370" t="s">
        <v>2045</v>
      </c>
      <c r="S5" s="6370" t="s">
        <v>2040</v>
      </c>
      <c r="T5" s="6370" t="s">
        <v>2046</v>
      </c>
      <c r="U5" s="6370" t="s">
        <v>2047</v>
      </c>
      <c r="V5" s="6370" t="s">
        <v>2048</v>
      </c>
      <c r="W5" s="6370" t="s">
        <v>2157</v>
      </c>
      <c r="X5" s="6370" t="s">
        <v>50</v>
      </c>
      <c r="Y5" s="6370" t="s">
        <v>121</v>
      </c>
      <c r="Z5" s="6370" t="s">
        <v>2158</v>
      </c>
      <c r="AA5" s="6370" t="s">
        <v>2045</v>
      </c>
      <c r="AB5" s="6370" t="s">
        <v>2040</v>
      </c>
      <c r="AC5" s="6370" t="s">
        <v>2159</v>
      </c>
      <c r="AD5" s="6370" t="s">
        <v>2160</v>
      </c>
    </row>
    <row r="6" spans="1:99" s="3586" customFormat="1">
      <c r="A6" s="6318"/>
      <c r="B6" s="6370"/>
      <c r="C6" s="6370"/>
      <c r="D6" s="6370"/>
      <c r="E6" s="6370"/>
      <c r="F6" s="6370"/>
      <c r="G6" s="6370"/>
      <c r="H6" s="6370"/>
      <c r="I6" s="6370"/>
      <c r="J6" s="6370"/>
      <c r="K6" s="6370"/>
      <c r="L6" s="6372"/>
      <c r="M6" s="6372"/>
      <c r="N6" s="6370"/>
      <c r="O6" s="6370"/>
      <c r="P6" s="6370"/>
      <c r="Q6" s="6370"/>
      <c r="R6" s="6370"/>
      <c r="S6" s="6370"/>
      <c r="T6" s="6370"/>
      <c r="U6" s="6370"/>
      <c r="V6" s="6370"/>
      <c r="W6" s="6370"/>
      <c r="X6" s="6370"/>
      <c r="Y6" s="6370"/>
      <c r="Z6" s="6370"/>
      <c r="AA6" s="6370"/>
      <c r="AB6" s="6370"/>
      <c r="AC6" s="6370"/>
      <c r="AD6" s="6370"/>
    </row>
    <row r="7" spans="1:99">
      <c r="A7" s="3202">
        <v>1</v>
      </c>
      <c r="B7" s="3202">
        <v>2</v>
      </c>
      <c r="C7" s="3202"/>
      <c r="D7" s="3202"/>
      <c r="E7" s="3202"/>
      <c r="F7" s="3202"/>
      <c r="G7" s="3202"/>
      <c r="H7" s="3202"/>
      <c r="I7" s="3841"/>
      <c r="J7" s="3841"/>
      <c r="K7" s="3841"/>
      <c r="L7" s="3203"/>
      <c r="M7" s="3203"/>
      <c r="N7" s="3202"/>
      <c r="O7" s="3841"/>
      <c r="P7" s="3841"/>
      <c r="Q7" s="3841"/>
      <c r="R7" s="3841"/>
      <c r="S7" s="3841"/>
      <c r="T7" s="3841"/>
      <c r="U7" s="3841"/>
      <c r="V7" s="3841"/>
      <c r="W7" s="3841"/>
      <c r="X7" s="3841"/>
      <c r="Y7" s="3841"/>
      <c r="Z7" s="3841"/>
      <c r="AA7" s="3841"/>
      <c r="AB7" s="3841"/>
      <c r="AC7" s="3841"/>
      <c r="AD7" s="3842"/>
    </row>
    <row r="8" spans="1:99" s="3847" customFormat="1">
      <c r="A8" s="3843" t="s">
        <v>1</v>
      </c>
      <c r="B8" s="3844" t="s">
        <v>1921</v>
      </c>
      <c r="C8" s="3844">
        <f t="shared" ref="C8:H8" si="0">SUM(C9:C10)</f>
        <v>379873</v>
      </c>
      <c r="D8" s="3844">
        <f t="shared" si="0"/>
        <v>517484</v>
      </c>
      <c r="E8" s="3844">
        <f t="shared" si="0"/>
        <v>686112</v>
      </c>
      <c r="F8" s="3844">
        <f t="shared" si="0"/>
        <v>774055</v>
      </c>
      <c r="G8" s="3844">
        <f t="shared" si="0"/>
        <v>531512</v>
      </c>
      <c r="H8" s="3844">
        <f t="shared" si="0"/>
        <v>533832</v>
      </c>
      <c r="I8" s="3844">
        <f>SUM(D8:H8)</f>
        <v>3042995</v>
      </c>
      <c r="J8" s="3845"/>
      <c r="K8" s="3845">
        <f>I8/$I$8</f>
        <v>1</v>
      </c>
      <c r="L8" s="3846">
        <f t="shared" ref="L8:O8" si="1">SUM(L9:L12)</f>
        <v>760850</v>
      </c>
      <c r="M8" s="3846">
        <f t="shared" si="1"/>
        <v>741859</v>
      </c>
      <c r="N8" s="3844">
        <f t="shared" si="1"/>
        <v>1818286</v>
      </c>
      <c r="O8" s="3844">
        <f t="shared" si="1"/>
        <v>1511244</v>
      </c>
      <c r="P8" s="3844">
        <f>SUM(P9:P12)</f>
        <v>1600563</v>
      </c>
      <c r="Q8" s="3844">
        <f>SUM(L8:P8)</f>
        <v>6432802</v>
      </c>
      <c r="R8" s="3845"/>
      <c r="S8" s="3845">
        <f>Q8/$Q$8</f>
        <v>1</v>
      </c>
      <c r="T8" s="3845">
        <f>Q8/I8-1</f>
        <v>1.1139706111906196</v>
      </c>
      <c r="U8" s="3844">
        <f>SUM(U9:U12)</f>
        <v>1370794</v>
      </c>
      <c r="V8" s="3844">
        <f>SUM(V9:V12)</f>
        <v>1213473</v>
      </c>
      <c r="W8" s="3844">
        <f>SUM(W9:W12)</f>
        <v>2597007</v>
      </c>
      <c r="X8" s="3844">
        <f>SUM(X9:X12)</f>
        <v>1988976</v>
      </c>
      <c r="Y8" s="3844">
        <f>SUM(Y9:Y12)</f>
        <v>2379485.2999999998</v>
      </c>
      <c r="Z8" s="3844">
        <f>SUM(U8:Y8)</f>
        <v>9549735.3000000007</v>
      </c>
      <c r="AA8" s="3845"/>
      <c r="AB8" s="3845">
        <f>Z8/$Z$8</f>
        <v>1</v>
      </c>
      <c r="AC8" s="3845">
        <f>+Z8/Q8-1</f>
        <v>0.48453742241716768</v>
      </c>
      <c r="AD8" s="3844">
        <f>SUM(AD9:AD12)</f>
        <v>2379485.2999999998</v>
      </c>
    </row>
    <row r="9" spans="1:99" s="3607" customFormat="1">
      <c r="A9" s="3223">
        <v>1</v>
      </c>
      <c r="B9" s="3150" t="s">
        <v>2076</v>
      </c>
      <c r="C9" s="37">
        <v>88679</v>
      </c>
      <c r="D9" s="37">
        <v>148144</v>
      </c>
      <c r="E9" s="37">
        <v>167267</v>
      </c>
      <c r="F9" s="37">
        <v>155140</v>
      </c>
      <c r="G9" s="37">
        <f>65206+17050</f>
        <v>82256</v>
      </c>
      <c r="H9" s="37">
        <v>76245</v>
      </c>
      <c r="I9" s="37">
        <f>SUM(D9:H9)</f>
        <v>629052</v>
      </c>
      <c r="J9" s="3538"/>
      <c r="K9" s="3538">
        <f>I9/$I$8</f>
        <v>0.20672133868113488</v>
      </c>
      <c r="L9" s="779">
        <v>53674</v>
      </c>
      <c r="M9" s="779">
        <v>158319</v>
      </c>
      <c r="N9" s="37">
        <f>'[2]PL-TổngChi21-25'!N37</f>
        <v>158489</v>
      </c>
      <c r="O9" s="37">
        <f>'[2]PL-TổngChi21-25'!P37</f>
        <v>237567</v>
      </c>
      <c r="P9" s="37">
        <f>'[2]PL-TổngChi21-25'!R37</f>
        <v>426575</v>
      </c>
      <c r="Q9" s="37">
        <f>SUM(L9:P9)</f>
        <v>1034624</v>
      </c>
      <c r="R9" s="3538"/>
      <c r="S9" s="3538">
        <f>Q9/$Q$8</f>
        <v>0.16083566694575707</v>
      </c>
      <c r="T9" s="3538">
        <f>Q9/I9-1</f>
        <v>0.64473525241156526</v>
      </c>
      <c r="U9" s="37"/>
      <c r="V9" s="37"/>
      <c r="W9" s="37">
        <v>132171</v>
      </c>
      <c r="X9" s="37"/>
      <c r="Y9" s="37"/>
      <c r="Z9" s="37">
        <f>SUM(U9:Y9)</f>
        <v>132171</v>
      </c>
      <c r="AA9" s="3538"/>
      <c r="AB9" s="3538">
        <f>Z9/$Z$8</f>
        <v>1.3840278902808959E-2</v>
      </c>
      <c r="AC9" s="3538">
        <f>+Z9/Q9-1</f>
        <v>-0.87225214184090061</v>
      </c>
      <c r="AD9" s="1329"/>
    </row>
    <row r="10" spans="1:99" s="3607" customFormat="1" ht="31.2">
      <c r="A10" s="3223">
        <v>2</v>
      </c>
      <c r="B10" s="3150" t="s">
        <v>2161</v>
      </c>
      <c r="C10" s="37">
        <v>291194</v>
      </c>
      <c r="D10" s="37">
        <v>369340</v>
      </c>
      <c r="E10" s="37">
        <v>518845</v>
      </c>
      <c r="F10" s="37">
        <v>618915</v>
      </c>
      <c r="G10" s="37">
        <f>336800+112456</f>
        <v>449256</v>
      </c>
      <c r="H10" s="37">
        <f>372200+85387</f>
        <v>457587</v>
      </c>
      <c r="I10" s="37">
        <f>SUM(D10:H10)</f>
        <v>2413943</v>
      </c>
      <c r="J10" s="3538"/>
      <c r="K10" s="3538">
        <f>I10/$I$8</f>
        <v>0.79327866131886515</v>
      </c>
      <c r="L10" s="779">
        <f>585920+121256</f>
        <v>707176</v>
      </c>
      <c r="M10" s="779">
        <f>579113+4427</f>
        <v>583540</v>
      </c>
      <c r="N10" s="37">
        <f>'[2]PL-TổngChi21-25'!N38</f>
        <v>1503647</v>
      </c>
      <c r="O10" s="37">
        <f>'[2]PL-TổngChi21-25'!P38</f>
        <v>849684</v>
      </c>
      <c r="P10" s="37">
        <f>'[2]PL-TổngChi21-25'!R38</f>
        <v>906600</v>
      </c>
      <c r="Q10" s="37">
        <f t="shared" ref="Q10:Q12" si="2">SUM(L10:P10)</f>
        <v>4550647</v>
      </c>
      <c r="R10" s="3538"/>
      <c r="S10" s="3538">
        <f>Q10/$Q$8</f>
        <v>0.70741288166494165</v>
      </c>
      <c r="T10" s="3538">
        <f>Q10/I10-1</f>
        <v>0.88515097498159645</v>
      </c>
      <c r="U10" s="37">
        <f>'[2]PL-TổngChi21-25'!X38-U9</f>
        <v>1263824</v>
      </c>
      <c r="V10" s="37">
        <f>'[2]PL-TổngChi21-25'!Z38-V9</f>
        <v>1127000</v>
      </c>
      <c r="W10" s="37">
        <f>'[2]PL-TổngChi21-25'!AF38-W9</f>
        <v>2285800</v>
      </c>
      <c r="X10" s="37">
        <f>'[2]PL-TổngChi21-25'!AH38-X9</f>
        <v>1814491</v>
      </c>
      <c r="Y10" s="37">
        <f>'[2]PL-TổngChi21-25'!AI38-Y9</f>
        <v>2205000</v>
      </c>
      <c r="Z10" s="37">
        <f>SUM(U10:Y10)</f>
        <v>8696115</v>
      </c>
      <c r="AA10" s="3538"/>
      <c r="AB10" s="3538">
        <f>Z10/$Z$8</f>
        <v>0.91061319783387074</v>
      </c>
      <c r="AC10" s="3538">
        <f>+Z10/Q10-1</f>
        <v>0.91096233129047355</v>
      </c>
      <c r="AD10" s="1329">
        <f>'[2]PL-TổngChi21-25'!AO38-AD9</f>
        <v>2205000</v>
      </c>
    </row>
    <row r="11" spans="1:99" s="3607" customFormat="1" ht="31.2">
      <c r="A11" s="3223">
        <v>3</v>
      </c>
      <c r="B11" s="3150" t="s">
        <v>2162</v>
      </c>
      <c r="C11" s="37"/>
      <c r="D11" s="37"/>
      <c r="E11" s="37"/>
      <c r="F11" s="37"/>
      <c r="G11" s="37"/>
      <c r="H11" s="37"/>
      <c r="I11" s="37"/>
      <c r="J11" s="3538"/>
      <c r="K11" s="3538"/>
      <c r="L11" s="779"/>
      <c r="M11" s="779"/>
      <c r="N11" s="37">
        <f>'[2]PL-TổngChi21-25'!N39</f>
        <v>156150</v>
      </c>
      <c r="O11" s="37">
        <f>'[2]PL-TổngChi21-25'!P39</f>
        <v>423993</v>
      </c>
      <c r="P11" s="37">
        <f>'[2]PL-TổngChi21-25'!R39</f>
        <v>267388</v>
      </c>
      <c r="Q11" s="37">
        <f t="shared" si="2"/>
        <v>847531</v>
      </c>
      <c r="R11" s="3538"/>
      <c r="S11" s="3538"/>
      <c r="T11" s="3538"/>
      <c r="U11" s="37">
        <f>'[2]PL-TổngChi21-25'!X39</f>
        <v>106970</v>
      </c>
      <c r="V11" s="37">
        <f>'[2]PL-TổngChi21-25'!Z39</f>
        <v>86473</v>
      </c>
      <c r="W11" s="37">
        <f>'[2]PL-TổngChi21-25'!AF39</f>
        <v>179036</v>
      </c>
      <c r="X11" s="37">
        <f>'[2]PL-TổngChi21-25'!AH39</f>
        <v>174485</v>
      </c>
      <c r="Y11" s="37">
        <f>'[2]PL-TổngChi21-25'!AI39</f>
        <v>174485.3</v>
      </c>
      <c r="Z11" s="37">
        <f>SUM(U11:Y11)</f>
        <v>721449.3</v>
      </c>
      <c r="AA11" s="3538"/>
      <c r="AB11" s="3538"/>
      <c r="AC11" s="3538">
        <f t="shared" ref="AC11:AC12" si="3">+Z11/Q11-1</f>
        <v>-0.14876352605391419</v>
      </c>
      <c r="AD11" s="1329">
        <f>'[2]PL-TổngChi21-25'!AO39</f>
        <v>174485.3</v>
      </c>
    </row>
    <row r="12" spans="1:99" s="3607" customFormat="1">
      <c r="A12" s="3223">
        <v>4</v>
      </c>
      <c r="B12" s="3150" t="s">
        <v>2163</v>
      </c>
      <c r="C12" s="37"/>
      <c r="D12" s="37"/>
      <c r="E12" s="37"/>
      <c r="F12" s="37"/>
      <c r="G12" s="37"/>
      <c r="H12" s="37"/>
      <c r="I12" s="37"/>
      <c r="J12" s="3538"/>
      <c r="K12" s="3538"/>
      <c r="L12" s="779"/>
      <c r="M12" s="779"/>
      <c r="N12" s="37">
        <f>'[2]PL-TổngChi21-25'!N40</f>
        <v>0</v>
      </c>
      <c r="O12" s="37">
        <f>'[2]PL-TổngChi21-25'!P40</f>
        <v>0</v>
      </c>
      <c r="P12" s="37">
        <f>'[2]PL-TổngChi21-25'!R40</f>
        <v>0</v>
      </c>
      <c r="Q12" s="37">
        <f t="shared" si="2"/>
        <v>0</v>
      </c>
      <c r="R12" s="3538"/>
      <c r="S12" s="3538"/>
      <c r="T12" s="3538"/>
      <c r="U12" s="37">
        <f>'[2]PL-TổngChi21-25'!X40</f>
        <v>0</v>
      </c>
      <c r="V12" s="37">
        <f>'[2]PL-TổngChi21-25'!Z40</f>
        <v>0</v>
      </c>
      <c r="W12" s="37">
        <f>'[2]PL-TổngChi21-25'!AF40</f>
        <v>0</v>
      </c>
      <c r="X12" s="37">
        <f>'[2]PL-TổngChi21-25'!AH40</f>
        <v>0</v>
      </c>
      <c r="Y12" s="37">
        <f>'[2]PL-TổngChi21-25'!AI40</f>
        <v>0</v>
      </c>
      <c r="Z12" s="37">
        <f t="shared" ref="Z12" si="4">SUM(U12:Y12)</f>
        <v>0</v>
      </c>
      <c r="AA12" s="3538"/>
      <c r="AB12" s="3538"/>
      <c r="AC12" s="3538" t="e">
        <f t="shared" si="3"/>
        <v>#DIV/0!</v>
      </c>
      <c r="AD12" s="1329">
        <f>'[2]PL-TổngChi21-25'!AO40</f>
        <v>0</v>
      </c>
    </row>
    <row r="13" spans="1:99" s="3317" customFormat="1">
      <c r="A13" s="3214" t="s">
        <v>37</v>
      </c>
      <c r="B13" s="3093" t="s">
        <v>1993</v>
      </c>
      <c r="C13" s="3620"/>
      <c r="D13" s="3620">
        <f t="shared" ref="D13:H15" si="5">D8/C8</f>
        <v>1.3622552800541234</v>
      </c>
      <c r="E13" s="3620">
        <f t="shared" si="5"/>
        <v>1.3258612826676768</v>
      </c>
      <c r="F13" s="3620">
        <f t="shared" si="5"/>
        <v>1.1281758663308614</v>
      </c>
      <c r="G13" s="3620">
        <f t="shared" si="5"/>
        <v>0.68665921672232588</v>
      </c>
      <c r="H13" s="3620">
        <f t="shared" si="5"/>
        <v>1.0043649061545177</v>
      </c>
      <c r="I13" s="3620"/>
      <c r="J13" s="3620">
        <f>(D13*E13*F13*G13*H13)^(1/5)-1</f>
        <v>7.04175856234035E-2</v>
      </c>
      <c r="K13" s="3620"/>
      <c r="L13" s="3321">
        <f>L8/H8</f>
        <v>1.4252611308426621</v>
      </c>
      <c r="M13" s="3321">
        <f t="shared" ref="M13:P14" si="6">M8/L8</f>
        <v>0.97503975816520994</v>
      </c>
      <c r="N13" s="3620">
        <f t="shared" si="6"/>
        <v>2.450985969031851</v>
      </c>
      <c r="O13" s="3620">
        <f t="shared" si="6"/>
        <v>0.83113657587420242</v>
      </c>
      <c r="P13" s="3620">
        <f t="shared" si="6"/>
        <v>1.059102964180503</v>
      </c>
      <c r="Q13" s="3620"/>
      <c r="R13" s="3620">
        <f>(L13*M13*N13*O13*P13)^(1/5)-1</f>
        <v>0.24558575812185102</v>
      </c>
      <c r="S13" s="3620"/>
      <c r="T13" s="3620"/>
      <c r="U13" s="3620">
        <f>U8/P8</f>
        <v>0.85644488845487499</v>
      </c>
      <c r="V13" s="3620">
        <f t="shared" ref="V13:Y17" si="7">V8/U8</f>
        <v>0.88523366749489707</v>
      </c>
      <c r="W13" s="3620">
        <f t="shared" si="7"/>
        <v>2.1401440328709413</v>
      </c>
      <c r="X13" s="3620">
        <f t="shared" si="7"/>
        <v>0.76587240619682584</v>
      </c>
      <c r="Y13" s="3620">
        <f t="shared" si="7"/>
        <v>1.1963368587655154</v>
      </c>
      <c r="Z13" s="3620"/>
      <c r="AA13" s="3620">
        <f>(U13*V13*W13*X13*Y13)^(1/5)-1</f>
        <v>8.2535259107511028E-2</v>
      </c>
      <c r="AB13" s="3620"/>
      <c r="AC13" s="3620"/>
      <c r="AD13" s="3848"/>
    </row>
    <row r="14" spans="1:99" s="3607" customFormat="1">
      <c r="A14" s="3223">
        <v>1</v>
      </c>
      <c r="B14" s="3150" t="s">
        <v>2076</v>
      </c>
      <c r="C14" s="3538"/>
      <c r="D14" s="3538">
        <f t="shared" si="5"/>
        <v>1.670564620710653</v>
      </c>
      <c r="E14" s="3538">
        <f t="shared" si="5"/>
        <v>1.1290838643482017</v>
      </c>
      <c r="F14" s="3538">
        <f t="shared" si="5"/>
        <v>0.92749914806865674</v>
      </c>
      <c r="G14" s="3538">
        <f t="shared" si="5"/>
        <v>0.53020497615057371</v>
      </c>
      <c r="H14" s="3538">
        <f t="shared" si="5"/>
        <v>0.92692326395642866</v>
      </c>
      <c r="I14" s="3538"/>
      <c r="J14" s="3538">
        <f>(D14*E14*F14*G14*H14)^(1/5)-1</f>
        <v>-2.9762365748168484E-2</v>
      </c>
      <c r="K14" s="3538"/>
      <c r="L14" s="3441">
        <f>L9/H9</f>
        <v>0.70396747327693621</v>
      </c>
      <c r="M14" s="3441">
        <f t="shared" si="6"/>
        <v>2.9496404218057162</v>
      </c>
      <c r="N14" s="3538">
        <f t="shared" si="6"/>
        <v>1.0010737814160018</v>
      </c>
      <c r="O14" s="3538">
        <f t="shared" si="6"/>
        <v>1.4989494539053183</v>
      </c>
      <c r="P14" s="3538">
        <f>P9/O9</f>
        <v>1.7955987153097863</v>
      </c>
      <c r="Q14" s="3538"/>
      <c r="R14" s="3538">
        <f>(L14*M14*N14*O14*P14)^(1/5)-1</f>
        <v>0.41109679721259784</v>
      </c>
      <c r="S14" s="3538"/>
      <c r="T14" s="3538"/>
      <c r="U14" s="3538">
        <f>U9/P9</f>
        <v>0</v>
      </c>
      <c r="V14" s="3538" t="e">
        <f>V9/U9</f>
        <v>#DIV/0!</v>
      </c>
      <c r="W14" s="3538" t="e">
        <f>W9/V9</f>
        <v>#DIV/0!</v>
      </c>
      <c r="X14" s="3538">
        <f t="shared" si="7"/>
        <v>0</v>
      </c>
      <c r="Y14" s="3538" t="e">
        <f t="shared" si="7"/>
        <v>#DIV/0!</v>
      </c>
      <c r="Z14" s="3538"/>
      <c r="AA14" s="3538" t="e">
        <f>(U14*V14*W14*X14*Y14)^(1/5)-1</f>
        <v>#DIV/0!</v>
      </c>
      <c r="AB14" s="3538"/>
      <c r="AC14" s="3538"/>
      <c r="AD14" s="1329"/>
    </row>
    <row r="15" spans="1:99" s="3607" customFormat="1" ht="31.2">
      <c r="A15" s="3223">
        <v>2</v>
      </c>
      <c r="B15" s="3150" t="s">
        <v>2161</v>
      </c>
      <c r="C15" s="3538"/>
      <c r="D15" s="3538">
        <f t="shared" si="5"/>
        <v>1.2683640459624854</v>
      </c>
      <c r="E15" s="3538">
        <f t="shared" si="5"/>
        <v>1.4047896247360157</v>
      </c>
      <c r="F15" s="3538">
        <f t="shared" si="5"/>
        <v>1.1928707031965231</v>
      </c>
      <c r="G15" s="3538">
        <f t="shared" si="5"/>
        <v>0.72587673590072954</v>
      </c>
      <c r="H15" s="3538">
        <f t="shared" si="5"/>
        <v>1.0185439927346547</v>
      </c>
      <c r="I15" s="3538"/>
      <c r="J15" s="3538">
        <f>(D15*E15*F15*G15*H15)^(1/5)-1</f>
        <v>9.4607075565009691E-2</v>
      </c>
      <c r="K15" s="3538"/>
      <c r="L15" s="3441">
        <f>L10/H10</f>
        <v>1.5454460026180814</v>
      </c>
      <c r="M15" s="3441">
        <f>M10/L10</f>
        <v>0.82516940620156798</v>
      </c>
      <c r="N15" s="3538">
        <f>N10/M10</f>
        <v>2.5767676594577922</v>
      </c>
      <c r="O15" s="3538">
        <f>O10/N10</f>
        <v>0.56508209706134482</v>
      </c>
      <c r="P15" s="3538">
        <f>P10/O10</f>
        <v>1.0669849026226221</v>
      </c>
      <c r="Q15" s="3538"/>
      <c r="R15" s="3538">
        <f>(L15*M15*N15*O15*P15)^(1/5)-1</f>
        <v>0.14653787900377169</v>
      </c>
      <c r="S15" s="3538"/>
      <c r="T15" s="3538"/>
      <c r="U15" s="3538">
        <f>U10/P10</f>
        <v>1.3940260313258328</v>
      </c>
      <c r="V15" s="3538">
        <f t="shared" si="7"/>
        <v>0.89173809011381333</v>
      </c>
      <c r="W15" s="3538">
        <f t="shared" si="7"/>
        <v>2.0282165039929017</v>
      </c>
      <c r="X15" s="3538">
        <f t="shared" si="7"/>
        <v>0.7938100446233266</v>
      </c>
      <c r="Y15" s="3538">
        <f t="shared" si="7"/>
        <v>1.2152168294028463</v>
      </c>
      <c r="Z15" s="3538"/>
      <c r="AA15" s="3538">
        <f>(U15*V15*W15*X15*Y15)^(1/5)-1</f>
        <v>0.19453416568643633</v>
      </c>
      <c r="AB15" s="3538"/>
      <c r="AC15" s="3538"/>
      <c r="AD15" s="1329"/>
    </row>
    <row r="16" spans="1:99" s="3607" customFormat="1" ht="31.2">
      <c r="A16" s="3223">
        <v>3</v>
      </c>
      <c r="B16" s="3150" t="s">
        <v>2162</v>
      </c>
      <c r="C16" s="3538"/>
      <c r="D16" s="3538"/>
      <c r="E16" s="3538"/>
      <c r="F16" s="3538"/>
      <c r="G16" s="3538"/>
      <c r="H16" s="3538"/>
      <c r="I16" s="3538"/>
      <c r="J16" s="3538"/>
      <c r="K16" s="3538"/>
      <c r="L16" s="3441" t="e">
        <f t="shared" ref="L16:L17" si="8">L11/H11</f>
        <v>#DIV/0!</v>
      </c>
      <c r="M16" s="3441" t="e">
        <f t="shared" ref="M16:P17" si="9">M11/L11</f>
        <v>#DIV/0!</v>
      </c>
      <c r="N16" s="3538" t="e">
        <f t="shared" si="9"/>
        <v>#DIV/0!</v>
      </c>
      <c r="O16" s="3538">
        <f>O11/N11</f>
        <v>2.7152929875120075</v>
      </c>
      <c r="P16" s="3538">
        <f t="shared" si="9"/>
        <v>0.63064248702219139</v>
      </c>
      <c r="Q16" s="3538"/>
      <c r="R16" s="3538"/>
      <c r="S16" s="3538"/>
      <c r="T16" s="3538"/>
      <c r="U16" s="3538">
        <f>U11/P11</f>
        <v>0.40005535027749939</v>
      </c>
      <c r="V16" s="3538">
        <f t="shared" si="7"/>
        <v>0.80838552865289337</v>
      </c>
      <c r="W16" s="3538">
        <f t="shared" si="7"/>
        <v>2.0704266071490522</v>
      </c>
      <c r="X16" s="3538">
        <f t="shared" si="7"/>
        <v>0.97458053128979649</v>
      </c>
      <c r="Y16" s="3538">
        <f t="shared" si="7"/>
        <v>1.0000017193455024</v>
      </c>
      <c r="Z16" s="3538"/>
      <c r="AA16" s="3538">
        <f t="shared" ref="AA16:AA17" si="10">(U16*V16*W16*X16*Y16)^(1/5)-1</f>
        <v>-8.1829391814919883E-2</v>
      </c>
      <c r="AB16" s="3538"/>
      <c r="AC16" s="3538"/>
      <c r="AD16" s="1329"/>
    </row>
    <row r="17" spans="1:30" s="3607" customFormat="1">
      <c r="A17" s="3223">
        <v>4</v>
      </c>
      <c r="B17" s="3150" t="s">
        <v>2163</v>
      </c>
      <c r="C17" s="3538"/>
      <c r="D17" s="3538"/>
      <c r="E17" s="3538"/>
      <c r="F17" s="3538"/>
      <c r="G17" s="3538"/>
      <c r="H17" s="3538"/>
      <c r="I17" s="3538"/>
      <c r="J17" s="3538"/>
      <c r="K17" s="3538"/>
      <c r="L17" s="3441" t="e">
        <f t="shared" si="8"/>
        <v>#DIV/0!</v>
      </c>
      <c r="M17" s="3441" t="e">
        <f t="shared" si="9"/>
        <v>#DIV/0!</v>
      </c>
      <c r="N17" s="3538" t="e">
        <f t="shared" si="9"/>
        <v>#DIV/0!</v>
      </c>
      <c r="O17" s="3538" t="e">
        <f t="shared" si="9"/>
        <v>#DIV/0!</v>
      </c>
      <c r="P17" s="3538" t="e">
        <f t="shared" si="9"/>
        <v>#DIV/0!</v>
      </c>
      <c r="Q17" s="3538"/>
      <c r="R17" s="3538"/>
      <c r="S17" s="3538"/>
      <c r="T17" s="3538"/>
      <c r="U17" s="3538" t="e">
        <f>U12/P12</f>
        <v>#DIV/0!</v>
      </c>
      <c r="V17" s="3538" t="e">
        <f t="shared" si="7"/>
        <v>#DIV/0!</v>
      </c>
      <c r="W17" s="3538" t="e">
        <f t="shared" si="7"/>
        <v>#DIV/0!</v>
      </c>
      <c r="X17" s="3538" t="e">
        <f t="shared" si="7"/>
        <v>#DIV/0!</v>
      </c>
      <c r="Y17" s="3538" t="e">
        <f t="shared" si="7"/>
        <v>#DIV/0!</v>
      </c>
      <c r="Z17" s="3538"/>
      <c r="AA17" s="3538" t="e">
        <f t="shared" si="10"/>
        <v>#DIV/0!</v>
      </c>
      <c r="AB17" s="3538"/>
      <c r="AC17" s="3538"/>
      <c r="AD17" s="1329"/>
    </row>
    <row r="18" spans="1:30" s="3317" customFormat="1">
      <c r="A18" s="3214" t="s">
        <v>44</v>
      </c>
      <c r="B18" s="3093" t="s">
        <v>2164</v>
      </c>
      <c r="C18" s="3093"/>
      <c r="D18" s="3093"/>
      <c r="E18" s="3093"/>
      <c r="F18" s="3093"/>
      <c r="G18" s="3093"/>
      <c r="H18" s="3093"/>
      <c r="I18" s="3093">
        <f>SUM(I19:I20)</f>
        <v>609000</v>
      </c>
      <c r="J18" s="3620"/>
      <c r="K18" s="3620">
        <f>I18/$I$18</f>
        <v>1</v>
      </c>
      <c r="L18" s="186"/>
      <c r="M18" s="186"/>
      <c r="N18" s="3093"/>
      <c r="O18" s="3093"/>
      <c r="P18" s="3093"/>
      <c r="Q18" s="3093">
        <f>SUM(Q19:Q20)</f>
        <v>1117000</v>
      </c>
      <c r="R18" s="3620"/>
      <c r="S18" s="3620"/>
      <c r="T18" s="3620">
        <f>Q18/I18-1</f>
        <v>0.8341543513957308</v>
      </c>
      <c r="U18" s="3093"/>
      <c r="V18" s="3093"/>
      <c r="W18" s="3093"/>
      <c r="X18" s="3093"/>
      <c r="Y18" s="3093"/>
      <c r="Z18" s="3093">
        <f>SUM(Z19:Z20)</f>
        <v>1871000</v>
      </c>
      <c r="AA18" s="3620"/>
      <c r="AB18" s="3620"/>
      <c r="AC18" s="3620"/>
      <c r="AD18" s="3848"/>
    </row>
    <row r="19" spans="1:30" s="3607" customFormat="1">
      <c r="A19" s="3223">
        <v>1</v>
      </c>
      <c r="B19" s="3150" t="s">
        <v>2076</v>
      </c>
      <c r="C19" s="37"/>
      <c r="D19" s="37"/>
      <c r="E19" s="37"/>
      <c r="F19" s="37"/>
      <c r="G19" s="37"/>
      <c r="H19" s="37"/>
      <c r="I19" s="37">
        <f>ROUND(AVERAGE(D9:H9),-3)</f>
        <v>126000</v>
      </c>
      <c r="J19" s="3538"/>
      <c r="K19" s="3538">
        <f>I19/$I$18</f>
        <v>0.20689655172413793</v>
      </c>
      <c r="L19" s="779"/>
      <c r="M19" s="779"/>
      <c r="N19" s="37"/>
      <c r="O19" s="37"/>
      <c r="P19" s="37"/>
      <c r="Q19" s="3093">
        <f>ROUND(AVERAGE(L9:P9),-3)</f>
        <v>207000</v>
      </c>
      <c r="R19" s="3538"/>
      <c r="S19" s="3538"/>
      <c r="T19" s="3538">
        <f>Q19/I19-1</f>
        <v>0.64285714285714279</v>
      </c>
      <c r="U19" s="37"/>
      <c r="V19" s="37"/>
      <c r="W19" s="37"/>
      <c r="X19" s="37"/>
      <c r="Y19" s="37"/>
      <c r="Z19" s="37">
        <f>ROUND(AVERAGE(U9:Y9),-3)</f>
        <v>132000</v>
      </c>
      <c r="AA19" s="3538"/>
      <c r="AB19" s="3538"/>
      <c r="AC19" s="3538">
        <f>Z19/Q19-1</f>
        <v>-0.3623188405797102</v>
      </c>
      <c r="AD19" s="1329"/>
    </row>
    <row r="20" spans="1:30" s="3607" customFormat="1" ht="31.2">
      <c r="A20" s="3223">
        <v>2</v>
      </c>
      <c r="B20" s="3150" t="s">
        <v>2161</v>
      </c>
      <c r="C20" s="37"/>
      <c r="D20" s="37"/>
      <c r="E20" s="37"/>
      <c r="F20" s="37"/>
      <c r="G20" s="37"/>
      <c r="H20" s="37"/>
      <c r="I20" s="37">
        <f>ROUND(AVERAGE(D10:H10),-3)</f>
        <v>483000</v>
      </c>
      <c r="J20" s="3538"/>
      <c r="K20" s="3538">
        <f>I20/$I$18</f>
        <v>0.7931034482758621</v>
      </c>
      <c r="L20" s="779"/>
      <c r="M20" s="779"/>
      <c r="N20" s="37"/>
      <c r="O20" s="37"/>
      <c r="P20" s="37"/>
      <c r="Q20" s="3093">
        <f>ROUND(AVERAGE(L10:P10),-3)</f>
        <v>910000</v>
      </c>
      <c r="R20" s="3538"/>
      <c r="S20" s="3538"/>
      <c r="T20" s="3538">
        <f>Q20/I20-1</f>
        <v>0.88405797101449268</v>
      </c>
      <c r="U20" s="37"/>
      <c r="V20" s="37"/>
      <c r="W20" s="37"/>
      <c r="X20" s="37"/>
      <c r="Y20" s="37"/>
      <c r="Z20" s="37">
        <f>ROUND(AVERAGE(U10:Y10),-3)</f>
        <v>1739000</v>
      </c>
      <c r="AA20" s="3538"/>
      <c r="AB20" s="3538"/>
      <c r="AC20" s="3538">
        <f>Z20/Q20-1</f>
        <v>0.91098901098901108</v>
      </c>
      <c r="AD20" s="1329"/>
    </row>
    <row r="21" spans="1:30" s="3607" customFormat="1" ht="31.2">
      <c r="A21" s="3223">
        <v>3</v>
      </c>
      <c r="B21" s="3150" t="s">
        <v>2162</v>
      </c>
      <c r="C21" s="1329"/>
      <c r="D21" s="1329"/>
      <c r="E21" s="1329"/>
      <c r="F21" s="1329"/>
      <c r="G21" s="1329"/>
      <c r="H21" s="1329"/>
      <c r="I21" s="1329"/>
      <c r="J21" s="1329"/>
      <c r="K21" s="1329"/>
      <c r="L21" s="1328"/>
      <c r="M21" s="1328"/>
      <c r="N21" s="1329"/>
      <c r="O21" s="1329"/>
      <c r="P21" s="1329"/>
      <c r="Q21" s="1329"/>
      <c r="R21" s="1329"/>
      <c r="S21" s="1329"/>
      <c r="T21" s="1329"/>
      <c r="U21" s="1329"/>
      <c r="V21" s="1329"/>
      <c r="W21" s="1329"/>
      <c r="X21" s="1329"/>
      <c r="Y21" s="1329"/>
      <c r="Z21" s="37">
        <f t="shared" ref="Z21:Z22" si="11">ROUND(AVERAGE(U11:Y11),-3)</f>
        <v>144000</v>
      </c>
      <c r="AA21" s="1329"/>
      <c r="AB21" s="1329"/>
      <c r="AC21" s="3538" t="e">
        <f t="shared" ref="AC21:AC22" si="12">Z21/Q21-1</f>
        <v>#DIV/0!</v>
      </c>
      <c r="AD21" s="1329"/>
    </row>
    <row r="22" spans="1:30" s="3607" customFormat="1">
      <c r="A22" s="3849">
        <v>4</v>
      </c>
      <c r="B22" s="3850" t="s">
        <v>2163</v>
      </c>
      <c r="C22" s="3851"/>
      <c r="D22" s="3851"/>
      <c r="E22" s="3851"/>
      <c r="F22" s="3851"/>
      <c r="G22" s="3851"/>
      <c r="H22" s="3851"/>
      <c r="I22" s="3851"/>
      <c r="J22" s="3851"/>
      <c r="K22" s="3851"/>
      <c r="L22" s="3852"/>
      <c r="M22" s="3852"/>
      <c r="N22" s="3851"/>
      <c r="O22" s="3851"/>
      <c r="P22" s="3851"/>
      <c r="Q22" s="3851"/>
      <c r="R22" s="3853"/>
      <c r="S22" s="3851"/>
      <c r="T22" s="3851"/>
      <c r="U22" s="3851"/>
      <c r="V22" s="3851"/>
      <c r="W22" s="3851"/>
      <c r="X22" s="3851"/>
      <c r="Y22" s="3851"/>
      <c r="Z22" s="3854">
        <f t="shared" si="11"/>
        <v>0</v>
      </c>
      <c r="AA22" s="3851"/>
      <c r="AB22" s="3851"/>
      <c r="AC22" s="3568" t="e">
        <f t="shared" si="12"/>
        <v>#DIV/0!</v>
      </c>
      <c r="AD22" s="3851"/>
    </row>
  </sheetData>
  <mergeCells count="31">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AD5:AD6"/>
    <mergeCell ref="V5:V6"/>
    <mergeCell ref="W5:W6"/>
    <mergeCell ref="X5:X6"/>
    <mergeCell ref="Y5:Y6"/>
    <mergeCell ref="Z5:Z6"/>
    <mergeCell ref="AA5:AA6"/>
  </mergeCells>
  <hyperlinks>
    <hyperlink ref="A5:A6" location="'Danh mục file'!A1" display="SỐ TT"/>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14"/>
  <sheetViews>
    <sheetView workbookViewId="0">
      <selection activeCell="A4" sqref="A4:A6"/>
    </sheetView>
  </sheetViews>
  <sheetFormatPr defaultColWidth="10.33203125" defaultRowHeight="15.6"/>
  <cols>
    <col min="1" max="1" width="5.109375" style="2428" customWidth="1"/>
    <col min="2" max="2" width="54.44140625" style="2428" customWidth="1"/>
    <col min="3" max="3" width="10.88671875" style="2428" customWidth="1"/>
    <col min="4" max="4" width="9.33203125" style="2428" customWidth="1"/>
    <col min="5" max="5" width="12.33203125" style="2428" customWidth="1"/>
    <col min="6" max="6" width="12" style="2428" customWidth="1"/>
    <col min="7" max="8" width="9.33203125" style="2428" customWidth="1"/>
    <col min="9" max="9" width="7.5546875" style="3071" customWidth="1"/>
    <col min="10" max="10" width="8" style="2428" customWidth="1"/>
    <col min="11" max="12" width="9.33203125" style="2428" customWidth="1"/>
    <col min="13" max="13" width="9.6640625" style="2428" customWidth="1"/>
    <col min="14" max="14" width="9.44140625" style="6" customWidth="1"/>
    <col min="15" max="15" width="7.5546875" style="3068" customWidth="1"/>
    <col min="16" max="16" width="8.33203125" style="6" customWidth="1"/>
    <col min="17" max="17" width="9.33203125" style="6" customWidth="1"/>
    <col min="18" max="18" width="10.33203125" style="6" customWidth="1"/>
    <col min="19" max="22" width="8.88671875" style="6" customWidth="1"/>
    <col min="23" max="23" width="10.5546875" style="6" customWidth="1"/>
    <col min="24" max="24" width="11.6640625" style="6" customWidth="1"/>
    <col min="25" max="25" width="8.88671875" style="6" customWidth="1"/>
    <col min="26" max="26" width="10.33203125" style="2428"/>
    <col min="27" max="27" width="10.33203125" style="3071"/>
    <col min="28" max="28" width="10.33203125" style="2428"/>
    <col min="29" max="30" width="11.109375" style="2428" bestFit="1" customWidth="1"/>
    <col min="31" max="31" width="10.33203125" style="2428"/>
    <col min="32" max="32" width="10.44140625" style="2428" customWidth="1"/>
    <col min="33" max="33" width="10.44140625" style="3071" customWidth="1"/>
    <col min="34" max="37" width="10.44140625" style="2428" customWidth="1"/>
    <col min="38" max="43" width="10.44140625" style="6" customWidth="1"/>
    <col min="44" max="44" width="10.88671875" style="2428" hidden="1" customWidth="1"/>
    <col min="45" max="49" width="0" style="2428" hidden="1" customWidth="1"/>
    <col min="50" max="50" width="11.6640625" style="2428" hidden="1" customWidth="1"/>
    <col min="51" max="55" width="0" style="2428" hidden="1" customWidth="1"/>
    <col min="56" max="56" width="11.33203125" style="2428" hidden="1" customWidth="1"/>
    <col min="57" max="67" width="0" style="2428" hidden="1" customWidth="1"/>
    <col min="68" max="16384" width="10.33203125" style="2428"/>
  </cols>
  <sheetData>
    <row r="1" spans="1:67" s="3053" customFormat="1" ht="33.75" customHeight="1">
      <c r="A1" s="6371" t="s">
        <v>1859</v>
      </c>
      <c r="B1" s="6371"/>
      <c r="C1" s="6371"/>
      <c r="D1" s="6371"/>
      <c r="E1" s="6371"/>
      <c r="F1" s="6371"/>
      <c r="G1" s="6371"/>
      <c r="H1" s="6371"/>
      <c r="I1" s="6371"/>
      <c r="J1" s="6371"/>
      <c r="K1" s="6371"/>
      <c r="L1" s="6371"/>
      <c r="M1" s="6371"/>
      <c r="N1" s="6371"/>
      <c r="O1" s="6371"/>
      <c r="P1" s="6371"/>
      <c r="Q1" s="6371"/>
      <c r="R1" s="6371"/>
      <c r="S1" s="6371"/>
      <c r="T1" s="3052"/>
      <c r="U1" s="3052"/>
      <c r="V1" s="3052"/>
      <c r="W1" s="3052"/>
      <c r="X1" s="3052"/>
      <c r="Y1" s="3052"/>
      <c r="AA1" s="3054"/>
      <c r="AG1" s="3054"/>
      <c r="AL1" s="1729"/>
      <c r="AM1" s="1729"/>
      <c r="AN1" s="1729"/>
      <c r="AO1" s="1729"/>
      <c r="AP1" s="1729"/>
      <c r="AQ1" s="1729"/>
    </row>
    <row r="2" spans="1:67" s="3053" customFormat="1">
      <c r="A2" s="3055"/>
      <c r="B2" s="3055"/>
      <c r="C2" s="3055"/>
      <c r="D2" s="3055"/>
      <c r="E2" s="6389"/>
      <c r="F2" s="6389"/>
      <c r="G2" s="6389"/>
      <c r="H2" s="3056">
        <f>K8/E8</f>
        <v>1.1817745553595258</v>
      </c>
      <c r="I2" s="3057"/>
      <c r="J2" s="3058"/>
      <c r="K2" s="6390"/>
      <c r="L2" s="6390"/>
      <c r="M2" s="6390"/>
      <c r="N2" s="16"/>
      <c r="O2" s="3059"/>
      <c r="P2" s="1729"/>
      <c r="Q2" s="1729"/>
      <c r="R2" s="1729"/>
      <c r="S2" s="1729"/>
      <c r="T2" s="1729"/>
      <c r="U2" s="1729"/>
      <c r="V2" s="1729"/>
      <c r="W2" s="1729"/>
      <c r="X2" s="1729"/>
      <c r="Y2" s="1729"/>
      <c r="AA2" s="3060">
        <f>AC9/Q9</f>
        <v>1.2656622911694511</v>
      </c>
      <c r="AB2" s="3061">
        <f>AC10/Q10</f>
        <v>1.138180067404911</v>
      </c>
      <c r="AC2" s="3061">
        <f>AC8/Z8</f>
        <v>0.91571336067342979</v>
      </c>
      <c r="AG2" s="3054"/>
      <c r="AL2" s="1729"/>
      <c r="AM2" s="1729"/>
      <c r="AN2" s="1729"/>
      <c r="AO2" s="1729"/>
      <c r="AP2" s="1729"/>
      <c r="AQ2" s="1729"/>
    </row>
    <row r="3" spans="1:67">
      <c r="B3" s="3062"/>
      <c r="C3" s="3063"/>
      <c r="D3" s="3063"/>
      <c r="E3" s="6391"/>
      <c r="F3" s="6391"/>
      <c r="G3" s="6391"/>
      <c r="H3" s="3064">
        <f>+H46-C46</f>
        <v>0</v>
      </c>
      <c r="I3" s="3065"/>
      <c r="J3" s="3066"/>
      <c r="L3" s="3067"/>
      <c r="S3" s="3069" t="s">
        <v>1860</v>
      </c>
      <c r="T3" s="3070"/>
      <c r="U3" s="3070"/>
      <c r="V3" s="3070"/>
      <c r="W3" s="3070"/>
      <c r="X3" s="3070"/>
      <c r="Y3" s="3070"/>
      <c r="AC3" s="3072">
        <f>AC10/Z10</f>
        <v>0.89056319457524957</v>
      </c>
    </row>
    <row r="4" spans="1:67" s="3074" customFormat="1" ht="22.95" customHeight="1">
      <c r="A4" s="6327" t="s">
        <v>0</v>
      </c>
      <c r="B4" s="6386" t="s">
        <v>1861</v>
      </c>
      <c r="C4" s="6393" t="s">
        <v>1862</v>
      </c>
      <c r="D4" s="3073"/>
      <c r="E4" s="3073"/>
      <c r="F4" s="3073"/>
      <c r="G4" s="3037"/>
      <c r="H4" s="6378" t="s">
        <v>1863</v>
      </c>
      <c r="I4" s="6379"/>
      <c r="J4" s="6379"/>
      <c r="K4" s="6379"/>
      <c r="L4" s="6379"/>
      <c r="M4" s="6380"/>
      <c r="N4" s="6375" t="s">
        <v>1864</v>
      </c>
      <c r="O4" s="6376"/>
      <c r="P4" s="6376"/>
      <c r="Q4" s="6376"/>
      <c r="R4" s="6376"/>
      <c r="S4" s="6377"/>
      <c r="T4" s="6375" t="s">
        <v>1865</v>
      </c>
      <c r="U4" s="6376"/>
      <c r="V4" s="6376"/>
      <c r="W4" s="6376"/>
      <c r="X4" s="6376"/>
      <c r="Y4" s="6377"/>
      <c r="Z4" s="6383" t="s">
        <v>1866</v>
      </c>
      <c r="AA4" s="6384"/>
      <c r="AB4" s="6384"/>
      <c r="AC4" s="6384"/>
      <c r="AD4" s="6384"/>
      <c r="AE4" s="6385"/>
      <c r="AF4" s="6378" t="s">
        <v>325</v>
      </c>
      <c r="AG4" s="6379"/>
      <c r="AH4" s="6379"/>
      <c r="AI4" s="6379"/>
      <c r="AJ4" s="6379"/>
      <c r="AK4" s="6380"/>
      <c r="AL4" s="6375" t="s">
        <v>326</v>
      </c>
      <c r="AM4" s="6376"/>
      <c r="AN4" s="6376"/>
      <c r="AO4" s="6376"/>
      <c r="AP4" s="6376"/>
      <c r="AQ4" s="6377"/>
      <c r="AR4" s="6375" t="s">
        <v>358</v>
      </c>
      <c r="AS4" s="6376"/>
      <c r="AT4" s="6376"/>
      <c r="AU4" s="6376"/>
      <c r="AV4" s="6376"/>
      <c r="AW4" s="6377"/>
      <c r="AX4" s="6375" t="s">
        <v>359</v>
      </c>
      <c r="AY4" s="6376"/>
      <c r="AZ4" s="6376"/>
      <c r="BA4" s="6376"/>
      <c r="BB4" s="6376"/>
      <c r="BC4" s="6377"/>
      <c r="BD4" s="6375" t="s">
        <v>360</v>
      </c>
      <c r="BE4" s="6376"/>
      <c r="BF4" s="6376"/>
      <c r="BG4" s="6376"/>
      <c r="BH4" s="6376"/>
      <c r="BI4" s="6377"/>
      <c r="BJ4" s="6375" t="s">
        <v>361</v>
      </c>
      <c r="BK4" s="6376"/>
      <c r="BL4" s="6376"/>
      <c r="BM4" s="6376"/>
      <c r="BN4" s="6376"/>
      <c r="BO4" s="6377"/>
    </row>
    <row r="5" spans="1:67" s="3074" customFormat="1" ht="22.35" customHeight="1">
      <c r="A5" s="6328"/>
      <c r="B5" s="6392"/>
      <c r="C5" s="6394"/>
      <c r="D5" s="6386" t="s">
        <v>53</v>
      </c>
      <c r="E5" s="3039" t="s">
        <v>1867</v>
      </c>
      <c r="F5" s="3073"/>
      <c r="G5" s="3037"/>
      <c r="H5" s="6386" t="s">
        <v>51</v>
      </c>
      <c r="I5" s="6386" t="s">
        <v>1868</v>
      </c>
      <c r="J5" s="6386" t="s">
        <v>53</v>
      </c>
      <c r="K5" s="6378" t="s">
        <v>1867</v>
      </c>
      <c r="L5" s="6379"/>
      <c r="M5" s="6380"/>
      <c r="N5" s="6373" t="s">
        <v>51</v>
      </c>
      <c r="O5" s="6373" t="s">
        <v>1869</v>
      </c>
      <c r="P5" s="6373" t="s">
        <v>53</v>
      </c>
      <c r="Q5" s="6375" t="s">
        <v>1867</v>
      </c>
      <c r="R5" s="6376"/>
      <c r="S5" s="6377"/>
      <c r="T5" s="6373" t="s">
        <v>51</v>
      </c>
      <c r="U5" s="6373" t="s">
        <v>1870</v>
      </c>
      <c r="V5" s="6373" t="s">
        <v>53</v>
      </c>
      <c r="W5" s="6375" t="s">
        <v>1867</v>
      </c>
      <c r="X5" s="6376"/>
      <c r="Y5" s="6377"/>
      <c r="Z5" s="6381" t="s">
        <v>51</v>
      </c>
      <c r="AA5" s="6381" t="s">
        <v>1871</v>
      </c>
      <c r="AB5" s="6381" t="s">
        <v>53</v>
      </c>
      <c r="AC5" s="6383" t="s">
        <v>1867</v>
      </c>
      <c r="AD5" s="6384"/>
      <c r="AE5" s="6385"/>
      <c r="AF5" s="6386" t="s">
        <v>51</v>
      </c>
      <c r="AG5" s="6386" t="s">
        <v>1872</v>
      </c>
      <c r="AH5" s="6386" t="s">
        <v>53</v>
      </c>
      <c r="AI5" s="6378" t="s">
        <v>1867</v>
      </c>
      <c r="AJ5" s="6379"/>
      <c r="AK5" s="6380"/>
      <c r="AL5" s="6373" t="s">
        <v>51</v>
      </c>
      <c r="AM5" s="6373" t="s">
        <v>1873</v>
      </c>
      <c r="AN5" s="6373" t="s">
        <v>53</v>
      </c>
      <c r="AO5" s="6375" t="s">
        <v>1867</v>
      </c>
      <c r="AP5" s="6376"/>
      <c r="AQ5" s="6377"/>
      <c r="AR5" s="6373" t="s">
        <v>51</v>
      </c>
      <c r="AS5" s="6373" t="s">
        <v>1872</v>
      </c>
      <c r="AT5" s="6373" t="s">
        <v>53</v>
      </c>
      <c r="AU5" s="6375" t="s">
        <v>1867</v>
      </c>
      <c r="AV5" s="6376"/>
      <c r="AW5" s="6377"/>
      <c r="AX5" s="6373" t="s">
        <v>51</v>
      </c>
      <c r="AY5" s="6373" t="s">
        <v>1872</v>
      </c>
      <c r="AZ5" s="6373" t="s">
        <v>53</v>
      </c>
      <c r="BA5" s="6375" t="s">
        <v>1867</v>
      </c>
      <c r="BB5" s="6376"/>
      <c r="BC5" s="6377"/>
      <c r="BD5" s="6373" t="s">
        <v>51</v>
      </c>
      <c r="BE5" s="6373" t="s">
        <v>1872</v>
      </c>
      <c r="BF5" s="6373" t="s">
        <v>53</v>
      </c>
      <c r="BG5" s="6375" t="s">
        <v>1867</v>
      </c>
      <c r="BH5" s="6376"/>
      <c r="BI5" s="6377"/>
      <c r="BJ5" s="6373" t="s">
        <v>51</v>
      </c>
      <c r="BK5" s="6373" t="s">
        <v>1872</v>
      </c>
      <c r="BL5" s="6373" t="s">
        <v>53</v>
      </c>
      <c r="BM5" s="6375" t="s">
        <v>1867</v>
      </c>
      <c r="BN5" s="6376"/>
      <c r="BO5" s="6377"/>
    </row>
    <row r="6" spans="1:67" s="3074" customFormat="1" ht="79.5" customHeight="1">
      <c r="A6" s="6329"/>
      <c r="B6" s="6387"/>
      <c r="C6" s="6395"/>
      <c r="D6" s="6388"/>
      <c r="E6" s="3038" t="s">
        <v>54</v>
      </c>
      <c r="F6" s="3038" t="s">
        <v>55</v>
      </c>
      <c r="G6" s="3038" t="s">
        <v>56</v>
      </c>
      <c r="H6" s="6387"/>
      <c r="I6" s="6387"/>
      <c r="J6" s="6387"/>
      <c r="K6" s="3038" t="s">
        <v>54</v>
      </c>
      <c r="L6" s="3038" t="s">
        <v>55</v>
      </c>
      <c r="M6" s="3038" t="s">
        <v>56</v>
      </c>
      <c r="N6" s="6374"/>
      <c r="O6" s="6374"/>
      <c r="P6" s="6374"/>
      <c r="Q6" s="1538" t="s">
        <v>54</v>
      </c>
      <c r="R6" s="1538" t="s">
        <v>55</v>
      </c>
      <c r="S6" s="1538" t="s">
        <v>56</v>
      </c>
      <c r="T6" s="6374"/>
      <c r="U6" s="6374"/>
      <c r="V6" s="6374"/>
      <c r="W6" s="1538" t="s">
        <v>54</v>
      </c>
      <c r="X6" s="1538" t="s">
        <v>55</v>
      </c>
      <c r="Y6" s="1538" t="s">
        <v>56</v>
      </c>
      <c r="Z6" s="6382"/>
      <c r="AA6" s="6382"/>
      <c r="AB6" s="6382"/>
      <c r="AC6" s="3075" t="s">
        <v>54</v>
      </c>
      <c r="AD6" s="3075" t="s">
        <v>55</v>
      </c>
      <c r="AE6" s="3075" t="s">
        <v>56</v>
      </c>
      <c r="AF6" s="6387"/>
      <c r="AG6" s="6387"/>
      <c r="AH6" s="6387"/>
      <c r="AI6" s="3038" t="s">
        <v>54</v>
      </c>
      <c r="AJ6" s="3038" t="s">
        <v>55</v>
      </c>
      <c r="AK6" s="3038" t="s">
        <v>56</v>
      </c>
      <c r="AL6" s="6374"/>
      <c r="AM6" s="6374"/>
      <c r="AN6" s="6374"/>
      <c r="AO6" s="1538" t="s">
        <v>54</v>
      </c>
      <c r="AP6" s="1538" t="s">
        <v>55</v>
      </c>
      <c r="AQ6" s="1538" t="s">
        <v>56</v>
      </c>
      <c r="AR6" s="6374"/>
      <c r="AS6" s="6374"/>
      <c r="AT6" s="6374"/>
      <c r="AU6" s="1538" t="s">
        <v>54</v>
      </c>
      <c r="AV6" s="1538" t="s">
        <v>55</v>
      </c>
      <c r="AW6" s="1538" t="s">
        <v>56</v>
      </c>
      <c r="AX6" s="6374"/>
      <c r="AY6" s="6374"/>
      <c r="AZ6" s="6374"/>
      <c r="BA6" s="1538" t="s">
        <v>54</v>
      </c>
      <c r="BB6" s="1538" t="s">
        <v>55</v>
      </c>
      <c r="BC6" s="1538" t="s">
        <v>56</v>
      </c>
      <c r="BD6" s="6374"/>
      <c r="BE6" s="6374"/>
      <c r="BF6" s="6374"/>
      <c r="BG6" s="1538" t="s">
        <v>54</v>
      </c>
      <c r="BH6" s="1538" t="s">
        <v>55</v>
      </c>
      <c r="BI6" s="1538" t="s">
        <v>56</v>
      </c>
      <c r="BJ6" s="6374"/>
      <c r="BK6" s="6374"/>
      <c r="BL6" s="6374"/>
      <c r="BM6" s="1538" t="s">
        <v>54</v>
      </c>
      <c r="BN6" s="1538" t="s">
        <v>55</v>
      </c>
      <c r="BO6" s="1538" t="s">
        <v>56</v>
      </c>
    </row>
    <row r="7" spans="1:67" s="3079" customFormat="1">
      <c r="A7" s="3076">
        <v>1</v>
      </c>
      <c r="B7" s="3076">
        <v>2</v>
      </c>
      <c r="C7" s="3076">
        <v>3</v>
      </c>
      <c r="D7" s="3076"/>
      <c r="E7" s="3076"/>
      <c r="F7" s="3076"/>
      <c r="G7" s="3076"/>
      <c r="H7" s="3076" t="s">
        <v>1874</v>
      </c>
      <c r="I7" s="3076" t="s">
        <v>1875</v>
      </c>
      <c r="J7" s="3076">
        <v>6</v>
      </c>
      <c r="K7" s="3076" t="s">
        <v>1876</v>
      </c>
      <c r="L7" s="3076">
        <v>8</v>
      </c>
      <c r="M7" s="3076">
        <v>9</v>
      </c>
      <c r="N7" s="3077" t="s">
        <v>1877</v>
      </c>
      <c r="O7" s="3077" t="s">
        <v>1878</v>
      </c>
      <c r="P7" s="3077">
        <v>12</v>
      </c>
      <c r="Q7" s="3077" t="s">
        <v>1879</v>
      </c>
      <c r="R7" s="3077">
        <v>14</v>
      </c>
      <c r="S7" s="3077">
        <v>15</v>
      </c>
      <c r="T7" s="3077" t="s">
        <v>1877</v>
      </c>
      <c r="U7" s="3077" t="s">
        <v>1878</v>
      </c>
      <c r="V7" s="3077">
        <v>12</v>
      </c>
      <c r="W7" s="3077" t="s">
        <v>1879</v>
      </c>
      <c r="X7" s="3077">
        <v>14</v>
      </c>
      <c r="Y7" s="3077">
        <v>15</v>
      </c>
      <c r="Z7" s="3076">
        <v>16</v>
      </c>
      <c r="AA7" s="3076" t="s">
        <v>1880</v>
      </c>
      <c r="AB7" s="3076">
        <v>18</v>
      </c>
      <c r="AC7" s="3076" t="s">
        <v>1881</v>
      </c>
      <c r="AD7" s="3076">
        <v>20</v>
      </c>
      <c r="AE7" s="3076">
        <v>21</v>
      </c>
      <c r="AF7" s="3076">
        <v>22</v>
      </c>
      <c r="AG7" s="3076" t="s">
        <v>1882</v>
      </c>
      <c r="AH7" s="3076">
        <v>24</v>
      </c>
      <c r="AI7" s="3076" t="s">
        <v>1883</v>
      </c>
      <c r="AJ7" s="3076">
        <v>26</v>
      </c>
      <c r="AK7" s="3076">
        <v>27</v>
      </c>
      <c r="AL7" s="3078"/>
      <c r="AM7" s="3078"/>
      <c r="AN7" s="3078"/>
      <c r="AO7" s="3078"/>
      <c r="AP7" s="3078"/>
      <c r="AQ7" s="3078"/>
      <c r="AR7" s="3078"/>
      <c r="AS7" s="3078"/>
      <c r="AT7" s="3078"/>
      <c r="AU7" s="3078"/>
      <c r="AV7" s="3078"/>
      <c r="AW7" s="3078"/>
      <c r="AX7" s="3078"/>
      <c r="AY7" s="3078"/>
      <c r="AZ7" s="3078"/>
      <c r="BA7" s="3078"/>
      <c r="BB7" s="3078"/>
      <c r="BC7" s="3078"/>
      <c r="BD7" s="3078"/>
      <c r="BE7" s="3078"/>
      <c r="BF7" s="3078"/>
      <c r="BG7" s="3078"/>
      <c r="BH7" s="3078"/>
      <c r="BI7" s="3078"/>
      <c r="BJ7" s="3078"/>
      <c r="BK7" s="3078"/>
      <c r="BL7" s="3078"/>
      <c r="BM7" s="3078"/>
      <c r="BN7" s="3078"/>
      <c r="BO7" s="3078"/>
    </row>
    <row r="8" spans="1:67" s="3091" customFormat="1">
      <c r="A8" s="3080" t="s">
        <v>1</v>
      </c>
      <c r="B8" s="3081" t="s">
        <v>2</v>
      </c>
      <c r="C8" s="3082">
        <f t="shared" ref="C8:H8" si="0">SUM(C9,C49)</f>
        <v>6818777</v>
      </c>
      <c r="D8" s="3083">
        <f t="shared" si="0"/>
        <v>1009000</v>
      </c>
      <c r="E8" s="3083">
        <f t="shared" si="0"/>
        <v>5809777</v>
      </c>
      <c r="F8" s="3083">
        <f t="shared" si="0"/>
        <v>3489997</v>
      </c>
      <c r="G8" s="3083">
        <f t="shared" si="0"/>
        <v>2319780</v>
      </c>
      <c r="H8" s="3083">
        <f t="shared" si="0"/>
        <v>7877094.2005829997</v>
      </c>
      <c r="I8" s="3084">
        <f>H8/C8*100</f>
        <v>115.52063076095611</v>
      </c>
      <c r="J8" s="3085">
        <f>SUM(J9,J49)</f>
        <v>1011247.5696699999</v>
      </c>
      <c r="K8" s="3085">
        <f>SUM(K9,K49)</f>
        <v>6865846.6309129996</v>
      </c>
      <c r="L8" s="3085">
        <f>SUM(L9,L49)</f>
        <v>3854279.9841919998</v>
      </c>
      <c r="M8" s="3085">
        <f>SUM(M9,M49)</f>
        <v>3011566.6467210003</v>
      </c>
      <c r="N8" s="3086">
        <f>+N9+N49</f>
        <v>7590000</v>
      </c>
      <c r="O8" s="3087">
        <f>N8/H8*100</f>
        <v>96.355328585993661</v>
      </c>
      <c r="P8" s="3086">
        <f>+P9+P49</f>
        <v>886000</v>
      </c>
      <c r="Q8" s="3086">
        <f>+Q9+Q49</f>
        <v>6704000</v>
      </c>
      <c r="R8" s="3086">
        <f>+R9+R49</f>
        <v>3806650</v>
      </c>
      <c r="S8" s="3086">
        <f>+S9+S49</f>
        <v>2897350</v>
      </c>
      <c r="T8" s="3086">
        <f>+T9+T49</f>
        <v>8150745.3199999984</v>
      </c>
      <c r="U8" s="3087">
        <f>T8/N8*100</f>
        <v>107.38794888010538</v>
      </c>
      <c r="V8" s="3086">
        <f>+V9+V49</f>
        <v>700345.52</v>
      </c>
      <c r="W8" s="3086">
        <f>+W9+W49</f>
        <v>7450399.7999999989</v>
      </c>
      <c r="X8" s="3086">
        <f>+X9+X49</f>
        <v>3862350.7333333334</v>
      </c>
      <c r="Y8" s="3086">
        <f>+Y9+Y49</f>
        <v>3588049.0666666669</v>
      </c>
      <c r="Z8" s="1665">
        <f>SUM(Z9,Z49)</f>
        <v>9266000</v>
      </c>
      <c r="AA8" s="3088">
        <f>Z8/T8*100</f>
        <v>113.68285520176211</v>
      </c>
      <c r="AB8" s="1665">
        <f>SUM(AB9,AB49)</f>
        <v>781000</v>
      </c>
      <c r="AC8" s="1665">
        <f>SUM(AC9,AC49)</f>
        <v>8485000</v>
      </c>
      <c r="AD8" s="1665">
        <f>SUM(AD9,AD49)</f>
        <v>4444520</v>
      </c>
      <c r="AE8" s="1665">
        <f>SUM(AE9,AE49)</f>
        <v>4040480</v>
      </c>
      <c r="AF8" s="1665">
        <f>SUM(AF9,AF49)</f>
        <v>10162499.699999999</v>
      </c>
      <c r="AG8" s="3084">
        <f>AF8/Z8*100</f>
        <v>109.67515324843514</v>
      </c>
      <c r="AH8" s="3083">
        <f>SUM(AH9,AH49)</f>
        <v>1045229.5294117647</v>
      </c>
      <c r="AI8" s="3083">
        <f>SUM(AI9,AI49)</f>
        <v>9117270.1705882363</v>
      </c>
      <c r="AJ8" s="3083">
        <f>SUM(AJ9,AJ49)</f>
        <v>5578469.4842953607</v>
      </c>
      <c r="AK8" s="3083">
        <f>SUM(AK9,AK49)</f>
        <v>3538800.6862928737</v>
      </c>
      <c r="AL8" s="174">
        <f>SUM(AL9+AL49)</f>
        <v>11039000</v>
      </c>
      <c r="AM8" s="3088">
        <f>AL8/AF8*100</f>
        <v>108.62484945510012</v>
      </c>
      <c r="AN8" s="174">
        <f>SUM(AN9,AN49)</f>
        <v>1125148.2938914755</v>
      </c>
      <c r="AO8" s="174">
        <f>SUM(AO9,AO49)</f>
        <v>9913851.7061085254</v>
      </c>
      <c r="AP8" s="174">
        <f>SUM(AP9,AP49)</f>
        <v>6138351.7346643656</v>
      </c>
      <c r="AQ8" s="174">
        <f>SUM(AQ9,AQ49)</f>
        <v>3775499.9714441583</v>
      </c>
      <c r="AR8" s="3089">
        <f>SUM(AR9+AR49)</f>
        <v>11935999.6</v>
      </c>
      <c r="AS8" s="3090">
        <f>AR8/AL8*100</f>
        <v>108.12573240329739</v>
      </c>
      <c r="AT8" s="3089">
        <f>SUM(AT9,AT49)</f>
        <v>1229999.6000000001</v>
      </c>
      <c r="AU8" s="3089">
        <f>SUM(AU9,AU49)</f>
        <v>10706000</v>
      </c>
      <c r="AV8" s="3089">
        <f>SUM(AV9,AV49)</f>
        <v>6572000</v>
      </c>
      <c r="AW8" s="3089">
        <f>SUM(AW9,AW49)</f>
        <v>4134000</v>
      </c>
      <c r="AX8" s="3089">
        <f>SUM(AX9+AX49)</f>
        <v>12893500.18296</v>
      </c>
      <c r="AY8" s="3090">
        <f>AX8/AR8*100</f>
        <v>108.02195555502531</v>
      </c>
      <c r="AZ8" s="3089">
        <f>SUM(AZ9,AZ49)</f>
        <v>1341500.1829599999</v>
      </c>
      <c r="BA8" s="3089">
        <f>SUM(BA9,BA49)</f>
        <v>11552000</v>
      </c>
      <c r="BB8" s="3089">
        <f>SUM(BB9,BB49)</f>
        <v>6859000</v>
      </c>
      <c r="BC8" s="3089">
        <f>SUM(BC9,BC49)</f>
        <v>4693000</v>
      </c>
      <c r="BD8" s="3089">
        <f>SUM(BD9+BD49)</f>
        <v>13961499.790937057</v>
      </c>
      <c r="BE8" s="3090">
        <f>BD8/AX8*100</f>
        <v>108.28324033677465</v>
      </c>
      <c r="BF8" s="3089">
        <f>SUM(BF9,BF49)</f>
        <v>1455499.7909370561</v>
      </c>
      <c r="BG8" s="3089">
        <f>SUM(BG9,BG49)</f>
        <v>12506000</v>
      </c>
      <c r="BH8" s="3089">
        <f>SUM(BH9,BH49)</f>
        <v>7291000</v>
      </c>
      <c r="BI8" s="3089">
        <f>SUM(BI9,BI49)</f>
        <v>5215000</v>
      </c>
      <c r="BJ8" s="3089">
        <f>SUM(BJ9+BJ49)</f>
        <v>15199999.781738287</v>
      </c>
      <c r="BK8" s="3090">
        <f>BJ8/BD8*100</f>
        <v>108.87082340254868</v>
      </c>
      <c r="BL8" s="3089">
        <f>SUM(BL9,BL49)</f>
        <v>1562999.7817382864</v>
      </c>
      <c r="BM8" s="3089">
        <f>SUM(BM9,BM49)</f>
        <v>13637000</v>
      </c>
      <c r="BN8" s="3089">
        <f>SUM(BN9,BN49)</f>
        <v>7808000</v>
      </c>
      <c r="BO8" s="3089">
        <f>SUM(BO9,BO49)</f>
        <v>5829000</v>
      </c>
    </row>
    <row r="9" spans="1:67" s="3091" customFormat="1">
      <c r="A9" s="3092" t="s">
        <v>3</v>
      </c>
      <c r="B9" s="3093" t="s">
        <v>4</v>
      </c>
      <c r="C9" s="3094">
        <f t="shared" ref="C9:H9" si="1">SUM(C11,C17,C23,C28,C34:C45,C47:C48)</f>
        <v>6708777</v>
      </c>
      <c r="D9" s="3094">
        <f t="shared" si="1"/>
        <v>899000</v>
      </c>
      <c r="E9" s="3094">
        <f t="shared" si="1"/>
        <v>5809777</v>
      </c>
      <c r="F9" s="3094">
        <f t="shared" si="1"/>
        <v>3489997</v>
      </c>
      <c r="G9" s="3094">
        <f t="shared" si="1"/>
        <v>2319780</v>
      </c>
      <c r="H9" s="3094">
        <f t="shared" si="1"/>
        <v>7487310.8303279998</v>
      </c>
      <c r="I9" s="3095">
        <f>H9/C9*100</f>
        <v>111.60470575080971</v>
      </c>
      <c r="J9" s="3094">
        <f>SUM(J11,J17,J23,J28,J34:J45,J47:J48)</f>
        <v>621464.19941499992</v>
      </c>
      <c r="K9" s="3094">
        <f>SUM(K11,K17,K23,K28,K34:K45,K47:K48)</f>
        <v>6865846.6309129996</v>
      </c>
      <c r="L9" s="3094">
        <f>SUM(L11,L17,L23,L28,L34:L45,L47:L48)</f>
        <v>3854279.9841919998</v>
      </c>
      <c r="M9" s="3094">
        <f>SUM(M11,M17,M23,M28,M34:M45,M47:M48)</f>
        <v>3011566.6467210003</v>
      </c>
      <c r="N9" s="174">
        <f>N11+N17+N23+N28+SUM(N34:N45)+N47+N48</f>
        <v>7440000</v>
      </c>
      <c r="O9" s="3096">
        <f>N9/H9*100</f>
        <v>99.368119857714959</v>
      </c>
      <c r="P9" s="174">
        <f>P11+P17+P23+P28+SUM(P34:P45)+P47+P48</f>
        <v>736000</v>
      </c>
      <c r="Q9" s="174">
        <f>Q11+Q17+Q23+Q28+SUM(Q34:Q45)+Q47+Q48</f>
        <v>6704000</v>
      </c>
      <c r="R9" s="174">
        <f>R11+R17+R23+R28+SUM(R34:R45)+R47+R48</f>
        <v>3806650</v>
      </c>
      <c r="S9" s="174">
        <f>S11+S17+S23+S28+SUM(S34:S45)+S47+S48</f>
        <v>2897350</v>
      </c>
      <c r="T9" s="174">
        <f>T11+T17+T23+T28+SUM(T34:T45)+T47+T48</f>
        <v>7999999.7999999989</v>
      </c>
      <c r="U9" s="3096">
        <f>T9/N9*100</f>
        <v>107.52687903225807</v>
      </c>
      <c r="V9" s="174">
        <f>V11+V17+V23+V28+SUM(V34:V45)+V47+V48</f>
        <v>549600</v>
      </c>
      <c r="W9" s="174">
        <f>W11+W17+W23+W28+SUM(W34:W45)+W47+W48</f>
        <v>7450399.7999999989</v>
      </c>
      <c r="X9" s="174">
        <f>X11+X17+X23+X28+SUM(X34:X45)+X47+X48</f>
        <v>3862350.7333333334</v>
      </c>
      <c r="Y9" s="174">
        <f>Y11+Y17+Y23+Y28+SUM(Y34:Y45)+Y47+Y48</f>
        <v>3588049.0666666669</v>
      </c>
      <c r="Z9" s="174">
        <f>SUM(Z11,Z17,Z23,Z28,Z34:Z45,Z47:Z48)</f>
        <v>9066000</v>
      </c>
      <c r="AA9" s="3088">
        <f t="shared" ref="AA9:AA10" si="2">Z9/T9*100</f>
        <v>113.32500283312508</v>
      </c>
      <c r="AB9" s="174">
        <f>SUM(AB11,AB17,AB23,AB28,AB34:AB45,AB47:AB48)</f>
        <v>581000</v>
      </c>
      <c r="AC9" s="174">
        <f>SUM(AC11,AC17,AC23,AC28,AC34:AC45,AC47:AC48)</f>
        <v>8485000</v>
      </c>
      <c r="AD9" s="174">
        <f>SUM(AD11,AD17,AD23,AD28,AD34:AD45,AD47:AD48)</f>
        <v>4444520</v>
      </c>
      <c r="AE9" s="174">
        <f>SUM(AE11,AE17,AE23,AE28,AE34:AE45,AE47:AE48)</f>
        <v>4040480</v>
      </c>
      <c r="AF9" s="174">
        <f>SUM(AF11,AF17,AF23,AF28,AF34:AF45,AF47:AF48)</f>
        <v>9999999.6999999993</v>
      </c>
      <c r="AG9" s="3095">
        <f>AF9/Z9*100</f>
        <v>110.30222479594087</v>
      </c>
      <c r="AH9" s="3094">
        <f>SUM(AH11,AH17,AH23,AH28,AH34:AH45,AH47:AH48)</f>
        <v>882729.5294117647</v>
      </c>
      <c r="AI9" s="3094">
        <f>SUM(AI11,AI17,AI23,AI28,AI34:AI45,AI47:AI48)</f>
        <v>9117270.1705882363</v>
      </c>
      <c r="AJ9" s="3094">
        <f>SUM(AJ11,AJ17,AJ23,AJ28,AJ34:AJ45,AJ47:AJ48)</f>
        <v>5578469.4842953607</v>
      </c>
      <c r="AK9" s="3094">
        <f>SUM(AK11,AK17,AK23,AK28,AK34:AK45,AK47:AK48)</f>
        <v>3538800.6862928737</v>
      </c>
      <c r="AL9" s="174">
        <f>SUM(AL11,AL17,AL23,AL28,AL34:AL45,AL47:AL48)</f>
        <v>10870000</v>
      </c>
      <c r="AM9" s="3088">
        <f>AL9/AF9*100</f>
        <v>108.70000326100011</v>
      </c>
      <c r="AN9" s="174">
        <f>SUM(AN11,AN17,AN23,AN28,AN34:AN45,AN47:AN48)</f>
        <v>956148.29389147565</v>
      </c>
      <c r="AO9" s="174">
        <f>SUM(AO11,AO17,AO23,AO28,AO34:AO45,AO47:AO48)</f>
        <v>9913851.7061085254</v>
      </c>
      <c r="AP9" s="174">
        <f>SUM(AP11,AP17,AP23,AP28,AP34:AP45,AP47:AP48)</f>
        <v>6138351.7346643656</v>
      </c>
      <c r="AQ9" s="174">
        <f>SUM(AQ11,AQ17,AQ23,AQ28,AQ34:AQ45,AQ47:AQ48)</f>
        <v>3775499.9714441583</v>
      </c>
      <c r="AR9" s="3089">
        <f>SUM(AR11,AR17,AR23,AR28,AR34:AR45,AR47:AR48)</f>
        <v>11760000</v>
      </c>
      <c r="AS9" s="3090">
        <f>AR9/AL9*100</f>
        <v>108.18767249310028</v>
      </c>
      <c r="AT9" s="3089">
        <f>SUM(AT11,AT17,AT23,AT28,AT34:AT45,AT47:AT48)</f>
        <v>1054000</v>
      </c>
      <c r="AU9" s="3089">
        <f>SUM(AU11,AU17,AU23,AU28,AU34:AU45,AU47:AU48)</f>
        <v>10706000</v>
      </c>
      <c r="AV9" s="3089">
        <f>SUM(AV11,AV17,AV23,AV28,AV34:AV45,AV47:AV48)</f>
        <v>6572000</v>
      </c>
      <c r="AW9" s="3089">
        <f>SUM(AW11,AW17,AW23,AW28,AW34:AW45,AW47:AW48)</f>
        <v>4134000</v>
      </c>
      <c r="AX9" s="3089">
        <f>SUM(AX11,AX17,AX23,AX28,AX34:AX45,AX47:AX48)</f>
        <v>12710000</v>
      </c>
      <c r="AY9" s="3090">
        <f>AX9/AR9*100</f>
        <v>108.07823129251702</v>
      </c>
      <c r="AZ9" s="3089">
        <f>SUM(AZ11,AZ17,AZ23,AZ28,AZ34:AZ45,AZ47:AZ48)</f>
        <v>1158000</v>
      </c>
      <c r="BA9" s="3089">
        <f>SUM(BA11,BA17,BA23,BA28,BA34:BA45,BA47:BA48)</f>
        <v>11552000</v>
      </c>
      <c r="BB9" s="3089">
        <f>SUM(BB11,BB17,BB23,BB28,BB34:BB45,BB47:BB48)</f>
        <v>6859000</v>
      </c>
      <c r="BC9" s="3089">
        <f>SUM(BC11,BC17,BC23,BC28,BC34:BC45,BC47:BC48)</f>
        <v>4693000</v>
      </c>
      <c r="BD9" s="3089">
        <f>SUM(BD11,BD17,BD23,BD28,BD34:BD45,BD47:BD48)</f>
        <v>13770000</v>
      </c>
      <c r="BE9" s="3090">
        <f>BD9/AX9*100</f>
        <v>108.33988985051141</v>
      </c>
      <c r="BF9" s="3089">
        <f>SUM(BF11,BF17,BF23,BF28,BF34:BF45,BF47:BF48)</f>
        <v>1264000</v>
      </c>
      <c r="BG9" s="3089">
        <f>SUM(BG11,BG17,BG23,BG28,BG34:BG45,BG47:BG48)</f>
        <v>12506000</v>
      </c>
      <c r="BH9" s="3089">
        <f>SUM(BH11,BH17,BH23,BH28,BH34:BH45,BH47:BH48)</f>
        <v>7291000</v>
      </c>
      <c r="BI9" s="3089">
        <f>SUM(BI11,BI17,BI23,BI28,BI34:BI45,BI47:BI48)</f>
        <v>5215000</v>
      </c>
      <c r="BJ9" s="3089">
        <f>SUM(BJ11,BJ17,BJ23,BJ28,BJ34:BJ45,BJ47:BJ48)</f>
        <v>15000000</v>
      </c>
      <c r="BK9" s="3090">
        <f>BJ9/BD9*100</f>
        <v>108.93246187363835</v>
      </c>
      <c r="BL9" s="3089">
        <f>SUM(BL11,BL17,BL23,BL28,BL34:BL45,BL47:BL48)</f>
        <v>1363000</v>
      </c>
      <c r="BM9" s="3089">
        <f>SUM(BM11,BM17,BM23,BM28,BM34:BM45,BM47:BM48)</f>
        <v>13637000</v>
      </c>
      <c r="BN9" s="3089">
        <f>SUM(BN11,BN17,BN23,BN28,BN34:BN45,BN47:BN48)</f>
        <v>7808000</v>
      </c>
      <c r="BO9" s="3089">
        <f>SUM(BO11,BO17,BO23,BO28,BO34:BO45,BO47:BO48)</f>
        <v>5829000</v>
      </c>
    </row>
    <row r="10" spans="1:67" s="3091" customFormat="1">
      <c r="A10" s="3092"/>
      <c r="B10" s="3093" t="s">
        <v>1884</v>
      </c>
      <c r="C10" s="3094">
        <f t="shared" ref="C10:H10" si="3">C9-C40-C48-C45</f>
        <v>4310000</v>
      </c>
      <c r="D10" s="3094">
        <f t="shared" si="3"/>
        <v>899000</v>
      </c>
      <c r="E10" s="3094">
        <f t="shared" si="3"/>
        <v>3411000</v>
      </c>
      <c r="F10" s="3094">
        <f t="shared" si="3"/>
        <v>1791220</v>
      </c>
      <c r="G10" s="3094">
        <f t="shared" si="3"/>
        <v>1619780</v>
      </c>
      <c r="H10" s="3094">
        <f t="shared" si="3"/>
        <v>4638245.6744579999</v>
      </c>
      <c r="I10" s="3095">
        <f>H10/C10*100</f>
        <v>107.61590892013922</v>
      </c>
      <c r="J10" s="3094">
        <f>J9-J40-J48-J45</f>
        <v>621464.19941499992</v>
      </c>
      <c r="K10" s="3094">
        <f>K9-K40-K48-K45</f>
        <v>4016781.4750429997</v>
      </c>
      <c r="L10" s="3094">
        <f>L9-L40-L48-L45</f>
        <v>1905214.8283219999</v>
      </c>
      <c r="M10" s="3094">
        <f>M9-M40-M48-M45</f>
        <v>2111566.6467210003</v>
      </c>
      <c r="N10" s="174">
        <f>N9-N40-N48</f>
        <v>4940000</v>
      </c>
      <c r="O10" s="3088">
        <f>N10/H10*100</f>
        <v>106.50578573713135</v>
      </c>
      <c r="P10" s="174">
        <f>P9-P40-P48-P45</f>
        <v>736000</v>
      </c>
      <c r="Q10" s="174">
        <f>Q9-Q40-Q48-Q45</f>
        <v>4154000</v>
      </c>
      <c r="R10" s="174">
        <f>R9-R40-R48</f>
        <v>2106650</v>
      </c>
      <c r="S10" s="174">
        <f>S9-S40-S48</f>
        <v>2097350</v>
      </c>
      <c r="T10" s="174">
        <f>T9-T40-T48-T45</f>
        <v>4869999.7999999989</v>
      </c>
      <c r="U10" s="3088">
        <f>T10/N10*100</f>
        <v>98.582991902833982</v>
      </c>
      <c r="V10" s="174">
        <f>V9-V40-V48-V45</f>
        <v>549600</v>
      </c>
      <c r="W10" s="174">
        <f>W9-W40-W48-W45</f>
        <v>4320399.7999999989</v>
      </c>
      <c r="X10" s="174">
        <f>X9-X40-X48</f>
        <v>1812350.7333333334</v>
      </c>
      <c r="Y10" s="174">
        <f>Y9-Y40-Y48</f>
        <v>2608049.0666666669</v>
      </c>
      <c r="Z10" s="174">
        <f>Z9-Z40-Z48-Z45</f>
        <v>5309000</v>
      </c>
      <c r="AA10" s="3088">
        <f t="shared" si="2"/>
        <v>109.01437819360899</v>
      </c>
      <c r="AB10" s="174">
        <f>AB9-AB40-AB48-AB45</f>
        <v>581000</v>
      </c>
      <c r="AC10" s="174">
        <f>AC9-AC40-AC48-AC45</f>
        <v>4728000</v>
      </c>
      <c r="AD10" s="174">
        <f>AD9-AD40-AD48-AD45</f>
        <v>1830520</v>
      </c>
      <c r="AE10" s="174">
        <f>AE9-AE40-AE48-AE45</f>
        <v>2897480</v>
      </c>
      <c r="AF10" s="174">
        <f>AF9-AF40-AF48-AF45</f>
        <v>6363999.6999999993</v>
      </c>
      <c r="AG10" s="3095">
        <f>AF10/Z10*100</f>
        <v>119.87190996421171</v>
      </c>
      <c r="AH10" s="3094">
        <f>AH9-AH40-AH48-AH45</f>
        <v>882729.5294117647</v>
      </c>
      <c r="AI10" s="3094">
        <f>AI9-AI40-AI48-AI45</f>
        <v>5481270.1705882363</v>
      </c>
      <c r="AJ10" s="3094">
        <f>AJ9-AJ40-AJ48-AJ45</f>
        <v>2717369.7385326494</v>
      </c>
      <c r="AK10" s="3094">
        <f>AK9-AK40-AK48-AK45</f>
        <v>2763900.4320555856</v>
      </c>
      <c r="AL10" s="174">
        <f>AL9-AL40-AL48-AL45</f>
        <v>6990000</v>
      </c>
      <c r="AM10" s="3088">
        <f>AL10/AF10*100</f>
        <v>109.83658594452794</v>
      </c>
      <c r="AN10" s="174">
        <f>AN9-AN40-AN48-AN45</f>
        <v>956148.29389147565</v>
      </c>
      <c r="AO10" s="174">
        <f>AO9-AO40-AO48-AO45</f>
        <v>6033851.7061085254</v>
      </c>
      <c r="AP10" s="174">
        <f>AP9-AP40-AP48-AP45</f>
        <v>3071952.0016135182</v>
      </c>
      <c r="AQ10" s="174">
        <f>AQ9-AQ40-AQ48-AQ45</f>
        <v>2961899.7044950058</v>
      </c>
      <c r="AR10" s="3089">
        <f>AR9-AR40-AR48-AR45</f>
        <v>7730000</v>
      </c>
      <c r="AS10" s="3090">
        <f>AR10/AL10*100</f>
        <v>110.5865522174535</v>
      </c>
      <c r="AT10" s="3089">
        <f>AT9-AT40-AT48-AT45</f>
        <v>1054000</v>
      </c>
      <c r="AU10" s="3089">
        <f>AU9-AU40-AU48-AU45</f>
        <v>6676000</v>
      </c>
      <c r="AV10" s="3089">
        <f>AV9-AV40-AV48-AV45</f>
        <v>3381000</v>
      </c>
      <c r="AW10" s="3089">
        <f>AW9-AW40-AW48-AW45</f>
        <v>3295000</v>
      </c>
      <c r="AX10" s="3089">
        <f>AX9-AX40-AX48-AX45</f>
        <v>8560000</v>
      </c>
      <c r="AY10" s="3090">
        <f>AX10/AR10*100</f>
        <v>110.73738680465719</v>
      </c>
      <c r="AZ10" s="3089">
        <f>AZ9-AZ40-AZ48-AZ45</f>
        <v>1158000</v>
      </c>
      <c r="BA10" s="3089">
        <f>BA9-BA40-BA48-BA45</f>
        <v>7402000</v>
      </c>
      <c r="BB10" s="3089">
        <f>BB9-BB40-BB48-BB45</f>
        <v>3580000</v>
      </c>
      <c r="BC10" s="3089">
        <f>BC9-BC40-BC48-BC45</f>
        <v>3822000</v>
      </c>
      <c r="BD10" s="3089">
        <f>BD9-BD40-BD48-BD45</f>
        <v>9510000</v>
      </c>
      <c r="BE10" s="3090">
        <f>BD10/AX10*100</f>
        <v>111.0981308411215</v>
      </c>
      <c r="BF10" s="3089">
        <f>BF9-BF40-BF48-BF45</f>
        <v>1264000</v>
      </c>
      <c r="BG10" s="3089">
        <f>BG9-BG40-BG48-BG45</f>
        <v>8246000</v>
      </c>
      <c r="BH10" s="3089">
        <f>BH9-BH40-BH48-BH45</f>
        <v>3934000</v>
      </c>
      <c r="BI10" s="3089">
        <f>BI9-BI40-BI48-BI45</f>
        <v>4312000</v>
      </c>
      <c r="BJ10" s="3089">
        <f>BJ9-BJ40-BJ48-BJ45</f>
        <v>10580000</v>
      </c>
      <c r="BK10" s="3090">
        <f>BJ10/BD10*100</f>
        <v>111.25131440588854</v>
      </c>
      <c r="BL10" s="3089">
        <f>BL9-BL40-BL48-BL45</f>
        <v>1363000</v>
      </c>
      <c r="BM10" s="3089">
        <f>BM9-BM40-BM48-BM45</f>
        <v>9217000</v>
      </c>
      <c r="BN10" s="3089">
        <f>BN9-BN40-BN48-BN45</f>
        <v>4323000</v>
      </c>
      <c r="BO10" s="3089">
        <f>BO9-BO40-BO48-BO45</f>
        <v>4894000</v>
      </c>
    </row>
    <row r="11" spans="1:67" ht="15" customHeight="1">
      <c r="A11" s="3097">
        <v>1</v>
      </c>
      <c r="B11" s="39" t="s">
        <v>6</v>
      </c>
      <c r="C11" s="3098">
        <f t="shared" ref="C11:H11" si="4">SUM(C12:C16)</f>
        <v>185000</v>
      </c>
      <c r="D11" s="3099">
        <f t="shared" si="4"/>
        <v>0</v>
      </c>
      <c r="E11" s="3099">
        <f t="shared" si="4"/>
        <v>185000</v>
      </c>
      <c r="F11" s="3099">
        <f t="shared" si="4"/>
        <v>185000</v>
      </c>
      <c r="G11" s="3099">
        <f t="shared" si="4"/>
        <v>0</v>
      </c>
      <c r="H11" s="3098">
        <f t="shared" si="4"/>
        <v>227900.049615</v>
      </c>
      <c r="I11" s="3100">
        <f>H11/C11*100</f>
        <v>123.1892160081081</v>
      </c>
      <c r="J11" s="3101">
        <f>SUM(J12:J16)</f>
        <v>0</v>
      </c>
      <c r="K11" s="3101">
        <f>SUM(K12:K16)</f>
        <v>227900.049615</v>
      </c>
      <c r="L11" s="3101">
        <f>SUM(L12:L16)</f>
        <v>227900.049615</v>
      </c>
      <c r="M11" s="3101">
        <f>SUM(M12:M16)</f>
        <v>0</v>
      </c>
      <c r="N11" s="149">
        <f>SUM(N12:N16)</f>
        <v>250000</v>
      </c>
      <c r="O11" s="3102">
        <f>N11/H11*100</f>
        <v>109.69721174801596</v>
      </c>
      <c r="P11" s="149">
        <f>SUM(P12:P16)</f>
        <v>0</v>
      </c>
      <c r="Q11" s="149">
        <f>SUM(Q12:Q16)</f>
        <v>250000</v>
      </c>
      <c r="R11" s="149">
        <f>SUM(R12:R16)</f>
        <v>250000</v>
      </c>
      <c r="S11" s="149">
        <f>SUM(S12:S16)</f>
        <v>0</v>
      </c>
      <c r="T11" s="149">
        <f>SUM(T12:T16)</f>
        <v>210000</v>
      </c>
      <c r="U11" s="149" t="e">
        <f t="shared" ref="U11:Y11" si="5">SUM(U12:U16)</f>
        <v>#DIV/0!</v>
      </c>
      <c r="V11" s="149">
        <f t="shared" si="5"/>
        <v>0</v>
      </c>
      <c r="W11" s="149">
        <f t="shared" si="5"/>
        <v>210000</v>
      </c>
      <c r="X11" s="149">
        <f t="shared" si="5"/>
        <v>210000</v>
      </c>
      <c r="Y11" s="149">
        <f t="shared" si="5"/>
        <v>0</v>
      </c>
      <c r="Z11" s="149">
        <f>SUM(Z12:Z16)</f>
        <v>230000</v>
      </c>
      <c r="AA11" s="3102">
        <f>Z11/T11*100</f>
        <v>109.52380952380953</v>
      </c>
      <c r="AB11" s="149">
        <f>SUM(AB12:AB16)</f>
        <v>0</v>
      </c>
      <c r="AC11" s="149">
        <f>SUM(AC12:AC16)</f>
        <v>230000</v>
      </c>
      <c r="AD11" s="149">
        <f>SUM(AD12:AD16)</f>
        <v>230000</v>
      </c>
      <c r="AE11" s="149">
        <f>SUM(AE12:AE16)</f>
        <v>0</v>
      </c>
      <c r="AF11" s="149">
        <f>SUM(AF12:AF16)</f>
        <v>309999.7</v>
      </c>
      <c r="AG11" s="3100">
        <f>AF11/Z11*100</f>
        <v>134.78247826086957</v>
      </c>
      <c r="AH11" s="3098">
        <f>SUM(AH12:AH16)</f>
        <v>0</v>
      </c>
      <c r="AI11" s="3098">
        <f>SUM(AI12:AI16)</f>
        <v>309999.7</v>
      </c>
      <c r="AJ11" s="3098">
        <f>SUM(AJ12:AJ16)</f>
        <v>309999.7</v>
      </c>
      <c r="AK11" s="3098">
        <f>SUM(AK12:AK16)</f>
        <v>0</v>
      </c>
      <c r="AL11" s="149">
        <f>SUM(AL12:AL16)</f>
        <v>340000</v>
      </c>
      <c r="AM11" s="3102">
        <f>AL11/AF11*100</f>
        <v>109.67752549437949</v>
      </c>
      <c r="AN11" s="149">
        <f>SUM(AN12:AN16)</f>
        <v>0</v>
      </c>
      <c r="AO11" s="149">
        <f>SUM(AO12:AO16)</f>
        <v>340000</v>
      </c>
      <c r="AP11" s="149">
        <f>SUM(AP12:AP16)</f>
        <v>340000</v>
      </c>
      <c r="AQ11" s="149">
        <f>SUM(AQ12:AQ16)</f>
        <v>0</v>
      </c>
      <c r="AR11" s="3103">
        <f>SUM(AR12:AR16)</f>
        <v>370000</v>
      </c>
      <c r="AS11" s="3104">
        <f>AR11/AL11*100</f>
        <v>108.8235294117647</v>
      </c>
      <c r="AT11" s="3103">
        <f>SUM(AT12:AT16)</f>
        <v>0</v>
      </c>
      <c r="AU11" s="3103">
        <f>SUM(AU12:AU16)</f>
        <v>370000</v>
      </c>
      <c r="AV11" s="3103">
        <f>SUM(AV12:AV16)</f>
        <v>370000</v>
      </c>
      <c r="AW11" s="3103">
        <f>SUM(AW12:AW16)</f>
        <v>0</v>
      </c>
      <c r="AX11" s="3103">
        <f>SUM(AX12:AX16)</f>
        <v>410000</v>
      </c>
      <c r="AY11" s="3104">
        <f>AX11/AR11*100</f>
        <v>110.81081081081081</v>
      </c>
      <c r="AZ11" s="3103">
        <f>SUM(AZ12:AZ16)</f>
        <v>0</v>
      </c>
      <c r="BA11" s="3103">
        <f>SUM(BA12:BA16)</f>
        <v>410000</v>
      </c>
      <c r="BB11" s="3103">
        <f>SUM(BB12:BB16)</f>
        <v>410000</v>
      </c>
      <c r="BC11" s="3103">
        <f>SUM(BC12:BC16)</f>
        <v>0</v>
      </c>
      <c r="BD11" s="3103">
        <f>SUM(BD12:BD16)</f>
        <v>455000</v>
      </c>
      <c r="BE11" s="3104">
        <f>BD11/AX11*100</f>
        <v>110.97560975609757</v>
      </c>
      <c r="BF11" s="3103">
        <f>SUM(BF12:BF16)</f>
        <v>0</v>
      </c>
      <c r="BG11" s="3103">
        <f>SUM(BG12:BG16)</f>
        <v>455000</v>
      </c>
      <c r="BH11" s="3103">
        <f>SUM(BH12:BH16)</f>
        <v>455000</v>
      </c>
      <c r="BI11" s="3103">
        <f>SUM(BI12:BI16)</f>
        <v>0</v>
      </c>
      <c r="BJ11" s="3103">
        <f>SUM(BJ12:BJ16)</f>
        <v>510000</v>
      </c>
      <c r="BK11" s="3104">
        <f>BJ11/BD11*100</f>
        <v>112.08791208791209</v>
      </c>
      <c r="BL11" s="3103">
        <f>SUM(BL12:BL16)</f>
        <v>0</v>
      </c>
      <c r="BM11" s="3103">
        <f>SUM(BM12:BM16)</f>
        <v>510000</v>
      </c>
      <c r="BN11" s="3103">
        <f>SUM(BN12:BN16)</f>
        <v>510000</v>
      </c>
      <c r="BO11" s="3103">
        <f>SUM(BO12:BO16)</f>
        <v>0</v>
      </c>
    </row>
    <row r="12" spans="1:67" ht="15.75" customHeight="1">
      <c r="A12" s="3105" t="s">
        <v>29</v>
      </c>
      <c r="B12" s="37" t="s">
        <v>7</v>
      </c>
      <c r="C12" s="3106">
        <f>155000-15000</f>
        <v>140000</v>
      </c>
      <c r="D12" s="3107">
        <v>0</v>
      </c>
      <c r="E12" s="3107">
        <f>C12-D12</f>
        <v>140000</v>
      </c>
      <c r="F12" s="3107">
        <f>E12-G12</f>
        <v>140000</v>
      </c>
      <c r="G12" s="3107">
        <v>0</v>
      </c>
      <c r="H12" s="3108">
        <v>178487.19149200001</v>
      </c>
      <c r="I12" s="3109"/>
      <c r="J12" s="3110"/>
      <c r="K12" s="3110">
        <f>H12-J12</f>
        <v>178487.19149200001</v>
      </c>
      <c r="L12" s="3110">
        <f t="shared" ref="L12:L22" si="6">K12</f>
        <v>178487.19149200001</v>
      </c>
      <c r="M12" s="3110">
        <v>0</v>
      </c>
      <c r="N12" s="154">
        <v>196000</v>
      </c>
      <c r="O12" s="3111"/>
      <c r="P12" s="154"/>
      <c r="Q12" s="154">
        <f>N12-P12</f>
        <v>196000</v>
      </c>
      <c r="R12" s="154">
        <f>Q12</f>
        <v>196000</v>
      </c>
      <c r="S12" s="154">
        <v>0</v>
      </c>
      <c r="T12" s="154">
        <f>'[2]Phụ lục số 1'!T12</f>
        <v>154000</v>
      </c>
      <c r="U12" s="3112">
        <f>T12/N12*100</f>
        <v>78.571428571428569</v>
      </c>
      <c r="V12" s="154"/>
      <c r="W12" s="154">
        <f>T12-V12</f>
        <v>154000</v>
      </c>
      <c r="X12" s="154">
        <f>W12</f>
        <v>154000</v>
      </c>
      <c r="Y12" s="154">
        <v>0</v>
      </c>
      <c r="Z12" s="154">
        <f>'[2]Phụ lục số 1'!AE12</f>
        <v>170000</v>
      </c>
      <c r="AA12" s="3111"/>
      <c r="AB12" s="154"/>
      <c r="AC12" s="154">
        <f>Z12-AB12</f>
        <v>170000</v>
      </c>
      <c r="AD12" s="154">
        <f>AC12</f>
        <v>170000</v>
      </c>
      <c r="AE12" s="154">
        <v>0</v>
      </c>
      <c r="AF12" s="154">
        <f>'[2]Phụ lục số 1'!AK12</f>
        <v>244000</v>
      </c>
      <c r="AG12" s="3109"/>
      <c r="AH12" s="3106"/>
      <c r="AI12" s="3106">
        <f>AF12-AH12</f>
        <v>244000</v>
      </c>
      <c r="AJ12" s="3106">
        <f>AI12</f>
        <v>244000</v>
      </c>
      <c r="AK12" s="3106">
        <v>0</v>
      </c>
      <c r="AL12" s="160">
        <f>'[2]Phụ lục số 1'!AQ12</f>
        <v>268000</v>
      </c>
      <c r="AM12" s="160"/>
      <c r="AN12" s="160"/>
      <c r="AO12" s="154">
        <f>AL12-AN12</f>
        <v>268000</v>
      </c>
      <c r="AP12" s="160">
        <f>AL12</f>
        <v>268000</v>
      </c>
      <c r="AQ12" s="160"/>
      <c r="AR12" s="747">
        <f>'[10]5 năm A'!$R$21</f>
        <v>292000</v>
      </c>
      <c r="AS12" s="747"/>
      <c r="AT12" s="747"/>
      <c r="AU12" s="3113">
        <f>AR12-AT12</f>
        <v>292000</v>
      </c>
      <c r="AV12" s="747">
        <f>AR12</f>
        <v>292000</v>
      </c>
      <c r="AW12" s="747"/>
      <c r="AX12" s="747">
        <f>'[10]5 năm A'!$S$21</f>
        <v>325000</v>
      </c>
      <c r="AY12" s="747"/>
      <c r="AZ12" s="747"/>
      <c r="BA12" s="3113">
        <f>AX12-AZ12</f>
        <v>325000</v>
      </c>
      <c r="BB12" s="747">
        <f>AX12</f>
        <v>325000</v>
      </c>
      <c r="BC12" s="747"/>
      <c r="BD12" s="747">
        <f>'[10]5 năm A'!$T$21</f>
        <v>362000</v>
      </c>
      <c r="BE12" s="747"/>
      <c r="BF12" s="747"/>
      <c r="BG12" s="3113">
        <f>BD12-BF12</f>
        <v>362000</v>
      </c>
      <c r="BH12" s="747">
        <f>BD12</f>
        <v>362000</v>
      </c>
      <c r="BI12" s="747"/>
      <c r="BJ12" s="747">
        <f>'[10]5 năm A'!$U$21</f>
        <v>406000</v>
      </c>
      <c r="BK12" s="747"/>
      <c r="BL12" s="747"/>
      <c r="BM12" s="3113">
        <f>BJ12-BL12</f>
        <v>406000</v>
      </c>
      <c r="BN12" s="747">
        <f>BJ12</f>
        <v>406000</v>
      </c>
      <c r="BO12" s="747"/>
    </row>
    <row r="13" spans="1:67" ht="15.75" customHeight="1">
      <c r="A13" s="3105" t="s">
        <v>29</v>
      </c>
      <c r="B13" s="37" t="s">
        <v>8</v>
      </c>
      <c r="C13" s="3106">
        <v>16985</v>
      </c>
      <c r="D13" s="3107">
        <v>0</v>
      </c>
      <c r="E13" s="3107">
        <f>C13-D13</f>
        <v>16985</v>
      </c>
      <c r="F13" s="3107">
        <f t="shared" ref="F13:F27" si="7">E13-G13</f>
        <v>16985</v>
      </c>
      <c r="G13" s="3107">
        <v>0</v>
      </c>
      <c r="H13" s="3108">
        <v>42098.391465000001</v>
      </c>
      <c r="I13" s="3109"/>
      <c r="J13" s="3110"/>
      <c r="K13" s="3110">
        <f t="shared" ref="K13:K22" si="8">H13-J13</f>
        <v>42098.391465000001</v>
      </c>
      <c r="L13" s="3110">
        <f t="shared" si="6"/>
        <v>42098.391465000001</v>
      </c>
      <c r="M13" s="3110">
        <v>0</v>
      </c>
      <c r="N13" s="154">
        <v>12000</v>
      </c>
      <c r="O13" s="3111"/>
      <c r="P13" s="154"/>
      <c r="Q13" s="154">
        <f>N13-P13</f>
        <v>12000</v>
      </c>
      <c r="R13" s="154">
        <f>Q13</f>
        <v>12000</v>
      </c>
      <c r="S13" s="154">
        <v>0</v>
      </c>
      <c r="T13" s="154">
        <f>'[2]Phụ lục số 1'!T13</f>
        <v>37000</v>
      </c>
      <c r="U13" s="3112">
        <f t="shared" ref="U13:U14" si="9">T13/N13*100</f>
        <v>308.33333333333337</v>
      </c>
      <c r="V13" s="154"/>
      <c r="W13" s="154">
        <f>T13-V13</f>
        <v>37000</v>
      </c>
      <c r="X13" s="154">
        <f>W13</f>
        <v>37000</v>
      </c>
      <c r="Y13" s="154">
        <v>0</v>
      </c>
      <c r="Z13" s="154">
        <f>'[2]Phụ lục số 1'!AE13</f>
        <v>20000</v>
      </c>
      <c r="AA13" s="3111"/>
      <c r="AB13" s="154"/>
      <c r="AC13" s="154">
        <f>Z13-AB13</f>
        <v>20000</v>
      </c>
      <c r="AD13" s="154">
        <f>AC13</f>
        <v>20000</v>
      </c>
      <c r="AE13" s="154">
        <v>0</v>
      </c>
      <c r="AF13" s="154">
        <f>'[2]Phụ lục số 1'!AK13</f>
        <v>14000</v>
      </c>
      <c r="AG13" s="3109"/>
      <c r="AH13" s="3106"/>
      <c r="AI13" s="3106">
        <f>AF13-AH13</f>
        <v>14000</v>
      </c>
      <c r="AJ13" s="3106">
        <f>AI13</f>
        <v>14000</v>
      </c>
      <c r="AK13" s="3106">
        <v>0</v>
      </c>
      <c r="AL13" s="160">
        <f>'[2]Phụ lục số 1'!AQ13</f>
        <v>15000</v>
      </c>
      <c r="AM13" s="160"/>
      <c r="AN13" s="160"/>
      <c r="AO13" s="154">
        <f>AL13-AN13</f>
        <v>15000</v>
      </c>
      <c r="AP13" s="160">
        <f>AL13</f>
        <v>15000</v>
      </c>
      <c r="AQ13" s="160"/>
      <c r="AR13" s="747">
        <f>'[10]5 năm A'!$R$23</f>
        <v>16000</v>
      </c>
      <c r="AS13" s="747"/>
      <c r="AT13" s="747"/>
      <c r="AU13" s="3113">
        <f>AR13-AT13</f>
        <v>16000</v>
      </c>
      <c r="AV13" s="747">
        <f>AR13</f>
        <v>16000</v>
      </c>
      <c r="AW13" s="747"/>
      <c r="AX13" s="747">
        <f>'[10]5 năm A'!$S$23</f>
        <v>17000</v>
      </c>
      <c r="AY13" s="747"/>
      <c r="AZ13" s="747"/>
      <c r="BA13" s="3113">
        <f>AX13-AZ13</f>
        <v>17000</v>
      </c>
      <c r="BB13" s="747">
        <f>AX13</f>
        <v>17000</v>
      </c>
      <c r="BC13" s="747"/>
      <c r="BD13" s="747">
        <f>'[10]5 năm A'!$T$23</f>
        <v>19000</v>
      </c>
      <c r="BE13" s="747"/>
      <c r="BF13" s="747"/>
      <c r="BG13" s="3113">
        <f>BD13-BF13</f>
        <v>19000</v>
      </c>
      <c r="BH13" s="747">
        <f>BD13</f>
        <v>19000</v>
      </c>
      <c r="BI13" s="747"/>
      <c r="BJ13" s="747">
        <f>'[10]5 năm A'!$U$23</f>
        <v>21000</v>
      </c>
      <c r="BK13" s="747"/>
      <c r="BL13" s="747"/>
      <c r="BM13" s="3113">
        <f>BJ13-BL13</f>
        <v>21000</v>
      </c>
      <c r="BN13" s="747">
        <f>BJ13</f>
        <v>21000</v>
      </c>
      <c r="BO13" s="747"/>
    </row>
    <row r="14" spans="1:67" ht="15.75" customHeight="1">
      <c r="A14" s="3105" t="s">
        <v>29</v>
      </c>
      <c r="B14" s="37" t="s">
        <v>9</v>
      </c>
      <c r="C14" s="3106">
        <v>28000</v>
      </c>
      <c r="D14" s="3107">
        <v>0</v>
      </c>
      <c r="E14" s="3107">
        <f>C14-D14</f>
        <v>28000</v>
      </c>
      <c r="F14" s="3107">
        <f t="shared" si="7"/>
        <v>28000</v>
      </c>
      <c r="G14" s="3107">
        <v>0</v>
      </c>
      <c r="H14" s="3108">
        <v>7305.2439379999996</v>
      </c>
      <c r="I14" s="3109"/>
      <c r="J14" s="3110"/>
      <c r="K14" s="3110">
        <f t="shared" si="8"/>
        <v>7305.2439379999996</v>
      </c>
      <c r="L14" s="3110">
        <f t="shared" si="6"/>
        <v>7305.2439379999996</v>
      </c>
      <c r="M14" s="3110">
        <v>0</v>
      </c>
      <c r="N14" s="154">
        <v>42000</v>
      </c>
      <c r="O14" s="3111"/>
      <c r="P14" s="154"/>
      <c r="Q14" s="154">
        <f>N14-P14</f>
        <v>42000</v>
      </c>
      <c r="R14" s="154">
        <f>Q14</f>
        <v>42000</v>
      </c>
      <c r="S14" s="154">
        <v>0</v>
      </c>
      <c r="T14" s="154">
        <f>'[2]Phụ lục số 1'!T14</f>
        <v>18990</v>
      </c>
      <c r="U14" s="3111">
        <f t="shared" si="9"/>
        <v>45.214285714285715</v>
      </c>
      <c r="V14" s="154"/>
      <c r="W14" s="154">
        <f>T14-V14</f>
        <v>18990</v>
      </c>
      <c r="X14" s="154">
        <f>W14</f>
        <v>18990</v>
      </c>
      <c r="Y14" s="154">
        <v>0</v>
      </c>
      <c r="Z14" s="154">
        <f>'[2]Phụ lục số 1'!AE14</f>
        <v>40000</v>
      </c>
      <c r="AA14" s="3111"/>
      <c r="AB14" s="154"/>
      <c r="AC14" s="154">
        <f>Z14-AB14</f>
        <v>40000</v>
      </c>
      <c r="AD14" s="154">
        <f>AC14</f>
        <v>40000</v>
      </c>
      <c r="AE14" s="154">
        <v>0</v>
      </c>
      <c r="AF14" s="154">
        <f>'[2]Phụ lục số 1'!AK14</f>
        <v>51999.7</v>
      </c>
      <c r="AG14" s="3109"/>
      <c r="AH14" s="3106"/>
      <c r="AI14" s="3106">
        <f>AF14-AH14</f>
        <v>51999.7</v>
      </c>
      <c r="AJ14" s="3106">
        <f>AI14</f>
        <v>51999.7</v>
      </c>
      <c r="AK14" s="3106">
        <v>0</v>
      </c>
      <c r="AL14" s="160">
        <f>'[2]Phụ lục số 1'!AQ14</f>
        <v>57000</v>
      </c>
      <c r="AM14" s="160"/>
      <c r="AN14" s="160"/>
      <c r="AO14" s="154">
        <f>AL14-AN14</f>
        <v>57000</v>
      </c>
      <c r="AP14" s="160">
        <f>AL14</f>
        <v>57000</v>
      </c>
      <c r="AQ14" s="160"/>
      <c r="AR14" s="747">
        <f>'[10]5 năm A'!$R$22</f>
        <v>62000</v>
      </c>
      <c r="AS14" s="747"/>
      <c r="AT14" s="747"/>
      <c r="AU14" s="3113">
        <f>AR14-AT14</f>
        <v>62000</v>
      </c>
      <c r="AV14" s="747">
        <f>AR14</f>
        <v>62000</v>
      </c>
      <c r="AW14" s="747"/>
      <c r="AX14" s="747">
        <f>'[10]5 năm A'!$S$22</f>
        <v>68000</v>
      </c>
      <c r="AY14" s="747"/>
      <c r="AZ14" s="747"/>
      <c r="BA14" s="3113">
        <f>AX14-AZ14</f>
        <v>68000</v>
      </c>
      <c r="BB14" s="747">
        <f>AX14</f>
        <v>68000</v>
      </c>
      <c r="BC14" s="747"/>
      <c r="BD14" s="747">
        <f>'[10]5 năm A'!$T$22</f>
        <v>74000</v>
      </c>
      <c r="BE14" s="747"/>
      <c r="BF14" s="747"/>
      <c r="BG14" s="3113">
        <f>BD14-BF14</f>
        <v>74000</v>
      </c>
      <c r="BH14" s="747">
        <f>BD14</f>
        <v>74000</v>
      </c>
      <c r="BI14" s="747"/>
      <c r="BJ14" s="747">
        <f>'[10]5 năm A'!$U$22</f>
        <v>83000</v>
      </c>
      <c r="BK14" s="747"/>
      <c r="BL14" s="747"/>
      <c r="BM14" s="3113">
        <f>BJ14-BL14</f>
        <v>83000</v>
      </c>
      <c r="BN14" s="747">
        <f>BJ14</f>
        <v>83000</v>
      </c>
      <c r="BO14" s="747"/>
    </row>
    <row r="15" spans="1:67" ht="15.75" customHeight="1">
      <c r="A15" s="3105" t="s">
        <v>29</v>
      </c>
      <c r="B15" s="37" t="s">
        <v>10</v>
      </c>
      <c r="C15" s="3106">
        <v>15</v>
      </c>
      <c r="D15" s="3107">
        <v>0</v>
      </c>
      <c r="E15" s="3107">
        <f>C15-D15</f>
        <v>15</v>
      </c>
      <c r="F15" s="3107">
        <f t="shared" si="7"/>
        <v>15</v>
      </c>
      <c r="G15" s="3107">
        <v>0</v>
      </c>
      <c r="H15" s="3108">
        <v>9.2227200000000007</v>
      </c>
      <c r="I15" s="3109"/>
      <c r="J15" s="3110"/>
      <c r="K15" s="3110">
        <f t="shared" si="8"/>
        <v>9.2227200000000007</v>
      </c>
      <c r="L15" s="3110">
        <f t="shared" si="6"/>
        <v>9.2227200000000007</v>
      </c>
      <c r="M15" s="3110">
        <v>0</v>
      </c>
      <c r="N15" s="154">
        <v>0</v>
      </c>
      <c r="O15" s="3111"/>
      <c r="P15" s="154"/>
      <c r="Q15" s="154">
        <f>N15-P15</f>
        <v>0</v>
      </c>
      <c r="R15" s="154">
        <f>Q15</f>
        <v>0</v>
      </c>
      <c r="S15" s="154">
        <v>0</v>
      </c>
      <c r="T15" s="154">
        <f>'[2]Phụ lục số 1'!T15</f>
        <v>10</v>
      </c>
      <c r="U15" s="3111">
        <f t="shared" ref="U15" si="10">T15/H15*100</f>
        <v>108.42788244682696</v>
      </c>
      <c r="V15" s="154"/>
      <c r="W15" s="154">
        <f>T15-V15</f>
        <v>10</v>
      </c>
      <c r="X15" s="154">
        <f>W15</f>
        <v>10</v>
      </c>
      <c r="Y15" s="154">
        <v>0</v>
      </c>
      <c r="Z15" s="154">
        <f>'[2]Phụ lục số 1'!AE15</f>
        <v>0</v>
      </c>
      <c r="AA15" s="3111"/>
      <c r="AB15" s="154"/>
      <c r="AC15" s="154">
        <f>Z15-AB15</f>
        <v>0</v>
      </c>
      <c r="AD15" s="154">
        <f>AC15</f>
        <v>0</v>
      </c>
      <c r="AE15" s="154">
        <v>0</v>
      </c>
      <c r="AF15" s="154">
        <f>'[2]Phụ lục số 1'!AK15</f>
        <v>0</v>
      </c>
      <c r="AG15" s="3109"/>
      <c r="AH15" s="3106"/>
      <c r="AI15" s="3106">
        <f>AF15-AH15</f>
        <v>0</v>
      </c>
      <c r="AJ15" s="3106">
        <f>AI15</f>
        <v>0</v>
      </c>
      <c r="AK15" s="3106">
        <v>0</v>
      </c>
      <c r="AL15" s="160">
        <f>'[2]Phụ lục số 1'!AQ15</f>
        <v>0</v>
      </c>
      <c r="AM15" s="160"/>
      <c r="AN15" s="160"/>
      <c r="AO15" s="154">
        <f>AL15-AN15</f>
        <v>0</v>
      </c>
      <c r="AP15" s="160"/>
      <c r="AQ15" s="160"/>
      <c r="AR15" s="747"/>
      <c r="AS15" s="747"/>
      <c r="AT15" s="747"/>
      <c r="AU15" s="3113">
        <f>AR15-AT15</f>
        <v>0</v>
      </c>
      <c r="AV15" s="747"/>
      <c r="AW15" s="747"/>
      <c r="AX15" s="747"/>
      <c r="AY15" s="747"/>
      <c r="AZ15" s="747"/>
      <c r="BA15" s="3113">
        <f>AX15-AZ15</f>
        <v>0</v>
      </c>
      <c r="BB15" s="747"/>
      <c r="BC15" s="747"/>
      <c r="BD15" s="747"/>
      <c r="BE15" s="747"/>
      <c r="BF15" s="747"/>
      <c r="BG15" s="3113">
        <f>BD15-BF15</f>
        <v>0</v>
      </c>
      <c r="BH15" s="747"/>
      <c r="BI15" s="747"/>
      <c r="BJ15" s="747"/>
      <c r="BK15" s="747"/>
      <c r="BL15" s="747"/>
      <c r="BM15" s="3113">
        <f>BJ15-BL15</f>
        <v>0</v>
      </c>
      <c r="BN15" s="747"/>
      <c r="BO15" s="747"/>
    </row>
    <row r="16" spans="1:67" ht="15.75" customHeight="1">
      <c r="A16" s="3105" t="s">
        <v>29</v>
      </c>
      <c r="B16" s="37" t="s">
        <v>11</v>
      </c>
      <c r="C16" s="3106">
        <v>0</v>
      </c>
      <c r="D16" s="3107">
        <f>C16</f>
        <v>0</v>
      </c>
      <c r="E16" s="3107">
        <f>C16-D16</f>
        <v>0</v>
      </c>
      <c r="F16" s="3107">
        <f t="shared" si="7"/>
        <v>0</v>
      </c>
      <c r="G16" s="3107">
        <v>0</v>
      </c>
      <c r="H16" s="3108">
        <v>0</v>
      </c>
      <c r="I16" s="3109"/>
      <c r="J16" s="3110">
        <f>H16</f>
        <v>0</v>
      </c>
      <c r="K16" s="3110">
        <f t="shared" si="8"/>
        <v>0</v>
      </c>
      <c r="L16" s="3110">
        <f t="shared" si="6"/>
        <v>0</v>
      </c>
      <c r="M16" s="3110">
        <v>0</v>
      </c>
      <c r="N16" s="154">
        <v>0</v>
      </c>
      <c r="O16" s="3111"/>
      <c r="P16" s="154">
        <f>N16</f>
        <v>0</v>
      </c>
      <c r="Q16" s="154">
        <f>N16-P16</f>
        <v>0</v>
      </c>
      <c r="R16" s="154"/>
      <c r="S16" s="154"/>
      <c r="T16" s="154">
        <f>'[2]Phụ lục số 1'!T16</f>
        <v>0</v>
      </c>
      <c r="U16" s="3112" t="e">
        <f t="shared" ref="U16:U18" si="11">T16/N16*100</f>
        <v>#DIV/0!</v>
      </c>
      <c r="V16" s="154"/>
      <c r="W16" s="154"/>
      <c r="X16" s="154"/>
      <c r="Y16" s="154"/>
      <c r="Z16" s="154">
        <f>'[2]Phụ lục số 1'!AE16</f>
        <v>0</v>
      </c>
      <c r="AA16" s="3111"/>
      <c r="AB16" s="154"/>
      <c r="AC16" s="154"/>
      <c r="AD16" s="154"/>
      <c r="AE16" s="154"/>
      <c r="AF16" s="154">
        <f>'[2]Phụ lục số 1'!AK16</f>
        <v>0</v>
      </c>
      <c r="AG16" s="3109"/>
      <c r="AH16" s="3106"/>
      <c r="AI16" s="3106"/>
      <c r="AJ16" s="3106">
        <f>AI16</f>
        <v>0</v>
      </c>
      <c r="AK16" s="3106">
        <v>0</v>
      </c>
      <c r="AL16" s="160">
        <f>'[2]Phụ lục số 1'!AQ16</f>
        <v>0</v>
      </c>
      <c r="AM16" s="160"/>
      <c r="AN16" s="160"/>
      <c r="AO16" s="154"/>
      <c r="AP16" s="160"/>
      <c r="AQ16" s="160"/>
      <c r="AR16" s="747"/>
      <c r="AS16" s="747"/>
      <c r="AT16" s="747"/>
      <c r="AU16" s="3113"/>
      <c r="AV16" s="747"/>
      <c r="AW16" s="747"/>
      <c r="AX16" s="747"/>
      <c r="AY16" s="747"/>
      <c r="AZ16" s="747"/>
      <c r="BA16" s="3113"/>
      <c r="BB16" s="747"/>
      <c r="BC16" s="747"/>
      <c r="BD16" s="747"/>
      <c r="BE16" s="747"/>
      <c r="BF16" s="747"/>
      <c r="BG16" s="3113"/>
      <c r="BH16" s="747"/>
      <c r="BI16" s="747"/>
      <c r="BJ16" s="747"/>
      <c r="BK16" s="747"/>
      <c r="BL16" s="747"/>
      <c r="BM16" s="3113"/>
      <c r="BN16" s="747"/>
      <c r="BO16" s="747"/>
    </row>
    <row r="17" spans="1:67">
      <c r="A17" s="3097">
        <v>2</v>
      </c>
      <c r="B17" s="39" t="s">
        <v>12</v>
      </c>
      <c r="C17" s="3114">
        <f t="shared" ref="C17:H17" si="12">SUM(C18:C22)</f>
        <v>300000</v>
      </c>
      <c r="D17" s="3099">
        <f t="shared" si="12"/>
        <v>0</v>
      </c>
      <c r="E17" s="3099">
        <f t="shared" si="12"/>
        <v>300000</v>
      </c>
      <c r="F17" s="3099">
        <f t="shared" si="12"/>
        <v>300000</v>
      </c>
      <c r="G17" s="3099">
        <f t="shared" si="12"/>
        <v>0</v>
      </c>
      <c r="H17" s="3098">
        <f t="shared" si="12"/>
        <v>391144.28547999996</v>
      </c>
      <c r="I17" s="3100">
        <f>H17/C17*100</f>
        <v>130.38142849333332</v>
      </c>
      <c r="J17" s="3101">
        <f>SUM(J18:J22)</f>
        <v>0</v>
      </c>
      <c r="K17" s="3101">
        <f>SUM(K18:K22)</f>
        <v>391144.28547999996</v>
      </c>
      <c r="L17" s="3101">
        <f>SUM(L18:L22)</f>
        <v>391144.28547999996</v>
      </c>
      <c r="M17" s="3101">
        <f>SUM(M18:M22)</f>
        <v>0</v>
      </c>
      <c r="N17" s="149">
        <f>SUM(N18:N22)</f>
        <v>350000</v>
      </c>
      <c r="O17" s="3102">
        <f>N17/H17*100</f>
        <v>89.481046507043047</v>
      </c>
      <c r="P17" s="149">
        <f>SUM(P18:P22)</f>
        <v>0</v>
      </c>
      <c r="Q17" s="149">
        <f>SUM(Q18:Q22)</f>
        <v>350000</v>
      </c>
      <c r="R17" s="149">
        <f>SUM(R18:R22)</f>
        <v>350000</v>
      </c>
      <c r="S17" s="149">
        <f t="shared" ref="S17:Y17" si="13">SUM(S18:S22)</f>
        <v>0</v>
      </c>
      <c r="T17" s="149">
        <f t="shared" si="13"/>
        <v>270000</v>
      </c>
      <c r="U17" s="149" t="e">
        <f t="shared" si="13"/>
        <v>#DIV/0!</v>
      </c>
      <c r="V17" s="149">
        <f t="shared" si="13"/>
        <v>0</v>
      </c>
      <c r="W17" s="149">
        <f t="shared" si="13"/>
        <v>270000</v>
      </c>
      <c r="X17" s="149">
        <f t="shared" si="13"/>
        <v>270000</v>
      </c>
      <c r="Y17" s="149">
        <f t="shared" si="13"/>
        <v>0</v>
      </c>
      <c r="Z17" s="149">
        <f>SUM(Z18:Z22)</f>
        <v>300000</v>
      </c>
      <c r="AA17" s="3102">
        <f>Z17/T17*100</f>
        <v>111.11111111111111</v>
      </c>
      <c r="AB17" s="149">
        <f>SUM(AB18:AB22)</f>
        <v>0</v>
      </c>
      <c r="AC17" s="149">
        <f>SUM(AC18:AC22)</f>
        <v>300000</v>
      </c>
      <c r="AD17" s="149">
        <f>SUM(AD18:AD22)</f>
        <v>300000</v>
      </c>
      <c r="AE17" s="149">
        <f>SUM(AE18:AE22)</f>
        <v>0</v>
      </c>
      <c r="AF17" s="149">
        <f>SUM(AF18:AF22)</f>
        <v>470000</v>
      </c>
      <c r="AG17" s="3100">
        <f>AF17/Z17*100</f>
        <v>156.66666666666666</v>
      </c>
      <c r="AH17" s="3098">
        <f>SUM(AH18:AH22)</f>
        <v>0</v>
      </c>
      <c r="AI17" s="3098">
        <f>SUM(AI18:AI22)</f>
        <v>470000</v>
      </c>
      <c r="AJ17" s="3098">
        <f>SUM(AJ18:AJ22)</f>
        <v>470000</v>
      </c>
      <c r="AK17" s="3098">
        <f>SUM(AK18:AK22)</f>
        <v>0</v>
      </c>
      <c r="AL17" s="149">
        <f>SUM(AL18:AL22)</f>
        <v>510000</v>
      </c>
      <c r="AM17" s="3102">
        <f>AL17/AF17*100</f>
        <v>108.51063829787233</v>
      </c>
      <c r="AN17" s="149">
        <f>SUM(AN18:AN22)</f>
        <v>0</v>
      </c>
      <c r="AO17" s="149">
        <f>SUM(AO18:AO22)</f>
        <v>510000</v>
      </c>
      <c r="AP17" s="149">
        <f>SUM(AP18:AP22)</f>
        <v>510000</v>
      </c>
      <c r="AQ17" s="149">
        <f>SUM(AQ18:AQ22)</f>
        <v>0</v>
      </c>
      <c r="AR17" s="3103">
        <f>SUM(AR18:AR22)</f>
        <v>560000</v>
      </c>
      <c r="AS17" s="3104">
        <f>AR17/AL17*100</f>
        <v>109.80392156862746</v>
      </c>
      <c r="AT17" s="3103">
        <f>SUM(AT18:AT22)</f>
        <v>0</v>
      </c>
      <c r="AU17" s="3103">
        <f>SUM(AU18:AU22)</f>
        <v>560000</v>
      </c>
      <c r="AV17" s="3103">
        <f>SUM(AV18:AV22)</f>
        <v>560000</v>
      </c>
      <c r="AW17" s="3103">
        <f>SUM(AW18:AW22)</f>
        <v>0</v>
      </c>
      <c r="AX17" s="3103">
        <f>SUM(AX18:AX22)</f>
        <v>620000</v>
      </c>
      <c r="AY17" s="3104">
        <f>AX17/AR17*100</f>
        <v>110.71428571428572</v>
      </c>
      <c r="AZ17" s="3103">
        <f>SUM(AZ18:AZ22)</f>
        <v>0</v>
      </c>
      <c r="BA17" s="3103">
        <f>SUM(BA18:BA22)</f>
        <v>620000</v>
      </c>
      <c r="BB17" s="3103">
        <f>SUM(BB18:BB22)</f>
        <v>620000</v>
      </c>
      <c r="BC17" s="3103">
        <f>SUM(BC18:BC22)</f>
        <v>0</v>
      </c>
      <c r="BD17" s="3103">
        <f>SUM(BD18:BD22)</f>
        <v>690000</v>
      </c>
      <c r="BE17" s="3104">
        <f>BD17/AX17*100</f>
        <v>111.29032258064515</v>
      </c>
      <c r="BF17" s="3103">
        <f>SUM(BF18:BF22)</f>
        <v>0</v>
      </c>
      <c r="BG17" s="3103">
        <f>SUM(BG18:BG22)</f>
        <v>690000</v>
      </c>
      <c r="BH17" s="3103">
        <f>SUM(BH18:BH22)</f>
        <v>690000</v>
      </c>
      <c r="BI17" s="3103">
        <f>SUM(BI18:BI22)</f>
        <v>0</v>
      </c>
      <c r="BJ17" s="3103">
        <f>SUM(BJ18:BJ22)</f>
        <v>770000</v>
      </c>
      <c r="BK17" s="3104">
        <f>BJ17/BD17*100</f>
        <v>111.59420289855073</v>
      </c>
      <c r="BL17" s="3103">
        <f>SUM(BL18:BL22)</f>
        <v>0</v>
      </c>
      <c r="BM17" s="3103">
        <f>SUM(BM18:BM22)</f>
        <v>770000</v>
      </c>
      <c r="BN17" s="3103">
        <f>SUM(BN18:BN22)</f>
        <v>770000</v>
      </c>
      <c r="BO17" s="3103">
        <f>SUM(BO18:BO22)</f>
        <v>0</v>
      </c>
    </row>
    <row r="18" spans="1:67" ht="15.75" customHeight="1">
      <c r="A18" s="3105" t="s">
        <v>29</v>
      </c>
      <c r="B18" s="37" t="s">
        <v>7</v>
      </c>
      <c r="C18" s="3106">
        <f>180000-10000</f>
        <v>170000</v>
      </c>
      <c r="D18" s="3107">
        <v>0</v>
      </c>
      <c r="E18" s="3107">
        <f>C18-D18</f>
        <v>170000</v>
      </c>
      <c r="F18" s="3107">
        <f t="shared" si="7"/>
        <v>170000</v>
      </c>
      <c r="G18" s="3107">
        <v>0</v>
      </c>
      <c r="H18" s="3108">
        <v>196199.34763999999</v>
      </c>
      <c r="I18" s="3109"/>
      <c r="J18" s="3110"/>
      <c r="K18" s="3110">
        <f t="shared" si="8"/>
        <v>196199.34763999999</v>
      </c>
      <c r="L18" s="3110">
        <f t="shared" si="6"/>
        <v>196199.34763999999</v>
      </c>
      <c r="M18" s="3110">
        <v>0</v>
      </c>
      <c r="N18" s="154">
        <v>183000</v>
      </c>
      <c r="O18" s="3111"/>
      <c r="P18" s="154"/>
      <c r="Q18" s="154">
        <f>N18-P18</f>
        <v>183000</v>
      </c>
      <c r="R18" s="154">
        <f>Q18</f>
        <v>183000</v>
      </c>
      <c r="S18" s="154">
        <v>0</v>
      </c>
      <c r="T18" s="154">
        <f>'[2]Phụ lục số 1'!T18</f>
        <v>100000</v>
      </c>
      <c r="U18" s="3111">
        <f t="shared" si="11"/>
        <v>54.644808743169406</v>
      </c>
      <c r="V18" s="154"/>
      <c r="W18" s="154">
        <f>T18-V18</f>
        <v>100000</v>
      </c>
      <c r="X18" s="154">
        <f>W18</f>
        <v>100000</v>
      </c>
      <c r="Y18" s="154">
        <v>0</v>
      </c>
      <c r="Z18" s="154">
        <f>'[2]Phụ lục số 1'!AE18</f>
        <v>110000</v>
      </c>
      <c r="AA18" s="3111"/>
      <c r="AB18" s="154"/>
      <c r="AC18" s="154">
        <f>Z18-AB18</f>
        <v>110000</v>
      </c>
      <c r="AD18" s="154">
        <f>AC18</f>
        <v>110000</v>
      </c>
      <c r="AE18" s="154">
        <v>0</v>
      </c>
      <c r="AF18" s="154">
        <f>'[2]Phụ lục số 1'!AK18</f>
        <v>241000</v>
      </c>
      <c r="AG18" s="3109"/>
      <c r="AH18" s="3106"/>
      <c r="AI18" s="3106">
        <f>AF18-AH18</f>
        <v>241000</v>
      </c>
      <c r="AJ18" s="3106">
        <f>AI18</f>
        <v>241000</v>
      </c>
      <c r="AK18" s="3106">
        <v>0</v>
      </c>
      <c r="AL18" s="160">
        <f>'[2]Phụ lục số 1'!AQ18</f>
        <v>263000</v>
      </c>
      <c r="AM18" s="160"/>
      <c r="AN18" s="160"/>
      <c r="AO18" s="154">
        <f>AL18-AN18</f>
        <v>263000</v>
      </c>
      <c r="AP18" s="160">
        <f>AL18</f>
        <v>263000</v>
      </c>
      <c r="AQ18" s="160"/>
      <c r="AR18" s="747">
        <f>'[10]5 năm A'!$R$28</f>
        <v>291000</v>
      </c>
      <c r="AS18" s="747"/>
      <c r="AT18" s="747"/>
      <c r="AU18" s="3113">
        <f>AR18-AT18</f>
        <v>291000</v>
      </c>
      <c r="AV18" s="747">
        <f>AR18</f>
        <v>291000</v>
      </c>
      <c r="AW18" s="747"/>
      <c r="AX18" s="747">
        <f>'[10]5 năm A'!$S$28</f>
        <v>325000</v>
      </c>
      <c r="AY18" s="747"/>
      <c r="AZ18" s="747"/>
      <c r="BA18" s="3113">
        <f>AX18-AZ18</f>
        <v>325000</v>
      </c>
      <c r="BB18" s="747">
        <f>AX18</f>
        <v>325000</v>
      </c>
      <c r="BC18" s="747"/>
      <c r="BD18" s="747">
        <f>'[10]5 năm A'!$T$28</f>
        <v>364000</v>
      </c>
      <c r="BE18" s="747"/>
      <c r="BF18" s="747"/>
      <c r="BG18" s="3113">
        <f>BD18-BF18</f>
        <v>364000</v>
      </c>
      <c r="BH18" s="747">
        <f>BD18</f>
        <v>364000</v>
      </c>
      <c r="BI18" s="747"/>
      <c r="BJ18" s="747">
        <f>'[10]5 năm A'!$U$28</f>
        <v>407000</v>
      </c>
      <c r="BK18" s="747"/>
      <c r="BL18" s="747"/>
      <c r="BM18" s="3113">
        <f>BJ18-BL18</f>
        <v>407000</v>
      </c>
      <c r="BN18" s="747">
        <f>BJ18</f>
        <v>407000</v>
      </c>
      <c r="BO18" s="747"/>
    </row>
    <row r="19" spans="1:67" ht="15.75" customHeight="1">
      <c r="A19" s="3105" t="s">
        <v>29</v>
      </c>
      <c r="B19" s="37" t="s">
        <v>8</v>
      </c>
      <c r="C19" s="3106">
        <v>60000</v>
      </c>
      <c r="D19" s="3107">
        <v>0</v>
      </c>
      <c r="E19" s="3107">
        <f>C19-D19</f>
        <v>60000</v>
      </c>
      <c r="F19" s="3107">
        <f t="shared" si="7"/>
        <v>60000</v>
      </c>
      <c r="G19" s="3107">
        <v>0</v>
      </c>
      <c r="H19" s="3108">
        <v>90271.968951999996</v>
      </c>
      <c r="I19" s="3109"/>
      <c r="J19" s="3110"/>
      <c r="K19" s="3110">
        <f t="shared" si="8"/>
        <v>90271.968951999996</v>
      </c>
      <c r="L19" s="3110">
        <f t="shared" si="6"/>
        <v>90271.968951999996</v>
      </c>
      <c r="M19" s="3110">
        <v>0</v>
      </c>
      <c r="N19" s="154">
        <v>65000</v>
      </c>
      <c r="O19" s="3111"/>
      <c r="P19" s="154"/>
      <c r="Q19" s="154">
        <f>N19-P19</f>
        <v>65000</v>
      </c>
      <c r="R19" s="154">
        <f>Q19</f>
        <v>65000</v>
      </c>
      <c r="S19" s="154">
        <v>0</v>
      </c>
      <c r="T19" s="154">
        <f>'[2]Phụ lục số 1'!T19</f>
        <v>100000</v>
      </c>
      <c r="U19" s="3111">
        <f t="shared" ref="U19" si="14">T19/H19*100</f>
        <v>110.77635855397445</v>
      </c>
      <c r="V19" s="154"/>
      <c r="W19" s="154">
        <f>T19-V19</f>
        <v>100000</v>
      </c>
      <c r="X19" s="154">
        <f>W19</f>
        <v>100000</v>
      </c>
      <c r="Y19" s="154">
        <v>0</v>
      </c>
      <c r="Z19" s="154">
        <f>'[2]Phụ lục số 1'!AE19</f>
        <v>106000</v>
      </c>
      <c r="AA19" s="3111"/>
      <c r="AB19" s="154"/>
      <c r="AC19" s="154">
        <f>Z19-AB19</f>
        <v>106000</v>
      </c>
      <c r="AD19" s="154">
        <f>AC19</f>
        <v>106000</v>
      </c>
      <c r="AE19" s="154">
        <v>0</v>
      </c>
      <c r="AF19" s="154">
        <f>'[2]Phụ lục số 1'!AK19</f>
        <v>103000</v>
      </c>
      <c r="AG19" s="3109"/>
      <c r="AH19" s="3106"/>
      <c r="AI19" s="3106">
        <f>AF19-AH19</f>
        <v>103000</v>
      </c>
      <c r="AJ19" s="3106">
        <f>AI19</f>
        <v>103000</v>
      </c>
      <c r="AK19" s="3106">
        <v>0</v>
      </c>
      <c r="AL19" s="160">
        <f>'[2]Phụ lục số 1'!AQ19</f>
        <v>112000</v>
      </c>
      <c r="AM19" s="160"/>
      <c r="AN19" s="160"/>
      <c r="AO19" s="154">
        <f>AL19-AN19</f>
        <v>112000</v>
      </c>
      <c r="AP19" s="160">
        <f>AL19</f>
        <v>112000</v>
      </c>
      <c r="AQ19" s="160"/>
      <c r="AR19" s="747">
        <f>'[10]5 năm A'!$R$30</f>
        <v>122000</v>
      </c>
      <c r="AS19" s="747"/>
      <c r="AT19" s="747"/>
      <c r="AU19" s="3113">
        <f>AR19-AT19</f>
        <v>122000</v>
      </c>
      <c r="AV19" s="747">
        <f>AR19</f>
        <v>122000</v>
      </c>
      <c r="AW19" s="747"/>
      <c r="AX19" s="747">
        <f>'[10]5 năm A'!$S$30</f>
        <v>135000</v>
      </c>
      <c r="AY19" s="747"/>
      <c r="AZ19" s="747"/>
      <c r="BA19" s="3113">
        <f>AX19-AZ19</f>
        <v>135000</v>
      </c>
      <c r="BB19" s="747">
        <f>AX19</f>
        <v>135000</v>
      </c>
      <c r="BC19" s="747"/>
      <c r="BD19" s="747">
        <f>'[10]5 năm A'!$T$30</f>
        <v>149000</v>
      </c>
      <c r="BE19" s="747"/>
      <c r="BF19" s="747"/>
      <c r="BG19" s="3113">
        <f>BD19-BF19</f>
        <v>149000</v>
      </c>
      <c r="BH19" s="747">
        <f>BD19</f>
        <v>149000</v>
      </c>
      <c r="BI19" s="747"/>
      <c r="BJ19" s="747">
        <f>'[10]5 năm A'!$U$30</f>
        <v>166000</v>
      </c>
      <c r="BK19" s="747"/>
      <c r="BL19" s="747"/>
      <c r="BM19" s="3113">
        <f>BJ19-BL19</f>
        <v>166000</v>
      </c>
      <c r="BN19" s="747">
        <f>BJ19</f>
        <v>166000</v>
      </c>
      <c r="BO19" s="747"/>
    </row>
    <row r="20" spans="1:67" ht="15.75" customHeight="1">
      <c r="A20" s="3105" t="s">
        <v>29</v>
      </c>
      <c r="B20" s="37" t="s">
        <v>9</v>
      </c>
      <c r="C20" s="3106">
        <v>0</v>
      </c>
      <c r="D20" s="3107">
        <v>0</v>
      </c>
      <c r="E20" s="3107">
        <f>C20-D20</f>
        <v>0</v>
      </c>
      <c r="F20" s="3107">
        <f t="shared" si="7"/>
        <v>0</v>
      </c>
      <c r="G20" s="3107">
        <v>0</v>
      </c>
      <c r="H20" s="3108">
        <v>0</v>
      </c>
      <c r="I20" s="3109"/>
      <c r="J20" s="3110"/>
      <c r="K20" s="3110">
        <f t="shared" si="8"/>
        <v>0</v>
      </c>
      <c r="L20" s="3110">
        <f t="shared" si="6"/>
        <v>0</v>
      </c>
      <c r="M20" s="3110">
        <v>0</v>
      </c>
      <c r="N20" s="154">
        <v>0</v>
      </c>
      <c r="O20" s="3111"/>
      <c r="P20" s="154"/>
      <c r="Q20" s="154">
        <f>N20-P20</f>
        <v>0</v>
      </c>
      <c r="R20" s="154">
        <f>Q20</f>
        <v>0</v>
      </c>
      <c r="S20" s="154">
        <v>0</v>
      </c>
      <c r="T20" s="154">
        <f>'[2]Phụ lục số 1'!T20</f>
        <v>0</v>
      </c>
      <c r="U20" s="3112" t="e">
        <f t="shared" ref="U20:U22" si="15">T20/N20*100</f>
        <v>#DIV/0!</v>
      </c>
      <c r="V20" s="154"/>
      <c r="W20" s="154">
        <f>T20-V20</f>
        <v>0</v>
      </c>
      <c r="X20" s="154">
        <f>W20</f>
        <v>0</v>
      </c>
      <c r="Y20" s="154">
        <v>0</v>
      </c>
      <c r="Z20" s="154">
        <f>'[2]Phụ lục số 1'!AE20</f>
        <v>0</v>
      </c>
      <c r="AA20" s="3111"/>
      <c r="AB20" s="154"/>
      <c r="AC20" s="154">
        <f>Z20-AB20</f>
        <v>0</v>
      </c>
      <c r="AD20" s="154">
        <f>AC20</f>
        <v>0</v>
      </c>
      <c r="AE20" s="154">
        <v>0</v>
      </c>
      <c r="AF20" s="154">
        <f>'[2]Phụ lục số 1'!AK20</f>
        <v>0</v>
      </c>
      <c r="AG20" s="3109"/>
      <c r="AH20" s="3106"/>
      <c r="AI20" s="3106">
        <f>AF20-AH20</f>
        <v>0</v>
      </c>
      <c r="AJ20" s="3106">
        <f>AI20</f>
        <v>0</v>
      </c>
      <c r="AK20" s="3106">
        <v>0</v>
      </c>
      <c r="AL20" s="160">
        <f>'[2]Phụ lục số 1'!AQ20</f>
        <v>0</v>
      </c>
      <c r="AM20" s="160"/>
      <c r="AN20" s="160"/>
      <c r="AO20" s="154">
        <f>AL20-AN20</f>
        <v>0</v>
      </c>
      <c r="AP20" s="160">
        <f>AL20</f>
        <v>0</v>
      </c>
      <c r="AQ20" s="160"/>
      <c r="AR20" s="747"/>
      <c r="AS20" s="747"/>
      <c r="AT20" s="747"/>
      <c r="AU20" s="3113">
        <f>AR20-AT20</f>
        <v>0</v>
      </c>
      <c r="AV20" s="747">
        <f>AR20</f>
        <v>0</v>
      </c>
      <c r="AW20" s="747"/>
      <c r="AX20" s="747"/>
      <c r="AY20" s="747"/>
      <c r="AZ20" s="747"/>
      <c r="BA20" s="3113">
        <f>AX20-AZ20</f>
        <v>0</v>
      </c>
      <c r="BB20" s="747">
        <f>AX20</f>
        <v>0</v>
      </c>
      <c r="BC20" s="747"/>
      <c r="BD20" s="747"/>
      <c r="BE20" s="747"/>
      <c r="BF20" s="747"/>
      <c r="BG20" s="3113">
        <f>BD20-BF20</f>
        <v>0</v>
      </c>
      <c r="BH20" s="747">
        <f>BD20</f>
        <v>0</v>
      </c>
      <c r="BI20" s="747"/>
      <c r="BJ20" s="747"/>
      <c r="BK20" s="747"/>
      <c r="BL20" s="747"/>
      <c r="BM20" s="3113">
        <f>BJ20-BL20</f>
        <v>0</v>
      </c>
      <c r="BN20" s="747">
        <f>BJ20</f>
        <v>0</v>
      </c>
      <c r="BO20" s="747"/>
    </row>
    <row r="21" spans="1:67" ht="15.75" customHeight="1">
      <c r="A21" s="3105" t="s">
        <v>29</v>
      </c>
      <c r="B21" s="37" t="s">
        <v>10</v>
      </c>
      <c r="C21" s="3106">
        <v>70000</v>
      </c>
      <c r="D21" s="3107">
        <v>0</v>
      </c>
      <c r="E21" s="3107">
        <f>C21-D21</f>
        <v>70000</v>
      </c>
      <c r="F21" s="3107">
        <f t="shared" si="7"/>
        <v>70000</v>
      </c>
      <c r="G21" s="3107">
        <v>0</v>
      </c>
      <c r="H21" s="3108">
        <v>104672.968888</v>
      </c>
      <c r="I21" s="3109"/>
      <c r="J21" s="3110"/>
      <c r="K21" s="3110">
        <f t="shared" si="8"/>
        <v>104672.968888</v>
      </c>
      <c r="L21" s="3110">
        <f t="shared" si="6"/>
        <v>104672.968888</v>
      </c>
      <c r="M21" s="3110">
        <v>0</v>
      </c>
      <c r="N21" s="154">
        <v>102000</v>
      </c>
      <c r="O21" s="3111"/>
      <c r="P21" s="154"/>
      <c r="Q21" s="154">
        <f>N21-P21</f>
        <v>102000</v>
      </c>
      <c r="R21" s="154">
        <f>Q21</f>
        <v>102000</v>
      </c>
      <c r="S21" s="154">
        <v>0</v>
      </c>
      <c r="T21" s="154">
        <f>'[2]Phụ lục số 1'!T21</f>
        <v>70000</v>
      </c>
      <c r="U21" s="3112">
        <f t="shared" si="15"/>
        <v>68.627450980392155</v>
      </c>
      <c r="V21" s="154"/>
      <c r="W21" s="154">
        <f>T21-V21</f>
        <v>70000</v>
      </c>
      <c r="X21" s="154">
        <f>W21</f>
        <v>70000</v>
      </c>
      <c r="Y21" s="154">
        <v>0</v>
      </c>
      <c r="Z21" s="154">
        <f>'[2]Phụ lục số 1'!AE21</f>
        <v>84000</v>
      </c>
      <c r="AA21" s="3111"/>
      <c r="AB21" s="154"/>
      <c r="AC21" s="154">
        <f>Z21-AB21</f>
        <v>84000</v>
      </c>
      <c r="AD21" s="154">
        <f>AC21</f>
        <v>84000</v>
      </c>
      <c r="AE21" s="154">
        <v>0</v>
      </c>
      <c r="AF21" s="154">
        <f>'[2]Phụ lục số 1'!AK21</f>
        <v>126000</v>
      </c>
      <c r="AG21" s="3109"/>
      <c r="AH21" s="3106"/>
      <c r="AI21" s="3106">
        <f>AF21-AH21</f>
        <v>126000</v>
      </c>
      <c r="AJ21" s="3106">
        <f>AI21</f>
        <v>126000</v>
      </c>
      <c r="AK21" s="3106">
        <v>0</v>
      </c>
      <c r="AL21" s="160">
        <f>'[2]Phụ lục số 1'!AQ21</f>
        <v>135000</v>
      </c>
      <c r="AM21" s="160"/>
      <c r="AN21" s="160"/>
      <c r="AO21" s="154">
        <f>AL21-AN21</f>
        <v>135000</v>
      </c>
      <c r="AP21" s="160">
        <f>AL21</f>
        <v>135000</v>
      </c>
      <c r="AQ21" s="160"/>
      <c r="AR21" s="747">
        <f>'[10]5 năm A'!$R$31</f>
        <v>147000</v>
      </c>
      <c r="AS21" s="747"/>
      <c r="AT21" s="747"/>
      <c r="AU21" s="3113">
        <f>AR21-AT21</f>
        <v>147000</v>
      </c>
      <c r="AV21" s="747">
        <f>AR21</f>
        <v>147000</v>
      </c>
      <c r="AW21" s="747"/>
      <c r="AX21" s="747">
        <f>'[10]5 năm A'!$S$31</f>
        <v>160000</v>
      </c>
      <c r="AY21" s="747"/>
      <c r="AZ21" s="747"/>
      <c r="BA21" s="3113">
        <f>AX21-AZ21</f>
        <v>160000</v>
      </c>
      <c r="BB21" s="747">
        <f>AX21</f>
        <v>160000</v>
      </c>
      <c r="BC21" s="747"/>
      <c r="BD21" s="747">
        <f>'[10]5 năm A'!$T$31</f>
        <v>177000</v>
      </c>
      <c r="BE21" s="747"/>
      <c r="BF21" s="747"/>
      <c r="BG21" s="3113">
        <f>BD21-BF21</f>
        <v>177000</v>
      </c>
      <c r="BH21" s="747">
        <f>BD21</f>
        <v>177000</v>
      </c>
      <c r="BI21" s="747"/>
      <c r="BJ21" s="747">
        <f>'[10]5 năm A'!$U$31</f>
        <v>197000</v>
      </c>
      <c r="BK21" s="747"/>
      <c r="BL21" s="747"/>
      <c r="BM21" s="3113">
        <f>BJ21-BL21</f>
        <v>197000</v>
      </c>
      <c r="BN21" s="747">
        <f>BJ21</f>
        <v>197000</v>
      </c>
      <c r="BO21" s="747"/>
    </row>
    <row r="22" spans="1:67" ht="15.75" customHeight="1">
      <c r="A22" s="3105" t="s">
        <v>29</v>
      </c>
      <c r="B22" s="37" t="s">
        <v>11</v>
      </c>
      <c r="C22" s="3106">
        <v>0</v>
      </c>
      <c r="D22" s="3107">
        <v>0</v>
      </c>
      <c r="E22" s="3107">
        <f>C22-D22</f>
        <v>0</v>
      </c>
      <c r="F22" s="3107">
        <f t="shared" si="7"/>
        <v>0</v>
      </c>
      <c r="G22" s="3107">
        <v>0</v>
      </c>
      <c r="H22" s="3108">
        <v>0</v>
      </c>
      <c r="I22" s="3109"/>
      <c r="J22" s="3110"/>
      <c r="K22" s="3110">
        <f t="shared" si="8"/>
        <v>0</v>
      </c>
      <c r="L22" s="3110">
        <f t="shared" si="6"/>
        <v>0</v>
      </c>
      <c r="M22" s="3110">
        <v>0</v>
      </c>
      <c r="N22" s="154">
        <v>0</v>
      </c>
      <c r="O22" s="3111"/>
      <c r="P22" s="154"/>
      <c r="Q22" s="154">
        <f>N22-P22</f>
        <v>0</v>
      </c>
      <c r="R22" s="154">
        <f>Q22</f>
        <v>0</v>
      </c>
      <c r="S22" s="154">
        <v>0</v>
      </c>
      <c r="T22" s="154">
        <f>'[2]Phụ lục số 1'!T22</f>
        <v>0</v>
      </c>
      <c r="U22" s="3111" t="e">
        <f t="shared" si="15"/>
        <v>#DIV/0!</v>
      </c>
      <c r="V22" s="154"/>
      <c r="W22" s="154">
        <f>T22-V22</f>
        <v>0</v>
      </c>
      <c r="X22" s="154">
        <f>W22</f>
        <v>0</v>
      </c>
      <c r="Y22" s="154">
        <v>0</v>
      </c>
      <c r="Z22" s="154">
        <f>'[2]Phụ lục số 1'!AE22</f>
        <v>0</v>
      </c>
      <c r="AA22" s="3111"/>
      <c r="AB22" s="154"/>
      <c r="AC22" s="154">
        <f>Z22-AB22</f>
        <v>0</v>
      </c>
      <c r="AD22" s="154">
        <f>AC22</f>
        <v>0</v>
      </c>
      <c r="AE22" s="154">
        <v>0</v>
      </c>
      <c r="AF22" s="154">
        <f>'[2]Phụ lục số 1'!AK22</f>
        <v>0</v>
      </c>
      <c r="AG22" s="3109"/>
      <c r="AH22" s="3106"/>
      <c r="AI22" s="3106">
        <f>AF22-AH22</f>
        <v>0</v>
      </c>
      <c r="AJ22" s="3106">
        <f>AI22</f>
        <v>0</v>
      </c>
      <c r="AK22" s="3106">
        <v>0</v>
      </c>
      <c r="AL22" s="160">
        <f>'[2]Phụ lục số 1'!AQ22</f>
        <v>0</v>
      </c>
      <c r="AM22" s="160"/>
      <c r="AN22" s="160"/>
      <c r="AO22" s="154"/>
      <c r="AP22" s="160"/>
      <c r="AQ22" s="160"/>
      <c r="AR22" s="747"/>
      <c r="AS22" s="747"/>
      <c r="AT22" s="747"/>
      <c r="AU22" s="3113"/>
      <c r="AV22" s="747"/>
      <c r="AW22" s="747"/>
      <c r="AX22" s="747"/>
      <c r="AY22" s="747"/>
      <c r="AZ22" s="747"/>
      <c r="BA22" s="3113"/>
      <c r="BB22" s="747"/>
      <c r="BC22" s="747"/>
      <c r="BD22" s="747"/>
      <c r="BE22" s="747"/>
      <c r="BF22" s="747"/>
      <c r="BG22" s="3113"/>
      <c r="BH22" s="747"/>
      <c r="BI22" s="747"/>
      <c r="BJ22" s="747"/>
      <c r="BK22" s="747"/>
      <c r="BL22" s="747"/>
      <c r="BM22" s="3113"/>
      <c r="BN22" s="747"/>
      <c r="BO22" s="747"/>
    </row>
    <row r="23" spans="1:67" ht="16.5" customHeight="1">
      <c r="A23" s="3097">
        <v>3</v>
      </c>
      <c r="B23" s="3115" t="s">
        <v>1885</v>
      </c>
      <c r="C23" s="3114">
        <f t="shared" ref="C23:H23" si="16">SUM(C24:C27)</f>
        <v>74000</v>
      </c>
      <c r="D23" s="3099">
        <f t="shared" si="16"/>
        <v>0</v>
      </c>
      <c r="E23" s="3099">
        <f t="shared" si="16"/>
        <v>74000</v>
      </c>
      <c r="F23" s="3099">
        <f t="shared" si="16"/>
        <v>74000</v>
      </c>
      <c r="G23" s="3099">
        <f t="shared" si="16"/>
        <v>0</v>
      </c>
      <c r="H23" s="3098">
        <f t="shared" si="16"/>
        <v>74729.223614999995</v>
      </c>
      <c r="I23" s="3100">
        <f>H23/C23*100</f>
        <v>100.98543731756757</v>
      </c>
      <c r="J23" s="3101">
        <f>SUM(J24:J27)</f>
        <v>0</v>
      </c>
      <c r="K23" s="3101">
        <f>SUM(K24:K27)</f>
        <v>74729.223614999995</v>
      </c>
      <c r="L23" s="3101">
        <f>SUM(L24:L27)</f>
        <v>74729.223614999995</v>
      </c>
      <c r="M23" s="3101">
        <f>SUM(M24:M27)</f>
        <v>0</v>
      </c>
      <c r="N23" s="149">
        <f>SUM(N24:N27)</f>
        <v>70000</v>
      </c>
      <c r="O23" s="3102">
        <f>N23/H23*100</f>
        <v>93.671520475892208</v>
      </c>
      <c r="P23" s="149">
        <f>SUM(P24:P27)</f>
        <v>0</v>
      </c>
      <c r="Q23" s="149">
        <f>SUM(Q24:Q27)</f>
        <v>70000</v>
      </c>
      <c r="R23" s="149">
        <f>SUM(R24:R27)</f>
        <v>70000</v>
      </c>
      <c r="S23" s="149">
        <f t="shared" ref="S23:Y23" si="17">SUM(S24:S27)</f>
        <v>0</v>
      </c>
      <c r="T23" s="149">
        <f t="shared" si="17"/>
        <v>70000</v>
      </c>
      <c r="U23" s="149" t="e">
        <f t="shared" si="17"/>
        <v>#DIV/0!</v>
      </c>
      <c r="V23" s="149">
        <f t="shared" si="17"/>
        <v>0</v>
      </c>
      <c r="W23" s="149">
        <f t="shared" si="17"/>
        <v>70000</v>
      </c>
      <c r="X23" s="149">
        <f t="shared" si="17"/>
        <v>70000</v>
      </c>
      <c r="Y23" s="149">
        <f t="shared" si="17"/>
        <v>0</v>
      </c>
      <c r="Z23" s="149">
        <f>SUM(Z24:Z27)</f>
        <v>75000</v>
      </c>
      <c r="AA23" s="3102">
        <f>Z23/T23*100</f>
        <v>107.14285714285714</v>
      </c>
      <c r="AB23" s="149">
        <f>SUM(AB24:AB27)</f>
        <v>0</v>
      </c>
      <c r="AC23" s="149">
        <f>SUM(AC24:AC27)</f>
        <v>75000</v>
      </c>
      <c r="AD23" s="149">
        <f>SUM(AD24:AD27)</f>
        <v>75000</v>
      </c>
      <c r="AE23" s="149">
        <f>SUM(AE24:AE27)</f>
        <v>0</v>
      </c>
      <c r="AF23" s="149">
        <f>SUM(AF24:AF27)</f>
        <v>100000</v>
      </c>
      <c r="AG23" s="3100">
        <f>AF23/Z23*100</f>
        <v>133.33333333333331</v>
      </c>
      <c r="AH23" s="3098">
        <f>SUM(AH24:AH27)</f>
        <v>0</v>
      </c>
      <c r="AI23" s="3098">
        <f>SUM(AI24:AI27)</f>
        <v>100000</v>
      </c>
      <c r="AJ23" s="3098">
        <f>SUM(AJ24:AJ27)</f>
        <v>100000</v>
      </c>
      <c r="AK23" s="3098">
        <f>SUM(AK24:AK27)</f>
        <v>0</v>
      </c>
      <c r="AL23" s="149">
        <f>SUM(AL24:AL27)</f>
        <v>110000</v>
      </c>
      <c r="AM23" s="3102">
        <f>AL23/AF23*100</f>
        <v>110.00000000000001</v>
      </c>
      <c r="AN23" s="149">
        <f>SUM(AN24:AN27)</f>
        <v>0</v>
      </c>
      <c r="AO23" s="149">
        <f>SUM(AO24:AO27)</f>
        <v>110000</v>
      </c>
      <c r="AP23" s="149">
        <f>SUM(AP24:AP27)</f>
        <v>110000</v>
      </c>
      <c r="AQ23" s="149">
        <f>SUM(AQ24:AQ27)</f>
        <v>0</v>
      </c>
      <c r="AR23" s="3103">
        <f>SUM(AR24:AR27)</f>
        <v>120000</v>
      </c>
      <c r="AS23" s="3104">
        <f>AR23/AL23*100</f>
        <v>109.09090909090908</v>
      </c>
      <c r="AT23" s="3103">
        <f>SUM(AT24:AT27)</f>
        <v>0</v>
      </c>
      <c r="AU23" s="3103">
        <f>SUM(AU24:AU27)</f>
        <v>120000</v>
      </c>
      <c r="AV23" s="3103">
        <f>SUM(AV24:AV27)</f>
        <v>120000</v>
      </c>
      <c r="AW23" s="3103">
        <f>SUM(AW24:AW27)</f>
        <v>0</v>
      </c>
      <c r="AX23" s="3103">
        <f>SUM(AX24:AX27)</f>
        <v>130000</v>
      </c>
      <c r="AY23" s="3104">
        <f>AX23/AR23*100</f>
        <v>108.33333333333333</v>
      </c>
      <c r="AZ23" s="3103">
        <f>SUM(AZ24:AZ27)</f>
        <v>0</v>
      </c>
      <c r="BA23" s="3103">
        <f>SUM(BA24:BA27)</f>
        <v>130000</v>
      </c>
      <c r="BB23" s="3103">
        <f>SUM(BB24:BB27)</f>
        <v>130000</v>
      </c>
      <c r="BC23" s="3103">
        <f>SUM(BC24:BC27)</f>
        <v>0</v>
      </c>
      <c r="BD23" s="3103">
        <f>SUM(BD24:BD27)</f>
        <v>140000</v>
      </c>
      <c r="BE23" s="3104">
        <f>BD23/AX23*100</f>
        <v>107.69230769230769</v>
      </c>
      <c r="BF23" s="3103">
        <f>SUM(BF24:BF27)</f>
        <v>0</v>
      </c>
      <c r="BG23" s="3103">
        <f>SUM(BG24:BG27)</f>
        <v>140000</v>
      </c>
      <c r="BH23" s="3103">
        <f>SUM(BH24:BH27)</f>
        <v>140000</v>
      </c>
      <c r="BI23" s="3103">
        <f>SUM(BI24:BI27)</f>
        <v>0</v>
      </c>
      <c r="BJ23" s="3103">
        <f>SUM(BJ24:BJ27)</f>
        <v>153000</v>
      </c>
      <c r="BK23" s="3104">
        <f>BJ23/BD23*100</f>
        <v>109.28571428571428</v>
      </c>
      <c r="BL23" s="3103">
        <f>SUM(BL24:BL27)</f>
        <v>0</v>
      </c>
      <c r="BM23" s="3103">
        <f>SUM(BM24:BM27)</f>
        <v>153000</v>
      </c>
      <c r="BN23" s="3103">
        <f>SUM(BN24:BN27)</f>
        <v>153000</v>
      </c>
      <c r="BO23" s="3103">
        <f>SUM(BO24:BO27)</f>
        <v>0</v>
      </c>
    </row>
    <row r="24" spans="1:67" ht="15.75" customHeight="1">
      <c r="A24" s="3105" t="s">
        <v>29</v>
      </c>
      <c r="B24" s="37" t="s">
        <v>7</v>
      </c>
      <c r="C24" s="3106">
        <v>11000</v>
      </c>
      <c r="D24" s="3107">
        <v>0</v>
      </c>
      <c r="E24" s="3107">
        <f>C24-D24</f>
        <v>11000</v>
      </c>
      <c r="F24" s="3107">
        <f t="shared" si="7"/>
        <v>11000</v>
      </c>
      <c r="G24" s="3107">
        <v>0</v>
      </c>
      <c r="H24" s="3108">
        <v>16615.627700000001</v>
      </c>
      <c r="I24" s="3109"/>
      <c r="J24" s="3110">
        <f>0</f>
        <v>0</v>
      </c>
      <c r="K24" s="3110">
        <f>H24-J24</f>
        <v>16615.627700000001</v>
      </c>
      <c r="L24" s="3110">
        <f>K24-M24</f>
        <v>16615.627700000001</v>
      </c>
      <c r="M24" s="3110">
        <v>0</v>
      </c>
      <c r="N24" s="154">
        <v>18000</v>
      </c>
      <c r="O24" s="3111"/>
      <c r="P24" s="154"/>
      <c r="Q24" s="154">
        <f>N24-P24</f>
        <v>18000</v>
      </c>
      <c r="R24" s="154">
        <f>Q24-S24</f>
        <v>18000</v>
      </c>
      <c r="S24" s="154">
        <v>0</v>
      </c>
      <c r="T24" s="154">
        <f>'[2]Phụ lục số 1'!T24</f>
        <v>15000</v>
      </c>
      <c r="U24" s="3112">
        <f t="shared" ref="U24:U26" si="18">T24/N24*100</f>
        <v>83.333333333333343</v>
      </c>
      <c r="V24" s="154"/>
      <c r="W24" s="154">
        <f>T24-V24</f>
        <v>15000</v>
      </c>
      <c r="X24" s="154">
        <f>W24-Y24</f>
        <v>15000</v>
      </c>
      <c r="Y24" s="154">
        <v>0</v>
      </c>
      <c r="Z24" s="154">
        <f>'[2]Phụ lục số 1'!AE24</f>
        <v>16000</v>
      </c>
      <c r="AA24" s="3111"/>
      <c r="AB24" s="154"/>
      <c r="AC24" s="154">
        <f>Z24-AB24</f>
        <v>16000</v>
      </c>
      <c r="AD24" s="154">
        <f>AC24-AE24</f>
        <v>16000</v>
      </c>
      <c r="AE24" s="154">
        <v>0</v>
      </c>
      <c r="AF24" s="154">
        <f>'[2]Phụ lục số 1'!AK24</f>
        <v>22000</v>
      </c>
      <c r="AG24" s="3109"/>
      <c r="AH24" s="3106"/>
      <c r="AI24" s="3106">
        <f>AF24-AH24</f>
        <v>22000</v>
      </c>
      <c r="AJ24" s="3106">
        <f>AI24-AK24</f>
        <v>22000</v>
      </c>
      <c r="AK24" s="3106">
        <v>0</v>
      </c>
      <c r="AL24" s="160">
        <f>'[2]Phụ lục số 1'!AQ24</f>
        <v>24000</v>
      </c>
      <c r="AM24" s="160"/>
      <c r="AN24" s="160"/>
      <c r="AO24" s="154">
        <f>AL24-AN24</f>
        <v>24000</v>
      </c>
      <c r="AP24" s="160">
        <f>AL24</f>
        <v>24000</v>
      </c>
      <c r="AQ24" s="160"/>
      <c r="AR24" s="747">
        <f>'[10]5 năm A'!$R$35</f>
        <v>26000</v>
      </c>
      <c r="AS24" s="747"/>
      <c r="AT24" s="747"/>
      <c r="AU24" s="3113">
        <f>AR24-AT24</f>
        <v>26000</v>
      </c>
      <c r="AV24" s="747">
        <f>AR24</f>
        <v>26000</v>
      </c>
      <c r="AW24" s="747"/>
      <c r="AX24" s="747">
        <f>'[10]5 năm A'!$S$35</f>
        <v>28000</v>
      </c>
      <c r="AY24" s="747"/>
      <c r="AZ24" s="747"/>
      <c r="BA24" s="3113">
        <f>AX24-AZ24</f>
        <v>28000</v>
      </c>
      <c r="BB24" s="747">
        <f>AX24</f>
        <v>28000</v>
      </c>
      <c r="BC24" s="747"/>
      <c r="BD24" s="747">
        <f>'[10]5 năm A'!$T$35</f>
        <v>32000</v>
      </c>
      <c r="BE24" s="747"/>
      <c r="BF24" s="747"/>
      <c r="BG24" s="3113">
        <f>BD24-BF24</f>
        <v>32000</v>
      </c>
      <c r="BH24" s="747">
        <f>BD24</f>
        <v>32000</v>
      </c>
      <c r="BI24" s="747"/>
      <c r="BJ24" s="747">
        <f>'[10]5 năm A'!$U$35</f>
        <v>35500</v>
      </c>
      <c r="BK24" s="747"/>
      <c r="BL24" s="747"/>
      <c r="BM24" s="3113">
        <f>BJ24-BL24</f>
        <v>35500</v>
      </c>
      <c r="BN24" s="747">
        <f>BJ24</f>
        <v>35500</v>
      </c>
      <c r="BO24" s="747"/>
    </row>
    <row r="25" spans="1:67" ht="15.75" customHeight="1">
      <c r="A25" s="3105" t="s">
        <v>29</v>
      </c>
      <c r="B25" s="37" t="s">
        <v>8</v>
      </c>
      <c r="C25" s="3106">
        <v>63000</v>
      </c>
      <c r="D25" s="3107">
        <v>0</v>
      </c>
      <c r="E25" s="3107">
        <f>C25-D25</f>
        <v>63000</v>
      </c>
      <c r="F25" s="3107">
        <f t="shared" si="7"/>
        <v>63000</v>
      </c>
      <c r="G25" s="3107">
        <v>0</v>
      </c>
      <c r="H25" s="3108">
        <v>58096.966274999999</v>
      </c>
      <c r="I25" s="3109"/>
      <c r="J25" s="3110">
        <f>0</f>
        <v>0</v>
      </c>
      <c r="K25" s="3110">
        <f>H25-J25</f>
        <v>58096.966274999999</v>
      </c>
      <c r="L25" s="3110">
        <f>K25-M25</f>
        <v>58096.966274999999</v>
      </c>
      <c r="M25" s="3110">
        <v>0</v>
      </c>
      <c r="N25" s="154">
        <v>52000</v>
      </c>
      <c r="O25" s="3111"/>
      <c r="P25" s="154"/>
      <c r="Q25" s="154">
        <f>N25-P25</f>
        <v>52000</v>
      </c>
      <c r="R25" s="154">
        <f>Q25-S25</f>
        <v>52000</v>
      </c>
      <c r="S25" s="154">
        <v>0</v>
      </c>
      <c r="T25" s="154">
        <f>'[2]Phụ lục số 1'!T25</f>
        <v>54990</v>
      </c>
      <c r="U25" s="3112">
        <f t="shared" si="18"/>
        <v>105.75000000000001</v>
      </c>
      <c r="V25" s="154"/>
      <c r="W25" s="154">
        <f>T25-V25</f>
        <v>54990</v>
      </c>
      <c r="X25" s="154">
        <f>W25-Y25</f>
        <v>54990</v>
      </c>
      <c r="Y25" s="154">
        <v>0</v>
      </c>
      <c r="Z25" s="154">
        <f>'[2]Phụ lục số 1'!AE25</f>
        <v>59000</v>
      </c>
      <c r="AA25" s="3111"/>
      <c r="AB25" s="154"/>
      <c r="AC25" s="154">
        <f>Z25-AB25</f>
        <v>59000</v>
      </c>
      <c r="AD25" s="154">
        <f>AC25-AE25</f>
        <v>59000</v>
      </c>
      <c r="AE25" s="154">
        <v>0</v>
      </c>
      <c r="AF25" s="154">
        <f>'[2]Phụ lục số 1'!AK25</f>
        <v>78000</v>
      </c>
      <c r="AG25" s="3109"/>
      <c r="AH25" s="3106"/>
      <c r="AI25" s="3106">
        <f>AF25-AH25</f>
        <v>78000</v>
      </c>
      <c r="AJ25" s="3106">
        <f>AI25-AK25</f>
        <v>78000</v>
      </c>
      <c r="AK25" s="3106">
        <v>0</v>
      </c>
      <c r="AL25" s="160">
        <f>'[2]Phụ lục số 1'!AQ25</f>
        <v>86000</v>
      </c>
      <c r="AM25" s="160"/>
      <c r="AN25" s="160"/>
      <c r="AO25" s="154">
        <f>AL25-AN25</f>
        <v>86000</v>
      </c>
      <c r="AP25" s="160">
        <f>AL25</f>
        <v>86000</v>
      </c>
      <c r="AQ25" s="160"/>
      <c r="AR25" s="747">
        <f>'[10]5 năm A'!$R$37</f>
        <v>94000</v>
      </c>
      <c r="AS25" s="747"/>
      <c r="AT25" s="747"/>
      <c r="AU25" s="3113">
        <f>AR25-AT25</f>
        <v>94000</v>
      </c>
      <c r="AV25" s="747">
        <f>AR25</f>
        <v>94000</v>
      </c>
      <c r="AW25" s="747"/>
      <c r="AX25" s="747">
        <f>'[10]5 năm A'!$S$37</f>
        <v>102000</v>
      </c>
      <c r="AY25" s="747"/>
      <c r="AZ25" s="747"/>
      <c r="BA25" s="3113">
        <f>AX25-AZ25</f>
        <v>102000</v>
      </c>
      <c r="BB25" s="747">
        <f>AX25</f>
        <v>102000</v>
      </c>
      <c r="BC25" s="747"/>
      <c r="BD25" s="747">
        <f>'[10]5 năm A'!$T$37</f>
        <v>108000</v>
      </c>
      <c r="BE25" s="747"/>
      <c r="BF25" s="747"/>
      <c r="BG25" s="3113">
        <f>BD25-BF25</f>
        <v>108000</v>
      </c>
      <c r="BH25" s="747">
        <f>BD25</f>
        <v>108000</v>
      </c>
      <c r="BI25" s="747"/>
      <c r="BJ25" s="747">
        <f>'[10]5 năm A'!$U$37</f>
        <v>117500</v>
      </c>
      <c r="BK25" s="747"/>
      <c r="BL25" s="747"/>
      <c r="BM25" s="3113">
        <f>BJ25-BL25</f>
        <v>117500</v>
      </c>
      <c r="BN25" s="747">
        <f>BJ25</f>
        <v>117500</v>
      </c>
      <c r="BO25" s="747"/>
    </row>
    <row r="26" spans="1:67" ht="15.75" customHeight="1">
      <c r="A26" s="3105" t="s">
        <v>29</v>
      </c>
      <c r="B26" s="37" t="s">
        <v>10</v>
      </c>
      <c r="C26" s="3106">
        <v>0</v>
      </c>
      <c r="D26" s="3107"/>
      <c r="E26" s="3107">
        <f>C26-D26</f>
        <v>0</v>
      </c>
      <c r="F26" s="3107">
        <f>C26</f>
        <v>0</v>
      </c>
      <c r="G26" s="3107">
        <v>0</v>
      </c>
      <c r="H26" s="3108">
        <v>16.629639999999998</v>
      </c>
      <c r="I26" s="3109"/>
      <c r="J26" s="3110">
        <v>0</v>
      </c>
      <c r="K26" s="3110">
        <f>H26-J26</f>
        <v>16.629639999999998</v>
      </c>
      <c r="L26" s="3110">
        <f>K26-M26</f>
        <v>16.629639999999998</v>
      </c>
      <c r="M26" s="3110">
        <v>0</v>
      </c>
      <c r="N26" s="154">
        <v>0</v>
      </c>
      <c r="O26" s="3111"/>
      <c r="P26" s="154"/>
      <c r="Q26" s="154">
        <f>N26-P26</f>
        <v>0</v>
      </c>
      <c r="R26" s="154">
        <f>Q26-S26</f>
        <v>0</v>
      </c>
      <c r="S26" s="154">
        <v>0</v>
      </c>
      <c r="T26" s="154">
        <f>'[2]Phụ lục số 1'!T26</f>
        <v>0</v>
      </c>
      <c r="U26" s="3111" t="e">
        <f t="shared" si="18"/>
        <v>#DIV/0!</v>
      </c>
      <c r="V26" s="154"/>
      <c r="W26" s="154">
        <f>T26-V26</f>
        <v>0</v>
      </c>
      <c r="X26" s="154">
        <f>W26-Y26</f>
        <v>0</v>
      </c>
      <c r="Y26" s="154">
        <v>0</v>
      </c>
      <c r="Z26" s="154">
        <f>'[2]Phụ lục số 1'!AE26</f>
        <v>0</v>
      </c>
      <c r="AA26" s="3111"/>
      <c r="AB26" s="154"/>
      <c r="AC26" s="154">
        <f>Z26-AB26</f>
        <v>0</v>
      </c>
      <c r="AD26" s="154">
        <f>AC26-AE26</f>
        <v>0</v>
      </c>
      <c r="AE26" s="154">
        <v>0</v>
      </c>
      <c r="AF26" s="154">
        <f>'[2]Phụ lục số 1'!AK26</f>
        <v>0</v>
      </c>
      <c r="AG26" s="3109"/>
      <c r="AH26" s="3106"/>
      <c r="AI26" s="3106">
        <f>AF26-AH26</f>
        <v>0</v>
      </c>
      <c r="AJ26" s="3106">
        <f>AI26-AK26</f>
        <v>0</v>
      </c>
      <c r="AK26" s="3106">
        <v>0</v>
      </c>
      <c r="AL26" s="160">
        <f>'[2]Phụ lục số 1'!AQ26</f>
        <v>0</v>
      </c>
      <c r="AM26" s="160"/>
      <c r="AN26" s="160"/>
      <c r="AO26" s="154">
        <f>AL26-AN26</f>
        <v>0</v>
      </c>
      <c r="AP26" s="160"/>
      <c r="AQ26" s="160"/>
      <c r="AR26" s="747"/>
      <c r="AS26" s="747"/>
      <c r="AT26" s="747"/>
      <c r="AU26" s="3113">
        <f>AR26-AT26</f>
        <v>0</v>
      </c>
      <c r="AV26" s="747"/>
      <c r="AW26" s="747"/>
      <c r="AX26" s="747"/>
      <c r="AY26" s="747"/>
      <c r="AZ26" s="747"/>
      <c r="BA26" s="3113">
        <f>AX26-AZ26</f>
        <v>0</v>
      </c>
      <c r="BB26" s="747"/>
      <c r="BC26" s="747"/>
      <c r="BD26" s="747"/>
      <c r="BE26" s="747"/>
      <c r="BF26" s="747"/>
      <c r="BG26" s="3113">
        <f>BD26-BF26</f>
        <v>0</v>
      </c>
      <c r="BH26" s="747"/>
      <c r="BI26" s="747"/>
      <c r="BJ26" s="747"/>
      <c r="BK26" s="747"/>
      <c r="BL26" s="747"/>
      <c r="BM26" s="3113">
        <f>BJ26-BL26</f>
        <v>0</v>
      </c>
      <c r="BN26" s="747"/>
      <c r="BO26" s="747"/>
    </row>
    <row r="27" spans="1:67" ht="15.75" customHeight="1">
      <c r="A27" s="3105" t="s">
        <v>29</v>
      </c>
      <c r="B27" s="37" t="s">
        <v>14</v>
      </c>
      <c r="C27" s="3106"/>
      <c r="D27" s="3107">
        <v>0</v>
      </c>
      <c r="E27" s="3107">
        <f>C27-D27</f>
        <v>0</v>
      </c>
      <c r="F27" s="3107">
        <f t="shared" si="7"/>
        <v>0</v>
      </c>
      <c r="G27" s="3107">
        <v>0</v>
      </c>
      <c r="H27" s="3108">
        <v>0</v>
      </c>
      <c r="I27" s="3109"/>
      <c r="J27" s="3110"/>
      <c r="K27" s="3110">
        <f>H27-J27</f>
        <v>0</v>
      </c>
      <c r="L27" s="3110">
        <f>K27-M27</f>
        <v>0</v>
      </c>
      <c r="M27" s="3110">
        <v>0</v>
      </c>
      <c r="N27" s="154"/>
      <c r="O27" s="3111"/>
      <c r="P27" s="154">
        <v>0</v>
      </c>
      <c r="Q27" s="154">
        <f>N27-P27</f>
        <v>0</v>
      </c>
      <c r="R27" s="154">
        <f>Q27-S27</f>
        <v>0</v>
      </c>
      <c r="S27" s="154">
        <v>0</v>
      </c>
      <c r="T27" s="154">
        <f>'[2]Phụ lục số 1'!T27</f>
        <v>10</v>
      </c>
      <c r="U27" s="3111" t="e">
        <f t="shared" ref="U27" si="19">T27/H27*100</f>
        <v>#DIV/0!</v>
      </c>
      <c r="V27" s="154">
        <v>0</v>
      </c>
      <c r="W27" s="154">
        <f>T27-V27</f>
        <v>10</v>
      </c>
      <c r="X27" s="154">
        <f>W27-Y27</f>
        <v>10</v>
      </c>
      <c r="Y27" s="154">
        <v>0</v>
      </c>
      <c r="Z27" s="154">
        <f>'[2]Phụ lục số 1'!AE27</f>
        <v>0</v>
      </c>
      <c r="AA27" s="3111"/>
      <c r="AB27" s="154">
        <v>0</v>
      </c>
      <c r="AC27" s="154">
        <f>Z27-AB27</f>
        <v>0</v>
      </c>
      <c r="AD27" s="154">
        <f>AC27-AE27</f>
        <v>0</v>
      </c>
      <c r="AE27" s="154">
        <v>0</v>
      </c>
      <c r="AF27" s="154">
        <f>'[2]Phụ lục số 1'!AK27</f>
        <v>0</v>
      </c>
      <c r="AG27" s="3109"/>
      <c r="AH27" s="3106">
        <v>0</v>
      </c>
      <c r="AI27" s="3106">
        <f>AF27-AH27</f>
        <v>0</v>
      </c>
      <c r="AJ27" s="3106">
        <f>AI27-AK27</f>
        <v>0</v>
      </c>
      <c r="AK27" s="3106">
        <v>0</v>
      </c>
      <c r="AL27" s="160">
        <f>'[2]Phụ lục số 1'!AQ27</f>
        <v>0</v>
      </c>
      <c r="AM27" s="160"/>
      <c r="AN27" s="160"/>
      <c r="AO27" s="154">
        <f>AL27-AN27</f>
        <v>0</v>
      </c>
      <c r="AP27" s="160"/>
      <c r="AQ27" s="160"/>
      <c r="AR27" s="747"/>
      <c r="AS27" s="747"/>
      <c r="AT27" s="747"/>
      <c r="AU27" s="3113">
        <f>AR27-AT27</f>
        <v>0</v>
      </c>
      <c r="AV27" s="747"/>
      <c r="AW27" s="747"/>
      <c r="AX27" s="747"/>
      <c r="AY27" s="747"/>
      <c r="AZ27" s="747"/>
      <c r="BA27" s="3113">
        <f>AX27-AZ27</f>
        <v>0</v>
      </c>
      <c r="BB27" s="747"/>
      <c r="BC27" s="747"/>
      <c r="BD27" s="747"/>
      <c r="BE27" s="747"/>
      <c r="BF27" s="747"/>
      <c r="BG27" s="3113">
        <f>BD27-BF27</f>
        <v>0</v>
      </c>
      <c r="BH27" s="747"/>
      <c r="BI27" s="747"/>
      <c r="BJ27" s="747"/>
      <c r="BK27" s="747"/>
      <c r="BL27" s="747"/>
      <c r="BM27" s="3113">
        <f>BJ27-BL27</f>
        <v>0</v>
      </c>
      <c r="BN27" s="747"/>
      <c r="BO27" s="747"/>
    </row>
    <row r="28" spans="1:67" s="3053" customFormat="1">
      <c r="A28" s="3097">
        <v>4</v>
      </c>
      <c r="B28" s="39" t="s">
        <v>15</v>
      </c>
      <c r="C28" s="3114">
        <f t="shared" ref="C28:H28" si="20">SUM(C29:C33)</f>
        <v>945000</v>
      </c>
      <c r="D28" s="3099">
        <f t="shared" si="20"/>
        <v>0</v>
      </c>
      <c r="E28" s="3099">
        <f t="shared" si="20"/>
        <v>945000</v>
      </c>
      <c r="F28" s="3099">
        <f t="shared" si="20"/>
        <v>100220</v>
      </c>
      <c r="G28" s="3099">
        <f t="shared" si="20"/>
        <v>844780</v>
      </c>
      <c r="H28" s="3098">
        <f t="shared" si="20"/>
        <v>1184282.337326</v>
      </c>
      <c r="I28" s="3100">
        <f>H28/C28*100</f>
        <v>125.32088225671959</v>
      </c>
      <c r="J28" s="3101">
        <f>SUM(J29:J33)</f>
        <v>0</v>
      </c>
      <c r="K28" s="3101">
        <f>SUM(K29:K33)</f>
        <v>1184282.337326</v>
      </c>
      <c r="L28" s="3101">
        <f>SUM(L29:L33)</f>
        <v>84604.241838000002</v>
      </c>
      <c r="M28" s="3101">
        <f>SUM(M29:M33)</f>
        <v>1099678.095488</v>
      </c>
      <c r="N28" s="149">
        <f>SUM(N29:N33)</f>
        <v>1265000</v>
      </c>
      <c r="O28" s="3102">
        <f>N28/H28*100</f>
        <v>106.81574487180592</v>
      </c>
      <c r="P28" s="149">
        <f>SUM(P29:P33)</f>
        <v>0</v>
      </c>
      <c r="Q28" s="149">
        <f>SUM(Q29:Q33)</f>
        <v>1265000</v>
      </c>
      <c r="R28" s="149">
        <f>SUM(R29:R33)</f>
        <v>88850</v>
      </c>
      <c r="S28" s="149">
        <f>SUM(S29:S33)</f>
        <v>1176150</v>
      </c>
      <c r="T28" s="149">
        <f t="shared" ref="T28:Y28" si="21">SUM(T29:T33)</f>
        <v>1600000.2999999998</v>
      </c>
      <c r="U28" s="149" t="e">
        <f t="shared" si="21"/>
        <v>#DIV/0!</v>
      </c>
      <c r="V28" s="149">
        <f t="shared" si="21"/>
        <v>0</v>
      </c>
      <c r="W28" s="149">
        <f t="shared" si="21"/>
        <v>1600000.2999999998</v>
      </c>
      <c r="X28" s="149">
        <f t="shared" si="21"/>
        <v>80950.399999999994</v>
      </c>
      <c r="Y28" s="149">
        <f t="shared" si="21"/>
        <v>1519049.9</v>
      </c>
      <c r="Z28" s="149">
        <f>SUM(Z29:Z33)</f>
        <v>1701000</v>
      </c>
      <c r="AA28" s="3102">
        <f>Z28/T28*100</f>
        <v>106.31248006641</v>
      </c>
      <c r="AB28" s="149">
        <f>SUM(AB29:AB33)</f>
        <v>0</v>
      </c>
      <c r="AC28" s="149">
        <f>SUM(AC29:AC33)</f>
        <v>1701000</v>
      </c>
      <c r="AD28" s="149">
        <f>SUM(AD29:AD33)</f>
        <v>69420</v>
      </c>
      <c r="AE28" s="149">
        <f>SUM(AE29:AE33)</f>
        <v>1631580</v>
      </c>
      <c r="AF28" s="149">
        <f>SUM(AF29:AF33)</f>
        <v>1620000</v>
      </c>
      <c r="AG28" s="3100">
        <f>AF28/Z28*100</f>
        <v>95.238095238095227</v>
      </c>
      <c r="AH28" s="3098">
        <f>SUM(AH29:AH33)</f>
        <v>0</v>
      </c>
      <c r="AI28" s="3098">
        <f>SUM(AI29:AI33)</f>
        <v>1620000</v>
      </c>
      <c r="AJ28" s="3098">
        <f>SUM(AJ29:AJ33)</f>
        <v>118000</v>
      </c>
      <c r="AK28" s="3098">
        <f>SUM(AK29:AK33)</f>
        <v>1502000</v>
      </c>
      <c r="AL28" s="149">
        <f>SUM(AL29:AL33)</f>
        <v>1790000</v>
      </c>
      <c r="AM28" s="3102">
        <f>AL28/AF28*100</f>
        <v>110.49382716049382</v>
      </c>
      <c r="AN28" s="149">
        <f>SUM(AN29:AN33)</f>
        <v>0</v>
      </c>
      <c r="AO28" s="149">
        <f>SUM(AO29:AO33)</f>
        <v>1790000</v>
      </c>
      <c r="AP28" s="149">
        <f>SUM(AP29:AP33)</f>
        <v>131000</v>
      </c>
      <c r="AQ28" s="149">
        <f>SUM(AQ29:AQ33)</f>
        <v>1659000</v>
      </c>
      <c r="AR28" s="3103">
        <f>SUM(AR29:AR33)</f>
        <v>1980000</v>
      </c>
      <c r="AS28" s="3104">
        <f>AR28/AL28*100</f>
        <v>110.61452513966481</v>
      </c>
      <c r="AT28" s="3103">
        <f>SUM(AT29:AT33)</f>
        <v>0</v>
      </c>
      <c r="AU28" s="3103">
        <f>SUM(AU29:AU33)</f>
        <v>1980000</v>
      </c>
      <c r="AV28" s="3103">
        <f>SUM(AV29:AV33)</f>
        <v>143000</v>
      </c>
      <c r="AW28" s="3103">
        <f>SUM(AW29:AW33)</f>
        <v>1837000</v>
      </c>
      <c r="AX28" s="3103">
        <f>SUM(AX29:AX33)</f>
        <v>2190000</v>
      </c>
      <c r="AY28" s="3104">
        <f>AX28/AR28*100</f>
        <v>110.60606060606059</v>
      </c>
      <c r="AZ28" s="3103">
        <f>SUM(AZ29:AZ33)</f>
        <v>0</v>
      </c>
      <c r="BA28" s="3103">
        <f>SUM(BA29:BA33)</f>
        <v>2190000</v>
      </c>
      <c r="BB28" s="3103">
        <f>SUM(BB29:BB33)</f>
        <v>156000</v>
      </c>
      <c r="BC28" s="3103">
        <f>SUM(BC29:BC33)</f>
        <v>2034000</v>
      </c>
      <c r="BD28" s="3103">
        <f>SUM(BD29:BD33)</f>
        <v>2430000</v>
      </c>
      <c r="BE28" s="3104">
        <f>BD28/AX28*100</f>
        <v>110.95890410958904</v>
      </c>
      <c r="BF28" s="3103">
        <f>SUM(BF29:BF33)</f>
        <v>0</v>
      </c>
      <c r="BG28" s="3103">
        <f>SUM(BG29:BG33)</f>
        <v>2430000</v>
      </c>
      <c r="BH28" s="3103">
        <f>SUM(BH29:BH33)</f>
        <v>173000</v>
      </c>
      <c r="BI28" s="3103">
        <f>SUM(BI29:BI33)</f>
        <v>2257000</v>
      </c>
      <c r="BJ28" s="3103">
        <f>SUM(BJ29:BJ33)</f>
        <v>2730000</v>
      </c>
      <c r="BK28" s="3104">
        <f>BJ28/BD28*100</f>
        <v>112.34567901234568</v>
      </c>
      <c r="BL28" s="3103">
        <f>SUM(BL29:BL33)</f>
        <v>0</v>
      </c>
      <c r="BM28" s="3103">
        <f>SUM(BM29:BM33)</f>
        <v>2730000</v>
      </c>
      <c r="BN28" s="3103">
        <f>SUM(BN29:BN33)</f>
        <v>198000</v>
      </c>
      <c r="BO28" s="3103">
        <f>SUM(BO29:BO33)</f>
        <v>2532000</v>
      </c>
    </row>
    <row r="29" spans="1:67" ht="15.75" customHeight="1">
      <c r="A29" s="3105" t="s">
        <v>29</v>
      </c>
      <c r="B29" s="37" t="s">
        <v>7</v>
      </c>
      <c r="C29" s="3106">
        <v>507290</v>
      </c>
      <c r="D29" s="3107">
        <v>0</v>
      </c>
      <c r="E29" s="3107">
        <f t="shared" ref="E29:E34" si="22">C29-D29</f>
        <v>507290</v>
      </c>
      <c r="F29" s="3107">
        <f>E29-G29</f>
        <v>0</v>
      </c>
      <c r="G29" s="3107">
        <f>C29</f>
        <v>507290</v>
      </c>
      <c r="H29" s="3108">
        <v>628438.07316999999</v>
      </c>
      <c r="I29" s="3109"/>
      <c r="J29" s="3110">
        <f>0</f>
        <v>0</v>
      </c>
      <c r="K29" s="3110">
        <f t="shared" ref="K29:K48" si="23">H29-J29</f>
        <v>628438.07316999999</v>
      </c>
      <c r="L29" s="3116">
        <f>K29-M29</f>
        <v>0</v>
      </c>
      <c r="M29" s="3110">
        <f>H29</f>
        <v>628438.07316999999</v>
      </c>
      <c r="N29" s="154">
        <f>'[11]Phụ lục số 5'!C8</f>
        <v>651170</v>
      </c>
      <c r="O29" s="3111"/>
      <c r="P29" s="154"/>
      <c r="Q29" s="154">
        <f t="shared" ref="Q29:Q47" si="24">N29-P29</f>
        <v>651170</v>
      </c>
      <c r="R29" s="3117">
        <f>Q29-S29</f>
        <v>0</v>
      </c>
      <c r="S29" s="154">
        <f>N29</f>
        <v>651170</v>
      </c>
      <c r="T29" s="154">
        <f>'[2]Phụ lục số 1'!T29</f>
        <v>728899.9</v>
      </c>
      <c r="U29" s="3112">
        <f t="shared" ref="U29:U30" si="25">T29/N29*100</f>
        <v>111.93695962651842</v>
      </c>
      <c r="V29" s="154"/>
      <c r="W29" s="154">
        <f t="shared" ref="W29:W38" si="26">T29-V29</f>
        <v>728899.9</v>
      </c>
      <c r="X29" s="3117">
        <f t="shared" ref="X29:X36" si="27">W29-Y29</f>
        <v>0</v>
      </c>
      <c r="Y29" s="154">
        <f>T29</f>
        <v>728899.9</v>
      </c>
      <c r="Z29" s="149">
        <f>'[2]Phụ lục số 1'!AE29</f>
        <v>724290</v>
      </c>
      <c r="AA29" s="3111"/>
      <c r="AB29" s="154"/>
      <c r="AC29" s="154">
        <f t="shared" ref="AC29:AC38" si="28">Z29-AB29</f>
        <v>724290</v>
      </c>
      <c r="AD29" s="3117">
        <f t="shared" ref="AD29:AD36" si="29">AC29-AE29</f>
        <v>0</v>
      </c>
      <c r="AE29" s="154">
        <f>Z29</f>
        <v>724290</v>
      </c>
      <c r="AF29" s="154">
        <f>'[2]Phụ lục số 1'!AK29</f>
        <v>910000</v>
      </c>
      <c r="AG29" s="3109"/>
      <c r="AH29" s="3106"/>
      <c r="AI29" s="3106">
        <f t="shared" ref="AI29:AI38" si="30">AF29-AH29</f>
        <v>910000</v>
      </c>
      <c r="AJ29" s="3107">
        <f t="shared" ref="AJ29:AJ36" si="31">AI29-AK29</f>
        <v>0</v>
      </c>
      <c r="AK29" s="3106">
        <f>AF29</f>
        <v>910000</v>
      </c>
      <c r="AL29" s="160">
        <f>'[2]Phụ lục số 1'!AQ29</f>
        <v>1004000</v>
      </c>
      <c r="AM29" s="160"/>
      <c r="AN29" s="160"/>
      <c r="AO29" s="154">
        <f>AL29-AN29</f>
        <v>1004000</v>
      </c>
      <c r="AP29" s="160"/>
      <c r="AQ29" s="160">
        <f>AL29</f>
        <v>1004000</v>
      </c>
      <c r="AR29" s="747">
        <f>'[10]5 năm A'!$R$42</f>
        <v>1113000</v>
      </c>
      <c r="AS29" s="747"/>
      <c r="AT29" s="747"/>
      <c r="AU29" s="3113">
        <f>AR29-AT29</f>
        <v>1113000</v>
      </c>
      <c r="AV29" s="747"/>
      <c r="AW29" s="747">
        <f>AR29</f>
        <v>1113000</v>
      </c>
      <c r="AX29" s="747">
        <f>'[10]5 năm A'!$S$42</f>
        <v>1238000</v>
      </c>
      <c r="AY29" s="747"/>
      <c r="AZ29" s="747"/>
      <c r="BA29" s="3113">
        <f>AX29-AZ29</f>
        <v>1238000</v>
      </c>
      <c r="BB29" s="747"/>
      <c r="BC29" s="747">
        <f>AX29</f>
        <v>1238000</v>
      </c>
      <c r="BD29" s="747">
        <f>'[10]5 năm A'!$T$42</f>
        <v>1373000</v>
      </c>
      <c r="BE29" s="747"/>
      <c r="BF29" s="747"/>
      <c r="BG29" s="3113">
        <f>BD29-BF29</f>
        <v>1373000</v>
      </c>
      <c r="BH29" s="747"/>
      <c r="BI29" s="747">
        <f>BD29</f>
        <v>1373000</v>
      </c>
      <c r="BJ29" s="747">
        <f>'[10]5 năm A'!$U$42</f>
        <v>1547000</v>
      </c>
      <c r="BK29" s="747"/>
      <c r="BL29" s="747"/>
      <c r="BM29" s="3113">
        <f>BJ29-BL29</f>
        <v>1547000</v>
      </c>
      <c r="BN29" s="747"/>
      <c r="BO29" s="747">
        <f>BJ29</f>
        <v>1547000</v>
      </c>
    </row>
    <row r="30" spans="1:67" ht="15.75" customHeight="1">
      <c r="A30" s="3105" t="s">
        <v>29</v>
      </c>
      <c r="B30" s="37" t="s">
        <v>8</v>
      </c>
      <c r="C30" s="3106">
        <v>337490</v>
      </c>
      <c r="D30" s="3107">
        <v>0</v>
      </c>
      <c r="E30" s="3107">
        <f t="shared" si="22"/>
        <v>337490</v>
      </c>
      <c r="F30" s="3107">
        <f>E30-G30</f>
        <v>0</v>
      </c>
      <c r="G30" s="3107">
        <f>C30</f>
        <v>337490</v>
      </c>
      <c r="H30" s="3108">
        <v>471240.02231799997</v>
      </c>
      <c r="I30" s="3109"/>
      <c r="J30" s="3110">
        <f>0</f>
        <v>0</v>
      </c>
      <c r="K30" s="3110">
        <f t="shared" si="23"/>
        <v>471240.02231799997</v>
      </c>
      <c r="L30" s="3116">
        <f>K30-M30</f>
        <v>0</v>
      </c>
      <c r="M30" s="3110">
        <f>H30</f>
        <v>471240.02231799997</v>
      </c>
      <c r="N30" s="154">
        <f>'[11]Phụ lục số 5'!C9</f>
        <v>524980</v>
      </c>
      <c r="O30" s="3111"/>
      <c r="P30" s="154"/>
      <c r="Q30" s="154">
        <f t="shared" si="24"/>
        <v>524980</v>
      </c>
      <c r="R30" s="3117">
        <f>Q30-S30</f>
        <v>0</v>
      </c>
      <c r="S30" s="154">
        <f>N30</f>
        <v>524980</v>
      </c>
      <c r="T30" s="154">
        <f>'[2]Phụ lục số 1'!T30</f>
        <v>790000</v>
      </c>
      <c r="U30" s="3111">
        <f t="shared" si="25"/>
        <v>150.48192312088079</v>
      </c>
      <c r="V30" s="154"/>
      <c r="W30" s="154">
        <f t="shared" si="26"/>
        <v>790000</v>
      </c>
      <c r="X30" s="3117">
        <f t="shared" si="27"/>
        <v>0</v>
      </c>
      <c r="Y30" s="154">
        <f>T30</f>
        <v>790000</v>
      </c>
      <c r="Z30" s="149">
        <f>'[2]Phụ lục số 1'!AE30</f>
        <v>905790</v>
      </c>
      <c r="AA30" s="3111"/>
      <c r="AB30" s="154"/>
      <c r="AC30" s="154">
        <f t="shared" si="28"/>
        <v>905790</v>
      </c>
      <c r="AD30" s="3117">
        <f t="shared" si="29"/>
        <v>0</v>
      </c>
      <c r="AE30" s="154">
        <f>Z30</f>
        <v>905790</v>
      </c>
      <c r="AF30" s="154">
        <f>'[2]Phụ lục số 1'!AK30</f>
        <v>592000</v>
      </c>
      <c r="AG30" s="3109"/>
      <c r="AH30" s="3106"/>
      <c r="AI30" s="3106">
        <f t="shared" si="30"/>
        <v>592000</v>
      </c>
      <c r="AJ30" s="3107">
        <f t="shared" si="31"/>
        <v>0</v>
      </c>
      <c r="AK30" s="3106">
        <f>AF30</f>
        <v>592000</v>
      </c>
      <c r="AL30" s="160">
        <f>'[2]Phụ lục số 1'!AQ30</f>
        <v>655000</v>
      </c>
      <c r="AM30" s="160"/>
      <c r="AN30" s="160"/>
      <c r="AO30" s="154">
        <f>AL30-AN30</f>
        <v>655000</v>
      </c>
      <c r="AP30" s="160"/>
      <c r="AQ30" s="160">
        <f>AL30</f>
        <v>655000</v>
      </c>
      <c r="AR30" s="747">
        <f>'[10]5 năm A'!$R$44</f>
        <v>724000</v>
      </c>
      <c r="AS30" s="747"/>
      <c r="AT30" s="747"/>
      <c r="AU30" s="3113">
        <f>AR30-AT30</f>
        <v>724000</v>
      </c>
      <c r="AV30" s="747"/>
      <c r="AW30" s="747">
        <f>AR30</f>
        <v>724000</v>
      </c>
      <c r="AX30" s="747">
        <f>'[10]5 năm A'!$S$44</f>
        <v>796000</v>
      </c>
      <c r="AY30" s="747"/>
      <c r="AZ30" s="747"/>
      <c r="BA30" s="3113">
        <f>AX30-AZ30</f>
        <v>796000</v>
      </c>
      <c r="BB30" s="747"/>
      <c r="BC30" s="747">
        <f>AX30</f>
        <v>796000</v>
      </c>
      <c r="BD30" s="747">
        <f>'[10]5 năm A'!$T$44</f>
        <v>884000</v>
      </c>
      <c r="BE30" s="747"/>
      <c r="BF30" s="747"/>
      <c r="BG30" s="3113">
        <f>BD30-BF30</f>
        <v>884000</v>
      </c>
      <c r="BH30" s="747"/>
      <c r="BI30" s="747">
        <f>BD30</f>
        <v>884000</v>
      </c>
      <c r="BJ30" s="747">
        <f>'[10]5 năm A'!$U$44</f>
        <v>985000</v>
      </c>
      <c r="BK30" s="747"/>
      <c r="BL30" s="747"/>
      <c r="BM30" s="3113">
        <f>BJ30-BL30</f>
        <v>985000</v>
      </c>
      <c r="BN30" s="747"/>
      <c r="BO30" s="747">
        <f>BJ30</f>
        <v>985000</v>
      </c>
    </row>
    <row r="31" spans="1:67" ht="15.75" customHeight="1">
      <c r="A31" s="3105" t="s">
        <v>29</v>
      </c>
      <c r="B31" s="37" t="s">
        <v>9</v>
      </c>
      <c r="C31" s="3106">
        <v>87315</v>
      </c>
      <c r="D31" s="3107">
        <v>0</v>
      </c>
      <c r="E31" s="3107">
        <f t="shared" si="22"/>
        <v>87315</v>
      </c>
      <c r="F31" s="3107">
        <f>E31-G31</f>
        <v>87315</v>
      </c>
      <c r="G31" s="3107">
        <v>0</v>
      </c>
      <c r="H31" s="3108">
        <v>80519.551053000003</v>
      </c>
      <c r="I31" s="3109"/>
      <c r="J31" s="3110"/>
      <c r="K31" s="3110">
        <f t="shared" si="23"/>
        <v>80519.551053000003</v>
      </c>
      <c r="L31" s="3116">
        <f>K31-M31</f>
        <v>80519.551053000003</v>
      </c>
      <c r="M31" s="3110">
        <v>0</v>
      </c>
      <c r="N31" s="154">
        <f>'[11]Phụ lục số 5'!C10</f>
        <v>85120</v>
      </c>
      <c r="O31" s="3111"/>
      <c r="P31" s="154"/>
      <c r="Q31" s="154">
        <f t="shared" si="24"/>
        <v>85120</v>
      </c>
      <c r="R31" s="3117">
        <f>Q31-S31</f>
        <v>85120</v>
      </c>
      <c r="S31" s="154"/>
      <c r="T31" s="154">
        <f>'[2]Phụ lục số 1'!T31</f>
        <v>76000.2</v>
      </c>
      <c r="U31" s="3111">
        <f t="shared" ref="U31" si="32">T31/H31*100</f>
        <v>94.387262479860013</v>
      </c>
      <c r="V31" s="154"/>
      <c r="W31" s="154">
        <f t="shared" si="26"/>
        <v>76000.2</v>
      </c>
      <c r="X31" s="3117">
        <f t="shared" si="27"/>
        <v>76000.2</v>
      </c>
      <c r="Y31" s="154"/>
      <c r="Z31" s="149">
        <f>'[2]Phụ lục số 1'!AE31</f>
        <v>63450</v>
      </c>
      <c r="AA31" s="3111"/>
      <c r="AB31" s="154"/>
      <c r="AC31" s="154">
        <f t="shared" si="28"/>
        <v>63450</v>
      </c>
      <c r="AD31" s="3117">
        <f t="shared" si="29"/>
        <v>63450</v>
      </c>
      <c r="AE31" s="154"/>
      <c r="AF31" s="154">
        <f>'[2]Phụ lục số 1'!AK31</f>
        <v>109400</v>
      </c>
      <c r="AG31" s="3109"/>
      <c r="AH31" s="3106"/>
      <c r="AI31" s="3106">
        <f>AF31-AH31</f>
        <v>109400</v>
      </c>
      <c r="AJ31" s="3107">
        <f>AI31-AK31</f>
        <v>109400</v>
      </c>
      <c r="AK31" s="3106"/>
      <c r="AL31" s="160">
        <f>'[2]Phụ lục số 1'!AQ31</f>
        <v>122000</v>
      </c>
      <c r="AM31" s="160"/>
      <c r="AN31" s="160"/>
      <c r="AO31" s="154">
        <f>AL31-AN31</f>
        <v>122000</v>
      </c>
      <c r="AP31" s="3117">
        <f t="shared" ref="AP31:AP34" si="33">AO31-AQ31</f>
        <v>122000</v>
      </c>
      <c r="AQ31" s="160"/>
      <c r="AR31" s="747">
        <f>'[10]5 năm A'!$R$43</f>
        <v>134000</v>
      </c>
      <c r="AS31" s="747"/>
      <c r="AT31" s="747"/>
      <c r="AU31" s="3113">
        <f>AR31-AT31</f>
        <v>134000</v>
      </c>
      <c r="AV31" s="3118">
        <f t="shared" ref="AV31:AV32" si="34">AU31-AW31</f>
        <v>134000</v>
      </c>
      <c r="AW31" s="747"/>
      <c r="AX31" s="747">
        <f>'[10]5 năm A'!$S$43</f>
        <v>147000</v>
      </c>
      <c r="AY31" s="747"/>
      <c r="AZ31" s="747"/>
      <c r="BA31" s="3113">
        <f>AX31-AZ31</f>
        <v>147000</v>
      </c>
      <c r="BB31" s="3118">
        <f t="shared" ref="BB31:BB32" si="35">BA31-BC31</f>
        <v>147000</v>
      </c>
      <c r="BC31" s="747"/>
      <c r="BD31" s="747">
        <f>'[10]5 năm A'!$T$43</f>
        <v>163000</v>
      </c>
      <c r="BE31" s="747"/>
      <c r="BF31" s="747"/>
      <c r="BG31" s="3113">
        <f>BD31-BF31</f>
        <v>163000</v>
      </c>
      <c r="BH31" s="3118">
        <f t="shared" ref="BH31:BH32" si="36">BG31-BI31</f>
        <v>163000</v>
      </c>
      <c r="BI31" s="747"/>
      <c r="BJ31" s="747">
        <f>'[10]5 năm A'!$U$43</f>
        <v>187000</v>
      </c>
      <c r="BK31" s="747"/>
      <c r="BL31" s="747"/>
      <c r="BM31" s="3113">
        <f>BJ31-BL31</f>
        <v>187000</v>
      </c>
      <c r="BN31" s="3118">
        <f t="shared" ref="BN31:BN32" si="37">BM31-BO31</f>
        <v>187000</v>
      </c>
      <c r="BO31" s="747"/>
    </row>
    <row r="32" spans="1:67" ht="15.75" customHeight="1">
      <c r="A32" s="3105" t="s">
        <v>29</v>
      </c>
      <c r="B32" s="37" t="s">
        <v>10</v>
      </c>
      <c r="C32" s="3106">
        <v>12905</v>
      </c>
      <c r="D32" s="3107">
        <v>0</v>
      </c>
      <c r="E32" s="3107">
        <f t="shared" si="22"/>
        <v>12905</v>
      </c>
      <c r="F32" s="3107">
        <f>E32-G32</f>
        <v>12905</v>
      </c>
      <c r="G32" s="3107">
        <v>0</v>
      </c>
      <c r="H32" s="3108">
        <v>4084.6907849999998</v>
      </c>
      <c r="I32" s="3109"/>
      <c r="J32" s="3110"/>
      <c r="K32" s="3110">
        <f t="shared" si="23"/>
        <v>4084.6907849999998</v>
      </c>
      <c r="L32" s="3116">
        <f>K32-M32</f>
        <v>4084.6907849999998</v>
      </c>
      <c r="M32" s="3110">
        <v>0</v>
      </c>
      <c r="N32" s="154">
        <f>'[11]Phụ lục số 5'!C11</f>
        <v>3730</v>
      </c>
      <c r="O32" s="3111"/>
      <c r="P32" s="154"/>
      <c r="Q32" s="154">
        <f t="shared" si="24"/>
        <v>3730</v>
      </c>
      <c r="R32" s="3117">
        <f>Q32-S32</f>
        <v>3730</v>
      </c>
      <c r="S32" s="154"/>
      <c r="T32" s="154">
        <f>'[2]Phụ lục số 1'!T32</f>
        <v>4950.2</v>
      </c>
      <c r="U32" s="3112">
        <f t="shared" ref="U32:U34" si="38">T32/N32*100</f>
        <v>132.71313672922253</v>
      </c>
      <c r="V32" s="154"/>
      <c r="W32" s="154">
        <f t="shared" si="26"/>
        <v>4950.2</v>
      </c>
      <c r="X32" s="3117">
        <f t="shared" si="27"/>
        <v>4950.2</v>
      </c>
      <c r="Y32" s="154"/>
      <c r="Z32" s="149">
        <f>'[2]Phụ lục số 1'!AE32</f>
        <v>5970</v>
      </c>
      <c r="AA32" s="3111"/>
      <c r="AB32" s="154"/>
      <c r="AC32" s="154">
        <f t="shared" si="28"/>
        <v>5970</v>
      </c>
      <c r="AD32" s="3117">
        <f t="shared" si="29"/>
        <v>5970</v>
      </c>
      <c r="AE32" s="154"/>
      <c r="AF32" s="154">
        <f>'[2]Phụ lục số 1'!AK32</f>
        <v>8600</v>
      </c>
      <c r="AG32" s="3109"/>
      <c r="AH32" s="3106"/>
      <c r="AI32" s="3106">
        <f t="shared" si="30"/>
        <v>8600</v>
      </c>
      <c r="AJ32" s="3107">
        <f t="shared" si="31"/>
        <v>8600</v>
      </c>
      <c r="AK32" s="3106"/>
      <c r="AL32" s="160">
        <f>'[2]Phụ lục số 1'!AQ32</f>
        <v>9000</v>
      </c>
      <c r="AM32" s="160"/>
      <c r="AN32" s="160"/>
      <c r="AO32" s="154">
        <f>AL32-AN32</f>
        <v>9000</v>
      </c>
      <c r="AP32" s="3117">
        <f t="shared" si="33"/>
        <v>9000</v>
      </c>
      <c r="AQ32" s="160"/>
      <c r="AR32" s="747">
        <f>'[10]5 năm A'!$R$45</f>
        <v>9000</v>
      </c>
      <c r="AS32" s="747"/>
      <c r="AT32" s="747"/>
      <c r="AU32" s="3113">
        <f>AR32-AT32</f>
        <v>9000</v>
      </c>
      <c r="AV32" s="3118">
        <f t="shared" si="34"/>
        <v>9000</v>
      </c>
      <c r="AW32" s="747"/>
      <c r="AX32" s="747">
        <f>'[10]5 năm A'!$S$45</f>
        <v>9000</v>
      </c>
      <c r="AY32" s="747"/>
      <c r="AZ32" s="747"/>
      <c r="BA32" s="3113">
        <f>AX32-AZ32</f>
        <v>9000</v>
      </c>
      <c r="BB32" s="3118">
        <f t="shared" si="35"/>
        <v>9000</v>
      </c>
      <c r="BC32" s="747"/>
      <c r="BD32" s="747">
        <f>'[10]5 năm A'!$T$45</f>
        <v>10000</v>
      </c>
      <c r="BE32" s="747"/>
      <c r="BF32" s="747"/>
      <c r="BG32" s="3113">
        <f>BD32-BF32</f>
        <v>10000</v>
      </c>
      <c r="BH32" s="3118">
        <f t="shared" si="36"/>
        <v>10000</v>
      </c>
      <c r="BI32" s="747"/>
      <c r="BJ32" s="747">
        <f>'[10]5 năm A'!$U$45</f>
        <v>11000</v>
      </c>
      <c r="BK32" s="747"/>
      <c r="BL32" s="747"/>
      <c r="BM32" s="3113">
        <f>BJ32-BL32</f>
        <v>11000</v>
      </c>
      <c r="BN32" s="3118">
        <f t="shared" si="37"/>
        <v>11000</v>
      </c>
      <c r="BO32" s="747"/>
    </row>
    <row r="33" spans="1:67" ht="15.75" customHeight="1">
      <c r="A33" s="3105" t="s">
        <v>29</v>
      </c>
      <c r="B33" s="37" t="s">
        <v>16</v>
      </c>
      <c r="C33" s="3106">
        <v>0</v>
      </c>
      <c r="D33" s="3107">
        <v>0</v>
      </c>
      <c r="E33" s="3107">
        <f t="shared" si="22"/>
        <v>0</v>
      </c>
      <c r="F33" s="3107">
        <f>E33-G33</f>
        <v>0</v>
      </c>
      <c r="G33" s="3107">
        <f>C33</f>
        <v>0</v>
      </c>
      <c r="H33" s="3108">
        <v>0</v>
      </c>
      <c r="I33" s="3109"/>
      <c r="J33" s="3110"/>
      <c r="K33" s="3110">
        <f t="shared" si="23"/>
        <v>0</v>
      </c>
      <c r="L33" s="3116">
        <f>K33-M33</f>
        <v>0</v>
      </c>
      <c r="M33" s="3110">
        <f>H33</f>
        <v>0</v>
      </c>
      <c r="N33" s="154">
        <f>'[11]Phụ lục số 5'!C12</f>
        <v>0</v>
      </c>
      <c r="O33" s="3111"/>
      <c r="P33" s="154"/>
      <c r="Q33" s="154">
        <f t="shared" si="24"/>
        <v>0</v>
      </c>
      <c r="R33" s="3117">
        <f>Q33-S33</f>
        <v>0</v>
      </c>
      <c r="S33" s="154">
        <f>N33</f>
        <v>0</v>
      </c>
      <c r="T33" s="154">
        <f>'[2]Phụ lục số 1'!T33</f>
        <v>150</v>
      </c>
      <c r="U33" s="3112" t="e">
        <f t="shared" si="38"/>
        <v>#DIV/0!</v>
      </c>
      <c r="V33" s="154"/>
      <c r="W33" s="154">
        <f t="shared" si="26"/>
        <v>150</v>
      </c>
      <c r="X33" s="3117">
        <f t="shared" si="27"/>
        <v>0</v>
      </c>
      <c r="Y33" s="154">
        <f>T33</f>
        <v>150</v>
      </c>
      <c r="Z33" s="149">
        <f>'[2]Phụ lục số 1'!AE33</f>
        <v>1500</v>
      </c>
      <c r="AA33" s="3111"/>
      <c r="AB33" s="154"/>
      <c r="AC33" s="154">
        <f t="shared" si="28"/>
        <v>1500</v>
      </c>
      <c r="AD33" s="3117">
        <f t="shared" si="29"/>
        <v>0</v>
      </c>
      <c r="AE33" s="154">
        <f>Z33</f>
        <v>1500</v>
      </c>
      <c r="AF33" s="154">
        <f>'[2]Phụ lục số 1'!AK33</f>
        <v>0</v>
      </c>
      <c r="AG33" s="3109"/>
      <c r="AH33" s="3106"/>
      <c r="AI33" s="3106">
        <f t="shared" si="30"/>
        <v>0</v>
      </c>
      <c r="AJ33" s="3107">
        <f t="shared" si="31"/>
        <v>0</v>
      </c>
      <c r="AK33" s="3106">
        <f>AF33</f>
        <v>0</v>
      </c>
      <c r="AL33" s="160">
        <f>'[2]Phụ lục số 1'!AQ33</f>
        <v>0</v>
      </c>
      <c r="AM33" s="160"/>
      <c r="AN33" s="160"/>
      <c r="AO33" s="160"/>
      <c r="AP33" s="160"/>
      <c r="AQ33" s="160"/>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row>
    <row r="34" spans="1:67" s="3053" customFormat="1">
      <c r="A34" s="3097">
        <v>5</v>
      </c>
      <c r="B34" s="39" t="s">
        <v>17</v>
      </c>
      <c r="C34" s="39">
        <v>220000</v>
      </c>
      <c r="D34" s="3099">
        <v>0</v>
      </c>
      <c r="E34" s="3099">
        <f t="shared" si="22"/>
        <v>220000</v>
      </c>
      <c r="F34" s="3099">
        <v>0</v>
      </c>
      <c r="G34" s="3099">
        <f>E34-F34</f>
        <v>220000</v>
      </c>
      <c r="H34" s="3119">
        <v>368324.93194500002</v>
      </c>
      <c r="I34" s="3100">
        <f>H34/C34*100</f>
        <v>167.42042361136365</v>
      </c>
      <c r="J34" s="3101">
        <f>0</f>
        <v>0</v>
      </c>
      <c r="K34" s="3101">
        <f t="shared" si="23"/>
        <v>368324.93194500002</v>
      </c>
      <c r="L34" s="3101">
        <f t="shared" ref="L34:L41" si="39">K34-M34</f>
        <v>0</v>
      </c>
      <c r="M34" s="3101">
        <f>H34</f>
        <v>368324.93194500002</v>
      </c>
      <c r="N34" s="149">
        <f>'[11]Phụ lục số 5'!C14</f>
        <v>295000</v>
      </c>
      <c r="O34" s="3102">
        <f>N34/H34*100</f>
        <v>80.092324579333876</v>
      </c>
      <c r="P34" s="149">
        <f>0</f>
        <v>0</v>
      </c>
      <c r="Q34" s="149">
        <f t="shared" si="24"/>
        <v>295000</v>
      </c>
      <c r="R34" s="149">
        <f t="shared" ref="R34:R41" si="40">Q34-S34</f>
        <v>0</v>
      </c>
      <c r="S34" s="149">
        <f>N34</f>
        <v>295000</v>
      </c>
      <c r="T34" s="149">
        <f>'[2]Phụ lục số 1'!T34</f>
        <v>340000</v>
      </c>
      <c r="U34" s="3102">
        <f t="shared" si="38"/>
        <v>115.2542372881356</v>
      </c>
      <c r="V34" s="149">
        <f>0</f>
        <v>0</v>
      </c>
      <c r="W34" s="149">
        <f t="shared" si="26"/>
        <v>340000</v>
      </c>
      <c r="X34" s="149">
        <f t="shared" si="27"/>
        <v>0</v>
      </c>
      <c r="Y34" s="149">
        <f>T34</f>
        <v>340000</v>
      </c>
      <c r="Z34" s="149">
        <f>'[2]Phụ lục số 1'!AE34</f>
        <v>350000</v>
      </c>
      <c r="AA34" s="3102">
        <f>Z34/T34*100</f>
        <v>102.94117647058823</v>
      </c>
      <c r="AB34" s="149">
        <f>0</f>
        <v>0</v>
      </c>
      <c r="AC34" s="149">
        <f t="shared" si="28"/>
        <v>350000</v>
      </c>
      <c r="AD34" s="149">
        <f t="shared" si="29"/>
        <v>0</v>
      </c>
      <c r="AE34" s="149">
        <f>Z34</f>
        <v>350000</v>
      </c>
      <c r="AF34" s="149">
        <f>'[2]Phụ lục số 1'!AK34</f>
        <v>436000</v>
      </c>
      <c r="AG34" s="3100">
        <f>AF34/Z34*100</f>
        <v>124.57142857142858</v>
      </c>
      <c r="AH34" s="3098">
        <f>0</f>
        <v>0</v>
      </c>
      <c r="AI34" s="3098">
        <f t="shared" si="30"/>
        <v>436000</v>
      </c>
      <c r="AJ34" s="3098">
        <f t="shared" si="31"/>
        <v>0</v>
      </c>
      <c r="AK34" s="3098">
        <f>AF34</f>
        <v>436000</v>
      </c>
      <c r="AL34" s="161">
        <f>'[2]Phụ lục số 1'!AQ34</f>
        <v>480000</v>
      </c>
      <c r="AM34" s="3120">
        <f>AL34/AF34*100</f>
        <v>110.09174311926606</v>
      </c>
      <c r="AN34" s="161"/>
      <c r="AO34" s="149">
        <f>AL34-AN34</f>
        <v>480000</v>
      </c>
      <c r="AP34" s="3121">
        <f t="shared" si="33"/>
        <v>116000</v>
      </c>
      <c r="AQ34" s="161">
        <v>364000</v>
      </c>
      <c r="AR34" s="757">
        <f>'[10]5 năm A'!$R$62</f>
        <v>528000</v>
      </c>
      <c r="AS34" s="3122">
        <f>AR34/AL34*100</f>
        <v>110.00000000000001</v>
      </c>
      <c r="AT34" s="757"/>
      <c r="AU34" s="3103">
        <f>AR34-AT34</f>
        <v>528000</v>
      </c>
      <c r="AV34" s="3123">
        <f t="shared" ref="AV34" si="41">AU34-AW34</f>
        <v>128000</v>
      </c>
      <c r="AW34" s="757">
        <v>400000</v>
      </c>
      <c r="AX34" s="757">
        <f>'[10]5 năm A'!$S$62</f>
        <v>585000</v>
      </c>
      <c r="AY34" s="3122">
        <f>AX34/AR34*100</f>
        <v>110.79545454545455</v>
      </c>
      <c r="AZ34" s="757"/>
      <c r="BA34" s="3103">
        <f>AX34-AZ34</f>
        <v>585000</v>
      </c>
      <c r="BB34" s="3123">
        <f t="shared" ref="BB34" si="42">BA34-BC34</f>
        <v>0</v>
      </c>
      <c r="BC34" s="757">
        <f>AX34</f>
        <v>585000</v>
      </c>
      <c r="BD34" s="757">
        <f>'[10]5 năm A'!$T$62</f>
        <v>650000</v>
      </c>
      <c r="BE34" s="3122">
        <f>BD34/AX34*100</f>
        <v>111.11111111111111</v>
      </c>
      <c r="BF34" s="757"/>
      <c r="BG34" s="3103">
        <f>BD34-BF34</f>
        <v>650000</v>
      </c>
      <c r="BH34" s="3123">
        <f t="shared" ref="BH34" si="43">BG34-BI34</f>
        <v>0</v>
      </c>
      <c r="BI34" s="757">
        <f>BD34</f>
        <v>650000</v>
      </c>
      <c r="BJ34" s="757">
        <f>'[10]5 năm A'!$U$62</f>
        <v>730000</v>
      </c>
      <c r="BK34" s="3122">
        <f>BJ34/BD34*100</f>
        <v>112.30769230769231</v>
      </c>
      <c r="BL34" s="757"/>
      <c r="BM34" s="3103">
        <f>BJ34-BL34</f>
        <v>730000</v>
      </c>
      <c r="BN34" s="3123">
        <f t="shared" ref="BN34" si="44">BM34-BO34</f>
        <v>0</v>
      </c>
      <c r="BO34" s="757">
        <f>BJ34</f>
        <v>730000</v>
      </c>
    </row>
    <row r="35" spans="1:67" s="3053" customFormat="1">
      <c r="A35" s="3097">
        <v>6</v>
      </c>
      <c r="B35" s="39" t="s">
        <v>18</v>
      </c>
      <c r="C35" s="3114">
        <v>0</v>
      </c>
      <c r="D35" s="3099">
        <v>0</v>
      </c>
      <c r="E35" s="3099">
        <f>C35-D35</f>
        <v>0</v>
      </c>
      <c r="F35" s="3099">
        <v>0</v>
      </c>
      <c r="G35" s="3099">
        <f>E35-F35</f>
        <v>0</v>
      </c>
      <c r="H35" s="3119">
        <v>280.44446699999997</v>
      </c>
      <c r="I35" s="3100"/>
      <c r="J35" s="3101">
        <f>0</f>
        <v>0</v>
      </c>
      <c r="K35" s="3101">
        <f t="shared" si="23"/>
        <v>280.44446699999997</v>
      </c>
      <c r="L35" s="3101">
        <f t="shared" si="39"/>
        <v>0</v>
      </c>
      <c r="M35" s="3101">
        <f>H35</f>
        <v>280.44446699999997</v>
      </c>
      <c r="N35" s="149">
        <f>'[11]Phụ lục số 5'!C15</f>
        <v>0</v>
      </c>
      <c r="O35" s="3102"/>
      <c r="P35" s="149">
        <f>0</f>
        <v>0</v>
      </c>
      <c r="Q35" s="149">
        <f t="shared" si="24"/>
        <v>0</v>
      </c>
      <c r="R35" s="149">
        <f t="shared" si="40"/>
        <v>0</v>
      </c>
      <c r="S35" s="149"/>
      <c r="T35" s="149">
        <f>'[2]Phụ lục số 1'!T35</f>
        <v>339.5</v>
      </c>
      <c r="U35" s="3102">
        <f t="shared" ref="U35" si="45">T35/H35*100</f>
        <v>121.05783495454023</v>
      </c>
      <c r="V35" s="149">
        <f>0</f>
        <v>0</v>
      </c>
      <c r="W35" s="149">
        <f t="shared" si="26"/>
        <v>339.5</v>
      </c>
      <c r="X35" s="149">
        <f t="shared" si="27"/>
        <v>0</v>
      </c>
      <c r="Y35" s="149">
        <f>T35</f>
        <v>339.5</v>
      </c>
      <c r="Z35" s="149">
        <f>'[2]Phụ lục số 1'!AE35</f>
        <v>0</v>
      </c>
      <c r="AA35" s="3102"/>
      <c r="AB35" s="149">
        <f>0</f>
        <v>0</v>
      </c>
      <c r="AC35" s="149">
        <f t="shared" si="28"/>
        <v>0</v>
      </c>
      <c r="AD35" s="149">
        <f t="shared" si="29"/>
        <v>0</v>
      </c>
      <c r="AE35" s="149">
        <v>0</v>
      </c>
      <c r="AF35" s="149">
        <f>'[2]Phụ lục số 1'!AK35</f>
        <v>0</v>
      </c>
      <c r="AG35" s="3100"/>
      <c r="AH35" s="3098">
        <f>0</f>
        <v>0</v>
      </c>
      <c r="AI35" s="3098">
        <f t="shared" si="30"/>
        <v>0</v>
      </c>
      <c r="AJ35" s="3098">
        <f t="shared" si="31"/>
        <v>0</v>
      </c>
      <c r="AK35" s="3098">
        <v>0</v>
      </c>
      <c r="AL35" s="161">
        <f>'[2]Phụ lục số 1'!AQ35</f>
        <v>0</v>
      </c>
      <c r="AM35" s="161"/>
      <c r="AN35" s="161"/>
      <c r="AO35" s="161"/>
      <c r="AP35" s="161"/>
      <c r="AQ35" s="161"/>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s="3053" customFormat="1">
      <c r="A36" s="3097">
        <v>7</v>
      </c>
      <c r="B36" s="39" t="s">
        <v>19</v>
      </c>
      <c r="C36" s="3114">
        <v>8000</v>
      </c>
      <c r="D36" s="3099">
        <v>0</v>
      </c>
      <c r="E36" s="3099">
        <f>C36-D36</f>
        <v>8000</v>
      </c>
      <c r="F36" s="3099">
        <v>0</v>
      </c>
      <c r="G36" s="3099">
        <f>E36-F36</f>
        <v>8000</v>
      </c>
      <c r="H36" s="3119">
        <v>17903.111367000001</v>
      </c>
      <c r="I36" s="3100">
        <f t="shared" ref="I36:I49" si="46">H36/C36*100</f>
        <v>223.78889208750002</v>
      </c>
      <c r="J36" s="3101">
        <f>0</f>
        <v>0</v>
      </c>
      <c r="K36" s="3101">
        <f t="shared" si="23"/>
        <v>17903.111367000001</v>
      </c>
      <c r="L36" s="3101">
        <f t="shared" si="39"/>
        <v>0</v>
      </c>
      <c r="M36" s="3101">
        <f>H36</f>
        <v>17903.111367000001</v>
      </c>
      <c r="N36" s="149">
        <f>'[11]Phụ lục số 5'!C16</f>
        <v>10000</v>
      </c>
      <c r="O36" s="3102">
        <f>N36/H36*100</f>
        <v>55.856212895109117</v>
      </c>
      <c r="P36" s="149">
        <f>0</f>
        <v>0</v>
      </c>
      <c r="Q36" s="149">
        <f t="shared" si="24"/>
        <v>10000</v>
      </c>
      <c r="R36" s="149">
        <f t="shared" si="40"/>
        <v>0</v>
      </c>
      <c r="S36" s="149">
        <f>N36</f>
        <v>10000</v>
      </c>
      <c r="T36" s="149">
        <f>'[2]Phụ lục số 1'!T36</f>
        <v>14660.1</v>
      </c>
      <c r="U36" s="3124">
        <f t="shared" ref="U36" si="47">T36/N36*100</f>
        <v>146.601</v>
      </c>
      <c r="V36" s="149">
        <f>0</f>
        <v>0</v>
      </c>
      <c r="W36" s="149">
        <f t="shared" si="26"/>
        <v>14660.1</v>
      </c>
      <c r="X36" s="149">
        <f t="shared" si="27"/>
        <v>0</v>
      </c>
      <c r="Y36" s="149">
        <f>T36</f>
        <v>14660.1</v>
      </c>
      <c r="Z36" s="149">
        <f>'[2]Phụ lục số 1'!AE36</f>
        <v>15000</v>
      </c>
      <c r="AA36" s="3102">
        <f>Z36/T36*100</f>
        <v>102.31853807272802</v>
      </c>
      <c r="AB36" s="149">
        <f>0</f>
        <v>0</v>
      </c>
      <c r="AC36" s="149">
        <f t="shared" si="28"/>
        <v>15000</v>
      </c>
      <c r="AD36" s="149">
        <f t="shared" si="29"/>
        <v>0</v>
      </c>
      <c r="AE36" s="149">
        <f>Z36</f>
        <v>15000</v>
      </c>
      <c r="AF36" s="149">
        <f>'[2]Phụ lục số 1'!AK36</f>
        <v>12000</v>
      </c>
      <c r="AG36" s="3100">
        <f t="shared" ref="AG36:AG41" si="48">AF36/Z36*100</f>
        <v>80</v>
      </c>
      <c r="AH36" s="3098">
        <f>0</f>
        <v>0</v>
      </c>
      <c r="AI36" s="3098">
        <f t="shared" si="30"/>
        <v>12000</v>
      </c>
      <c r="AJ36" s="3098">
        <f t="shared" si="31"/>
        <v>0</v>
      </c>
      <c r="AK36" s="3098">
        <f>AF36</f>
        <v>12000</v>
      </c>
      <c r="AL36" s="161">
        <f>'[2]Phụ lục số 1'!AQ36</f>
        <v>13000</v>
      </c>
      <c r="AM36" s="3120">
        <f>AL36/AF36*100</f>
        <v>108.33333333333333</v>
      </c>
      <c r="AN36" s="161"/>
      <c r="AO36" s="149">
        <f>AL36-AN36</f>
        <v>13000</v>
      </c>
      <c r="AP36" s="3121">
        <f t="shared" ref="AP36" si="49">AO36-AQ36</f>
        <v>3000</v>
      </c>
      <c r="AQ36" s="161">
        <v>10000</v>
      </c>
      <c r="AR36" s="757">
        <f>'[10]5 năm A'!$R$65</f>
        <v>14000</v>
      </c>
      <c r="AS36" s="3122">
        <f>AR36/AL36*100</f>
        <v>107.69230769230769</v>
      </c>
      <c r="AT36" s="757"/>
      <c r="AU36" s="3103">
        <f>AR36-AT36</f>
        <v>14000</v>
      </c>
      <c r="AV36" s="3123">
        <f t="shared" ref="AV36" si="50">AU36-AW36</f>
        <v>4000</v>
      </c>
      <c r="AW36" s="757">
        <v>10000</v>
      </c>
      <c r="AX36" s="757">
        <f>'[10]5 năm A'!$S$65</f>
        <v>15000</v>
      </c>
      <c r="AY36" s="3122">
        <f>AX36/AR36*100</f>
        <v>107.14285714285714</v>
      </c>
      <c r="AZ36" s="757"/>
      <c r="BA36" s="3103">
        <f>AX36-AZ36</f>
        <v>15000</v>
      </c>
      <c r="BB36" s="3123">
        <f t="shared" ref="BB36" si="51">BA36-BC36</f>
        <v>5000</v>
      </c>
      <c r="BC36" s="757">
        <v>10000</v>
      </c>
      <c r="BD36" s="757">
        <f>'[10]5 năm A'!$T$65</f>
        <v>16000</v>
      </c>
      <c r="BE36" s="3122">
        <f>BD36/AX36*100</f>
        <v>106.66666666666667</v>
      </c>
      <c r="BF36" s="757"/>
      <c r="BG36" s="3103">
        <f>BD36-BF36</f>
        <v>16000</v>
      </c>
      <c r="BH36" s="3123">
        <f t="shared" ref="BH36" si="52">BG36-BI36</f>
        <v>6000</v>
      </c>
      <c r="BI36" s="757">
        <v>10000</v>
      </c>
      <c r="BJ36" s="757">
        <f>'[10]5 năm A'!$U$65</f>
        <v>17000</v>
      </c>
      <c r="BK36" s="3122">
        <f>BJ36/BD36*100</f>
        <v>106.25</v>
      </c>
      <c r="BL36" s="757"/>
      <c r="BM36" s="3103">
        <f>BJ36-BL36</f>
        <v>17000</v>
      </c>
      <c r="BN36" s="3123">
        <f t="shared" ref="BN36" si="53">BM36-BO36</f>
        <v>7000</v>
      </c>
      <c r="BO36" s="757">
        <v>10000</v>
      </c>
    </row>
    <row r="37" spans="1:67" s="3053" customFormat="1">
      <c r="A37" s="3097">
        <v>8</v>
      </c>
      <c r="B37" s="39" t="s">
        <v>20</v>
      </c>
      <c r="C37" s="3114">
        <v>500000</v>
      </c>
      <c r="D37" s="3099">
        <v>0</v>
      </c>
      <c r="E37" s="3099">
        <f>C37-D37</f>
        <v>500000</v>
      </c>
      <c r="F37" s="3099">
        <f>E37-G37</f>
        <v>267500</v>
      </c>
      <c r="G37" s="3099">
        <v>232500</v>
      </c>
      <c r="H37" s="3119">
        <v>711978.18546399998</v>
      </c>
      <c r="I37" s="3100">
        <f>H37/C37*100</f>
        <v>142.39563709279997</v>
      </c>
      <c r="J37" s="3101">
        <f>0</f>
        <v>0</v>
      </c>
      <c r="K37" s="3101">
        <f t="shared" si="23"/>
        <v>711978.18546399998</v>
      </c>
      <c r="L37" s="3101">
        <f t="shared" si="39"/>
        <v>439456.29070299998</v>
      </c>
      <c r="M37" s="3101">
        <f>[12]thu!$K$37</f>
        <v>272521.894761</v>
      </c>
      <c r="N37" s="149">
        <v>600000</v>
      </c>
      <c r="O37" s="3102">
        <f>N37/H37*100</f>
        <v>84.272244887527947</v>
      </c>
      <c r="P37" s="149">
        <f>0</f>
        <v>0</v>
      </c>
      <c r="Q37" s="149">
        <f t="shared" si="24"/>
        <v>600000</v>
      </c>
      <c r="R37" s="149">
        <f>Q37-S37</f>
        <v>290500</v>
      </c>
      <c r="S37" s="149">
        <f>'[11]Phụ lục số 5'!E13</f>
        <v>309500</v>
      </c>
      <c r="T37" s="149">
        <f>'[2]Phụ lục số 1'!T37</f>
        <v>710000</v>
      </c>
      <c r="U37" s="3124">
        <f>T37/N37*100</f>
        <v>118.33333333333333</v>
      </c>
      <c r="V37" s="149">
        <f>0</f>
        <v>0</v>
      </c>
      <c r="W37" s="149">
        <f t="shared" si="26"/>
        <v>710000</v>
      </c>
      <c r="X37" s="149">
        <f>W37-Y37</f>
        <v>344000.33333333337</v>
      </c>
      <c r="Y37" s="149">
        <f>'[2]Phụ lục số 1'!Y37</f>
        <v>365999.66666666663</v>
      </c>
      <c r="Z37" s="149">
        <f>'[2]Phụ lục số 1'!AE37</f>
        <v>730000</v>
      </c>
      <c r="AA37" s="3102">
        <f t="shared" ref="AA37:AA47" si="54">Z37/T37*100</f>
        <v>102.8169014084507</v>
      </c>
      <c r="AB37" s="149">
        <f>0</f>
        <v>0</v>
      </c>
      <c r="AC37" s="149">
        <f t="shared" si="28"/>
        <v>730000</v>
      </c>
      <c r="AD37" s="149">
        <f>AC37-AE37</f>
        <v>354000</v>
      </c>
      <c r="AE37" s="149">
        <f>ROUND(Y37*AA37/100,-3)</f>
        <v>376000</v>
      </c>
      <c r="AF37" s="149">
        <f>'[2]Phụ lục số 1'!AK37</f>
        <v>870000</v>
      </c>
      <c r="AG37" s="3100">
        <f>AF37/Z37*100</f>
        <v>119.17808219178083</v>
      </c>
      <c r="AH37" s="3098">
        <f>0</f>
        <v>0</v>
      </c>
      <c r="AI37" s="3098">
        <f t="shared" si="30"/>
        <v>870000</v>
      </c>
      <c r="AJ37" s="3098">
        <f>AI37-AK37</f>
        <v>485999.57534246572</v>
      </c>
      <c r="AK37" s="3098">
        <f>'[2]Phụ lục số 1'!AP37</f>
        <v>384000.42465753428</v>
      </c>
      <c r="AL37" s="161">
        <f>'[2]Phụ lục số 1'!AQ37</f>
        <v>940000</v>
      </c>
      <c r="AM37" s="3120">
        <f>AL37/AF37*100</f>
        <v>108.04597701149426</v>
      </c>
      <c r="AN37" s="161"/>
      <c r="AO37" s="149">
        <f t="shared" ref="AO37:AO38" si="55">AL37-AN37</f>
        <v>940000</v>
      </c>
      <c r="AP37" s="149">
        <f>AO37-AQ37</f>
        <v>525000</v>
      </c>
      <c r="AQ37" s="149">
        <f>ROUND(AK37*AM37/100,-3)</f>
        <v>415000</v>
      </c>
      <c r="AR37" s="757">
        <f>'[10]5 năm A'!$R$60</f>
        <v>1040000</v>
      </c>
      <c r="AS37" s="3122">
        <f>AR37/AL37*100</f>
        <v>110.63829787234043</v>
      </c>
      <c r="AT37" s="757"/>
      <c r="AU37" s="3103">
        <f t="shared" ref="AU37:AU38" si="56">AR37-AT37</f>
        <v>1040000</v>
      </c>
      <c r="AV37" s="3103">
        <f>AU37-AW37</f>
        <v>581000</v>
      </c>
      <c r="AW37" s="3103">
        <f>ROUND(AQ37*AS37/100,-3)</f>
        <v>459000</v>
      </c>
      <c r="AX37" s="757">
        <f>'[10]5 năm A'!$S$60</f>
        <v>1150000</v>
      </c>
      <c r="AY37" s="3122">
        <f>AX37/AR37*100</f>
        <v>110.57692307692308</v>
      </c>
      <c r="AZ37" s="757"/>
      <c r="BA37" s="3103">
        <f t="shared" ref="BA37:BA38" si="57">AX37-AZ37</f>
        <v>1150000</v>
      </c>
      <c r="BB37" s="3103">
        <f>BA37-BC37</f>
        <v>642000</v>
      </c>
      <c r="BC37" s="3103">
        <f>ROUND(AW37*AY37/100,-3)</f>
        <v>508000</v>
      </c>
      <c r="BD37" s="757">
        <f>'[10]5 năm A'!$T$60</f>
        <v>1270000</v>
      </c>
      <c r="BE37" s="3122">
        <f>BD37/AX37*100</f>
        <v>110.43478260869566</v>
      </c>
      <c r="BF37" s="757"/>
      <c r="BG37" s="3103">
        <f t="shared" ref="BG37:BG38" si="58">BD37-BF37</f>
        <v>1270000</v>
      </c>
      <c r="BH37" s="3103">
        <f>BG37-BI37</f>
        <v>709000</v>
      </c>
      <c r="BI37" s="3103">
        <f>ROUND(BC37*BE37/100,-3)</f>
        <v>561000</v>
      </c>
      <c r="BJ37" s="192">
        <f>'[10]5 năm A'!$U$60</f>
        <v>1420000</v>
      </c>
      <c r="BK37" s="3122">
        <f>BJ37/BD37*100</f>
        <v>111.81102362204724</v>
      </c>
      <c r="BL37" s="757"/>
      <c r="BM37" s="3103">
        <f t="shared" ref="BM37:BM38" si="59">BJ37-BL37</f>
        <v>1420000</v>
      </c>
      <c r="BN37" s="3103">
        <f>BM37-BO37</f>
        <v>793000</v>
      </c>
      <c r="BO37" s="3103">
        <f>ROUND(BI37*BK37/100,-3)</f>
        <v>627000</v>
      </c>
    </row>
    <row r="38" spans="1:67" s="3053" customFormat="1">
      <c r="A38" s="3097">
        <v>9</v>
      </c>
      <c r="B38" s="39" t="s">
        <v>1701</v>
      </c>
      <c r="C38" s="3125">
        <v>1527000</v>
      </c>
      <c r="D38" s="3126">
        <f>INT(ROUND(C38*52%,-3))</f>
        <v>794000</v>
      </c>
      <c r="E38" s="3099">
        <f>C38-D38</f>
        <v>733000</v>
      </c>
      <c r="F38" s="3099">
        <f>E38-G38</f>
        <v>733000</v>
      </c>
      <c r="G38" s="3099">
        <v>0</v>
      </c>
      <c r="H38" s="3119">
        <v>926612.70443099993</v>
      </c>
      <c r="I38" s="3100">
        <f t="shared" si="46"/>
        <v>60.681905987622784</v>
      </c>
      <c r="J38" s="3101">
        <f>INT(ROUND(H38*52%,-3))</f>
        <v>482000</v>
      </c>
      <c r="K38" s="3101">
        <f t="shared" si="23"/>
        <v>444612.70443099993</v>
      </c>
      <c r="L38" s="3101">
        <f t="shared" si="39"/>
        <v>444612.70443099993</v>
      </c>
      <c r="M38" s="3101">
        <v>0</v>
      </c>
      <c r="N38" s="149">
        <v>1500000</v>
      </c>
      <c r="O38" s="3102">
        <f>N38/H38*100</f>
        <v>161.87993029095117</v>
      </c>
      <c r="P38" s="149">
        <f>INT(ROUND(N38*40%,-3))</f>
        <v>600000</v>
      </c>
      <c r="Q38" s="149">
        <f t="shared" si="24"/>
        <v>900000</v>
      </c>
      <c r="R38" s="149">
        <f t="shared" si="40"/>
        <v>900000</v>
      </c>
      <c r="S38" s="149">
        <v>0</v>
      </c>
      <c r="T38" s="149">
        <f>'[2]Phụ lục số 1'!T38</f>
        <v>980000</v>
      </c>
      <c r="U38" s="3102">
        <f>T38/N38*100</f>
        <v>65.333333333333329</v>
      </c>
      <c r="V38" s="149">
        <f>ROUND(T38*40%,-3)</f>
        <v>392000</v>
      </c>
      <c r="W38" s="149">
        <f t="shared" si="26"/>
        <v>588000</v>
      </c>
      <c r="X38" s="149">
        <f>W38-Y38</f>
        <v>588000</v>
      </c>
      <c r="Y38" s="149">
        <v>0</v>
      </c>
      <c r="Z38" s="149">
        <f>'[2]Phụ lục số 1'!AE38</f>
        <v>1065000</v>
      </c>
      <c r="AA38" s="3102">
        <f t="shared" si="54"/>
        <v>108.67346938775511</v>
      </c>
      <c r="AB38" s="149">
        <f>ROUND(Z38*40%,-3)</f>
        <v>426000</v>
      </c>
      <c r="AC38" s="149">
        <f t="shared" si="28"/>
        <v>639000</v>
      </c>
      <c r="AD38" s="149">
        <f>AC38-AE38</f>
        <v>639000</v>
      </c>
      <c r="AE38" s="149">
        <v>0</v>
      </c>
      <c r="AF38" s="149">
        <f>'[2]Phụ lục số 1'!AK38</f>
        <v>1750000</v>
      </c>
      <c r="AG38" s="3100">
        <f t="shared" si="48"/>
        <v>164.31924882629107</v>
      </c>
      <c r="AH38" s="3098">
        <f>'[2]Phụ lục số 1'!AM38</f>
        <v>700000</v>
      </c>
      <c r="AI38" s="3098">
        <f t="shared" si="30"/>
        <v>1050000</v>
      </c>
      <c r="AJ38" s="3098">
        <f>AI38-AK38</f>
        <v>1050000</v>
      </c>
      <c r="AK38" s="3098">
        <v>0</v>
      </c>
      <c r="AL38" s="161">
        <f>'[2]Phụ lục số 1'!AQ38</f>
        <v>1900000</v>
      </c>
      <c r="AM38" s="3120">
        <f>AL38/AF38*100</f>
        <v>108.57142857142857</v>
      </c>
      <c r="AN38" s="149">
        <f>'[2]Phụ lục số 1'!AS38</f>
        <v>760000</v>
      </c>
      <c r="AO38" s="149">
        <f t="shared" si="55"/>
        <v>1140000</v>
      </c>
      <c r="AP38" s="149">
        <f>AO38-AQ38</f>
        <v>1140000</v>
      </c>
      <c r="AQ38" s="149">
        <v>0</v>
      </c>
      <c r="AR38" s="757">
        <f>'[10]5 năm A'!$R$61</f>
        <v>2100000</v>
      </c>
      <c r="AS38" s="3122">
        <f>AR38/AL38*100</f>
        <v>110.5263157894737</v>
      </c>
      <c r="AT38" s="3103">
        <f>ROUND(AR38*40%,-3)</f>
        <v>840000</v>
      </c>
      <c r="AU38" s="3103">
        <f t="shared" si="56"/>
        <v>1260000</v>
      </c>
      <c r="AV38" s="3103">
        <f>AU38-AW38</f>
        <v>1260000</v>
      </c>
      <c r="AW38" s="3103">
        <v>0</v>
      </c>
      <c r="AX38" s="192">
        <f>'[10]5 năm A'!$S$61</f>
        <v>2300000</v>
      </c>
      <c r="AY38" s="3122">
        <f>AX38/AR38*100</f>
        <v>109.52380952380953</v>
      </c>
      <c r="AZ38" s="3103">
        <f>ROUND(AX38*40%,-3)</f>
        <v>920000</v>
      </c>
      <c r="BA38" s="3103">
        <f t="shared" si="57"/>
        <v>1380000</v>
      </c>
      <c r="BB38" s="3103">
        <f>BA38-BC38</f>
        <v>1380000</v>
      </c>
      <c r="BC38" s="3103">
        <v>0</v>
      </c>
      <c r="BD38" s="192">
        <f>'[10]5 năm A'!$T$61</f>
        <v>2500000</v>
      </c>
      <c r="BE38" s="3122">
        <f>BD38/AX38*100</f>
        <v>108.69565217391303</v>
      </c>
      <c r="BF38" s="3103">
        <f>ROUND(BD38*40%,-3)</f>
        <v>1000000</v>
      </c>
      <c r="BG38" s="3103">
        <f t="shared" si="58"/>
        <v>1500000</v>
      </c>
      <c r="BH38" s="3103">
        <f>BG38-BI38</f>
        <v>1500000</v>
      </c>
      <c r="BI38" s="3103">
        <v>0</v>
      </c>
      <c r="BJ38" s="192">
        <f>'[10]5 năm A'!$U$61</f>
        <v>2670000</v>
      </c>
      <c r="BK38" s="3122">
        <f>BJ38/BD38*100</f>
        <v>106.80000000000001</v>
      </c>
      <c r="BL38" s="3103">
        <f>ROUND(BJ38*40%,-3)</f>
        <v>1068000</v>
      </c>
      <c r="BM38" s="3103">
        <f t="shared" si="59"/>
        <v>1602000</v>
      </c>
      <c r="BN38" s="3103">
        <f>BM38-BO38</f>
        <v>1602000</v>
      </c>
      <c r="BO38" s="3103">
        <v>0</v>
      </c>
    </row>
    <row r="39" spans="1:67" s="3053" customFormat="1">
      <c r="A39" s="3097">
        <v>10</v>
      </c>
      <c r="B39" s="39" t="s">
        <v>22</v>
      </c>
      <c r="C39" s="3098">
        <v>160000</v>
      </c>
      <c r="D39" s="3098">
        <v>50000</v>
      </c>
      <c r="E39" s="3099">
        <f>C39-D39</f>
        <v>110000</v>
      </c>
      <c r="F39" s="3099">
        <f>E39-G39</f>
        <v>44500</v>
      </c>
      <c r="G39" s="3099">
        <v>65500</v>
      </c>
      <c r="H39" s="3119">
        <v>174909.15649200001</v>
      </c>
      <c r="I39" s="3100">
        <f t="shared" si="46"/>
        <v>109.31822280750001</v>
      </c>
      <c r="J39" s="3101">
        <f>[12]thu!$H$39</f>
        <v>54582.791488000003</v>
      </c>
      <c r="K39" s="3101">
        <f t="shared" si="23"/>
        <v>120326.36500400001</v>
      </c>
      <c r="L39" s="3101">
        <f t="shared" si="39"/>
        <v>60371.203068000003</v>
      </c>
      <c r="M39" s="3101">
        <f>[12]thu!$K$39</f>
        <v>59955.161936000004</v>
      </c>
      <c r="N39" s="149">
        <v>160000</v>
      </c>
      <c r="O39" s="3102">
        <f>N39/H39*100</f>
        <v>91.476057176753969</v>
      </c>
      <c r="P39" s="149">
        <f>82000</f>
        <v>82000</v>
      </c>
      <c r="Q39" s="149">
        <f>R39+S39</f>
        <v>78000</v>
      </c>
      <c r="R39" s="149">
        <f>N39-P39-S39</f>
        <v>18800</v>
      </c>
      <c r="S39" s="149">
        <f>'[11]Phụ lục số 5'!E17</f>
        <v>59200</v>
      </c>
      <c r="T39" s="149">
        <f>'[2]Phụ lục số 1'!T39</f>
        <v>160000</v>
      </c>
      <c r="U39" s="3102">
        <f>T39/N39*100</f>
        <v>100</v>
      </c>
      <c r="V39" s="149">
        <f>'[2]Phụ lục số 1'!V39</f>
        <v>82000</v>
      </c>
      <c r="W39" s="149">
        <f>X39+Y39</f>
        <v>78000</v>
      </c>
      <c r="X39" s="149">
        <f>T39-V39-Y39</f>
        <v>19000</v>
      </c>
      <c r="Y39" s="149">
        <f>'[2]Phụ lục số 1'!Y39</f>
        <v>59000</v>
      </c>
      <c r="Z39" s="149">
        <f>'[2]Phụ lục số 1'!AE39</f>
        <v>170000</v>
      </c>
      <c r="AA39" s="3102">
        <f t="shared" si="54"/>
        <v>106.25</v>
      </c>
      <c r="AB39" s="149">
        <f>'[2]Phụ lục số 1'!AG39</f>
        <v>60000</v>
      </c>
      <c r="AC39" s="149">
        <f>AD39+AE39</f>
        <v>110000</v>
      </c>
      <c r="AD39" s="149">
        <f>Z39-AB39-AE39</f>
        <v>47600</v>
      </c>
      <c r="AE39" s="149">
        <f>'[2]Phụ lục số 1'!AJ39</f>
        <v>62400</v>
      </c>
      <c r="AF39" s="149">
        <f>'[2]Phụ lục số 1'!AK39</f>
        <v>212000</v>
      </c>
      <c r="AG39" s="3100">
        <f t="shared" si="48"/>
        <v>124.70588235294117</v>
      </c>
      <c r="AH39" s="3098">
        <f>'[2]Phụ lục số 1'!AM39</f>
        <v>74729.529411764699</v>
      </c>
      <c r="AI39" s="3098">
        <f>AJ39+AK39</f>
        <v>137270.4705882353</v>
      </c>
      <c r="AJ39" s="3098">
        <f>AF39-AH39-AK39</f>
        <v>59470.5</v>
      </c>
      <c r="AK39" s="3098">
        <f>'[2]Phụ lục số 1'!AP39</f>
        <v>77799.970588235301</v>
      </c>
      <c r="AL39" s="161">
        <f>'[2]Phụ lục số 1'!AQ39</f>
        <v>226000</v>
      </c>
      <c r="AM39" s="3127">
        <f>AL39/AF39*100</f>
        <v>106.60377358490567</v>
      </c>
      <c r="AN39" s="149">
        <f>'[2]Phụ lục số 1'!AS39</f>
        <v>79605.498335183118</v>
      </c>
      <c r="AO39" s="149">
        <f>AP39+AQ39</f>
        <v>146394.50166481687</v>
      </c>
      <c r="AP39" s="149">
        <f>AL39-AN39-AQ39</f>
        <v>63494.797169811311</v>
      </c>
      <c r="AQ39" s="149">
        <f>'[2]Phụ lục số 1'!AV39</f>
        <v>82899.704495005557</v>
      </c>
      <c r="AR39" s="757">
        <f>'[10]5 năm A'!$R$63</f>
        <v>245000</v>
      </c>
      <c r="AS39" s="3128">
        <f>AR39/AL39*100</f>
        <v>108.40707964601771</v>
      </c>
      <c r="AT39" s="3103">
        <f>ROUND(AN39*AS39/100,-3)</f>
        <v>86000</v>
      </c>
      <c r="AU39" s="3103">
        <f>AV39+AW39</f>
        <v>159000</v>
      </c>
      <c r="AV39" s="3103">
        <f>AR39-AT39-AW39</f>
        <v>69000</v>
      </c>
      <c r="AW39" s="3103">
        <f>ROUND(AQ39*AS39/100,-3)</f>
        <v>90000</v>
      </c>
      <c r="AX39" s="757">
        <f>'[10]5 năm A'!$S$63</f>
        <v>270000</v>
      </c>
      <c r="AY39" s="3128">
        <f>AX39/AR39*100</f>
        <v>110.20408163265304</v>
      </c>
      <c r="AZ39" s="3103">
        <f>ROUND(AT39*AY39/100,-3)</f>
        <v>95000</v>
      </c>
      <c r="BA39" s="3103">
        <f>BB39+BC39</f>
        <v>175000</v>
      </c>
      <c r="BB39" s="3103">
        <f>AX39-AZ39-BC39</f>
        <v>76000</v>
      </c>
      <c r="BC39" s="3103">
        <f>ROUND(AW39*AY39/100,-3)</f>
        <v>99000</v>
      </c>
      <c r="BD39" s="757">
        <f>'[10]5 năm A'!$T$63</f>
        <v>300000</v>
      </c>
      <c r="BE39" s="3128">
        <f>BD39/AX39*100</f>
        <v>111.11111111111111</v>
      </c>
      <c r="BF39" s="3103">
        <f>ROUND(AZ39*BE39/100,-3)</f>
        <v>106000</v>
      </c>
      <c r="BG39" s="3103">
        <f>BH39+BI39</f>
        <v>194000</v>
      </c>
      <c r="BH39" s="3103">
        <f>BD39-BF39-BI39</f>
        <v>84000</v>
      </c>
      <c r="BI39" s="3103">
        <f>ROUND(BC39*BE39/100,-3)</f>
        <v>110000</v>
      </c>
      <c r="BJ39" s="757">
        <f>'[10]5 năm A'!$U$63</f>
        <v>340000</v>
      </c>
      <c r="BK39" s="3128">
        <f>BJ39/BD39*100</f>
        <v>113.33333333333333</v>
      </c>
      <c r="BL39" s="3103">
        <f>ROUND(BF39*BK39/100,-3)</f>
        <v>120000</v>
      </c>
      <c r="BM39" s="3103">
        <f>BN39+BO39</f>
        <v>220000</v>
      </c>
      <c r="BN39" s="3103">
        <f>BJ39-BL39-BO39</f>
        <v>95000</v>
      </c>
      <c r="BO39" s="3103">
        <f>ROUND(BI39*BK39/100,-3)</f>
        <v>125000</v>
      </c>
    </row>
    <row r="40" spans="1:67" s="3053" customFormat="1">
      <c r="A40" s="3097">
        <v>11</v>
      </c>
      <c r="B40" s="39" t="s">
        <v>23</v>
      </c>
      <c r="C40" s="3098">
        <v>800000</v>
      </c>
      <c r="D40" s="3098">
        <v>0</v>
      </c>
      <c r="E40" s="3099">
        <f>F40+G40</f>
        <v>800000</v>
      </c>
      <c r="F40" s="3099">
        <f>C40-G40</f>
        <v>100000</v>
      </c>
      <c r="G40" s="3099">
        <v>700000</v>
      </c>
      <c r="H40" s="3119">
        <v>1029162.981864</v>
      </c>
      <c r="I40" s="3100">
        <f t="shared" si="46"/>
        <v>128.64537273300002</v>
      </c>
      <c r="J40" s="3101">
        <f>0</f>
        <v>0</v>
      </c>
      <c r="K40" s="3101">
        <f>H40-J40</f>
        <v>1029162.981864</v>
      </c>
      <c r="L40" s="3101">
        <f>K40-M40</f>
        <v>129162.98186399997</v>
      </c>
      <c r="M40" s="3101">
        <v>900000</v>
      </c>
      <c r="N40" s="149">
        <f>850000+50000</f>
        <v>900000</v>
      </c>
      <c r="O40" s="3102">
        <f t="shared" ref="O40:O51" si="60">N40/H40*100</f>
        <v>87.449705815296369</v>
      </c>
      <c r="P40" s="149"/>
      <c r="Q40" s="149">
        <f>N40-P40</f>
        <v>900000</v>
      </c>
      <c r="R40" s="149">
        <f>Q40-S40</f>
        <v>100000</v>
      </c>
      <c r="S40" s="149">
        <f>'[11]Phụ lục số 5'!E24</f>
        <v>800000</v>
      </c>
      <c r="T40" s="149">
        <f>'[2]Phụ lục số 1'!T40</f>
        <v>1080000</v>
      </c>
      <c r="U40" s="3124">
        <f t="shared" ref="U40:U42" si="61">T40/N40*100</f>
        <v>120</v>
      </c>
      <c r="V40" s="149">
        <f>0</f>
        <v>0</v>
      </c>
      <c r="W40" s="149">
        <f t="shared" ref="W40:W45" si="62">T40-V40</f>
        <v>1080000</v>
      </c>
      <c r="X40" s="149">
        <f>W40-Y40</f>
        <v>100000</v>
      </c>
      <c r="Y40" s="149">
        <f>'[2]Phụ lục số 1'!Y40</f>
        <v>980000</v>
      </c>
      <c r="Z40" s="149">
        <f>'[2]Phụ lục số 1'!AE40</f>
        <v>1770000</v>
      </c>
      <c r="AA40" s="3102">
        <f t="shared" si="54"/>
        <v>163.88888888888889</v>
      </c>
      <c r="AB40" s="149">
        <f>0</f>
        <v>0</v>
      </c>
      <c r="AC40" s="149">
        <f t="shared" ref="AC40:AC47" si="63">Z40-AB40</f>
        <v>1770000</v>
      </c>
      <c r="AD40" s="149">
        <f>AC40-AE40</f>
        <v>627000</v>
      </c>
      <c r="AE40" s="149">
        <f>'[2]Phụ lục số 1'!AJ40</f>
        <v>1143000</v>
      </c>
      <c r="AF40" s="149">
        <f>'[2]Phụ lục số 1'!AK40</f>
        <v>1200000</v>
      </c>
      <c r="AG40" s="3100">
        <f t="shared" si="48"/>
        <v>67.796610169491515</v>
      </c>
      <c r="AH40" s="3098">
        <f>0</f>
        <v>0</v>
      </c>
      <c r="AI40" s="3098">
        <f t="shared" ref="AI40:AI47" si="64">AF40-AH40</f>
        <v>1200000</v>
      </c>
      <c r="AJ40" s="3098">
        <f t="shared" ref="AJ40:AJ44" si="65">AI40-AK40</f>
        <v>425099.74576271186</v>
      </c>
      <c r="AK40" s="3119">
        <f>'[2]Phụ lục số 1'!AP40</f>
        <v>774900.25423728814</v>
      </c>
      <c r="AL40" s="161">
        <f>'[2]Phụ lục số 1'!AQ40</f>
        <v>1260000</v>
      </c>
      <c r="AM40" s="3102">
        <f t="shared" ref="AM40:AM41" si="66">AL40/AF40*100</f>
        <v>105</v>
      </c>
      <c r="AN40" s="149">
        <f>0</f>
        <v>0</v>
      </c>
      <c r="AO40" s="149">
        <f t="shared" ref="AO40:AO41" si="67">AL40-AN40</f>
        <v>1260000</v>
      </c>
      <c r="AP40" s="149">
        <f t="shared" ref="AP40:AP41" si="68">AO40-AQ40</f>
        <v>446399.73305084754</v>
      </c>
      <c r="AQ40" s="149">
        <f>'[2]Phụ lục số 1'!AV40</f>
        <v>813600.26694915246</v>
      </c>
      <c r="AR40" s="3103">
        <f>'[10]5 năm A'!$R$67</f>
        <v>1300000</v>
      </c>
      <c r="AS40" s="3104">
        <f t="shared" ref="AS40:AS41" si="69">AR40/AL40*100</f>
        <v>103.17460317460319</v>
      </c>
      <c r="AT40" s="3103">
        <f>0</f>
        <v>0</v>
      </c>
      <c r="AU40" s="3103">
        <f t="shared" ref="AU40:AU41" si="70">AR40-AT40</f>
        <v>1300000</v>
      </c>
      <c r="AV40" s="3103">
        <f t="shared" ref="AV40:AV41" si="71">AU40-AW40</f>
        <v>461000</v>
      </c>
      <c r="AW40" s="3103">
        <f>ROUND(AQ40*AS40/100,-3)</f>
        <v>839000</v>
      </c>
      <c r="AX40" s="3103">
        <f>'[10]5 năm A'!$S$67</f>
        <v>1350000</v>
      </c>
      <c r="AY40" s="3104">
        <f t="shared" ref="AY40:AY41" si="72">AX40/AR40*100</f>
        <v>103.84615384615385</v>
      </c>
      <c r="AZ40" s="3103">
        <f>0</f>
        <v>0</v>
      </c>
      <c r="BA40" s="3103">
        <f t="shared" ref="BA40:BA41" si="73">AX40-AZ40</f>
        <v>1350000</v>
      </c>
      <c r="BB40" s="3103">
        <f t="shared" ref="BB40:BB41" si="74">BA40-BC40</f>
        <v>479000</v>
      </c>
      <c r="BC40" s="3103">
        <f>ROUND(AW40*AY40/100,-3)</f>
        <v>871000</v>
      </c>
      <c r="BD40" s="3103">
        <f>'[10]5 năm A'!$T$67</f>
        <v>1400000</v>
      </c>
      <c r="BE40" s="3104">
        <f t="shared" ref="BE40:BE41" si="75">BD40/AX40*100</f>
        <v>103.7037037037037</v>
      </c>
      <c r="BF40" s="3103">
        <f>0</f>
        <v>0</v>
      </c>
      <c r="BG40" s="3103">
        <f t="shared" ref="BG40:BG41" si="76">BD40-BF40</f>
        <v>1400000</v>
      </c>
      <c r="BH40" s="3103">
        <f t="shared" ref="BH40:BH41" si="77">BG40-BI40</f>
        <v>497000</v>
      </c>
      <c r="BI40" s="3103">
        <f>ROUND(BC40*BE40/100,-3)</f>
        <v>903000</v>
      </c>
      <c r="BJ40" s="3103">
        <f>'[10]5 năm A'!$U$67</f>
        <v>1450000</v>
      </c>
      <c r="BK40" s="3104">
        <f t="shared" ref="BK40:BK41" si="78">BJ40/BD40*100</f>
        <v>103.57142857142858</v>
      </c>
      <c r="BL40" s="3103">
        <f>0</f>
        <v>0</v>
      </c>
      <c r="BM40" s="3103">
        <f t="shared" ref="BM40:BM41" si="79">BJ40-BL40</f>
        <v>1450000</v>
      </c>
      <c r="BN40" s="3103">
        <f t="shared" ref="BN40:BN41" si="80">BM40-BO40</f>
        <v>515000</v>
      </c>
      <c r="BO40" s="3103">
        <f>ROUND(BI40*BK40/100,-3)</f>
        <v>935000</v>
      </c>
    </row>
    <row r="41" spans="1:67" s="3053" customFormat="1">
      <c r="A41" s="3097">
        <v>12</v>
      </c>
      <c r="B41" s="39" t="s">
        <v>24</v>
      </c>
      <c r="C41" s="3114">
        <v>120000</v>
      </c>
      <c r="D41" s="3099">
        <v>0</v>
      </c>
      <c r="E41" s="3099">
        <f>C41-D41</f>
        <v>120000</v>
      </c>
      <c r="F41" s="3099">
        <f>C41-G41</f>
        <v>1000</v>
      </c>
      <c r="G41" s="3114">
        <v>119000</v>
      </c>
      <c r="H41" s="3119">
        <v>237121.31138199999</v>
      </c>
      <c r="I41" s="3100">
        <f t="shared" si="46"/>
        <v>197.60109281833331</v>
      </c>
      <c r="J41" s="3101">
        <v>0</v>
      </c>
      <c r="K41" s="3101">
        <f t="shared" si="23"/>
        <v>237121.31138199999</v>
      </c>
      <c r="L41" s="3101">
        <f t="shared" si="39"/>
        <v>0</v>
      </c>
      <c r="M41" s="3101">
        <f>H41</f>
        <v>237121.31138199999</v>
      </c>
      <c r="N41" s="149">
        <v>115000</v>
      </c>
      <c r="O41" s="3102">
        <f t="shared" si="60"/>
        <v>48.498382254109664</v>
      </c>
      <c r="P41" s="149">
        <v>0</v>
      </c>
      <c r="Q41" s="149">
        <f t="shared" si="24"/>
        <v>115000</v>
      </c>
      <c r="R41" s="149">
        <f t="shared" si="40"/>
        <v>0</v>
      </c>
      <c r="S41" s="149">
        <f>'[11]Phụ lục số 5'!E21</f>
        <v>115000</v>
      </c>
      <c r="T41" s="149">
        <f>'[2]Phụ lục số 1'!T41</f>
        <v>125999.8</v>
      </c>
      <c r="U41" s="3124">
        <f t="shared" si="61"/>
        <v>109.56504347826088</v>
      </c>
      <c r="V41" s="149">
        <v>0</v>
      </c>
      <c r="W41" s="149">
        <f t="shared" si="62"/>
        <v>125999.8</v>
      </c>
      <c r="X41" s="149">
        <f t="shared" ref="X41:X45" si="81">W41-Y41</f>
        <v>0</v>
      </c>
      <c r="Y41" s="149">
        <f>'[2]Phụ lục số 1'!Y41</f>
        <v>125999.8</v>
      </c>
      <c r="Z41" s="149">
        <f>'[2]Phụ lục số 1'!AE41</f>
        <v>315000</v>
      </c>
      <c r="AA41" s="3102">
        <f t="shared" si="54"/>
        <v>250.0003968260267</v>
      </c>
      <c r="AB41" s="149">
        <v>0</v>
      </c>
      <c r="AC41" s="149">
        <f t="shared" si="63"/>
        <v>315000</v>
      </c>
      <c r="AD41" s="149">
        <f t="shared" ref="AD41:AD45" si="82">AC41-AE41</f>
        <v>0</v>
      </c>
      <c r="AE41" s="149">
        <f>Z41</f>
        <v>315000</v>
      </c>
      <c r="AF41" s="149">
        <f>'[2]Phụ lục số 1'!AK41</f>
        <v>184000</v>
      </c>
      <c r="AG41" s="3100">
        <f t="shared" si="48"/>
        <v>58.412698412698418</v>
      </c>
      <c r="AH41" s="3098">
        <v>0</v>
      </c>
      <c r="AI41" s="3098">
        <f t="shared" si="64"/>
        <v>184000</v>
      </c>
      <c r="AJ41" s="3098">
        <f t="shared" si="65"/>
        <v>0</v>
      </c>
      <c r="AK41" s="3098">
        <f>AF41</f>
        <v>184000</v>
      </c>
      <c r="AL41" s="161">
        <f>'[2]Phụ lục số 1'!AQ41</f>
        <v>250000</v>
      </c>
      <c r="AM41" s="3102">
        <f t="shared" si="66"/>
        <v>135.86956521739131</v>
      </c>
      <c r="AN41" s="149">
        <v>0</v>
      </c>
      <c r="AO41" s="149">
        <f t="shared" si="67"/>
        <v>250000</v>
      </c>
      <c r="AP41" s="149">
        <f t="shared" si="68"/>
        <v>0</v>
      </c>
      <c r="AQ41" s="149">
        <f>AL41</f>
        <v>250000</v>
      </c>
      <c r="AR41" s="3103">
        <f>'[10]5 năm A'!$R$66</f>
        <v>300000</v>
      </c>
      <c r="AS41" s="3104">
        <f t="shared" si="69"/>
        <v>120</v>
      </c>
      <c r="AT41" s="3103">
        <v>0</v>
      </c>
      <c r="AU41" s="3103">
        <f t="shared" si="70"/>
        <v>300000</v>
      </c>
      <c r="AV41" s="3103">
        <f t="shared" si="71"/>
        <v>0</v>
      </c>
      <c r="AW41" s="3103">
        <f>AR41</f>
        <v>300000</v>
      </c>
      <c r="AX41" s="3103">
        <f>'[10]5 năm A'!$S$66</f>
        <v>365000</v>
      </c>
      <c r="AY41" s="3104">
        <f t="shared" si="72"/>
        <v>121.66666666666666</v>
      </c>
      <c r="AZ41" s="3103">
        <v>0</v>
      </c>
      <c r="BA41" s="3103">
        <f t="shared" si="73"/>
        <v>365000</v>
      </c>
      <c r="BB41" s="3103">
        <f t="shared" si="74"/>
        <v>0</v>
      </c>
      <c r="BC41" s="3103">
        <f>AX41</f>
        <v>365000</v>
      </c>
      <c r="BD41" s="3103">
        <f>'[10]5 năm A'!$T$66</f>
        <v>480000</v>
      </c>
      <c r="BE41" s="3104">
        <f t="shared" si="75"/>
        <v>131.50684931506848</v>
      </c>
      <c r="BF41" s="3103">
        <v>0</v>
      </c>
      <c r="BG41" s="3103">
        <f t="shared" si="76"/>
        <v>480000</v>
      </c>
      <c r="BH41" s="3103">
        <f t="shared" si="77"/>
        <v>0</v>
      </c>
      <c r="BI41" s="3103">
        <f>BD41</f>
        <v>480000</v>
      </c>
      <c r="BJ41" s="3103">
        <f>'[10]5 năm A'!$U$66</f>
        <v>600000</v>
      </c>
      <c r="BK41" s="3104">
        <f t="shared" si="78"/>
        <v>125</v>
      </c>
      <c r="BL41" s="3103">
        <v>0</v>
      </c>
      <c r="BM41" s="3103">
        <f t="shared" si="79"/>
        <v>600000</v>
      </c>
      <c r="BN41" s="3103">
        <f t="shared" si="80"/>
        <v>0</v>
      </c>
      <c r="BO41" s="3103">
        <f>BJ41</f>
        <v>600000</v>
      </c>
    </row>
    <row r="42" spans="1:67" s="3053" customFormat="1">
      <c r="A42" s="3097">
        <v>13</v>
      </c>
      <c r="B42" s="39" t="s">
        <v>25</v>
      </c>
      <c r="C42" s="3114">
        <v>0</v>
      </c>
      <c r="D42" s="3099">
        <v>0</v>
      </c>
      <c r="E42" s="3099">
        <v>0</v>
      </c>
      <c r="F42" s="3099">
        <v>0</v>
      </c>
      <c r="G42" s="3099">
        <v>0</v>
      </c>
      <c r="H42" s="3119">
        <v>79.078599999999994</v>
      </c>
      <c r="I42" s="3100"/>
      <c r="J42" s="3101"/>
      <c r="K42" s="3101">
        <f>H42-J42</f>
        <v>79.078599999999994</v>
      </c>
      <c r="L42" s="3101">
        <f>K42-M42</f>
        <v>79.078599999999994</v>
      </c>
      <c r="M42" s="3101"/>
      <c r="N42" s="149">
        <v>0</v>
      </c>
      <c r="O42" s="3102">
        <v>0</v>
      </c>
      <c r="P42" s="149">
        <f>0</f>
        <v>0</v>
      </c>
      <c r="Q42" s="149">
        <f>N42-P42</f>
        <v>0</v>
      </c>
      <c r="R42" s="149">
        <f>Q42-S42</f>
        <v>0</v>
      </c>
      <c r="S42" s="149">
        <v>0</v>
      </c>
      <c r="T42" s="149">
        <f>'[2]Phụ lục số 1'!T42</f>
        <v>0</v>
      </c>
      <c r="U42" s="3102" t="e">
        <f t="shared" si="61"/>
        <v>#DIV/0!</v>
      </c>
      <c r="V42" s="149">
        <f>0</f>
        <v>0</v>
      </c>
      <c r="W42" s="149">
        <f t="shared" si="62"/>
        <v>0</v>
      </c>
      <c r="X42" s="149">
        <f t="shared" si="81"/>
        <v>0</v>
      </c>
      <c r="Y42" s="149">
        <v>0</v>
      </c>
      <c r="Z42" s="149">
        <f>'[2]Phụ lục số 1'!AE42</f>
        <v>0</v>
      </c>
      <c r="AA42" s="3102" t="e">
        <f t="shared" si="54"/>
        <v>#DIV/0!</v>
      </c>
      <c r="AB42" s="149">
        <f>0</f>
        <v>0</v>
      </c>
      <c r="AC42" s="149">
        <f t="shared" si="63"/>
        <v>0</v>
      </c>
      <c r="AD42" s="149">
        <f t="shared" si="82"/>
        <v>0</v>
      </c>
      <c r="AE42" s="149">
        <v>0</v>
      </c>
      <c r="AF42" s="149">
        <f>'[2]Phụ lục số 1'!AK42</f>
        <v>0</v>
      </c>
      <c r="AG42" s="3100"/>
      <c r="AH42" s="3098">
        <f>0</f>
        <v>0</v>
      </c>
      <c r="AI42" s="3098">
        <f t="shared" si="64"/>
        <v>0</v>
      </c>
      <c r="AJ42" s="3098">
        <f t="shared" si="65"/>
        <v>0</v>
      </c>
      <c r="AK42" s="3098">
        <v>0</v>
      </c>
      <c r="AL42" s="161">
        <f>'[2]Phụ lục số 1'!AQ42</f>
        <v>0</v>
      </c>
      <c r="AM42" s="161"/>
      <c r="AN42" s="161"/>
      <c r="AO42" s="161"/>
      <c r="AP42" s="161"/>
      <c r="AQ42" s="161"/>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row>
    <row r="43" spans="1:67" s="3053" customFormat="1">
      <c r="A43" s="3097">
        <v>14</v>
      </c>
      <c r="B43" s="39" t="s">
        <v>26</v>
      </c>
      <c r="C43" s="3098">
        <v>250000</v>
      </c>
      <c r="D43" s="3098">
        <v>55000</v>
      </c>
      <c r="E43" s="3099">
        <f>C43-D43</f>
        <v>195000</v>
      </c>
      <c r="F43" s="3099">
        <f>E43-G43</f>
        <v>68000</v>
      </c>
      <c r="G43" s="3099">
        <v>127000</v>
      </c>
      <c r="H43" s="3098">
        <f>[13]thu!$G$46</f>
        <v>285472.88611600001</v>
      </c>
      <c r="I43" s="3100">
        <f t="shared" si="46"/>
        <v>114.18915444640001</v>
      </c>
      <c r="J43" s="3101">
        <f>[12]thu!$H$46</f>
        <v>84881.407926999993</v>
      </c>
      <c r="K43" s="3101">
        <f t="shared" si="23"/>
        <v>200591.47818900002</v>
      </c>
      <c r="L43" s="3101">
        <f>K43-M43</f>
        <v>146851.45037200002</v>
      </c>
      <c r="M43" s="3101">
        <f>[12]thu!$J$46</f>
        <v>53740.027817000002</v>
      </c>
      <c r="N43" s="149">
        <v>250000</v>
      </c>
      <c r="O43" s="3102">
        <f t="shared" si="60"/>
        <v>87.573991141986824</v>
      </c>
      <c r="P43" s="149">
        <f>54000</f>
        <v>54000</v>
      </c>
      <c r="Q43" s="149">
        <f>N43-P43</f>
        <v>196000</v>
      </c>
      <c r="R43" s="149">
        <f>Q43-S43</f>
        <v>66500</v>
      </c>
      <c r="S43" s="149">
        <f>'[11]Phụ lục số 5'!E27</f>
        <v>129500</v>
      </c>
      <c r="T43" s="149">
        <f>'[2]Phụ lục số 1'!T43</f>
        <v>350000</v>
      </c>
      <c r="U43" s="3102">
        <f t="shared" ref="U43" si="83">T43/H43*100</f>
        <v>122.60358759878156</v>
      </c>
      <c r="V43" s="149">
        <f>'[2]Phụ lục số 1'!V43</f>
        <v>75600</v>
      </c>
      <c r="W43" s="149">
        <f t="shared" si="62"/>
        <v>274400</v>
      </c>
      <c r="X43" s="149">
        <f t="shared" si="81"/>
        <v>93400</v>
      </c>
      <c r="Y43" s="149">
        <f>'[2]Phụ lục số 1'!Y43</f>
        <v>181000</v>
      </c>
      <c r="Z43" s="149">
        <f>'[2]Phụ lục số 1'!AE43</f>
        <v>326000</v>
      </c>
      <c r="AA43" s="3102">
        <f t="shared" si="54"/>
        <v>93.142857142857139</v>
      </c>
      <c r="AB43" s="149">
        <f>'[2]Phụ lục số 1'!AG43</f>
        <v>95000</v>
      </c>
      <c r="AC43" s="149">
        <f t="shared" si="63"/>
        <v>231000</v>
      </c>
      <c r="AD43" s="149">
        <f t="shared" si="82"/>
        <v>85500</v>
      </c>
      <c r="AE43" s="149">
        <f>'[2]Phụ lục số 1'!AJ43</f>
        <v>145500</v>
      </c>
      <c r="AF43" s="149">
        <f>'[2]Phụ lục số 1'!AK43</f>
        <v>370000</v>
      </c>
      <c r="AG43" s="3100">
        <f t="shared" ref="AG43:AG51" si="84">AF43/Z43*100</f>
        <v>113.49693251533743</v>
      </c>
      <c r="AH43" s="3098">
        <f>ROUND(AB43*AG43/100,-3)</f>
        <v>108000</v>
      </c>
      <c r="AI43" s="3098">
        <f t="shared" si="64"/>
        <v>262000</v>
      </c>
      <c r="AJ43" s="3098">
        <f t="shared" si="65"/>
        <v>96899.963190184033</v>
      </c>
      <c r="AK43" s="3098">
        <f>'[2]Phụ lục số 1'!AP43</f>
        <v>165100.03680981597</v>
      </c>
      <c r="AL43" s="161">
        <f>'[2]Phụ lục số 1'!AQ43</f>
        <v>400000</v>
      </c>
      <c r="AM43" s="3129">
        <f>AL43/AF43*100</f>
        <v>108.10810810810811</v>
      </c>
      <c r="AN43" s="149">
        <f>'[2]Phụ lục số 1'!AS43</f>
        <v>116542.79555629249</v>
      </c>
      <c r="AO43" s="149">
        <f t="shared" ref="AO43:AO45" si="85">AL43-AN43</f>
        <v>283457.20444370748</v>
      </c>
      <c r="AP43" s="149">
        <f t="shared" ref="AP43:AP45" si="86">AO43-AQ43</f>
        <v>105457.20444370748</v>
      </c>
      <c r="AQ43" s="149">
        <f>ROUND(AK43*AM43/100,-3)</f>
        <v>178000</v>
      </c>
      <c r="AR43" s="757">
        <f>'[10]5 năm A'!$R$72</f>
        <v>440000</v>
      </c>
      <c r="AS43" s="3130">
        <f>AR43/AL43*100</f>
        <v>110.00000000000001</v>
      </c>
      <c r="AT43" s="3103">
        <f>ROUND(AN43*AS43/100,-3)</f>
        <v>128000</v>
      </c>
      <c r="AU43" s="3103">
        <f t="shared" ref="AU43:AU45" si="87">AR43-AT43</f>
        <v>312000</v>
      </c>
      <c r="AV43" s="3103">
        <f t="shared" ref="AV43:AV45" si="88">AU43-AW43</f>
        <v>116000</v>
      </c>
      <c r="AW43" s="3103">
        <f>ROUND(AQ43*AS43/100,-3)</f>
        <v>196000</v>
      </c>
      <c r="AX43" s="757">
        <f>'[10]5 năm A'!$S$72</f>
        <v>490000</v>
      </c>
      <c r="AY43" s="3130">
        <f>AX43/AR43*100</f>
        <v>111.36363636363636</v>
      </c>
      <c r="AZ43" s="3103">
        <f>ROUND(AT43*AY43/100,-3)</f>
        <v>143000</v>
      </c>
      <c r="BA43" s="3103">
        <f t="shared" ref="BA43:BA45" si="89">AX43-AZ43</f>
        <v>347000</v>
      </c>
      <c r="BB43" s="3103">
        <f t="shared" ref="BB43:BB45" si="90">BA43-BC43</f>
        <v>129000</v>
      </c>
      <c r="BC43" s="3103">
        <f>ROUND(AW43*AY43/100,-3)</f>
        <v>218000</v>
      </c>
      <c r="BD43" s="757">
        <f>'[10]5 năm A'!$T$72</f>
        <v>541000</v>
      </c>
      <c r="BE43" s="3130">
        <f>BD43/AX43*100</f>
        <v>110.40816326530611</v>
      </c>
      <c r="BF43" s="3103">
        <f>ROUND(AZ43*BE43/100,-3)</f>
        <v>158000</v>
      </c>
      <c r="BG43" s="3103">
        <f t="shared" ref="BG43:BG45" si="91">BD43-BF43</f>
        <v>383000</v>
      </c>
      <c r="BH43" s="3103">
        <f t="shared" ref="BH43:BH45" si="92">BG43-BI43</f>
        <v>142000</v>
      </c>
      <c r="BI43" s="3103">
        <f>ROUND(BC43*BE43/100,-3)</f>
        <v>241000</v>
      </c>
      <c r="BJ43" s="757">
        <f>'[10]5 năm A'!$U$72</f>
        <v>600000</v>
      </c>
      <c r="BK43" s="3130">
        <f>BJ43/BD43*100</f>
        <v>110.90573012939002</v>
      </c>
      <c r="BL43" s="3103">
        <f>ROUND(BF43*BK43/100,-3)</f>
        <v>175000</v>
      </c>
      <c r="BM43" s="3103">
        <f t="shared" ref="BM43:BM45" si="93">BJ43-BL43</f>
        <v>425000</v>
      </c>
      <c r="BN43" s="3103">
        <f t="shared" ref="BN43:BN45" si="94">BM43-BO43</f>
        <v>158000</v>
      </c>
      <c r="BO43" s="3103">
        <f>ROUND(BI43*BK43/100,-3)</f>
        <v>267000</v>
      </c>
    </row>
    <row r="44" spans="1:67" s="3053" customFormat="1">
      <c r="A44" s="3097">
        <v>15</v>
      </c>
      <c r="B44" s="39" t="s">
        <v>1886</v>
      </c>
      <c r="C44" s="3125">
        <v>18000</v>
      </c>
      <c r="D44" s="3098">
        <v>0</v>
      </c>
      <c r="E44" s="3099">
        <f>C44-D44</f>
        <v>18000</v>
      </c>
      <c r="F44" s="3099">
        <f>E44-G44</f>
        <v>18000</v>
      </c>
      <c r="G44" s="3099">
        <v>0</v>
      </c>
      <c r="H44" s="3098">
        <f>[13]thu!$G$75</f>
        <v>35466.300600000002</v>
      </c>
      <c r="I44" s="3100"/>
      <c r="J44" s="3101">
        <v>0</v>
      </c>
      <c r="K44" s="3101">
        <f>H44-J44</f>
        <v>35466.300600000002</v>
      </c>
      <c r="L44" s="3101">
        <f>K44-M44</f>
        <v>35466.300600000002</v>
      </c>
      <c r="M44" s="3101">
        <v>0</v>
      </c>
      <c r="N44" s="149">
        <v>22000</v>
      </c>
      <c r="O44" s="3102">
        <f>N44/H44*100</f>
        <v>62.030715433568503</v>
      </c>
      <c r="P44" s="149">
        <v>0</v>
      </c>
      <c r="Q44" s="149">
        <f>N44-P44</f>
        <v>22000</v>
      </c>
      <c r="R44" s="149">
        <f>Q44-S44</f>
        <v>22000</v>
      </c>
      <c r="S44" s="149">
        <v>0</v>
      </c>
      <c r="T44" s="149">
        <f>'[2]Phụ lục số 1'!T44</f>
        <v>37000</v>
      </c>
      <c r="U44" s="3124">
        <f t="shared" ref="U44:U50" si="95">T44/N44*100</f>
        <v>168.18181818181819</v>
      </c>
      <c r="V44" s="149">
        <v>0</v>
      </c>
      <c r="W44" s="149">
        <f t="shared" si="62"/>
        <v>37000</v>
      </c>
      <c r="X44" s="149">
        <f t="shared" si="81"/>
        <v>37000</v>
      </c>
      <c r="Y44" s="149">
        <v>0</v>
      </c>
      <c r="Z44" s="149">
        <f>'[2]Phụ lục số 1'!AE44</f>
        <v>30000</v>
      </c>
      <c r="AA44" s="3102">
        <f t="shared" si="54"/>
        <v>81.081081081081081</v>
      </c>
      <c r="AB44" s="149">
        <v>0</v>
      </c>
      <c r="AC44" s="149">
        <f t="shared" si="63"/>
        <v>30000</v>
      </c>
      <c r="AD44" s="149">
        <f t="shared" si="82"/>
        <v>30000</v>
      </c>
      <c r="AE44" s="149">
        <v>0</v>
      </c>
      <c r="AF44" s="149">
        <f>'[2]Phụ lục số 1'!AK44</f>
        <v>27000</v>
      </c>
      <c r="AG44" s="3100">
        <f t="shared" si="84"/>
        <v>90</v>
      </c>
      <c r="AH44" s="3098">
        <v>0</v>
      </c>
      <c r="AI44" s="3098">
        <f t="shared" si="64"/>
        <v>27000</v>
      </c>
      <c r="AJ44" s="3098">
        <f t="shared" si="65"/>
        <v>27000</v>
      </c>
      <c r="AK44" s="3098">
        <v>0</v>
      </c>
      <c r="AL44" s="161">
        <f>'[2]Phụ lục số 1'!AQ44</f>
        <v>28000</v>
      </c>
      <c r="AM44" s="3129">
        <f t="shared" ref="AM44:AM47" si="96">AL44/AF44*100</f>
        <v>103.7037037037037</v>
      </c>
      <c r="AN44" s="149">
        <v>0</v>
      </c>
      <c r="AO44" s="149">
        <f t="shared" si="85"/>
        <v>28000</v>
      </c>
      <c r="AP44" s="149">
        <f t="shared" si="86"/>
        <v>28000</v>
      </c>
      <c r="AQ44" s="149">
        <v>0</v>
      </c>
      <c r="AR44" s="757">
        <f>'[10]5 năm A'!$R$70</f>
        <v>30000</v>
      </c>
      <c r="AS44" s="3130">
        <f t="shared" ref="AS44:AS47" si="97">AR44/AL44*100</f>
        <v>107.14285714285714</v>
      </c>
      <c r="AT44" s="3103">
        <v>0</v>
      </c>
      <c r="AU44" s="3103">
        <f t="shared" si="87"/>
        <v>30000</v>
      </c>
      <c r="AV44" s="3103">
        <f t="shared" si="88"/>
        <v>30000</v>
      </c>
      <c r="AW44" s="3103">
        <v>0</v>
      </c>
      <c r="AX44" s="757">
        <f>'[10]5 năm A'!$S$70</f>
        <v>32000</v>
      </c>
      <c r="AY44" s="3130">
        <f t="shared" ref="AY44:AY47" si="98">AX44/AR44*100</f>
        <v>106.66666666666667</v>
      </c>
      <c r="AZ44" s="3103">
        <v>0</v>
      </c>
      <c r="BA44" s="3103">
        <f t="shared" si="89"/>
        <v>32000</v>
      </c>
      <c r="BB44" s="3103">
        <f t="shared" si="90"/>
        <v>32000</v>
      </c>
      <c r="BC44" s="3103">
        <v>0</v>
      </c>
      <c r="BD44" s="757">
        <f>'[10]5 năm A'!$T$70</f>
        <v>35000</v>
      </c>
      <c r="BE44" s="3130">
        <f t="shared" ref="BE44:BE47" si="99">BD44/AX44*100</f>
        <v>109.375</v>
      </c>
      <c r="BF44" s="3103">
        <v>0</v>
      </c>
      <c r="BG44" s="3103">
        <f t="shared" si="91"/>
        <v>35000</v>
      </c>
      <c r="BH44" s="3103">
        <f t="shared" si="92"/>
        <v>35000</v>
      </c>
      <c r="BI44" s="3103">
        <v>0</v>
      </c>
      <c r="BJ44" s="757">
        <f>'[10]5 năm A'!$U$70</f>
        <v>37000</v>
      </c>
      <c r="BK44" s="3130">
        <f t="shared" ref="BK44:BK47" si="100">BJ44/BD44*100</f>
        <v>105.71428571428572</v>
      </c>
      <c r="BL44" s="3103">
        <v>0</v>
      </c>
      <c r="BM44" s="3103">
        <f t="shared" si="93"/>
        <v>37000</v>
      </c>
      <c r="BN44" s="3103">
        <f t="shared" si="94"/>
        <v>37000</v>
      </c>
      <c r="BO44" s="3103">
        <v>0</v>
      </c>
    </row>
    <row r="45" spans="1:67" s="3053" customFormat="1">
      <c r="A45" s="3097">
        <v>16</v>
      </c>
      <c r="B45" s="39" t="s">
        <v>1887</v>
      </c>
      <c r="C45" s="3098">
        <f>60000+C46</f>
        <v>98777</v>
      </c>
      <c r="D45" s="3098"/>
      <c r="E45" s="3099">
        <f>C45-D45</f>
        <v>98777</v>
      </c>
      <c r="F45" s="3099">
        <f>E45-G45</f>
        <v>98777</v>
      </c>
      <c r="G45" s="3099">
        <v>0</v>
      </c>
      <c r="H45" s="3098">
        <f>[13]thu!$G$76</f>
        <v>76161.542220000003</v>
      </c>
      <c r="I45" s="3100"/>
      <c r="J45" s="3101"/>
      <c r="K45" s="3101">
        <f>H45-J45</f>
        <v>76161.542220000003</v>
      </c>
      <c r="L45" s="3101">
        <f>K45-M45</f>
        <v>76161.542220000003</v>
      </c>
      <c r="M45" s="3101">
        <v>0</v>
      </c>
      <c r="N45" s="149">
        <f>50000+N46</f>
        <v>50000</v>
      </c>
      <c r="O45" s="3102">
        <f>N45/H45*100</f>
        <v>65.649931110336695</v>
      </c>
      <c r="P45" s="149"/>
      <c r="Q45" s="149">
        <f>N45-P45</f>
        <v>50000</v>
      </c>
      <c r="R45" s="149">
        <f>Q45-S45</f>
        <v>50000</v>
      </c>
      <c r="S45" s="149">
        <v>0</v>
      </c>
      <c r="T45" s="149">
        <f>'[2]Phụ lục số 1'!T45</f>
        <v>100000</v>
      </c>
      <c r="U45" s="3124">
        <f t="shared" si="95"/>
        <v>200</v>
      </c>
      <c r="V45" s="149">
        <v>0</v>
      </c>
      <c r="W45" s="149">
        <f t="shared" si="62"/>
        <v>100000</v>
      </c>
      <c r="X45" s="149">
        <f t="shared" si="81"/>
        <v>100000</v>
      </c>
      <c r="Y45" s="149">
        <v>0</v>
      </c>
      <c r="Z45" s="149">
        <f>'[2]Phụ lục số 1'!AE45</f>
        <v>37000</v>
      </c>
      <c r="AA45" s="3102">
        <f t="shared" si="54"/>
        <v>37</v>
      </c>
      <c r="AB45" s="149">
        <v>0</v>
      </c>
      <c r="AC45" s="149">
        <f t="shared" si="63"/>
        <v>37000</v>
      </c>
      <c r="AD45" s="149">
        <f t="shared" si="82"/>
        <v>37000</v>
      </c>
      <c r="AE45" s="149">
        <v>0</v>
      </c>
      <c r="AF45" s="149">
        <f>'[2]Phụ lục số 1'!AK45</f>
        <v>114000</v>
      </c>
      <c r="AG45" s="3100">
        <f t="shared" si="84"/>
        <v>308.10810810810813</v>
      </c>
      <c r="AH45" s="3098">
        <v>0</v>
      </c>
      <c r="AI45" s="3098">
        <f t="shared" si="64"/>
        <v>114000</v>
      </c>
      <c r="AJ45" s="3098">
        <f>AI45-AK45</f>
        <v>114000</v>
      </c>
      <c r="AK45" s="3098">
        <v>0</v>
      </c>
      <c r="AL45" s="161">
        <f>'[2]Phụ lục số 1'!AQ45</f>
        <v>120000</v>
      </c>
      <c r="AM45" s="3129">
        <f t="shared" si="96"/>
        <v>105.26315789473684</v>
      </c>
      <c r="AN45" s="149">
        <v>0</v>
      </c>
      <c r="AO45" s="149">
        <f t="shared" si="85"/>
        <v>120000</v>
      </c>
      <c r="AP45" s="149">
        <f t="shared" si="86"/>
        <v>120000</v>
      </c>
      <c r="AQ45" s="149">
        <v>0</v>
      </c>
      <c r="AR45" s="757">
        <f>'[10]5 năm A'!$R$74</f>
        <v>130000</v>
      </c>
      <c r="AS45" s="3130">
        <f t="shared" si="97"/>
        <v>108.33333333333333</v>
      </c>
      <c r="AT45" s="3103">
        <v>0</v>
      </c>
      <c r="AU45" s="3103">
        <f t="shared" si="87"/>
        <v>130000</v>
      </c>
      <c r="AV45" s="3103">
        <f t="shared" si="88"/>
        <v>130000</v>
      </c>
      <c r="AW45" s="3103">
        <v>0</v>
      </c>
      <c r="AX45" s="757">
        <f>'[10]5 năm A'!$S$74</f>
        <v>140000</v>
      </c>
      <c r="AY45" s="3130">
        <f t="shared" si="98"/>
        <v>107.69230769230769</v>
      </c>
      <c r="AZ45" s="3103">
        <v>0</v>
      </c>
      <c r="BA45" s="3103">
        <f t="shared" si="89"/>
        <v>140000</v>
      </c>
      <c r="BB45" s="3103">
        <f t="shared" si="90"/>
        <v>140000</v>
      </c>
      <c r="BC45" s="3103">
        <v>0</v>
      </c>
      <c r="BD45" s="757">
        <f>'[10]5 năm A'!$T$74</f>
        <v>150000</v>
      </c>
      <c r="BE45" s="3130">
        <f t="shared" si="99"/>
        <v>107.14285714285714</v>
      </c>
      <c r="BF45" s="3103">
        <v>0</v>
      </c>
      <c r="BG45" s="3103">
        <f t="shared" si="91"/>
        <v>150000</v>
      </c>
      <c r="BH45" s="3103">
        <f t="shared" si="92"/>
        <v>150000</v>
      </c>
      <c r="BI45" s="3103">
        <v>0</v>
      </c>
      <c r="BJ45" s="757">
        <f>'[10]5 năm A'!$U$74</f>
        <v>160000</v>
      </c>
      <c r="BK45" s="3130">
        <f t="shared" si="100"/>
        <v>106.66666666666667</v>
      </c>
      <c r="BL45" s="3103">
        <v>0</v>
      </c>
      <c r="BM45" s="3103">
        <f t="shared" si="93"/>
        <v>160000</v>
      </c>
      <c r="BN45" s="3103">
        <f t="shared" si="94"/>
        <v>160000</v>
      </c>
      <c r="BO45" s="3103">
        <v>0</v>
      </c>
    </row>
    <row r="46" spans="1:67" s="3141" customFormat="1">
      <c r="A46" s="3131" t="s">
        <v>29</v>
      </c>
      <c r="B46" s="3132" t="s">
        <v>30</v>
      </c>
      <c r="C46" s="3133">
        <v>38777</v>
      </c>
      <c r="D46" s="3133"/>
      <c r="E46" s="3134">
        <f>C46-D46</f>
        <v>38777</v>
      </c>
      <c r="F46" s="3134">
        <f>E46-G46</f>
        <v>38777</v>
      </c>
      <c r="G46" s="3134">
        <v>0</v>
      </c>
      <c r="H46" s="3133">
        <v>38777</v>
      </c>
      <c r="I46" s="3135"/>
      <c r="J46" s="3136"/>
      <c r="K46" s="3136">
        <f>H46-J46</f>
        <v>38777</v>
      </c>
      <c r="L46" s="3136">
        <f>K46-M46</f>
        <v>38777</v>
      </c>
      <c r="M46" s="3136">
        <v>0</v>
      </c>
      <c r="N46" s="170">
        <v>0</v>
      </c>
      <c r="O46" s="3137"/>
      <c r="P46" s="170"/>
      <c r="Q46" s="170">
        <f>N46-P46</f>
        <v>0</v>
      </c>
      <c r="R46" s="170">
        <f>Q46-S46</f>
        <v>0</v>
      </c>
      <c r="S46" s="170">
        <v>0</v>
      </c>
      <c r="T46" s="154">
        <f>'[2]Phụ lục số 1'!T46</f>
        <v>0</v>
      </c>
      <c r="U46" s="3112" t="e">
        <f t="shared" si="95"/>
        <v>#DIV/0!</v>
      </c>
      <c r="V46" s="170"/>
      <c r="W46" s="170">
        <f>T46-V46</f>
        <v>0</v>
      </c>
      <c r="X46" s="170">
        <f>W46-Y46</f>
        <v>0</v>
      </c>
      <c r="Y46" s="170">
        <v>0</v>
      </c>
      <c r="Z46" s="154">
        <f>'[2]Phụ lục số 1'!AE46</f>
        <v>0</v>
      </c>
      <c r="AA46" s="3111" t="e">
        <f t="shared" si="54"/>
        <v>#DIV/0!</v>
      </c>
      <c r="AB46" s="170"/>
      <c r="AC46" s="170">
        <f>Z46-AB46</f>
        <v>0</v>
      </c>
      <c r="AD46" s="170">
        <f>AC46-AE46</f>
        <v>0</v>
      </c>
      <c r="AE46" s="170">
        <v>0</v>
      </c>
      <c r="AF46" s="149">
        <f>'[2]Phụ lục số 1'!AK46</f>
        <v>0</v>
      </c>
      <c r="AG46" s="3135"/>
      <c r="AH46" s="3133"/>
      <c r="AI46" s="3133">
        <f>AF46-AH46</f>
        <v>0</v>
      </c>
      <c r="AJ46" s="3133">
        <f>AI46-AK46</f>
        <v>0</v>
      </c>
      <c r="AK46" s="3133">
        <v>0</v>
      </c>
      <c r="AL46" s="161">
        <f>'[2]Phụ lục số 1'!AQ46</f>
        <v>0</v>
      </c>
      <c r="AM46" s="3138" t="e">
        <f t="shared" si="96"/>
        <v>#DIV/0!</v>
      </c>
      <c r="AN46" s="170"/>
      <c r="AO46" s="170">
        <f>AL46-AN46</f>
        <v>0</v>
      </c>
      <c r="AP46" s="170">
        <f>AO46-AQ46</f>
        <v>0</v>
      </c>
      <c r="AQ46" s="170">
        <v>0</v>
      </c>
      <c r="AR46" s="747"/>
      <c r="AS46" s="3139" t="e">
        <f t="shared" si="97"/>
        <v>#DIV/0!</v>
      </c>
      <c r="AT46" s="3140"/>
      <c r="AU46" s="3140">
        <f>AR46-AT46</f>
        <v>0</v>
      </c>
      <c r="AV46" s="3140">
        <f>AU46-AW46</f>
        <v>0</v>
      </c>
      <c r="AW46" s="3140">
        <v>0</v>
      </c>
      <c r="AX46" s="747"/>
      <c r="AY46" s="3139" t="e">
        <f t="shared" si="98"/>
        <v>#DIV/0!</v>
      </c>
      <c r="AZ46" s="3140"/>
      <c r="BA46" s="3140">
        <f>AX46-AZ46</f>
        <v>0</v>
      </c>
      <c r="BB46" s="3140">
        <f>BA46-BC46</f>
        <v>0</v>
      </c>
      <c r="BC46" s="3140">
        <v>0</v>
      </c>
      <c r="BD46" s="747"/>
      <c r="BE46" s="3139" t="e">
        <f t="shared" si="99"/>
        <v>#DIV/0!</v>
      </c>
      <c r="BF46" s="3140"/>
      <c r="BG46" s="3140">
        <f>BD46-BF46</f>
        <v>0</v>
      </c>
      <c r="BH46" s="3140">
        <f>BG46-BI46</f>
        <v>0</v>
      </c>
      <c r="BI46" s="3140">
        <v>0</v>
      </c>
      <c r="BJ46" s="747"/>
      <c r="BK46" s="3139" t="e">
        <f t="shared" si="100"/>
        <v>#DIV/0!</v>
      </c>
      <c r="BL46" s="3140"/>
      <c r="BM46" s="3140">
        <f>BJ46-BL46</f>
        <v>0</v>
      </c>
      <c r="BN46" s="3140">
        <f>BM46-BO46</f>
        <v>0</v>
      </c>
      <c r="BO46" s="3140">
        <v>0</v>
      </c>
    </row>
    <row r="47" spans="1:67" s="3053" customFormat="1">
      <c r="A47" s="3097">
        <v>17</v>
      </c>
      <c r="B47" s="39" t="s">
        <v>31</v>
      </c>
      <c r="C47" s="3114">
        <v>3000</v>
      </c>
      <c r="D47" s="3099">
        <v>0</v>
      </c>
      <c r="E47" s="3099">
        <f>F47+G47</f>
        <v>3000</v>
      </c>
      <c r="F47" s="3099">
        <v>0</v>
      </c>
      <c r="G47" s="3099">
        <f>C47</f>
        <v>3000</v>
      </c>
      <c r="H47" s="3098">
        <f>[13]thu!$G$78</f>
        <v>2041.6675579999999</v>
      </c>
      <c r="I47" s="3100">
        <f t="shared" si="46"/>
        <v>68.055585266666668</v>
      </c>
      <c r="J47" s="3101">
        <f>0</f>
        <v>0</v>
      </c>
      <c r="K47" s="3101">
        <f t="shared" si="23"/>
        <v>2041.6675579999999</v>
      </c>
      <c r="L47" s="3101">
        <v>0</v>
      </c>
      <c r="M47" s="3101">
        <f>H47</f>
        <v>2041.6675579999999</v>
      </c>
      <c r="N47" s="149">
        <f>'[11]Phụ lục số 5'!C31</f>
        <v>3000</v>
      </c>
      <c r="O47" s="3102">
        <f t="shared" si="60"/>
        <v>146.93871136096095</v>
      </c>
      <c r="P47" s="149">
        <f>0</f>
        <v>0</v>
      </c>
      <c r="Q47" s="149">
        <f t="shared" si="24"/>
        <v>3000</v>
      </c>
      <c r="R47" s="149">
        <v>0</v>
      </c>
      <c r="S47" s="149">
        <f>N47</f>
        <v>3000</v>
      </c>
      <c r="T47" s="149">
        <f>'[2]Phụ lục số 1'!T47</f>
        <v>2000.1</v>
      </c>
      <c r="U47" s="3124">
        <f t="shared" si="95"/>
        <v>66.67</v>
      </c>
      <c r="V47" s="149">
        <f>0</f>
        <v>0</v>
      </c>
      <c r="W47" s="149">
        <f t="shared" ref="W47" si="101">T47-V47</f>
        <v>2000.1</v>
      </c>
      <c r="X47" s="149">
        <v>0</v>
      </c>
      <c r="Y47" s="149">
        <f>T47</f>
        <v>2000.1</v>
      </c>
      <c r="Z47" s="149">
        <f>'[2]Phụ lục số 1'!AE47</f>
        <v>2000</v>
      </c>
      <c r="AA47" s="3102">
        <f t="shared" si="54"/>
        <v>99.995000249987513</v>
      </c>
      <c r="AB47" s="149">
        <f>0</f>
        <v>0</v>
      </c>
      <c r="AC47" s="149">
        <f t="shared" si="63"/>
        <v>2000</v>
      </c>
      <c r="AD47" s="149">
        <v>0</v>
      </c>
      <c r="AE47" s="149">
        <f>Z47</f>
        <v>2000</v>
      </c>
      <c r="AF47" s="149">
        <f>'[2]Phụ lục số 1'!AK47</f>
        <v>3000</v>
      </c>
      <c r="AG47" s="3100">
        <f t="shared" si="84"/>
        <v>150</v>
      </c>
      <c r="AH47" s="3098">
        <f>0</f>
        <v>0</v>
      </c>
      <c r="AI47" s="3098">
        <f t="shared" si="64"/>
        <v>3000</v>
      </c>
      <c r="AJ47" s="3098">
        <v>0</v>
      </c>
      <c r="AK47" s="3098">
        <f>AF47</f>
        <v>3000</v>
      </c>
      <c r="AL47" s="161">
        <f>'[2]Phụ lục số 1'!AQ47</f>
        <v>3000</v>
      </c>
      <c r="AM47" s="3129">
        <f t="shared" si="96"/>
        <v>100</v>
      </c>
      <c r="AN47" s="149">
        <f>0</f>
        <v>0</v>
      </c>
      <c r="AO47" s="149">
        <f t="shared" ref="AO47" si="102">AL47-AN47</f>
        <v>3000</v>
      </c>
      <c r="AP47" s="149">
        <v>0</v>
      </c>
      <c r="AQ47" s="149">
        <f>AL47</f>
        <v>3000</v>
      </c>
      <c r="AR47" s="757">
        <f>'[10]5 năm A'!$R$73</f>
        <v>3000</v>
      </c>
      <c r="AS47" s="3130">
        <f t="shared" si="97"/>
        <v>100</v>
      </c>
      <c r="AT47" s="3103">
        <f>0</f>
        <v>0</v>
      </c>
      <c r="AU47" s="3103">
        <f t="shared" ref="AU47" si="103">AR47-AT47</f>
        <v>3000</v>
      </c>
      <c r="AV47" s="3103">
        <v>0</v>
      </c>
      <c r="AW47" s="3103">
        <f>AR47</f>
        <v>3000</v>
      </c>
      <c r="AX47" s="757">
        <f>'[10]5 năm A'!$S$73</f>
        <v>3000</v>
      </c>
      <c r="AY47" s="3130">
        <f t="shared" si="98"/>
        <v>100</v>
      </c>
      <c r="AZ47" s="3103">
        <f>0</f>
        <v>0</v>
      </c>
      <c r="BA47" s="3103">
        <f t="shared" ref="BA47" si="104">AX47-AZ47</f>
        <v>3000</v>
      </c>
      <c r="BB47" s="3103">
        <v>0</v>
      </c>
      <c r="BC47" s="3103">
        <f>AX47</f>
        <v>3000</v>
      </c>
      <c r="BD47" s="757">
        <f>'[10]5 năm A'!$T$73</f>
        <v>3000</v>
      </c>
      <c r="BE47" s="3130">
        <f t="shared" si="99"/>
        <v>100</v>
      </c>
      <c r="BF47" s="3103">
        <f>0</f>
        <v>0</v>
      </c>
      <c r="BG47" s="3103">
        <f t="shared" ref="BG47" si="105">BD47-BF47</f>
        <v>3000</v>
      </c>
      <c r="BH47" s="3103">
        <v>0</v>
      </c>
      <c r="BI47" s="3103">
        <f>BD47</f>
        <v>3000</v>
      </c>
      <c r="BJ47" s="757">
        <f>'[10]5 năm A'!$U$73</f>
        <v>3000</v>
      </c>
      <c r="BK47" s="3130">
        <f t="shared" si="100"/>
        <v>100</v>
      </c>
      <c r="BL47" s="3103">
        <f>0</f>
        <v>0</v>
      </c>
      <c r="BM47" s="3103">
        <f t="shared" ref="BM47" si="106">BJ47-BL47</f>
        <v>3000</v>
      </c>
      <c r="BN47" s="3103">
        <v>0</v>
      </c>
      <c r="BO47" s="3103">
        <f>BJ47</f>
        <v>3000</v>
      </c>
    </row>
    <row r="48" spans="1:67" s="3053" customFormat="1">
      <c r="A48" s="3097">
        <v>18</v>
      </c>
      <c r="B48" s="39" t="s">
        <v>32</v>
      </c>
      <c r="C48" s="3114">
        <v>1500000</v>
      </c>
      <c r="D48" s="3099"/>
      <c r="E48" s="3099">
        <f>F48+G48</f>
        <v>1500000</v>
      </c>
      <c r="F48" s="3099">
        <f>C48</f>
        <v>1500000</v>
      </c>
      <c r="G48" s="3099">
        <v>0</v>
      </c>
      <c r="H48" s="3098">
        <f>[13]thu!$G$79</f>
        <v>1743740.6317860002</v>
      </c>
      <c r="I48" s="3100">
        <f t="shared" si="46"/>
        <v>116.24937545240002</v>
      </c>
      <c r="J48" s="3101">
        <v>0</v>
      </c>
      <c r="K48" s="3101">
        <f t="shared" si="23"/>
        <v>1743740.6317860002</v>
      </c>
      <c r="L48" s="3101">
        <f>H48</f>
        <v>1743740.6317860002</v>
      </c>
      <c r="M48" s="3101">
        <v>0</v>
      </c>
      <c r="N48" s="149">
        <v>1600000</v>
      </c>
      <c r="O48" s="3102">
        <f t="shared" si="60"/>
        <v>91.756765360294665</v>
      </c>
      <c r="P48" s="149">
        <v>0</v>
      </c>
      <c r="Q48" s="149">
        <f>SUM(R48:S48)</f>
        <v>1600000</v>
      </c>
      <c r="R48" s="149">
        <f>N48</f>
        <v>1600000</v>
      </c>
      <c r="S48" s="149">
        <v>0</v>
      </c>
      <c r="T48" s="149">
        <f>'[2]Phụ lục số 1'!T48</f>
        <v>1950000</v>
      </c>
      <c r="U48" s="3124">
        <f t="shared" si="95"/>
        <v>121.875</v>
      </c>
      <c r="V48" s="149">
        <v>0</v>
      </c>
      <c r="W48" s="149">
        <f>SUM(X48:Y48)</f>
        <v>1950000</v>
      </c>
      <c r="X48" s="149">
        <f>T48</f>
        <v>1950000</v>
      </c>
      <c r="Y48" s="149">
        <v>0</v>
      </c>
      <c r="Z48" s="149">
        <f>'[2]Phụ lục số 1'!AE48</f>
        <v>1950000</v>
      </c>
      <c r="AA48" s="3102">
        <f>Z48/T48*100</f>
        <v>100</v>
      </c>
      <c r="AB48" s="149">
        <v>0</v>
      </c>
      <c r="AC48" s="149">
        <f>SUM(AD48:AE48)</f>
        <v>1950000</v>
      </c>
      <c r="AD48" s="149">
        <f>Z48</f>
        <v>1950000</v>
      </c>
      <c r="AE48" s="149">
        <v>0</v>
      </c>
      <c r="AF48" s="149">
        <f>'[2]Phụ lục số 1'!AK48</f>
        <v>2322000</v>
      </c>
      <c r="AG48" s="3100">
        <f t="shared" si="84"/>
        <v>119.07692307692308</v>
      </c>
      <c r="AH48" s="3098">
        <v>0</v>
      </c>
      <c r="AI48" s="3098">
        <f>SUM(AJ48:AK48)</f>
        <v>2322000</v>
      </c>
      <c r="AJ48" s="3098">
        <f>AF48</f>
        <v>2322000</v>
      </c>
      <c r="AK48" s="3098">
        <v>0</v>
      </c>
      <c r="AL48" s="161">
        <f>'[2]Phụ lục số 1'!AQ48</f>
        <v>2500000</v>
      </c>
      <c r="AM48" s="3129">
        <f>AL48/AF48*100</f>
        <v>107.66580534022394</v>
      </c>
      <c r="AN48" s="149">
        <v>0</v>
      </c>
      <c r="AO48" s="149">
        <f>SUM(AP48:AQ48)</f>
        <v>2500000</v>
      </c>
      <c r="AP48" s="149">
        <f>AL48</f>
        <v>2500000</v>
      </c>
      <c r="AQ48" s="149">
        <v>0</v>
      </c>
      <c r="AR48" s="757">
        <f>'[10]5 năm A'!$R$69</f>
        <v>2600000</v>
      </c>
      <c r="AS48" s="3130">
        <f>AR48/AL48*100</f>
        <v>104</v>
      </c>
      <c r="AT48" s="3103">
        <v>0</v>
      </c>
      <c r="AU48" s="3103">
        <f>SUM(AV48:AW48)</f>
        <v>2600000</v>
      </c>
      <c r="AV48" s="3103">
        <f>AR48</f>
        <v>2600000</v>
      </c>
      <c r="AW48" s="3103">
        <v>0</v>
      </c>
      <c r="AX48" s="192">
        <f>'[10]5 năm A'!$S$69</f>
        <v>2660000</v>
      </c>
      <c r="AY48" s="3130">
        <f>AX48/AR48*100</f>
        <v>102.30769230769229</v>
      </c>
      <c r="AZ48" s="3103">
        <v>0</v>
      </c>
      <c r="BA48" s="3103">
        <f>SUM(BB48:BC48)</f>
        <v>2660000</v>
      </c>
      <c r="BB48" s="3103">
        <f>AX48</f>
        <v>2660000</v>
      </c>
      <c r="BC48" s="3103">
        <v>0</v>
      </c>
      <c r="BD48" s="192">
        <f>'[10]5 năm A'!$T$69</f>
        <v>2710000</v>
      </c>
      <c r="BE48" s="3130">
        <f>BD48/AX48*100</f>
        <v>101.8796992481203</v>
      </c>
      <c r="BF48" s="3103">
        <v>0</v>
      </c>
      <c r="BG48" s="3103">
        <f>SUM(BH48:BI48)</f>
        <v>2710000</v>
      </c>
      <c r="BH48" s="3103">
        <f>BD48</f>
        <v>2710000</v>
      </c>
      <c r="BI48" s="3103">
        <v>0</v>
      </c>
      <c r="BJ48" s="192">
        <f>'[10]5 năm A'!$U$69</f>
        <v>2810000</v>
      </c>
      <c r="BK48" s="3130">
        <f>BJ48/BD48*100</f>
        <v>103.69003690036899</v>
      </c>
      <c r="BL48" s="3103">
        <v>0</v>
      </c>
      <c r="BM48" s="3103">
        <f>SUM(BN48:BO48)</f>
        <v>2810000</v>
      </c>
      <c r="BN48" s="3103">
        <f>BJ48</f>
        <v>2810000</v>
      </c>
      <c r="BO48" s="3103">
        <v>0</v>
      </c>
    </row>
    <row r="49" spans="1:67" s="3145" customFormat="1" ht="18.75" customHeight="1">
      <c r="A49" s="3142" t="s">
        <v>33</v>
      </c>
      <c r="B49" s="173" t="s">
        <v>34</v>
      </c>
      <c r="C49" s="173">
        <f t="shared" ref="C49:G49" si="107">SUM(C50:C51)</f>
        <v>110000</v>
      </c>
      <c r="D49" s="3143">
        <f t="shared" si="107"/>
        <v>110000</v>
      </c>
      <c r="E49" s="3143">
        <f t="shared" si="107"/>
        <v>0</v>
      </c>
      <c r="F49" s="3143">
        <f t="shared" si="107"/>
        <v>0</v>
      </c>
      <c r="G49" s="3143">
        <f t="shared" si="107"/>
        <v>0</v>
      </c>
      <c r="H49" s="174">
        <f>[13]thu!$G$87</f>
        <v>389783.37025500002</v>
      </c>
      <c r="I49" s="3088">
        <f t="shared" si="46"/>
        <v>354.34851841363638</v>
      </c>
      <c r="J49" s="3144">
        <f>H49</f>
        <v>389783.37025500002</v>
      </c>
      <c r="K49" s="3144">
        <f>H49-J49</f>
        <v>0</v>
      </c>
      <c r="L49" s="3144">
        <f>K49-M49</f>
        <v>0</v>
      </c>
      <c r="M49" s="3144">
        <v>0</v>
      </c>
      <c r="N49" s="174">
        <f>SUM(N50:N51)</f>
        <v>150000</v>
      </c>
      <c r="O49" s="3088">
        <f>N49/H49*100</f>
        <v>38.482914215110966</v>
      </c>
      <c r="P49" s="174">
        <f>N49</f>
        <v>150000</v>
      </c>
      <c r="Q49" s="174">
        <f>N49-P49</f>
        <v>0</v>
      </c>
      <c r="R49" s="174">
        <f>Q49-S49</f>
        <v>0</v>
      </c>
      <c r="S49" s="174">
        <v>0</v>
      </c>
      <c r="T49" s="174">
        <f>SUM(T50:T51)</f>
        <v>150745.51999999999</v>
      </c>
      <c r="U49" s="3096">
        <f t="shared" si="95"/>
        <v>100.49701333333331</v>
      </c>
      <c r="V49" s="174">
        <f>T49</f>
        <v>150745.51999999999</v>
      </c>
      <c r="W49" s="174">
        <f>T49-V49</f>
        <v>0</v>
      </c>
      <c r="X49" s="174">
        <f>W49-Y49</f>
        <v>0</v>
      </c>
      <c r="Y49" s="174">
        <v>0</v>
      </c>
      <c r="Z49" s="174">
        <f>SUM(Z50:Z51)</f>
        <v>200000</v>
      </c>
      <c r="AA49" s="3088">
        <f t="shared" ref="AA49:AA51" si="108">Z49/N49*100</f>
        <v>133.33333333333331</v>
      </c>
      <c r="AB49" s="174">
        <f>Z49</f>
        <v>200000</v>
      </c>
      <c r="AC49" s="174">
        <f>Z49-AB49</f>
        <v>0</v>
      </c>
      <c r="AD49" s="174">
        <f>AC49-AE49</f>
        <v>0</v>
      </c>
      <c r="AE49" s="174">
        <v>0</v>
      </c>
      <c r="AF49" s="174">
        <f>SUM(AF50:AF51)</f>
        <v>162500</v>
      </c>
      <c r="AG49" s="3088">
        <f t="shared" si="84"/>
        <v>81.25</v>
      </c>
      <c r="AH49" s="174">
        <f>AF49</f>
        <v>162500</v>
      </c>
      <c r="AI49" s="174">
        <f>AF49-AH49</f>
        <v>0</v>
      </c>
      <c r="AJ49" s="174">
        <f>AI49-AK49</f>
        <v>0</v>
      </c>
      <c r="AK49" s="174">
        <v>0</v>
      </c>
      <c r="AL49" s="174">
        <f>SUM(AL50:AL51)</f>
        <v>169000</v>
      </c>
      <c r="AM49" s="3129">
        <f>AL49/AF49*100</f>
        <v>104</v>
      </c>
      <c r="AN49" s="174">
        <f>SUM(AN50:AN51)</f>
        <v>169000</v>
      </c>
      <c r="AO49" s="174">
        <f>SUM(AO50:AO51)</f>
        <v>0</v>
      </c>
      <c r="AP49" s="174">
        <f>SUM(AP50:AP51)</f>
        <v>0</v>
      </c>
      <c r="AQ49" s="174">
        <f>SUM(AQ50:AQ51)</f>
        <v>0</v>
      </c>
      <c r="AR49" s="3089">
        <f>SUM(AR50:AR51)</f>
        <v>175999.6</v>
      </c>
      <c r="AS49" s="3130">
        <f>AR49/AL49*100</f>
        <v>104.141775147929</v>
      </c>
      <c r="AT49" s="3089">
        <f>SUM(AT50:AT51)</f>
        <v>175999.6</v>
      </c>
      <c r="AU49" s="3089">
        <f>SUM(AU50:AU51)</f>
        <v>0</v>
      </c>
      <c r="AV49" s="3089">
        <f>SUM(AV50:AV51)</f>
        <v>0</v>
      </c>
      <c r="AW49" s="3089">
        <f>SUM(AW50:AW51)</f>
        <v>0</v>
      </c>
      <c r="AX49" s="3089">
        <f>SUM(AX50:AX51)</f>
        <v>183500.18296000001</v>
      </c>
      <c r="AY49" s="3130">
        <f>AX49/AR49*100</f>
        <v>104.26170454932853</v>
      </c>
      <c r="AZ49" s="3089">
        <f>SUM(AZ50:AZ51)</f>
        <v>183500.18296000001</v>
      </c>
      <c r="BA49" s="3089">
        <f>SUM(BA50:BA51)</f>
        <v>0</v>
      </c>
      <c r="BB49" s="3089">
        <f>SUM(BB50:BB51)</f>
        <v>0</v>
      </c>
      <c r="BC49" s="3089">
        <f>SUM(BC50:BC51)</f>
        <v>0</v>
      </c>
      <c r="BD49" s="3089">
        <f>SUM(BD50:BD51)</f>
        <v>191499.79093705601</v>
      </c>
      <c r="BE49" s="3130">
        <f>BD49/AX49*100</f>
        <v>104.35945504141529</v>
      </c>
      <c r="BF49" s="3089">
        <f>SUM(BF50:BF51)</f>
        <v>191499.79093705601</v>
      </c>
      <c r="BG49" s="3089">
        <f>SUM(BG50:BG51)</f>
        <v>0</v>
      </c>
      <c r="BH49" s="3089">
        <f>SUM(BH50:BH51)</f>
        <v>0</v>
      </c>
      <c r="BI49" s="3089">
        <f>SUM(BI50:BI51)</f>
        <v>0</v>
      </c>
      <c r="BJ49" s="3089">
        <f>SUM(BJ50:BJ51)</f>
        <v>199999.78173828649</v>
      </c>
      <c r="BK49" s="3130">
        <f>BJ49/BD49*100</f>
        <v>104.43864233983646</v>
      </c>
      <c r="BL49" s="3089">
        <f>SUM(BL50:BL51)</f>
        <v>199999.78173828649</v>
      </c>
      <c r="BM49" s="3089">
        <f>SUM(BM50:BM51)</f>
        <v>0</v>
      </c>
      <c r="BN49" s="3089">
        <f>SUM(BN50:BN51)</f>
        <v>0</v>
      </c>
      <c r="BO49" s="3089">
        <f>SUM(BO50:BO51)</f>
        <v>0</v>
      </c>
    </row>
    <row r="50" spans="1:67" s="6" customFormat="1">
      <c r="A50" s="3146">
        <v>1</v>
      </c>
      <c r="B50" s="152" t="s">
        <v>1888</v>
      </c>
      <c r="C50" s="154">
        <v>40000</v>
      </c>
      <c r="D50" s="3117">
        <f>C50</f>
        <v>40000</v>
      </c>
      <c r="E50" s="3117">
        <v>0</v>
      </c>
      <c r="F50" s="3117">
        <v>0</v>
      </c>
      <c r="G50" s="3117">
        <v>0</v>
      </c>
      <c r="H50" s="154">
        <f>1000+36500</f>
        <v>37500</v>
      </c>
      <c r="I50" s="3111"/>
      <c r="J50" s="3147">
        <f>H50</f>
        <v>37500</v>
      </c>
      <c r="K50" s="3147">
        <v>0</v>
      </c>
      <c r="L50" s="3147">
        <v>0</v>
      </c>
      <c r="M50" s="3147">
        <v>0</v>
      </c>
      <c r="N50" s="154">
        <f>1000+38500</f>
        <v>39500</v>
      </c>
      <c r="O50" s="3111"/>
      <c r="P50" s="154">
        <f>N50</f>
        <v>39500</v>
      </c>
      <c r="Q50" s="154">
        <v>0</v>
      </c>
      <c r="R50" s="154">
        <v>0</v>
      </c>
      <c r="S50" s="154">
        <v>0</v>
      </c>
      <c r="T50" s="154">
        <f>'[2]Phụ lục số 1'!T49</f>
        <v>150745.51999999999</v>
      </c>
      <c r="U50" s="3088">
        <f t="shared" si="95"/>
        <v>381.63422784810126</v>
      </c>
      <c r="V50" s="154">
        <f>T50</f>
        <v>150745.51999999999</v>
      </c>
      <c r="W50" s="154">
        <v>0</v>
      </c>
      <c r="X50" s="154">
        <v>0</v>
      </c>
      <c r="Y50" s="154">
        <v>0</v>
      </c>
      <c r="Z50" s="154">
        <f>'[2]Phụ lục số 1'!AE49</f>
        <v>200000</v>
      </c>
      <c r="AA50" s="3111"/>
      <c r="AB50" s="154">
        <f>Z50</f>
        <v>200000</v>
      </c>
      <c r="AC50" s="154">
        <v>0</v>
      </c>
      <c r="AD50" s="154">
        <v>0</v>
      </c>
      <c r="AE50" s="154">
        <v>0</v>
      </c>
      <c r="AF50" s="154">
        <f>'[2]Phụ lục số 1'!AK49</f>
        <v>162500</v>
      </c>
      <c r="AG50" s="3111"/>
      <c r="AH50" s="154">
        <f>AF50</f>
        <v>162500</v>
      </c>
      <c r="AI50" s="154">
        <v>0</v>
      </c>
      <c r="AJ50" s="154">
        <v>0</v>
      </c>
      <c r="AK50" s="154">
        <v>0</v>
      </c>
      <c r="AL50" s="154">
        <f>'[2]Phụ lục số 1'!AQ49</f>
        <v>169000</v>
      </c>
      <c r="AM50" s="154">
        <v>0</v>
      </c>
      <c r="AN50" s="154">
        <f>AL50</f>
        <v>169000</v>
      </c>
      <c r="AO50" s="154">
        <v>0</v>
      </c>
      <c r="AP50" s="160"/>
      <c r="AQ50" s="160"/>
      <c r="AR50" s="3113">
        <f>AL50*1.0414+3</f>
        <v>175999.6</v>
      </c>
      <c r="AS50" s="3113">
        <v>0</v>
      </c>
      <c r="AT50" s="3113">
        <f>AR50</f>
        <v>175999.6</v>
      </c>
      <c r="AU50" s="3113">
        <v>0</v>
      </c>
      <c r="AV50" s="747"/>
      <c r="AW50" s="747"/>
      <c r="AX50" s="3113">
        <f>AR50*1.0426+3</f>
        <v>183500.18296000001</v>
      </c>
      <c r="AY50" s="3113">
        <v>0</v>
      </c>
      <c r="AZ50" s="3113">
        <f>AX50</f>
        <v>183500.18296000001</v>
      </c>
      <c r="BA50" s="3113">
        <v>0</v>
      </c>
      <c r="BB50" s="747"/>
      <c r="BC50" s="747"/>
      <c r="BD50" s="3113">
        <f>AX50*1.0436-1</f>
        <v>191499.79093705601</v>
      </c>
      <c r="BE50" s="3113">
        <v>0</v>
      </c>
      <c r="BF50" s="3113">
        <f>BD50</f>
        <v>191499.79093705601</v>
      </c>
      <c r="BG50" s="3113">
        <v>0</v>
      </c>
      <c r="BH50" s="747"/>
      <c r="BI50" s="747"/>
      <c r="BJ50" s="3113">
        <f>BD50*1.044+74</f>
        <v>199999.78173828649</v>
      </c>
      <c r="BK50" s="3113">
        <v>0</v>
      </c>
      <c r="BL50" s="3113">
        <f>BJ50</f>
        <v>199999.78173828649</v>
      </c>
      <c r="BM50" s="3113">
        <v>0</v>
      </c>
      <c r="BN50" s="747"/>
      <c r="BO50" s="747"/>
    </row>
    <row r="51" spans="1:67" s="6" customFormat="1">
      <c r="A51" s="3146">
        <v>2</v>
      </c>
      <c r="B51" s="152" t="s">
        <v>1889</v>
      </c>
      <c r="C51" s="154">
        <v>70000</v>
      </c>
      <c r="D51" s="3117">
        <f>C51</f>
        <v>70000</v>
      </c>
      <c r="E51" s="3117">
        <v>0</v>
      </c>
      <c r="F51" s="3117">
        <v>0</v>
      </c>
      <c r="G51" s="3117">
        <f>SUM(G52,G53)</f>
        <v>0</v>
      </c>
      <c r="H51" s="154">
        <f>102000+500</f>
        <v>102500</v>
      </c>
      <c r="I51" s="3111"/>
      <c r="J51" s="3147">
        <f>H51</f>
        <v>102500</v>
      </c>
      <c r="K51" s="3147">
        <v>0</v>
      </c>
      <c r="L51" s="3147">
        <v>0</v>
      </c>
      <c r="M51" s="3147">
        <v>0</v>
      </c>
      <c r="N51" s="154">
        <f>110000+500</f>
        <v>110500</v>
      </c>
      <c r="O51" s="3111">
        <f t="shared" si="60"/>
        <v>107.80487804878049</v>
      </c>
      <c r="P51" s="154">
        <f>N51</f>
        <v>110500</v>
      </c>
      <c r="Q51" s="154">
        <v>0</v>
      </c>
      <c r="R51" s="154">
        <v>0</v>
      </c>
      <c r="S51" s="154">
        <v>0</v>
      </c>
      <c r="T51" s="154"/>
      <c r="U51" s="3102">
        <f t="shared" ref="U51" si="109">T51/H51*100</f>
        <v>0</v>
      </c>
      <c r="V51" s="154">
        <f>T51</f>
        <v>0</v>
      </c>
      <c r="W51" s="154">
        <v>0</v>
      </c>
      <c r="X51" s="154">
        <v>0</v>
      </c>
      <c r="Y51" s="154">
        <v>0</v>
      </c>
      <c r="Z51" s="154"/>
      <c r="AA51" s="3111">
        <f t="shared" si="108"/>
        <v>0</v>
      </c>
      <c r="AB51" s="154">
        <f>Z51</f>
        <v>0</v>
      </c>
      <c r="AC51" s="154">
        <v>0</v>
      </c>
      <c r="AD51" s="154">
        <v>0</v>
      </c>
      <c r="AE51" s="154">
        <v>0</v>
      </c>
      <c r="AF51" s="154"/>
      <c r="AG51" s="3111" t="e">
        <f t="shared" si="84"/>
        <v>#DIV/0!</v>
      </c>
      <c r="AH51" s="154">
        <f>AF51</f>
        <v>0</v>
      </c>
      <c r="AI51" s="154">
        <v>0</v>
      </c>
      <c r="AJ51" s="154">
        <v>0</v>
      </c>
      <c r="AK51" s="154">
        <v>0</v>
      </c>
      <c r="AL51" s="154">
        <f>AF51*1.04</f>
        <v>0</v>
      </c>
      <c r="AM51" s="154">
        <v>0</v>
      </c>
      <c r="AN51" s="154">
        <f>AL51</f>
        <v>0</v>
      </c>
      <c r="AO51" s="154">
        <v>0</v>
      </c>
      <c r="AP51" s="160"/>
      <c r="AQ51" s="160"/>
      <c r="AR51" s="3113">
        <f>AL51*1.0414</f>
        <v>0</v>
      </c>
      <c r="AS51" s="3113">
        <v>0</v>
      </c>
      <c r="AT51" s="3113">
        <f>AR51</f>
        <v>0</v>
      </c>
      <c r="AU51" s="3113">
        <v>0</v>
      </c>
      <c r="AV51" s="747"/>
      <c r="AW51" s="747"/>
      <c r="AX51" s="3113">
        <f>AR51*1.0426</f>
        <v>0</v>
      </c>
      <c r="AY51" s="3113">
        <v>0</v>
      </c>
      <c r="AZ51" s="3113">
        <f>AX51</f>
        <v>0</v>
      </c>
      <c r="BA51" s="3113">
        <v>0</v>
      </c>
      <c r="BB51" s="747"/>
      <c r="BC51" s="747"/>
      <c r="BD51" s="3113">
        <f>AX51*1.0436</f>
        <v>0</v>
      </c>
      <c r="BE51" s="3113">
        <v>0</v>
      </c>
      <c r="BF51" s="3113">
        <f>BD51</f>
        <v>0</v>
      </c>
      <c r="BG51" s="3113">
        <v>0</v>
      </c>
      <c r="BH51" s="747"/>
      <c r="BI51" s="747"/>
      <c r="BJ51" s="3113">
        <f>BD51*1.044</f>
        <v>0</v>
      </c>
      <c r="BK51" s="3113">
        <v>0</v>
      </c>
      <c r="BL51" s="3113">
        <f>BJ51</f>
        <v>0</v>
      </c>
      <c r="BM51" s="3113">
        <v>0</v>
      </c>
      <c r="BN51" s="747"/>
      <c r="BO51" s="747"/>
    </row>
    <row r="52" spans="1:67" s="3091" customFormat="1">
      <c r="A52" s="3092" t="s">
        <v>37</v>
      </c>
      <c r="B52" s="3093" t="s">
        <v>38</v>
      </c>
      <c r="C52" s="3094">
        <f t="shared" ref="C52:H52" si="110">SUM(C53:C54)</f>
        <v>8016985</v>
      </c>
      <c r="D52" s="3148">
        <f t="shared" si="110"/>
        <v>0</v>
      </c>
      <c r="E52" s="3148">
        <f t="shared" si="110"/>
        <v>8016985</v>
      </c>
      <c r="F52" s="3148">
        <f>SUM(F53:F54)</f>
        <v>8016985</v>
      </c>
      <c r="G52" s="3148">
        <f t="shared" si="110"/>
        <v>0</v>
      </c>
      <c r="H52" s="3094">
        <f t="shared" si="110"/>
        <v>8067081.5071109999</v>
      </c>
      <c r="I52" s="3095">
        <f>H52/C52*100</f>
        <v>100.62487964129907</v>
      </c>
      <c r="J52" s="3149">
        <f>SUM(J53:J54)</f>
        <v>0</v>
      </c>
      <c r="K52" s="3149">
        <f>SUM(K53:K54)</f>
        <v>8067081.5071109999</v>
      </c>
      <c r="L52" s="3149">
        <f>SUM(L53:L54)</f>
        <v>8067081.5071109999</v>
      </c>
      <c r="M52" s="3149">
        <f>SUM(M53:M54)</f>
        <v>0</v>
      </c>
      <c r="N52" s="174">
        <f>SUM(N53:N54)</f>
        <v>9084495</v>
      </c>
      <c r="O52" s="3088"/>
      <c r="P52" s="174">
        <f>SUM(P53:P54)</f>
        <v>0</v>
      </c>
      <c r="Q52" s="174">
        <f>SUM(Q53:Q54)</f>
        <v>9084495</v>
      </c>
      <c r="R52" s="174">
        <f>SUM(R53:R54)</f>
        <v>9084495</v>
      </c>
      <c r="S52" s="174">
        <f>SUM(S53:S54)</f>
        <v>0</v>
      </c>
      <c r="T52" s="174">
        <f>SUM(T53:T54)</f>
        <v>9084495</v>
      </c>
      <c r="U52" s="3096">
        <f t="shared" ref="U52:U54" si="111">T52/N52*100</f>
        <v>100</v>
      </c>
      <c r="V52" s="174">
        <f>SUM(V53:V54)</f>
        <v>0</v>
      </c>
      <c r="W52" s="174">
        <f>SUM(W53:W54)</f>
        <v>9084495</v>
      </c>
      <c r="X52" s="174">
        <f>SUM(X53:X54)</f>
        <v>9084495</v>
      </c>
      <c r="Y52" s="174">
        <f>SUM(Y53:Y54)</f>
        <v>0</v>
      </c>
      <c r="Z52" s="3094">
        <f>SUM(Z53:Z54)</f>
        <v>8476464</v>
      </c>
      <c r="AA52" s="3095"/>
      <c r="AB52" s="3094">
        <f>SUM(AB53:AB54)</f>
        <v>0</v>
      </c>
      <c r="AC52" s="3094">
        <f>SUM(AC53:AC54)</f>
        <v>8476464</v>
      </c>
      <c r="AD52" s="3094">
        <f>SUM(AD53:AD54)</f>
        <v>8476464</v>
      </c>
      <c r="AE52" s="3094">
        <f>SUM(AE53:AE54)</f>
        <v>0</v>
      </c>
      <c r="AF52" s="3094">
        <f>SUM(AF53:AF54)</f>
        <v>8996673.3000000007</v>
      </c>
      <c r="AG52" s="3095"/>
      <c r="AH52" s="3094">
        <f>SUM(AH53:AH54)</f>
        <v>0</v>
      </c>
      <c r="AI52" s="3094">
        <f>SUM(AI53:AI54)</f>
        <v>8996673.3000000007</v>
      </c>
      <c r="AJ52" s="3094">
        <f>SUM(AJ53:AJ54)</f>
        <v>8996673.3000000007</v>
      </c>
      <c r="AK52" s="3094">
        <f>SUM(AK53:AK54)</f>
        <v>0</v>
      </c>
      <c r="AL52" s="174">
        <f>SUM(AL53:AL54)</f>
        <v>8996673.3000000007</v>
      </c>
      <c r="AM52" s="3088"/>
      <c r="AN52" s="174">
        <f>SUM(AN53:AN54)</f>
        <v>0</v>
      </c>
      <c r="AO52" s="174">
        <f>SUM(AO53:AO54)</f>
        <v>8996673.3000000007</v>
      </c>
      <c r="AP52" s="174">
        <f>SUM(AP53:AP54)</f>
        <v>8996673.3000000007</v>
      </c>
      <c r="AQ52" s="174">
        <f>SUM(AQ53:AQ54)</f>
        <v>0</v>
      </c>
      <c r="AR52" s="3089">
        <f>SUM(AR53:AR54)</f>
        <v>8866973.3000000007</v>
      </c>
      <c r="AS52" s="3090"/>
      <c r="AT52" s="3089">
        <f>SUM(AT53:AT54)</f>
        <v>0</v>
      </c>
      <c r="AU52" s="3089">
        <f>SUM(AU53:AU54)</f>
        <v>8866973.3000000007</v>
      </c>
      <c r="AV52" s="3089">
        <f>SUM(AV53:AV54)</f>
        <v>8866973.3000000007</v>
      </c>
      <c r="AW52" s="3089">
        <f>SUM(AW53:AW54)</f>
        <v>0</v>
      </c>
      <c r="AX52" s="3089">
        <f>SUM(AX53:AX54)</f>
        <v>8866973.3000000007</v>
      </c>
      <c r="AY52" s="3090"/>
      <c r="AZ52" s="3089">
        <f>SUM(AZ53:AZ54)</f>
        <v>0</v>
      </c>
      <c r="BA52" s="3089">
        <f>SUM(BA53:BA54)</f>
        <v>8866973.3000000007</v>
      </c>
      <c r="BB52" s="3089">
        <f>SUM(BB53:BB54)</f>
        <v>8866973.3000000007</v>
      </c>
      <c r="BC52" s="3089">
        <f>SUM(BC53:BC54)</f>
        <v>0</v>
      </c>
      <c r="BD52" s="3089">
        <f>SUM(BD53:BD54)</f>
        <v>8866973.3000000007</v>
      </c>
      <c r="BE52" s="3090"/>
      <c r="BF52" s="3089">
        <f>SUM(BF53:BF54)</f>
        <v>0</v>
      </c>
      <c r="BG52" s="3089">
        <f>SUM(BG53:BG54)</f>
        <v>8866973.3000000007</v>
      </c>
      <c r="BH52" s="3089">
        <f>SUM(BH53:BH54)</f>
        <v>8866973.3000000007</v>
      </c>
      <c r="BI52" s="3089">
        <f>SUM(BI53:BI54)</f>
        <v>0</v>
      </c>
      <c r="BJ52" s="3089">
        <f>SUM(BJ53:BJ54)</f>
        <v>8866973.3000000007</v>
      </c>
      <c r="BK52" s="3090"/>
      <c r="BL52" s="3089">
        <f>SUM(BL53:BL54)</f>
        <v>0</v>
      </c>
      <c r="BM52" s="3089">
        <f>SUM(BM53:BM54)</f>
        <v>8866973.3000000007</v>
      </c>
      <c r="BN52" s="3089">
        <f>SUM(BN53:BN54)</f>
        <v>8866973.3000000007</v>
      </c>
      <c r="BO52" s="3089">
        <f>SUM(BO53:BO54)</f>
        <v>0</v>
      </c>
    </row>
    <row r="53" spans="1:67" s="3091" customFormat="1">
      <c r="A53" s="3092" t="s">
        <v>3</v>
      </c>
      <c r="B53" s="3093" t="s">
        <v>39</v>
      </c>
      <c r="C53" s="3094">
        <v>6803512</v>
      </c>
      <c r="D53" s="3148"/>
      <c r="E53" s="3148">
        <f>F53+G53</f>
        <v>6803512</v>
      </c>
      <c r="F53" s="3148">
        <f>C53</f>
        <v>6803512</v>
      </c>
      <c r="G53" s="3148">
        <v>0</v>
      </c>
      <c r="H53" s="3094">
        <f>[13]thu!$J$118</f>
        <v>6803512</v>
      </c>
      <c r="I53" s="3095"/>
      <c r="J53" s="3149">
        <v>0</v>
      </c>
      <c r="K53" s="3149">
        <f>H53</f>
        <v>6803512</v>
      </c>
      <c r="L53" s="3149">
        <f>K53</f>
        <v>6803512</v>
      </c>
      <c r="M53" s="3149">
        <v>0</v>
      </c>
      <c r="N53" s="174">
        <f>Q53</f>
        <v>6487488</v>
      </c>
      <c r="O53" s="3088"/>
      <c r="P53" s="174">
        <v>0</v>
      </c>
      <c r="Q53" s="174">
        <f>R53+S53</f>
        <v>6487488</v>
      </c>
      <c r="R53" s="174">
        <f>INT(13141488-6654000)</f>
        <v>6487488</v>
      </c>
      <c r="S53" s="174">
        <v>0</v>
      </c>
      <c r="T53" s="174">
        <f>W53</f>
        <v>6487488</v>
      </c>
      <c r="U53" s="3096">
        <f t="shared" si="111"/>
        <v>100</v>
      </c>
      <c r="V53" s="174">
        <v>0</v>
      </c>
      <c r="W53" s="149">
        <f>X53+Y53</f>
        <v>6487488</v>
      </c>
      <c r="X53" s="174">
        <f>R53</f>
        <v>6487488</v>
      </c>
      <c r="Y53" s="174">
        <v>0</v>
      </c>
      <c r="Z53" s="3094">
        <f>$N$53</f>
        <v>6487488</v>
      </c>
      <c r="AA53" s="3095"/>
      <c r="AB53" s="3094">
        <v>0</v>
      </c>
      <c r="AC53" s="3094">
        <f>Z53</f>
        <v>6487488</v>
      </c>
      <c r="AD53" s="3094">
        <f>AC53</f>
        <v>6487488</v>
      </c>
      <c r="AE53" s="3094">
        <v>0</v>
      </c>
      <c r="AF53" s="3094">
        <f>'[2]Phụ lục số 1'!AK53</f>
        <v>6617188</v>
      </c>
      <c r="AG53" s="3095"/>
      <c r="AH53" s="3094">
        <v>0</v>
      </c>
      <c r="AI53" s="3094">
        <f>AF53</f>
        <v>6617188</v>
      </c>
      <c r="AJ53" s="3094">
        <f>AI53</f>
        <v>6617188</v>
      </c>
      <c r="AK53" s="3094">
        <v>0</v>
      </c>
      <c r="AL53" s="174">
        <f>'[2]Phụ lục số 1'!AQ53</f>
        <v>6617188</v>
      </c>
      <c r="AM53" s="3088"/>
      <c r="AN53" s="174">
        <v>0</v>
      </c>
      <c r="AO53" s="174">
        <f>AL53</f>
        <v>6617188</v>
      </c>
      <c r="AP53" s="174">
        <f>AO53</f>
        <v>6617188</v>
      </c>
      <c r="AQ53" s="174">
        <v>0</v>
      </c>
      <c r="AR53" s="3089">
        <f>$N$53</f>
        <v>6487488</v>
      </c>
      <c r="AS53" s="3090"/>
      <c r="AT53" s="3089">
        <v>0</v>
      </c>
      <c r="AU53" s="3089">
        <f>AR53</f>
        <v>6487488</v>
      </c>
      <c r="AV53" s="3089">
        <f>AU53</f>
        <v>6487488</v>
      </c>
      <c r="AW53" s="3089">
        <v>0</v>
      </c>
      <c r="AX53" s="3089">
        <f>$N$53</f>
        <v>6487488</v>
      </c>
      <c r="AY53" s="3090"/>
      <c r="AZ53" s="3089">
        <v>0</v>
      </c>
      <c r="BA53" s="3089">
        <f>AX53</f>
        <v>6487488</v>
      </c>
      <c r="BB53" s="3089">
        <f>BA53</f>
        <v>6487488</v>
      </c>
      <c r="BC53" s="3089">
        <v>0</v>
      </c>
      <c r="BD53" s="3089">
        <f>$N$53</f>
        <v>6487488</v>
      </c>
      <c r="BE53" s="3090"/>
      <c r="BF53" s="3089">
        <v>0</v>
      </c>
      <c r="BG53" s="3089">
        <f>BD53</f>
        <v>6487488</v>
      </c>
      <c r="BH53" s="3089">
        <f>BG53</f>
        <v>6487488</v>
      </c>
      <c r="BI53" s="3089">
        <v>0</v>
      </c>
      <c r="BJ53" s="3089">
        <f>$N$53</f>
        <v>6487488</v>
      </c>
      <c r="BK53" s="3090"/>
      <c r="BL53" s="3089">
        <v>0</v>
      </c>
      <c r="BM53" s="3089">
        <f>BJ53</f>
        <v>6487488</v>
      </c>
      <c r="BN53" s="3089">
        <f>BM53</f>
        <v>6487488</v>
      </c>
      <c r="BO53" s="3089">
        <v>0</v>
      </c>
    </row>
    <row r="54" spans="1:67" s="3091" customFormat="1">
      <c r="A54" s="3092" t="s">
        <v>33</v>
      </c>
      <c r="B54" s="3093" t="s">
        <v>41</v>
      </c>
      <c r="C54" s="3094">
        <f t="shared" ref="C54:H54" si="112">SUM(C55:C56)</f>
        <v>1213473</v>
      </c>
      <c r="D54" s="3094">
        <f t="shared" si="112"/>
        <v>0</v>
      </c>
      <c r="E54" s="3094">
        <f t="shared" si="112"/>
        <v>1213473</v>
      </c>
      <c r="F54" s="3094">
        <f t="shared" si="112"/>
        <v>1213473</v>
      </c>
      <c r="G54" s="3094">
        <f t="shared" si="112"/>
        <v>0</v>
      </c>
      <c r="H54" s="3094">
        <f t="shared" si="112"/>
        <v>1263569.5071109999</v>
      </c>
      <c r="I54" s="3095"/>
      <c r="J54" s="3149">
        <f>SUM(J55:J56)</f>
        <v>0</v>
      </c>
      <c r="K54" s="3149">
        <f>H54</f>
        <v>1263569.5071109999</v>
      </c>
      <c r="L54" s="3149">
        <f>K54</f>
        <v>1263569.5071109999</v>
      </c>
      <c r="M54" s="3149">
        <f>SUM(M55:M56)</f>
        <v>0</v>
      </c>
      <c r="N54" s="174">
        <f>SUM(N55:N56)</f>
        <v>2597007</v>
      </c>
      <c r="O54" s="3088"/>
      <c r="P54" s="174">
        <f>SUM(P55:P56)</f>
        <v>0</v>
      </c>
      <c r="Q54" s="174">
        <f>SUM(Q55:Q56)</f>
        <v>2597007</v>
      </c>
      <c r="R54" s="174">
        <f>SUM(R55:R56)</f>
        <v>2597007</v>
      </c>
      <c r="S54" s="174">
        <f>SUM(S55:S56)</f>
        <v>0</v>
      </c>
      <c r="T54" s="174">
        <f>SUM(T55:T56)</f>
        <v>2597007</v>
      </c>
      <c r="U54" s="3088">
        <f t="shared" si="111"/>
        <v>100</v>
      </c>
      <c r="V54" s="174">
        <f>SUM(V55:V56)</f>
        <v>0</v>
      </c>
      <c r="W54" s="174">
        <f>SUM(W55:W56)</f>
        <v>2597007</v>
      </c>
      <c r="X54" s="174">
        <f>SUM(X55:X56)</f>
        <v>2597007</v>
      </c>
      <c r="Y54" s="174">
        <f>SUM(Y55:Y56)</f>
        <v>0</v>
      </c>
      <c r="Z54" s="3094">
        <f>SUM(Z55:Z56)</f>
        <v>1988976</v>
      </c>
      <c r="AA54" s="3095"/>
      <c r="AB54" s="3094">
        <f>SUM(AB55:AB56)</f>
        <v>0</v>
      </c>
      <c r="AC54" s="3094">
        <f>SUM(AC55:AC56)</f>
        <v>1988976</v>
      </c>
      <c r="AD54" s="3094">
        <f>SUM(AD55:AD56)</f>
        <v>1988976</v>
      </c>
      <c r="AE54" s="3094">
        <f>SUM(AE55:AE56)</f>
        <v>0</v>
      </c>
      <c r="AF54" s="3094">
        <f>SUM(AF55:AF56)</f>
        <v>2379485.2999999998</v>
      </c>
      <c r="AG54" s="3095"/>
      <c r="AH54" s="3094">
        <f>SUM(AH55:AH56)</f>
        <v>0</v>
      </c>
      <c r="AI54" s="3094">
        <f>SUM(AI55:AI56)</f>
        <v>2379485.2999999998</v>
      </c>
      <c r="AJ54" s="3094">
        <f>SUM(AJ55:AJ56)</f>
        <v>2379485.2999999998</v>
      </c>
      <c r="AK54" s="3094">
        <f>SUM(AK55:AK56)</f>
        <v>0</v>
      </c>
      <c r="AL54" s="174">
        <f>SUM(AL55:AL56)</f>
        <v>2379485.2999999998</v>
      </c>
      <c r="AM54" s="3088"/>
      <c r="AN54" s="174">
        <f>SUM(AN55:AN56)</f>
        <v>0</v>
      </c>
      <c r="AO54" s="174">
        <f>SUM(AO55:AO56)</f>
        <v>2379485.2999999998</v>
      </c>
      <c r="AP54" s="174">
        <f>SUM(AP55:AP56)</f>
        <v>2379485.2999999998</v>
      </c>
      <c r="AQ54" s="174">
        <f>SUM(AQ55:AQ56)</f>
        <v>0</v>
      </c>
      <c r="AR54" s="3089">
        <f>SUM(AR55:AR56)</f>
        <v>2379485.2999999998</v>
      </c>
      <c r="AS54" s="3090"/>
      <c r="AT54" s="3089">
        <f>SUM(AT55:AT56)</f>
        <v>0</v>
      </c>
      <c r="AU54" s="3089">
        <f>SUM(AU55:AU56)</f>
        <v>2379485.2999999998</v>
      </c>
      <c r="AV54" s="3089">
        <f>SUM(AV55:AV56)</f>
        <v>2379485.2999999998</v>
      </c>
      <c r="AW54" s="3089">
        <f>SUM(AW55:AW56)</f>
        <v>0</v>
      </c>
      <c r="AX54" s="3089">
        <f>SUM(AX55:AX56)</f>
        <v>2379485.2999999998</v>
      </c>
      <c r="AY54" s="3090"/>
      <c r="AZ54" s="3089">
        <f>SUM(AZ55:AZ56)</f>
        <v>0</v>
      </c>
      <c r="BA54" s="3089">
        <f>SUM(BA55:BA56)</f>
        <v>2379485.2999999998</v>
      </c>
      <c r="BB54" s="3089">
        <f>SUM(BB55:BB56)</f>
        <v>2379485.2999999998</v>
      </c>
      <c r="BC54" s="3089">
        <f>SUM(BC55:BC56)</f>
        <v>0</v>
      </c>
      <c r="BD54" s="3089">
        <f>SUM(BD55:BD56)</f>
        <v>2379485.2999999998</v>
      </c>
      <c r="BE54" s="3090"/>
      <c r="BF54" s="3089">
        <f>SUM(BF55:BF56)</f>
        <v>0</v>
      </c>
      <c r="BG54" s="3089">
        <f>SUM(BG55:BG56)</f>
        <v>2379485.2999999998</v>
      </c>
      <c r="BH54" s="3089">
        <f>SUM(BH55:BH56)</f>
        <v>2379485.2999999998</v>
      </c>
      <c r="BI54" s="3089">
        <f>SUM(BI55:BI56)</f>
        <v>0</v>
      </c>
      <c r="BJ54" s="3089">
        <f>SUM(BJ55:BJ56)</f>
        <v>2379485.2999999998</v>
      </c>
      <c r="BK54" s="3090"/>
      <c r="BL54" s="3089">
        <f>SUM(BL55:BL56)</f>
        <v>0</v>
      </c>
      <c r="BM54" s="3089">
        <f>SUM(BM55:BM56)</f>
        <v>2379485.2999999998</v>
      </c>
      <c r="BN54" s="3089">
        <f>SUM(BN55:BN56)</f>
        <v>2379485.2999999998</v>
      </c>
      <c r="BO54" s="3089">
        <f>SUM(BO55:BO56)</f>
        <v>0</v>
      </c>
    </row>
    <row r="55" spans="1:67" s="3156" customFormat="1">
      <c r="A55" s="1540">
        <v>1</v>
      </c>
      <c r="B55" s="3150" t="s">
        <v>1890</v>
      </c>
      <c r="C55" s="3151">
        <v>1127000</v>
      </c>
      <c r="D55" s="3106">
        <v>0</v>
      </c>
      <c r="E55" s="3106">
        <f>F55+G55</f>
        <v>1127000</v>
      </c>
      <c r="F55" s="3106">
        <f>C55</f>
        <v>1127000</v>
      </c>
      <c r="G55" s="3106">
        <v>0</v>
      </c>
      <c r="H55" s="3113">
        <f>[13]thu!$J$119</f>
        <v>1263569.5071109999</v>
      </c>
      <c r="I55" s="3109"/>
      <c r="J55" s="3110">
        <v>0</v>
      </c>
      <c r="K55" s="3110">
        <f>H55-J55</f>
        <v>1263569.5071109999</v>
      </c>
      <c r="L55" s="3110">
        <f>K55-M55</f>
        <v>1263569.5071109999</v>
      </c>
      <c r="M55" s="3110">
        <v>0</v>
      </c>
      <c r="N55" s="154">
        <f>'[11]Phụ lục số 8'!D7</f>
        <v>2417971</v>
      </c>
      <c r="O55" s="3111"/>
      <c r="P55" s="154">
        <v>0</v>
      </c>
      <c r="Q55" s="154">
        <f>R55+S55</f>
        <v>2417971</v>
      </c>
      <c r="R55" s="154">
        <f>N55</f>
        <v>2417971</v>
      </c>
      <c r="S55" s="154">
        <v>0</v>
      </c>
      <c r="T55" s="154">
        <f>'[2]Phụ lục số 1'!T56</f>
        <v>2417971</v>
      </c>
      <c r="U55" s="3102">
        <f t="shared" ref="U55" si="113">T55/H55*100</f>
        <v>191.36034752282055</v>
      </c>
      <c r="V55" s="154">
        <v>0</v>
      </c>
      <c r="W55" s="154">
        <f>X55+Y55</f>
        <v>2417971</v>
      </c>
      <c r="X55" s="149">
        <f>'[2]Phụ lục số 1'!X56</f>
        <v>2417971</v>
      </c>
      <c r="Y55" s="149">
        <f>'[2]Phụ lục số 1'!Y56</f>
        <v>0</v>
      </c>
      <c r="Z55" s="3106">
        <f>AC55</f>
        <v>1814491</v>
      </c>
      <c r="AA55" s="3109"/>
      <c r="AB55" s="3106">
        <v>0</v>
      </c>
      <c r="AC55" s="3106">
        <f>SUM(AD55:AE55)</f>
        <v>1814491</v>
      </c>
      <c r="AD55" s="3106">
        <f>'[2]Phụ lục số 1'!AI56</f>
        <v>1814491</v>
      </c>
      <c r="AE55" s="3106">
        <f>'[2]Phụ lục số 1'!AJ56</f>
        <v>0</v>
      </c>
      <c r="AF55" s="3106">
        <f>'[2]Phụ lục số 1'!AK56</f>
        <v>2205000</v>
      </c>
      <c r="AG55" s="3109"/>
      <c r="AH55" s="3106">
        <v>0</v>
      </c>
      <c r="AI55" s="3106">
        <f>SUM(AJ55:AK55)</f>
        <v>2205000</v>
      </c>
      <c r="AJ55" s="3106">
        <f>'[2]Phụ lục số 1'!AO56</f>
        <v>2205000</v>
      </c>
      <c r="AK55" s="3106">
        <f>'[2]Phụ lục số 1'!AP56</f>
        <v>0</v>
      </c>
      <c r="AL55" s="160">
        <f>'[2]Phụ lục số 1'!AQ56</f>
        <v>2205000</v>
      </c>
      <c r="AM55" s="3152"/>
      <c r="AN55" s="3152"/>
      <c r="AO55" s="154">
        <f>SUM(AP55:AQ55)</f>
        <v>2205000</v>
      </c>
      <c r="AP55" s="3153">
        <f>'[2]Phụ lục số 1'!AU56</f>
        <v>2205000</v>
      </c>
      <c r="AQ55" s="3153">
        <f>'[2]Phụ lục số 1'!AV56</f>
        <v>0</v>
      </c>
      <c r="AR55" s="747">
        <f>AL55</f>
        <v>2205000</v>
      </c>
      <c r="AS55" s="3154"/>
      <c r="AT55" s="3154"/>
      <c r="AU55" s="3113">
        <f>AR55-AT55</f>
        <v>2205000</v>
      </c>
      <c r="AV55" s="3155">
        <f>AR55</f>
        <v>2205000</v>
      </c>
      <c r="AW55" s="3154"/>
      <c r="AX55" s="747">
        <f>AR55</f>
        <v>2205000</v>
      </c>
      <c r="AY55" s="3154"/>
      <c r="AZ55" s="3154"/>
      <c r="BA55" s="3113">
        <f>AX55-AZ55</f>
        <v>2205000</v>
      </c>
      <c r="BB55" s="3155">
        <f>AX55</f>
        <v>2205000</v>
      </c>
      <c r="BC55" s="3154"/>
      <c r="BD55" s="747">
        <f>AX55</f>
        <v>2205000</v>
      </c>
      <c r="BE55" s="3154"/>
      <c r="BF55" s="3154"/>
      <c r="BG55" s="3113">
        <f>BD55-BF55</f>
        <v>2205000</v>
      </c>
      <c r="BH55" s="3155">
        <f>BD55</f>
        <v>2205000</v>
      </c>
      <c r="BI55" s="3154"/>
      <c r="BJ55" s="747">
        <f>BD55</f>
        <v>2205000</v>
      </c>
      <c r="BK55" s="3154"/>
      <c r="BL55" s="3154"/>
      <c r="BM55" s="3113">
        <f>BJ55-BL55</f>
        <v>2205000</v>
      </c>
      <c r="BN55" s="3155">
        <f>BJ55</f>
        <v>2205000</v>
      </c>
      <c r="BO55" s="3154"/>
    </row>
    <row r="56" spans="1:67" s="3156" customFormat="1">
      <c r="A56" s="1540">
        <v>2</v>
      </c>
      <c r="B56" s="37" t="s">
        <v>43</v>
      </c>
      <c r="C56" s="3151">
        <v>86473</v>
      </c>
      <c r="D56" s="3106"/>
      <c r="E56" s="3106">
        <f>F56+G56</f>
        <v>86473</v>
      </c>
      <c r="F56" s="3106">
        <f>C56</f>
        <v>86473</v>
      </c>
      <c r="G56" s="3106">
        <v>0</v>
      </c>
      <c r="H56" s="3106">
        <v>0</v>
      </c>
      <c r="I56" s="3109"/>
      <c r="J56" s="3110">
        <v>0</v>
      </c>
      <c r="K56" s="3110">
        <f>H56-J56</f>
        <v>0</v>
      </c>
      <c r="L56" s="3110">
        <f>K56-M56</f>
        <v>0</v>
      </c>
      <c r="M56" s="3110">
        <v>0</v>
      </c>
      <c r="N56" s="154">
        <f>'[11]Phụ lục số 8'!E7</f>
        <v>179036</v>
      </c>
      <c r="O56" s="3111"/>
      <c r="P56" s="154"/>
      <c r="Q56" s="154">
        <f>R56+S56</f>
        <v>179036</v>
      </c>
      <c r="R56" s="154">
        <f>N56</f>
        <v>179036</v>
      </c>
      <c r="S56" s="154">
        <v>0</v>
      </c>
      <c r="T56" s="154">
        <f>'[2]Phụ lục số 1'!T57</f>
        <v>179036</v>
      </c>
      <c r="U56" s="3096">
        <f t="shared" ref="U56:U59" si="114">T56/N56*100</f>
        <v>100</v>
      </c>
      <c r="V56" s="154">
        <v>0</v>
      </c>
      <c r="W56" s="154">
        <f>X56+Y56</f>
        <v>179036</v>
      </c>
      <c r="X56" s="149">
        <f>'[2]Phụ lục số 1'!X57</f>
        <v>179036</v>
      </c>
      <c r="Y56" s="149">
        <f>'[2]Phụ lục số 1'!Y57</f>
        <v>0</v>
      </c>
      <c r="Z56" s="3106">
        <f t="shared" ref="Z56:Z59" si="115">AC56</f>
        <v>174485</v>
      </c>
      <c r="AA56" s="3109"/>
      <c r="AB56" s="3106">
        <v>0</v>
      </c>
      <c r="AC56" s="3106">
        <f t="shared" ref="AC56:AC59" si="116">SUM(AD56:AE56)</f>
        <v>174485</v>
      </c>
      <c r="AD56" s="3106">
        <f>'[2]Phụ lục số 1'!AI57</f>
        <v>174485</v>
      </c>
      <c r="AE56" s="3106">
        <f>'[2]Phụ lục số 1'!AJ57</f>
        <v>0</v>
      </c>
      <c r="AF56" s="3106">
        <f>'[2]Phụ lục số 1'!AK57</f>
        <v>174485.3</v>
      </c>
      <c r="AG56" s="3109"/>
      <c r="AH56" s="3106">
        <v>0</v>
      </c>
      <c r="AI56" s="3106">
        <f t="shared" ref="AI56:AI59" si="117">SUM(AJ56:AK56)</f>
        <v>174485.3</v>
      </c>
      <c r="AJ56" s="3106">
        <f>'[2]Phụ lục số 1'!AO57</f>
        <v>174485.3</v>
      </c>
      <c r="AK56" s="3106">
        <f>'[2]Phụ lục số 1'!AP57</f>
        <v>0</v>
      </c>
      <c r="AL56" s="160">
        <f>'[2]Phụ lục số 1'!AQ57</f>
        <v>174485.3</v>
      </c>
      <c r="AM56" s="3152"/>
      <c r="AN56" s="3152"/>
      <c r="AO56" s="154">
        <f>SUM(AP56:AQ56)</f>
        <v>174485.3</v>
      </c>
      <c r="AP56" s="3153">
        <f>'[2]Phụ lục số 1'!AU57</f>
        <v>174485.3</v>
      </c>
      <c r="AQ56" s="3153">
        <f>'[2]Phụ lục số 1'!AV57</f>
        <v>0</v>
      </c>
      <c r="AR56" s="1328">
        <f>AL56</f>
        <v>174485.3</v>
      </c>
      <c r="AS56" s="3154"/>
      <c r="AT56" s="3154"/>
      <c r="AU56" s="3113">
        <f>AR56-AT56</f>
        <v>174485.3</v>
      </c>
      <c r="AV56" s="3155">
        <f>AR56</f>
        <v>174485.3</v>
      </c>
      <c r="AW56" s="3154"/>
      <c r="AX56" s="1328">
        <f>AR56</f>
        <v>174485.3</v>
      </c>
      <c r="AY56" s="3154"/>
      <c r="AZ56" s="3154"/>
      <c r="BA56" s="3113">
        <f>AX56-AZ56</f>
        <v>174485.3</v>
      </c>
      <c r="BB56" s="3155">
        <f>AX56</f>
        <v>174485.3</v>
      </c>
      <c r="BC56" s="3154"/>
      <c r="BD56" s="1328">
        <f>AX56</f>
        <v>174485.3</v>
      </c>
      <c r="BE56" s="3154"/>
      <c r="BF56" s="3154"/>
      <c r="BG56" s="3113">
        <f>BD56-BF56</f>
        <v>174485.3</v>
      </c>
      <c r="BH56" s="3155">
        <f>BD56</f>
        <v>174485.3</v>
      </c>
      <c r="BI56" s="3154"/>
      <c r="BJ56" s="1328">
        <f>BD56</f>
        <v>174485.3</v>
      </c>
      <c r="BK56" s="3154"/>
      <c r="BL56" s="3154"/>
      <c r="BM56" s="3113">
        <f>BJ56-BL56</f>
        <v>174485.3</v>
      </c>
      <c r="BN56" s="3155">
        <f>BJ56</f>
        <v>174485.3</v>
      </c>
      <c r="BO56" s="3154"/>
    </row>
    <row r="57" spans="1:67" s="3156" customFormat="1">
      <c r="A57" s="1540">
        <v>3</v>
      </c>
      <c r="B57" s="37"/>
      <c r="C57" s="3151"/>
      <c r="D57" s="3106"/>
      <c r="E57" s="3106"/>
      <c r="F57" s="3106"/>
      <c r="G57" s="3106"/>
      <c r="H57" s="3106"/>
      <c r="I57" s="3109"/>
      <c r="J57" s="3110"/>
      <c r="K57" s="3110"/>
      <c r="L57" s="3110"/>
      <c r="M57" s="3110"/>
      <c r="N57" s="154"/>
      <c r="O57" s="3111"/>
      <c r="P57" s="154"/>
      <c r="Q57" s="154"/>
      <c r="R57" s="154"/>
      <c r="S57" s="154"/>
      <c r="T57" s="154">
        <f>'[2]Phụ lục số 1'!T58</f>
        <v>0</v>
      </c>
      <c r="U57" s="3096"/>
      <c r="V57" s="154"/>
      <c r="W57" s="154"/>
      <c r="X57" s="149">
        <f>'[2]Phụ lục số 1'!X58</f>
        <v>0</v>
      </c>
      <c r="Y57" s="149">
        <f>'[2]Phụ lục số 1'!Y58</f>
        <v>0</v>
      </c>
      <c r="Z57" s="3106">
        <f t="shared" si="115"/>
        <v>650315</v>
      </c>
      <c r="AA57" s="3109"/>
      <c r="AB57" s="3106"/>
      <c r="AC57" s="3106">
        <f t="shared" si="116"/>
        <v>650315</v>
      </c>
      <c r="AD57" s="3106">
        <f>'[2]Phụ lục số 1'!AI58</f>
        <v>650315</v>
      </c>
      <c r="AE57" s="3106">
        <f>'[2]Phụ lục số 1'!AJ58</f>
        <v>0</v>
      </c>
      <c r="AF57" s="3106">
        <f>'[2]Phụ lục số 1'!AK58</f>
        <v>650315</v>
      </c>
      <c r="AG57" s="3109"/>
      <c r="AH57" s="3106"/>
      <c r="AI57" s="3106">
        <f t="shared" si="117"/>
        <v>650315</v>
      </c>
      <c r="AJ57" s="3106">
        <f>'[2]Phụ lục số 1'!AO58</f>
        <v>650315</v>
      </c>
      <c r="AK57" s="3106">
        <f>'[2]Phụ lục số 1'!AP58</f>
        <v>0</v>
      </c>
      <c r="AL57" s="160">
        <f>'[2]Phụ lục số 1'!AQ58</f>
        <v>650315</v>
      </c>
      <c r="AM57" s="3152"/>
      <c r="AN57" s="3152"/>
      <c r="AO57" s="154">
        <f t="shared" ref="AO57:AO59" si="118">SUM(AP57:AQ57)</f>
        <v>650315</v>
      </c>
      <c r="AP57" s="3153">
        <f>'[2]Phụ lục số 1'!AU58</f>
        <v>650315</v>
      </c>
      <c r="AQ57" s="3153">
        <f>'[2]Phụ lục số 1'!AV58</f>
        <v>0</v>
      </c>
      <c r="AR57" s="1328"/>
      <c r="AS57" s="3154"/>
      <c r="AT57" s="3154"/>
      <c r="AU57" s="3113"/>
      <c r="AV57" s="3155"/>
      <c r="AW57" s="3154"/>
      <c r="AX57" s="1328"/>
      <c r="AY57" s="3154"/>
      <c r="AZ57" s="3154"/>
      <c r="BA57" s="3113"/>
      <c r="BB57" s="3155"/>
      <c r="BC57" s="3154"/>
      <c r="BD57" s="1328"/>
      <c r="BE57" s="3154"/>
      <c r="BF57" s="3154"/>
      <c r="BG57" s="3113"/>
      <c r="BH57" s="3155"/>
      <c r="BI57" s="3154"/>
      <c r="BJ57" s="1328"/>
      <c r="BK57" s="3154"/>
      <c r="BL57" s="3154"/>
      <c r="BM57" s="3113"/>
      <c r="BN57" s="3155"/>
      <c r="BO57" s="3154"/>
    </row>
    <row r="58" spans="1:67" s="3091" customFormat="1" ht="15.75" customHeight="1">
      <c r="A58" s="3092" t="s">
        <v>44</v>
      </c>
      <c r="B58" s="3093" t="s">
        <v>836</v>
      </c>
      <c r="C58" s="3094">
        <f>F58+G58</f>
        <v>179391</v>
      </c>
      <c r="D58" s="3157">
        <v>0</v>
      </c>
      <c r="E58" s="3158">
        <f>F58+G58</f>
        <v>179391</v>
      </c>
      <c r="F58" s="3094">
        <v>179391</v>
      </c>
      <c r="G58" s="3094"/>
      <c r="H58" s="3094">
        <f>L58+M58</f>
        <v>179391</v>
      </c>
      <c r="I58" s="3095"/>
      <c r="J58" s="3149"/>
      <c r="K58" s="3149">
        <f>H58-J58</f>
        <v>179391</v>
      </c>
      <c r="L58" s="3149">
        <f>F58</f>
        <v>179391</v>
      </c>
      <c r="M58" s="3149">
        <f>G58</f>
        <v>0</v>
      </c>
      <c r="N58" s="174">
        <f>SUM(Q58)</f>
        <v>0</v>
      </c>
      <c r="O58" s="3159"/>
      <c r="P58" s="174">
        <v>0</v>
      </c>
      <c r="Q58" s="174">
        <f>R58+S58</f>
        <v>0</v>
      </c>
      <c r="R58" s="174">
        <f>IF('[11]Phụ lục số 2'!I30&gt;0,'[11]Phụ lục số 2'!I30,0)</f>
        <v>0</v>
      </c>
      <c r="S58" s="174"/>
      <c r="T58" s="149">
        <f>'[2]Phụ lục số 1'!T59</f>
        <v>431000</v>
      </c>
      <c r="U58" s="3096" t="e">
        <f>T58/N58*100</f>
        <v>#DIV/0!</v>
      </c>
      <c r="V58" s="174"/>
      <c r="W58" s="174">
        <f>X58+Y58</f>
        <v>431000</v>
      </c>
      <c r="X58" s="149">
        <f>'[2]Phụ lục số 1'!X59</f>
        <v>89700</v>
      </c>
      <c r="Y58" s="149">
        <f>'[2]Phụ lục số 1'!Y59</f>
        <v>341300</v>
      </c>
      <c r="Z58" s="3098">
        <f t="shared" si="115"/>
        <v>886000</v>
      </c>
      <c r="AA58" s="3160"/>
      <c r="AB58" s="3094"/>
      <c r="AC58" s="3098">
        <f t="shared" si="116"/>
        <v>886000</v>
      </c>
      <c r="AD58" s="3098">
        <f>'[2]Phụ lục số 1'!AI59</f>
        <v>0</v>
      </c>
      <c r="AE58" s="3098">
        <f>'[2]Phụ lục số 1'!AJ59</f>
        <v>886000</v>
      </c>
      <c r="AF58" s="3098">
        <f>'[2]Phụ lục số 1'!AK59</f>
        <v>717399.2</v>
      </c>
      <c r="AG58" s="3160"/>
      <c r="AH58" s="3094">
        <v>0</v>
      </c>
      <c r="AI58" s="3098">
        <f t="shared" si="117"/>
        <v>717399.2</v>
      </c>
      <c r="AJ58" s="3098">
        <f>'[2]Phụ lục số 1'!AO59</f>
        <v>79139.200000000012</v>
      </c>
      <c r="AK58" s="3098">
        <f>'[2]Phụ lục số 1'!AP59</f>
        <v>638260</v>
      </c>
      <c r="AL58" s="161">
        <f>'[2]Phụ lục số 1'!AQ59</f>
        <v>882854.2423493322</v>
      </c>
      <c r="AM58" s="744"/>
      <c r="AN58" s="744"/>
      <c r="AO58" s="149">
        <f t="shared" si="118"/>
        <v>882854.2423493322</v>
      </c>
      <c r="AP58" s="3152">
        <f>'[2]Phụ lục số 1'!AU59</f>
        <v>567070.94060725369</v>
      </c>
      <c r="AQ58" s="3152">
        <f>'[2]Phụ lục số 1'!AV59</f>
        <v>315783.30174207845</v>
      </c>
      <c r="AR58" s="757"/>
      <c r="AS58" s="756"/>
      <c r="AT58" s="756"/>
      <c r="AU58" s="3089">
        <f>SUM(AV58:AW58)</f>
        <v>0</v>
      </c>
      <c r="AV58" s="756"/>
      <c r="AW58" s="756"/>
      <c r="AX58" s="757"/>
      <c r="AY58" s="756"/>
      <c r="AZ58" s="756"/>
      <c r="BA58" s="3089">
        <f>SUM(BB58:BC58)</f>
        <v>0</v>
      </c>
      <c r="BB58" s="756"/>
      <c r="BC58" s="756"/>
      <c r="BD58" s="757"/>
      <c r="BE58" s="756"/>
      <c r="BF58" s="756"/>
      <c r="BG58" s="3089">
        <f>SUM(BH58:BI58)</f>
        <v>0</v>
      </c>
      <c r="BH58" s="756"/>
      <c r="BI58" s="756"/>
      <c r="BJ58" s="757"/>
      <c r="BK58" s="756"/>
      <c r="BL58" s="756"/>
      <c r="BM58" s="3089">
        <f>SUM(BN58:BO58)</f>
        <v>0</v>
      </c>
      <c r="BN58" s="756"/>
      <c r="BO58" s="756"/>
    </row>
    <row r="59" spans="1:67" s="3091" customFormat="1" ht="15.75" customHeight="1">
      <c r="A59" s="3092" t="s">
        <v>46</v>
      </c>
      <c r="B59" s="3093" t="s">
        <v>47</v>
      </c>
      <c r="C59" s="3157">
        <f>D59+E59</f>
        <v>48300</v>
      </c>
      <c r="D59" s="3157"/>
      <c r="E59" s="3158">
        <f>F59+G59</f>
        <v>48300</v>
      </c>
      <c r="F59" s="3094">
        <v>48300</v>
      </c>
      <c r="G59" s="3093"/>
      <c r="H59" s="3094">
        <f>C59</f>
        <v>48300</v>
      </c>
      <c r="I59" s="3095"/>
      <c r="J59" s="3149"/>
      <c r="K59" s="3149">
        <f>H59-J59</f>
        <v>48300</v>
      </c>
      <c r="L59" s="3149">
        <f>K59-M59</f>
        <v>48300</v>
      </c>
      <c r="M59" s="3149"/>
      <c r="N59" s="174">
        <f>Q59</f>
        <v>31500</v>
      </c>
      <c r="O59" s="3159"/>
      <c r="P59" s="174"/>
      <c r="Q59" s="174">
        <f>SUM(R59:S59)</f>
        <v>31500</v>
      </c>
      <c r="R59" s="174">
        <v>31500</v>
      </c>
      <c r="S59" s="174">
        <v>0</v>
      </c>
      <c r="T59" s="149">
        <f>'[2]Phụ lục số 1'!T60</f>
        <v>31500</v>
      </c>
      <c r="U59" s="3088">
        <f t="shared" si="114"/>
        <v>100</v>
      </c>
      <c r="V59" s="174"/>
      <c r="W59" s="174">
        <f>SUM(X59:Y59)</f>
        <v>31500</v>
      </c>
      <c r="X59" s="149">
        <f>'[2]Phụ lục số 1'!X60</f>
        <v>31500</v>
      </c>
      <c r="Y59" s="149">
        <f>'[2]Phụ lục số 1'!Y60</f>
        <v>0</v>
      </c>
      <c r="Z59" s="3098">
        <f t="shared" si="115"/>
        <v>0</v>
      </c>
      <c r="AA59" s="3160"/>
      <c r="AB59" s="3094"/>
      <c r="AC59" s="3098">
        <f t="shared" si="116"/>
        <v>0</v>
      </c>
      <c r="AD59" s="3098">
        <f>'[2]Phụ lục số 1'!AI60</f>
        <v>0</v>
      </c>
      <c r="AE59" s="3098">
        <f>'[2]Phụ lục số 1'!AJ60</f>
        <v>0</v>
      </c>
      <c r="AF59" s="3098">
        <f>'[2]Phụ lục số 1'!AK60</f>
        <v>0</v>
      </c>
      <c r="AG59" s="3160"/>
      <c r="AH59" s="3094"/>
      <c r="AI59" s="3098">
        <f t="shared" si="117"/>
        <v>0</v>
      </c>
      <c r="AJ59" s="3098">
        <f>'[2]Phụ lục số 1'!AO60</f>
        <v>0</v>
      </c>
      <c r="AK59" s="3098">
        <f>'[2]Phụ lục số 1'!AP60</f>
        <v>0</v>
      </c>
      <c r="AL59" s="161">
        <f>'[2]Phụ lục số 1'!AQ60</f>
        <v>0</v>
      </c>
      <c r="AM59" s="744"/>
      <c r="AN59" s="744"/>
      <c r="AO59" s="149">
        <f t="shared" si="118"/>
        <v>0</v>
      </c>
      <c r="AP59" s="3152">
        <f>'[2]Phụ lục số 1'!AU60</f>
        <v>0</v>
      </c>
      <c r="AQ59" s="3152">
        <f>'[2]Phụ lục số 1'!AV60</f>
        <v>0</v>
      </c>
      <c r="AR59" s="757">
        <f>AL59</f>
        <v>0</v>
      </c>
      <c r="AS59" s="756"/>
      <c r="AT59" s="756"/>
      <c r="AU59" s="3089">
        <f>SUM(AV59:AW59)</f>
        <v>0</v>
      </c>
      <c r="AV59" s="756"/>
      <c r="AW59" s="756"/>
      <c r="AX59" s="757">
        <f>AR59</f>
        <v>0</v>
      </c>
      <c r="AY59" s="756"/>
      <c r="AZ59" s="756"/>
      <c r="BA59" s="3089">
        <f>SUM(BB59:BC59)</f>
        <v>0</v>
      </c>
      <c r="BB59" s="756"/>
      <c r="BC59" s="756"/>
      <c r="BD59" s="757">
        <f>AX59</f>
        <v>0</v>
      </c>
      <c r="BE59" s="756"/>
      <c r="BF59" s="756"/>
      <c r="BG59" s="3089">
        <f>SUM(BH59:BI59)</f>
        <v>0</v>
      </c>
      <c r="BH59" s="756"/>
      <c r="BI59" s="756"/>
      <c r="BJ59" s="757">
        <f>BD59</f>
        <v>0</v>
      </c>
      <c r="BK59" s="756"/>
      <c r="BL59" s="756"/>
      <c r="BM59" s="3089">
        <f>SUM(BN59:BO59)</f>
        <v>0</v>
      </c>
      <c r="BN59" s="756"/>
      <c r="BO59" s="756"/>
    </row>
    <row r="60" spans="1:67" s="3091" customFormat="1">
      <c r="A60" s="3161"/>
      <c r="B60" s="3162" t="s">
        <v>48</v>
      </c>
      <c r="C60" s="3163">
        <f>SUM(C8,C52,C58,C59)</f>
        <v>15063453</v>
      </c>
      <c r="D60" s="3163">
        <f t="shared" ref="D60:G60" si="119">SUM(D8,D52,D58,D59)</f>
        <v>1009000</v>
      </c>
      <c r="E60" s="3163">
        <f t="shared" si="119"/>
        <v>14054453</v>
      </c>
      <c r="F60" s="3163">
        <f t="shared" si="119"/>
        <v>11734673</v>
      </c>
      <c r="G60" s="3163">
        <f t="shared" si="119"/>
        <v>2319780</v>
      </c>
      <c r="H60" s="3163">
        <f>SUM(H8,H52,H58,H59)</f>
        <v>16171866.707694</v>
      </c>
      <c r="I60" s="3164"/>
      <c r="J60" s="3165">
        <f>SUM(J8,J52,J58,J59)</f>
        <v>1011247.5696699999</v>
      </c>
      <c r="K60" s="3165">
        <f>SUM(K8,K52,K58,K59)</f>
        <v>15160619.138023999</v>
      </c>
      <c r="L60" s="3165">
        <f>SUM(L8,L52,L58,L59)</f>
        <v>12149052.491303001</v>
      </c>
      <c r="M60" s="3165">
        <f>SUM(M8,M52,M58,M59)</f>
        <v>3011566.6467210003</v>
      </c>
      <c r="N60" s="3166">
        <f>SUM(N8,N52,N58,N59)</f>
        <v>16705995</v>
      </c>
      <c r="O60" s="3167"/>
      <c r="P60" s="3166">
        <f>SUM(P8,P52,P58,P59)</f>
        <v>886000</v>
      </c>
      <c r="Q60" s="3166">
        <f>SUM(Q8,Q52,Q58,Q59)</f>
        <v>15819995</v>
      </c>
      <c r="R60" s="3166">
        <f>SUM(R8,R52,R58,R59)</f>
        <v>12922645</v>
      </c>
      <c r="S60" s="3166">
        <f>SUM(S8,S52,S58,S59)</f>
        <v>2897350</v>
      </c>
      <c r="T60" s="3166">
        <f>SUM(T8,T52,T58,T59)</f>
        <v>17697740.32</v>
      </c>
      <c r="U60" s="3168">
        <f t="shared" ref="U60" si="120">T60/H60*100</f>
        <v>109.43535857601425</v>
      </c>
      <c r="V60" s="3166">
        <f>SUM(V8,V52,V58,V59)</f>
        <v>700345.52</v>
      </c>
      <c r="W60" s="3166">
        <f>SUM(W8,W52,W58,W59)</f>
        <v>16997394.799999997</v>
      </c>
      <c r="X60" s="3166">
        <f>SUM(X8,X52,X58,X59)</f>
        <v>13068045.733333334</v>
      </c>
      <c r="Y60" s="3166">
        <f>SUM(Y8,Y52,Y58,Y59)</f>
        <v>3929349.0666666669</v>
      </c>
      <c r="Z60" s="3163">
        <f>SUM(Z8,Z52,Z58,Z59)</f>
        <v>18628464</v>
      </c>
      <c r="AA60" s="3164"/>
      <c r="AB60" s="3163">
        <f>SUM(AB8,AB52,AB58,AB59)</f>
        <v>781000</v>
      </c>
      <c r="AC60" s="3163">
        <f>SUM(AC8,AC52,AC58,AC59)</f>
        <v>17847464</v>
      </c>
      <c r="AD60" s="3163">
        <f>SUM(AD8,AD52,AD58,AD59)</f>
        <v>12920984</v>
      </c>
      <c r="AE60" s="3163">
        <f>SUM(AE8,AE52,AE58,AE59)</f>
        <v>4926480</v>
      </c>
      <c r="AF60" s="3163">
        <f>SUM(AF8,AF52,AF58,AF59)</f>
        <v>19876572.199999999</v>
      </c>
      <c r="AG60" s="3164"/>
      <c r="AH60" s="3163">
        <f>SUM(AH8,AH52,AH58,AH59)</f>
        <v>1045229.5294117647</v>
      </c>
      <c r="AI60" s="3163">
        <f>SUM(AI8,AI52,AI58,AI59)</f>
        <v>18831342.670588236</v>
      </c>
      <c r="AJ60" s="3163">
        <f>SUM(AJ8,AJ52,AJ58,AJ59)</f>
        <v>14654281.984295361</v>
      </c>
      <c r="AK60" s="3163">
        <f>SUM(AK8,AK52,AK58,AK59)</f>
        <v>4177060.6862928737</v>
      </c>
      <c r="AL60" s="3166">
        <f>SUM(AL8,AL52,AL58,AL59)</f>
        <v>20918527.542349331</v>
      </c>
      <c r="AM60" s="3167"/>
      <c r="AN60" s="3166">
        <f>SUM(AN8,AN52,AN58,AN59)</f>
        <v>1125148.2938914755</v>
      </c>
      <c r="AO60" s="3166">
        <f>SUM(AO8,AO52,AO58,AO59)</f>
        <v>19793379.248457856</v>
      </c>
      <c r="AP60" s="3166">
        <f>SUM(AP8,AP52,AP58,AP59)</f>
        <v>15702095.97527162</v>
      </c>
      <c r="AQ60" s="3166">
        <f>SUM(AQ8,AQ52,AQ58,AQ59)</f>
        <v>4091283.2731862366</v>
      </c>
      <c r="AR60" s="3169">
        <f>SUM(AR8,AR52,AR58,AR59)</f>
        <v>20802972.899999999</v>
      </c>
      <c r="AS60" s="3170"/>
      <c r="AT60" s="3169">
        <f>SUM(AT8,AT52,AT58,AT59)</f>
        <v>1229999.6000000001</v>
      </c>
      <c r="AU60" s="3169">
        <f>SUM(AU8,AU52,AU58,AU59)</f>
        <v>19572973.300000001</v>
      </c>
      <c r="AV60" s="3169">
        <f>SUM(AV8,AV52,AV58,AV59)</f>
        <v>15438973.300000001</v>
      </c>
      <c r="AW60" s="3169">
        <f>SUM(AW8,AW52,AW58,AW59)</f>
        <v>4134000</v>
      </c>
      <c r="AX60" s="3169">
        <f>SUM(AX8,AX52,AX58,AX59)</f>
        <v>21760473.482960001</v>
      </c>
      <c r="AY60" s="3170"/>
      <c r="AZ60" s="3169">
        <f>SUM(AZ8,AZ52,AZ58,AZ59)</f>
        <v>1341500.1829599999</v>
      </c>
      <c r="BA60" s="3169">
        <f>SUM(BA8,BA52,BA58,BA59)</f>
        <v>20418973.300000001</v>
      </c>
      <c r="BB60" s="3169">
        <f>SUM(BB8,BB52,BB58,BB59)</f>
        <v>15725973.300000001</v>
      </c>
      <c r="BC60" s="3169">
        <f>SUM(BC8,BC52,BC58,BC59)</f>
        <v>4693000</v>
      </c>
      <c r="BD60" s="3169">
        <f>SUM(BD8,BD52,BD58,BD59)</f>
        <v>22828473.090937056</v>
      </c>
      <c r="BE60" s="3170"/>
      <c r="BF60" s="3169">
        <f>SUM(BF8,BF52,BF58,BF59)</f>
        <v>1455499.7909370561</v>
      </c>
      <c r="BG60" s="3169">
        <f>SUM(BG8,BG52,BG58,BG59)</f>
        <v>21372973.300000001</v>
      </c>
      <c r="BH60" s="3169">
        <f>SUM(BH8,BH52,BH58,BH59)</f>
        <v>16157973.300000001</v>
      </c>
      <c r="BI60" s="3169">
        <f>SUM(BI8,BI52,BI58,BI59)</f>
        <v>5215000</v>
      </c>
      <c r="BJ60" s="3169">
        <f>SUM(BJ8,BJ52,BJ58,BJ59)</f>
        <v>24066973.081738286</v>
      </c>
      <c r="BK60" s="3170"/>
      <c r="BL60" s="3169">
        <f>SUM(BL8,BL52,BL58,BL59)</f>
        <v>1562999.7817382864</v>
      </c>
      <c r="BM60" s="3169">
        <f>SUM(BM8,BM52,BM58,BM59)</f>
        <v>22503973.300000001</v>
      </c>
      <c r="BN60" s="3169">
        <f>SUM(BN8,BN52,BN58,BN59)</f>
        <v>16674973.300000001</v>
      </c>
      <c r="BO60" s="3169">
        <f>SUM(BO8,BO52,BO58,BO59)</f>
        <v>5829000</v>
      </c>
    </row>
    <row r="61" spans="1:67" s="3091" customFormat="1">
      <c r="A61" s="3171"/>
      <c r="B61" s="3172"/>
      <c r="C61" s="3173"/>
      <c r="D61" s="3173"/>
      <c r="E61" s="3173"/>
      <c r="F61" s="3173"/>
      <c r="G61" s="3173"/>
      <c r="H61" s="3173"/>
      <c r="I61" s="3174"/>
      <c r="J61" s="3175"/>
      <c r="K61" s="3175"/>
      <c r="L61" s="3175"/>
      <c r="M61" s="3175"/>
      <c r="N61" s="3176"/>
      <c r="O61" s="3177"/>
      <c r="P61" s="3176"/>
      <c r="Q61" s="3176"/>
      <c r="R61" s="3176"/>
      <c r="S61" s="3176"/>
      <c r="T61" s="3176"/>
      <c r="U61" s="3178"/>
      <c r="V61" s="3176"/>
      <c r="W61" s="3176"/>
      <c r="X61" s="3176"/>
      <c r="Y61" s="3176"/>
      <c r="Z61" s="3173"/>
      <c r="AA61" s="3174"/>
      <c r="AB61" s="3173"/>
      <c r="AC61" s="3173"/>
      <c r="AD61" s="3173"/>
      <c r="AE61" s="3173"/>
      <c r="AF61" s="3173"/>
      <c r="AG61" s="3174"/>
      <c r="AH61" s="3173"/>
      <c r="AI61" s="3173"/>
      <c r="AJ61" s="3173"/>
      <c r="AK61" s="3173"/>
      <c r="AL61" s="3176"/>
      <c r="AM61" s="3177"/>
      <c r="AN61" s="3176"/>
      <c r="AO61" s="3176"/>
      <c r="AP61" s="3176"/>
      <c r="AQ61" s="3176"/>
      <c r="AR61" s="3176"/>
      <c r="AS61" s="3177"/>
      <c r="AT61" s="3176"/>
      <c r="AU61" s="3176"/>
      <c r="AV61" s="3176"/>
      <c r="AW61" s="3176"/>
      <c r="AX61" s="3176"/>
      <c r="AY61" s="3177"/>
      <c r="AZ61" s="3176"/>
      <c r="BA61" s="3176"/>
      <c r="BB61" s="3176"/>
      <c r="BC61" s="3176"/>
      <c r="BD61" s="3176"/>
      <c r="BE61" s="3177"/>
      <c r="BF61" s="3176"/>
      <c r="BG61" s="3176"/>
      <c r="BH61" s="3176"/>
      <c r="BI61" s="3176"/>
      <c r="BJ61" s="3176"/>
      <c r="BK61" s="3177"/>
      <c r="BL61" s="3176"/>
      <c r="BM61" s="3176"/>
      <c r="BN61" s="3176"/>
      <c r="BO61" s="3176"/>
    </row>
    <row r="62" spans="1:67" s="3091" customFormat="1">
      <c r="A62" s="3171"/>
      <c r="B62" s="3172"/>
      <c r="C62" s="3173"/>
      <c r="D62" s="3173"/>
      <c r="E62" s="3173"/>
      <c r="F62" s="3173"/>
      <c r="G62" s="3173"/>
      <c r="H62" s="3173"/>
      <c r="I62" s="3174"/>
      <c r="J62" s="3175"/>
      <c r="K62" s="3175"/>
      <c r="L62" s="3175"/>
      <c r="M62" s="3175"/>
      <c r="N62" s="3176"/>
      <c r="O62" s="3177"/>
      <c r="P62" s="3176"/>
      <c r="Q62" s="3176"/>
      <c r="R62" s="3176"/>
      <c r="S62" s="3176"/>
      <c r="T62" s="3176"/>
      <c r="U62" s="3178"/>
      <c r="V62" s="3176"/>
      <c r="W62" s="3176"/>
      <c r="X62" s="3176"/>
      <c r="Y62" s="3176"/>
      <c r="Z62" s="3173"/>
      <c r="AA62" s="3174"/>
      <c r="AB62" s="3173"/>
      <c r="AC62" s="3173"/>
      <c r="AD62" s="3173"/>
      <c r="AE62" s="3173"/>
      <c r="AF62" s="3173"/>
      <c r="AG62" s="3174"/>
      <c r="AH62" s="3173"/>
      <c r="AI62" s="3173"/>
      <c r="AJ62" s="3173"/>
      <c r="AK62" s="3173"/>
      <c r="AL62" s="3176"/>
      <c r="AM62" s="3177"/>
      <c r="AN62" s="3176"/>
      <c r="AO62" s="3176"/>
      <c r="AP62" s="3176"/>
      <c r="AQ62" s="3176"/>
      <c r="AR62" s="3176"/>
      <c r="AS62" s="3177"/>
      <c r="AT62" s="3176"/>
      <c r="AU62" s="3176"/>
      <c r="AV62" s="3176"/>
      <c r="AW62" s="3176"/>
      <c r="AX62" s="3176"/>
      <c r="AY62" s="3177"/>
      <c r="AZ62" s="3176"/>
      <c r="BA62" s="3176"/>
      <c r="BB62" s="3176"/>
      <c r="BC62" s="3176"/>
      <c r="BD62" s="3176"/>
      <c r="BE62" s="3177"/>
      <c r="BF62" s="3176"/>
      <c r="BG62" s="3176"/>
      <c r="BH62" s="3176"/>
      <c r="BI62" s="3176"/>
      <c r="BJ62" s="3176"/>
      <c r="BK62" s="3177"/>
      <c r="BL62" s="3176"/>
      <c r="BM62" s="3176"/>
      <c r="BN62" s="3176"/>
      <c r="BO62" s="3176"/>
    </row>
    <row r="63" spans="1:67" s="3091" customFormat="1">
      <c r="A63" s="3171"/>
      <c r="B63" s="3172"/>
      <c r="C63" s="3173"/>
      <c r="D63" s="3173"/>
      <c r="E63" s="3173"/>
      <c r="F63" s="3173"/>
      <c r="G63" s="3173"/>
      <c r="H63" s="3173"/>
      <c r="I63" s="3174"/>
      <c r="J63" s="3175"/>
      <c r="K63" s="3175"/>
      <c r="L63" s="3175"/>
      <c r="M63" s="3175"/>
      <c r="N63" s="3176"/>
      <c r="O63" s="3177"/>
      <c r="P63" s="3176"/>
      <c r="Q63" s="3176"/>
      <c r="R63" s="3176"/>
      <c r="S63" s="3176"/>
      <c r="T63" s="3176"/>
      <c r="U63" s="3178"/>
      <c r="V63" s="3176"/>
      <c r="W63" s="3176"/>
      <c r="X63" s="3176"/>
      <c r="Y63" s="3176"/>
      <c r="Z63" s="3173"/>
      <c r="AA63" s="3174"/>
      <c r="AB63" s="3173"/>
      <c r="AC63" s="3173"/>
      <c r="AD63" s="3173"/>
      <c r="AE63" s="3173"/>
      <c r="AF63" s="3173"/>
      <c r="AG63" s="3174"/>
      <c r="AH63" s="3173"/>
      <c r="AI63" s="3173"/>
      <c r="AJ63" s="3173"/>
      <c r="AK63" s="3173"/>
      <c r="AL63" s="3176"/>
      <c r="AM63" s="3177"/>
      <c r="AN63" s="3176"/>
      <c r="AO63" s="3176"/>
      <c r="AP63" s="3176"/>
      <c r="AQ63" s="3176"/>
      <c r="AR63" s="3176"/>
      <c r="AS63" s="3177"/>
      <c r="AT63" s="3176"/>
      <c r="AU63" s="3176"/>
      <c r="AV63" s="3176"/>
      <c r="AW63" s="3176"/>
      <c r="AX63" s="3176"/>
      <c r="AY63" s="3177"/>
      <c r="AZ63" s="3176"/>
      <c r="BA63" s="3176"/>
      <c r="BB63" s="3176"/>
      <c r="BC63" s="3176"/>
      <c r="BD63" s="3176"/>
      <c r="BE63" s="3177"/>
      <c r="BF63" s="3176"/>
      <c r="BG63" s="3176"/>
      <c r="BH63" s="3176"/>
      <c r="BI63" s="3176"/>
      <c r="BJ63" s="3176"/>
      <c r="BK63" s="3177"/>
      <c r="BL63" s="3176"/>
      <c r="BM63" s="3176"/>
      <c r="BN63" s="3176"/>
      <c r="BO63" s="3176"/>
    </row>
    <row r="64" spans="1:67" s="3091" customFormat="1">
      <c r="A64" s="3171"/>
      <c r="B64" s="3172"/>
      <c r="C64" s="3173"/>
      <c r="D64" s="3173"/>
      <c r="E64" s="3173"/>
      <c r="F64" s="3173"/>
      <c r="G64" s="3173"/>
      <c r="H64" s="3173"/>
      <c r="I64" s="3174"/>
      <c r="J64" s="3175"/>
      <c r="K64" s="3175"/>
      <c r="L64" s="3175"/>
      <c r="M64" s="3175"/>
      <c r="N64" s="3176"/>
      <c r="O64" s="3177"/>
      <c r="P64" s="3176"/>
      <c r="Q64" s="3176"/>
      <c r="R64" s="3176"/>
      <c r="S64" s="3176"/>
      <c r="T64" s="3176"/>
      <c r="U64" s="3178"/>
      <c r="V64" s="3176"/>
      <c r="W64" s="3176"/>
      <c r="X64" s="3176"/>
      <c r="Y64" s="3176"/>
      <c r="Z64" s="3173"/>
      <c r="AA64" s="3174"/>
      <c r="AB64" s="3173"/>
      <c r="AC64" s="3173"/>
      <c r="AD64" s="3173"/>
      <c r="AE64" s="3173"/>
      <c r="AF64" s="3173"/>
      <c r="AG64" s="3174"/>
      <c r="AH64" s="3173"/>
      <c r="AI64" s="3173"/>
      <c r="AJ64" s="3173"/>
      <c r="AK64" s="3173"/>
      <c r="AL64" s="3176"/>
      <c r="AM64" s="3177"/>
      <c r="AN64" s="3176"/>
      <c r="AO64" s="3176"/>
      <c r="AP64" s="3176"/>
      <c r="AQ64" s="3176"/>
      <c r="AR64" s="3176"/>
      <c r="AS64" s="3177"/>
      <c r="AT64" s="3176"/>
      <c r="AU64" s="3176"/>
      <c r="AV64" s="3176"/>
      <c r="AW64" s="3176"/>
      <c r="AX64" s="3176"/>
      <c r="AY64" s="3177"/>
      <c r="AZ64" s="3176"/>
      <c r="BA64" s="3176"/>
      <c r="BB64" s="3176"/>
      <c r="BC64" s="3176"/>
      <c r="BD64" s="3176"/>
      <c r="BE64" s="3177"/>
      <c r="BF64" s="3176"/>
      <c r="BG64" s="3176"/>
      <c r="BH64" s="3176"/>
      <c r="BI64" s="3176"/>
      <c r="BJ64" s="3176"/>
      <c r="BK64" s="3177"/>
      <c r="BL64" s="3176"/>
      <c r="BM64" s="3176"/>
      <c r="BN64" s="3176"/>
      <c r="BO64" s="3176"/>
    </row>
    <row r="65" spans="8:43">
      <c r="I65" s="3179">
        <f>C38/C8</f>
        <v>0.22394045149152114</v>
      </c>
      <c r="R65" s="8">
        <f>R8+R53</f>
        <v>10294138</v>
      </c>
      <c r="S65" s="8">
        <f>S8+S53</f>
        <v>2897350</v>
      </c>
      <c r="X65" s="8">
        <f>X8+X53</f>
        <v>10349838.733333334</v>
      </c>
      <c r="Y65" s="8">
        <f>Y8+Y53</f>
        <v>3588049.0666666669</v>
      </c>
      <c r="AC65" s="2428">
        <f>'[11]Phụ lục số 2-1'!U7</f>
        <v>17566218</v>
      </c>
      <c r="AD65" s="2428">
        <f>'[11]Phụ lục số 3-1'!P5</f>
        <v>14078218</v>
      </c>
    </row>
    <row r="66" spans="8:43">
      <c r="K66" s="2428">
        <f>K60*2%</f>
        <v>303212.38276047999</v>
      </c>
      <c r="N66" s="8">
        <v>6818777</v>
      </c>
      <c r="P66" s="8">
        <f>N66-Q66</f>
        <v>1009000</v>
      </c>
      <c r="Q66" s="8">
        <v>5809777</v>
      </c>
      <c r="R66" s="1705"/>
      <c r="T66" s="754">
        <f>T10/N10</f>
        <v>0.98582991902833983</v>
      </c>
      <c r="X66" s="754">
        <f>X10/R10</f>
        <v>0.86029987579015654</v>
      </c>
      <c r="Y66" s="754">
        <f>Y10/S10</f>
        <v>1.2434973021511273</v>
      </c>
      <c r="AC66" s="2428">
        <f>AC60-AC65</f>
        <v>281246</v>
      </c>
    </row>
    <row r="67" spans="8:43">
      <c r="H67" s="3180">
        <v>4090000</v>
      </c>
      <c r="K67" s="3181">
        <f>+K8/E8</f>
        <v>1.1817745553595258</v>
      </c>
      <c r="N67" s="1729">
        <f>N8-N66</f>
        <v>771223</v>
      </c>
      <c r="P67" s="6">
        <f>P8-P66</f>
        <v>-123000</v>
      </c>
      <c r="Q67" s="16">
        <f>Q8-Q66</f>
        <v>894223</v>
      </c>
      <c r="R67" s="3182">
        <f>+R53/L53</f>
        <v>0.95354987247762624</v>
      </c>
      <c r="AO67" s="8">
        <f>'[11]Phụ lục số 3-thu bs -1'!X6</f>
        <v>16094690</v>
      </c>
      <c r="AP67" s="8">
        <f>'[11]Phụ lục số 3-thu bs -1'!Y5</f>
        <v>15599524</v>
      </c>
      <c r="AQ67" s="6">
        <f>'[11]Phụ lục số 3-thu bs -1'!Z5</f>
        <v>8918721</v>
      </c>
    </row>
    <row r="68" spans="8:43">
      <c r="H68" s="3180">
        <f>+H67-H10</f>
        <v>-548245.67445799988</v>
      </c>
      <c r="K68" s="2428">
        <f>+K8-E8</f>
        <v>1056069.6309129996</v>
      </c>
      <c r="N68" s="8">
        <v>6708777</v>
      </c>
      <c r="Q68" s="8"/>
      <c r="X68" s="6">
        <f>X10-R10</f>
        <v>-294299.2666666666</v>
      </c>
      <c r="Z68" s="2428">
        <v>900000</v>
      </c>
      <c r="AD68" s="2428">
        <v>100000</v>
      </c>
      <c r="AE68" s="2428">
        <v>900000</v>
      </c>
      <c r="AO68" s="8">
        <f>AO60-AO67</f>
        <v>3698689.2484578565</v>
      </c>
      <c r="AP68" s="8">
        <f>AP60-AP67</f>
        <v>102571.97527161986</v>
      </c>
      <c r="AQ68" s="8">
        <f>AQ60-AQ67</f>
        <v>-4827437.7268137634</v>
      </c>
    </row>
    <row r="69" spans="8:43">
      <c r="K69" s="2428">
        <f>+K10-E10</f>
        <v>605781.47504299972</v>
      </c>
      <c r="L69" s="2428">
        <f>+L10-F10</f>
        <v>113994.82832199987</v>
      </c>
      <c r="M69" s="2428">
        <f>+M10-G10</f>
        <v>491786.64672100032</v>
      </c>
      <c r="N69" s="6">
        <f>+N9-N68</f>
        <v>731223</v>
      </c>
      <c r="Q69" s="754">
        <f>Q8/N8</f>
        <v>0.8832674571805007</v>
      </c>
      <c r="X69" s="6">
        <f>X8-R8</f>
        <v>55700.733333333395</v>
      </c>
      <c r="AC69" s="3072">
        <f>AC8/Z8</f>
        <v>0.91571336067342979</v>
      </c>
      <c r="AI69" s="3072">
        <f>AI8/AF8</f>
        <v>0.89714838275353026</v>
      </c>
    </row>
    <row r="70" spans="8:43">
      <c r="H70" s="2428">
        <v>1283</v>
      </c>
      <c r="K70" s="3181"/>
      <c r="N70" s="6">
        <v>945000</v>
      </c>
      <c r="Q70" s="8">
        <f>+Q8+Q53</f>
        <v>13191488</v>
      </c>
      <c r="R70" s="8">
        <f>Q8-Q70</f>
        <v>-6487488</v>
      </c>
      <c r="X70" s="6">
        <f>X48-Q48</f>
        <v>350000</v>
      </c>
    </row>
    <row r="71" spans="8:43">
      <c r="H71" s="2428">
        <v>1500</v>
      </c>
      <c r="K71" s="3181">
        <f>K8/H8</f>
        <v>0.87162174985857654</v>
      </c>
      <c r="L71" s="3181">
        <f>L8/$K$8</f>
        <v>0.56136995062464268</v>
      </c>
      <c r="M71" s="3181">
        <f>M8/$K$8</f>
        <v>0.43863004937535738</v>
      </c>
      <c r="N71" s="6">
        <f>N28-N70</f>
        <v>320000</v>
      </c>
      <c r="Q71" s="8">
        <f>+Q70*2%</f>
        <v>263829.76000000001</v>
      </c>
      <c r="R71" s="1705">
        <f>R8/$Q$8</f>
        <v>0.56781772076372317</v>
      </c>
      <c r="S71" s="1705">
        <f>S8/$Q$8</f>
        <v>0.43218227923627683</v>
      </c>
      <c r="T71" s="1705"/>
      <c r="U71" s="1705"/>
      <c r="V71" s="1705"/>
      <c r="W71" s="1705"/>
      <c r="X71" s="1662">
        <f>X40-R40</f>
        <v>0</v>
      </c>
      <c r="Y71" s="1705"/>
      <c r="AD71" s="3181">
        <f>+AD8/$AC$8</f>
        <v>0.52380907483794936</v>
      </c>
      <c r="AE71" s="3181">
        <f>+AE8/$AC$8</f>
        <v>0.47619092516205069</v>
      </c>
      <c r="AJ71" s="3181">
        <f>+AJ8/$AI$8</f>
        <v>0.61185742880485949</v>
      </c>
      <c r="AK71" s="3181">
        <f>+AK8/$AI$8</f>
        <v>0.38814257119514034</v>
      </c>
    </row>
    <row r="72" spans="8:43">
      <c r="H72" s="2428">
        <f>+H71-H70</f>
        <v>217</v>
      </c>
      <c r="N72" s="6">
        <v>220000</v>
      </c>
      <c r="Q72" s="8">
        <v>935</v>
      </c>
      <c r="X72" s="6">
        <f>X69-X70-X71</f>
        <v>-294299.2666666666</v>
      </c>
    </row>
    <row r="73" spans="8:43">
      <c r="H73" s="3180">
        <f>H38-C38</f>
        <v>-600387.29556900007</v>
      </c>
      <c r="L73" s="2428">
        <f>L38-F38</f>
        <v>-288387.29556900007</v>
      </c>
      <c r="N73" s="6">
        <f>+N34-N72</f>
        <v>75000</v>
      </c>
      <c r="Q73" s="6">
        <v>30</v>
      </c>
      <c r="W73" s="6">
        <f>X73-X72</f>
        <v>344299.2666666666</v>
      </c>
      <c r="X73" s="6">
        <f>X45-R45</f>
        <v>50000</v>
      </c>
    </row>
    <row r="74" spans="8:43">
      <c r="H74" s="3180"/>
      <c r="N74" s="6">
        <v>8000</v>
      </c>
      <c r="Q74" s="3183">
        <f>+Q72/Q73</f>
        <v>31.166666666666668</v>
      </c>
      <c r="X74" s="6">
        <f>X9+X53</f>
        <v>10349838.733333334</v>
      </c>
    </row>
    <row r="75" spans="8:43">
      <c r="H75" s="3180">
        <f>6515000</f>
        <v>6515000</v>
      </c>
      <c r="N75" s="6">
        <f>N36-N74</f>
        <v>2000</v>
      </c>
    </row>
    <row r="76" spans="8:43">
      <c r="H76" s="2428">
        <f>+H9-H75</f>
        <v>972310.83032799978</v>
      </c>
      <c r="N76" s="6">
        <v>800000</v>
      </c>
      <c r="Q76" s="8"/>
    </row>
    <row r="77" spans="8:43">
      <c r="N77" s="6">
        <f>N40-N76</f>
        <v>100000</v>
      </c>
      <c r="P77" s="3184">
        <f>N8/C8</f>
        <v>1.1131028335433173</v>
      </c>
      <c r="Q77" s="8"/>
    </row>
    <row r="78" spans="8:43">
      <c r="N78" s="6">
        <v>120000</v>
      </c>
      <c r="Q78" s="8">
        <f>Q8*20%</f>
        <v>1340800</v>
      </c>
    </row>
    <row r="79" spans="8:43">
      <c r="N79" s="6">
        <f>N41-N78</f>
        <v>-5000</v>
      </c>
      <c r="Q79" s="6">
        <v>37000</v>
      </c>
    </row>
    <row r="80" spans="8:43">
      <c r="H80" s="2428">
        <f>7400+140</f>
        <v>7540</v>
      </c>
      <c r="N80" s="6">
        <f>3000</f>
        <v>3000</v>
      </c>
      <c r="Q80" s="6">
        <v>17500</v>
      </c>
    </row>
    <row r="81" spans="2:25">
      <c r="N81" s="8">
        <v>7519985</v>
      </c>
      <c r="Q81" s="6">
        <f>+Q79+Q80</f>
        <v>54500</v>
      </c>
    </row>
    <row r="82" spans="2:25">
      <c r="N82" s="8">
        <f>+N52-N81</f>
        <v>1564510</v>
      </c>
    </row>
    <row r="83" spans="2:25">
      <c r="N83" s="8"/>
    </row>
    <row r="84" spans="2:25">
      <c r="N84" s="8">
        <f>N71+N73+N75+N77+N79+N81</f>
        <v>8011985</v>
      </c>
      <c r="Q84" s="6">
        <v>84800</v>
      </c>
    </row>
    <row r="85" spans="2:25">
      <c r="B85" s="3185"/>
      <c r="N85" s="8"/>
      <c r="Q85" s="6">
        <v>213</v>
      </c>
    </row>
    <row r="86" spans="2:25">
      <c r="N86" s="8">
        <f>N38</f>
        <v>1500000</v>
      </c>
      <c r="Q86" s="8">
        <f>Q38</f>
        <v>900000</v>
      </c>
    </row>
    <row r="87" spans="2:25">
      <c r="N87" s="8">
        <f>N86/12</f>
        <v>125000</v>
      </c>
      <c r="Q87" s="8">
        <f>Q86/12</f>
        <v>75000</v>
      </c>
    </row>
    <row r="88" spans="2:25">
      <c r="N88" s="8">
        <f>N87/2</f>
        <v>62500</v>
      </c>
      <c r="Q88" s="8">
        <f>Q87/2</f>
        <v>37500</v>
      </c>
    </row>
    <row r="89" spans="2:25">
      <c r="N89" s="8">
        <f>N87*3+N88*9</f>
        <v>937500</v>
      </c>
      <c r="Q89" s="8">
        <f>Q87*3+Q88*9</f>
        <v>562500</v>
      </c>
    </row>
    <row r="90" spans="2:25">
      <c r="N90" s="6">
        <f>+N86-N89</f>
        <v>562500</v>
      </c>
      <c r="Q90" s="6">
        <f>+Q86-Q89</f>
        <v>337500</v>
      </c>
      <c r="S90" s="8"/>
      <c r="T90" s="8"/>
      <c r="U90" s="8"/>
      <c r="V90" s="8"/>
      <c r="W90" s="8"/>
      <c r="X90" s="8"/>
      <c r="Y90" s="8"/>
    </row>
    <row r="91" spans="2:25">
      <c r="N91" s="1704">
        <f>N90/N9</f>
        <v>7.5604838709677422E-2</v>
      </c>
    </row>
    <row r="92" spans="2:25">
      <c r="Q92" s="6">
        <v>13425</v>
      </c>
    </row>
    <row r="93" spans="2:25">
      <c r="N93" s="6">
        <v>7390000</v>
      </c>
      <c r="Q93" s="6">
        <v>6349</v>
      </c>
    </row>
    <row r="94" spans="2:25">
      <c r="N94" s="6">
        <f>+N9-N93</f>
        <v>50000</v>
      </c>
      <c r="Q94" s="6">
        <f>+Q92-Q93</f>
        <v>7076</v>
      </c>
    </row>
    <row r="95" spans="2:25">
      <c r="Q95" s="8">
        <v>6654000</v>
      </c>
    </row>
    <row r="96" spans="2:25">
      <c r="Q96" s="8">
        <f>+Q8-Q95</f>
        <v>50000</v>
      </c>
    </row>
    <row r="97" spans="14:35">
      <c r="N97" s="1705">
        <f>N38/N10</f>
        <v>0.30364372469635625</v>
      </c>
      <c r="Q97" s="8"/>
    </row>
    <row r="98" spans="14:35">
      <c r="N98" s="1705">
        <v>0.35714285714285715</v>
      </c>
      <c r="Q98" s="8"/>
    </row>
    <row r="99" spans="14:35">
      <c r="Q99" s="8"/>
    </row>
    <row r="100" spans="14:35">
      <c r="N100" s="8"/>
      <c r="Q100" s="8"/>
    </row>
    <row r="101" spans="14:35">
      <c r="N101" s="8"/>
      <c r="Q101" s="8"/>
    </row>
    <row r="102" spans="14:35">
      <c r="Q102" s="8"/>
    </row>
    <row r="103" spans="14:35">
      <c r="N103" s="8">
        <v>1500000</v>
      </c>
      <c r="Q103" s="8">
        <f>+Q8-Q45</f>
        <v>6654000</v>
      </c>
      <c r="AC103" s="3180">
        <f>+AC8-AC45</f>
        <v>8448000</v>
      </c>
      <c r="AD103" s="3180"/>
      <c r="AI103" s="3180">
        <f>+AI8-AI45</f>
        <v>9003270.1705882363</v>
      </c>
    </row>
    <row r="104" spans="14:35">
      <c r="N104" s="8">
        <f>N103*48%</f>
        <v>720000</v>
      </c>
      <c r="Q104" s="8">
        <f>+Q103*20%</f>
        <v>1330800</v>
      </c>
      <c r="AC104" s="3180">
        <f>+AC103*20%</f>
        <v>1689600</v>
      </c>
      <c r="AD104" s="3180"/>
      <c r="AI104" s="3180">
        <f>+AI103*20%</f>
        <v>1800654.0341176474</v>
      </c>
    </row>
    <row r="105" spans="14:35">
      <c r="N105" s="8">
        <f>N103*60%</f>
        <v>900000</v>
      </c>
      <c r="Q105" s="8"/>
    </row>
    <row r="106" spans="14:35">
      <c r="N106" s="8">
        <f>+N105-N104</f>
        <v>180000</v>
      </c>
      <c r="Q106" s="8"/>
    </row>
    <row r="107" spans="14:35">
      <c r="N107" s="8"/>
    </row>
    <row r="108" spans="14:35">
      <c r="N108" s="8">
        <v>4026000</v>
      </c>
    </row>
    <row r="109" spans="14:35">
      <c r="N109" s="8">
        <v>22000</v>
      </c>
    </row>
    <row r="111" spans="14:35">
      <c r="N111" s="3186"/>
    </row>
    <row r="112" spans="14:35">
      <c r="AC112" s="2428">
        <f>AD112+AE112</f>
        <v>1781000</v>
      </c>
      <c r="AD112" s="2428">
        <f>AD9-R9</f>
        <v>637870</v>
      </c>
      <c r="AE112" s="2428">
        <f>AE9-S9</f>
        <v>1143130</v>
      </c>
    </row>
    <row r="114" spans="26:31">
      <c r="Z114" s="3072">
        <f>(AD114+AE114)/2</f>
        <v>1.2810552865636211</v>
      </c>
      <c r="AD114" s="3187">
        <f>AD9/R9</f>
        <v>1.1675672835695428</v>
      </c>
      <c r="AE114" s="3187">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Danh mục file'!A1" display="SỐ TT"/>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C134"/>
  <sheetViews>
    <sheetView workbookViewId="0">
      <selection activeCell="A4" sqref="A4:A5"/>
    </sheetView>
  </sheetViews>
  <sheetFormatPr defaultColWidth="10.33203125" defaultRowHeight="15.6"/>
  <cols>
    <col min="1" max="1" width="4.33203125" style="3265" customWidth="1"/>
    <col min="2" max="2" width="68.88671875" style="2428" customWidth="1"/>
    <col min="3" max="3" width="11.109375" style="2428" hidden="1" customWidth="1"/>
    <col min="4" max="5" width="9.33203125" style="2428" hidden="1" customWidth="1"/>
    <col min="6" max="6" width="9" style="2428" hidden="1" customWidth="1"/>
    <col min="7" max="7" width="6" style="3266" hidden="1" customWidth="1"/>
    <col min="8" max="8" width="8.109375" style="2428" hidden="1" customWidth="1"/>
    <col min="9" max="10" width="9.33203125" style="2428" hidden="1" customWidth="1"/>
    <col min="11" max="11" width="11.6640625" style="2428" customWidth="1"/>
    <col min="12" max="12" width="6.44140625" style="2428" customWidth="1"/>
    <col min="13" max="13" width="7.109375" style="2428" customWidth="1"/>
    <col min="14" max="20" width="9.44140625" style="2428" customWidth="1"/>
    <col min="21" max="21" width="9.88671875" style="2428" customWidth="1"/>
    <col min="22" max="22" width="7.5546875" style="2428" customWidth="1"/>
    <col min="23" max="23" width="8.6640625" style="2428" customWidth="1"/>
    <col min="24" max="24" width="8.88671875" style="2428" customWidth="1"/>
    <col min="25" max="25" width="9.88671875" style="2428" customWidth="1"/>
    <col min="26" max="26" width="12.6640625" style="2428" customWidth="1"/>
    <col min="27" max="27" width="9.33203125" style="2428" customWidth="1"/>
    <col min="28" max="28" width="8.6640625" style="2428" customWidth="1"/>
    <col min="29" max="29" width="11.5546875" style="2428" customWidth="1"/>
    <col min="30" max="30" width="10.33203125" style="2428"/>
    <col min="31" max="31" width="12.109375" style="2428" customWidth="1"/>
    <col min="32" max="32" width="8.88671875" style="2428" customWidth="1"/>
    <col min="33" max="33" width="10.33203125" style="2428"/>
    <col min="34" max="34" width="12.33203125" style="2428" customWidth="1"/>
    <col min="35" max="35" width="13.44140625" style="2428" customWidth="1"/>
    <col min="36" max="36" width="13.109375" style="2428" customWidth="1"/>
    <col min="37" max="40" width="10.33203125" style="2428" customWidth="1"/>
    <col min="41" max="41" width="13.44140625" style="2428" customWidth="1"/>
    <col min="42" max="45" width="10.33203125" style="2428" customWidth="1"/>
    <col min="46" max="46" width="11.109375" style="2428" customWidth="1"/>
    <col min="47" max="50" width="10.33203125" style="2428" customWidth="1"/>
    <col min="51" max="51" width="11.109375" style="2428" customWidth="1"/>
    <col min="52" max="55" width="10.33203125" style="2428" customWidth="1"/>
    <col min="56" max="16384" width="10.33203125" style="2428"/>
  </cols>
  <sheetData>
    <row r="1" spans="1:55" ht="28.2" customHeight="1">
      <c r="A1" s="6371" t="s">
        <v>1891</v>
      </c>
      <c r="B1" s="6371"/>
      <c r="C1" s="6371"/>
      <c r="D1" s="6371"/>
      <c r="E1" s="6371"/>
      <c r="F1" s="6371"/>
      <c r="G1" s="6371"/>
      <c r="H1" s="6371"/>
      <c r="I1" s="6371"/>
      <c r="J1" s="6371"/>
      <c r="K1" s="6371"/>
      <c r="L1" s="6371"/>
      <c r="M1" s="6371"/>
      <c r="N1" s="6371"/>
      <c r="O1" s="6371"/>
      <c r="P1" s="6371"/>
      <c r="Q1" s="6371"/>
      <c r="R1" s="6371"/>
      <c r="S1" s="6371"/>
      <c r="T1" s="6371"/>
      <c r="U1" s="6371"/>
      <c r="V1" s="6371"/>
      <c r="W1" s="6371"/>
      <c r="X1" s="6371"/>
      <c r="Y1" s="6371"/>
      <c r="Z1" s="6371"/>
    </row>
    <row r="2" spans="1:55" s="3189" customFormat="1">
      <c r="A2" s="3188"/>
      <c r="B2" s="3188"/>
      <c r="C2" s="3188"/>
      <c r="D2" s="3188"/>
      <c r="E2" s="3188"/>
      <c r="F2" s="3188"/>
      <c r="G2" s="6399"/>
      <c r="H2" s="6399"/>
      <c r="I2" s="6399"/>
      <c r="J2" s="3188"/>
      <c r="P2" s="3189">
        <f>P3-P7</f>
        <v>-781699.06666666642</v>
      </c>
      <c r="U2" s="3189">
        <f>U3-U7</f>
        <v>-1001190.9159999974</v>
      </c>
      <c r="Z2" s="3189">
        <f>Z7-Z3</f>
        <v>447815.54234933481</v>
      </c>
      <c r="AE2" s="3189">
        <f>AE3-AE7</f>
        <v>-611191.50305426493</v>
      </c>
      <c r="AJ2" s="3189" t="e">
        <f>AJ3-AJ7</f>
        <v>#REF!</v>
      </c>
      <c r="AO2" s="3189" t="e">
        <f>AO3-AO7</f>
        <v>#REF!</v>
      </c>
      <c r="AT2" s="3189" t="e">
        <f>AT3-AT7</f>
        <v>#REF!</v>
      </c>
      <c r="AY2" s="3189" t="e">
        <f>AY3-AY7</f>
        <v>#REF!</v>
      </c>
    </row>
    <row r="3" spans="1:55" s="3189" customFormat="1" ht="15" customHeight="1">
      <c r="A3" s="3190"/>
      <c r="B3" s="3191"/>
      <c r="D3" s="6399"/>
      <c r="E3" s="6399"/>
      <c r="F3" s="3192"/>
      <c r="G3" s="3193"/>
      <c r="H3" s="3192"/>
      <c r="I3" s="3194"/>
      <c r="J3" s="3195"/>
      <c r="O3" s="3196" t="s">
        <v>1892</v>
      </c>
      <c r="P3" s="3197">
        <f>'[11]Phụ lục số 1-1'!W59</f>
        <v>16509995</v>
      </c>
      <c r="Q3" s="3198"/>
      <c r="R3" s="3198"/>
      <c r="S3" s="3198"/>
      <c r="T3" s="3198"/>
      <c r="U3" s="3192">
        <f>'[11]Phụ lục số 1-1'!AC59</f>
        <v>17566218</v>
      </c>
      <c r="Z3" s="3189">
        <f>'[11]Phụ lục số 1-1'!AI59</f>
        <v>18972524</v>
      </c>
      <c r="AE3" s="3189">
        <f>'[11]Phụ lục số 1-1'!AO59</f>
        <v>19769524</v>
      </c>
      <c r="AJ3" s="3189">
        <f>'[11]Phụ lục số 1-1'!AU59</f>
        <v>20562524</v>
      </c>
      <c r="AO3" s="3189">
        <f>'[11]Phụ lục số 1-1'!BA59</f>
        <v>21411524</v>
      </c>
      <c r="AT3" s="3189">
        <f>'[11]Phụ lục số 1-1'!BG59</f>
        <v>22366524</v>
      </c>
      <c r="AY3" s="3189">
        <f>'[11]Phụ lục số 1-1'!BM59</f>
        <v>23498524</v>
      </c>
    </row>
    <row r="4" spans="1:55" s="3199" customFormat="1" ht="20.25" customHeight="1">
      <c r="A4" s="6400" t="s">
        <v>0</v>
      </c>
      <c r="B4" s="6386" t="s">
        <v>1893</v>
      </c>
      <c r="C4" s="6383" t="s">
        <v>1862</v>
      </c>
      <c r="D4" s="6384"/>
      <c r="E4" s="6385"/>
      <c r="F4" s="6402" t="s">
        <v>1894</v>
      </c>
      <c r="G4" s="6403"/>
      <c r="H4" s="6403"/>
      <c r="I4" s="6403"/>
      <c r="J4" s="6404"/>
      <c r="K4" s="6405" t="s">
        <v>1895</v>
      </c>
      <c r="L4" s="6406"/>
      <c r="M4" s="6406"/>
      <c r="N4" s="6406"/>
      <c r="O4" s="6407"/>
      <c r="P4" s="6405" t="s">
        <v>1865</v>
      </c>
      <c r="Q4" s="6406"/>
      <c r="R4" s="6406"/>
      <c r="S4" s="6406"/>
      <c r="T4" s="6407"/>
      <c r="U4" s="6405" t="s">
        <v>1896</v>
      </c>
      <c r="V4" s="6406"/>
      <c r="W4" s="6406"/>
      <c r="X4" s="6406"/>
      <c r="Y4" s="6407"/>
      <c r="Z4" s="6405" t="s">
        <v>1897</v>
      </c>
      <c r="AA4" s="6406"/>
      <c r="AB4" s="6406"/>
      <c r="AC4" s="6406"/>
      <c r="AD4" s="6407"/>
      <c r="AE4" s="6405" t="s">
        <v>1898</v>
      </c>
      <c r="AF4" s="6406"/>
      <c r="AG4" s="6406"/>
      <c r="AH4" s="6406"/>
      <c r="AI4" s="6407"/>
      <c r="AJ4" s="6396" t="s">
        <v>1899</v>
      </c>
      <c r="AK4" s="6397"/>
      <c r="AL4" s="6397"/>
      <c r="AM4" s="6397"/>
      <c r="AN4" s="6398"/>
      <c r="AO4" s="6396" t="s">
        <v>1900</v>
      </c>
      <c r="AP4" s="6397"/>
      <c r="AQ4" s="6397"/>
      <c r="AR4" s="6397"/>
      <c r="AS4" s="6398"/>
      <c r="AT4" s="6396" t="s">
        <v>1901</v>
      </c>
      <c r="AU4" s="6397"/>
      <c r="AV4" s="6397"/>
      <c r="AW4" s="6397"/>
      <c r="AX4" s="6398"/>
      <c r="AY4" s="6396" t="s">
        <v>1902</v>
      </c>
      <c r="AZ4" s="6397"/>
      <c r="BA4" s="6397"/>
      <c r="BB4" s="6397"/>
      <c r="BC4" s="6398"/>
    </row>
    <row r="5" spans="1:55" s="3199" customFormat="1" ht="63.6" customHeight="1">
      <c r="A5" s="6329"/>
      <c r="B5" s="6401"/>
      <c r="C5" s="3075" t="s">
        <v>1903</v>
      </c>
      <c r="D5" s="3200" t="s">
        <v>1904</v>
      </c>
      <c r="E5" s="3200" t="s">
        <v>1905</v>
      </c>
      <c r="F5" s="3038" t="s">
        <v>1903</v>
      </c>
      <c r="G5" s="3201" t="s">
        <v>69</v>
      </c>
      <c r="H5" s="3038" t="s">
        <v>1906</v>
      </c>
      <c r="I5" s="1383" t="s">
        <v>1904</v>
      </c>
      <c r="J5" s="1383" t="s">
        <v>1905</v>
      </c>
      <c r="K5" s="3038" t="s">
        <v>1903</v>
      </c>
      <c r="L5" s="3038" t="s">
        <v>69</v>
      </c>
      <c r="M5" s="3038" t="s">
        <v>1906</v>
      </c>
      <c r="N5" s="1383" t="s">
        <v>1904</v>
      </c>
      <c r="O5" s="1383" t="s">
        <v>1905</v>
      </c>
      <c r="P5" s="3038" t="s">
        <v>1903</v>
      </c>
      <c r="Q5" s="3038" t="s">
        <v>69</v>
      </c>
      <c r="R5" s="3038" t="s">
        <v>1907</v>
      </c>
      <c r="S5" s="1383" t="s">
        <v>1904</v>
      </c>
      <c r="T5" s="1383" t="s">
        <v>1905</v>
      </c>
      <c r="U5" s="3038" t="s">
        <v>1903</v>
      </c>
      <c r="V5" s="3038" t="s">
        <v>69</v>
      </c>
      <c r="W5" s="3038" t="s">
        <v>1907</v>
      </c>
      <c r="X5" s="1383" t="s">
        <v>1904</v>
      </c>
      <c r="Y5" s="1383" t="s">
        <v>1905</v>
      </c>
      <c r="Z5" s="3038" t="s">
        <v>1903</v>
      </c>
      <c r="AA5" s="3038" t="s">
        <v>69</v>
      </c>
      <c r="AB5" s="3038" t="s">
        <v>1908</v>
      </c>
      <c r="AC5" s="1383" t="s">
        <v>1904</v>
      </c>
      <c r="AD5" s="1383" t="s">
        <v>1905</v>
      </c>
      <c r="AE5" s="3038" t="s">
        <v>1903</v>
      </c>
      <c r="AF5" s="3038" t="s">
        <v>69</v>
      </c>
      <c r="AG5" s="3038" t="s">
        <v>1908</v>
      </c>
      <c r="AH5" s="1383" t="s">
        <v>1904</v>
      </c>
      <c r="AI5" s="1383" t="s">
        <v>1905</v>
      </c>
      <c r="AJ5" s="3075" t="s">
        <v>1903</v>
      </c>
      <c r="AK5" s="3075" t="s">
        <v>69</v>
      </c>
      <c r="AL5" s="3075" t="s">
        <v>1908</v>
      </c>
      <c r="AM5" s="3200" t="s">
        <v>1904</v>
      </c>
      <c r="AN5" s="3200" t="s">
        <v>1905</v>
      </c>
      <c r="AO5" s="3075" t="s">
        <v>1903</v>
      </c>
      <c r="AP5" s="3075" t="s">
        <v>69</v>
      </c>
      <c r="AQ5" s="3075" t="s">
        <v>1908</v>
      </c>
      <c r="AR5" s="3200" t="s">
        <v>1904</v>
      </c>
      <c r="AS5" s="3200" t="s">
        <v>1905</v>
      </c>
      <c r="AT5" s="3075" t="s">
        <v>1903</v>
      </c>
      <c r="AU5" s="3075" t="s">
        <v>69</v>
      </c>
      <c r="AV5" s="3075" t="s">
        <v>1908</v>
      </c>
      <c r="AW5" s="3200" t="s">
        <v>1904</v>
      </c>
      <c r="AX5" s="3200" t="s">
        <v>1905</v>
      </c>
      <c r="AY5" s="3075" t="s">
        <v>1903</v>
      </c>
      <c r="AZ5" s="3075" t="s">
        <v>69</v>
      </c>
      <c r="BA5" s="3075" t="s">
        <v>1908</v>
      </c>
      <c r="BB5" s="3200" t="s">
        <v>1904</v>
      </c>
      <c r="BC5" s="3200" t="s">
        <v>1905</v>
      </c>
    </row>
    <row r="6" spans="1:55" s="3053" customFormat="1" ht="19.5" customHeight="1">
      <c r="A6" s="3202">
        <v>1</v>
      </c>
      <c r="B6" s="3202">
        <v>2</v>
      </c>
      <c r="C6" s="3203" t="s">
        <v>1360</v>
      </c>
      <c r="D6" s="3204">
        <v>4</v>
      </c>
      <c r="E6" s="3203">
        <v>5</v>
      </c>
      <c r="F6" s="3205" t="s">
        <v>1909</v>
      </c>
      <c r="G6" s="3206">
        <v>7</v>
      </c>
      <c r="H6" s="3205" t="s">
        <v>1910</v>
      </c>
      <c r="I6" s="3202">
        <v>9</v>
      </c>
      <c r="J6" s="3205">
        <v>10</v>
      </c>
      <c r="K6" s="3205" t="s">
        <v>1911</v>
      </c>
      <c r="L6" s="3202">
        <v>12</v>
      </c>
      <c r="M6" s="3202" t="s">
        <v>1912</v>
      </c>
      <c r="N6" s="3202">
        <v>14</v>
      </c>
      <c r="O6" s="3205">
        <v>15</v>
      </c>
      <c r="P6" s="3205"/>
      <c r="Q6" s="3205"/>
      <c r="R6" s="3205"/>
      <c r="S6" s="3205"/>
      <c r="T6" s="3205"/>
      <c r="U6" s="3202" t="s">
        <v>1913</v>
      </c>
      <c r="V6" s="3205">
        <v>17</v>
      </c>
      <c r="W6" s="3202" t="s">
        <v>1914</v>
      </c>
      <c r="X6" s="3205">
        <v>19</v>
      </c>
      <c r="Y6" s="3202">
        <v>20</v>
      </c>
      <c r="Z6" s="3205" t="s">
        <v>1915</v>
      </c>
      <c r="AA6" s="3202">
        <v>22</v>
      </c>
      <c r="AB6" s="3205" t="s">
        <v>1916</v>
      </c>
      <c r="AC6" s="3207">
        <v>24</v>
      </c>
      <c r="AD6" s="3208">
        <v>25</v>
      </c>
      <c r="AE6" s="3208" t="s">
        <v>1915</v>
      </c>
      <c r="AF6" s="3207">
        <v>22</v>
      </c>
      <c r="AG6" s="3208" t="s">
        <v>1916</v>
      </c>
      <c r="AH6" s="3207">
        <v>24</v>
      </c>
      <c r="AI6" s="3208">
        <v>25</v>
      </c>
      <c r="AJ6" s="3204" t="s">
        <v>1915</v>
      </c>
      <c r="AK6" s="3203">
        <v>22</v>
      </c>
      <c r="AL6" s="3204" t="s">
        <v>1916</v>
      </c>
      <c r="AM6" s="3203">
        <v>24</v>
      </c>
      <c r="AN6" s="3204">
        <v>25</v>
      </c>
      <c r="AO6" s="3204" t="s">
        <v>1915</v>
      </c>
      <c r="AP6" s="3203">
        <v>22</v>
      </c>
      <c r="AQ6" s="3204" t="s">
        <v>1916</v>
      </c>
      <c r="AR6" s="3203">
        <v>24</v>
      </c>
      <c r="AS6" s="3204">
        <v>25</v>
      </c>
      <c r="AT6" s="3204" t="s">
        <v>1915</v>
      </c>
      <c r="AU6" s="3203">
        <v>22</v>
      </c>
      <c r="AV6" s="3204" t="s">
        <v>1916</v>
      </c>
      <c r="AW6" s="3203">
        <v>24</v>
      </c>
      <c r="AX6" s="3204">
        <v>25</v>
      </c>
      <c r="AY6" s="3204" t="s">
        <v>1915</v>
      </c>
      <c r="AZ6" s="3203">
        <v>22</v>
      </c>
      <c r="BA6" s="3204" t="s">
        <v>1916</v>
      </c>
      <c r="BB6" s="3203">
        <v>24</v>
      </c>
      <c r="BC6" s="3204">
        <v>25</v>
      </c>
    </row>
    <row r="7" spans="1:55" s="3091" customFormat="1">
      <c r="A7" s="3209"/>
      <c r="B7" s="135" t="s">
        <v>1917</v>
      </c>
      <c r="C7" s="3210">
        <f>SUM(C8,C34,C38)</f>
        <v>14054453</v>
      </c>
      <c r="D7" s="3210">
        <f>SUM(D8,D34,D38)</f>
        <v>6670716</v>
      </c>
      <c r="E7" s="3210">
        <f>SUM(E8,E34,E38)</f>
        <v>7383737</v>
      </c>
      <c r="F7" s="3081" t="e">
        <f>SUM(F8,F34,F38)</f>
        <v>#REF!</v>
      </c>
      <c r="G7" s="3081" t="e">
        <f>F7/$F$7*100</f>
        <v>#REF!</v>
      </c>
      <c r="H7" s="3081" t="e">
        <f t="shared" ref="H7:H34" si="0">F7/C7*100</f>
        <v>#REF!</v>
      </c>
      <c r="I7" s="3081">
        <f>SUM(I8,I34,I38)</f>
        <v>6814069</v>
      </c>
      <c r="J7" s="3081" t="e">
        <f>SUM(J8,J34,J38)</f>
        <v>#REF!</v>
      </c>
      <c r="K7" s="3081">
        <f>SUM(K8,K34,K38)</f>
        <v>15819995</v>
      </c>
      <c r="L7" s="3211">
        <f>K7/$K$7*100</f>
        <v>100</v>
      </c>
      <c r="M7" s="3081">
        <f>K7/C7%</f>
        <v>112.5621537885537</v>
      </c>
      <c r="N7" s="3081">
        <f>SUM(N8,N34,N38)</f>
        <v>8173924</v>
      </c>
      <c r="O7" s="3081">
        <f>SUM(O8,O34,O38)</f>
        <v>7646071</v>
      </c>
      <c r="P7" s="3081">
        <f>SUM(P8,P34,P38)</f>
        <v>17291694.066666666</v>
      </c>
      <c r="Q7" s="3211">
        <f>P7/$P$7*100</f>
        <v>100</v>
      </c>
      <c r="R7" s="3081" t="e">
        <f>P7/H7%</f>
        <v>#REF!</v>
      </c>
      <c r="S7" s="3081">
        <f>SUM(S8,S34,S38)</f>
        <v>8613624</v>
      </c>
      <c r="T7" s="3081">
        <f>SUM(T8,T34,T38)</f>
        <v>8678070.0666666664</v>
      </c>
      <c r="U7" s="3081">
        <f>SUM(U8,U34,U38)</f>
        <v>18567408.915999997</v>
      </c>
      <c r="V7" s="3211">
        <f>U7/U7%</f>
        <v>100</v>
      </c>
      <c r="W7" s="3212">
        <f t="shared" ref="W7:W8" si="1">U7/K7%</f>
        <v>117.36671797936722</v>
      </c>
      <c r="X7" s="3081">
        <f>SUM(X8,X34,X38)</f>
        <v>8659005.568</v>
      </c>
      <c r="Y7" s="3081">
        <f>SUM(Y8,Y34,Y38)</f>
        <v>9908403.3479999993</v>
      </c>
      <c r="Z7" s="3081">
        <f>SUM(Z8,Z34,Z38)</f>
        <v>19420339.542349335</v>
      </c>
      <c r="AA7" s="3211">
        <f>Z7/Z7%</f>
        <v>100</v>
      </c>
      <c r="AB7" s="3212">
        <f t="shared" ref="AB7:AB8" si="2">Z7/P7%</f>
        <v>112.31021938900756</v>
      </c>
      <c r="AC7" s="3081">
        <f>SUM(AC8,AC34,AC38)</f>
        <v>10202655.986369964</v>
      </c>
      <c r="AD7" s="3081">
        <f>SUM(AD8,AD34,AD38)</f>
        <v>9217683.5559793673</v>
      </c>
      <c r="AE7" s="3081">
        <f>SUM(AE8,AE34,AE38)</f>
        <v>20380715.503054265</v>
      </c>
      <c r="AF7" s="1663">
        <f>AE7/$AE$7*100</f>
        <v>100</v>
      </c>
      <c r="AG7" s="1663">
        <f>AE7/Z7%</f>
        <v>104.94520684672206</v>
      </c>
      <c r="AH7" s="3081">
        <f>SUM(AH8,AH34,AH38)</f>
        <v>11242708.573156692</v>
      </c>
      <c r="AI7" s="3081">
        <f>SUM(AI8,AI34,AI38)</f>
        <v>9138006.929897571</v>
      </c>
      <c r="AJ7" s="3210" t="e">
        <f>SUM(AJ8,AJ34,AJ38)</f>
        <v>#REF!</v>
      </c>
      <c r="AK7" s="3210" t="e">
        <f>AJ7/$AJ$7*100</f>
        <v>#REF!</v>
      </c>
      <c r="AL7" s="3210" t="e">
        <f>AJ7/AE7%</f>
        <v>#REF!</v>
      </c>
      <c r="AM7" s="3210" t="e">
        <f>SUM(AM8,AM34,AM38)</f>
        <v>#REF!</v>
      </c>
      <c r="AN7" s="3210">
        <f>SUM(AN8,AN34,AN38)</f>
        <v>9642515.6323787346</v>
      </c>
      <c r="AO7" s="3210" t="e">
        <f>SUM(AO8,AO34,AO38)</f>
        <v>#REF!</v>
      </c>
      <c r="AP7" s="3213" t="e">
        <f>AO7/$AO$7*100</f>
        <v>#REF!</v>
      </c>
      <c r="AQ7" s="3210" t="e">
        <f>AO7/AJ7%</f>
        <v>#REF!</v>
      </c>
      <c r="AR7" s="3210" t="e">
        <f>SUM(AR8,AR34,AR38)</f>
        <v>#REF!</v>
      </c>
      <c r="AS7" s="3210" t="e">
        <f>SUM(AS8,AS34,AS38)</f>
        <v>#REF!</v>
      </c>
      <c r="AT7" s="3210" t="e">
        <f>SUM(AT8,AT34,AT38)</f>
        <v>#REF!</v>
      </c>
      <c r="AU7" s="3210" t="e">
        <f>AT7/$AT$7*100</f>
        <v>#REF!</v>
      </c>
      <c r="AV7" s="3210" t="e">
        <f>AT7/AO7%</f>
        <v>#REF!</v>
      </c>
      <c r="AW7" s="3210" t="e">
        <f>SUM(AW8,AW34,AW38)</f>
        <v>#REF!</v>
      </c>
      <c r="AX7" s="3210">
        <f>SUM(AX8,AX34,AX38)</f>
        <v>10825017.847858926</v>
      </c>
      <c r="AY7" s="3210" t="e">
        <f>SUM(AY8,AY34,AY38)</f>
        <v>#REF!</v>
      </c>
      <c r="AZ7" s="3210" t="e">
        <f>AY7/$AY$7*100</f>
        <v>#REF!</v>
      </c>
      <c r="BA7" s="3210" t="e">
        <f>AY7/AT7%</f>
        <v>#REF!</v>
      </c>
      <c r="BB7" s="3210" t="e">
        <f>SUM(BB8,BB34,BB38)</f>
        <v>#REF!</v>
      </c>
      <c r="BC7" s="3210" t="e">
        <f>SUM(BC8,BC34,BC38)</f>
        <v>#REF!</v>
      </c>
    </row>
    <row r="8" spans="1:55" s="3091" customFormat="1" ht="20.100000000000001" customHeight="1">
      <c r="A8" s="3214" t="s">
        <v>1</v>
      </c>
      <c r="B8" s="3093" t="s">
        <v>142</v>
      </c>
      <c r="C8" s="186">
        <f>SUM(C9+C14+C28+C33+C29+C30)</f>
        <v>12792680</v>
      </c>
      <c r="D8" s="186">
        <f>SUM(D9+D14+D28+D33+D29+D30)</f>
        <v>5408943</v>
      </c>
      <c r="E8" s="186">
        <f>SUM(E9+E14+E28+E33+E29+E30)</f>
        <v>7383737</v>
      </c>
      <c r="F8" s="3093">
        <f>SUM(F9+F14+F28+F33+F29+F30)</f>
        <v>13771903</v>
      </c>
      <c r="G8" s="3215" t="e">
        <f t="shared" ref="G8:G34" si="3">F8/$F$7*100</f>
        <v>#REF!</v>
      </c>
      <c r="H8" s="3215">
        <f t="shared" si="0"/>
        <v>107.65455713736294</v>
      </c>
      <c r="I8" s="3094">
        <f>SUM(I9,I14,I28:I33)</f>
        <v>5552296</v>
      </c>
      <c r="J8" s="3094">
        <f>SUM(J9,J14,J28:J33)</f>
        <v>8219607</v>
      </c>
      <c r="K8" s="3093">
        <f>SUM(K9+K14+K28+K33+K29+K30)</f>
        <v>13191488</v>
      </c>
      <c r="L8" s="3093">
        <f>SUM(L9+L14+L28+L33+L29+L30)</f>
        <v>83.384906253130922</v>
      </c>
      <c r="M8" s="3215">
        <f>K8/C8%</f>
        <v>103.11747030332971</v>
      </c>
      <c r="N8" s="3093">
        <f>SUM(N9+N14+N28+N33+N29+N30)</f>
        <v>5545417</v>
      </c>
      <c r="O8" s="3093">
        <f>SUM(O9+O14+O28+O33+O29+O30)</f>
        <v>7646071</v>
      </c>
      <c r="P8" s="3093">
        <f>SUM(P9+P14+P28+P33+P29+P30)+P31+P32</f>
        <v>14663187.066666666</v>
      </c>
      <c r="Q8" s="3093">
        <f>SUM(Q9+Q14+Q28+Q33+Q29+Q30)</f>
        <v>81.845584044202241</v>
      </c>
      <c r="R8" s="3215">
        <f>P8/H8%</f>
        <v>13620591.135735223</v>
      </c>
      <c r="S8" s="3093">
        <f>SUM(S9+S14+S28+S33+S29+S30)+S31+S32</f>
        <v>5985117</v>
      </c>
      <c r="T8" s="3093">
        <f>SUM(T9+T14+T28+T33+T29+T30)+T31+T32</f>
        <v>8678070.0666666664</v>
      </c>
      <c r="U8" s="3093">
        <f>SUM(U9+U14+U28+U33+U29+U30)+U31+U32</f>
        <v>16578432.915999997</v>
      </c>
      <c r="V8" s="3093">
        <f>SUM(V9+V14+V28+V33+V29+V30)</f>
        <v>85.407898257331624</v>
      </c>
      <c r="W8" s="3212">
        <f t="shared" si="1"/>
        <v>125.67523023937858</v>
      </c>
      <c r="X8" s="3093">
        <f>SUM(X9+X14+X28+X33+X29+X30)+X31+X32</f>
        <v>6670029.568</v>
      </c>
      <c r="Y8" s="3093">
        <f>SUM(Y9+Y14+Y28+Y33+Y29+Y30)+Y31+Y32</f>
        <v>9908403.3479999993</v>
      </c>
      <c r="Z8" s="3093">
        <f>SUM(Z9+Z14+Z28+Z33+Z29+Z30)+Z31+Z32</f>
        <v>17040854.242349334</v>
      </c>
      <c r="AA8" s="3093">
        <f>SUM(AA9+AA14+AA28+AA33+AA29+AA30)</f>
        <v>84.306000664140257</v>
      </c>
      <c r="AB8" s="3212">
        <f t="shared" si="2"/>
        <v>116.21521409276528</v>
      </c>
      <c r="AC8" s="3093">
        <f>SUM(AC9+AC14+AC28+AC33+AC29+AC30)+AC31+AC32</f>
        <v>7823170.6863699649</v>
      </c>
      <c r="AD8" s="3093">
        <f>SUM(AD9+AD14+AD28+AD33+AD29+AD30)+AD31+AD32</f>
        <v>9217683.5559793673</v>
      </c>
      <c r="AE8" s="3093">
        <f>SUM(AE9+AE14+AE28+AE33+AE29+AE30)+AE31+AE32</f>
        <v>18001230.203054264</v>
      </c>
      <c r="AF8" s="3216">
        <f>AE8/$AE$7*100</f>
        <v>88.324819608794357</v>
      </c>
      <c r="AG8" s="3216">
        <f t="shared" ref="AG8:AG11" si="4">AE8/Z8%</f>
        <v>105.63572663111123</v>
      </c>
      <c r="AH8" s="3093">
        <f>SUM(AH9+AH14+AH28+AH33+AH29+AH30)+AH31+AH32</f>
        <v>8863223.2731566913</v>
      </c>
      <c r="AI8" s="3093">
        <f>SUM(AI9+AI14+AI28+AI33+AI29+AI30)+AI31+AI32</f>
        <v>9138006.929897571</v>
      </c>
      <c r="AJ8" s="3089" t="e">
        <f>SUM(AJ9,AJ14,AJ28:AJ33)</f>
        <v>#REF!</v>
      </c>
      <c r="AK8" s="186" t="e">
        <f t="shared" ref="AK8:AK36" si="5">AJ8/$AJ$7*100</f>
        <v>#REF!</v>
      </c>
      <c r="AL8" s="3217" t="e">
        <f t="shared" ref="AL8:AL11" si="6">AJ8/AE8%</f>
        <v>#REF!</v>
      </c>
      <c r="AM8" s="3089" t="e">
        <f>SUM(AM9,AM14,AM28:AM33)</f>
        <v>#REF!</v>
      </c>
      <c r="AN8" s="3089">
        <f>SUM(AN9,AN14,AN28:AN33)</f>
        <v>9642515.6323787346</v>
      </c>
      <c r="AO8" s="3089" t="e">
        <f>SUM(AO9,AO14,AO28:AO33)</f>
        <v>#REF!</v>
      </c>
      <c r="AP8" s="185" t="e">
        <f t="shared" ref="AP8:AP36" si="7">AO8/$AO$7*100</f>
        <v>#REF!</v>
      </c>
      <c r="AQ8" s="3217" t="e">
        <f t="shared" ref="AQ8:AQ11" si="8">AO8/AJ8%</f>
        <v>#REF!</v>
      </c>
      <c r="AR8" s="3089" t="e">
        <f>SUM(AR9,AR14,AR28:AR33)</f>
        <v>#REF!</v>
      </c>
      <c r="AS8" s="3089" t="e">
        <f>SUM(AS9,AS14,AS28:AS33)</f>
        <v>#REF!</v>
      </c>
      <c r="AT8" s="3089" t="e">
        <f>SUM(AT9,AT14,AT28:AT33)</f>
        <v>#REF!</v>
      </c>
      <c r="AU8" s="3210" t="e">
        <f>AT8/$AT$7*100</f>
        <v>#REF!</v>
      </c>
      <c r="AV8" s="3217" t="e">
        <f t="shared" ref="AV8:AV11" si="9">AT8/AO8%</f>
        <v>#REF!</v>
      </c>
      <c r="AW8" s="3089" t="e">
        <f>SUM(AW9,AW14,AW28:AW33)</f>
        <v>#REF!</v>
      </c>
      <c r="AX8" s="3089">
        <f>SUM(AX9,AX14,AX28:AX33)</f>
        <v>10825017.847858926</v>
      </c>
      <c r="AY8" s="3089" t="e">
        <f>SUM(AY9,AY14,AY28:AY33)</f>
        <v>#REF!</v>
      </c>
      <c r="AZ8" s="3210" t="e">
        <f>AY8/$AY$7*100</f>
        <v>#REF!</v>
      </c>
      <c r="BA8" s="3217" t="e">
        <f t="shared" ref="BA8:BA11" si="10">AY8/AT8%</f>
        <v>#REF!</v>
      </c>
      <c r="BB8" s="3089" t="e">
        <f>SUM(BB9,BB14,BB28:BB33)</f>
        <v>#REF!</v>
      </c>
      <c r="BC8" s="3089" t="e">
        <f>SUM(BC9,BC14,BC28:BC33)</f>
        <v>#REF!</v>
      </c>
    </row>
    <row r="9" spans="1:55" s="3053" customFormat="1">
      <c r="A9" s="3218" t="s">
        <v>3</v>
      </c>
      <c r="B9" s="3219" t="s">
        <v>1680</v>
      </c>
      <c r="C9" s="3103">
        <f>SUM(C10:C13)</f>
        <v>3374957</v>
      </c>
      <c r="D9" s="3103">
        <f>SUM(D10:D13)</f>
        <v>2169711</v>
      </c>
      <c r="E9" s="3103">
        <f>SUM(E10:E13)</f>
        <v>1205246</v>
      </c>
      <c r="F9" s="3098">
        <f>SUM(F10:F13)</f>
        <v>3748957</v>
      </c>
      <c r="G9" s="3212" t="e">
        <f t="shared" si="3"/>
        <v>#REF!</v>
      </c>
      <c r="H9" s="3212">
        <f t="shared" si="0"/>
        <v>111.08162266956289</v>
      </c>
      <c r="I9" s="3098">
        <f>SUM(I10:I13)</f>
        <v>2343711</v>
      </c>
      <c r="J9" s="3098">
        <f>SUM(J10:J13)</f>
        <v>1405246</v>
      </c>
      <c r="K9" s="3098">
        <f>SUM(K10:K13)</f>
        <v>3561000</v>
      </c>
      <c r="L9" s="3220">
        <f t="shared" ref="L9:L29" si="11">K9/$K$7*100</f>
        <v>22.509488783024267</v>
      </c>
      <c r="M9" s="3212">
        <f>K9/C9%</f>
        <v>105.51245541795051</v>
      </c>
      <c r="N9" s="3098">
        <f>SUM(N10:N13)</f>
        <v>2240000</v>
      </c>
      <c r="O9" s="3098">
        <f>SUM(O10:O13)</f>
        <v>1321000</v>
      </c>
      <c r="P9" s="3098">
        <f>SUM(P10:P13)</f>
        <v>4091000</v>
      </c>
      <c r="Q9" s="3093">
        <f t="shared" ref="Q9:Q38" si="12">P9/$P$7%</f>
        <v>23.658757691568535</v>
      </c>
      <c r="R9" s="3098">
        <f>P9/K9%</f>
        <v>114.88345970233081</v>
      </c>
      <c r="S9" s="3098">
        <f t="shared" ref="S9:T9" si="13">SUM(S10:S13)</f>
        <v>2590000</v>
      </c>
      <c r="T9" s="3098">
        <f t="shared" si="13"/>
        <v>1501000</v>
      </c>
      <c r="U9" s="3098">
        <f>SUM(U10:U13)</f>
        <v>4863186.4089698764</v>
      </c>
      <c r="V9" s="3212">
        <f t="shared" ref="V9:V29" si="14">U9/$U$7*100</f>
        <v>26.192057443077843</v>
      </c>
      <c r="W9" s="3212">
        <f>U9/K9%</f>
        <v>136.5679980053321</v>
      </c>
      <c r="X9" s="3098">
        <f>SUM(X10:X13)</f>
        <v>3139186</v>
      </c>
      <c r="Y9" s="3098">
        <f>SUM(Y10:Y13)</f>
        <v>1724000.4089698761</v>
      </c>
      <c r="Z9" s="3098">
        <f>SUM(Z10:Z13)</f>
        <v>4735000</v>
      </c>
      <c r="AA9" s="3212">
        <f t="shared" ref="AA9" si="15">Z9/$U$7*100</f>
        <v>25.501673504479843</v>
      </c>
      <c r="AB9" s="3212">
        <f>Z9/P9%</f>
        <v>115.7418724028355</v>
      </c>
      <c r="AC9" s="149">
        <f>SUM(AC10:AC13)</f>
        <v>3379099.7457627119</v>
      </c>
      <c r="AD9" s="149">
        <f>SUM(AD10:AD13)</f>
        <v>1355900.2542372881</v>
      </c>
      <c r="AE9" s="149">
        <f>SUM(AE10:AE13)</f>
        <v>5025000</v>
      </c>
      <c r="AF9" s="3216">
        <f t="shared" ref="AF9:AF11" si="16">AE9/$AE$7*100</f>
        <v>24.655660392526212</v>
      </c>
      <c r="AG9" s="3221">
        <f t="shared" si="4"/>
        <v>106.1246040126716</v>
      </c>
      <c r="AH9" s="149">
        <f>SUM(AH10:AH13)</f>
        <v>3630399.7330508474</v>
      </c>
      <c r="AI9" s="149">
        <f>SUM(AI10:AI13)</f>
        <v>1394600.2669491526</v>
      </c>
      <c r="AJ9" s="3103" t="e">
        <f>SUM(AJ10:AJ13)</f>
        <v>#REF!</v>
      </c>
      <c r="AK9" s="186" t="e">
        <f t="shared" si="5"/>
        <v>#REF!</v>
      </c>
      <c r="AL9" s="3222" t="e">
        <f t="shared" si="6"/>
        <v>#REF!</v>
      </c>
      <c r="AM9" s="3103" t="e">
        <f>SUM(AM10:AM13)</f>
        <v>#REF!</v>
      </c>
      <c r="AN9" s="3103">
        <f>SUM(AN10:AN13)</f>
        <v>1749317.6323787346</v>
      </c>
      <c r="AO9" s="3103" t="e">
        <f>SUM(AO10:AO13)</f>
        <v>#REF!</v>
      </c>
      <c r="AP9" s="185" t="e">
        <f t="shared" si="7"/>
        <v>#REF!</v>
      </c>
      <c r="AQ9" s="3222" t="e">
        <f t="shared" si="8"/>
        <v>#REF!</v>
      </c>
      <c r="AR9" s="3103">
        <f>SUM(AR10:AR13)</f>
        <v>3545500</v>
      </c>
      <c r="AS9" s="3103" t="e">
        <f>SUM(AS10:AS13)</f>
        <v>#REF!</v>
      </c>
      <c r="AT9" s="3103" t="e">
        <f>SUM(AT10:AT13)</f>
        <v>#REF!</v>
      </c>
      <c r="AU9" s="186" t="e">
        <f t="shared" ref="AU9:AU36" si="17">AT9/$AT$7*100</f>
        <v>#REF!</v>
      </c>
      <c r="AV9" s="3222" t="e">
        <f t="shared" si="9"/>
        <v>#REF!</v>
      </c>
      <c r="AW9" s="3103" t="e">
        <f>SUM(AW10:AW13)</f>
        <v>#REF!</v>
      </c>
      <c r="AX9" s="3103">
        <f>SUM(AX10:AX13)</f>
        <v>1888891.8478589265</v>
      </c>
      <c r="AY9" s="3103" t="e">
        <f>SUM(AY10:AY13)</f>
        <v>#REF!</v>
      </c>
      <c r="AZ9" s="186" t="e">
        <f t="shared" ref="AZ9:AZ36" si="18">AY9/$AY$7*100</f>
        <v>#REF!</v>
      </c>
      <c r="BA9" s="3222" t="e">
        <f t="shared" si="10"/>
        <v>#REF!</v>
      </c>
      <c r="BB9" s="3103">
        <f>SUM(BB10:BB13)</f>
        <v>3758000</v>
      </c>
      <c r="BC9" s="3103" t="e">
        <f>SUM(BC10:BC13)</f>
        <v>#REF!</v>
      </c>
    </row>
    <row r="10" spans="1:55">
      <c r="A10" s="3223">
        <v>1</v>
      </c>
      <c r="B10" s="1513" t="s">
        <v>143</v>
      </c>
      <c r="C10" s="779">
        <f>D10+E10</f>
        <v>1036180</v>
      </c>
      <c r="D10" s="779">
        <v>530934</v>
      </c>
      <c r="E10" s="779">
        <v>505246</v>
      </c>
      <c r="F10" s="3106">
        <f>SUM(I10,J10)</f>
        <v>1036180</v>
      </c>
      <c r="G10" s="3224" t="e">
        <f>F10/$F$7*100</f>
        <v>#REF!</v>
      </c>
      <c r="H10" s="3224">
        <f t="shared" si="0"/>
        <v>100</v>
      </c>
      <c r="I10" s="3106">
        <f>D10</f>
        <v>530934</v>
      </c>
      <c r="J10" s="3106">
        <f>E10</f>
        <v>505246</v>
      </c>
      <c r="K10" s="3106">
        <f>N10+O10</f>
        <v>1061000</v>
      </c>
      <c r="L10" s="3225">
        <f t="shared" si="11"/>
        <v>6.7067024989578066</v>
      </c>
      <c r="M10" s="3224">
        <f>K10/C10%</f>
        <v>102.39533671755873</v>
      </c>
      <c r="N10" s="3106">
        <f>'[2]Phụ lục số 2'!D10</f>
        <v>540000</v>
      </c>
      <c r="O10" s="3106">
        <f>'[2]Phụ lục số 2'!E10</f>
        <v>521000</v>
      </c>
      <c r="P10" s="3106">
        <f>S10+T10</f>
        <v>1061000</v>
      </c>
      <c r="Q10" s="3093">
        <f t="shared" si="12"/>
        <v>6.1358938916534385</v>
      </c>
      <c r="R10" s="3098">
        <f>P10/K10%</f>
        <v>100</v>
      </c>
      <c r="S10" s="3106">
        <f>'[2]Phụ lục số 2'!S10</f>
        <v>540000</v>
      </c>
      <c r="T10" s="3106">
        <f>'[2]Phụ lục số 2'!T10</f>
        <v>521000</v>
      </c>
      <c r="U10" s="3106">
        <f>X10+Y10</f>
        <v>1143186.4089698761</v>
      </c>
      <c r="V10" s="3224">
        <f t="shared" si="14"/>
        <v>6.1569517542362302</v>
      </c>
      <c r="W10" s="3224">
        <f>U10/K10%</f>
        <v>107.74612714136438</v>
      </c>
      <c r="X10" s="3106">
        <f>'[2]Phụ lục số 2'!AA10</f>
        <v>562186</v>
      </c>
      <c r="Y10" s="3106">
        <f>'[2]Phụ lục số 2'!AB10</f>
        <v>581000.40896987612</v>
      </c>
      <c r="Z10" s="3106">
        <f>AC10+AD10</f>
        <v>1213000</v>
      </c>
      <c r="AA10" s="3224">
        <f t="shared" ref="AA10:AA34" si="19">Z10/$Z$7*100</f>
        <v>6.2460287955050857</v>
      </c>
      <c r="AB10" s="3224">
        <f t="shared" ref="AB10:AB29" si="20">Z10/U10%</f>
        <v>106.10692976074066</v>
      </c>
      <c r="AC10" s="154">
        <f>'[2]Phụ lục số 2'!AF10</f>
        <v>632000</v>
      </c>
      <c r="AD10" s="154">
        <f>'[2]Phụ lục số 2'!AG10</f>
        <v>581000</v>
      </c>
      <c r="AE10" s="154">
        <f>AH10+AI10</f>
        <v>1265000</v>
      </c>
      <c r="AF10" s="3226">
        <f t="shared" si="16"/>
        <v>6.2068478401085887</v>
      </c>
      <c r="AG10" s="3226">
        <f>AE10/Z10%</f>
        <v>104.28689200329761</v>
      </c>
      <c r="AH10" s="154">
        <f>'[2]Phụ lục số 2'!AK10</f>
        <v>684000</v>
      </c>
      <c r="AI10" s="154">
        <f>'[2]Phụ lục số 2'!AL10</f>
        <v>581000</v>
      </c>
      <c r="AJ10" s="3113">
        <f>AM10+AN10</f>
        <v>1300317.6323787346</v>
      </c>
      <c r="AK10" s="779" t="e">
        <f t="shared" si="5"/>
        <v>#REF!</v>
      </c>
      <c r="AL10" s="3227">
        <f t="shared" si="6"/>
        <v>102.79190769792369</v>
      </c>
      <c r="AM10" s="3113">
        <f>ROUND(INT(AH10*$AM$44),-3)</f>
        <v>706000</v>
      </c>
      <c r="AN10" s="3113">
        <f>(AI10*$AN$44)</f>
        <v>594317.63237873465</v>
      </c>
      <c r="AO10" s="3113">
        <f>AR10+AS10</f>
        <v>1361607.688775057</v>
      </c>
      <c r="AP10" s="779" t="e">
        <f t="shared" si="7"/>
        <v>#REF!</v>
      </c>
      <c r="AQ10" s="3227">
        <f t="shared" si="8"/>
        <v>104.71346806889034</v>
      </c>
      <c r="AR10" s="3228">
        <f>ROUND(INT(AM10*AR44),-3)+14500</f>
        <v>734500</v>
      </c>
      <c r="AS10" s="3228">
        <f>(AN10*AS44)+12359</f>
        <v>627107.68877505697</v>
      </c>
      <c r="AT10" s="3113">
        <f>AW10+AX10</f>
        <v>1404891.8478589265</v>
      </c>
      <c r="AU10" s="779" t="e">
        <f t="shared" si="17"/>
        <v>#REF!</v>
      </c>
      <c r="AV10" s="3227">
        <f t="shared" si="9"/>
        <v>103.17890090080274</v>
      </c>
      <c r="AW10" s="3113">
        <f>ROUND(INT(AR10*$AW$44),-3)</f>
        <v>759000</v>
      </c>
      <c r="AX10" s="3113">
        <f>(AS10*$AX$44)</f>
        <v>645891.84785892651</v>
      </c>
      <c r="AY10" s="3113">
        <f>BB10+BC10</f>
        <v>1452606.3607965908</v>
      </c>
      <c r="AZ10" s="779" t="e">
        <f t="shared" si="18"/>
        <v>#REF!</v>
      </c>
      <c r="BA10" s="3227">
        <f t="shared" si="10"/>
        <v>103.39631217950206</v>
      </c>
      <c r="BB10" s="3113">
        <f>ROUND(INT(AW10*$BB$44),-3)</f>
        <v>785000</v>
      </c>
      <c r="BC10" s="3113">
        <f>(AX10*$BC$44)</f>
        <v>667606.3607965908</v>
      </c>
    </row>
    <row r="11" spans="1:55">
      <c r="A11" s="3223">
        <v>2</v>
      </c>
      <c r="B11" s="1513" t="s">
        <v>144</v>
      </c>
      <c r="C11" s="779">
        <f>D11+E11</f>
        <v>800000</v>
      </c>
      <c r="D11" s="779">
        <v>100000</v>
      </c>
      <c r="E11" s="779">
        <v>700000</v>
      </c>
      <c r="F11" s="3106">
        <f>SUM(I11,J11)</f>
        <v>970000</v>
      </c>
      <c r="G11" s="3224" t="e">
        <f t="shared" si="3"/>
        <v>#REF!</v>
      </c>
      <c r="H11" s="3224">
        <f t="shared" si="0"/>
        <v>121.24999999999999</v>
      </c>
      <c r="I11" s="3106">
        <f>'[11]Phụ lục số 1-1'!L40</f>
        <v>70000</v>
      </c>
      <c r="J11" s="3106">
        <f>'[11]Phụ lục số 1-1'!M40</f>
        <v>900000</v>
      </c>
      <c r="K11" s="3106">
        <f>SUM(N11,O11)</f>
        <v>900000</v>
      </c>
      <c r="L11" s="3225">
        <f t="shared" si="11"/>
        <v>5.689003062263926</v>
      </c>
      <c r="M11" s="3224">
        <f t="shared" ref="M11:M29" si="21">K11/C11%</f>
        <v>112.5</v>
      </c>
      <c r="N11" s="3106">
        <f>'[2]Phụ lục số 2'!D11</f>
        <v>100000</v>
      </c>
      <c r="O11" s="3106">
        <f>'[2]Phụ lục số 2'!E11</f>
        <v>800000</v>
      </c>
      <c r="P11" s="3106">
        <f>SUM(S11,T11)</f>
        <v>1080000</v>
      </c>
      <c r="Q11" s="3093">
        <f t="shared" si="12"/>
        <v>6.245773235613302</v>
      </c>
      <c r="R11" s="3098">
        <f>P11/K11%</f>
        <v>120</v>
      </c>
      <c r="S11" s="3106">
        <f>'[2]Phụ lục số 2'!S11</f>
        <v>100000</v>
      </c>
      <c r="T11" s="3106">
        <f>'[2]Phụ lục số 2'!T11</f>
        <v>980000</v>
      </c>
      <c r="U11" s="3106">
        <f>SUM(X11,Y11)</f>
        <v>1770000</v>
      </c>
      <c r="V11" s="3224">
        <f t="shared" si="14"/>
        <v>9.532832545497218</v>
      </c>
      <c r="W11" s="3224">
        <f t="shared" ref="W11:W30" si="22">U11/K11%</f>
        <v>196.66666666666666</v>
      </c>
      <c r="X11" s="3106">
        <f>'[2]Phụ lục số 2'!AA11</f>
        <v>627000</v>
      </c>
      <c r="Y11" s="3106">
        <f>'[2]Phụ lục số 2'!AB11</f>
        <v>1143000</v>
      </c>
      <c r="Z11" s="3106">
        <f>SUM(AC11,AD11)</f>
        <v>1200000</v>
      </c>
      <c r="AA11" s="3224">
        <f t="shared" si="19"/>
        <v>6.1790886682655426</v>
      </c>
      <c r="AB11" s="3224">
        <f>Z11/U11%</f>
        <v>67.79661016949153</v>
      </c>
      <c r="AC11" s="154">
        <f>'[2]Phụ lục số 2'!AF11</f>
        <v>425099.74576271186</v>
      </c>
      <c r="AD11" s="154">
        <f>'[2]Phụ lục số 2'!AG11</f>
        <v>774900.25423728814</v>
      </c>
      <c r="AE11" s="154">
        <f>SUM(AH11,AI11)</f>
        <v>1260000</v>
      </c>
      <c r="AF11" s="3226">
        <f t="shared" si="16"/>
        <v>6.1823148446931402</v>
      </c>
      <c r="AG11" s="3226">
        <f t="shared" si="4"/>
        <v>105</v>
      </c>
      <c r="AH11" s="154">
        <f>'[2]Phụ lục số 2'!AK11</f>
        <v>446399.73305084754</v>
      </c>
      <c r="AI11" s="154">
        <f>'[2]Phụ lục số 2'!AL11</f>
        <v>813600.26694915246</v>
      </c>
      <c r="AJ11" s="3113">
        <f>SUM(AM11,AN11)</f>
        <v>1300000</v>
      </c>
      <c r="AK11" s="779" t="e">
        <f t="shared" si="5"/>
        <v>#REF!</v>
      </c>
      <c r="AL11" s="3227">
        <f t="shared" si="6"/>
        <v>103.17460317460318</v>
      </c>
      <c r="AM11" s="3113">
        <f>'[11]Phụ lục số 1-1'!AV40</f>
        <v>145000</v>
      </c>
      <c r="AN11" s="3113">
        <f>'[11]Phụ lục số 1-1'!AW40</f>
        <v>1155000</v>
      </c>
      <c r="AO11" s="3113">
        <f>SUM(AR11,AS11)</f>
        <v>1350000</v>
      </c>
      <c r="AP11" s="779" t="e">
        <f t="shared" si="7"/>
        <v>#REF!</v>
      </c>
      <c r="AQ11" s="3227">
        <f t="shared" si="8"/>
        <v>103.84615384615384</v>
      </c>
      <c r="AR11" s="3113">
        <f>'[11]Phụ lục số 1-1'!BB40</f>
        <v>151000</v>
      </c>
      <c r="AS11" s="3113">
        <f>'[11]Phụ lục số 1-1'!BC40</f>
        <v>1199000</v>
      </c>
      <c r="AT11" s="3113">
        <f>SUM(AW11,AX11)</f>
        <v>1400000</v>
      </c>
      <c r="AU11" s="779" t="e">
        <f t="shared" si="17"/>
        <v>#REF!</v>
      </c>
      <c r="AV11" s="3227">
        <f t="shared" si="9"/>
        <v>103.70370370370371</v>
      </c>
      <c r="AW11" s="3113">
        <f>'[11]Phụ lục số 1-1'!BH40</f>
        <v>157000</v>
      </c>
      <c r="AX11" s="3113">
        <f>'[11]Phụ lục số 1-1'!BI40</f>
        <v>1243000</v>
      </c>
      <c r="AY11" s="3113">
        <f>SUM(BB11,BC11)</f>
        <v>1450000</v>
      </c>
      <c r="AZ11" s="779" t="e">
        <f t="shared" si="18"/>
        <v>#REF!</v>
      </c>
      <c r="BA11" s="3227">
        <f t="shared" si="10"/>
        <v>103.57142857142857</v>
      </c>
      <c r="BB11" s="3113">
        <f>'[11]Phụ lục số 1-1'!BN40</f>
        <v>163000</v>
      </c>
      <c r="BC11" s="3113">
        <f>'[11]Phụ lục số 1-1'!BO40</f>
        <v>1287000</v>
      </c>
    </row>
    <row r="12" spans="1:55">
      <c r="A12" s="3223">
        <v>3</v>
      </c>
      <c r="B12" s="37" t="s">
        <v>1918</v>
      </c>
      <c r="C12" s="779">
        <f>D12+E12</f>
        <v>1500000</v>
      </c>
      <c r="D12" s="779">
        <v>1500000</v>
      </c>
      <c r="E12" s="779">
        <v>0</v>
      </c>
      <c r="F12" s="3106">
        <f>SUM(I12,J12)</f>
        <v>1704000</v>
      </c>
      <c r="G12" s="3224" t="e">
        <f t="shared" si="3"/>
        <v>#REF!</v>
      </c>
      <c r="H12" s="3224">
        <f t="shared" si="0"/>
        <v>113.6</v>
      </c>
      <c r="I12" s="3106">
        <f>'[11]Phụ lục số 1-1'!L48</f>
        <v>1704000</v>
      </c>
      <c r="J12" s="3106">
        <f>'[11]Phụ lục số 1-1'!M48</f>
        <v>0</v>
      </c>
      <c r="K12" s="3106">
        <f>SUM(N12,O12)</f>
        <v>1600000</v>
      </c>
      <c r="L12" s="3225">
        <f t="shared" si="11"/>
        <v>10.113783221802535</v>
      </c>
      <c r="M12" s="3224">
        <f t="shared" si="21"/>
        <v>106.66666666666667</v>
      </c>
      <c r="N12" s="3106">
        <f>'[2]Phụ lục số 2'!D12</f>
        <v>1600000</v>
      </c>
      <c r="O12" s="3106">
        <f>'[2]Phụ lục số 2'!E12</f>
        <v>0</v>
      </c>
      <c r="P12" s="3106">
        <f>SUM(S12,T12)</f>
        <v>1950000</v>
      </c>
      <c r="Q12" s="3093">
        <f t="shared" si="12"/>
        <v>11.277090564301796</v>
      </c>
      <c r="R12" s="3098">
        <f>P12/K12%</f>
        <v>121.875</v>
      </c>
      <c r="S12" s="3106">
        <f>'[2]Phụ lục số 2'!S12</f>
        <v>1950000</v>
      </c>
      <c r="T12" s="3106">
        <f>'[2]Phụ lục số 2'!T12</f>
        <v>0</v>
      </c>
      <c r="U12" s="3106">
        <f>SUM(X12,Y12)</f>
        <v>1950000</v>
      </c>
      <c r="V12" s="3224">
        <f t="shared" si="14"/>
        <v>10.502273143344393</v>
      </c>
      <c r="W12" s="3224">
        <f t="shared" si="22"/>
        <v>121.875</v>
      </c>
      <c r="X12" s="3106">
        <f>'[2]Phụ lục số 2'!AA12</f>
        <v>1950000</v>
      </c>
      <c r="Y12" s="3106">
        <f>'[2]Phụ lục số 2'!AB12</f>
        <v>0</v>
      </c>
      <c r="Z12" s="3106">
        <f>SUM(AC12,AD12)</f>
        <v>2322000</v>
      </c>
      <c r="AA12" s="3224">
        <f t="shared" si="19"/>
        <v>11.956536573093825</v>
      </c>
      <c r="AB12" s="3224">
        <f>Z12/U12%</f>
        <v>119.07692307692308</v>
      </c>
      <c r="AC12" s="154">
        <f>'[2]Phụ lục số 2'!AF12</f>
        <v>2322000</v>
      </c>
      <c r="AD12" s="154">
        <f>'[2]Phụ lục số 2'!AG12</f>
        <v>0</v>
      </c>
      <c r="AE12" s="154">
        <f>SUM(AH12,AI12)</f>
        <v>2500000</v>
      </c>
      <c r="AF12" s="3226">
        <f>AE12/$AE$7*100</f>
        <v>12.266497707724485</v>
      </c>
      <c r="AG12" s="3226">
        <f>AE12/Z12%</f>
        <v>107.66580534022394</v>
      </c>
      <c r="AH12" s="154">
        <f>'[2]Phụ lục số 2'!AK12</f>
        <v>2500000</v>
      </c>
      <c r="AI12" s="154">
        <f>'[2]Phụ lục số 2'!AL12</f>
        <v>0</v>
      </c>
      <c r="AJ12" s="3113">
        <f>SUM(AM12,AN12)</f>
        <v>2600000</v>
      </c>
      <c r="AK12" s="779" t="e">
        <f t="shared" si="5"/>
        <v>#REF!</v>
      </c>
      <c r="AL12" s="3227">
        <f>AJ12/AE12%</f>
        <v>104</v>
      </c>
      <c r="AM12" s="3113">
        <f>'[11]Phụ lục số 1-1'!AV48</f>
        <v>2600000</v>
      </c>
      <c r="AN12" s="3113">
        <f>'[11]Phụ lục số 1-1'!AW48</f>
        <v>0</v>
      </c>
      <c r="AO12" s="3113">
        <f>SUM(AR12,AS12)</f>
        <v>2660000</v>
      </c>
      <c r="AP12" s="779" t="e">
        <f t="shared" si="7"/>
        <v>#REF!</v>
      </c>
      <c r="AQ12" s="3227">
        <f>AO12/AJ12%</f>
        <v>102.30769230769231</v>
      </c>
      <c r="AR12" s="3113">
        <f>'[11]Phụ lục số 1-1'!BB48</f>
        <v>2660000</v>
      </c>
      <c r="AS12" s="3113">
        <f>'[11]Phụ lục số 1-1'!AZ48</f>
        <v>0</v>
      </c>
      <c r="AT12" s="3113">
        <f>SUM(AW12,AX12)</f>
        <v>2710000</v>
      </c>
      <c r="AU12" s="779" t="e">
        <f t="shared" si="17"/>
        <v>#REF!</v>
      </c>
      <c r="AV12" s="3227">
        <f>AT12/AO12%</f>
        <v>101.8796992481203</v>
      </c>
      <c r="AW12" s="3113">
        <f>'[11]Phụ lục số 1-1'!BH48</f>
        <v>2710000</v>
      </c>
      <c r="AX12" s="3113">
        <f>'[11]Phụ lục số 1-1'!BI48</f>
        <v>0</v>
      </c>
      <c r="AY12" s="3113">
        <f>SUM(BB12,BC12)</f>
        <v>2810000</v>
      </c>
      <c r="AZ12" s="779" t="e">
        <f t="shared" si="18"/>
        <v>#REF!</v>
      </c>
      <c r="BA12" s="3227">
        <f>AY12/AT12%</f>
        <v>103.69003690036901</v>
      </c>
      <c r="BB12" s="3113">
        <f>'[11]Phụ lục số 1-1'!BN48</f>
        <v>2810000</v>
      </c>
      <c r="BC12" s="3113">
        <f>'[11]Phụ lục số 1-1'!BO48</f>
        <v>0</v>
      </c>
    </row>
    <row r="13" spans="1:55">
      <c r="A13" s="3223">
        <v>4</v>
      </c>
      <c r="B13" s="3150" t="s">
        <v>1919</v>
      </c>
      <c r="C13" s="779">
        <f>D13+E13</f>
        <v>38777</v>
      </c>
      <c r="D13" s="779">
        <v>38777</v>
      </c>
      <c r="E13" s="779">
        <v>0</v>
      </c>
      <c r="F13" s="3106">
        <f>SUM(I13,J13)</f>
        <v>38777</v>
      </c>
      <c r="G13" s="3224"/>
      <c r="H13" s="3224"/>
      <c r="I13" s="3106">
        <f>INT('[11]Phụ lục số 1-1'!H46)</f>
        <v>38777</v>
      </c>
      <c r="J13" s="3106">
        <v>0</v>
      </c>
      <c r="K13" s="3106">
        <f>SUM(N13,O13)</f>
        <v>0</v>
      </c>
      <c r="L13" s="3225"/>
      <c r="M13" s="3224"/>
      <c r="N13" s="3106">
        <f>'[2]Phụ lục số 2'!D13</f>
        <v>0</v>
      </c>
      <c r="O13" s="3106">
        <f>'[2]Phụ lục số 2'!E13</f>
        <v>0</v>
      </c>
      <c r="P13" s="3106">
        <f>SUM(S13,T13)</f>
        <v>0</v>
      </c>
      <c r="Q13" s="3093">
        <f t="shared" si="12"/>
        <v>0</v>
      </c>
      <c r="R13" s="3106"/>
      <c r="S13" s="3106">
        <f>'[2]Phụ lục số 2'!S13</f>
        <v>0</v>
      </c>
      <c r="T13" s="3106">
        <f>'[2]Phụ lục số 2'!T13</f>
        <v>0</v>
      </c>
      <c r="U13" s="3106">
        <f>SUM(X13,Y13)</f>
        <v>0</v>
      </c>
      <c r="V13" s="3224"/>
      <c r="W13" s="3224"/>
      <c r="X13" s="3106">
        <f>'[2]Phụ lục số 2'!AA13</f>
        <v>0</v>
      </c>
      <c r="Y13" s="3106">
        <f>'[2]Phụ lục số 2'!AB13</f>
        <v>0</v>
      </c>
      <c r="Z13" s="3106">
        <f>SUM(AC13,AD13)</f>
        <v>0</v>
      </c>
      <c r="AA13" s="3224"/>
      <c r="AB13" s="3224"/>
      <c r="AC13" s="154">
        <f>'[2]Phụ lục số 2'!AF13</f>
        <v>0</v>
      </c>
      <c r="AD13" s="154">
        <f>'[2]Phụ lục số 2'!AG13</f>
        <v>0</v>
      </c>
      <c r="AE13" s="154">
        <f>SUM(AH13,AI13)</f>
        <v>0</v>
      </c>
      <c r="AF13" s="3226"/>
      <c r="AG13" s="3226"/>
      <c r="AH13" s="154">
        <f>'[2]Phụ lục số 2'!AK13</f>
        <v>0</v>
      </c>
      <c r="AI13" s="154">
        <f>'[2]Phụ lục số 2'!AL13</f>
        <v>0</v>
      </c>
      <c r="AJ13" s="3113" t="e">
        <f>SUM(AM13,AN13)</f>
        <v>#REF!</v>
      </c>
      <c r="AK13" s="779" t="e">
        <f t="shared" si="5"/>
        <v>#REF!</v>
      </c>
      <c r="AL13" s="3227"/>
      <c r="AM13" s="3113" t="e">
        <f>'[11]Phụ lục số 1-1'!AT46</f>
        <v>#REF!</v>
      </c>
      <c r="AN13" s="3113">
        <f>'[11]Phụ lục số 1-1'!AU46</f>
        <v>0</v>
      </c>
      <c r="AO13" s="3113" t="e">
        <f>SUM(AR13,AS13)</f>
        <v>#REF!</v>
      </c>
      <c r="AP13" s="779" t="e">
        <f t="shared" si="7"/>
        <v>#REF!</v>
      </c>
      <c r="AQ13" s="3227"/>
      <c r="AR13" s="3113">
        <f>0</f>
        <v>0</v>
      </c>
      <c r="AS13" s="3113" t="e">
        <f>'[11]Phụ lục số 1-1'!AZ46</f>
        <v>#REF!</v>
      </c>
      <c r="AT13" s="3113" t="e">
        <f>SUM(AW13,AX13)</f>
        <v>#REF!</v>
      </c>
      <c r="AU13" s="779" t="e">
        <f t="shared" si="17"/>
        <v>#REF!</v>
      </c>
      <c r="AV13" s="3227"/>
      <c r="AW13" s="3113" t="e">
        <f>'[11]Phụ lục số 1-1'!BD46</f>
        <v>#REF!</v>
      </c>
      <c r="AX13" s="3113">
        <f>0</f>
        <v>0</v>
      </c>
      <c r="AY13" s="3113" t="e">
        <f>SUM(BB13,BC13)</f>
        <v>#REF!</v>
      </c>
      <c r="AZ13" s="779" t="e">
        <f t="shared" si="18"/>
        <v>#REF!</v>
      </c>
      <c r="BA13" s="3227"/>
      <c r="BB13" s="3113">
        <f>'[11]Phụ lục số 1-1'!BI46</f>
        <v>0</v>
      </c>
      <c r="BC13" s="3113" t="e">
        <f>'[11]Phụ lục số 1-1'!BJ46</f>
        <v>#REF!</v>
      </c>
    </row>
    <row r="14" spans="1:55" s="3053" customFormat="1">
      <c r="A14" s="3218" t="s">
        <v>33</v>
      </c>
      <c r="B14" s="3219" t="s">
        <v>151</v>
      </c>
      <c r="C14" s="185">
        <f>SUM(C15:C17,C25,C26,C27)</f>
        <v>9140657</v>
      </c>
      <c r="D14" s="185">
        <f>SUM(D15:D17,D25,D26,D27)</f>
        <v>3100034</v>
      </c>
      <c r="E14" s="185">
        <f>SUM(E15:E17,E25,E26,E27)</f>
        <v>6040623</v>
      </c>
      <c r="F14" s="3098">
        <f>SUM(F15,F16,F17,F25,F26,F27)</f>
        <v>9458532</v>
      </c>
      <c r="G14" s="3212" t="e">
        <f t="shared" si="3"/>
        <v>#REF!</v>
      </c>
      <c r="H14" s="3212">
        <f t="shared" si="0"/>
        <v>103.47759466305322</v>
      </c>
      <c r="I14" s="3098">
        <f>SUM(I15,I16,I17,I25,I26,I27)</f>
        <v>3204585</v>
      </c>
      <c r="J14" s="3098">
        <f>SUM(J15,J16,J17,J25,J26,J27)</f>
        <v>6253947</v>
      </c>
      <c r="K14" s="3098">
        <f>SUM(K15,K16,K17,K25,K26,K27)</f>
        <v>9353865</v>
      </c>
      <c r="L14" s="3220">
        <f>K14/$K$7*100</f>
        <v>59.126851810003735</v>
      </c>
      <c r="M14" s="3212">
        <f>K14/C14%</f>
        <v>102.33252379998505</v>
      </c>
      <c r="N14" s="3098">
        <f>SUM(N15,N16,N17,N25,N26,N27)</f>
        <v>3168035</v>
      </c>
      <c r="O14" s="3098">
        <f>SUM(O15,O16,O17,O25,O26,O27)</f>
        <v>6185830</v>
      </c>
      <c r="P14" s="3098">
        <f>SUM(P15,P16,P17,P25,P26,P27)</f>
        <v>9353865</v>
      </c>
      <c r="Q14" s="3093">
        <f t="shared" si="12"/>
        <v>54.094555246796311</v>
      </c>
      <c r="R14" s="3229">
        <f>P14/K14%</f>
        <v>100</v>
      </c>
      <c r="S14" s="3098">
        <f>SUM(S15,S16,S17,S25,S26,S27)</f>
        <v>3168035</v>
      </c>
      <c r="T14" s="3098">
        <f>SUM(T15,T16,T17,T25,T26,T27)</f>
        <v>6185830</v>
      </c>
      <c r="U14" s="3098">
        <f>SUM(U15,U16,U17,U25,U26,U27)</f>
        <v>10664978.394711081</v>
      </c>
      <c r="V14" s="3212">
        <f t="shared" si="14"/>
        <v>57.439239061088401</v>
      </c>
      <c r="W14" s="3212">
        <f>U14/K14%</f>
        <v>114.01680903787987</v>
      </c>
      <c r="X14" s="3098">
        <f>SUM(X15,X16,X17,X25,X26,X27)</f>
        <v>3294440</v>
      </c>
      <c r="Y14" s="3098">
        <f>SUM(Y15,Y16,Y17,Y25,Y26,Y27)</f>
        <v>7370538.3947110809</v>
      </c>
      <c r="Z14" s="3098">
        <f>SUM(Z15,Z16,Z17,Z25,Z26,Z27)</f>
        <v>11071000</v>
      </c>
      <c r="AA14" s="3212">
        <f t="shared" si="19"/>
        <v>57.007242205306518</v>
      </c>
      <c r="AB14" s="3212">
        <f t="shared" si="20"/>
        <v>103.80705511311932</v>
      </c>
      <c r="AC14" s="149">
        <f>SUM(AC15,AC16,AC17,AC25,AC26,AC27)</f>
        <v>3701000</v>
      </c>
      <c r="AD14" s="149">
        <f>SUM(AD15,AD16,AD17,AD25,AD26,AD27)</f>
        <v>7370000</v>
      </c>
      <c r="AE14" s="149">
        <f>SUM(AE15,AE16,AE17,AE25,AE26,AE27)</f>
        <v>11373000</v>
      </c>
      <c r="AF14" s="3221">
        <f>AE14/$AE$7*100</f>
        <v>55.802751371980222</v>
      </c>
      <c r="AG14" s="3221">
        <f>AE14/Z14%</f>
        <v>102.72784752958179</v>
      </c>
      <c r="AH14" s="149">
        <f>SUM(AH15,AH16,AH17,AH25,AH26,AH27)</f>
        <v>4003000</v>
      </c>
      <c r="AI14" s="149">
        <f>SUM(AI15,AI16,AI17,AI25,AI26,AI27)</f>
        <v>7370000</v>
      </c>
      <c r="AJ14" s="3103">
        <f>SUM(AJ15,AJ16,AJ17,AJ25,AJ26,AJ27)</f>
        <v>11670000</v>
      </c>
      <c r="AK14" s="185" t="e">
        <f t="shared" si="5"/>
        <v>#REF!</v>
      </c>
      <c r="AL14" s="3222">
        <f t="shared" ref="AL14:AL30" si="23">AJ14/AE14%</f>
        <v>102.61144816671063</v>
      </c>
      <c r="AM14" s="3103">
        <f>SUM(AM15,AM16,AM17,AM25,AM26,AM27)</f>
        <v>4131000</v>
      </c>
      <c r="AN14" s="3103">
        <f>SUM(AN15,AN16,AN17,AN25,AN26,AN27)</f>
        <v>7539000</v>
      </c>
      <c r="AO14" s="3103">
        <f>SUM(AO15,AO16,AO17,AO25,AO26,AO27)</f>
        <v>12010000</v>
      </c>
      <c r="AP14" s="185" t="e">
        <f t="shared" si="7"/>
        <v>#REF!</v>
      </c>
      <c r="AQ14" s="3222">
        <f t="shared" ref="AQ14:AQ29" si="24">AO14/AJ14%</f>
        <v>102.91345329905741</v>
      </c>
      <c r="AR14" s="3103">
        <f>SUM(AR15,AR16,AR17,AR25,AR26,AR27)</f>
        <v>4211000</v>
      </c>
      <c r="AS14" s="3103">
        <f>SUM(AS15,AS16,AS17,AS25,AS26,AS27)</f>
        <v>7799000</v>
      </c>
      <c r="AT14" s="3103">
        <f>SUM(AT15,AT16,AT17,AT25,AT26,AT27)</f>
        <v>12383000</v>
      </c>
      <c r="AU14" s="185" t="e">
        <f t="shared" si="17"/>
        <v>#REF!</v>
      </c>
      <c r="AV14" s="3222">
        <f t="shared" ref="AV14:AV29" si="25">AT14/AO14%</f>
        <v>103.10574521232306</v>
      </c>
      <c r="AW14" s="3103">
        <f>SUM(AW15,AW16,AW17,AW25,AW26,AW27)</f>
        <v>4350000</v>
      </c>
      <c r="AX14" s="3103">
        <f>SUM(AX15,AX16,AX17,AX25,AX26,AX27)</f>
        <v>8033000</v>
      </c>
      <c r="AY14" s="3103">
        <f>SUM(AY15,AY16,AY17,AY25,AY26,AY27)</f>
        <v>12801000</v>
      </c>
      <c r="AZ14" s="185" t="e">
        <f t="shared" si="18"/>
        <v>#REF!</v>
      </c>
      <c r="BA14" s="3222">
        <f t="shared" ref="BA14:BA29" si="26">AY14/AT14%</f>
        <v>103.37559557457806</v>
      </c>
      <c r="BB14" s="3103">
        <f>SUM(BB15,BB16,BB17,BB25,BB26,BB27)</f>
        <v>4497000</v>
      </c>
      <c r="BC14" s="3103">
        <f>SUM(BC15,BC16,BC17,BC25,BC26,BC27)</f>
        <v>8304000</v>
      </c>
    </row>
    <row r="15" spans="1:55" s="3053" customFormat="1">
      <c r="A15" s="3218">
        <v>1</v>
      </c>
      <c r="B15" s="3219" t="s">
        <v>1729</v>
      </c>
      <c r="C15" s="185">
        <f t="shared" ref="C15:C36" si="27">D15+E15</f>
        <v>1709255</v>
      </c>
      <c r="D15" s="185">
        <v>509599</v>
      </c>
      <c r="E15" s="185">
        <v>1199656</v>
      </c>
      <c r="F15" s="3098">
        <f>I15+J15</f>
        <v>1779657</v>
      </c>
      <c r="G15" s="3212" t="e">
        <f>F15/$F$7*100</f>
        <v>#REF!</v>
      </c>
      <c r="H15" s="3212">
        <f t="shared" si="0"/>
        <v>104.11887050206083</v>
      </c>
      <c r="I15" s="3098">
        <f>D15</f>
        <v>509599</v>
      </c>
      <c r="J15" s="3098">
        <f>E15+70402</f>
        <v>1270058</v>
      </c>
      <c r="K15" s="3098">
        <f>N15+O15</f>
        <v>1793642</v>
      </c>
      <c r="L15" s="3220">
        <f t="shared" si="11"/>
        <v>11.337816478450215</v>
      </c>
      <c r="M15" s="3230">
        <f t="shared" si="21"/>
        <v>104.93706322345116</v>
      </c>
      <c r="N15" s="3098">
        <f>'[2]Phụ lục số 2'!D16</f>
        <v>540000</v>
      </c>
      <c r="O15" s="3098">
        <f>'[2]Phụ lục số 2'!E16</f>
        <v>1253642</v>
      </c>
      <c r="P15" s="3098">
        <f>S15+T15</f>
        <v>1793642</v>
      </c>
      <c r="Q15" s="3093">
        <f t="shared" si="12"/>
        <v>10.372852960992514</v>
      </c>
      <c r="R15" s="3229">
        <f t="shared" ref="R15:R38" si="28">P15/K15%</f>
        <v>100.00000000000001</v>
      </c>
      <c r="S15" s="3098">
        <f>'[2]Phụ lục số 2'!S16</f>
        <v>540000</v>
      </c>
      <c r="T15" s="3098">
        <f>'[2]Phụ lục số 2'!T16</f>
        <v>1253642</v>
      </c>
      <c r="U15" s="3098">
        <f>X15+Y15</f>
        <v>2068978.6115313373</v>
      </c>
      <c r="V15" s="3212">
        <f t="shared" si="14"/>
        <v>11.143065900533095</v>
      </c>
      <c r="W15" s="3212">
        <f t="shared" si="22"/>
        <v>115.35070050385403</v>
      </c>
      <c r="X15" s="3098">
        <f>'[2]Phụ lục số 2'!AA16</f>
        <v>545710</v>
      </c>
      <c r="Y15" s="3098">
        <f>'[2]Phụ lục số 2'!AB16</f>
        <v>1523268.6115313373</v>
      </c>
      <c r="Z15" s="3098">
        <f>SUM(AC15,AD15)</f>
        <v>2136000</v>
      </c>
      <c r="AA15" s="3212">
        <f t="shared" si="19"/>
        <v>10.998777829512665</v>
      </c>
      <c r="AB15" s="3212">
        <f t="shared" si="20"/>
        <v>103.23934660779589</v>
      </c>
      <c r="AC15" s="154">
        <f>'[2]Phụ lục số 2'!AF16</f>
        <v>613000</v>
      </c>
      <c r="AD15" s="154">
        <f>'[2]Phụ lục số 2'!AG16</f>
        <v>1523000</v>
      </c>
      <c r="AE15" s="149">
        <f>SUM(AH15,AI15)</f>
        <v>2186000</v>
      </c>
      <c r="AF15" s="3221">
        <f t="shared" ref="AF15:AF36" si="29">AE15/$AE$7*100</f>
        <v>10.725825595634289</v>
      </c>
      <c r="AG15" s="3221">
        <f t="shared" ref="AG15:AG30" si="30">AE15/Z15%</f>
        <v>102.34082397003745</v>
      </c>
      <c r="AH15" s="154">
        <f>'[2]Phụ lục số 2'!AK16</f>
        <v>663000</v>
      </c>
      <c r="AI15" s="154">
        <f>'[2]Phụ lục số 2'!AL16</f>
        <v>1523000</v>
      </c>
      <c r="AJ15" s="3103">
        <f>SUM(AM15,AN15)</f>
        <v>2242000</v>
      </c>
      <c r="AK15" s="185" t="e">
        <f t="shared" si="5"/>
        <v>#REF!</v>
      </c>
      <c r="AL15" s="3222">
        <f t="shared" si="23"/>
        <v>102.56175663311986</v>
      </c>
      <c r="AM15" s="3103">
        <f>ROUND(INT(AH15*$AM$44),-3)</f>
        <v>684000</v>
      </c>
      <c r="AN15" s="3103">
        <f>ROUND(INT(AI15*$AN$44),-3)</f>
        <v>1558000</v>
      </c>
      <c r="AO15" s="3103">
        <f>SUM(AR15,AS15)</f>
        <v>2309000</v>
      </c>
      <c r="AP15" s="185" t="e">
        <f t="shared" si="7"/>
        <v>#REF!</v>
      </c>
      <c r="AQ15" s="3222">
        <f t="shared" si="24"/>
        <v>102.98840321141837</v>
      </c>
      <c r="AR15" s="3103">
        <f>ROUND(INT(AM15*$AR$44),-3)</f>
        <v>697000</v>
      </c>
      <c r="AS15" s="3103">
        <f>ROUND(INT(AN15*$AS$44),-3)</f>
        <v>1612000</v>
      </c>
      <c r="AT15" s="3103">
        <f>SUM(AW15,AX15)</f>
        <v>2380000</v>
      </c>
      <c r="AU15" s="185" t="e">
        <f t="shared" si="17"/>
        <v>#REF!</v>
      </c>
      <c r="AV15" s="3222">
        <f t="shared" si="25"/>
        <v>103.07492420961455</v>
      </c>
      <c r="AW15" s="3103">
        <f>ROUND(INT(AR15*$AW$44),-3)</f>
        <v>720000</v>
      </c>
      <c r="AX15" s="3103">
        <f>ROUND(INT(AS15*$AX$44),-3)</f>
        <v>1660000</v>
      </c>
      <c r="AY15" s="3103">
        <f>SUM(BB15,BC15)</f>
        <v>2460000</v>
      </c>
      <c r="AZ15" s="185" t="e">
        <f t="shared" si="18"/>
        <v>#REF!</v>
      </c>
      <c r="BA15" s="3222">
        <f t="shared" si="26"/>
        <v>103.36134453781513</v>
      </c>
      <c r="BB15" s="3103">
        <f>ROUND(INT(AW15*$BB$44),-3)</f>
        <v>744000</v>
      </c>
      <c r="BC15" s="3103">
        <f>ROUND(INT(AX15*$BC$44),-3)</f>
        <v>1716000</v>
      </c>
    </row>
    <row r="16" spans="1:55" s="3053" customFormat="1">
      <c r="A16" s="3218">
        <v>2</v>
      </c>
      <c r="B16" s="3219" t="s">
        <v>1681</v>
      </c>
      <c r="C16" s="185">
        <f t="shared" si="27"/>
        <v>133115</v>
      </c>
      <c r="D16" s="3103">
        <v>62000</v>
      </c>
      <c r="E16" s="3103">
        <v>71115</v>
      </c>
      <c r="F16" s="3098">
        <f>I16+J16</f>
        <v>133115</v>
      </c>
      <c r="G16" s="3212" t="e">
        <f t="shared" si="3"/>
        <v>#REF!</v>
      </c>
      <c r="H16" s="3212">
        <f>F16/C16*100</f>
        <v>100</v>
      </c>
      <c r="I16" s="3098">
        <f>D16</f>
        <v>62000</v>
      </c>
      <c r="J16" s="3098">
        <f>E16</f>
        <v>71115</v>
      </c>
      <c r="K16" s="3098">
        <f>N16+O16</f>
        <v>136670</v>
      </c>
      <c r="L16" s="3220">
        <f>K16/$K$7*100</f>
        <v>0.86390672057734519</v>
      </c>
      <c r="M16" s="3212">
        <f>K16/C16%</f>
        <v>102.67062314540058</v>
      </c>
      <c r="N16" s="3098">
        <f>'[2]Phụ lục số 2'!D17</f>
        <v>62000</v>
      </c>
      <c r="O16" s="3098">
        <f>'[2]Phụ lục số 2'!E17</f>
        <v>74670</v>
      </c>
      <c r="P16" s="3098">
        <f>S16+T16</f>
        <v>136670</v>
      </c>
      <c r="Q16" s="3093">
        <f t="shared" si="12"/>
        <v>0.79037947047339818</v>
      </c>
      <c r="R16" s="3229">
        <f t="shared" si="28"/>
        <v>100</v>
      </c>
      <c r="S16" s="3098">
        <f>'[2]Phụ lục số 2'!S17</f>
        <v>62000</v>
      </c>
      <c r="T16" s="3098">
        <f>'[2]Phụ lục số 2'!T17</f>
        <v>74670</v>
      </c>
      <c r="U16" s="3098">
        <f>X16+Y16</f>
        <v>151965</v>
      </c>
      <c r="V16" s="3212">
        <f t="shared" si="14"/>
        <v>0.8184502247324773</v>
      </c>
      <c r="W16" s="3212">
        <f t="shared" si="22"/>
        <v>111.1911904587693</v>
      </c>
      <c r="X16" s="3098">
        <f>'[2]Phụ lục số 2'!AA17</f>
        <v>67965</v>
      </c>
      <c r="Y16" s="3098">
        <f>'[2]Phụ lục số 2'!AB17</f>
        <v>84000</v>
      </c>
      <c r="Z16" s="3098">
        <f>SUM(AC16,AD16)</f>
        <v>160000</v>
      </c>
      <c r="AA16" s="3212">
        <f t="shared" si="19"/>
        <v>0.82387848910207229</v>
      </c>
      <c r="AB16" s="3212">
        <f t="shared" si="20"/>
        <v>105.28740170433981</v>
      </c>
      <c r="AC16" s="154">
        <f>'[2]Phụ lục số 2'!AF17</f>
        <v>76000</v>
      </c>
      <c r="AD16" s="154">
        <f>'[2]Phụ lục số 2'!AG17</f>
        <v>84000</v>
      </c>
      <c r="AE16" s="149">
        <f>SUM(AH16,AI16)</f>
        <v>166000</v>
      </c>
      <c r="AF16" s="3221">
        <f t="shared" si="29"/>
        <v>0.81449544779290572</v>
      </c>
      <c r="AG16" s="3221">
        <f t="shared" si="30"/>
        <v>103.75</v>
      </c>
      <c r="AH16" s="154">
        <f>'[2]Phụ lục số 2'!AK17</f>
        <v>82000</v>
      </c>
      <c r="AI16" s="154">
        <f>'[2]Phụ lục số 2'!AL17</f>
        <v>84000</v>
      </c>
      <c r="AJ16" s="3103">
        <f>SUM(AM16,AN16)</f>
        <v>171000</v>
      </c>
      <c r="AK16" s="185" t="e">
        <f t="shared" si="5"/>
        <v>#REF!</v>
      </c>
      <c r="AL16" s="3222">
        <f t="shared" si="23"/>
        <v>103.01204819277109</v>
      </c>
      <c r="AM16" s="3103">
        <f>ROUND(INT(AH16*$AM$44),-3)</f>
        <v>85000</v>
      </c>
      <c r="AN16" s="3103">
        <f>ROUND(INT(AI16*$AN$44),-3)</f>
        <v>86000</v>
      </c>
      <c r="AO16" s="3103">
        <f>SUM(AR16,AS16)</f>
        <v>176000</v>
      </c>
      <c r="AP16" s="185" t="e">
        <f t="shared" si="7"/>
        <v>#REF!</v>
      </c>
      <c r="AQ16" s="3222">
        <f t="shared" si="24"/>
        <v>102.92397660818713</v>
      </c>
      <c r="AR16" s="3103">
        <f>ROUND(INT(AM16*$AR$44),-3)</f>
        <v>87000</v>
      </c>
      <c r="AS16" s="3103">
        <f>ROUND(INT(AN16*$AS$44),-3)</f>
        <v>89000</v>
      </c>
      <c r="AT16" s="3103">
        <f>SUM(AW16,AX16)</f>
        <v>182000</v>
      </c>
      <c r="AU16" s="185" t="e">
        <f t="shared" si="17"/>
        <v>#REF!</v>
      </c>
      <c r="AV16" s="3222">
        <f t="shared" si="25"/>
        <v>103.40909090909091</v>
      </c>
      <c r="AW16" s="3103">
        <f>ROUND(INT(AR16*$AW$44),-3)</f>
        <v>90000</v>
      </c>
      <c r="AX16" s="3103">
        <f>ROUND(INT(AS16*$AX$44),-3)</f>
        <v>92000</v>
      </c>
      <c r="AY16" s="3103">
        <f>SUM(BB16,BC16)</f>
        <v>188000</v>
      </c>
      <c r="AZ16" s="185" t="e">
        <f t="shared" si="18"/>
        <v>#REF!</v>
      </c>
      <c r="BA16" s="3222">
        <f t="shared" si="26"/>
        <v>103.2967032967033</v>
      </c>
      <c r="BB16" s="3103">
        <f>ROUND(INT(AW16*$BB$44),-3)</f>
        <v>93000</v>
      </c>
      <c r="BC16" s="3103">
        <f>ROUND(INT(AX16*$BC$44),-3)</f>
        <v>95000</v>
      </c>
    </row>
    <row r="17" spans="1:55" s="3053" customFormat="1">
      <c r="A17" s="3218">
        <v>3</v>
      </c>
      <c r="B17" s="3219" t="s">
        <v>1682</v>
      </c>
      <c r="C17" s="185">
        <f>SUM(C18:C24)</f>
        <v>5566019</v>
      </c>
      <c r="D17" s="185">
        <f>SUM(D18:D24)</f>
        <v>1908435</v>
      </c>
      <c r="E17" s="185">
        <f>SUM(E18:E24)</f>
        <v>3657584</v>
      </c>
      <c r="F17" s="3098">
        <f>SUM(F18:F24)</f>
        <v>5783492</v>
      </c>
      <c r="G17" s="3212" t="e">
        <f t="shared" si="3"/>
        <v>#REF!</v>
      </c>
      <c r="H17" s="3212">
        <f t="shared" si="0"/>
        <v>103.90715518578</v>
      </c>
      <c r="I17" s="3098">
        <f>SUM(I18:I24)</f>
        <v>2012986</v>
      </c>
      <c r="J17" s="3098">
        <f>SUM(J18:J24)</f>
        <v>3770506</v>
      </c>
      <c r="K17" s="3098">
        <f>SUM(K18:K24)</f>
        <v>5659998</v>
      </c>
      <c r="L17" s="3220">
        <f t="shared" si="11"/>
        <v>35.777495504897445</v>
      </c>
      <c r="M17" s="3212">
        <f t="shared" si="21"/>
        <v>101.68844195465377</v>
      </c>
      <c r="N17" s="3098">
        <f>SUM(N18:N24)</f>
        <v>1951035</v>
      </c>
      <c r="O17" s="3098">
        <f>SUM(O18:O24)</f>
        <v>3708963</v>
      </c>
      <c r="P17" s="3098">
        <f>SUM(P18:P24)</f>
        <v>5659998</v>
      </c>
      <c r="Q17" s="3093">
        <f t="shared" si="12"/>
        <v>32.732466687060018</v>
      </c>
      <c r="R17" s="3229">
        <f t="shared" si="28"/>
        <v>100</v>
      </c>
      <c r="S17" s="3098">
        <f>SUM(S18:S24)</f>
        <v>1951035</v>
      </c>
      <c r="T17" s="3098">
        <f>SUM(T18:T24)</f>
        <v>3708963</v>
      </c>
      <c r="U17" s="3098">
        <f>SUM(U18:U24)</f>
        <v>6454249.7831797441</v>
      </c>
      <c r="V17" s="3212">
        <f t="shared" si="14"/>
        <v>34.761176491448715</v>
      </c>
      <c r="W17" s="3212">
        <f>U17/K17%</f>
        <v>114.03272197586897</v>
      </c>
      <c r="X17" s="3098">
        <f>SUM(X18:X24)</f>
        <v>1996980</v>
      </c>
      <c r="Y17" s="3098">
        <f>SUM(Y18:Y24)</f>
        <v>4457269.7831797441</v>
      </c>
      <c r="Z17" s="3098">
        <f>SUM(Z18:Z24)</f>
        <v>6701000</v>
      </c>
      <c r="AA17" s="3212">
        <f t="shared" si="19"/>
        <v>34.505060971706165</v>
      </c>
      <c r="AB17" s="3212">
        <f t="shared" si="20"/>
        <v>103.82306581104601</v>
      </c>
      <c r="AC17" s="149">
        <f>SUM(AC18:AC24)</f>
        <v>2244000</v>
      </c>
      <c r="AD17" s="149">
        <f>SUM(AD18:AD24)</f>
        <v>4457000</v>
      </c>
      <c r="AE17" s="149">
        <f>SUM(AE18:AE24)</f>
        <v>6884000</v>
      </c>
      <c r="AF17" s="3221">
        <f t="shared" si="29"/>
        <v>33.777028087990139</v>
      </c>
      <c r="AG17" s="3221">
        <f t="shared" si="30"/>
        <v>102.7309356812416</v>
      </c>
      <c r="AH17" s="149">
        <f>SUM(AH18:AH24)</f>
        <v>2427000</v>
      </c>
      <c r="AI17" s="149">
        <f>SUM(AI18:AI24)</f>
        <v>4457000</v>
      </c>
      <c r="AJ17" s="3103">
        <f>SUM(AJ18:AJ24)</f>
        <v>7063000</v>
      </c>
      <c r="AK17" s="185" t="e">
        <f t="shared" si="5"/>
        <v>#REF!</v>
      </c>
      <c r="AL17" s="3222">
        <f t="shared" si="23"/>
        <v>102.60023242300988</v>
      </c>
      <c r="AM17" s="3103">
        <f>SUM(AM18:AM24)</f>
        <v>2504000</v>
      </c>
      <c r="AN17" s="3103">
        <f>SUM(AN18:AN24)</f>
        <v>4559000</v>
      </c>
      <c r="AO17" s="3103">
        <f>SUM(AO18:AO24)</f>
        <v>7268000</v>
      </c>
      <c r="AP17" s="185" t="e">
        <f t="shared" si="7"/>
        <v>#REF!</v>
      </c>
      <c r="AQ17" s="3222">
        <f t="shared" si="24"/>
        <v>102.90244938411441</v>
      </c>
      <c r="AR17" s="3103">
        <f>SUM(AR18:AR24)</f>
        <v>2552000</v>
      </c>
      <c r="AS17" s="3103">
        <f>SUM(AS18:AS24)</f>
        <v>4716000</v>
      </c>
      <c r="AT17" s="3103">
        <f>SUM(AT18:AT24)</f>
        <v>7494000</v>
      </c>
      <c r="AU17" s="185" t="e">
        <f t="shared" si="17"/>
        <v>#REF!</v>
      </c>
      <c r="AV17" s="3222">
        <f t="shared" si="25"/>
        <v>103.1095211887727</v>
      </c>
      <c r="AW17" s="3103">
        <f>SUM(AW18:AW24)</f>
        <v>2636000</v>
      </c>
      <c r="AX17" s="3103">
        <f>SUM(AX18:AX24)</f>
        <v>4858000</v>
      </c>
      <c r="AY17" s="3103">
        <f>SUM(AY18:AY24)</f>
        <v>7747000</v>
      </c>
      <c r="AZ17" s="185" t="e">
        <f t="shared" si="18"/>
        <v>#REF!</v>
      </c>
      <c r="BA17" s="3222">
        <f t="shared" si="26"/>
        <v>103.37603416066186</v>
      </c>
      <c r="BB17" s="3103">
        <f>SUM(BB18:BB24)</f>
        <v>2725000</v>
      </c>
      <c r="BC17" s="3103">
        <f>SUM(BC18:BC24)</f>
        <v>5022000</v>
      </c>
    </row>
    <row r="18" spans="1:55">
      <c r="A18" s="3223" t="s">
        <v>99</v>
      </c>
      <c r="B18" s="1513" t="s">
        <v>739</v>
      </c>
      <c r="C18" s="779">
        <f t="shared" si="27"/>
        <v>31000</v>
      </c>
      <c r="D18" s="779">
        <v>31000</v>
      </c>
      <c r="E18" s="779">
        <v>0</v>
      </c>
      <c r="F18" s="3106">
        <f>SUM(I18,J18)</f>
        <v>31000</v>
      </c>
      <c r="G18" s="3224" t="e">
        <f>F18/$F$7*100</f>
        <v>#REF!</v>
      </c>
      <c r="H18" s="3224">
        <f t="shared" si="0"/>
        <v>100</v>
      </c>
      <c r="I18" s="3106">
        <f t="shared" ref="I18:J23" si="31">D18</f>
        <v>31000</v>
      </c>
      <c r="J18" s="3106">
        <f t="shared" si="31"/>
        <v>0</v>
      </c>
      <c r="K18" s="3106">
        <f t="shared" ref="K18:K27" si="32">N18+O18</f>
        <v>31000</v>
      </c>
      <c r="L18" s="3225">
        <f t="shared" si="11"/>
        <v>0.19595454992242414</v>
      </c>
      <c r="M18" s="3224">
        <f>K18/C18%</f>
        <v>100</v>
      </c>
      <c r="N18" s="3106">
        <f>'[2]Phụ lục số 2'!D19</f>
        <v>31000</v>
      </c>
      <c r="O18" s="3106">
        <f>'[2]Phụ lục số 2'!E19</f>
        <v>0</v>
      </c>
      <c r="P18" s="3106">
        <f>S18+T18</f>
        <v>31000</v>
      </c>
      <c r="Q18" s="3231">
        <f t="shared" si="12"/>
        <v>0.17927682435556699</v>
      </c>
      <c r="R18" s="3232">
        <f t="shared" si="28"/>
        <v>100</v>
      </c>
      <c r="S18" s="3106">
        <f>'[2]Phụ lục số 2'!S19</f>
        <v>31000</v>
      </c>
      <c r="T18" s="3106">
        <f>'[2]Phụ lục số 2'!T19</f>
        <v>0</v>
      </c>
      <c r="U18" s="3106">
        <f>X18+Y18</f>
        <v>31218</v>
      </c>
      <c r="V18" s="3224">
        <f t="shared" si="14"/>
        <v>0.16813331435329501</v>
      </c>
      <c r="W18" s="3224">
        <f t="shared" si="22"/>
        <v>100.70322580645161</v>
      </c>
      <c r="X18" s="3106">
        <f>'[2]Phụ lục số 2'!AA19</f>
        <v>31218</v>
      </c>
      <c r="Y18" s="3106">
        <f>'[2]Phụ lục số 2'!AB19</f>
        <v>0</v>
      </c>
      <c r="Z18" s="3106">
        <f>AC18+AD18</f>
        <v>35000</v>
      </c>
      <c r="AA18" s="3224">
        <f t="shared" si="19"/>
        <v>0.18022341949107831</v>
      </c>
      <c r="AB18" s="3224">
        <f t="shared" si="20"/>
        <v>112.11480556089435</v>
      </c>
      <c r="AC18" s="154">
        <f>'[2]Phụ lục số 2'!AF19</f>
        <v>35000</v>
      </c>
      <c r="AD18" s="154">
        <f>'[2]Phụ lục số 2'!AG19</f>
        <v>0</v>
      </c>
      <c r="AE18" s="154">
        <f>AH18+AI18</f>
        <v>38000</v>
      </c>
      <c r="AF18" s="3226">
        <f t="shared" si="29"/>
        <v>0.18645076515741216</v>
      </c>
      <c r="AG18" s="3226">
        <f t="shared" si="30"/>
        <v>108.57142857142857</v>
      </c>
      <c r="AH18" s="154">
        <f>'[2]Phụ lục số 2'!AK19</f>
        <v>38000</v>
      </c>
      <c r="AI18" s="154">
        <f>'[2]Phụ lục số 2'!AL19</f>
        <v>0</v>
      </c>
      <c r="AJ18" s="3113">
        <f>AM18+AN18</f>
        <v>39000</v>
      </c>
      <c r="AK18" s="779" t="e">
        <f t="shared" si="5"/>
        <v>#REF!</v>
      </c>
      <c r="AL18" s="3227">
        <f t="shared" si="23"/>
        <v>102.63157894736842</v>
      </c>
      <c r="AM18" s="3113">
        <f t="shared" ref="AM18:AM27" si="33">ROUND(INT(AH18*$AM$44),-3)</f>
        <v>39000</v>
      </c>
      <c r="AN18" s="3113">
        <f t="shared" ref="AN18:AN27" si="34">ROUND(INT(AI18*$AN$44),-3)</f>
        <v>0</v>
      </c>
      <c r="AO18" s="3113">
        <f>AR18+AS18</f>
        <v>40000</v>
      </c>
      <c r="AP18" s="779" t="e">
        <f t="shared" si="7"/>
        <v>#REF!</v>
      </c>
      <c r="AQ18" s="3227">
        <f t="shared" si="24"/>
        <v>102.56410256410257</v>
      </c>
      <c r="AR18" s="3113">
        <f t="shared" ref="AR18:AR27" si="35">ROUND(INT(AM18*$AR$44),-3)</f>
        <v>40000</v>
      </c>
      <c r="AS18" s="3113">
        <f t="shared" ref="AS18:AS27" si="36">ROUND(INT(AN18*$AS$44),-3)</f>
        <v>0</v>
      </c>
      <c r="AT18" s="3113">
        <f>AW18+AX18</f>
        <v>41000</v>
      </c>
      <c r="AU18" s="779" t="e">
        <f t="shared" si="17"/>
        <v>#REF!</v>
      </c>
      <c r="AV18" s="3227">
        <f t="shared" si="25"/>
        <v>102.5</v>
      </c>
      <c r="AW18" s="3113">
        <f t="shared" ref="AW18:AW29" si="37">ROUND(INT(AR18*$AW$44),-3)</f>
        <v>41000</v>
      </c>
      <c r="AX18" s="3113">
        <f t="shared" ref="AX18:AX29" si="38">ROUND(INT(AS18*$AX$44),-3)</f>
        <v>0</v>
      </c>
      <c r="AY18" s="3113">
        <f>BB18+BC18</f>
        <v>42000</v>
      </c>
      <c r="AZ18" s="779" t="e">
        <f t="shared" si="18"/>
        <v>#REF!</v>
      </c>
      <c r="BA18" s="3227">
        <f t="shared" si="26"/>
        <v>102.4390243902439</v>
      </c>
      <c r="BB18" s="3113">
        <f t="shared" ref="BB18:BB29" si="39">ROUND(INT(AW18*$BB$44),-3)</f>
        <v>42000</v>
      </c>
      <c r="BC18" s="3113">
        <f t="shared" ref="BC18:BC29" si="40">ROUND(INT(AX18*$BC$44),-3)</f>
        <v>0</v>
      </c>
    </row>
    <row r="19" spans="1:55">
      <c r="A19" s="3223" t="s">
        <v>101</v>
      </c>
      <c r="B19" s="1513" t="s">
        <v>1684</v>
      </c>
      <c r="C19" s="779">
        <f t="shared" si="27"/>
        <v>4090257</v>
      </c>
      <c r="D19" s="779">
        <v>954435</v>
      </c>
      <c r="E19" s="779">
        <v>3135822</v>
      </c>
      <c r="F19" s="3106">
        <f>SUM(I19,J19)</f>
        <v>4090257</v>
      </c>
      <c r="G19" s="3224" t="e">
        <f t="shared" si="3"/>
        <v>#REF!</v>
      </c>
      <c r="H19" s="3224">
        <f t="shared" si="0"/>
        <v>100</v>
      </c>
      <c r="I19" s="3106">
        <f>D19</f>
        <v>954435</v>
      </c>
      <c r="J19" s="3106">
        <f>E19</f>
        <v>3135822</v>
      </c>
      <c r="K19" s="3106">
        <f>4179745</f>
        <v>4179745</v>
      </c>
      <c r="L19" s="3225">
        <f>K19/$K$7*100</f>
        <v>26.420646782758151</v>
      </c>
      <c r="M19" s="3224">
        <f t="shared" si="21"/>
        <v>102.18783318505415</v>
      </c>
      <c r="N19" s="3106">
        <f>'[2]Phụ lục số 2'!D20</f>
        <v>1017035</v>
      </c>
      <c r="O19" s="3106">
        <f>'[2]Phụ lục số 2'!E20</f>
        <v>3162710</v>
      </c>
      <c r="P19" s="3106">
        <f>S19+T19</f>
        <v>4179745</v>
      </c>
      <c r="Q19" s="3231">
        <f t="shared" si="12"/>
        <v>24.171980974711595</v>
      </c>
      <c r="R19" s="3232">
        <f t="shared" si="28"/>
        <v>100</v>
      </c>
      <c r="S19" s="3106">
        <f>'[2]Phụ lục số 2'!S20</f>
        <v>1017035</v>
      </c>
      <c r="T19" s="3106">
        <f>'[2]Phụ lục số 2'!T20</f>
        <v>3162710</v>
      </c>
      <c r="U19" s="3106">
        <f>X19+Y19</f>
        <v>4797945.7831797441</v>
      </c>
      <c r="V19" s="3224">
        <f t="shared" si="14"/>
        <v>25.840685713800564</v>
      </c>
      <c r="W19" s="3224">
        <f>U19/K19%</f>
        <v>114.79039470541252</v>
      </c>
      <c r="X19" s="3106">
        <f>'[2]Phụ lục số 2'!AA20</f>
        <v>956676</v>
      </c>
      <c r="Y19" s="3106">
        <f>'[2]Phụ lục số 2'!AB20</f>
        <v>3841269.7831797441</v>
      </c>
      <c r="Z19" s="3106">
        <f>AC19+AD19</f>
        <v>4916000</v>
      </c>
      <c r="AA19" s="3224">
        <f t="shared" si="19"/>
        <v>25.31366657766117</v>
      </c>
      <c r="AB19" s="3224">
        <f t="shared" si="20"/>
        <v>102.46051585730962</v>
      </c>
      <c r="AC19" s="154">
        <f>'[2]Phụ lục số 2'!AF20</f>
        <v>1075000</v>
      </c>
      <c r="AD19" s="154">
        <f>'[2]Phụ lục số 2'!AG20</f>
        <v>3841000</v>
      </c>
      <c r="AE19" s="154">
        <f>AH19+AI19</f>
        <v>5004000</v>
      </c>
      <c r="AF19" s="3226">
        <f t="shared" si="29"/>
        <v>24.552621811781329</v>
      </c>
      <c r="AG19" s="3226">
        <f t="shared" si="30"/>
        <v>101.7900732302685</v>
      </c>
      <c r="AH19" s="154">
        <f>'[2]Phụ lục số 2'!AK20</f>
        <v>1163000</v>
      </c>
      <c r="AI19" s="154">
        <f>'[2]Phụ lục số 2'!AL20</f>
        <v>3841000</v>
      </c>
      <c r="AJ19" s="3113">
        <f>AM19+AN19</f>
        <v>5129000</v>
      </c>
      <c r="AK19" s="779" t="e">
        <f t="shared" si="5"/>
        <v>#REF!</v>
      </c>
      <c r="AL19" s="3227">
        <f t="shared" si="23"/>
        <v>102.49800159872102</v>
      </c>
      <c r="AM19" s="3113">
        <f t="shared" si="33"/>
        <v>1200000</v>
      </c>
      <c r="AN19" s="3113">
        <f t="shared" si="34"/>
        <v>3929000</v>
      </c>
      <c r="AO19" s="3113">
        <f>AR19+AS19</f>
        <v>5287000</v>
      </c>
      <c r="AP19" s="779" t="e">
        <f t="shared" si="7"/>
        <v>#REF!</v>
      </c>
      <c r="AQ19" s="3227">
        <f t="shared" si="24"/>
        <v>103.08052251900955</v>
      </c>
      <c r="AR19" s="3113">
        <f t="shared" si="35"/>
        <v>1223000</v>
      </c>
      <c r="AS19" s="3113">
        <f t="shared" si="36"/>
        <v>4064000</v>
      </c>
      <c r="AT19" s="3113">
        <f>AW19+AX19</f>
        <v>5449000</v>
      </c>
      <c r="AU19" s="779" t="e">
        <f t="shared" si="17"/>
        <v>#REF!</v>
      </c>
      <c r="AV19" s="3227">
        <f t="shared" si="25"/>
        <v>103.06411953849064</v>
      </c>
      <c r="AW19" s="3113">
        <f t="shared" si="37"/>
        <v>1263000</v>
      </c>
      <c r="AX19" s="3113">
        <f t="shared" si="38"/>
        <v>4186000</v>
      </c>
      <c r="AY19" s="3113">
        <f>BB19+BC19</f>
        <v>5633000</v>
      </c>
      <c r="AZ19" s="779" t="e">
        <f t="shared" si="18"/>
        <v>#REF!</v>
      </c>
      <c r="BA19" s="3227">
        <f t="shared" si="26"/>
        <v>103.37676637915214</v>
      </c>
      <c r="BB19" s="3113">
        <f t="shared" si="39"/>
        <v>1306000</v>
      </c>
      <c r="BC19" s="3113">
        <f t="shared" si="40"/>
        <v>4327000</v>
      </c>
    </row>
    <row r="20" spans="1:55">
      <c r="A20" s="3223" t="s">
        <v>147</v>
      </c>
      <c r="B20" s="37" t="s">
        <v>1685</v>
      </c>
      <c r="C20" s="779">
        <f t="shared" si="27"/>
        <v>770000</v>
      </c>
      <c r="D20" s="779">
        <v>770000</v>
      </c>
      <c r="E20" s="779">
        <v>0</v>
      </c>
      <c r="F20" s="3106">
        <f>SUM(I20,J20)</f>
        <v>770000</v>
      </c>
      <c r="G20" s="3224" t="e">
        <f t="shared" si="3"/>
        <v>#REF!</v>
      </c>
      <c r="H20" s="3224">
        <f t="shared" si="0"/>
        <v>100</v>
      </c>
      <c r="I20" s="3106">
        <f t="shared" si="31"/>
        <v>770000</v>
      </c>
      <c r="J20" s="3106">
        <f t="shared" si="31"/>
        <v>0</v>
      </c>
      <c r="K20" s="3106">
        <f t="shared" si="32"/>
        <v>750000</v>
      </c>
      <c r="L20" s="3225">
        <f t="shared" si="11"/>
        <v>4.7408358852199388</v>
      </c>
      <c r="M20" s="3224">
        <f t="shared" si="21"/>
        <v>97.402597402597408</v>
      </c>
      <c r="N20" s="3106">
        <f>'[2]Phụ lục số 2'!D21</f>
        <v>750000</v>
      </c>
      <c r="O20" s="3106">
        <f>'[2]Phụ lục số 2'!E21</f>
        <v>0</v>
      </c>
      <c r="P20" s="3106">
        <f>S20+T20</f>
        <v>750000</v>
      </c>
      <c r="Q20" s="3231">
        <f t="shared" si="12"/>
        <v>4.3373425247314596</v>
      </c>
      <c r="R20" s="3232">
        <f t="shared" si="28"/>
        <v>100</v>
      </c>
      <c r="S20" s="3106">
        <f>'[2]Phụ lục số 2'!S21</f>
        <v>750000</v>
      </c>
      <c r="T20" s="3106">
        <f>'[2]Phụ lục số 2'!T21</f>
        <v>0</v>
      </c>
      <c r="U20" s="3106">
        <f>X20+Y20</f>
        <v>828538</v>
      </c>
      <c r="V20" s="3224">
        <f t="shared" si="14"/>
        <v>4.4623243003283468</v>
      </c>
      <c r="W20" s="3224">
        <f>U20/K20%</f>
        <v>110.47173333333333</v>
      </c>
      <c r="X20" s="3106">
        <f>'[2]Phụ lục số 2'!AA21</f>
        <v>828538</v>
      </c>
      <c r="Y20" s="3106">
        <f>'[2]Phụ lục số 2'!AB21</f>
        <v>0</v>
      </c>
      <c r="Z20" s="3106">
        <f>AC20+AD20</f>
        <v>931000</v>
      </c>
      <c r="AA20" s="3224">
        <f t="shared" si="19"/>
        <v>4.7939429584626829</v>
      </c>
      <c r="AB20" s="3224">
        <f t="shared" si="20"/>
        <v>112.36660237671659</v>
      </c>
      <c r="AC20" s="154">
        <f>'[2]Phụ lục số 2'!AF21</f>
        <v>931000</v>
      </c>
      <c r="AD20" s="154">
        <f>'[2]Phụ lục số 2'!AG21</f>
        <v>0</v>
      </c>
      <c r="AE20" s="154">
        <f>AH20+AI20</f>
        <v>1007000</v>
      </c>
      <c r="AF20" s="3226">
        <f t="shared" si="29"/>
        <v>4.9409452766714219</v>
      </c>
      <c r="AG20" s="3226">
        <f t="shared" si="30"/>
        <v>108.16326530612245</v>
      </c>
      <c r="AH20" s="154">
        <f>'[2]Phụ lục số 2'!AK21</f>
        <v>1007000</v>
      </c>
      <c r="AI20" s="154">
        <f>'[2]Phụ lục số 2'!AL21</f>
        <v>0</v>
      </c>
      <c r="AJ20" s="3113">
        <f>AM20+AN20</f>
        <v>1039000</v>
      </c>
      <c r="AK20" s="779" t="e">
        <f t="shared" si="5"/>
        <v>#REF!</v>
      </c>
      <c r="AL20" s="3227">
        <f t="shared" si="23"/>
        <v>103.17775571002979</v>
      </c>
      <c r="AM20" s="3113">
        <f t="shared" si="33"/>
        <v>1039000</v>
      </c>
      <c r="AN20" s="3113">
        <f t="shared" si="34"/>
        <v>0</v>
      </c>
      <c r="AO20" s="3113">
        <f>AR20+AS20</f>
        <v>1059000</v>
      </c>
      <c r="AP20" s="779" t="e">
        <f t="shared" si="7"/>
        <v>#REF!</v>
      </c>
      <c r="AQ20" s="3227">
        <f t="shared" si="24"/>
        <v>101.92492781520693</v>
      </c>
      <c r="AR20" s="3113">
        <f t="shared" si="35"/>
        <v>1059000</v>
      </c>
      <c r="AS20" s="3113">
        <f t="shared" si="36"/>
        <v>0</v>
      </c>
      <c r="AT20" s="3113">
        <f>AW20+AX20</f>
        <v>1094000</v>
      </c>
      <c r="AU20" s="779" t="e">
        <f t="shared" si="17"/>
        <v>#REF!</v>
      </c>
      <c r="AV20" s="3227">
        <f t="shared" si="25"/>
        <v>103.30500472143531</v>
      </c>
      <c r="AW20" s="3113">
        <f t="shared" si="37"/>
        <v>1094000</v>
      </c>
      <c r="AX20" s="3113">
        <f t="shared" si="38"/>
        <v>0</v>
      </c>
      <c r="AY20" s="3113">
        <f>BB20+BC20</f>
        <v>1131000</v>
      </c>
      <c r="AZ20" s="779" t="e">
        <f t="shared" si="18"/>
        <v>#REF!</v>
      </c>
      <c r="BA20" s="3227">
        <f t="shared" si="26"/>
        <v>103.38208409506399</v>
      </c>
      <c r="BB20" s="3113">
        <f t="shared" si="39"/>
        <v>1131000</v>
      </c>
      <c r="BC20" s="3113">
        <f t="shared" si="40"/>
        <v>0</v>
      </c>
    </row>
    <row r="21" spans="1:55">
      <c r="A21" s="3223" t="s">
        <v>148</v>
      </c>
      <c r="B21" s="37" t="s">
        <v>1686</v>
      </c>
      <c r="C21" s="779">
        <f t="shared" si="27"/>
        <v>77843</v>
      </c>
      <c r="D21" s="779">
        <v>40000</v>
      </c>
      <c r="E21" s="779">
        <v>37843</v>
      </c>
      <c r="F21" s="3106">
        <f>SUM(I21,J21)</f>
        <v>77843</v>
      </c>
      <c r="G21" s="3224" t="e">
        <f t="shared" si="3"/>
        <v>#REF!</v>
      </c>
      <c r="H21" s="3224">
        <f t="shared" si="0"/>
        <v>100</v>
      </c>
      <c r="I21" s="3106">
        <f t="shared" si="31"/>
        <v>40000</v>
      </c>
      <c r="J21" s="3106">
        <f t="shared" si="31"/>
        <v>37843</v>
      </c>
      <c r="K21" s="3106">
        <f t="shared" si="32"/>
        <v>78978</v>
      </c>
      <c r="L21" s="3225">
        <f t="shared" si="11"/>
        <v>0.4992289820572004</v>
      </c>
      <c r="M21" s="3224">
        <f t="shared" si="21"/>
        <v>101.4580630242925</v>
      </c>
      <c r="N21" s="3106">
        <f>'[2]Phụ lục số 2'!D22</f>
        <v>40000</v>
      </c>
      <c r="O21" s="3106">
        <f>'[2]Phụ lục số 2'!E22</f>
        <v>38978</v>
      </c>
      <c r="P21" s="3106">
        <f t="shared" ref="P21:P28" si="41">S21+T21</f>
        <v>78978</v>
      </c>
      <c r="Q21" s="3231">
        <f t="shared" si="12"/>
        <v>0.45673951722432166</v>
      </c>
      <c r="R21" s="3232">
        <f t="shared" si="28"/>
        <v>100</v>
      </c>
      <c r="S21" s="3106">
        <f>'[2]Phụ lục số 2'!S22</f>
        <v>40000</v>
      </c>
      <c r="T21" s="3106">
        <f>'[2]Phụ lục số 2'!T22</f>
        <v>38978</v>
      </c>
      <c r="U21" s="3106">
        <f t="shared" ref="U21:U33" si="42">X21+Y21</f>
        <v>91888</v>
      </c>
      <c r="V21" s="3224">
        <f t="shared" si="14"/>
        <v>0.49488865363878443</v>
      </c>
      <c r="W21" s="3224">
        <f t="shared" si="22"/>
        <v>116.34632429284105</v>
      </c>
      <c r="X21" s="3106">
        <f>'[2]Phụ lục số 2'!AA22</f>
        <v>47888</v>
      </c>
      <c r="Y21" s="3106">
        <f>'[2]Phụ lục số 2'!AB22</f>
        <v>44000</v>
      </c>
      <c r="Z21" s="3106">
        <f t="shared" ref="Z21:Z33" si="43">AC21+AD21</f>
        <v>98000</v>
      </c>
      <c r="AA21" s="3224">
        <f t="shared" si="19"/>
        <v>0.50462557457501933</v>
      </c>
      <c r="AB21" s="3224">
        <f t="shared" si="20"/>
        <v>106.65157583144698</v>
      </c>
      <c r="AC21" s="154">
        <f>'[2]Phụ lục số 2'!AF22</f>
        <v>54000</v>
      </c>
      <c r="AD21" s="154">
        <f>'[2]Phụ lục số 2'!AG22</f>
        <v>44000</v>
      </c>
      <c r="AE21" s="154">
        <f t="shared" ref="AE21:AE33" si="44">AH21+AI21</f>
        <v>102000</v>
      </c>
      <c r="AF21" s="3226">
        <f t="shared" si="29"/>
        <v>0.50047310647515897</v>
      </c>
      <c r="AG21" s="3226">
        <f t="shared" si="30"/>
        <v>104.08163265306122</v>
      </c>
      <c r="AH21" s="154">
        <f>'[2]Phụ lục số 2'!AK22</f>
        <v>58000</v>
      </c>
      <c r="AI21" s="154">
        <f>'[2]Phụ lục số 2'!AL22</f>
        <v>44000</v>
      </c>
      <c r="AJ21" s="3113">
        <f t="shared" ref="AJ21:AJ29" si="45">AM21+AN21</f>
        <v>105000</v>
      </c>
      <c r="AK21" s="779" t="e">
        <f t="shared" si="5"/>
        <v>#REF!</v>
      </c>
      <c r="AL21" s="3227">
        <f t="shared" si="23"/>
        <v>102.94117647058823</v>
      </c>
      <c r="AM21" s="3113">
        <f t="shared" si="33"/>
        <v>60000</v>
      </c>
      <c r="AN21" s="3113">
        <f t="shared" si="34"/>
        <v>45000</v>
      </c>
      <c r="AO21" s="3113">
        <f t="shared" ref="AO21:AO29" si="46">AR21+AS21</f>
        <v>108000</v>
      </c>
      <c r="AP21" s="779" t="e">
        <f t="shared" si="7"/>
        <v>#REF!</v>
      </c>
      <c r="AQ21" s="3227">
        <f t="shared" si="24"/>
        <v>102.85714285714286</v>
      </c>
      <c r="AR21" s="3113">
        <f t="shared" si="35"/>
        <v>61000</v>
      </c>
      <c r="AS21" s="3113">
        <f t="shared" si="36"/>
        <v>47000</v>
      </c>
      <c r="AT21" s="3113">
        <f t="shared" ref="AT21:AT29" si="47">AW21+AX21</f>
        <v>111000</v>
      </c>
      <c r="AU21" s="779" t="e">
        <f t="shared" si="17"/>
        <v>#REF!</v>
      </c>
      <c r="AV21" s="3227">
        <f t="shared" si="25"/>
        <v>102.77777777777777</v>
      </c>
      <c r="AW21" s="3113">
        <f t="shared" si="37"/>
        <v>63000</v>
      </c>
      <c r="AX21" s="3113">
        <f t="shared" si="38"/>
        <v>48000</v>
      </c>
      <c r="AY21" s="3113">
        <f t="shared" ref="AY21:AY29" si="48">BB21+BC21</f>
        <v>115000</v>
      </c>
      <c r="AZ21" s="779" t="e">
        <f t="shared" si="18"/>
        <v>#REF!</v>
      </c>
      <c r="BA21" s="3227">
        <f t="shared" si="26"/>
        <v>103.6036036036036</v>
      </c>
      <c r="BB21" s="3113">
        <f t="shared" si="39"/>
        <v>65000</v>
      </c>
      <c r="BC21" s="3113">
        <f t="shared" si="40"/>
        <v>50000</v>
      </c>
    </row>
    <row r="22" spans="1:55">
      <c r="A22" s="3223" t="s">
        <v>157</v>
      </c>
      <c r="B22" s="37" t="s">
        <v>1687</v>
      </c>
      <c r="C22" s="779">
        <f t="shared" si="27"/>
        <v>41920</v>
      </c>
      <c r="D22" s="779">
        <v>14000</v>
      </c>
      <c r="E22" s="779">
        <v>27920</v>
      </c>
      <c r="F22" s="3106">
        <f t="shared" ref="F22:F28" si="49">SUM(I22,J22)</f>
        <v>41920</v>
      </c>
      <c r="G22" s="3224" t="e">
        <f t="shared" si="3"/>
        <v>#REF!</v>
      </c>
      <c r="H22" s="3224">
        <f t="shared" si="0"/>
        <v>100</v>
      </c>
      <c r="I22" s="3106">
        <f t="shared" si="31"/>
        <v>14000</v>
      </c>
      <c r="J22" s="3106">
        <f t="shared" si="31"/>
        <v>27920</v>
      </c>
      <c r="K22" s="3106">
        <f t="shared" si="32"/>
        <v>42757</v>
      </c>
      <c r="L22" s="3225">
        <f t="shared" si="11"/>
        <v>0.27027189325913187</v>
      </c>
      <c r="M22" s="3224">
        <f t="shared" si="21"/>
        <v>101.99666030534351</v>
      </c>
      <c r="N22" s="3106">
        <f>'[2]Phụ lục số 2'!D23</f>
        <v>14000</v>
      </c>
      <c r="O22" s="3106">
        <f>'[2]Phụ lục số 2'!E23</f>
        <v>28757</v>
      </c>
      <c r="P22" s="3106">
        <f t="shared" si="41"/>
        <v>42757</v>
      </c>
      <c r="Q22" s="3231">
        <f t="shared" si="12"/>
        <v>0.24726900577325736</v>
      </c>
      <c r="R22" s="3232">
        <f t="shared" si="28"/>
        <v>100</v>
      </c>
      <c r="S22" s="3106">
        <f>'[2]Phụ lục số 2'!S23</f>
        <v>14000</v>
      </c>
      <c r="T22" s="3106">
        <f>'[2]Phụ lục số 2'!T23</f>
        <v>28757</v>
      </c>
      <c r="U22" s="3106">
        <f t="shared" si="42"/>
        <v>50073</v>
      </c>
      <c r="V22" s="3224">
        <f t="shared" si="14"/>
        <v>0.26968221697778655</v>
      </c>
      <c r="W22" s="3224">
        <f t="shared" si="22"/>
        <v>117.11064854877564</v>
      </c>
      <c r="X22" s="3106">
        <f>'[2]Phụ lục số 2'!AA23</f>
        <v>18073</v>
      </c>
      <c r="Y22" s="3106">
        <f>'[2]Phụ lục số 2'!AB23</f>
        <v>32000</v>
      </c>
      <c r="Z22" s="3106">
        <f t="shared" si="43"/>
        <v>52000</v>
      </c>
      <c r="AA22" s="3224">
        <f t="shared" si="19"/>
        <v>0.26776050895817349</v>
      </c>
      <c r="AB22" s="3224">
        <f t="shared" si="20"/>
        <v>103.84838136320971</v>
      </c>
      <c r="AC22" s="154">
        <f>'[2]Phụ lục số 2'!AF23</f>
        <v>20000</v>
      </c>
      <c r="AD22" s="154">
        <f>'[2]Phụ lục số 2'!AG23</f>
        <v>32000</v>
      </c>
      <c r="AE22" s="154">
        <f t="shared" si="44"/>
        <v>54000</v>
      </c>
      <c r="AF22" s="3226">
        <f t="shared" si="29"/>
        <v>0.2649563504868489</v>
      </c>
      <c r="AG22" s="3226">
        <f t="shared" si="30"/>
        <v>103.84615384615384</v>
      </c>
      <c r="AH22" s="154">
        <f>'[2]Phụ lục số 2'!AK23</f>
        <v>22000</v>
      </c>
      <c r="AI22" s="154">
        <f>'[2]Phụ lục số 2'!AL23</f>
        <v>32000</v>
      </c>
      <c r="AJ22" s="3113">
        <f t="shared" si="45"/>
        <v>56000</v>
      </c>
      <c r="AK22" s="779" t="e">
        <f t="shared" si="5"/>
        <v>#REF!</v>
      </c>
      <c r="AL22" s="3227">
        <f t="shared" si="23"/>
        <v>103.70370370370371</v>
      </c>
      <c r="AM22" s="3113">
        <f t="shared" si="33"/>
        <v>23000</v>
      </c>
      <c r="AN22" s="3113">
        <f t="shared" si="34"/>
        <v>33000</v>
      </c>
      <c r="AO22" s="3113">
        <f t="shared" si="46"/>
        <v>57000</v>
      </c>
      <c r="AP22" s="779" t="e">
        <f t="shared" si="7"/>
        <v>#REF!</v>
      </c>
      <c r="AQ22" s="3227">
        <f t="shared" si="24"/>
        <v>101.78571428571429</v>
      </c>
      <c r="AR22" s="3113">
        <f t="shared" si="35"/>
        <v>23000</v>
      </c>
      <c r="AS22" s="3113">
        <f t="shared" si="36"/>
        <v>34000</v>
      </c>
      <c r="AT22" s="3113">
        <f t="shared" si="47"/>
        <v>59000</v>
      </c>
      <c r="AU22" s="779" t="e">
        <f t="shared" si="17"/>
        <v>#REF!</v>
      </c>
      <c r="AV22" s="3227">
        <f t="shared" si="25"/>
        <v>103.50877192982456</v>
      </c>
      <c r="AW22" s="3113">
        <f t="shared" si="37"/>
        <v>24000</v>
      </c>
      <c r="AX22" s="3113">
        <f t="shared" si="38"/>
        <v>35000</v>
      </c>
      <c r="AY22" s="3113">
        <f t="shared" si="48"/>
        <v>61000</v>
      </c>
      <c r="AZ22" s="779" t="e">
        <f t="shared" si="18"/>
        <v>#REF!</v>
      </c>
      <c r="BA22" s="3227">
        <f t="shared" si="26"/>
        <v>103.38983050847457</v>
      </c>
      <c r="BB22" s="3113">
        <f t="shared" si="39"/>
        <v>25000</v>
      </c>
      <c r="BC22" s="3113">
        <f t="shared" si="40"/>
        <v>36000</v>
      </c>
    </row>
    <row r="23" spans="1:55">
      <c r="A23" s="3223" t="s">
        <v>1688</v>
      </c>
      <c r="B23" s="37" t="s">
        <v>1689</v>
      </c>
      <c r="C23" s="779">
        <f t="shared" si="27"/>
        <v>37960</v>
      </c>
      <c r="D23" s="779">
        <v>24000</v>
      </c>
      <c r="E23" s="779">
        <v>13960</v>
      </c>
      <c r="F23" s="3106">
        <f t="shared" si="49"/>
        <v>37960</v>
      </c>
      <c r="G23" s="3224" t="e">
        <f t="shared" si="3"/>
        <v>#REF!</v>
      </c>
      <c r="H23" s="3224">
        <f t="shared" si="0"/>
        <v>100</v>
      </c>
      <c r="I23" s="3106">
        <f t="shared" si="31"/>
        <v>24000</v>
      </c>
      <c r="J23" s="3106">
        <f t="shared" si="31"/>
        <v>13960</v>
      </c>
      <c r="K23" s="3106">
        <f t="shared" si="32"/>
        <v>38378</v>
      </c>
      <c r="L23" s="3225">
        <f t="shared" si="11"/>
        <v>0.24259173280396107</v>
      </c>
      <c r="M23" s="3224">
        <f t="shared" si="21"/>
        <v>101.10115911485774</v>
      </c>
      <c r="N23" s="3106">
        <f>'[2]Phụ lục số 2'!D24</f>
        <v>24000</v>
      </c>
      <c r="O23" s="3106">
        <f>'[2]Phụ lục số 2'!E24</f>
        <v>14378</v>
      </c>
      <c r="P23" s="3106">
        <f t="shared" si="41"/>
        <v>38378</v>
      </c>
      <c r="Q23" s="3231">
        <f t="shared" si="12"/>
        <v>0.22194470855219195</v>
      </c>
      <c r="R23" s="3232">
        <f t="shared" si="28"/>
        <v>100.00000000000001</v>
      </c>
      <c r="S23" s="3106">
        <f>'[2]Phụ lục số 2'!S24</f>
        <v>24000</v>
      </c>
      <c r="T23" s="3106">
        <f>'[2]Phụ lục số 2'!T24</f>
        <v>14378</v>
      </c>
      <c r="U23" s="3106">
        <f t="shared" si="42"/>
        <v>53202</v>
      </c>
      <c r="V23" s="3224">
        <f t="shared" si="14"/>
        <v>0.28653432603702994</v>
      </c>
      <c r="W23" s="3224">
        <f t="shared" si="22"/>
        <v>138.6262963155975</v>
      </c>
      <c r="X23" s="3106">
        <f>'[2]Phụ lục số 2'!AA24</f>
        <v>37202</v>
      </c>
      <c r="Y23" s="3106">
        <f>'[2]Phụ lục số 2'!AB24</f>
        <v>16000</v>
      </c>
      <c r="Z23" s="3106">
        <f t="shared" si="43"/>
        <v>58000</v>
      </c>
      <c r="AA23" s="3224">
        <f t="shared" si="19"/>
        <v>0.2986559522995012</v>
      </c>
      <c r="AB23" s="3224">
        <f t="shared" si="20"/>
        <v>109.01845795270854</v>
      </c>
      <c r="AC23" s="154">
        <f>'[2]Phụ lục số 2'!AF24</f>
        <v>42000</v>
      </c>
      <c r="AD23" s="154">
        <f>'[2]Phụ lục số 2'!AG24</f>
        <v>16000</v>
      </c>
      <c r="AE23" s="154">
        <f t="shared" si="44"/>
        <v>61000</v>
      </c>
      <c r="AF23" s="3226">
        <f t="shared" si="29"/>
        <v>0.29930254406847739</v>
      </c>
      <c r="AG23" s="3226">
        <f t="shared" si="30"/>
        <v>105.17241379310344</v>
      </c>
      <c r="AH23" s="154">
        <f>'[2]Phụ lục số 2'!AK24</f>
        <v>45000</v>
      </c>
      <c r="AI23" s="154">
        <f>'[2]Phụ lục số 2'!AL24</f>
        <v>16000</v>
      </c>
      <c r="AJ23" s="3113">
        <f t="shared" si="45"/>
        <v>62000</v>
      </c>
      <c r="AK23" s="779" t="e">
        <f t="shared" si="5"/>
        <v>#REF!</v>
      </c>
      <c r="AL23" s="3227">
        <f t="shared" si="23"/>
        <v>101.63934426229508</v>
      </c>
      <c r="AM23" s="3113">
        <f t="shared" si="33"/>
        <v>46000</v>
      </c>
      <c r="AN23" s="3113">
        <f t="shared" si="34"/>
        <v>16000</v>
      </c>
      <c r="AO23" s="3113">
        <f t="shared" si="46"/>
        <v>64000</v>
      </c>
      <c r="AP23" s="779" t="e">
        <f t="shared" si="7"/>
        <v>#REF!</v>
      </c>
      <c r="AQ23" s="3227">
        <f t="shared" si="24"/>
        <v>103.2258064516129</v>
      </c>
      <c r="AR23" s="3113">
        <f t="shared" si="35"/>
        <v>47000</v>
      </c>
      <c r="AS23" s="3113">
        <f t="shared" si="36"/>
        <v>17000</v>
      </c>
      <c r="AT23" s="3113">
        <f t="shared" si="47"/>
        <v>67000</v>
      </c>
      <c r="AU23" s="779" t="e">
        <f t="shared" si="17"/>
        <v>#REF!</v>
      </c>
      <c r="AV23" s="3227">
        <f t="shared" si="25"/>
        <v>104.6875</v>
      </c>
      <c r="AW23" s="3113">
        <f t="shared" si="37"/>
        <v>49000</v>
      </c>
      <c r="AX23" s="3113">
        <f t="shared" si="38"/>
        <v>18000</v>
      </c>
      <c r="AY23" s="3113">
        <f t="shared" si="48"/>
        <v>70000</v>
      </c>
      <c r="AZ23" s="779" t="e">
        <f t="shared" si="18"/>
        <v>#REF!</v>
      </c>
      <c r="BA23" s="3227">
        <f t="shared" si="26"/>
        <v>104.4776119402985</v>
      </c>
      <c r="BB23" s="3113">
        <f t="shared" si="39"/>
        <v>51000</v>
      </c>
      <c r="BC23" s="3113">
        <f t="shared" si="40"/>
        <v>19000</v>
      </c>
    </row>
    <row r="24" spans="1:55">
      <c r="A24" s="3223" t="s">
        <v>159</v>
      </c>
      <c r="B24" s="37" t="s">
        <v>1730</v>
      </c>
      <c r="C24" s="779">
        <f t="shared" si="27"/>
        <v>517039</v>
      </c>
      <c r="D24" s="779">
        <v>75000</v>
      </c>
      <c r="E24" s="779">
        <v>442039</v>
      </c>
      <c r="F24" s="3106">
        <f t="shared" si="49"/>
        <v>734512</v>
      </c>
      <c r="G24" s="3224" t="e">
        <f t="shared" si="3"/>
        <v>#REF!</v>
      </c>
      <c r="H24" s="3224">
        <f t="shared" si="0"/>
        <v>142.06123716005951</v>
      </c>
      <c r="I24" s="3106">
        <f>D24+104551</f>
        <v>179551</v>
      </c>
      <c r="J24" s="3106">
        <f>INT(E24+112922)</f>
        <v>554961</v>
      </c>
      <c r="K24" s="3106">
        <f t="shared" si="32"/>
        <v>539140</v>
      </c>
      <c r="L24" s="3225">
        <f t="shared" si="11"/>
        <v>3.407965678876637</v>
      </c>
      <c r="M24" s="3224">
        <f t="shared" si="21"/>
        <v>104.27453248207581</v>
      </c>
      <c r="N24" s="3106">
        <f>'[2]Phụ lục số 2'!D25</f>
        <v>75000</v>
      </c>
      <c r="O24" s="3106">
        <f>'[2]Phụ lục số 2'!E25</f>
        <v>464140</v>
      </c>
      <c r="P24" s="3106">
        <f>S24+T24</f>
        <v>539140</v>
      </c>
      <c r="Q24" s="3231">
        <f t="shared" si="12"/>
        <v>3.1179131317116258</v>
      </c>
      <c r="R24" s="3232">
        <f t="shared" si="28"/>
        <v>100</v>
      </c>
      <c r="S24" s="3106">
        <f>'[2]Phụ lục số 2'!S25</f>
        <v>75000</v>
      </c>
      <c r="T24" s="3106">
        <f>'[2]Phụ lục số 2'!T25</f>
        <v>464140</v>
      </c>
      <c r="U24" s="3106">
        <f t="shared" si="42"/>
        <v>601385</v>
      </c>
      <c r="V24" s="3224">
        <f t="shared" si="14"/>
        <v>3.2389279663129065</v>
      </c>
      <c r="W24" s="3224">
        <f t="shared" si="22"/>
        <v>111.54523871350671</v>
      </c>
      <c r="X24" s="3106">
        <f>'[2]Phụ lục số 2'!AA25</f>
        <v>77385</v>
      </c>
      <c r="Y24" s="3106">
        <f>'[2]Phụ lục số 2'!AB25</f>
        <v>524000</v>
      </c>
      <c r="Z24" s="3106">
        <f t="shared" si="43"/>
        <v>611000</v>
      </c>
      <c r="AA24" s="3224">
        <f t="shared" si="19"/>
        <v>3.1461859802585388</v>
      </c>
      <c r="AB24" s="3224">
        <f t="shared" si="20"/>
        <v>101.59880941493385</v>
      </c>
      <c r="AC24" s="154">
        <f>'[2]Phụ lục số 2'!AF25</f>
        <v>87000</v>
      </c>
      <c r="AD24" s="154">
        <f>'[2]Phụ lục số 2'!AG25</f>
        <v>524000</v>
      </c>
      <c r="AE24" s="154">
        <f t="shared" si="44"/>
        <v>618000</v>
      </c>
      <c r="AF24" s="3226">
        <f t="shared" si="29"/>
        <v>3.0322782333494924</v>
      </c>
      <c r="AG24" s="3226">
        <f t="shared" si="30"/>
        <v>101.1456628477905</v>
      </c>
      <c r="AH24" s="154">
        <f>'[2]Phụ lục số 2'!AK25</f>
        <v>94000</v>
      </c>
      <c r="AI24" s="154">
        <f>'[2]Phụ lục số 2'!AL25</f>
        <v>524000</v>
      </c>
      <c r="AJ24" s="3113">
        <f t="shared" si="45"/>
        <v>633000</v>
      </c>
      <c r="AK24" s="779" t="e">
        <f t="shared" si="5"/>
        <v>#REF!</v>
      </c>
      <c r="AL24" s="3227">
        <f t="shared" si="23"/>
        <v>102.42718446601941</v>
      </c>
      <c r="AM24" s="3113">
        <f t="shared" si="33"/>
        <v>97000</v>
      </c>
      <c r="AN24" s="3113">
        <f t="shared" si="34"/>
        <v>536000</v>
      </c>
      <c r="AO24" s="3113">
        <f t="shared" si="46"/>
        <v>653000</v>
      </c>
      <c r="AP24" s="779" t="e">
        <f t="shared" si="7"/>
        <v>#REF!</v>
      </c>
      <c r="AQ24" s="3227">
        <f t="shared" si="24"/>
        <v>103.15955766192732</v>
      </c>
      <c r="AR24" s="3113">
        <f t="shared" si="35"/>
        <v>99000</v>
      </c>
      <c r="AS24" s="3113">
        <f t="shared" si="36"/>
        <v>554000</v>
      </c>
      <c r="AT24" s="3113">
        <f t="shared" si="47"/>
        <v>673000</v>
      </c>
      <c r="AU24" s="779" t="e">
        <f t="shared" si="17"/>
        <v>#REF!</v>
      </c>
      <c r="AV24" s="3227">
        <f t="shared" si="25"/>
        <v>103.06278713629403</v>
      </c>
      <c r="AW24" s="3113">
        <f t="shared" si="37"/>
        <v>102000</v>
      </c>
      <c r="AX24" s="3113">
        <f t="shared" si="38"/>
        <v>571000</v>
      </c>
      <c r="AY24" s="3113">
        <f t="shared" si="48"/>
        <v>695000</v>
      </c>
      <c r="AZ24" s="779" t="e">
        <f t="shared" si="18"/>
        <v>#REF!</v>
      </c>
      <c r="BA24" s="3227">
        <f t="shared" si="26"/>
        <v>103.26894502228826</v>
      </c>
      <c r="BB24" s="3113">
        <f t="shared" si="39"/>
        <v>105000</v>
      </c>
      <c r="BC24" s="3113">
        <f t="shared" si="40"/>
        <v>590000</v>
      </c>
    </row>
    <row r="25" spans="1:55" s="3053" customFormat="1">
      <c r="A25" s="3218">
        <v>4</v>
      </c>
      <c r="B25" s="39" t="s">
        <v>1690</v>
      </c>
      <c r="C25" s="185">
        <f t="shared" si="27"/>
        <v>1356350</v>
      </c>
      <c r="D25" s="185">
        <v>450000</v>
      </c>
      <c r="E25" s="185">
        <v>906350</v>
      </c>
      <c r="F25" s="3098">
        <f t="shared" si="49"/>
        <v>1386350</v>
      </c>
      <c r="G25" s="3212" t="e">
        <f t="shared" si="3"/>
        <v>#REF!</v>
      </c>
      <c r="H25" s="3212">
        <f t="shared" si="0"/>
        <v>102.21181848342979</v>
      </c>
      <c r="I25" s="3098">
        <f>D25</f>
        <v>450000</v>
      </c>
      <c r="J25" s="3098">
        <f>E25+30000</f>
        <v>936350</v>
      </c>
      <c r="K25" s="3098">
        <f t="shared" si="32"/>
        <v>1388540</v>
      </c>
      <c r="L25" s="3220">
        <f t="shared" si="11"/>
        <v>8.7771203467510581</v>
      </c>
      <c r="M25" s="3212">
        <f t="shared" si="21"/>
        <v>102.37328123272017</v>
      </c>
      <c r="N25" s="3098">
        <f>'[2]Phụ lục số 2'!D26</f>
        <v>455000</v>
      </c>
      <c r="O25" s="3098">
        <f>'[2]Phụ lục số 2'!E26</f>
        <v>933540</v>
      </c>
      <c r="P25" s="3098">
        <f t="shared" si="41"/>
        <v>1388540</v>
      </c>
      <c r="Q25" s="3093">
        <f t="shared" si="12"/>
        <v>8.0300981190541609</v>
      </c>
      <c r="R25" s="3229">
        <f t="shared" si="28"/>
        <v>100</v>
      </c>
      <c r="S25" s="3098">
        <f>'[2]Phụ lục số 2'!S26</f>
        <v>455000</v>
      </c>
      <c r="T25" s="3098">
        <f>'[2]Phụ lục số 2'!T26</f>
        <v>933540</v>
      </c>
      <c r="U25" s="3098">
        <f t="shared" si="42"/>
        <v>1570458</v>
      </c>
      <c r="V25" s="3212">
        <f t="shared" si="14"/>
        <v>8.4581430134104352</v>
      </c>
      <c r="W25" s="3212">
        <f t="shared" si="22"/>
        <v>113.10138706843159</v>
      </c>
      <c r="X25" s="3106">
        <f>'[2]Phụ lục số 2'!AA26</f>
        <v>515458</v>
      </c>
      <c r="Y25" s="3106">
        <f>'[2]Phụ lục số 2'!AB26</f>
        <v>1055000</v>
      </c>
      <c r="Z25" s="3098">
        <f t="shared" si="43"/>
        <v>1634000</v>
      </c>
      <c r="AA25" s="3212">
        <f t="shared" si="19"/>
        <v>8.4138590699549134</v>
      </c>
      <c r="AB25" s="3212">
        <f t="shared" si="20"/>
        <v>104.04608082482945</v>
      </c>
      <c r="AC25" s="154">
        <f>'[2]Phụ lục số 2'!AF26</f>
        <v>579000</v>
      </c>
      <c r="AD25" s="154">
        <f>'[2]Phụ lục số 2'!AG26</f>
        <v>1055000</v>
      </c>
      <c r="AE25" s="149">
        <f t="shared" si="44"/>
        <v>1681000</v>
      </c>
      <c r="AF25" s="3221">
        <f t="shared" si="29"/>
        <v>8.2479930586739432</v>
      </c>
      <c r="AG25" s="3221">
        <f t="shared" si="30"/>
        <v>102.87637698898409</v>
      </c>
      <c r="AH25" s="154">
        <f>'[2]Phụ lục số 2'!AK26</f>
        <v>626000</v>
      </c>
      <c r="AI25" s="154">
        <f>'[2]Phụ lục số 2'!AL26</f>
        <v>1055000</v>
      </c>
      <c r="AJ25" s="3103">
        <f t="shared" si="45"/>
        <v>1725000</v>
      </c>
      <c r="AK25" s="185" t="e">
        <f t="shared" si="5"/>
        <v>#REF!</v>
      </c>
      <c r="AL25" s="3222">
        <f t="shared" si="23"/>
        <v>102.61748958953004</v>
      </c>
      <c r="AM25" s="3103">
        <f t="shared" si="33"/>
        <v>646000</v>
      </c>
      <c r="AN25" s="3103">
        <f t="shared" si="34"/>
        <v>1079000</v>
      </c>
      <c r="AO25" s="3103">
        <f t="shared" si="46"/>
        <v>1775000</v>
      </c>
      <c r="AP25" s="185" t="e">
        <f t="shared" si="7"/>
        <v>#REF!</v>
      </c>
      <c r="AQ25" s="3222">
        <f t="shared" si="24"/>
        <v>102.89855072463769</v>
      </c>
      <c r="AR25" s="3103">
        <f t="shared" si="35"/>
        <v>659000</v>
      </c>
      <c r="AS25" s="3103">
        <f t="shared" si="36"/>
        <v>1116000</v>
      </c>
      <c r="AT25" s="3103">
        <f t="shared" si="47"/>
        <v>1830000</v>
      </c>
      <c r="AU25" s="185" t="e">
        <f t="shared" si="17"/>
        <v>#REF!</v>
      </c>
      <c r="AV25" s="3222">
        <f t="shared" si="25"/>
        <v>103.09859154929578</v>
      </c>
      <c r="AW25" s="3103">
        <f t="shared" si="37"/>
        <v>681000</v>
      </c>
      <c r="AX25" s="3103">
        <f t="shared" si="38"/>
        <v>1149000</v>
      </c>
      <c r="AY25" s="3103">
        <f t="shared" si="48"/>
        <v>1892000</v>
      </c>
      <c r="AZ25" s="185" t="e">
        <f t="shared" si="18"/>
        <v>#REF!</v>
      </c>
      <c r="BA25" s="3222">
        <f t="shared" si="26"/>
        <v>103.38797814207651</v>
      </c>
      <c r="BB25" s="3103">
        <f t="shared" si="39"/>
        <v>704000</v>
      </c>
      <c r="BC25" s="3103">
        <f t="shared" si="40"/>
        <v>1188000</v>
      </c>
    </row>
    <row r="26" spans="1:55" s="3053" customFormat="1">
      <c r="A26" s="3218">
        <v>5</v>
      </c>
      <c r="B26" s="39" t="s">
        <v>1691</v>
      </c>
      <c r="C26" s="185">
        <f t="shared" si="27"/>
        <v>317623</v>
      </c>
      <c r="D26" s="185">
        <v>140000</v>
      </c>
      <c r="E26" s="185">
        <v>177623</v>
      </c>
      <c r="F26" s="3098">
        <f>I26+J26</f>
        <v>317623</v>
      </c>
      <c r="G26" s="3212" t="e">
        <f t="shared" si="3"/>
        <v>#REF!</v>
      </c>
      <c r="H26" s="3212">
        <f t="shared" si="0"/>
        <v>100</v>
      </c>
      <c r="I26" s="3098">
        <f>D26</f>
        <v>140000</v>
      </c>
      <c r="J26" s="3098">
        <f>E26</f>
        <v>177623</v>
      </c>
      <c r="K26" s="3098">
        <f t="shared" si="32"/>
        <v>326504</v>
      </c>
      <c r="L26" s="3220">
        <f t="shared" si="11"/>
        <v>2.0638691731571344</v>
      </c>
      <c r="M26" s="3212">
        <f t="shared" si="21"/>
        <v>102.79608214770342</v>
      </c>
      <c r="N26" s="3098">
        <f>'[2]Phụ lục số 2'!D27</f>
        <v>140000</v>
      </c>
      <c r="O26" s="3098">
        <f>'[2]Phụ lục số 2'!E27</f>
        <v>186504</v>
      </c>
      <c r="P26" s="3098">
        <f t="shared" si="41"/>
        <v>326504</v>
      </c>
      <c r="Q26" s="3093">
        <f t="shared" si="12"/>
        <v>1.8882129115932273</v>
      </c>
      <c r="R26" s="3229">
        <f t="shared" si="28"/>
        <v>100</v>
      </c>
      <c r="S26" s="3098">
        <f>'[2]Phụ lục số 2'!S27</f>
        <v>140000</v>
      </c>
      <c r="T26" s="3098">
        <f>'[2]Phụ lục số 2'!T27</f>
        <v>186504</v>
      </c>
      <c r="U26" s="3098">
        <f t="shared" si="42"/>
        <v>367327</v>
      </c>
      <c r="V26" s="3212">
        <f t="shared" si="14"/>
        <v>1.9783428138078287</v>
      </c>
      <c r="W26" s="3212">
        <f t="shared" si="22"/>
        <v>112.50306274961409</v>
      </c>
      <c r="X26" s="3106">
        <f>'[2]Phụ lục số 2'!AA27</f>
        <v>148327</v>
      </c>
      <c r="Y26" s="3106">
        <f>'[2]Phụ lục số 2'!AB27</f>
        <v>219000</v>
      </c>
      <c r="Z26" s="3098">
        <f t="shared" si="43"/>
        <v>386000</v>
      </c>
      <c r="AA26" s="3212">
        <f t="shared" si="19"/>
        <v>1.9876068549587493</v>
      </c>
      <c r="AB26" s="3212">
        <f t="shared" si="20"/>
        <v>105.08348147563343</v>
      </c>
      <c r="AC26" s="154">
        <f>'[2]Phụ lục số 2'!AF27</f>
        <v>167000</v>
      </c>
      <c r="AD26" s="154">
        <f>'[2]Phụ lục số 2'!AG27</f>
        <v>219000</v>
      </c>
      <c r="AE26" s="149">
        <f t="shared" si="44"/>
        <v>400000</v>
      </c>
      <c r="AF26" s="3221">
        <f t="shared" si="29"/>
        <v>1.9626396332359175</v>
      </c>
      <c r="AG26" s="3221">
        <f t="shared" si="30"/>
        <v>103.62694300518135</v>
      </c>
      <c r="AH26" s="154">
        <f>'[2]Phụ lục số 2'!AK27</f>
        <v>181000</v>
      </c>
      <c r="AI26" s="154">
        <f>'[2]Phụ lục số 2'!AL27</f>
        <v>219000</v>
      </c>
      <c r="AJ26" s="3103">
        <f t="shared" si="45"/>
        <v>411000</v>
      </c>
      <c r="AK26" s="185" t="e">
        <f t="shared" si="5"/>
        <v>#REF!</v>
      </c>
      <c r="AL26" s="3222">
        <f t="shared" si="23"/>
        <v>102.75</v>
      </c>
      <c r="AM26" s="3103">
        <f t="shared" si="33"/>
        <v>187000</v>
      </c>
      <c r="AN26" s="3103">
        <f t="shared" si="34"/>
        <v>224000</v>
      </c>
      <c r="AO26" s="3103">
        <f t="shared" si="46"/>
        <v>423000</v>
      </c>
      <c r="AP26" s="185" t="e">
        <f t="shared" si="7"/>
        <v>#REF!</v>
      </c>
      <c r="AQ26" s="3222">
        <f t="shared" si="24"/>
        <v>102.91970802919708</v>
      </c>
      <c r="AR26" s="3103">
        <f t="shared" si="35"/>
        <v>191000</v>
      </c>
      <c r="AS26" s="3103">
        <f t="shared" si="36"/>
        <v>232000</v>
      </c>
      <c r="AT26" s="3103">
        <f t="shared" si="47"/>
        <v>436000</v>
      </c>
      <c r="AU26" s="185" t="e">
        <f t="shared" si="17"/>
        <v>#REF!</v>
      </c>
      <c r="AV26" s="3222">
        <f t="shared" si="25"/>
        <v>103.07328605200945</v>
      </c>
      <c r="AW26" s="3103">
        <f t="shared" si="37"/>
        <v>197000</v>
      </c>
      <c r="AX26" s="3103">
        <f t="shared" si="38"/>
        <v>239000</v>
      </c>
      <c r="AY26" s="3103">
        <f t="shared" si="48"/>
        <v>451000</v>
      </c>
      <c r="AZ26" s="185" t="e">
        <f t="shared" si="18"/>
        <v>#REF!</v>
      </c>
      <c r="BA26" s="3222">
        <f t="shared" si="26"/>
        <v>103.44036697247707</v>
      </c>
      <c r="BB26" s="3103">
        <f t="shared" si="39"/>
        <v>204000</v>
      </c>
      <c r="BC26" s="3103">
        <f t="shared" si="40"/>
        <v>247000</v>
      </c>
    </row>
    <row r="27" spans="1:55" s="3053" customFormat="1">
      <c r="A27" s="3218">
        <v>6</v>
      </c>
      <c r="B27" s="39" t="s">
        <v>721</v>
      </c>
      <c r="C27" s="185">
        <f t="shared" si="27"/>
        <v>58295</v>
      </c>
      <c r="D27" s="185">
        <v>30000</v>
      </c>
      <c r="E27" s="185">
        <v>28295</v>
      </c>
      <c r="F27" s="3098">
        <f t="shared" si="49"/>
        <v>58295</v>
      </c>
      <c r="G27" s="3212" t="e">
        <f t="shared" si="3"/>
        <v>#REF!</v>
      </c>
      <c r="H27" s="3212">
        <f t="shared" si="0"/>
        <v>100</v>
      </c>
      <c r="I27" s="3098">
        <f>D27</f>
        <v>30000</v>
      </c>
      <c r="J27" s="3098">
        <f>E27</f>
        <v>28295</v>
      </c>
      <c r="K27" s="3098">
        <f t="shared" si="32"/>
        <v>48511</v>
      </c>
      <c r="L27" s="3220">
        <f t="shared" si="11"/>
        <v>0.30664358617053927</v>
      </c>
      <c r="M27" s="3212">
        <f t="shared" si="21"/>
        <v>83.216399348143057</v>
      </c>
      <c r="N27" s="3098">
        <f>'[2]Phụ lục số 2'!D28</f>
        <v>20000</v>
      </c>
      <c r="O27" s="3098">
        <f>'[2]Phụ lục số 2'!E28</f>
        <v>28511</v>
      </c>
      <c r="P27" s="3098">
        <f t="shared" si="41"/>
        <v>48511</v>
      </c>
      <c r="Q27" s="3093">
        <f t="shared" si="12"/>
        <v>0.28054509762299712</v>
      </c>
      <c r="R27" s="3229">
        <f t="shared" si="28"/>
        <v>100</v>
      </c>
      <c r="S27" s="3098">
        <f>'[2]Phụ lục số 2'!S28</f>
        <v>20000</v>
      </c>
      <c r="T27" s="3098">
        <f>'[2]Phụ lục số 2'!T28</f>
        <v>28511</v>
      </c>
      <c r="U27" s="3098">
        <f t="shared" si="42"/>
        <v>52000</v>
      </c>
      <c r="V27" s="3212">
        <f t="shared" si="14"/>
        <v>0.28006061715585046</v>
      </c>
      <c r="W27" s="3212">
        <f t="shared" si="22"/>
        <v>107.19218321617777</v>
      </c>
      <c r="X27" s="3106">
        <f>'[2]Phụ lục số 2'!AA28</f>
        <v>20000</v>
      </c>
      <c r="Y27" s="3106">
        <f>'[2]Phụ lục số 2'!AB28</f>
        <v>32000</v>
      </c>
      <c r="Z27" s="3098">
        <f t="shared" si="43"/>
        <v>54000</v>
      </c>
      <c r="AA27" s="3212">
        <f t="shared" si="19"/>
        <v>0.2780589900719494</v>
      </c>
      <c r="AB27" s="3212">
        <f t="shared" si="20"/>
        <v>103.84615384615384</v>
      </c>
      <c r="AC27" s="154">
        <f>'[2]Phụ lục số 2'!AF28</f>
        <v>22000</v>
      </c>
      <c r="AD27" s="154">
        <f>'[2]Phụ lục số 2'!AG28</f>
        <v>32000</v>
      </c>
      <c r="AE27" s="149">
        <f t="shared" si="44"/>
        <v>56000</v>
      </c>
      <c r="AF27" s="3221">
        <f t="shared" si="29"/>
        <v>0.27476954865302844</v>
      </c>
      <c r="AG27" s="3221">
        <f t="shared" si="30"/>
        <v>103.70370370370371</v>
      </c>
      <c r="AH27" s="154">
        <f>'[2]Phụ lục số 2'!AK28</f>
        <v>24000</v>
      </c>
      <c r="AI27" s="154">
        <f>'[2]Phụ lục số 2'!AL28</f>
        <v>32000</v>
      </c>
      <c r="AJ27" s="3103">
        <f t="shared" si="45"/>
        <v>58000</v>
      </c>
      <c r="AK27" s="185" t="e">
        <f t="shared" si="5"/>
        <v>#REF!</v>
      </c>
      <c r="AL27" s="3222">
        <f t="shared" si="23"/>
        <v>103.57142857142857</v>
      </c>
      <c r="AM27" s="3103">
        <f t="shared" si="33"/>
        <v>25000</v>
      </c>
      <c r="AN27" s="3103">
        <f t="shared" si="34"/>
        <v>33000</v>
      </c>
      <c r="AO27" s="3103">
        <f t="shared" si="46"/>
        <v>59000</v>
      </c>
      <c r="AP27" s="185" t="e">
        <f t="shared" si="7"/>
        <v>#REF!</v>
      </c>
      <c r="AQ27" s="3222">
        <f t="shared" si="24"/>
        <v>101.72413793103448</v>
      </c>
      <c r="AR27" s="3103">
        <f t="shared" si="35"/>
        <v>25000</v>
      </c>
      <c r="AS27" s="3103">
        <f t="shared" si="36"/>
        <v>34000</v>
      </c>
      <c r="AT27" s="3103">
        <f t="shared" si="47"/>
        <v>61000</v>
      </c>
      <c r="AU27" s="185" t="e">
        <f t="shared" si="17"/>
        <v>#REF!</v>
      </c>
      <c r="AV27" s="3222">
        <f t="shared" si="25"/>
        <v>103.38983050847457</v>
      </c>
      <c r="AW27" s="3103">
        <f t="shared" si="37"/>
        <v>26000</v>
      </c>
      <c r="AX27" s="3103">
        <f t="shared" si="38"/>
        <v>35000</v>
      </c>
      <c r="AY27" s="3103">
        <f t="shared" si="48"/>
        <v>63000</v>
      </c>
      <c r="AZ27" s="185" t="e">
        <f t="shared" si="18"/>
        <v>#REF!</v>
      </c>
      <c r="BA27" s="3222">
        <f t="shared" si="26"/>
        <v>103.27868852459017</v>
      </c>
      <c r="BB27" s="3103">
        <f t="shared" si="39"/>
        <v>27000</v>
      </c>
      <c r="BC27" s="3103">
        <f t="shared" si="40"/>
        <v>36000</v>
      </c>
    </row>
    <row r="28" spans="1:55" s="3053" customFormat="1">
      <c r="A28" s="3218" t="s">
        <v>182</v>
      </c>
      <c r="B28" s="39" t="s">
        <v>742</v>
      </c>
      <c r="C28" s="185">
        <f t="shared" si="27"/>
        <v>2000</v>
      </c>
      <c r="D28" s="185">
        <v>2000</v>
      </c>
      <c r="E28" s="185">
        <v>0</v>
      </c>
      <c r="F28" s="3098">
        <f t="shared" si="49"/>
        <v>2000</v>
      </c>
      <c r="G28" s="3212" t="e">
        <f t="shared" si="3"/>
        <v>#REF!</v>
      </c>
      <c r="H28" s="3212">
        <f t="shared" si="0"/>
        <v>100</v>
      </c>
      <c r="I28" s="3098">
        <f>D28</f>
        <v>2000</v>
      </c>
      <c r="J28" s="3098">
        <f>E28</f>
        <v>0</v>
      </c>
      <c r="K28" s="3098">
        <f>+N28</f>
        <v>2000</v>
      </c>
      <c r="L28" s="3233">
        <f t="shared" si="11"/>
        <v>1.2642229027253168E-2</v>
      </c>
      <c r="M28" s="3212">
        <f t="shared" si="21"/>
        <v>100</v>
      </c>
      <c r="N28" s="3098">
        <f>'[2]Phụ lục số 2'!D29</f>
        <v>2000</v>
      </c>
      <c r="O28" s="3098">
        <f>'[2]Phụ lục số 2'!E29</f>
        <v>0</v>
      </c>
      <c r="P28" s="3098">
        <f t="shared" si="41"/>
        <v>2000</v>
      </c>
      <c r="Q28" s="3093">
        <f t="shared" si="12"/>
        <v>1.1566246732617226E-2</v>
      </c>
      <c r="R28" s="3229">
        <f t="shared" si="28"/>
        <v>100</v>
      </c>
      <c r="S28" s="3098">
        <f>'[2]Phụ lục số 2'!S29</f>
        <v>2000</v>
      </c>
      <c r="T28" s="3098">
        <f>'[2]Phụ lục số 2'!T29</f>
        <v>0</v>
      </c>
      <c r="U28" s="3098">
        <f t="shared" si="42"/>
        <v>2000</v>
      </c>
      <c r="V28" s="3212">
        <f t="shared" si="14"/>
        <v>1.0771562198301941E-2</v>
      </c>
      <c r="W28" s="3212">
        <f t="shared" si="22"/>
        <v>100</v>
      </c>
      <c r="X28" s="3106">
        <f>'[2]Phụ lục số 2'!AA29</f>
        <v>2000</v>
      </c>
      <c r="Y28" s="3106">
        <f>'[2]Phụ lục số 2'!AB29</f>
        <v>0</v>
      </c>
      <c r="Z28" s="3098">
        <f t="shared" si="43"/>
        <v>2000</v>
      </c>
      <c r="AA28" s="3212">
        <f t="shared" si="19"/>
        <v>1.0298481113775904E-2</v>
      </c>
      <c r="AB28" s="3212">
        <f t="shared" si="20"/>
        <v>100</v>
      </c>
      <c r="AC28" s="154">
        <f>'[2]Phụ lục số 2'!AF29</f>
        <v>2000</v>
      </c>
      <c r="AD28" s="154">
        <f>'[2]Phụ lục số 2'!AG29</f>
        <v>0</v>
      </c>
      <c r="AE28" s="149">
        <f t="shared" si="44"/>
        <v>2000</v>
      </c>
      <c r="AF28" s="3221">
        <f t="shared" si="29"/>
        <v>9.8131981661795879E-3</v>
      </c>
      <c r="AG28" s="3221">
        <f t="shared" si="30"/>
        <v>100</v>
      </c>
      <c r="AH28" s="154">
        <f>'[2]Phụ lục số 2'!AK29</f>
        <v>2000</v>
      </c>
      <c r="AI28" s="154">
        <f>'[2]Phụ lục số 2'!AL29</f>
        <v>0</v>
      </c>
      <c r="AJ28" s="3103">
        <f t="shared" si="45"/>
        <v>2000</v>
      </c>
      <c r="AK28" s="185" t="e">
        <f t="shared" si="5"/>
        <v>#REF!</v>
      </c>
      <c r="AL28" s="3222">
        <f t="shared" si="23"/>
        <v>100</v>
      </c>
      <c r="AM28" s="3103">
        <f>ROUND(INT(AH28*(1.1)),-3)</f>
        <v>2000</v>
      </c>
      <c r="AN28" s="3103">
        <f>ROUND(INT(AI28*1.01),-3)</f>
        <v>0</v>
      </c>
      <c r="AO28" s="3103">
        <f t="shared" si="46"/>
        <v>2000</v>
      </c>
      <c r="AP28" s="185" t="e">
        <f t="shared" si="7"/>
        <v>#REF!</v>
      </c>
      <c r="AQ28" s="3222">
        <f t="shared" si="24"/>
        <v>100</v>
      </c>
      <c r="AR28" s="3103">
        <f>ROUND(INT(AM28*(1.1)),-3)</f>
        <v>2000</v>
      </c>
      <c r="AS28" s="3103">
        <f>ROUND(INT(AN28*1.01),-3)</f>
        <v>0</v>
      </c>
      <c r="AT28" s="3103">
        <f t="shared" si="47"/>
        <v>2000</v>
      </c>
      <c r="AU28" s="185" t="e">
        <f t="shared" si="17"/>
        <v>#REF!</v>
      </c>
      <c r="AV28" s="3222">
        <f t="shared" si="25"/>
        <v>100</v>
      </c>
      <c r="AW28" s="3103">
        <f t="shared" si="37"/>
        <v>2000</v>
      </c>
      <c r="AX28" s="3103">
        <f t="shared" si="38"/>
        <v>0</v>
      </c>
      <c r="AY28" s="3103">
        <f t="shared" si="48"/>
        <v>2000</v>
      </c>
      <c r="AZ28" s="185" t="e">
        <f t="shared" si="18"/>
        <v>#REF!</v>
      </c>
      <c r="BA28" s="3222">
        <f t="shared" si="26"/>
        <v>100</v>
      </c>
      <c r="BB28" s="3103">
        <f t="shared" si="39"/>
        <v>2000</v>
      </c>
      <c r="BC28" s="3103">
        <f t="shared" si="40"/>
        <v>0</v>
      </c>
    </row>
    <row r="29" spans="1:55" s="3053" customFormat="1">
      <c r="A29" s="3218" t="s">
        <v>215</v>
      </c>
      <c r="B29" s="39" t="s">
        <v>175</v>
      </c>
      <c r="C29" s="185">
        <f t="shared" si="27"/>
        <v>273066</v>
      </c>
      <c r="D29" s="185">
        <v>135198</v>
      </c>
      <c r="E29" s="185">
        <v>137868</v>
      </c>
      <c r="F29" s="3098">
        <f>I29+J29</f>
        <v>0</v>
      </c>
      <c r="G29" s="3212" t="e">
        <f t="shared" si="3"/>
        <v>#REF!</v>
      </c>
      <c r="H29" s="3212">
        <f t="shared" si="0"/>
        <v>0</v>
      </c>
      <c r="I29" s="3098"/>
      <c r="J29" s="3098"/>
      <c r="K29" s="3098">
        <f>262830+11793</f>
        <v>274623</v>
      </c>
      <c r="L29" s="3220">
        <f t="shared" si="11"/>
        <v>1.7359234310756735</v>
      </c>
      <c r="M29" s="3212">
        <f t="shared" si="21"/>
        <v>100.57019182175738</v>
      </c>
      <c r="N29" s="3098">
        <f>'[2]Phụ lục số 2'!D30</f>
        <v>135382</v>
      </c>
      <c r="O29" s="3098">
        <f>'[2]Phụ lục số 2'!E30</f>
        <v>139241</v>
      </c>
      <c r="P29" s="3098">
        <f>SUM(S29:T29)</f>
        <v>274623</v>
      </c>
      <c r="Q29" s="3093">
        <f t="shared" si="12"/>
        <v>1.5881786882257702</v>
      </c>
      <c r="R29" s="3229">
        <f t="shared" si="28"/>
        <v>100</v>
      </c>
      <c r="S29" s="3098">
        <f>'[2]Phụ lục số 2'!S30</f>
        <v>135382</v>
      </c>
      <c r="T29" s="3098">
        <f>'[2]Phụ lục số 2'!T30</f>
        <v>139241</v>
      </c>
      <c r="U29" s="3098">
        <f t="shared" si="42"/>
        <v>327868.91231904214</v>
      </c>
      <c r="V29" s="3212">
        <f t="shared" si="14"/>
        <v>1.7658301909670839</v>
      </c>
      <c r="W29" s="3212">
        <f t="shared" si="22"/>
        <v>119.38873012058063</v>
      </c>
      <c r="X29" s="3098">
        <f>'[2]Phụ lục số 2'!AA30</f>
        <v>152264.36799999999</v>
      </c>
      <c r="Y29" s="3098">
        <f>'[2]Phụ lục số 2'!AB30</f>
        <v>175604.54431904212</v>
      </c>
      <c r="Z29" s="3098">
        <f t="shared" si="43"/>
        <v>347000</v>
      </c>
      <c r="AA29" s="3212">
        <f t="shared" si="19"/>
        <v>1.7867864732401193</v>
      </c>
      <c r="AB29" s="3212">
        <f t="shared" si="20"/>
        <v>105.83498067738176</v>
      </c>
      <c r="AC29" s="154">
        <f>'[2]Phụ lục số 2'!AF30</f>
        <v>171000</v>
      </c>
      <c r="AD29" s="154">
        <f>'[2]Phụ lục số 2'!AG30</f>
        <v>176000</v>
      </c>
      <c r="AE29" s="149">
        <f t="shared" si="44"/>
        <v>361000</v>
      </c>
      <c r="AF29" s="3221">
        <f t="shared" si="29"/>
        <v>1.7712822689954155</v>
      </c>
      <c r="AG29" s="3221">
        <f t="shared" si="30"/>
        <v>104.03458213256484</v>
      </c>
      <c r="AH29" s="154">
        <f>'[2]Phụ lục số 2'!AK30</f>
        <v>185000</v>
      </c>
      <c r="AI29" s="154">
        <f>'[2]Phụ lục số 2'!AL30</f>
        <v>176000</v>
      </c>
      <c r="AJ29" s="3103">
        <f t="shared" si="45"/>
        <v>371000</v>
      </c>
      <c r="AK29" s="185" t="e">
        <f t="shared" si="5"/>
        <v>#REF!</v>
      </c>
      <c r="AL29" s="3222">
        <f t="shared" si="23"/>
        <v>102.77008310249307</v>
      </c>
      <c r="AM29" s="3103">
        <f>ROUND(INT(AH29*$AM$44),-3)</f>
        <v>191000</v>
      </c>
      <c r="AN29" s="3103">
        <f>ROUND(INT(AI29*$AN$44),-3)</f>
        <v>180000</v>
      </c>
      <c r="AO29" s="3103">
        <f t="shared" si="46"/>
        <v>381000</v>
      </c>
      <c r="AP29" s="185" t="e">
        <f t="shared" si="7"/>
        <v>#REF!</v>
      </c>
      <c r="AQ29" s="3222">
        <f t="shared" si="24"/>
        <v>102.69541778975741</v>
      </c>
      <c r="AR29" s="3103">
        <f t="shared" ref="AR29" si="50">ROUND(INT(AM29*$AR$44),-3)</f>
        <v>195000</v>
      </c>
      <c r="AS29" s="3103">
        <f t="shared" ref="AS29" si="51">ROUND(INT(AN29*$AS$44),-3)</f>
        <v>186000</v>
      </c>
      <c r="AT29" s="3103">
        <f t="shared" si="47"/>
        <v>393000</v>
      </c>
      <c r="AU29" s="185" t="e">
        <f t="shared" si="17"/>
        <v>#REF!</v>
      </c>
      <c r="AV29" s="3222">
        <f t="shared" si="25"/>
        <v>103.14960629921259</v>
      </c>
      <c r="AW29" s="3103">
        <f t="shared" si="37"/>
        <v>201000</v>
      </c>
      <c r="AX29" s="3103">
        <f t="shared" si="38"/>
        <v>192000</v>
      </c>
      <c r="AY29" s="3103">
        <f t="shared" si="48"/>
        <v>406000</v>
      </c>
      <c r="AZ29" s="185" t="e">
        <f t="shared" si="18"/>
        <v>#REF!</v>
      </c>
      <c r="BA29" s="3222">
        <f t="shared" si="26"/>
        <v>103.30788804071247</v>
      </c>
      <c r="BB29" s="3103">
        <f t="shared" si="39"/>
        <v>208000</v>
      </c>
      <c r="BC29" s="3103">
        <f t="shared" si="40"/>
        <v>198000</v>
      </c>
    </row>
    <row r="30" spans="1:55" s="3053" customFormat="1">
      <c r="A30" s="3218" t="s">
        <v>718</v>
      </c>
      <c r="B30" s="39" t="s">
        <v>210</v>
      </c>
      <c r="C30" s="185">
        <f t="shared" si="27"/>
        <v>0</v>
      </c>
      <c r="D30" s="185">
        <v>0</v>
      </c>
      <c r="E30" s="185">
        <v>0</v>
      </c>
      <c r="F30" s="3098">
        <f>I30+J30</f>
        <v>560414</v>
      </c>
      <c r="G30" s="3212"/>
      <c r="H30" s="3212"/>
      <c r="I30" s="3098">
        <f>IF(('[11]Phụ lục số 3-thu bs'!V18+$D$30)&lt;0,0,('[11]Phụ lục số 3-thu bs'!V18+$D$30))</f>
        <v>0</v>
      </c>
      <c r="J30" s="3098">
        <f>INT(IF(('[11]Phụ lục số 3-thu bs'!W18+$E$30)&lt;0,0,('[11]Phụ lục số 3-thu bs'!W18+$E$30)))+115305</f>
        <v>560414</v>
      </c>
      <c r="K30" s="3098">
        <f>N30+O30</f>
        <v>0</v>
      </c>
      <c r="L30" s="3220"/>
      <c r="M30" s="3212"/>
      <c r="N30" s="3098">
        <f>'[2]Phụ lục số 2'!D31</f>
        <v>0</v>
      </c>
      <c r="O30" s="3098">
        <f>'[2]Phụ lục số 2'!E31</f>
        <v>0</v>
      </c>
      <c r="P30" s="3098">
        <f>S30+T30</f>
        <v>431000</v>
      </c>
      <c r="Q30" s="3093">
        <f t="shared" si="12"/>
        <v>2.4925261708790121</v>
      </c>
      <c r="R30" s="3229" t="e">
        <f t="shared" si="28"/>
        <v>#DIV/0!</v>
      </c>
      <c r="S30" s="3098">
        <f>'[2]Phụ lục số 2'!S31</f>
        <v>89700</v>
      </c>
      <c r="T30" s="3098">
        <f>'[2]Phụ lục số 2'!T31</f>
        <v>341300</v>
      </c>
      <c r="U30" s="3098">
        <f t="shared" si="42"/>
        <v>0</v>
      </c>
      <c r="V30" s="3212"/>
      <c r="W30" s="3212" t="e">
        <f t="shared" si="22"/>
        <v>#DIV/0!</v>
      </c>
      <c r="X30" s="3098">
        <f>'[2]Phụ lục số 2'!AA31</f>
        <v>0</v>
      </c>
      <c r="Y30" s="3098">
        <f>'[2]Phụ lục số 2'!AB31</f>
        <v>0</v>
      </c>
      <c r="Z30" s="3098">
        <f t="shared" si="43"/>
        <v>0</v>
      </c>
      <c r="AA30" s="3212">
        <f t="shared" si="19"/>
        <v>0</v>
      </c>
      <c r="AB30" s="3212"/>
      <c r="AC30" s="154">
        <f>'[2]Phụ lục số 2'!AF31</f>
        <v>0</v>
      </c>
      <c r="AD30" s="154">
        <f>'[2]Phụ lục số 2'!AG31</f>
        <v>0</v>
      </c>
      <c r="AE30" s="149">
        <f t="shared" si="44"/>
        <v>0</v>
      </c>
      <c r="AF30" s="3221">
        <f t="shared" si="29"/>
        <v>0</v>
      </c>
      <c r="AG30" s="3221" t="e">
        <f t="shared" si="30"/>
        <v>#DIV/0!</v>
      </c>
      <c r="AH30" s="154">
        <f>'[2]Phụ lục số 2'!AK31</f>
        <v>0</v>
      </c>
      <c r="AI30" s="154">
        <f>'[2]Phụ lục số 2'!AL31</f>
        <v>0</v>
      </c>
      <c r="AJ30" s="3103">
        <f>AM30+AN30</f>
        <v>346198</v>
      </c>
      <c r="AK30" s="185" t="e">
        <f t="shared" si="5"/>
        <v>#REF!</v>
      </c>
      <c r="AL30" s="3222" t="e">
        <f t="shared" si="23"/>
        <v>#DIV/0!</v>
      </c>
      <c r="AM30" s="3103">
        <f>AH30+'[11]Phụ lục số 3-1'!AB42+17000</f>
        <v>172000</v>
      </c>
      <c r="AN30" s="3103">
        <f>AI30+'[11]Phụ lục số 3-1'!AC42+2698</f>
        <v>174198</v>
      </c>
      <c r="AO30" s="3103">
        <f>AR30+AS30</f>
        <v>715698</v>
      </c>
      <c r="AP30" s="185" t="e">
        <f t="shared" si="7"/>
        <v>#REF!</v>
      </c>
      <c r="AQ30" s="3222"/>
      <c r="AR30" s="3103">
        <f>AM30+'[11]Phụ lục số 3-thu bs -1'!AE42</f>
        <v>272500</v>
      </c>
      <c r="AS30" s="3103">
        <f>AN30+'[11]Phụ lục số 3-thu bs -1'!AF42</f>
        <v>443198</v>
      </c>
      <c r="AT30" s="3103">
        <f>AW30+AX30</f>
        <v>1187126</v>
      </c>
      <c r="AU30" s="185" t="e">
        <f t="shared" si="17"/>
        <v>#REF!</v>
      </c>
      <c r="AV30" s="3222"/>
      <c r="AW30" s="3103">
        <f>AR30+'[11]Phụ lục số 3-1'!AH43+23500</f>
        <v>476000</v>
      </c>
      <c r="AX30" s="3103">
        <f>AS30+'[11]Phụ lục số 3-1'!AI43-4572</f>
        <v>711126</v>
      </c>
      <c r="AY30" s="3103">
        <f>BB30+BC30</f>
        <v>1739234.1</v>
      </c>
      <c r="AZ30" s="185" t="e">
        <f t="shared" si="18"/>
        <v>#REF!</v>
      </c>
      <c r="BA30" s="3222"/>
      <c r="BB30" s="3103">
        <f>AW30+'[11]Phụ lục số 3-1'!AK42+32000</f>
        <v>701000</v>
      </c>
      <c r="BC30" s="3103">
        <f>AX30+'[11]Phụ lục số 3-1'!AL43+29108.1</f>
        <v>1038234.1</v>
      </c>
    </row>
    <row r="31" spans="1:55" s="3053" customFormat="1">
      <c r="A31" s="3218" t="s">
        <v>744</v>
      </c>
      <c r="B31" s="39" t="s">
        <v>741</v>
      </c>
      <c r="C31" s="185"/>
      <c r="D31" s="185"/>
      <c r="E31" s="185"/>
      <c r="F31" s="3098"/>
      <c r="G31" s="3212"/>
      <c r="H31" s="3212"/>
      <c r="I31" s="3098"/>
      <c r="J31" s="3098"/>
      <c r="K31" s="3098">
        <f t="shared" ref="K31:K33" si="52">N31+O31</f>
        <v>0</v>
      </c>
      <c r="L31" s="3220"/>
      <c r="M31" s="3212"/>
      <c r="N31" s="3098">
        <f>'[2]Phụ lục số 2'!D32</f>
        <v>0</v>
      </c>
      <c r="O31" s="3098">
        <f>'[2]Phụ lục số 2'!E32</f>
        <v>0</v>
      </c>
      <c r="P31" s="3098">
        <f t="shared" ref="P31:P33" si="53">S31+T31</f>
        <v>357489.34666666656</v>
      </c>
      <c r="Q31" s="3093"/>
      <c r="R31" s="3229"/>
      <c r="S31" s="3098">
        <f>'[2]Phụ lục số 2'!S32</f>
        <v>0</v>
      </c>
      <c r="T31" s="3098">
        <f>'[2]Phụ lục số 2'!T32</f>
        <v>357489.34666666656</v>
      </c>
      <c r="U31" s="3098">
        <f t="shared" si="42"/>
        <v>717399.2</v>
      </c>
      <c r="V31" s="3212"/>
      <c r="W31" s="3212"/>
      <c r="X31" s="3098">
        <f>'[2]Phụ lục số 2'!AA32</f>
        <v>79139.200000000012</v>
      </c>
      <c r="Y31" s="3098">
        <f>'[2]Phụ lục số 2'!AB32</f>
        <v>638260</v>
      </c>
      <c r="Z31" s="3098">
        <f t="shared" si="43"/>
        <v>882854.2423493322</v>
      </c>
      <c r="AA31" s="3212"/>
      <c r="AB31" s="3212"/>
      <c r="AC31" s="154">
        <f>'[2]Phụ lục số 2'!AF32</f>
        <v>567070.94060725369</v>
      </c>
      <c r="AD31" s="154">
        <f>'[2]Phụ lục số 2'!AG32</f>
        <v>315783.30174207845</v>
      </c>
      <c r="AE31" s="149">
        <f t="shared" si="44"/>
        <v>1237230.2030542626</v>
      </c>
      <c r="AF31" s="3221"/>
      <c r="AG31" s="3221"/>
      <c r="AH31" s="154">
        <f>'[2]Phụ lục số 2'!AK32</f>
        <v>1039823.5401058444</v>
      </c>
      <c r="AI31" s="154">
        <f>'[2]Phụ lục số 2'!AL32</f>
        <v>197406.66294841812</v>
      </c>
      <c r="AJ31" s="3103"/>
      <c r="AK31" s="185"/>
      <c r="AL31" s="3222"/>
      <c r="AM31" s="3103"/>
      <c r="AN31" s="3103"/>
      <c r="AO31" s="3103"/>
      <c r="AP31" s="185"/>
      <c r="AQ31" s="3222"/>
      <c r="AR31" s="3103"/>
      <c r="AS31" s="3103"/>
      <c r="AT31" s="3103"/>
      <c r="AU31" s="185"/>
      <c r="AV31" s="3222"/>
      <c r="AW31" s="3103"/>
      <c r="AX31" s="3103"/>
      <c r="AY31" s="3103"/>
      <c r="AZ31" s="185"/>
      <c r="BA31" s="3222"/>
      <c r="BB31" s="3103"/>
      <c r="BC31" s="3103"/>
    </row>
    <row r="32" spans="1:55" s="3053" customFormat="1">
      <c r="A32" s="3218" t="s">
        <v>745</v>
      </c>
      <c r="B32" s="39" t="s">
        <v>1920</v>
      </c>
      <c r="C32" s="185"/>
      <c r="D32" s="185"/>
      <c r="E32" s="185"/>
      <c r="F32" s="3098"/>
      <c r="G32" s="3212"/>
      <c r="H32" s="3212"/>
      <c r="I32" s="3098"/>
      <c r="J32" s="3098"/>
      <c r="K32" s="3098">
        <f t="shared" si="52"/>
        <v>0</v>
      </c>
      <c r="L32" s="3220"/>
      <c r="M32" s="3212"/>
      <c r="N32" s="3098">
        <f>'[2]Phụ lục số 2'!D33</f>
        <v>0</v>
      </c>
      <c r="O32" s="3098">
        <f>'[2]Phụ lục số 2'!E33</f>
        <v>0</v>
      </c>
      <c r="P32" s="3098">
        <f t="shared" si="53"/>
        <v>153209.71999999997</v>
      </c>
      <c r="Q32" s="3093"/>
      <c r="R32" s="3229"/>
      <c r="S32" s="3098">
        <f>'[2]Phụ lục số 2'!S33</f>
        <v>0</v>
      </c>
      <c r="T32" s="3098">
        <f>'[2]Phụ lục số 2'!T33</f>
        <v>153209.71999999997</v>
      </c>
      <c r="U32" s="3098">
        <f t="shared" si="42"/>
        <v>0</v>
      </c>
      <c r="V32" s="3212"/>
      <c r="W32" s="3212"/>
      <c r="X32" s="3098">
        <f>'[2]Phụ lục số 2'!AA33</f>
        <v>0</v>
      </c>
      <c r="Y32" s="3098">
        <f>'[2]Phụ lục số 2'!AB33</f>
        <v>0</v>
      </c>
      <c r="Z32" s="3098">
        <f t="shared" si="43"/>
        <v>0</v>
      </c>
      <c r="AA32" s="3212"/>
      <c r="AB32" s="3212"/>
      <c r="AC32" s="154">
        <f>'[2]Phụ lục số 2'!AF33</f>
        <v>0</v>
      </c>
      <c r="AD32" s="154">
        <f>'[2]Phụ lục số 2'!AG33</f>
        <v>0</v>
      </c>
      <c r="AE32" s="149">
        <f t="shared" si="44"/>
        <v>0</v>
      </c>
      <c r="AF32" s="3221"/>
      <c r="AG32" s="3221"/>
      <c r="AH32" s="154">
        <f>'[2]Phụ lục số 2'!AK33</f>
        <v>0</v>
      </c>
      <c r="AI32" s="154">
        <f>'[2]Phụ lục số 2'!AL33</f>
        <v>0</v>
      </c>
      <c r="AJ32" s="3103"/>
      <c r="AK32" s="185"/>
      <c r="AL32" s="3222"/>
      <c r="AM32" s="3103"/>
      <c r="AN32" s="3103"/>
      <c r="AO32" s="3103"/>
      <c r="AP32" s="185"/>
      <c r="AQ32" s="3222"/>
      <c r="AR32" s="3103"/>
      <c r="AS32" s="3103"/>
      <c r="AT32" s="3103"/>
      <c r="AU32" s="185"/>
      <c r="AV32" s="3222"/>
      <c r="AW32" s="3103"/>
      <c r="AX32" s="3103"/>
      <c r="AY32" s="3103"/>
      <c r="AZ32" s="185"/>
      <c r="BA32" s="3222"/>
      <c r="BB32" s="3103"/>
      <c r="BC32" s="3103"/>
    </row>
    <row r="33" spans="1:55" s="3053" customFormat="1">
      <c r="A33" s="3218" t="s">
        <v>1716</v>
      </c>
      <c r="B33" s="39" t="s">
        <v>213</v>
      </c>
      <c r="C33" s="185">
        <f t="shared" si="27"/>
        <v>2000</v>
      </c>
      <c r="D33" s="185">
        <v>2000</v>
      </c>
      <c r="E33" s="185">
        <v>0</v>
      </c>
      <c r="F33" s="3098">
        <f>I33+J33</f>
        <v>2000</v>
      </c>
      <c r="G33" s="3212"/>
      <c r="H33" s="3212"/>
      <c r="I33" s="3098">
        <f>D33</f>
        <v>2000</v>
      </c>
      <c r="J33" s="3098">
        <f>E33</f>
        <v>0</v>
      </c>
      <c r="K33" s="3098">
        <f t="shared" si="52"/>
        <v>0</v>
      </c>
      <c r="L33" s="3220"/>
      <c r="M33" s="3212"/>
      <c r="N33" s="3098">
        <f>'[2]Phụ lục số 2'!D34</f>
        <v>0</v>
      </c>
      <c r="O33" s="3098">
        <f>'[2]Phụ lục số 2'!E34</f>
        <v>0</v>
      </c>
      <c r="P33" s="3098">
        <f t="shared" si="53"/>
        <v>0</v>
      </c>
      <c r="Q33" s="3093">
        <f t="shared" si="12"/>
        <v>0</v>
      </c>
      <c r="R33" s="3229" t="e">
        <f t="shared" si="28"/>
        <v>#DIV/0!</v>
      </c>
      <c r="S33" s="3098">
        <f>'[2]Phụ lục số 2'!S34</f>
        <v>0</v>
      </c>
      <c r="T33" s="3098">
        <f>'[2]Phụ lục số 2'!T34</f>
        <v>0</v>
      </c>
      <c r="U33" s="3098">
        <f t="shared" si="42"/>
        <v>3000</v>
      </c>
      <c r="V33" s="3212"/>
      <c r="W33" s="3212"/>
      <c r="X33" s="3098">
        <f>'[2]Phụ lục số 2'!AA34</f>
        <v>3000</v>
      </c>
      <c r="Y33" s="3098">
        <f>'[2]Phụ lục số 2'!AB34</f>
        <v>0</v>
      </c>
      <c r="Z33" s="3098">
        <f t="shared" si="43"/>
        <v>3000</v>
      </c>
      <c r="AA33" s="3212"/>
      <c r="AB33" s="3212"/>
      <c r="AC33" s="154">
        <f>'[2]Phụ lục số 2'!AF34</f>
        <v>3000</v>
      </c>
      <c r="AD33" s="154">
        <f>'[2]Phụ lục số 2'!AG34</f>
        <v>0</v>
      </c>
      <c r="AE33" s="149">
        <f t="shared" si="44"/>
        <v>3000</v>
      </c>
      <c r="AF33" s="3221">
        <f t="shared" si="29"/>
        <v>1.4719797249269381E-2</v>
      </c>
      <c r="AG33" s="3221"/>
      <c r="AH33" s="154">
        <f>'[2]Phụ lục số 2'!AK34</f>
        <v>3000</v>
      </c>
      <c r="AI33" s="154">
        <f>'[2]Phụ lục số 2'!AL34</f>
        <v>0</v>
      </c>
      <c r="AJ33" s="3103" t="e">
        <f>AM33+AN33</f>
        <v>#REF!</v>
      </c>
      <c r="AK33" s="185" t="e">
        <f t="shared" si="5"/>
        <v>#REF!</v>
      </c>
      <c r="AL33" s="3222"/>
      <c r="AM33" s="3103" t="e">
        <f>INT(ROUND('[11]Phụ lục số 1-1'!AT58*3.4314%,-3))</f>
        <v>#REF!</v>
      </c>
      <c r="AN33" s="3103"/>
      <c r="AO33" s="3103" t="e">
        <f>AR33+AS33</f>
        <v>#REF!</v>
      </c>
      <c r="AP33" s="185" t="e">
        <f t="shared" si="7"/>
        <v>#REF!</v>
      </c>
      <c r="AQ33" s="3222"/>
      <c r="AR33" s="3103" t="e">
        <f>INT(ROUND('[11]Phụ lục số 1-1'!AY58*3.4314%,-3))</f>
        <v>#REF!</v>
      </c>
      <c r="AS33" s="3103"/>
      <c r="AT33" s="3103">
        <f>AW33+AX33</f>
        <v>0</v>
      </c>
      <c r="AU33" s="185" t="e">
        <f t="shared" si="17"/>
        <v>#REF!</v>
      </c>
      <c r="AV33" s="3222"/>
      <c r="AW33" s="3103">
        <f>INT(ROUND('[11]Phụ lục số 1-1'!BD58*3.4314%,-3))</f>
        <v>0</v>
      </c>
      <c r="AX33" s="3103"/>
      <c r="AY33" s="3103" t="e">
        <f>BB33+BC33</f>
        <v>#REF!</v>
      </c>
      <c r="AZ33" s="185" t="e">
        <f t="shared" si="18"/>
        <v>#REF!</v>
      </c>
      <c r="BA33" s="3222"/>
      <c r="BB33" s="3103" t="e">
        <f>INT(ROUND('[11]Phụ lục số 1-1'!BI58*3.4314%,-3))</f>
        <v>#REF!</v>
      </c>
      <c r="BC33" s="3103"/>
    </row>
    <row r="34" spans="1:55" s="3053" customFormat="1">
      <c r="A34" s="3218" t="s">
        <v>37</v>
      </c>
      <c r="B34" s="39" t="s">
        <v>1921</v>
      </c>
      <c r="C34" s="185">
        <f t="shared" si="27"/>
        <v>1213473</v>
      </c>
      <c r="D34" s="185">
        <f>SUM(D35:D36)</f>
        <v>1213473</v>
      </c>
      <c r="E34" s="185">
        <f>SUM(E35:E36)</f>
        <v>0</v>
      </c>
      <c r="F34" s="3098">
        <f>SUM(F35:F36)</f>
        <v>1213473</v>
      </c>
      <c r="G34" s="3212" t="e">
        <f t="shared" si="3"/>
        <v>#REF!</v>
      </c>
      <c r="H34" s="3212">
        <f t="shared" si="0"/>
        <v>100</v>
      </c>
      <c r="I34" s="3098">
        <f>SUM(I35:I36)</f>
        <v>1213473</v>
      </c>
      <c r="J34" s="3098">
        <f>SUM(J35:J36)</f>
        <v>0</v>
      </c>
      <c r="K34" s="3098">
        <f>N34+O34</f>
        <v>2597007</v>
      </c>
      <c r="L34" s="3220">
        <f>K34/$K$7*100</f>
        <v>16.415978639689836</v>
      </c>
      <c r="M34" s="3212">
        <f>K34/C34%</f>
        <v>214.01440328709415</v>
      </c>
      <c r="N34" s="3098">
        <f>SUM(N35:N36)</f>
        <v>2597007</v>
      </c>
      <c r="O34" s="3098">
        <f>SUM(O35:O36)</f>
        <v>0</v>
      </c>
      <c r="P34" s="3098">
        <f>S34+T34</f>
        <v>2597007</v>
      </c>
      <c r="Q34" s="3093">
        <f t="shared" si="12"/>
        <v>15.018811864167033</v>
      </c>
      <c r="R34" s="3229">
        <f t="shared" si="28"/>
        <v>100</v>
      </c>
      <c r="S34" s="3098">
        <f>SUM(S35:S36)</f>
        <v>2597007</v>
      </c>
      <c r="T34" s="3098">
        <f>SUM(T35:T36)</f>
        <v>0</v>
      </c>
      <c r="U34" s="3098">
        <f>X34+Y34</f>
        <v>1988976</v>
      </c>
      <c r="V34" s="3212">
        <f>U34/$K$7*100</f>
        <v>12.572545060854951</v>
      </c>
      <c r="W34" s="3212"/>
      <c r="X34" s="3098">
        <f>SUM(X35:X36)</f>
        <v>1988976</v>
      </c>
      <c r="Y34" s="3098">
        <f>SUM(Y35:Y36)</f>
        <v>0</v>
      </c>
      <c r="Z34" s="3098">
        <f>AC34+AD34</f>
        <v>2379485.2999999998</v>
      </c>
      <c r="AA34" s="3212">
        <f t="shared" si="19"/>
        <v>12.252542211278694</v>
      </c>
      <c r="AB34" s="3212"/>
      <c r="AC34" s="149">
        <f>SUM(AC35:AC36)</f>
        <v>2379485.2999999998</v>
      </c>
      <c r="AD34" s="149">
        <f>SUM(AD35:AD36)</f>
        <v>0</v>
      </c>
      <c r="AE34" s="149">
        <f>AH34+AI34</f>
        <v>2379485.2999999998</v>
      </c>
      <c r="AF34" s="3221">
        <f t="shared" si="29"/>
        <v>11.675180391205641</v>
      </c>
      <c r="AG34" s="3221"/>
      <c r="AH34" s="149">
        <f>SUM(AH35:AH36)</f>
        <v>2379485.2999999998</v>
      </c>
      <c r="AI34" s="149">
        <f>SUM(AI35:AI36)</f>
        <v>0</v>
      </c>
      <c r="AJ34" s="3103">
        <f>AM34+AN34</f>
        <v>3352485.3</v>
      </c>
      <c r="AK34" s="185" t="e">
        <f t="shared" si="5"/>
        <v>#REF!</v>
      </c>
      <c r="AL34" s="3222"/>
      <c r="AM34" s="3103">
        <f>SUM(AM35:AM36)</f>
        <v>3352485.3</v>
      </c>
      <c r="AN34" s="3103">
        <f>SUM(AN35:AN36)</f>
        <v>0</v>
      </c>
      <c r="AO34" s="3103">
        <f>AR34+AS34</f>
        <v>3352485.3</v>
      </c>
      <c r="AP34" s="185" t="e">
        <f t="shared" si="7"/>
        <v>#REF!</v>
      </c>
      <c r="AQ34" s="3222"/>
      <c r="AR34" s="3103">
        <f>SUM(AR35:AR36)</f>
        <v>3352485.3</v>
      </c>
      <c r="AS34" s="3103">
        <f>SUM(AS35:AS36)</f>
        <v>0</v>
      </c>
      <c r="AT34" s="3103">
        <f>AW34+AX34</f>
        <v>3352485.3</v>
      </c>
      <c r="AU34" s="185" t="e">
        <f t="shared" si="17"/>
        <v>#REF!</v>
      </c>
      <c r="AV34" s="3222"/>
      <c r="AW34" s="3103">
        <f>SUM(AW35:AW36)</f>
        <v>3352485.3</v>
      </c>
      <c r="AX34" s="3103">
        <f>SUM(AX35:AX36)</f>
        <v>0</v>
      </c>
      <c r="AY34" s="3103">
        <f>BB34+BC34</f>
        <v>3352485.3</v>
      </c>
      <c r="AZ34" s="185" t="e">
        <f t="shared" si="18"/>
        <v>#REF!</v>
      </c>
      <c r="BA34" s="3222"/>
      <c r="BB34" s="3103">
        <f>SUM(BB35:BB36)</f>
        <v>3352485.3</v>
      </c>
      <c r="BC34" s="3103">
        <f>SUM(BC35:BC36)</f>
        <v>0</v>
      </c>
    </row>
    <row r="35" spans="1:55">
      <c r="A35" s="3234" t="s">
        <v>3</v>
      </c>
      <c r="B35" s="3150" t="s">
        <v>178</v>
      </c>
      <c r="C35" s="779">
        <f t="shared" si="27"/>
        <v>1127000</v>
      </c>
      <c r="D35" s="779">
        <v>1127000</v>
      </c>
      <c r="E35" s="779"/>
      <c r="F35" s="3106">
        <f>SUM(I35,J35)</f>
        <v>1127000</v>
      </c>
      <c r="G35" s="3224"/>
      <c r="H35" s="3224"/>
      <c r="I35" s="3106">
        <f>D35</f>
        <v>1127000</v>
      </c>
      <c r="J35" s="3106">
        <f>E35</f>
        <v>0</v>
      </c>
      <c r="K35" s="3106">
        <f>N35+O35</f>
        <v>2417971</v>
      </c>
      <c r="L35" s="3225">
        <f>K35/$K$7*100</f>
        <v>15.284271581628186</v>
      </c>
      <c r="M35" s="3224"/>
      <c r="N35" s="3106">
        <f>'[2]Phụ lục số 2'!D36</f>
        <v>2417971</v>
      </c>
      <c r="O35" s="3106">
        <f>'[2]Phụ lục số 2'!E36</f>
        <v>0</v>
      </c>
      <c r="P35" s="3106">
        <f>S35+T35</f>
        <v>2417971</v>
      </c>
      <c r="Q35" s="3093">
        <f t="shared" si="12"/>
        <v>13.983424589156604</v>
      </c>
      <c r="R35" s="3229">
        <f t="shared" si="28"/>
        <v>100</v>
      </c>
      <c r="S35" s="3106">
        <f>'[2]Phụ lục số 2'!S36</f>
        <v>2417971</v>
      </c>
      <c r="T35" s="3106">
        <f>'[2]Phụ lục số 2'!T36</f>
        <v>0</v>
      </c>
      <c r="U35" s="3106">
        <f>X35+Y35</f>
        <v>1814491</v>
      </c>
      <c r="V35" s="3224">
        <f>U35/$K$7*100</f>
        <v>11.469605394944814</v>
      </c>
      <c r="W35" s="3224"/>
      <c r="X35" s="3106">
        <f>'[2]Phụ lục số 2'!AA36</f>
        <v>1814491</v>
      </c>
      <c r="Y35" s="3106">
        <f>'[2]Phụ lục số 2'!AB36</f>
        <v>0</v>
      </c>
      <c r="Z35" s="3106">
        <f>SUM(AC35:AD35)</f>
        <v>2205000</v>
      </c>
      <c r="AA35" s="3224">
        <f>Z35/$K$7*100</f>
        <v>13.93805750254662</v>
      </c>
      <c r="AB35" s="3224"/>
      <c r="AC35" s="154">
        <f>'[2]Phụ lục số 2'!AF36</f>
        <v>2205000</v>
      </c>
      <c r="AD35" s="154">
        <f>'[2]Phụ lục số 2'!AG36</f>
        <v>0</v>
      </c>
      <c r="AE35" s="154">
        <f>SUM(AH35:AI35)</f>
        <v>2205000</v>
      </c>
      <c r="AF35" s="3226">
        <f t="shared" si="29"/>
        <v>10.819050978212994</v>
      </c>
      <c r="AG35" s="3226"/>
      <c r="AH35" s="154">
        <f>'[2]Phụ lục số 2'!AK36</f>
        <v>2205000</v>
      </c>
      <c r="AI35" s="154">
        <f>'[2]Phụ lục số 2'!AL36</f>
        <v>0</v>
      </c>
      <c r="AJ35" s="3113">
        <f>'[11]Phụ lục số 1-1'!AP55</f>
        <v>3178000</v>
      </c>
      <c r="AK35" s="779" t="e">
        <f t="shared" si="5"/>
        <v>#REF!</v>
      </c>
      <c r="AL35" s="3227"/>
      <c r="AM35" s="3113">
        <f>AJ35-AN35</f>
        <v>3178000</v>
      </c>
      <c r="AN35" s="3113"/>
      <c r="AO35" s="3113">
        <f>'[11]Phụ lục số 1-1'!AU55</f>
        <v>3178000</v>
      </c>
      <c r="AP35" s="779" t="e">
        <f t="shared" si="7"/>
        <v>#REF!</v>
      </c>
      <c r="AQ35" s="3227"/>
      <c r="AR35" s="3113">
        <f>AO35-AS35</f>
        <v>3178000</v>
      </c>
      <c r="AS35" s="3113"/>
      <c r="AT35" s="3113">
        <f>'[11]Phụ lục số 1-1'!BD55</f>
        <v>3178000</v>
      </c>
      <c r="AU35" s="779" t="e">
        <f t="shared" si="17"/>
        <v>#REF!</v>
      </c>
      <c r="AV35" s="3227"/>
      <c r="AW35" s="3113">
        <f>AT35-AX35</f>
        <v>3178000</v>
      </c>
      <c r="AX35" s="3113"/>
      <c r="AY35" s="3113">
        <f>'[11]Phụ lục số 1-1'!BJ55</f>
        <v>3178000</v>
      </c>
      <c r="AZ35" s="779" t="e">
        <f t="shared" si="18"/>
        <v>#REF!</v>
      </c>
      <c r="BA35" s="3227"/>
      <c r="BB35" s="3113">
        <f>AY35-BC35</f>
        <v>3178000</v>
      </c>
      <c r="BC35" s="3113"/>
    </row>
    <row r="36" spans="1:55">
      <c r="A36" s="3234" t="s">
        <v>33</v>
      </c>
      <c r="B36" s="3150" t="s">
        <v>179</v>
      </c>
      <c r="C36" s="779">
        <f t="shared" si="27"/>
        <v>86473</v>
      </c>
      <c r="D36" s="779">
        <v>86473</v>
      </c>
      <c r="E36" s="779"/>
      <c r="F36" s="3106">
        <f>SUM(I36,J36)</f>
        <v>86473</v>
      </c>
      <c r="G36" s="3224"/>
      <c r="H36" s="3224"/>
      <c r="I36" s="3106">
        <f>D36</f>
        <v>86473</v>
      </c>
      <c r="J36" s="3106">
        <f>E36</f>
        <v>0</v>
      </c>
      <c r="K36" s="3106">
        <f>N36+O36</f>
        <v>179036</v>
      </c>
      <c r="L36" s="3225">
        <f>K36/$K$7*100</f>
        <v>1.1317070580616493</v>
      </c>
      <c r="M36" s="3224"/>
      <c r="N36" s="3106">
        <f>'[2]Phụ lục số 2'!D37</f>
        <v>179036</v>
      </c>
      <c r="O36" s="3106">
        <f>'[2]Phụ lục số 2'!E37</f>
        <v>0</v>
      </c>
      <c r="P36" s="3106">
        <f>S36+T36</f>
        <v>179036</v>
      </c>
      <c r="Q36" s="3093">
        <f t="shared" si="12"/>
        <v>1.0353872750104289</v>
      </c>
      <c r="R36" s="3229">
        <f t="shared" si="28"/>
        <v>100</v>
      </c>
      <c r="S36" s="3106">
        <f>'[2]Phụ lục số 2'!S37</f>
        <v>179036</v>
      </c>
      <c r="T36" s="3106">
        <f>'[2]Phụ lục số 2'!T37</f>
        <v>0</v>
      </c>
      <c r="U36" s="3106">
        <f t="shared" ref="U36:U38" si="54">X36+Y36</f>
        <v>174485</v>
      </c>
      <c r="V36" s="3224">
        <f>U36/$K$7*100</f>
        <v>1.1029396659101347</v>
      </c>
      <c r="W36" s="3224"/>
      <c r="X36" s="3106">
        <f>'[2]Phụ lục số 2'!AA37</f>
        <v>174485</v>
      </c>
      <c r="Y36" s="3106">
        <f>'[2]Phụ lục số 2'!AB37</f>
        <v>0</v>
      </c>
      <c r="Z36" s="3106">
        <f t="shared" ref="Z36:Z38" si="55">SUM(AC36:AD36)</f>
        <v>174485.3</v>
      </c>
      <c r="AA36" s="3224">
        <f>Z36/$K$7*100</f>
        <v>1.1029415622444887</v>
      </c>
      <c r="AB36" s="3224"/>
      <c r="AC36" s="154">
        <f>'[2]Phụ lục số 2'!AF37</f>
        <v>174485.3</v>
      </c>
      <c r="AD36" s="154">
        <f>'[2]Phụ lục số 2'!AG37</f>
        <v>0</v>
      </c>
      <c r="AE36" s="154">
        <f t="shared" ref="AE36:AE38" si="56">SUM(AH36:AI36)</f>
        <v>174485.3</v>
      </c>
      <c r="AF36" s="3226">
        <f t="shared" si="29"/>
        <v>0.85612941299264744</v>
      </c>
      <c r="AG36" s="3226"/>
      <c r="AH36" s="154">
        <f>'[2]Phụ lục số 2'!AK37</f>
        <v>174485.3</v>
      </c>
      <c r="AI36" s="154">
        <f>'[2]Phụ lục số 2'!AL37</f>
        <v>0</v>
      </c>
      <c r="AJ36" s="3113">
        <f>AE36</f>
        <v>174485.3</v>
      </c>
      <c r="AK36" s="779" t="e">
        <f t="shared" si="5"/>
        <v>#REF!</v>
      </c>
      <c r="AL36" s="3227"/>
      <c r="AM36" s="3113">
        <f>AJ36-AN36</f>
        <v>174485.3</v>
      </c>
      <c r="AN36" s="3113"/>
      <c r="AO36" s="3113">
        <f>AJ36</f>
        <v>174485.3</v>
      </c>
      <c r="AP36" s="779" t="e">
        <f t="shared" si="7"/>
        <v>#REF!</v>
      </c>
      <c r="AQ36" s="3227"/>
      <c r="AR36" s="3113">
        <f>AO36-AS36</f>
        <v>174485.3</v>
      </c>
      <c r="AS36" s="3113"/>
      <c r="AT36" s="3113">
        <f>AO36</f>
        <v>174485.3</v>
      </c>
      <c r="AU36" s="779" t="e">
        <f t="shared" si="17"/>
        <v>#REF!</v>
      </c>
      <c r="AV36" s="3227"/>
      <c r="AW36" s="3113">
        <f>AT36-AX36</f>
        <v>174485.3</v>
      </c>
      <c r="AX36" s="3113"/>
      <c r="AY36" s="3113">
        <f>AT36</f>
        <v>174485.3</v>
      </c>
      <c r="AZ36" s="779" t="e">
        <f t="shared" si="18"/>
        <v>#REF!</v>
      </c>
      <c r="BA36" s="3227"/>
      <c r="BB36" s="3113">
        <f>AY36-BC36</f>
        <v>174485.3</v>
      </c>
      <c r="BC36" s="3113"/>
    </row>
    <row r="37" spans="1:55">
      <c r="A37" s="3235" t="s">
        <v>182</v>
      </c>
      <c r="B37" s="3236" t="s">
        <v>1922</v>
      </c>
      <c r="C37" s="3237"/>
      <c r="D37" s="3237"/>
      <c r="E37" s="3237"/>
      <c r="F37" s="3238"/>
      <c r="G37" s="3239"/>
      <c r="H37" s="3239"/>
      <c r="I37" s="3238"/>
      <c r="J37" s="3238"/>
      <c r="K37" s="3238"/>
      <c r="L37" s="3240"/>
      <c r="M37" s="3239"/>
      <c r="N37" s="3106">
        <f>'[2]Phụ lục số 2'!D38</f>
        <v>0</v>
      </c>
      <c r="O37" s="3106">
        <f>'[2]Phụ lục số 2'!E38</f>
        <v>0</v>
      </c>
      <c r="P37" s="3238"/>
      <c r="Q37" s="3241"/>
      <c r="R37" s="3242"/>
      <c r="S37" s="3106">
        <f>'[2]Phụ lục số 2'!S38</f>
        <v>0</v>
      </c>
      <c r="T37" s="3106">
        <f>'[2]Phụ lục số 2'!T38</f>
        <v>0</v>
      </c>
      <c r="U37" s="3106">
        <f t="shared" si="54"/>
        <v>0</v>
      </c>
      <c r="V37" s="3239"/>
      <c r="W37" s="3239"/>
      <c r="X37" s="3106">
        <f>'[2]Phụ lục số 2'!AA38</f>
        <v>0</v>
      </c>
      <c r="Y37" s="3106">
        <f>'[2]Phụ lục số 2'!AB38</f>
        <v>0</v>
      </c>
      <c r="Z37" s="3106">
        <f t="shared" si="55"/>
        <v>0</v>
      </c>
      <c r="AA37" s="3239"/>
      <c r="AB37" s="3239"/>
      <c r="AC37" s="154">
        <f>'[2]Phụ lục số 2'!AF38</f>
        <v>0</v>
      </c>
      <c r="AD37" s="154">
        <f>'[2]Phụ lục số 2'!AG38</f>
        <v>0</v>
      </c>
      <c r="AE37" s="154">
        <f t="shared" si="56"/>
        <v>0</v>
      </c>
      <c r="AF37" s="3243"/>
      <c r="AG37" s="3243"/>
      <c r="AH37" s="154">
        <f>'[2]Phụ lục số 2'!AK38</f>
        <v>0</v>
      </c>
      <c r="AI37" s="154">
        <f>'[2]Phụ lục số 2'!AL38</f>
        <v>0</v>
      </c>
      <c r="AJ37" s="3244"/>
      <c r="AK37" s="3237"/>
      <c r="AL37" s="3245"/>
      <c r="AM37" s="3244"/>
      <c r="AN37" s="3244"/>
      <c r="AO37" s="3244"/>
      <c r="AP37" s="3237"/>
      <c r="AQ37" s="3245"/>
      <c r="AR37" s="3244"/>
      <c r="AS37" s="3244"/>
      <c r="AT37" s="3244"/>
      <c r="AU37" s="3237"/>
      <c r="AV37" s="3245"/>
      <c r="AW37" s="3244"/>
      <c r="AX37" s="3244"/>
      <c r="AY37" s="3244"/>
      <c r="AZ37" s="3237"/>
      <c r="BA37" s="3245"/>
      <c r="BB37" s="3244"/>
      <c r="BC37" s="3244"/>
    </row>
    <row r="38" spans="1:55" s="3091" customFormat="1">
      <c r="A38" s="3246" t="s">
        <v>44</v>
      </c>
      <c r="B38" s="3247" t="s">
        <v>181</v>
      </c>
      <c r="C38" s="3248">
        <f>D38+E38</f>
        <v>48300</v>
      </c>
      <c r="D38" s="3248">
        <v>48300</v>
      </c>
      <c r="E38" s="3248">
        <v>0</v>
      </c>
      <c r="F38" s="3249" t="e">
        <f>I38+J38</f>
        <v>#REF!</v>
      </c>
      <c r="G38" s="3250"/>
      <c r="H38" s="3251"/>
      <c r="I38" s="3249">
        <f>'[11]Phụ lục số 1-1'!L58</f>
        <v>48300</v>
      </c>
      <c r="J38" s="3249" t="e">
        <f>'[11]Phụ lục số 1-1'!M58</f>
        <v>#REF!</v>
      </c>
      <c r="K38" s="3249">
        <f>N38+O38</f>
        <v>31500</v>
      </c>
      <c r="L38" s="3252">
        <f>K38/$K$7*100</f>
        <v>0.19911510717923742</v>
      </c>
      <c r="M38" s="3253"/>
      <c r="N38" s="3163">
        <f>'[2]Phụ lục số 2'!D39</f>
        <v>31500</v>
      </c>
      <c r="O38" s="3163">
        <f>'[2]Phụ lục số 2'!E39</f>
        <v>0</v>
      </c>
      <c r="P38" s="3249">
        <f>S38+T38</f>
        <v>31500</v>
      </c>
      <c r="Q38" s="3253">
        <f t="shared" si="12"/>
        <v>0.18216838603872132</v>
      </c>
      <c r="R38" s="3254">
        <f t="shared" si="28"/>
        <v>100</v>
      </c>
      <c r="S38" s="3163">
        <f>'[2]Phụ lục số 2'!S39</f>
        <v>31500</v>
      </c>
      <c r="T38" s="3255">
        <f>'[2]Phụ lục số 2'!T39</f>
        <v>0</v>
      </c>
      <c r="U38" s="3256">
        <f t="shared" si="54"/>
        <v>0</v>
      </c>
      <c r="V38" s="3251">
        <f>U38/$K$7*100</f>
        <v>0</v>
      </c>
      <c r="W38" s="3253"/>
      <c r="X38" s="3255">
        <f>'[2]Phụ lục số 2'!AA39</f>
        <v>0</v>
      </c>
      <c r="Y38" s="3255">
        <f>'[2]Phụ lục số 2'!AB39</f>
        <v>0</v>
      </c>
      <c r="Z38" s="3163">
        <f t="shared" si="55"/>
        <v>0</v>
      </c>
      <c r="AA38" s="3251">
        <f>Z38/$K$7*100</f>
        <v>0</v>
      </c>
      <c r="AB38" s="3253"/>
      <c r="AC38" s="3257">
        <f>'[2]Phụ lục số 2'!AF39</f>
        <v>0</v>
      </c>
      <c r="AD38" s="3257">
        <f>'[2]Phụ lục số 2'!AG39</f>
        <v>0</v>
      </c>
      <c r="AE38" s="3257">
        <f t="shared" si="56"/>
        <v>0</v>
      </c>
      <c r="AF38" s="3258">
        <f>AE38/$K$7*100</f>
        <v>0</v>
      </c>
      <c r="AG38" s="3259"/>
      <c r="AH38" s="3257">
        <f>'[2]Phụ lục số 2'!AK39</f>
        <v>0</v>
      </c>
      <c r="AI38" s="3257">
        <f>'[2]Phụ lục số 2'!AL39</f>
        <v>0</v>
      </c>
      <c r="AJ38" s="3260" t="e">
        <f>AL38+AM38</f>
        <v>#REF!</v>
      </c>
      <c r="AK38" s="3261" t="e">
        <f>AJ38/$K$7*100</f>
        <v>#REF!</v>
      </c>
      <c r="AL38" s="3248"/>
      <c r="AM38" s="3260" t="e">
        <f>'[11]Phụ lục số 1-1'!AT58</f>
        <v>#REF!</v>
      </c>
      <c r="AN38" s="3260">
        <v>0</v>
      </c>
      <c r="AO38" s="3260" t="e">
        <f>AQ38+AR38</f>
        <v>#REF!</v>
      </c>
      <c r="AP38" s="3261" t="e">
        <f>AO38/$K$7*100</f>
        <v>#REF!</v>
      </c>
      <c r="AQ38" s="3248"/>
      <c r="AR38" s="3260" t="e">
        <f>'[11]Phụ lục số 1-1'!AY58</f>
        <v>#REF!</v>
      </c>
      <c r="AS38" s="3260">
        <v>0</v>
      </c>
      <c r="AT38" s="3260">
        <f>AV38+AW38</f>
        <v>0</v>
      </c>
      <c r="AU38" s="3261">
        <f>AT38/$K$7*100</f>
        <v>0</v>
      </c>
      <c r="AV38" s="3248"/>
      <c r="AW38" s="3260">
        <f>'[11]Phụ lục số 1-1'!BD58</f>
        <v>0</v>
      </c>
      <c r="AX38" s="3260">
        <v>0</v>
      </c>
      <c r="AY38" s="3260" t="e">
        <f>BA38+BB38</f>
        <v>#REF!</v>
      </c>
      <c r="AZ38" s="3261" t="e">
        <f>AY38/$K$7*100</f>
        <v>#REF!</v>
      </c>
      <c r="BA38" s="3248"/>
      <c r="BB38" s="3260" t="e">
        <f>'[11]Phụ lục số 1-1'!BI58</f>
        <v>#REF!</v>
      </c>
      <c r="BC38" s="3260">
        <v>0</v>
      </c>
    </row>
    <row r="39" spans="1:55" s="3053" customFormat="1">
      <c r="A39" s="3262" t="s">
        <v>1923</v>
      </c>
      <c r="G39" s="3263"/>
      <c r="I39" s="3264">
        <f>'[11]Phụ lục số 5-KQPB'!D22</f>
        <v>247800</v>
      </c>
      <c r="J39" s="3053" t="s">
        <v>1924</v>
      </c>
    </row>
    <row r="40" spans="1:55" s="3053" customFormat="1" hidden="1">
      <c r="A40" s="3262"/>
      <c r="G40" s="3263"/>
      <c r="I40" s="3264"/>
      <c r="S40" s="3264">
        <f>'[11]Phụ lục số 1-1'!X64</f>
        <v>10620488</v>
      </c>
      <c r="U40" s="3264">
        <f>'[11]Phụ lục số 1-1'!AC59</f>
        <v>17566218</v>
      </c>
    </row>
    <row r="41" spans="1:55" s="3053" customFormat="1" hidden="1">
      <c r="A41" s="3262"/>
      <c r="G41" s="3263"/>
      <c r="I41" s="3264"/>
      <c r="S41" s="3264">
        <f>S40-S7</f>
        <v>2006864</v>
      </c>
      <c r="U41" s="3053">
        <f>U7-U40</f>
        <v>1001190.9159999974</v>
      </c>
    </row>
    <row r="42" spans="1:55" s="3053" customFormat="1" hidden="1">
      <c r="A42" s="3262"/>
      <c r="G42" s="3263"/>
      <c r="I42" s="3264"/>
    </row>
    <row r="43" spans="1:55" s="3053" customFormat="1" hidden="1">
      <c r="A43" s="3262"/>
      <c r="G43" s="3263"/>
      <c r="I43" s="3264"/>
    </row>
    <row r="44" spans="1:55" ht="16.8" hidden="1">
      <c r="B44" s="2428" t="s">
        <v>1925</v>
      </c>
      <c r="K44" s="2428">
        <f>SUM(K45:K49)-'[11]Phụ lục số 3-thu bs -1'!I43</f>
        <v>-126915</v>
      </c>
      <c r="N44" s="3267">
        <f>'[11]Phụ lục số 3-thu bs -1'!J47</f>
        <v>1.0047879424816806</v>
      </c>
      <c r="O44" s="3268">
        <f>'[11]Phụ lục số 3-thu bs -1'!K47</f>
        <v>1.0127502007166578</v>
      </c>
      <c r="P44" s="3268"/>
      <c r="Q44" s="3268"/>
      <c r="R44" s="3268"/>
      <c r="S44" s="3269">
        <f>'[11]Phụ lục số 3-1'!M47</f>
        <v>1.0001518476896694</v>
      </c>
      <c r="T44" s="3270">
        <f>'[11]Phụ lục số 3-1'!N47</f>
        <v>1.0265549383746155</v>
      </c>
      <c r="X44" s="3271">
        <f>'[11]Phụ lục số 3-thu bs -1'!P47</f>
        <v>1.0566063446435068</v>
      </c>
      <c r="Y44" s="3271">
        <f>'[11]Phụ lục số 3-thu bs -1'!Q47</f>
        <v>1.0282348792705207</v>
      </c>
      <c r="AC44" s="3267">
        <f>'[11]Phụ lục số 3-thu bs -1'!S47</f>
        <v>1.0254627266562277</v>
      </c>
      <c r="AD44" s="3267">
        <f>'[11]Phụ lục số 3-thu bs -1'!T47</f>
        <v>1.0275485169255913</v>
      </c>
      <c r="AH44" s="3272">
        <f>'[11]Phụ lục số 3-thu bs -1'!Y47</f>
        <v>1.0393441136204653</v>
      </c>
      <c r="AI44" s="3272">
        <f>'[11]Phụ lục số 3-thu bs -1'!Z47</f>
        <v>1.0140856238275435</v>
      </c>
      <c r="AM44" s="3273">
        <f>'[11]Phụ lục số 3-thu bs -1'!AB47</f>
        <v>1.0319405403144226</v>
      </c>
      <c r="AN44" s="3273">
        <f>'[11]Phụ lục số 3-thu bs -1'!AC47</f>
        <v>1.022921914593347</v>
      </c>
      <c r="AR44" s="3273">
        <f>'[11]Phụ lục số 3-thu bs -1'!AE47</f>
        <v>1.0194663055683124</v>
      </c>
      <c r="AS44" s="3273">
        <f>'[11]Phụ lục số 3-thu bs -1'!AF47</f>
        <v>1.0343773350868757</v>
      </c>
      <c r="AW44" s="3273">
        <f>'[11]Phụ lục số 3-thu bs -1'!AH47</f>
        <v>1.0329991962738128</v>
      </c>
      <c r="AX44" s="3273">
        <f>'[11]Phụ lục số 3-thu bs -1'!AI47</f>
        <v>1.029953641806818</v>
      </c>
      <c r="BB44" s="3273">
        <f>'[11]Phụ lục số 3-thu bs -1'!AK47</f>
        <v>1.033754435953756</v>
      </c>
      <c r="BC44" s="3273">
        <f>'[11]Phụ lục số 3-thu bs -1'!AL47</f>
        <v>1.0336194256200104</v>
      </c>
    </row>
    <row r="45" spans="1:55" hidden="1">
      <c r="K45" s="2428">
        <f>SUM(N45:O45)</f>
        <v>24820</v>
      </c>
      <c r="N45" s="3274">
        <f>N10-D10</f>
        <v>9066</v>
      </c>
      <c r="O45" s="3274">
        <f>O10-E10</f>
        <v>15754</v>
      </c>
      <c r="P45" s="3274"/>
      <c r="Q45" s="3274"/>
      <c r="R45" s="3274"/>
      <c r="S45" s="3274"/>
      <c r="T45" s="3274"/>
      <c r="X45" s="3267"/>
      <c r="Y45" s="3267"/>
      <c r="AC45" s="3267"/>
      <c r="AD45" s="3267"/>
      <c r="AH45" s="3272"/>
      <c r="AI45" s="3272"/>
      <c r="AM45" s="3273"/>
      <c r="AN45" s="3273"/>
      <c r="AR45" s="3273"/>
      <c r="AS45" s="3273"/>
      <c r="AW45" s="3273"/>
      <c r="AX45" s="3273"/>
      <c r="BB45" s="3273"/>
      <c r="BC45" s="3273"/>
    </row>
    <row r="46" spans="1:55" hidden="1">
      <c r="K46" s="2428">
        <f>SUM(N46:O46)</f>
        <v>213208</v>
      </c>
      <c r="N46" s="3274">
        <f>N14-D14</f>
        <v>68001</v>
      </c>
      <c r="O46" s="3274">
        <f>O14-E14</f>
        <v>145207</v>
      </c>
      <c r="P46" s="3274">
        <f>P47+P50</f>
        <v>530000</v>
      </c>
      <c r="Q46" s="3274">
        <f t="shared" ref="Q46:T46" si="57">Q47+Q50</f>
        <v>0</v>
      </c>
      <c r="R46" s="3274">
        <f t="shared" si="57"/>
        <v>0</v>
      </c>
      <c r="S46" s="3274">
        <f t="shared" si="57"/>
        <v>350000</v>
      </c>
      <c r="T46" s="3274">
        <f t="shared" si="57"/>
        <v>180000</v>
      </c>
      <c r="X46" s="3267"/>
      <c r="Y46" s="3267"/>
      <c r="AC46" s="3267"/>
      <c r="AD46" s="3267"/>
      <c r="AH46" s="3272"/>
      <c r="AI46" s="3272"/>
      <c r="AM46" s="3273"/>
      <c r="AN46" s="3273"/>
      <c r="AR46" s="3273"/>
      <c r="AS46" s="3273"/>
      <c r="AW46" s="3273"/>
      <c r="AX46" s="3273"/>
      <c r="BB46" s="3273"/>
      <c r="BC46" s="3273"/>
    </row>
    <row r="47" spans="1:55" hidden="1">
      <c r="K47" s="2428">
        <f t="shared" ref="K47:K49" si="58">SUM(N47:O47)</f>
        <v>0</v>
      </c>
      <c r="N47" s="3274">
        <f t="shared" ref="N47:O49" si="59">N28-D28</f>
        <v>0</v>
      </c>
      <c r="O47" s="3274">
        <f t="shared" si="59"/>
        <v>0</v>
      </c>
      <c r="P47" s="3275">
        <f>SUM(P48:P49)</f>
        <v>530000</v>
      </c>
      <c r="Q47" s="3275">
        <f t="shared" ref="Q47:T47" si="60">SUM(Q48:Q49)</f>
        <v>0</v>
      </c>
      <c r="R47" s="3275">
        <f t="shared" si="60"/>
        <v>0</v>
      </c>
      <c r="S47" s="3275">
        <f t="shared" si="60"/>
        <v>350000</v>
      </c>
      <c r="T47" s="3275">
        <f t="shared" si="60"/>
        <v>180000</v>
      </c>
      <c r="U47" s="3276">
        <f>X47+Y47</f>
        <v>82186.408969876124</v>
      </c>
      <c r="V47" s="3276"/>
      <c r="W47" s="3276"/>
      <c r="X47" s="3277">
        <f>X10-N10</f>
        <v>22186</v>
      </c>
      <c r="Y47" s="3277">
        <f>Y10-O10</f>
        <v>60000.408969876124</v>
      </c>
      <c r="AC47" s="3267"/>
      <c r="AD47" s="3267"/>
      <c r="AH47" s="3272"/>
      <c r="AI47" s="3272"/>
      <c r="AM47" s="3273"/>
      <c r="AN47" s="3273"/>
      <c r="AR47" s="3273"/>
      <c r="AS47" s="3273"/>
      <c r="AW47" s="3273"/>
      <c r="AX47" s="3273"/>
      <c r="BB47" s="3273"/>
      <c r="BC47" s="3273"/>
    </row>
    <row r="48" spans="1:55" hidden="1">
      <c r="K48" s="2428">
        <f t="shared" si="58"/>
        <v>1557</v>
      </c>
      <c r="N48" s="3274">
        <f t="shared" si="59"/>
        <v>184</v>
      </c>
      <c r="O48" s="3274">
        <f t="shared" si="59"/>
        <v>1373</v>
      </c>
      <c r="P48" s="3274">
        <f>SUM(Q48:T48)</f>
        <v>180000</v>
      </c>
      <c r="Q48" s="3274"/>
      <c r="R48" s="3274"/>
      <c r="S48" s="3274">
        <f>S11-N11</f>
        <v>0</v>
      </c>
      <c r="T48" s="3274">
        <f>T11-O11</f>
        <v>180000</v>
      </c>
      <c r="U48" s="3276">
        <f t="shared" ref="U48:U51" si="61">X48+Y48</f>
        <v>1311113.3947110809</v>
      </c>
      <c r="V48" s="3276"/>
      <c r="W48" s="3276"/>
      <c r="X48" s="3277">
        <f>X14-N14</f>
        <v>126405</v>
      </c>
      <c r="Y48" s="3277">
        <f>Y14-O14</f>
        <v>1184708.3947110809</v>
      </c>
      <c r="AC48" s="3267"/>
      <c r="AD48" s="3267"/>
      <c r="AH48" s="3272"/>
      <c r="AI48" s="3272"/>
      <c r="AM48" s="3273"/>
      <c r="AN48" s="3273"/>
      <c r="AR48" s="3273"/>
      <c r="AS48" s="3273"/>
      <c r="AW48" s="3273"/>
      <c r="AX48" s="3273"/>
      <c r="BB48" s="3273"/>
      <c r="BC48" s="3273"/>
    </row>
    <row r="49" spans="6:55" hidden="1">
      <c r="K49" s="2428">
        <f t="shared" si="58"/>
        <v>0</v>
      </c>
      <c r="N49" s="3274">
        <f t="shared" si="59"/>
        <v>0</v>
      </c>
      <c r="O49" s="3274">
        <f t="shared" si="59"/>
        <v>0</v>
      </c>
      <c r="P49" s="3274">
        <f>SUM(Q49:T49)</f>
        <v>350000</v>
      </c>
      <c r="Q49" s="3274"/>
      <c r="R49" s="3274"/>
      <c r="S49" s="3274">
        <f>S12-N12</f>
        <v>350000</v>
      </c>
      <c r="T49" s="3274">
        <f>T12-O12</f>
        <v>0</v>
      </c>
      <c r="U49" s="3276">
        <f t="shared" si="61"/>
        <v>0</v>
      </c>
      <c r="V49" s="3276"/>
      <c r="W49" s="3276"/>
      <c r="X49" s="3277">
        <f t="shared" ref="X49:Y51" si="62">X28-N28</f>
        <v>0</v>
      </c>
      <c r="Y49" s="3277">
        <f t="shared" si="62"/>
        <v>0</v>
      </c>
      <c r="AC49" s="3267"/>
      <c r="AD49" s="3267"/>
      <c r="AH49" s="3272"/>
      <c r="AI49" s="3272"/>
      <c r="AM49" s="3273"/>
      <c r="AN49" s="3273"/>
      <c r="AR49" s="3273"/>
      <c r="AS49" s="3273"/>
      <c r="AW49" s="3273"/>
      <c r="AX49" s="3273"/>
      <c r="BB49" s="3273"/>
      <c r="BC49" s="3273"/>
    </row>
    <row r="50" spans="6:55" hidden="1">
      <c r="F50" s="2428">
        <f>F8-F30</f>
        <v>13211489</v>
      </c>
      <c r="K50" s="2428">
        <v>9045866</v>
      </c>
      <c r="N50" s="2428">
        <f>+K8+U8+Z8</f>
        <v>46810775.158349335</v>
      </c>
      <c r="P50" s="3274">
        <f>SUM(Q50:T50)</f>
        <v>0</v>
      </c>
      <c r="Q50" s="3278"/>
      <c r="R50" s="3278"/>
      <c r="S50" s="3279">
        <f>S14-N14</f>
        <v>0</v>
      </c>
      <c r="T50" s="3279">
        <f>T14-O14</f>
        <v>0</v>
      </c>
      <c r="U50" s="3276">
        <f t="shared" si="61"/>
        <v>53245.912319042109</v>
      </c>
      <c r="V50" s="3276"/>
      <c r="W50" s="3276"/>
      <c r="X50" s="3277">
        <f t="shared" si="62"/>
        <v>16882.367999999988</v>
      </c>
      <c r="Y50" s="3277">
        <f t="shared" si="62"/>
        <v>36363.544319042121</v>
      </c>
    </row>
    <row r="51" spans="6:55" hidden="1">
      <c r="I51" s="3280">
        <f>I33/I38</f>
        <v>4.1407867494824016E-2</v>
      </c>
      <c r="K51" s="3053">
        <f>+K50-K14</f>
        <v>-307999</v>
      </c>
      <c r="N51" s="2428">
        <f>+K9+U9+Z9</f>
        <v>13159186.408969875</v>
      </c>
      <c r="S51" s="3274">
        <f t="shared" ref="S51:S65" si="63">S14-N14</f>
        <v>0</v>
      </c>
      <c r="T51" s="3274"/>
      <c r="U51" s="3276">
        <f t="shared" si="61"/>
        <v>0</v>
      </c>
      <c r="V51" s="3276"/>
      <c r="W51" s="3276"/>
      <c r="X51" s="3277">
        <f t="shared" si="62"/>
        <v>0</v>
      </c>
      <c r="Y51" s="3277">
        <f t="shared" si="62"/>
        <v>0</v>
      </c>
    </row>
    <row r="52" spans="6:55" hidden="1">
      <c r="K52" s="2428">
        <v>252266</v>
      </c>
      <c r="N52" s="3281">
        <f>+N51/N50</f>
        <v>0.2811144734188995</v>
      </c>
      <c r="S52" s="3274">
        <f t="shared" si="63"/>
        <v>0</v>
      </c>
      <c r="T52" s="3274"/>
      <c r="U52" s="3053">
        <f>SUM(X52:Y52)</f>
        <v>1446545.7159999993</v>
      </c>
      <c r="V52" s="3053">
        <f t="shared" ref="V52:Y52" si="64">SUM(V47:V51)</f>
        <v>0</v>
      </c>
      <c r="W52" s="3053">
        <f t="shared" si="64"/>
        <v>0</v>
      </c>
      <c r="X52" s="3053">
        <f>SUM(X47:X51)</f>
        <v>165473.36799999999</v>
      </c>
      <c r="Y52" s="3053">
        <f t="shared" si="64"/>
        <v>1281072.3479999993</v>
      </c>
      <c r="Z52" s="2428">
        <f>'[11]Phụ lục số 1-1'!AI8+'[11]Phụ lục số 1-1'!AI53</f>
        <v>15615488</v>
      </c>
      <c r="AE52" s="2428">
        <f>'[11]Phụ lục số 1-1'!AO53+'[11]Phụ lục số 1-1'!AO8</f>
        <v>16412488</v>
      </c>
      <c r="AH52" s="2428">
        <f>'[11]Phụ lục số 1-1'!AP8+'[11]Phụ lục số 1-1'!AP53</f>
        <v>12242488</v>
      </c>
      <c r="AI52" s="2428">
        <f>'[11]Phụ lục số 1-1'!AQ8+'[11]Phụ lục số 1-1'!AQ53</f>
        <v>4170000</v>
      </c>
      <c r="AJ52" s="2428">
        <f>('[11]Phụ lục số 1-1'!AU8+'[11]Phụ lục số 1-1'!AU53)</f>
        <v>17205488</v>
      </c>
      <c r="AO52" s="2428">
        <f>('[11]Phụ lục số 1-1'!BA8+'[11]Phụ lục số 1-1'!BA53)</f>
        <v>18054488</v>
      </c>
      <c r="AT52" s="2428">
        <f>'[11]Phụ lục số 1-1'!BG8+'[11]Phụ lục số 1-1'!BG53</f>
        <v>19009488</v>
      </c>
      <c r="AY52" s="2428">
        <f>'[11]Phụ lục số 1-1'!BM8+'[11]Phụ lục số 1-1'!BM53</f>
        <v>20141488</v>
      </c>
    </row>
    <row r="53" spans="6:55" hidden="1">
      <c r="K53" s="3053"/>
      <c r="S53" s="3274">
        <f t="shared" si="63"/>
        <v>0</v>
      </c>
      <c r="T53" s="3274"/>
      <c r="U53" s="3053">
        <f>SUM(X53:Y53)</f>
        <v>1404000</v>
      </c>
      <c r="X53" s="3282">
        <f>'[11]Phụ lục số 3-thu bs -1'!P39</f>
        <v>813350</v>
      </c>
      <c r="Y53" s="3282">
        <f>'[11]Phụ lục số 3-thu bs -1'!Q39</f>
        <v>590650</v>
      </c>
    </row>
    <row r="54" spans="6:55" hidden="1">
      <c r="N54" s="3281"/>
      <c r="S54" s="3274">
        <f t="shared" si="63"/>
        <v>0</v>
      </c>
      <c r="T54" s="3274"/>
      <c r="U54" s="2428">
        <f>U53-U52</f>
        <v>-42545.715999999316</v>
      </c>
      <c r="V54" s="2428">
        <f t="shared" ref="V54:Y54" si="65">V53-V52</f>
        <v>0</v>
      </c>
      <c r="W54" s="2428">
        <f t="shared" si="65"/>
        <v>0</v>
      </c>
      <c r="X54" s="3180">
        <f>X53-X52</f>
        <v>647876.63199999998</v>
      </c>
      <c r="Y54" s="3180">
        <f t="shared" si="65"/>
        <v>-690422.3479999993</v>
      </c>
    </row>
    <row r="55" spans="6:55" hidden="1">
      <c r="S55" s="3274">
        <f t="shared" si="63"/>
        <v>0</v>
      </c>
      <c r="T55" s="3274"/>
    </row>
    <row r="56" spans="6:55" hidden="1">
      <c r="S56" s="3274">
        <f t="shared" si="63"/>
        <v>0</v>
      </c>
      <c r="T56" s="3274"/>
      <c r="U56" s="3053">
        <f>SUM(X56:Y56)</f>
        <v>3386944.9159999993</v>
      </c>
      <c r="X56" s="2428">
        <f>X8-N8</f>
        <v>1124612.568</v>
      </c>
      <c r="Y56" s="2428">
        <f>Y8-O8</f>
        <v>2262332.3479999993</v>
      </c>
    </row>
    <row r="57" spans="6:55" hidden="1">
      <c r="S57" s="3274">
        <f t="shared" si="63"/>
        <v>0</v>
      </c>
      <c r="T57" s="3274"/>
      <c r="Y57" s="2428">
        <f>Y53-Y56</f>
        <v>-1671682.3479999993</v>
      </c>
    </row>
    <row r="58" spans="6:55" hidden="1">
      <c r="S58" s="3274">
        <f t="shared" si="63"/>
        <v>0</v>
      </c>
      <c r="T58" s="3274"/>
    </row>
    <row r="59" spans="6:55" hidden="1">
      <c r="K59" s="2428">
        <v>61200</v>
      </c>
      <c r="N59" s="2428">
        <f>+K8*2%</f>
        <v>263829.76000000001</v>
      </c>
      <c r="S59" s="3274">
        <f t="shared" si="63"/>
        <v>0</v>
      </c>
      <c r="T59" s="3274"/>
    </row>
    <row r="60" spans="6:55" hidden="1">
      <c r="K60" s="2428">
        <f>+K58+K59</f>
        <v>61200</v>
      </c>
      <c r="N60" s="2428">
        <f>D25-N25</f>
        <v>-5000</v>
      </c>
      <c r="S60" s="3274">
        <f t="shared" si="63"/>
        <v>0</v>
      </c>
      <c r="T60" s="3274"/>
    </row>
    <row r="61" spans="6:55" hidden="1">
      <c r="N61" s="2428">
        <f>D26-N26</f>
        <v>0</v>
      </c>
      <c r="S61" s="3274">
        <f t="shared" si="63"/>
        <v>0</v>
      </c>
      <c r="T61" s="3274"/>
    </row>
    <row r="62" spans="6:55" hidden="1">
      <c r="K62" s="2428">
        <v>1067085</v>
      </c>
      <c r="N62" s="2428">
        <f>D27-N27</f>
        <v>10000</v>
      </c>
      <c r="S62" s="3274">
        <f t="shared" si="63"/>
        <v>0</v>
      </c>
      <c r="T62" s="3274"/>
    </row>
    <row r="63" spans="6:55" hidden="1">
      <c r="K63" s="2428">
        <v>64400</v>
      </c>
      <c r="N63" s="2428">
        <f>D28-N28</f>
        <v>0</v>
      </c>
      <c r="S63" s="3274">
        <f t="shared" si="63"/>
        <v>0</v>
      </c>
      <c r="T63" s="3274"/>
    </row>
    <row r="64" spans="6:55" hidden="1">
      <c r="K64" s="2428">
        <f>+K62+K63</f>
        <v>1131485</v>
      </c>
      <c r="S64" s="3274">
        <f t="shared" si="63"/>
        <v>0</v>
      </c>
      <c r="T64" s="3274"/>
    </row>
    <row r="65" spans="3:20">
      <c r="N65" s="2428">
        <f>SUM(N51:N64)</f>
        <v>13428016.450084349</v>
      </c>
      <c r="S65" s="3274">
        <f t="shared" si="63"/>
        <v>0</v>
      </c>
      <c r="T65" s="3274"/>
    </row>
    <row r="66" spans="3:20">
      <c r="K66" s="2428">
        <v>974980</v>
      </c>
      <c r="S66" s="3274"/>
      <c r="T66" s="3274"/>
    </row>
    <row r="67" spans="3:20">
      <c r="K67" s="2428">
        <f>+K60-K66</f>
        <v>-913780</v>
      </c>
      <c r="S67" s="3274"/>
      <c r="T67" s="3274"/>
    </row>
    <row r="68" spans="3:20">
      <c r="C68" s="2428">
        <v>9045866</v>
      </c>
      <c r="N68" s="3180">
        <f>N10*1000000</f>
        <v>540000000000</v>
      </c>
      <c r="S68" s="3274">
        <f t="shared" ref="S68:T71" si="66">S33-N33</f>
        <v>0</v>
      </c>
      <c r="T68" s="3274">
        <f t="shared" si="66"/>
        <v>0</v>
      </c>
    </row>
    <row r="69" spans="3:20">
      <c r="C69" s="2428">
        <f>+C68*3%</f>
        <v>271375.98</v>
      </c>
      <c r="K69" s="3283">
        <f>K7/'[11]Định mức chi TX 2022'!E44</f>
        <v>9.8839448323258825</v>
      </c>
      <c r="S69" s="3274">
        <f t="shared" si="66"/>
        <v>0</v>
      </c>
      <c r="T69" s="3274">
        <f t="shared" si="66"/>
        <v>0</v>
      </c>
    </row>
    <row r="70" spans="3:20">
      <c r="K70" s="3283">
        <f>K8/'[11]Định mức chi TX 2022'!E44</f>
        <v>8.2417181325461168</v>
      </c>
      <c r="S70" s="3274">
        <f t="shared" si="66"/>
        <v>0</v>
      </c>
      <c r="T70" s="3274">
        <f t="shared" si="66"/>
        <v>0</v>
      </c>
    </row>
    <row r="71" spans="3:20">
      <c r="K71" s="3283">
        <v>8.8000000000000007</v>
      </c>
      <c r="N71" s="2428">
        <v>531239</v>
      </c>
      <c r="S71" s="3274">
        <f t="shared" si="66"/>
        <v>0</v>
      </c>
      <c r="T71" s="3274">
        <f t="shared" si="66"/>
        <v>0</v>
      </c>
    </row>
    <row r="72" spans="3:20">
      <c r="K72" s="3281">
        <f>+K71/K70</f>
        <v>1.0677385295730095</v>
      </c>
      <c r="N72" s="2428">
        <f>N10</f>
        <v>540000</v>
      </c>
      <c r="S72" s="3274">
        <f t="shared" ref="S72:T73" si="67">S38-N38</f>
        <v>0</v>
      </c>
      <c r="T72" s="3274">
        <f t="shared" si="67"/>
        <v>0</v>
      </c>
    </row>
    <row r="73" spans="3:20">
      <c r="N73" s="2428">
        <f>+N71-N72</f>
        <v>-8761</v>
      </c>
      <c r="S73" s="3274">
        <f t="shared" si="67"/>
        <v>0</v>
      </c>
      <c r="T73" s="3274">
        <f t="shared" si="67"/>
        <v>0</v>
      </c>
    </row>
    <row r="74" spans="3:20">
      <c r="K74" s="2428">
        <v>116757</v>
      </c>
      <c r="S74" s="3274"/>
    </row>
    <row r="75" spans="3:20">
      <c r="K75" s="2428">
        <v>167395</v>
      </c>
    </row>
    <row r="76" spans="3:20">
      <c r="K76" s="2428">
        <f>+K75-K74</f>
        <v>50638</v>
      </c>
    </row>
    <row r="77" spans="3:20">
      <c r="C77" s="2428">
        <f>C14*3%</f>
        <v>274219.70999999996</v>
      </c>
      <c r="N77" s="2428">
        <f>N7/12</f>
        <v>681160.33333333337</v>
      </c>
    </row>
    <row r="78" spans="3:20">
      <c r="K78" s="2428">
        <v>3290357</v>
      </c>
    </row>
    <row r="79" spans="3:20">
      <c r="K79" s="2428">
        <v>3313757</v>
      </c>
      <c r="N79" s="2428">
        <f>733000/12</f>
        <v>61083.333333333336</v>
      </c>
    </row>
    <row r="80" spans="3:20">
      <c r="K80" s="2428">
        <f>+K79-K78</f>
        <v>23400</v>
      </c>
      <c r="N80" s="2428">
        <f>1500000/12</f>
        <v>125000</v>
      </c>
    </row>
    <row r="81" spans="2:26">
      <c r="K81" s="2428">
        <v>48300</v>
      </c>
      <c r="N81" s="2428">
        <f>5809777/12</f>
        <v>484148.08333333331</v>
      </c>
    </row>
    <row r="82" spans="2:26">
      <c r="K82" s="2428">
        <f>+K80+K81</f>
        <v>71700</v>
      </c>
      <c r="N82" s="2428">
        <v>28571469</v>
      </c>
    </row>
    <row r="83" spans="2:26">
      <c r="K83" s="2428">
        <f>+K9-K78</f>
        <v>270643</v>
      </c>
      <c r="N83" s="2428">
        <v>9909393</v>
      </c>
    </row>
    <row r="84" spans="2:26">
      <c r="K84" s="2428">
        <f>+K83-K82</f>
        <v>198943</v>
      </c>
      <c r="N84" s="2428">
        <f>+N82-N83</f>
        <v>18662076</v>
      </c>
    </row>
    <row r="85" spans="2:26">
      <c r="N85" s="2428">
        <v>27554674</v>
      </c>
    </row>
    <row r="86" spans="2:26">
      <c r="N86" s="2428">
        <f>+N82-N85</f>
        <v>1016795</v>
      </c>
    </row>
    <row r="87" spans="2:26">
      <c r="K87" s="2428">
        <f>K7-'[11]Chi NSĐP 2021-2030'!AE8</f>
        <v>0</v>
      </c>
      <c r="N87" s="2428">
        <v>1061000</v>
      </c>
    </row>
    <row r="88" spans="2:26">
      <c r="N88" s="2428">
        <v>247800</v>
      </c>
    </row>
    <row r="89" spans="2:26">
      <c r="K89" s="3281">
        <f>K9/K8</f>
        <v>0.26994680205902472</v>
      </c>
      <c r="N89" s="2428">
        <f>+N87-N88</f>
        <v>813200</v>
      </c>
      <c r="U89" s="3281">
        <f>U9/U8</f>
        <v>0.29334415584457146</v>
      </c>
      <c r="Z89" s="3281">
        <f>Z9/Z8</f>
        <v>0.27786165720687545</v>
      </c>
    </row>
    <row r="90" spans="2:26">
      <c r="K90" s="3281">
        <f>K14/K8</f>
        <v>0.70908338771183355</v>
      </c>
      <c r="U90" s="3281">
        <f>U14/U8</f>
        <v>0.64330437314242239</v>
      </c>
      <c r="Z90" s="3281">
        <f>Z14/Z8</f>
        <v>0.64967400357704708</v>
      </c>
    </row>
    <row r="92" spans="2:26">
      <c r="B92" s="3185"/>
      <c r="K92" s="2428">
        <v>15338664</v>
      </c>
      <c r="N92" s="2428">
        <f>K92+U93</f>
        <v>15586464</v>
      </c>
      <c r="U92" s="2428">
        <f>K7-N92</f>
        <v>233531</v>
      </c>
    </row>
    <row r="93" spans="2:26">
      <c r="K93" s="2428">
        <v>12893688</v>
      </c>
      <c r="N93" s="2428">
        <f>K93+U93</f>
        <v>13141488</v>
      </c>
      <c r="U93" s="2428">
        <v>247800</v>
      </c>
      <c r="V93" s="2428" t="s">
        <v>1926</v>
      </c>
    </row>
    <row r="94" spans="2:26">
      <c r="K94" s="2428">
        <v>3226904</v>
      </c>
      <c r="U94" s="2428">
        <v>2000</v>
      </c>
      <c r="V94" s="2428" t="s">
        <v>1927</v>
      </c>
    </row>
    <row r="95" spans="2:26">
      <c r="K95" s="2428">
        <v>9402554</v>
      </c>
    </row>
    <row r="96" spans="2:26">
      <c r="K96" s="2428">
        <v>4179745</v>
      </c>
      <c r="N96" s="2428">
        <f>4090257</f>
        <v>4090257</v>
      </c>
      <c r="U96" s="2428">
        <f>+K96-N96</f>
        <v>89488</v>
      </c>
    </row>
    <row r="97" spans="3:23">
      <c r="K97" s="2428">
        <v>27918</v>
      </c>
      <c r="U97" s="2428">
        <f>+N97+N98</f>
        <v>0</v>
      </c>
    </row>
    <row r="98" spans="3:23">
      <c r="K98" s="2428">
        <f>K95-K96-K97</f>
        <v>5194891</v>
      </c>
    </row>
    <row r="99" spans="3:23">
      <c r="K99" s="2428">
        <v>1400</v>
      </c>
      <c r="U99" s="2428">
        <f>776904+247000</f>
        <v>1023904</v>
      </c>
    </row>
    <row r="100" spans="3:23">
      <c r="K100" s="2428">
        <v>262830</v>
      </c>
      <c r="N100" s="2428">
        <f>(6504000+6486688)*2%</f>
        <v>259813.76000000001</v>
      </c>
    </row>
    <row r="102" spans="3:23">
      <c r="K102" s="2428">
        <v>6654000</v>
      </c>
    </row>
    <row r="103" spans="3:23">
      <c r="K103" s="2428">
        <f>13140688-K102</f>
        <v>6486688</v>
      </c>
    </row>
    <row r="106" spans="3:23">
      <c r="K106" s="2428">
        <v>15490695</v>
      </c>
      <c r="N106" s="2428">
        <f>+K106+247800+31500</f>
        <v>15769995</v>
      </c>
    </row>
    <row r="107" spans="3:23">
      <c r="C107" s="3264">
        <f>SUM(C108,C113,C117,C118)</f>
        <v>12589889</v>
      </c>
      <c r="D107" s="3180"/>
      <c r="E107" s="3180"/>
      <c r="F107" s="3180"/>
      <c r="G107" s="3284"/>
      <c r="H107" s="3180"/>
      <c r="I107" s="3180"/>
      <c r="J107" s="3180"/>
      <c r="K107" s="3264">
        <f>SUM(K108,K113,K117,K118)</f>
        <v>12893688</v>
      </c>
    </row>
    <row r="108" spans="3:23">
      <c r="C108" s="3264">
        <f>SUM(C109:C112)</f>
        <v>3290357</v>
      </c>
      <c r="D108" s="3180"/>
      <c r="E108" s="3180">
        <v>3313757</v>
      </c>
      <c r="F108" s="3180">
        <f>+E108-C108</f>
        <v>23400</v>
      </c>
      <c r="G108" s="3284"/>
      <c r="H108" s="3180"/>
      <c r="I108" s="3180"/>
      <c r="J108" s="3180"/>
      <c r="K108" s="3264">
        <f>SUM(K109:K111)</f>
        <v>3226904</v>
      </c>
      <c r="U108" s="2428">
        <f>+K108-C108</f>
        <v>-63453</v>
      </c>
    </row>
    <row r="109" spans="3:23">
      <c r="C109" s="3180">
        <v>951580</v>
      </c>
      <c r="D109" s="3180"/>
      <c r="E109" s="3180"/>
      <c r="F109" s="3180"/>
      <c r="G109" s="3284"/>
      <c r="H109" s="3180"/>
      <c r="I109" s="3180"/>
      <c r="J109" s="3180"/>
      <c r="K109" s="3180">
        <v>776904</v>
      </c>
      <c r="N109" s="2428">
        <f>+K109+U93</f>
        <v>1024704</v>
      </c>
      <c r="U109" s="2428">
        <f>+K109-C109</f>
        <v>-174676</v>
      </c>
      <c r="W109" s="3181">
        <f>+N109/(C109+23400)</f>
        <v>1.0510000205132413</v>
      </c>
    </row>
    <row r="110" spans="3:23">
      <c r="C110" s="3180">
        <v>800000</v>
      </c>
      <c r="D110" s="3180"/>
      <c r="E110" s="3180"/>
      <c r="F110" s="3180"/>
      <c r="G110" s="3284"/>
      <c r="H110" s="3180"/>
      <c r="I110" s="3180"/>
      <c r="J110" s="3180"/>
      <c r="K110" s="3180">
        <v>850000</v>
      </c>
      <c r="U110" s="2428">
        <f>+K110-C110</f>
        <v>50000</v>
      </c>
    </row>
    <row r="111" spans="3:23">
      <c r="C111" s="3180">
        <v>1500000</v>
      </c>
      <c r="D111" s="3180"/>
      <c r="E111" s="3180"/>
      <c r="F111" s="3180"/>
      <c r="G111" s="3284"/>
      <c r="H111" s="3180"/>
      <c r="I111" s="3180"/>
      <c r="J111" s="3180"/>
      <c r="K111" s="3180">
        <v>1600000</v>
      </c>
      <c r="U111" s="2428">
        <f>+K111-C111</f>
        <v>100000</v>
      </c>
    </row>
    <row r="112" spans="3:23">
      <c r="C112" s="3180">
        <v>38777</v>
      </c>
      <c r="D112" s="3180"/>
      <c r="E112" s="3180"/>
      <c r="F112" s="3180"/>
      <c r="G112" s="3284"/>
      <c r="H112" s="3180"/>
      <c r="I112" s="3180"/>
      <c r="J112" s="3180"/>
      <c r="K112" s="3180"/>
      <c r="U112" s="2428">
        <f>+K112-C112</f>
        <v>-38777</v>
      </c>
    </row>
    <row r="113" spans="1:24" s="3053" customFormat="1">
      <c r="A113" s="3055"/>
      <c r="C113" s="3264">
        <v>9045866</v>
      </c>
      <c r="D113" s="3264"/>
      <c r="E113" s="3264"/>
      <c r="F113" s="3264"/>
      <c r="G113" s="3285"/>
      <c r="H113" s="3264"/>
      <c r="I113" s="3264"/>
      <c r="J113" s="3264"/>
      <c r="K113" s="3264">
        <v>9402554</v>
      </c>
      <c r="U113" s="3053">
        <f t="shared" ref="U113:U118" si="68">K113-C113</f>
        <v>356688</v>
      </c>
      <c r="V113" s="3286"/>
      <c r="W113" s="3286">
        <f t="shared" ref="W113:W118" si="69">+K113/C113</f>
        <v>1.0394310506036679</v>
      </c>
      <c r="X113" s="3286">
        <f t="shared" ref="X113:X118" si="70">W113-100%</f>
        <v>3.9431050603667916E-2</v>
      </c>
    </row>
    <row r="114" spans="1:24">
      <c r="C114" s="3180">
        <v>4090257</v>
      </c>
      <c r="D114" s="3180"/>
      <c r="E114" s="3180"/>
      <c r="F114" s="3180"/>
      <c r="G114" s="3284"/>
      <c r="H114" s="3180"/>
      <c r="I114" s="3180"/>
      <c r="J114" s="3180"/>
      <c r="K114" s="3180">
        <v>4179745</v>
      </c>
      <c r="U114" s="2428">
        <f t="shared" si="68"/>
        <v>89488</v>
      </c>
      <c r="W114" s="3181">
        <f t="shared" si="69"/>
        <v>1.0218783318505413</v>
      </c>
      <c r="X114" s="3181">
        <f t="shared" si="70"/>
        <v>2.1878331850541333E-2</v>
      </c>
    </row>
    <row r="115" spans="1:24">
      <c r="C115" s="3180">
        <v>27026</v>
      </c>
      <c r="D115" s="3180"/>
      <c r="E115" s="3180"/>
      <c r="F115" s="3180"/>
      <c r="G115" s="3284"/>
      <c r="H115" s="3180"/>
      <c r="I115" s="3180"/>
      <c r="J115" s="3180"/>
      <c r="K115" s="3180">
        <v>27918</v>
      </c>
      <c r="U115" s="2428">
        <f t="shared" si="68"/>
        <v>892</v>
      </c>
      <c r="W115" s="3181">
        <f t="shared" si="69"/>
        <v>1.0330052541996595</v>
      </c>
      <c r="X115" s="3181">
        <f t="shared" si="70"/>
        <v>3.3005254199659495E-2</v>
      </c>
    </row>
    <row r="116" spans="1:24">
      <c r="C116" s="3180">
        <f>+C113-C114-C115</f>
        <v>4928583</v>
      </c>
      <c r="D116" s="3180"/>
      <c r="E116" s="3180"/>
      <c r="F116" s="3180"/>
      <c r="G116" s="3284"/>
      <c r="H116" s="3180"/>
      <c r="I116" s="3180"/>
      <c r="J116" s="3180"/>
      <c r="K116" s="3180">
        <f>+K113-K114-K115</f>
        <v>5194891</v>
      </c>
      <c r="U116" s="2428">
        <f t="shared" si="68"/>
        <v>266308</v>
      </c>
      <c r="W116" s="3181">
        <f t="shared" si="69"/>
        <v>1.0540333803853967</v>
      </c>
      <c r="X116" s="3181">
        <f t="shared" si="70"/>
        <v>5.4033380385396734E-2</v>
      </c>
    </row>
    <row r="117" spans="1:24" s="3053" customFormat="1">
      <c r="A117" s="3055"/>
      <c r="C117" s="3264">
        <v>1400</v>
      </c>
      <c r="D117" s="3264"/>
      <c r="E117" s="3264"/>
      <c r="F117" s="3264"/>
      <c r="G117" s="3285"/>
      <c r="H117" s="3264"/>
      <c r="I117" s="3264"/>
      <c r="J117" s="3264"/>
      <c r="K117" s="3264">
        <v>1400</v>
      </c>
      <c r="U117" s="3053">
        <f t="shared" si="68"/>
        <v>0</v>
      </c>
      <c r="W117" s="3286">
        <f t="shared" si="69"/>
        <v>1</v>
      </c>
      <c r="X117" s="3286">
        <f t="shared" si="70"/>
        <v>0</v>
      </c>
    </row>
    <row r="118" spans="1:24" s="3053" customFormat="1">
      <c r="A118" s="3055"/>
      <c r="C118" s="3264">
        <v>252266</v>
      </c>
      <c r="D118" s="3264"/>
      <c r="E118" s="3264"/>
      <c r="F118" s="3264"/>
      <c r="G118" s="3285"/>
      <c r="H118" s="3264"/>
      <c r="I118" s="3264"/>
      <c r="J118" s="3264"/>
      <c r="K118" s="3264">
        <v>262830</v>
      </c>
      <c r="U118" s="3053">
        <f t="shared" si="68"/>
        <v>10564</v>
      </c>
      <c r="W118" s="3286">
        <f t="shared" si="69"/>
        <v>1.0418764320201692</v>
      </c>
      <c r="X118" s="3286">
        <f t="shared" si="70"/>
        <v>4.1876432020169219E-2</v>
      </c>
    </row>
    <row r="120" spans="1:24">
      <c r="K120" s="2428">
        <f>2022-1969</f>
        <v>53</v>
      </c>
    </row>
    <row r="121" spans="1:24">
      <c r="K121" s="2428">
        <v>250</v>
      </c>
    </row>
    <row r="122" spans="1:24">
      <c r="K122" s="3287">
        <f>K121/365</f>
        <v>0.68493150684931503</v>
      </c>
    </row>
    <row r="129" spans="11:16">
      <c r="K129" s="3187">
        <f>'[11]Phụ lục số 1-1'!N53/'[11]Phụ lục số 2-1'!K8</f>
        <v>0.49179349592707056</v>
      </c>
    </row>
    <row r="134" spans="11:16">
      <c r="P134" s="2428">
        <f>P8-'[2]PL-TổngChi21-25'!AG10</f>
        <v>0</v>
      </c>
    </row>
  </sheetData>
  <mergeCells count="16">
    <mergeCell ref="AY4:BC4"/>
    <mergeCell ref="A1:Z1"/>
    <mergeCell ref="G2:I2"/>
    <mergeCell ref="D3:E3"/>
    <mergeCell ref="A4:A5"/>
    <mergeCell ref="B4:B5"/>
    <mergeCell ref="C4:E4"/>
    <mergeCell ref="F4:J4"/>
    <mergeCell ref="K4:O4"/>
    <mergeCell ref="P4:T4"/>
    <mergeCell ref="U4:Y4"/>
    <mergeCell ref="Z4:AD4"/>
    <mergeCell ref="AE4:AI4"/>
    <mergeCell ref="AJ4:AN4"/>
    <mergeCell ref="AO4:AS4"/>
    <mergeCell ref="AT4:AX4"/>
  </mergeCells>
  <hyperlinks>
    <hyperlink ref="A4:A5" location="'Danh mục file'!A1" display="SỐ TT"/>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sheetPr>
  <dimension ref="A1:XFD100"/>
  <sheetViews>
    <sheetView workbookViewId="0">
      <selection activeCell="A6" sqref="A6:A8"/>
    </sheetView>
  </sheetViews>
  <sheetFormatPr defaultColWidth="9.109375" defaultRowHeight="13.8"/>
  <cols>
    <col min="1" max="1" width="9.109375" style="1731"/>
    <col min="2" max="2" width="71.44140625" style="30" customWidth="1"/>
    <col min="3" max="17" width="9" style="30" customWidth="1"/>
    <col min="18" max="27" width="12.33203125" style="30" customWidth="1"/>
    <col min="28" max="42" width="8.33203125" style="30" hidden="1" customWidth="1"/>
    <col min="43" max="16384" width="9.109375" style="30"/>
  </cols>
  <sheetData>
    <row r="1" spans="1:42" s="1" customFormat="1" ht="15.6">
      <c r="A1" s="6056" t="s">
        <v>1415</v>
      </c>
      <c r="B1" s="6056"/>
      <c r="C1" s="6056"/>
      <c r="D1" s="6056"/>
      <c r="E1" s="6056"/>
      <c r="F1" s="6056"/>
      <c r="G1" s="6056"/>
      <c r="H1" s="6056"/>
      <c r="I1" s="6056"/>
      <c r="J1" s="6056"/>
      <c r="K1" s="6056"/>
      <c r="L1" s="6056"/>
      <c r="M1" s="6056"/>
      <c r="N1" s="6056"/>
      <c r="O1" s="6056"/>
      <c r="P1" s="6056"/>
      <c r="Q1" s="6056"/>
    </row>
    <row r="2" spans="1:42" s="1" customFormat="1" ht="15.6">
      <c r="A2" s="6056" t="s">
        <v>1416</v>
      </c>
      <c r="B2" s="6056"/>
      <c r="C2" s="6056"/>
      <c r="D2" s="6056"/>
      <c r="E2" s="6056"/>
      <c r="F2" s="6056"/>
      <c r="G2" s="6056"/>
      <c r="H2" s="6056"/>
      <c r="I2" s="6056"/>
      <c r="J2" s="6056"/>
      <c r="K2" s="6056"/>
      <c r="L2" s="6056"/>
      <c r="M2" s="6056"/>
      <c r="N2" s="6056"/>
      <c r="O2" s="6056"/>
      <c r="P2" s="6056"/>
      <c r="Q2" s="6056"/>
    </row>
    <row r="3" spans="1:42" s="1" customFormat="1" ht="15.6">
      <c r="A3" s="6059" t="str">
        <f>'Phụ lục số I'!A3:V3</f>
        <v>(Kèm theo Báo cáo số          /BC-UBND ngày            tháng 8 năm 2024 của Ủy ban nhân dân tỉnh Đồng Tháp)</v>
      </c>
      <c r="B3" s="6059"/>
      <c r="C3" s="6059"/>
      <c r="D3" s="6059"/>
      <c r="E3" s="6059"/>
      <c r="F3" s="6059"/>
      <c r="G3" s="6059"/>
      <c r="H3" s="6059"/>
      <c r="I3" s="6059"/>
      <c r="J3" s="6059"/>
      <c r="K3" s="6059"/>
      <c r="L3" s="6059"/>
      <c r="M3" s="6059"/>
      <c r="N3" s="6059"/>
      <c r="O3" s="6059"/>
      <c r="P3" s="6059"/>
      <c r="Q3" s="6059"/>
    </row>
    <row r="4" spans="1:42">
      <c r="B4" s="30" t="s">
        <v>117</v>
      </c>
      <c r="H4" s="32"/>
      <c r="K4" s="30" t="s">
        <v>117</v>
      </c>
      <c r="N4" s="1732"/>
      <c r="O4" s="1734"/>
      <c r="W4" s="32">
        <f>+W10-R10</f>
        <v>164080.48575687408</v>
      </c>
    </row>
    <row r="5" spans="1:42">
      <c r="C5" s="2172"/>
      <c r="D5" s="1732"/>
      <c r="E5" s="32"/>
      <c r="H5" s="2194"/>
      <c r="I5" s="2195">
        <f>+H18/C18</f>
        <v>1.160150784184758</v>
      </c>
      <c r="J5" s="2195">
        <f>+H18/D18</f>
        <v>1.1246060070159869</v>
      </c>
      <c r="K5" s="2194"/>
      <c r="L5" s="2194"/>
      <c r="M5" s="2196"/>
      <c r="N5" s="2195">
        <f>M17/C17</f>
        <v>1.2394249984290511</v>
      </c>
      <c r="O5" s="6068" t="s">
        <v>246</v>
      </c>
      <c r="P5" s="6069"/>
      <c r="Q5" s="6069"/>
      <c r="W5" s="32">
        <f>+W12-R12</f>
        <v>21151.866956012789</v>
      </c>
      <c r="AB5" s="32">
        <f>+AB12-W12</f>
        <v>140079.44579632278</v>
      </c>
      <c r="AH5" s="32">
        <f>+AG12-AB12</f>
        <v>142339.74820876517</v>
      </c>
      <c r="AM5" s="32">
        <f>+AL12-AG12</f>
        <v>132871.69831924653</v>
      </c>
    </row>
    <row r="6" spans="1:42" s="1735" customFormat="1" ht="15" customHeight="1">
      <c r="A6" s="6073" t="s">
        <v>136</v>
      </c>
      <c r="B6" s="6070" t="s">
        <v>137</v>
      </c>
      <c r="C6" s="6074" t="s">
        <v>140</v>
      </c>
      <c r="D6" s="6075"/>
      <c r="E6" s="6075"/>
      <c r="F6" s="6075"/>
      <c r="G6" s="6076"/>
      <c r="H6" s="6077" t="s">
        <v>120</v>
      </c>
      <c r="I6" s="6077"/>
      <c r="J6" s="6077"/>
      <c r="K6" s="6077"/>
      <c r="L6" s="6077"/>
      <c r="M6" s="6077" t="s">
        <v>121</v>
      </c>
      <c r="N6" s="6077"/>
      <c r="O6" s="6077"/>
      <c r="P6" s="6077"/>
      <c r="Q6" s="6077"/>
      <c r="R6" s="6077" t="s">
        <v>187</v>
      </c>
      <c r="S6" s="6077"/>
      <c r="T6" s="6077"/>
      <c r="U6" s="6077"/>
      <c r="V6" s="6077"/>
      <c r="W6" s="6077" t="s">
        <v>188</v>
      </c>
      <c r="X6" s="6077"/>
      <c r="Y6" s="6077"/>
      <c r="Z6" s="6077"/>
      <c r="AA6" s="6077"/>
      <c r="AB6" s="6077" t="s">
        <v>189</v>
      </c>
      <c r="AC6" s="6077"/>
      <c r="AD6" s="6077"/>
      <c r="AE6" s="6077"/>
      <c r="AF6" s="6077"/>
      <c r="AG6" s="6077" t="s">
        <v>190</v>
      </c>
      <c r="AH6" s="6077"/>
      <c r="AI6" s="6077"/>
      <c r="AJ6" s="6077"/>
      <c r="AK6" s="6077"/>
      <c r="AL6" s="6077" t="s">
        <v>193</v>
      </c>
      <c r="AM6" s="6077"/>
      <c r="AN6" s="6077"/>
      <c r="AO6" s="6077"/>
      <c r="AP6" s="6077"/>
    </row>
    <row r="7" spans="1:42" s="29" customFormat="1" ht="15" customHeight="1">
      <c r="A7" s="6073"/>
      <c r="B7" s="6071"/>
      <c r="C7" s="6070" t="s">
        <v>119</v>
      </c>
      <c r="D7" s="6070" t="s">
        <v>118</v>
      </c>
      <c r="E7" s="6070" t="s">
        <v>69</v>
      </c>
      <c r="F7" s="6074" t="s">
        <v>186</v>
      </c>
      <c r="G7" s="6076"/>
      <c r="H7" s="6077" t="s">
        <v>59</v>
      </c>
      <c r="I7" s="6077" t="s">
        <v>69</v>
      </c>
      <c r="J7" s="6077" t="s">
        <v>1417</v>
      </c>
      <c r="K7" s="6077" t="s">
        <v>186</v>
      </c>
      <c r="L7" s="6077"/>
      <c r="M7" s="6077"/>
      <c r="N7" s="6077" t="s">
        <v>69</v>
      </c>
      <c r="O7" s="6077" t="s">
        <v>194</v>
      </c>
      <c r="P7" s="6077" t="s">
        <v>186</v>
      </c>
      <c r="Q7" s="6077"/>
      <c r="R7" s="6077" t="s">
        <v>59</v>
      </c>
      <c r="S7" s="6077" t="s">
        <v>69</v>
      </c>
      <c r="T7" s="6077" t="s">
        <v>195</v>
      </c>
      <c r="U7" s="6077" t="s">
        <v>186</v>
      </c>
      <c r="V7" s="6077"/>
      <c r="W7" s="6077" t="s">
        <v>59</v>
      </c>
      <c r="X7" s="6077" t="s">
        <v>69</v>
      </c>
      <c r="Y7" s="6077" t="s">
        <v>196</v>
      </c>
      <c r="Z7" s="6077" t="s">
        <v>186</v>
      </c>
      <c r="AA7" s="6077"/>
      <c r="AB7" s="6077" t="s">
        <v>59</v>
      </c>
      <c r="AC7" s="6077" t="s">
        <v>69</v>
      </c>
      <c r="AD7" s="6077" t="s">
        <v>197</v>
      </c>
      <c r="AE7" s="6077" t="s">
        <v>186</v>
      </c>
      <c r="AF7" s="6077"/>
      <c r="AG7" s="6077" t="s">
        <v>59</v>
      </c>
      <c r="AH7" s="6077" t="s">
        <v>69</v>
      </c>
      <c r="AI7" s="6077" t="s">
        <v>198</v>
      </c>
      <c r="AJ7" s="6077" t="s">
        <v>186</v>
      </c>
      <c r="AK7" s="6077"/>
      <c r="AL7" s="6077" t="s">
        <v>59</v>
      </c>
      <c r="AM7" s="6077" t="s">
        <v>69</v>
      </c>
      <c r="AN7" s="6077" t="s">
        <v>199</v>
      </c>
      <c r="AO7" s="6077" t="s">
        <v>186</v>
      </c>
      <c r="AP7" s="6077"/>
    </row>
    <row r="8" spans="1:42" s="29" customFormat="1" ht="96" customHeight="1">
      <c r="A8" s="6073"/>
      <c r="B8" s="6072"/>
      <c r="C8" s="6072"/>
      <c r="D8" s="6072"/>
      <c r="E8" s="6072"/>
      <c r="F8" s="1736" t="s">
        <v>138</v>
      </c>
      <c r="G8" s="1736" t="s">
        <v>139</v>
      </c>
      <c r="H8" s="6077"/>
      <c r="I8" s="6077"/>
      <c r="J8" s="6077"/>
      <c r="K8" s="1736" t="s">
        <v>138</v>
      </c>
      <c r="L8" s="1736" t="s">
        <v>139</v>
      </c>
      <c r="M8" s="6077"/>
      <c r="N8" s="6077"/>
      <c r="O8" s="6077"/>
      <c r="P8" s="1736" t="s">
        <v>138</v>
      </c>
      <c r="Q8" s="1736" t="s">
        <v>139</v>
      </c>
      <c r="R8" s="6077"/>
      <c r="S8" s="6077"/>
      <c r="T8" s="6077"/>
      <c r="U8" s="1736" t="s">
        <v>138</v>
      </c>
      <c r="V8" s="1736" t="s">
        <v>139</v>
      </c>
      <c r="W8" s="6077"/>
      <c r="X8" s="6077"/>
      <c r="Y8" s="6077"/>
      <c r="Z8" s="1736" t="s">
        <v>138</v>
      </c>
      <c r="AA8" s="1736" t="s">
        <v>139</v>
      </c>
      <c r="AB8" s="6077"/>
      <c r="AC8" s="6077"/>
      <c r="AD8" s="6077"/>
      <c r="AE8" s="1736" t="s">
        <v>138</v>
      </c>
      <c r="AF8" s="1736" t="s">
        <v>139</v>
      </c>
      <c r="AG8" s="6077"/>
      <c r="AH8" s="6077"/>
      <c r="AI8" s="6077"/>
      <c r="AJ8" s="1736" t="s">
        <v>138</v>
      </c>
      <c r="AK8" s="1736" t="s">
        <v>139</v>
      </c>
      <c r="AL8" s="6077"/>
      <c r="AM8" s="6077"/>
      <c r="AN8" s="6077"/>
      <c r="AO8" s="1736" t="s">
        <v>138</v>
      </c>
      <c r="AP8" s="1736" t="s">
        <v>139</v>
      </c>
    </row>
    <row r="9" spans="1:42" s="124" customFormat="1">
      <c r="A9" s="1737" t="s">
        <v>1</v>
      </c>
      <c r="B9" s="1737" t="s">
        <v>191</v>
      </c>
      <c r="C9" s="194">
        <f>C10+C35+C45</f>
        <v>17419409</v>
      </c>
      <c r="D9" s="194">
        <f>D10+D35+D45</f>
        <v>19035463.077999998</v>
      </c>
      <c r="E9" s="1739">
        <f>D9/$D$9*100</f>
        <v>100</v>
      </c>
      <c r="F9" s="194">
        <f>F10+F35+F45</f>
        <v>9127059.7300000004</v>
      </c>
      <c r="G9" s="194">
        <f>G10+G35+G45</f>
        <v>9908403.3479999993</v>
      </c>
      <c r="H9" s="194">
        <f>H10+H35+H45</f>
        <v>19382765.094239719</v>
      </c>
      <c r="I9" s="1740">
        <f>H9/$H$9*100</f>
        <v>100</v>
      </c>
      <c r="J9" s="1741">
        <f>H9/D9</f>
        <v>1.0182449995997791</v>
      </c>
      <c r="K9" s="194">
        <f>K10+K35+K45</f>
        <v>9429600.2589892782</v>
      </c>
      <c r="L9" s="194">
        <f>L10+L35+L45</f>
        <v>9953164.8352504428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row>
    <row r="10" spans="1:42" s="31" customFormat="1">
      <c r="A10" s="34" t="s">
        <v>3</v>
      </c>
      <c r="B10" s="34"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17255230.094239719</v>
      </c>
      <c r="I10" s="1749">
        <f>H10/$H$9*100</f>
        <v>89.023573315490097</v>
      </c>
      <c r="J10" s="1750">
        <f t="shared" ref="J10:J47" si="0">H10/D10</f>
        <v>1.0122455151776768</v>
      </c>
      <c r="K10" s="195">
        <f>K11+K17+K31+K32+K33+K34</f>
        <v>7302065.2589892773</v>
      </c>
      <c r="L10" s="195">
        <f>L11+L17+L31+L32+L33+L34</f>
        <v>9953164.8352504428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row>
    <row r="11" spans="1:42">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27.505056915508121</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row>
    <row r="12" spans="1:42">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19" si="3">H12/$H$9*100</f>
        <v>5.897953173407724</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row>
    <row r="13" spans="1:42">
      <c r="A13" s="1764" t="s">
        <v>101</v>
      </c>
      <c r="B13" s="1784" t="s">
        <v>144</v>
      </c>
      <c r="C13" s="1765">
        <f>SUM(F13:G13)</f>
        <v>1770000</v>
      </c>
      <c r="D13" s="196">
        <f t="shared" ref="D13:D34" si="4">SUM(F13:G13)</f>
        <v>1770000</v>
      </c>
      <c r="E13" s="1766">
        <f t="shared" si="2"/>
        <v>9.298434152861013</v>
      </c>
      <c r="F13" s="1765">
        <f>'Phụ lục số I'!H42</f>
        <v>627000</v>
      </c>
      <c r="G13" s="1765">
        <f>'Phụ lục số I'!I42</f>
        <v>1143000</v>
      </c>
      <c r="H13" s="196">
        <f t="shared" ref="H13:H16" si="5">SUM(K13:L13)</f>
        <v>1770000</v>
      </c>
      <c r="I13" s="1767">
        <f t="shared" si="3"/>
        <v>9.1318240271405795</v>
      </c>
      <c r="J13" s="1768">
        <f>H13/D13</f>
        <v>1</v>
      </c>
      <c r="K13" s="196">
        <f>+'Phụ lục số I'!O42</f>
        <v>627000</v>
      </c>
      <c r="L13" s="196">
        <f>+'Phụ lục số I'!P42</f>
        <v>1143000</v>
      </c>
      <c r="M13" s="1769">
        <f t="shared" ref="M13:M16" si="6">SUM(P13:Q13)</f>
        <v>1660000</v>
      </c>
      <c r="N13" s="1767">
        <f t="shared" ref="N13:N36" si="7">M13/$M$9*100</f>
        <v>7.5766580356313158</v>
      </c>
      <c r="O13" s="1770">
        <f t="shared" si="1"/>
        <v>0.93785310734463279</v>
      </c>
      <c r="P13" s="1769">
        <f>'Phụ lục số I'!U42-P61</f>
        <v>400000</v>
      </c>
      <c r="Q13" s="1769">
        <f>'Phụ lục số I'!V42</f>
        <v>1260000</v>
      </c>
      <c r="R13" s="1584">
        <f t="shared" ref="R13:R16" si="8">SUM(U13:V13)</f>
        <v>1570000</v>
      </c>
      <c r="S13" s="1771">
        <f t="shared" ref="S13:S15" si="9">R13/$R$9*100</f>
        <v>7.117122794981408</v>
      </c>
      <c r="T13" s="1772">
        <f>R13/M13</f>
        <v>0.94578313253012047</v>
      </c>
      <c r="U13" s="1584">
        <f>'Phụ lục số I'!AA42-U61</f>
        <v>400000</v>
      </c>
      <c r="V13" s="1584">
        <f>'Phụ lục số I'!AB42-V61</f>
        <v>1170000</v>
      </c>
      <c r="W13" s="1584">
        <f>SUM(Z13:AA13)</f>
        <v>1480000</v>
      </c>
      <c r="X13" s="1771">
        <f t="shared" ref="X13:X34" si="10">W13/$W$9*100</f>
        <v>6.6596001235404865</v>
      </c>
      <c r="Y13" s="1773">
        <f t="shared" ref="Y13:Y16" si="11">W13/R13</f>
        <v>0.9426751592356688</v>
      </c>
      <c r="Z13" s="1584">
        <f>'Phụ lục số I'!AG42-Z61</f>
        <v>400000</v>
      </c>
      <c r="AA13" s="1584">
        <f>'Phụ lục số I'!AH42</f>
        <v>1080000</v>
      </c>
      <c r="AB13" s="1584">
        <f t="shared" ref="AB13:AB16" si="12">SUM(AE13:AF13)</f>
        <v>1660000</v>
      </c>
      <c r="AC13" s="1771">
        <f t="shared" ref="AC13:AC34" si="13">AB13/$AB$9*100</f>
        <v>6.5687703732333498</v>
      </c>
      <c r="AD13" s="1774">
        <f t="shared" ref="AD13:AD16" si="14">AB13/W13</f>
        <v>1.1216216216216217</v>
      </c>
      <c r="AE13" s="1584">
        <f>'Phụ lục số I'!AM42-AE61</f>
        <v>400000</v>
      </c>
      <c r="AF13" s="1584">
        <f>'Phụ lục số I'!AN42</f>
        <v>1260000</v>
      </c>
      <c r="AG13" s="1584">
        <f t="shared" ref="AG13:AG16" si="15">SUM(AJ13:AK13)</f>
        <v>1800000</v>
      </c>
      <c r="AH13" s="1775">
        <f t="shared" ref="AH13:AH34" si="16">AG13/$AG$9*100</f>
        <v>6.6609601370161462</v>
      </c>
      <c r="AI13" s="1776">
        <f t="shared" ref="AI13:AI16" si="17">AG13/AB13</f>
        <v>1.0843373493975903</v>
      </c>
      <c r="AJ13" s="1584">
        <f>'Phụ lục số I'!AS42-AJ61</f>
        <v>450000</v>
      </c>
      <c r="AK13" s="1584">
        <f>'Phụ lục số I'!AT42-AK61</f>
        <v>1350000</v>
      </c>
      <c r="AL13" s="1584">
        <f t="shared" ref="AL13:AL16" si="18">SUM(AO13:AP13)</f>
        <v>1935000</v>
      </c>
      <c r="AM13" s="1771">
        <f t="shared" ref="AM13:AM34" si="19">AL13/$AL$9*100</f>
        <v>6.7501022897945049</v>
      </c>
      <c r="AN13" s="1776">
        <f t="shared" ref="AN13:AN15" si="20">AL13/AG13</f>
        <v>1.075</v>
      </c>
      <c r="AO13" s="1584">
        <f>'Phụ lục số I'!AY42-AO61</f>
        <v>450000</v>
      </c>
      <c r="AP13" s="1584">
        <f>'Phụ lục số I'!AZ42</f>
        <v>1485000</v>
      </c>
    </row>
    <row r="14" spans="1:42">
      <c r="A14" s="1764" t="s">
        <v>147</v>
      </c>
      <c r="B14" s="1784" t="s">
        <v>145</v>
      </c>
      <c r="C14" s="1765">
        <v>1850000</v>
      </c>
      <c r="D14" s="196">
        <f t="shared" si="4"/>
        <v>1950000</v>
      </c>
      <c r="E14" s="1766">
        <f t="shared" si="2"/>
        <v>10.24403762603332</v>
      </c>
      <c r="F14" s="1765">
        <f>'Phụ lục số I'!H50</f>
        <v>1950000</v>
      </c>
      <c r="G14" s="1765"/>
      <c r="H14" s="196">
        <f t="shared" si="5"/>
        <v>1950000</v>
      </c>
      <c r="I14" s="1767">
        <f t="shared" si="3"/>
        <v>10.060484097697248</v>
      </c>
      <c r="J14" s="1768">
        <f t="shared" si="0"/>
        <v>1</v>
      </c>
      <c r="K14" s="196">
        <f t="shared" ref="K14:K16" si="21">F14</f>
        <v>1950000</v>
      </c>
      <c r="L14" s="196">
        <f t="shared" ref="L14:L16" si="22">G14</f>
        <v>0</v>
      </c>
      <c r="M14" s="1769">
        <f t="shared" si="6"/>
        <v>1850000</v>
      </c>
      <c r="N14" s="1767">
        <f t="shared" si="7"/>
        <v>8.4438658830830935</v>
      </c>
      <c r="O14" s="1770">
        <f t="shared" si="1"/>
        <v>0.94871794871794868</v>
      </c>
      <c r="P14" s="1769">
        <f>'Phụ lục số I'!U50-P62</f>
        <v>1850000</v>
      </c>
      <c r="Q14" s="1769"/>
      <c r="R14" s="1584">
        <f t="shared" si="8"/>
        <v>1850000</v>
      </c>
      <c r="S14" s="1771">
        <f t="shared" si="9"/>
        <v>8.3864185800736326</v>
      </c>
      <c r="T14" s="1772">
        <f t="shared" ref="T14:T16" si="23">R14/M14</f>
        <v>1</v>
      </c>
      <c r="U14" s="1584">
        <f>'Phụ lục số I'!AA50-U62</f>
        <v>1850000</v>
      </c>
      <c r="V14" s="1584"/>
      <c r="W14" s="1584">
        <f t="shared" ref="W14:W16" si="24">SUM(Z14:AA14)</f>
        <v>1850000</v>
      </c>
      <c r="X14" s="1771">
        <f t="shared" si="10"/>
        <v>8.3245001544256088</v>
      </c>
      <c r="Y14" s="1773">
        <f t="shared" si="11"/>
        <v>1</v>
      </c>
      <c r="Z14" s="1584">
        <f>'Phụ lục số I'!AG50-Z62</f>
        <v>1850000</v>
      </c>
      <c r="AA14" s="1584"/>
      <c r="AB14" s="1584">
        <f t="shared" si="12"/>
        <v>2000000</v>
      </c>
      <c r="AC14" s="1771">
        <f t="shared" si="13"/>
        <v>7.9141811725703004</v>
      </c>
      <c r="AD14" s="1774">
        <f t="shared" si="14"/>
        <v>1.0810810810810811</v>
      </c>
      <c r="AE14" s="1584">
        <f>'Phụ lục số I'!AM50-AE62</f>
        <v>2000000</v>
      </c>
      <c r="AF14" s="1584"/>
      <c r="AG14" s="1584">
        <f t="shared" si="15"/>
        <v>2100000</v>
      </c>
      <c r="AH14" s="1775">
        <f t="shared" si="16"/>
        <v>7.7711201598521713</v>
      </c>
      <c r="AI14" s="1776">
        <f t="shared" si="17"/>
        <v>1.05</v>
      </c>
      <c r="AJ14" s="1584">
        <f>'Phụ lục số I'!AS50-AJ62</f>
        <v>2100000</v>
      </c>
      <c r="AK14" s="1584">
        <f>'Phụ lục số I'!AT50</f>
        <v>0</v>
      </c>
      <c r="AL14" s="1584">
        <f t="shared" si="18"/>
        <v>2200000</v>
      </c>
      <c r="AM14" s="1771">
        <f t="shared" si="19"/>
        <v>7.6745349031255339</v>
      </c>
      <c r="AN14" s="1776">
        <f t="shared" si="20"/>
        <v>1.0476190476190477</v>
      </c>
      <c r="AO14" s="1584">
        <f>'Phụ lục số I'!AY50-AO62</f>
        <v>2200000</v>
      </c>
      <c r="AP14" s="1584"/>
    </row>
    <row r="15" spans="1:42">
      <c r="A15" s="1764" t="s">
        <v>148</v>
      </c>
      <c r="B15" s="196" t="s">
        <v>146</v>
      </c>
      <c r="C15" s="1765">
        <v>0</v>
      </c>
      <c r="D15" s="196">
        <f t="shared" si="4"/>
        <v>408054.16200000001</v>
      </c>
      <c r="E15" s="1766">
        <f t="shared" si="2"/>
        <v>2.143652404608972</v>
      </c>
      <c r="F15" s="1765">
        <f>'Phụ lục số I'!H48</f>
        <v>408054.16200000001</v>
      </c>
      <c r="G15" s="1765"/>
      <c r="H15" s="196">
        <f t="shared" si="5"/>
        <v>408054.16200000001</v>
      </c>
      <c r="I15" s="1767">
        <f t="shared" si="3"/>
        <v>2.1052422604103471</v>
      </c>
      <c r="J15" s="1768">
        <f t="shared" si="0"/>
        <v>1</v>
      </c>
      <c r="K15" s="196">
        <f t="shared" si="21"/>
        <v>408054.16200000001</v>
      </c>
      <c r="L15" s="196">
        <f t="shared" si="22"/>
        <v>0</v>
      </c>
      <c r="M15" s="1769">
        <f t="shared" si="6"/>
        <v>0</v>
      </c>
      <c r="N15" s="1767">
        <f t="shared" si="7"/>
        <v>0</v>
      </c>
      <c r="O15" s="1770">
        <f t="shared" si="1"/>
        <v>0</v>
      </c>
      <c r="P15" s="1769"/>
      <c r="Q15" s="1769"/>
      <c r="R15" s="1584">
        <f t="shared" si="8"/>
        <v>0</v>
      </c>
      <c r="S15" s="1771">
        <f t="shared" si="9"/>
        <v>0</v>
      </c>
      <c r="T15" s="1772" t="e">
        <f t="shared" si="23"/>
        <v>#DIV/0!</v>
      </c>
      <c r="U15" s="1584"/>
      <c r="V15" s="1584"/>
      <c r="W15" s="1584">
        <f t="shared" si="24"/>
        <v>0</v>
      </c>
      <c r="X15" s="1771">
        <f t="shared" si="10"/>
        <v>0</v>
      </c>
      <c r="Y15" s="1773" t="e">
        <f t="shared" si="11"/>
        <v>#DIV/0!</v>
      </c>
      <c r="Z15" s="1584"/>
      <c r="AA15" s="1584"/>
      <c r="AB15" s="1584">
        <f t="shared" si="12"/>
        <v>0</v>
      </c>
      <c r="AC15" s="1771">
        <f t="shared" si="13"/>
        <v>0</v>
      </c>
      <c r="AD15" s="1774" t="e">
        <f t="shared" si="14"/>
        <v>#DIV/0!</v>
      </c>
      <c r="AE15" s="1584"/>
      <c r="AF15" s="1584"/>
      <c r="AG15" s="1584">
        <f t="shared" si="15"/>
        <v>0</v>
      </c>
      <c r="AH15" s="1775">
        <f t="shared" si="16"/>
        <v>0</v>
      </c>
      <c r="AI15" s="1776" t="e">
        <f t="shared" si="17"/>
        <v>#DIV/0!</v>
      </c>
      <c r="AJ15" s="1584"/>
      <c r="AK15" s="1584"/>
      <c r="AL15" s="1584">
        <f t="shared" si="18"/>
        <v>0</v>
      </c>
      <c r="AM15" s="1771">
        <f t="shared" si="19"/>
        <v>0</v>
      </c>
      <c r="AN15" s="1776" t="e">
        <f t="shared" si="20"/>
        <v>#DIV/0!</v>
      </c>
      <c r="AO15" s="1584"/>
      <c r="AP15" s="1584"/>
    </row>
    <row r="16" spans="1:42">
      <c r="A16" s="1778" t="s">
        <v>149</v>
      </c>
      <c r="B16" s="1784" t="s">
        <v>185</v>
      </c>
      <c r="C16" s="1765">
        <v>0</v>
      </c>
      <c r="D16" s="196">
        <f t="shared" si="4"/>
        <v>60000</v>
      </c>
      <c r="E16" s="1766">
        <f t="shared" si="2"/>
        <v>0.31520115772410212</v>
      </c>
      <c r="F16" s="1765">
        <v>60000</v>
      </c>
      <c r="G16" s="1765"/>
      <c r="H16" s="196">
        <f t="shared" si="5"/>
        <v>60000</v>
      </c>
      <c r="I16" s="1767">
        <f t="shared" si="3"/>
        <v>0.30955335685222302</v>
      </c>
      <c r="J16" s="1768">
        <f t="shared" si="0"/>
        <v>1</v>
      </c>
      <c r="K16" s="196">
        <f t="shared" si="21"/>
        <v>60000</v>
      </c>
      <c r="L16" s="196">
        <f t="shared" si="22"/>
        <v>0</v>
      </c>
      <c r="M16" s="1769">
        <f t="shared" si="6"/>
        <v>270000</v>
      </c>
      <c r="N16" s="1767">
        <f t="shared" si="7"/>
        <v>1.2323479937472621</v>
      </c>
      <c r="O16" s="1770">
        <f t="shared" si="1"/>
        <v>4.5</v>
      </c>
      <c r="P16" s="1769">
        <f>P59</f>
        <v>270000</v>
      </c>
      <c r="Q16" s="1769">
        <f>Q59</f>
        <v>0</v>
      </c>
      <c r="R16" s="1584">
        <f t="shared" si="8"/>
        <v>300000</v>
      </c>
      <c r="S16" s="1771">
        <f>R16/$R$9*100</f>
        <v>1.3599597697416703</v>
      </c>
      <c r="T16" s="1772">
        <f t="shared" si="23"/>
        <v>1.1111111111111112</v>
      </c>
      <c r="U16" s="1584">
        <f>U59+40000</f>
        <v>300000</v>
      </c>
      <c r="V16" s="1584"/>
      <c r="W16" s="1584">
        <f t="shared" si="24"/>
        <v>300000</v>
      </c>
      <c r="X16" s="1771">
        <f t="shared" si="10"/>
        <v>1.3499189439609094</v>
      </c>
      <c r="Y16" s="1773">
        <f t="shared" si="11"/>
        <v>1</v>
      </c>
      <c r="Z16" s="1584">
        <f>Z59</f>
        <v>300000</v>
      </c>
      <c r="AA16" s="1584"/>
      <c r="AB16" s="1584">
        <f t="shared" si="12"/>
        <v>1050000</v>
      </c>
      <c r="AC16" s="1771">
        <f t="shared" si="13"/>
        <v>4.1549451155994079</v>
      </c>
      <c r="AD16" s="1774">
        <f t="shared" si="14"/>
        <v>3.5</v>
      </c>
      <c r="AE16" s="1584">
        <f>AE59</f>
        <v>1050000</v>
      </c>
      <c r="AF16" s="1584"/>
      <c r="AG16" s="1584">
        <f t="shared" si="15"/>
        <v>1100000</v>
      </c>
      <c r="AH16" s="1775">
        <f t="shared" si="16"/>
        <v>4.0705867503987569</v>
      </c>
      <c r="AI16" s="1776">
        <f t="shared" si="17"/>
        <v>1.0476190476190477</v>
      </c>
      <c r="AJ16" s="1584">
        <f>AJ59</f>
        <v>1100000</v>
      </c>
      <c r="AK16" s="1584"/>
      <c r="AL16" s="1584">
        <f t="shared" si="18"/>
        <v>1200000</v>
      </c>
      <c r="AM16" s="1771">
        <f t="shared" si="19"/>
        <v>4.1861099471593821</v>
      </c>
      <c r="AN16" s="1776">
        <f t="shared" ref="AN16" si="25">AL16/AG16</f>
        <v>1.0909090909090908</v>
      </c>
      <c r="AO16" s="1584">
        <f>AO59</f>
        <v>1200000</v>
      </c>
      <c r="AP16" s="1584">
        <f>AP59</f>
        <v>0</v>
      </c>
    </row>
    <row r="17" spans="1:42"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11591120.210950801</v>
      </c>
      <c r="I17" s="1749">
        <f t="shared" si="3"/>
        <v>59.801169516291132</v>
      </c>
      <c r="J17" s="1750">
        <f>H17/D17</f>
        <v>1.0868395398437007</v>
      </c>
      <c r="K17" s="1570">
        <f>SUM(K18:K30)</f>
        <v>3537560.3289892771</v>
      </c>
      <c r="L17" s="1570">
        <f>SUM(L18:L30)</f>
        <v>8053559.8819615236</v>
      </c>
      <c r="M17" s="1570">
        <f>SUM(M18:M30)</f>
        <v>12923457.19126975</v>
      </c>
      <c r="N17" s="1749">
        <f t="shared" si="7"/>
        <v>58.98591311829594</v>
      </c>
      <c r="O17" s="1752">
        <f>M17/D17</f>
        <v>1.2117659045309159</v>
      </c>
      <c r="P17" s="1570">
        <f>SUM(P18:P30)</f>
        <v>4000399.9484000015</v>
      </c>
      <c r="Q17" s="1570">
        <f>SUM(Q18:Q30)</f>
        <v>8923057.2428697497</v>
      </c>
      <c r="R17" s="1570">
        <f>SUM(R18:R30)</f>
        <v>13129841.369368901</v>
      </c>
      <c r="S17" s="1753">
        <f>R17/$R$9*100</f>
        <v>59.520186818105294</v>
      </c>
      <c r="T17" s="1754">
        <f t="shared" ref="T17:T18" si="26">R17/M17</f>
        <v>1.0159697343400163</v>
      </c>
      <c r="U17" s="1570">
        <f>SUM(U18:U30)</f>
        <v>4012127.1082761595</v>
      </c>
      <c r="V17" s="1570">
        <f>SUM(V18:V30)</f>
        <v>9117714.2610927429</v>
      </c>
      <c r="W17" s="1570">
        <f>SUM(W18:W30)</f>
        <v>13356293.919538178</v>
      </c>
      <c r="X17" s="1753">
        <f t="shared" si="10"/>
        <v>60.099713943648304</v>
      </c>
      <c r="Y17" s="1755">
        <f t="shared" ref="Y17" si="27">W17/R17</f>
        <v>1.0172471657348106</v>
      </c>
      <c r="Z17" s="1570">
        <f>SUM(Z18:Z30)</f>
        <v>4111335.2444773396</v>
      </c>
      <c r="AA17" s="1570">
        <f>SUM(AA18:AA30)</f>
        <v>9244958.6750608347</v>
      </c>
      <c r="AB17" s="1570">
        <f>SUM(AB18:AB30)</f>
        <v>14069288.623793686</v>
      </c>
      <c r="AC17" s="1753">
        <f t="shared" si="13"/>
        <v>55.673449568942758</v>
      </c>
      <c r="AD17" s="1756">
        <f t="shared" ref="AD17" si="28">AB17/W17</f>
        <v>1.0533826755049549</v>
      </c>
      <c r="AE17" s="1570">
        <f>SUM(AE18:AE30)</f>
        <v>4276946.5038457075</v>
      </c>
      <c r="AF17" s="1570">
        <f>SUM(AF18:AF30)</f>
        <v>9792342.1199479736</v>
      </c>
      <c r="AG17" s="1570">
        <f>SUM(AG18:AG30)</f>
        <v>14880445.409413649</v>
      </c>
      <c r="AH17" s="1763">
        <f t="shared" si="16"/>
        <v>55.065585385082905</v>
      </c>
      <c r="AI17" s="1757">
        <f t="shared" ref="AI17" si="29">AG17/AB17</f>
        <v>1.0576544278328437</v>
      </c>
      <c r="AJ17" s="1570">
        <f>SUM(AJ18:AJ30)</f>
        <v>4549829.9632125609</v>
      </c>
      <c r="AK17" s="1570">
        <f>SUM(AK18:AK30)</f>
        <v>10330615.446201088</v>
      </c>
      <c r="AL17" s="1570">
        <f>SUM(AL18:AL30)</f>
        <v>15572571.362742566</v>
      </c>
      <c r="AM17" s="1753">
        <f t="shared" si="19"/>
        <v>54.323746570354992</v>
      </c>
      <c r="AN17" s="1757">
        <f t="shared" ref="AN17" si="30">AL17/AG17</f>
        <v>1.0465124486724748</v>
      </c>
      <c r="AO17" s="1570">
        <f>SUM(AO18:AO30)</f>
        <v>4809085.4488718687</v>
      </c>
      <c r="AP17" s="1570">
        <f>SUM(AP18:AP30)</f>
        <v>10763485.913870698</v>
      </c>
    </row>
    <row r="18" spans="1:42">
      <c r="A18" s="1810" t="s">
        <v>99</v>
      </c>
      <c r="B18" s="1811" t="s">
        <v>152</v>
      </c>
      <c r="C18" s="1584">
        <v>4650946</v>
      </c>
      <c r="D18" s="196">
        <f t="shared" si="4"/>
        <v>4797945.7831797441</v>
      </c>
      <c r="E18" s="1766">
        <f>D18/$D$9*100</f>
        <v>25.205301092595491</v>
      </c>
      <c r="F18" s="1584">
        <f>956676</f>
        <v>956676</v>
      </c>
      <c r="G18" s="1584">
        <v>3841269.7831797441</v>
      </c>
      <c r="H18" s="1584">
        <f t="shared" ref="H18:H31" si="31">SUM(K18:L18)</f>
        <v>5395798.649100964</v>
      </c>
      <c r="I18" s="1767">
        <f t="shared" si="3"/>
        <v>27.838126412131558</v>
      </c>
      <c r="J18" s="1768">
        <f t="shared" si="0"/>
        <v>1.1246060070159869</v>
      </c>
      <c r="K18" s="41">
        <f>(F18*K50)+99552</f>
        <v>1052842.94860096</v>
      </c>
      <c r="L18" s="41">
        <f>(G18*L50)+621647</f>
        <v>4342955.700500004</v>
      </c>
      <c r="M18" s="1584">
        <f t="shared" ref="M18:M31" si="32">SUM(P18:Q18)</f>
        <v>6069834.0480443519</v>
      </c>
      <c r="N18" s="1767">
        <f>M18/$M$9*100</f>
        <v>27.704251153652887</v>
      </c>
      <c r="O18" s="1770">
        <f>M18/D18</f>
        <v>1.265090170323202</v>
      </c>
      <c r="P18" s="1769">
        <f>F18*$P$50+196612</f>
        <v>1200270.35836</v>
      </c>
      <c r="Q18" s="1769">
        <f>G18*Q50+(1143532)</f>
        <v>4869563.6896843519</v>
      </c>
      <c r="R18" s="1584">
        <f t="shared" ref="R18:R31" si="33">SUM(U18:V18)</f>
        <v>6125305.9847530071</v>
      </c>
      <c r="S18" s="1771">
        <f>R18/$R$9*100</f>
        <v>27.767232388739917</v>
      </c>
      <c r="T18" s="1772">
        <f t="shared" si="26"/>
        <v>1.0091389544210896</v>
      </c>
      <c r="U18" s="1584">
        <f>P18*$U$50</f>
        <v>1203151.0072200638</v>
      </c>
      <c r="V18" s="41">
        <f>Q18*$V$50</f>
        <v>4922154.9775329428</v>
      </c>
      <c r="W18" s="1584">
        <f t="shared" ref="W18:W31" si="34">SUM(Z18:AA18)</f>
        <v>6216594.5722299647</v>
      </c>
      <c r="X18" s="1771">
        <f t="shared" si="10"/>
        <v>27.972995933259316</v>
      </c>
      <c r="Y18" s="1773">
        <f t="shared" ref="Y18" si="35">W18/R18</f>
        <v>1.0149035146495851</v>
      </c>
      <c r="Z18" s="1765">
        <f>U18*$Z$50</f>
        <v>1230943.7954868474</v>
      </c>
      <c r="AA18" s="1584">
        <f>V18*$AA$50</f>
        <v>4985650.7767431177</v>
      </c>
      <c r="AB18" s="1584">
        <f t="shared" ref="AB18:AB31" si="36">SUM(AE18:AF18)</f>
        <v>6570586.3004330387</v>
      </c>
      <c r="AC18" s="1771">
        <f t="shared" si="13"/>
        <v>26.000405195817748</v>
      </c>
      <c r="AD18" s="1774">
        <f t="shared" ref="AD18" si="37">AB18/W18</f>
        <v>1.0569430295140019</v>
      </c>
      <c r="AE18" s="1584">
        <f>Z18*$AE$50+20000</f>
        <v>1287055.1005877338</v>
      </c>
      <c r="AF18" s="1584">
        <f>$AF$50*AA18+7000</f>
        <v>5283531.1998453047</v>
      </c>
      <c r="AG18" s="1584">
        <f t="shared" ref="AG18:AG31" si="38">SUM(AJ18:AK18)</f>
        <v>6902275.782411241</v>
      </c>
      <c r="AH18" s="1775">
        <f t="shared" si="16"/>
        <v>25.542102134074007</v>
      </c>
      <c r="AI18" s="1776">
        <f t="shared" ref="AI18:AI34" si="39">AG18/AB18</f>
        <v>1.0504809566166633</v>
      </c>
      <c r="AJ18" s="1584">
        <f>AE18*$AJ$50+30000</f>
        <v>1363062.0908544287</v>
      </c>
      <c r="AK18" s="1584">
        <f>AF18*$AK$50+30000</f>
        <v>5539213.6915568123</v>
      </c>
      <c r="AL18" s="1584">
        <f t="shared" ref="AL18:AL31" si="40">SUM(AO18:AP18)</f>
        <v>7160349.935425234</v>
      </c>
      <c r="AM18" s="1771">
        <f t="shared" si="19"/>
        <v>24.97834340818801</v>
      </c>
      <c r="AN18" s="1776">
        <f t="shared" ref="AN18" si="41">AL18/AG18</f>
        <v>1.0373897191519978</v>
      </c>
      <c r="AO18" s="1584">
        <f>AJ18*$AO$50+20000</f>
        <v>1417291.3527023599</v>
      </c>
      <c r="AP18" s="1584">
        <f>AK18*$AP$50+20000-(0.4)</f>
        <v>5743058.5827228744</v>
      </c>
    </row>
    <row r="19" spans="1:42">
      <c r="A19" s="1810" t="s">
        <v>101</v>
      </c>
      <c r="B19" s="1811" t="s">
        <v>153</v>
      </c>
      <c r="C19" s="1584">
        <v>29314</v>
      </c>
      <c r="D19" s="196">
        <f t="shared" si="4"/>
        <v>31218</v>
      </c>
      <c r="E19" s="1766">
        <f t="shared" si="2"/>
        <v>0.16399916236385034</v>
      </c>
      <c r="F19" s="1584">
        <v>31218</v>
      </c>
      <c r="G19" s="1584"/>
      <c r="H19" s="1584">
        <f t="shared" si="31"/>
        <v>31107.539891692453</v>
      </c>
      <c r="I19" s="1767">
        <f t="shared" si="3"/>
        <v>0.16049072328146397</v>
      </c>
      <c r="J19" s="1768">
        <f t="shared" si="0"/>
        <v>0.99646165326710401</v>
      </c>
      <c r="K19" s="41">
        <f>F19*K50</f>
        <v>31107.539891692453</v>
      </c>
      <c r="L19" s="41">
        <f t="shared" ref="L19:L22" si="42">G19</f>
        <v>0</v>
      </c>
      <c r="M19" s="1584">
        <f t="shared" si="32"/>
        <v>33297.115980000002</v>
      </c>
      <c r="N19" s="1767">
        <f t="shared" si="7"/>
        <v>0.15197642250193669</v>
      </c>
      <c r="O19" s="1770">
        <f t="shared" si="1"/>
        <v>1.0665999096674996</v>
      </c>
      <c r="P19" s="1769">
        <f>F19*$P$50+546</f>
        <v>33297.115980000002</v>
      </c>
      <c r="Q19" s="1769">
        <f>G19*Q50</f>
        <v>0</v>
      </c>
      <c r="R19" s="1584">
        <f t="shared" si="33"/>
        <v>33377.029058352004</v>
      </c>
      <c r="S19" s="1771">
        <f t="shared" ref="S19:S34" si="43">R19/$R$9*100</f>
        <v>0.15130472250952476</v>
      </c>
      <c r="T19" s="1772">
        <f t="shared" ref="T19:T30" si="44">R19/M19</f>
        <v>1.0024</v>
      </c>
      <c r="U19" s="1584">
        <f t="shared" ref="U19:U25" si="45">P19*$U$50</f>
        <v>33377.029058352004</v>
      </c>
      <c r="V19" s="41"/>
      <c r="W19" s="1584">
        <f t="shared" si="34"/>
        <v>34148.038429599939</v>
      </c>
      <c r="X19" s="1771">
        <f t="shared" si="10"/>
        <v>0.15365694658407367</v>
      </c>
      <c r="Y19" s="1773">
        <f t="shared" ref="Y19:Y34" si="46">W19/R19</f>
        <v>1.0231000000000001</v>
      </c>
      <c r="Z19" s="1765">
        <f t="shared" ref="Z19:Z30" si="47">U19*$Z$50</f>
        <v>34148.038429599939</v>
      </c>
      <c r="AA19" s="1584">
        <f t="shared" ref="AA19:AA30" si="48">V19*$AA$50</f>
        <v>0</v>
      </c>
      <c r="AB19" s="1584">
        <f t="shared" si="36"/>
        <v>35149.814659228985</v>
      </c>
      <c r="AC19" s="1771">
        <f t="shared" si="13"/>
        <v>0.1390910006977028</v>
      </c>
      <c r="AD19" s="1774">
        <f t="shared" ref="AD19:AD34" si="49">AB19/W19</f>
        <v>1.0293362745182075</v>
      </c>
      <c r="AE19" s="1584">
        <f t="shared" ref="AE19:AE30" si="50">Z19*$AE$50</f>
        <v>35149.814659228985</v>
      </c>
      <c r="AF19" s="1584">
        <f t="shared" ref="AF19:AF30" si="51">$AF$50*AA19</f>
        <v>0</v>
      </c>
      <c r="AG19" s="1584">
        <f t="shared" si="38"/>
        <v>36406.277712104355</v>
      </c>
      <c r="AH19" s="1775">
        <f t="shared" si="16"/>
        <v>0.1347226469874814</v>
      </c>
      <c r="AI19" s="1776">
        <f t="shared" si="39"/>
        <v>1.0357459367867667</v>
      </c>
      <c r="AJ19" s="1584">
        <f t="shared" ref="AJ19:AJ30" si="52">AE19*$AJ$50</f>
        <v>36406.277712104355</v>
      </c>
      <c r="AK19" s="1584">
        <f t="shared" ref="AK19:AK30" si="53">AF19*$AK$50</f>
        <v>0</v>
      </c>
      <c r="AL19" s="1584">
        <f t="shared" si="40"/>
        <v>37320.513403256889</v>
      </c>
      <c r="AM19" s="1771">
        <f t="shared" si="19"/>
        <v>0.13018981032539059</v>
      </c>
      <c r="AN19" s="1776">
        <f t="shared" ref="AN19:AN34" si="54">AL19/AG19</f>
        <v>1.0251120342041606</v>
      </c>
      <c r="AO19" s="1584">
        <f t="shared" ref="AO19:AO30" si="55">AJ19*$AO$50</f>
        <v>37320.513403256889</v>
      </c>
      <c r="AP19" s="1584">
        <f t="shared" ref="AP19:AP30" si="56">AK19*$AP$50</f>
        <v>0</v>
      </c>
    </row>
    <row r="20" spans="1:42">
      <c r="A20" s="1810" t="s">
        <v>147</v>
      </c>
      <c r="B20" s="1811" t="s">
        <v>154</v>
      </c>
      <c r="C20" s="1584"/>
      <c r="D20" s="196">
        <f t="shared" si="4"/>
        <v>217777</v>
      </c>
      <c r="E20" s="1766">
        <f t="shared" si="2"/>
        <v>1.1440593754280299</v>
      </c>
      <c r="F20" s="1584">
        <f>148327-F21</f>
        <v>97327</v>
      </c>
      <c r="G20" s="1584">
        <f>219000-G21</f>
        <v>120450</v>
      </c>
      <c r="H20" s="1584">
        <f t="shared" si="31"/>
        <v>213671.02541215951</v>
      </c>
      <c r="I20" s="1767">
        <f t="shared" ref="I20:I36" si="57">H20/$H$9*100</f>
        <v>1.1023763863065104</v>
      </c>
      <c r="J20" s="1768">
        <f t="shared" si="0"/>
        <v>0.98114596772000484</v>
      </c>
      <c r="K20" s="41">
        <f>F20*K50</f>
        <v>96982.623327527428</v>
      </c>
      <c r="L20" s="41">
        <f>G20*L50</f>
        <v>116688.40208463209</v>
      </c>
      <c r="M20" s="1584">
        <f t="shared" si="32"/>
        <v>218943.22897</v>
      </c>
      <c r="N20" s="1767">
        <f t="shared" si="7"/>
        <v>0.99931203320639606</v>
      </c>
      <c r="O20" s="1770">
        <f>M20/D20</f>
        <v>1.0053551521510535</v>
      </c>
      <c r="P20" s="1769">
        <f>F20*$P$50</f>
        <v>102106.72897</v>
      </c>
      <c r="Q20" s="1769">
        <f>G20*Q50</f>
        <v>116836.5</v>
      </c>
      <c r="R20" s="1584">
        <f t="shared" si="33"/>
        <v>220450.11931952799</v>
      </c>
      <c r="S20" s="1771">
        <f t="shared" si="43"/>
        <v>0.99934431169769677</v>
      </c>
      <c r="T20" s="1772">
        <f t="shared" si="44"/>
        <v>1.0068825620075901</v>
      </c>
      <c r="U20" s="1584">
        <f t="shared" si="45"/>
        <v>102351.78511952799</v>
      </c>
      <c r="V20" s="41">
        <f t="shared" ref="V20:V30" si="58">Q20*$V$50</f>
        <v>118098.3342</v>
      </c>
      <c r="W20" s="1584">
        <f t="shared" si="34"/>
        <v>224337.9140669691</v>
      </c>
      <c r="X20" s="1771">
        <f t="shared" si="10"/>
        <v>1.0094600001589205</v>
      </c>
      <c r="Y20" s="1773">
        <f t="shared" si="46"/>
        <v>1.0176357116949708</v>
      </c>
      <c r="Z20" s="1765">
        <f t="shared" si="47"/>
        <v>104716.11135578911</v>
      </c>
      <c r="AA20" s="1584">
        <f t="shared" si="48"/>
        <v>119621.80271117999</v>
      </c>
      <c r="AB20" s="1584">
        <f t="shared" si="36"/>
        <v>234389.05187015823</v>
      </c>
      <c r="AC20" s="1771">
        <f t="shared" si="13"/>
        <v>0.92749871068370493</v>
      </c>
      <c r="AD20" s="1774">
        <f t="shared" si="49"/>
        <v>1.0448035627191785</v>
      </c>
      <c r="AE20" s="1584">
        <f t="shared" si="50"/>
        <v>107788.09194500172</v>
      </c>
      <c r="AF20" s="1584">
        <f t="shared" si="51"/>
        <v>126600.95992515651</v>
      </c>
      <c r="AG20" s="1584">
        <f t="shared" si="38"/>
        <v>243649.71328731076</v>
      </c>
      <c r="AH20" s="1775">
        <f t="shared" si="16"/>
        <v>0.90163390422343914</v>
      </c>
      <c r="AI20" s="1776">
        <f t="shared" si="39"/>
        <v>1.0395097865845822</v>
      </c>
      <c r="AJ20" s="1584">
        <f t="shared" si="52"/>
        <v>111641.07826603396</v>
      </c>
      <c r="AK20" s="1584">
        <f t="shared" si="53"/>
        <v>132008.6350212768</v>
      </c>
      <c r="AL20" s="1584">
        <f t="shared" si="40"/>
        <v>250834.58559341979</v>
      </c>
      <c r="AM20" s="1771">
        <f t="shared" si="19"/>
        <v>0.87501762820351336</v>
      </c>
      <c r="AN20" s="1776">
        <f t="shared" si="54"/>
        <v>1.0294885317498266</v>
      </c>
      <c r="AO20" s="1584">
        <f t="shared" si="55"/>
        <v>114444.61284203998</v>
      </c>
      <c r="AP20" s="1584">
        <f t="shared" si="56"/>
        <v>136389.97275137983</v>
      </c>
    </row>
    <row r="21" spans="1:42">
      <c r="A21" s="1810" t="s">
        <v>148</v>
      </c>
      <c r="B21" s="1811" t="s">
        <v>155</v>
      </c>
      <c r="C21" s="1584"/>
      <c r="D21" s="196">
        <f t="shared" si="4"/>
        <v>149550</v>
      </c>
      <c r="E21" s="1766">
        <f t="shared" si="2"/>
        <v>0.78563888562732453</v>
      </c>
      <c r="F21" s="1584">
        <v>51000</v>
      </c>
      <c r="G21" s="1584">
        <v>98550</v>
      </c>
      <c r="H21" s="1584">
        <f t="shared" si="31"/>
        <v>146291.87329495765</v>
      </c>
      <c r="I21" s="1767">
        <f t="shared" si="57"/>
        <v>0.75475234097757038</v>
      </c>
      <c r="J21" s="1768">
        <f t="shared" si="0"/>
        <v>0.97821379668978703</v>
      </c>
      <c r="K21" s="41">
        <f>F21*K50</f>
        <v>50819.544316622305</v>
      </c>
      <c r="L21" s="41">
        <f>G21*L50</f>
        <v>95472.328978335354</v>
      </c>
      <c r="M21" s="1584">
        <f t="shared" si="32"/>
        <v>149098.10999999999</v>
      </c>
      <c r="N21" s="1767">
        <f t="shared" si="7"/>
        <v>0.68052132122225406</v>
      </c>
      <c r="O21" s="1770">
        <f t="shared" si="1"/>
        <v>0.99697833500501498</v>
      </c>
      <c r="P21" s="1769">
        <f>F21*$P$50</f>
        <v>53504.61</v>
      </c>
      <c r="Q21" s="1769">
        <f>G21*Q50</f>
        <v>95593.5</v>
      </c>
      <c r="R21" s="1584">
        <f t="shared" si="33"/>
        <v>150258.93086399999</v>
      </c>
      <c r="S21" s="1771">
        <f t="shared" si="43"/>
        <v>0.68115367006478322</v>
      </c>
      <c r="T21" s="1772">
        <f t="shared" si="44"/>
        <v>1.0077856175641664</v>
      </c>
      <c r="U21" s="1584">
        <f>P21*$U$50</f>
        <v>53633.021064</v>
      </c>
      <c r="V21" s="41">
        <f t="shared" si="58"/>
        <v>96625.909799999994</v>
      </c>
      <c r="W21" s="1584">
        <f t="shared" si="34"/>
        <v>152744.32788699839</v>
      </c>
      <c r="X21" s="1771">
        <f t="shared" si="10"/>
        <v>0.68730820599078579</v>
      </c>
      <c r="Y21" s="1773">
        <f t="shared" si="46"/>
        <v>1.0165407607302086</v>
      </c>
      <c r="Z21" s="1765">
        <f t="shared" si="47"/>
        <v>54871.943850578406</v>
      </c>
      <c r="AA21" s="1584">
        <f t="shared" si="48"/>
        <v>97872.384036419986</v>
      </c>
      <c r="AB21" s="1584">
        <f t="shared" si="36"/>
        <v>160064.28583385469</v>
      </c>
      <c r="AC21" s="1771">
        <f t="shared" si="13"/>
        <v>0.63338887867360194</v>
      </c>
      <c r="AD21" s="1774">
        <f t="shared" si="49"/>
        <v>1.0479229444923917</v>
      </c>
      <c r="AE21" s="1584">
        <f t="shared" si="50"/>
        <v>56481.682258726643</v>
      </c>
      <c r="AF21" s="1584">
        <f t="shared" si="51"/>
        <v>103582.60357512806</v>
      </c>
      <c r="AG21" s="1584">
        <f t="shared" si="38"/>
        <v>166507.73791976564</v>
      </c>
      <c r="AH21" s="1775">
        <f t="shared" si="16"/>
        <v>0.61616744710460591</v>
      </c>
      <c r="AI21" s="1776">
        <f t="shared" si="39"/>
        <v>1.0402554014616301</v>
      </c>
      <c r="AJ21" s="1584">
        <f t="shared" si="52"/>
        <v>58500.672902357328</v>
      </c>
      <c r="AK21" s="1584">
        <f t="shared" si="53"/>
        <v>108007.0650174083</v>
      </c>
      <c r="AL21" s="1584">
        <f t="shared" si="40"/>
        <v>171561.53968874033</v>
      </c>
      <c r="AM21" s="1771">
        <f t="shared" si="19"/>
        <v>0.59847955653417917</v>
      </c>
      <c r="AN21" s="1776">
        <f t="shared" si="54"/>
        <v>1.030351753210472</v>
      </c>
      <c r="AO21" s="1584">
        <f t="shared" si="55"/>
        <v>59969.743801247736</v>
      </c>
      <c r="AP21" s="1584">
        <f t="shared" si="56"/>
        <v>111591.79588749258</v>
      </c>
    </row>
    <row r="22" spans="1:42">
      <c r="A22" s="1810" t="s">
        <v>149</v>
      </c>
      <c r="B22" s="1811" t="s">
        <v>156</v>
      </c>
      <c r="C22" s="1584"/>
      <c r="D22" s="196">
        <f t="shared" si="4"/>
        <v>828538</v>
      </c>
      <c r="E22" s="1766">
        <f t="shared" si="2"/>
        <v>4.3526022803068685</v>
      </c>
      <c r="F22" s="1584">
        <v>828538</v>
      </c>
      <c r="G22" s="1584"/>
      <c r="H22" s="1584">
        <f t="shared" si="31"/>
        <v>918904.34527461987</v>
      </c>
      <c r="I22" s="1767">
        <f t="shared" si="57"/>
        <v>4.7408320784308797</v>
      </c>
      <c r="J22" s="1768">
        <f t="shared" si="0"/>
        <v>1.1090672308024736</v>
      </c>
      <c r="K22" s="41">
        <f>(F22*K50)+93298</f>
        <v>918904.34527461987</v>
      </c>
      <c r="L22" s="41">
        <f t="shared" si="42"/>
        <v>0</v>
      </c>
      <c r="M22" s="1584">
        <f t="shared" si="32"/>
        <v>1055349.5011800001</v>
      </c>
      <c r="N22" s="1767">
        <f t="shared" si="7"/>
        <v>4.8168808906716558</v>
      </c>
      <c r="O22" s="1770">
        <f t="shared" si="1"/>
        <v>1.2737490630242669</v>
      </c>
      <c r="P22" s="1769">
        <f>F22*$P$50+186122</f>
        <v>1055349.5011800001</v>
      </c>
      <c r="Q22" s="1769">
        <f t="shared" ref="Q22" si="59">G22*1</f>
        <v>0</v>
      </c>
      <c r="R22" s="1584">
        <f t="shared" si="33"/>
        <v>1057882.3399828321</v>
      </c>
      <c r="S22" s="1771">
        <f t="shared" si="43"/>
        <v>4.7955914116561056</v>
      </c>
      <c r="T22" s="1772">
        <f t="shared" si="44"/>
        <v>1.0024</v>
      </c>
      <c r="U22" s="1584">
        <f t="shared" si="45"/>
        <v>1057882.3399828321</v>
      </c>
      <c r="V22" s="41"/>
      <c r="W22" s="1584">
        <f t="shared" si="34"/>
        <v>1082319.4220364357</v>
      </c>
      <c r="X22" s="1771">
        <f t="shared" si="10"/>
        <v>4.8701449707460238</v>
      </c>
      <c r="Y22" s="1773">
        <f t="shared" si="46"/>
        <v>1.0231000000000001</v>
      </c>
      <c r="Z22" s="1765">
        <f t="shared" si="47"/>
        <v>1082319.4220364357</v>
      </c>
      <c r="AA22" s="1584">
        <f t="shared" si="48"/>
        <v>0</v>
      </c>
      <c r="AB22" s="1584">
        <f t="shared" si="36"/>
        <v>1114070.6417176842</v>
      </c>
      <c r="AC22" s="1771">
        <f t="shared" si="13"/>
        <v>4.4084784487977053</v>
      </c>
      <c r="AD22" s="1774">
        <f t="shared" si="49"/>
        <v>1.0293362745182075</v>
      </c>
      <c r="AE22" s="1584">
        <f t="shared" si="50"/>
        <v>1114070.6417176842</v>
      </c>
      <c r="AF22" s="1584">
        <f t="shared" si="51"/>
        <v>0</v>
      </c>
      <c r="AG22" s="1584">
        <f t="shared" si="38"/>
        <v>1153894.1404525172</v>
      </c>
      <c r="AH22" s="1775">
        <f t="shared" si="16"/>
        <v>4.2700238177170711</v>
      </c>
      <c r="AI22" s="1776">
        <f t="shared" si="39"/>
        <v>1.0357459367867667</v>
      </c>
      <c r="AJ22" s="1584">
        <f t="shared" si="52"/>
        <v>1153894.1404525172</v>
      </c>
      <c r="AK22" s="1584">
        <f t="shared" si="53"/>
        <v>0</v>
      </c>
      <c r="AL22" s="1584">
        <f t="shared" si="40"/>
        <v>1182870.7695755414</v>
      </c>
      <c r="AM22" s="1771">
        <f t="shared" si="19"/>
        <v>4.1263559122702063</v>
      </c>
      <c r="AN22" s="1776">
        <f t="shared" si="54"/>
        <v>1.0251120342041606</v>
      </c>
      <c r="AO22" s="1584">
        <f t="shared" si="55"/>
        <v>1182870.7695755414</v>
      </c>
      <c r="AP22" s="1584">
        <f t="shared" si="56"/>
        <v>0</v>
      </c>
    </row>
    <row r="23" spans="1:42">
      <c r="A23" s="1810" t="s">
        <v>157</v>
      </c>
      <c r="B23" s="1811" t="s">
        <v>158</v>
      </c>
      <c r="C23" s="1584"/>
      <c r="D23" s="196">
        <f t="shared" si="4"/>
        <v>91888</v>
      </c>
      <c r="E23" s="1766">
        <f t="shared" si="2"/>
        <v>0.48272006634920495</v>
      </c>
      <c r="F23" s="1584">
        <v>47888</v>
      </c>
      <c r="G23" s="1584">
        <v>44000</v>
      </c>
      <c r="H23" s="1584">
        <f t="shared" si="31"/>
        <v>98061.455956543519</v>
      </c>
      <c r="I23" s="1767">
        <f t="shared" si="57"/>
        <v>0.50592088115274114</v>
      </c>
      <c r="J23" s="1768">
        <f t="shared" si="0"/>
        <v>1.0671845720501427</v>
      </c>
      <c r="K23" s="41">
        <f>(F23*K50)+3363</f>
        <v>51081.555651655079</v>
      </c>
      <c r="L23" s="41">
        <f>(G23*L50)+4354</f>
        <v>46979.900304888441</v>
      </c>
      <c r="M23" s="1584">
        <f t="shared" si="32"/>
        <v>107732.77968000001</v>
      </c>
      <c r="N23" s="1767">
        <f t="shared" si="7"/>
        <v>0.49171953666468082</v>
      </c>
      <c r="O23" s="1770">
        <f t="shared" si="1"/>
        <v>1.1724357879157237</v>
      </c>
      <c r="P23" s="1769">
        <f>F23*$P$50+6105</f>
        <v>56344.77968</v>
      </c>
      <c r="Q23" s="1769">
        <f>G23*Q50+8708</f>
        <v>51388</v>
      </c>
      <c r="R23" s="1584">
        <f t="shared" si="33"/>
        <v>108422.99755123199</v>
      </c>
      <c r="S23" s="1771">
        <f t="shared" si="43"/>
        <v>0.49150304928158373</v>
      </c>
      <c r="T23" s="1772">
        <f t="shared" si="44"/>
        <v>1.0064067582149292</v>
      </c>
      <c r="U23" s="1584">
        <f t="shared" si="45"/>
        <v>56480.007151231999</v>
      </c>
      <c r="V23" s="41">
        <f t="shared" si="58"/>
        <v>51942.990399999995</v>
      </c>
      <c r="W23" s="1584">
        <f t="shared" si="34"/>
        <v>110397.75029258546</v>
      </c>
      <c r="X23" s="1771">
        <f t="shared" si="10"/>
        <v>0.49676004830209047</v>
      </c>
      <c r="Y23" s="1773">
        <f t="shared" si="46"/>
        <v>1.0182134121538224</v>
      </c>
      <c r="Z23" s="1765">
        <f t="shared" si="47"/>
        <v>57784.695316425466</v>
      </c>
      <c r="AA23" s="1584">
        <f t="shared" si="48"/>
        <v>52613.05497615999</v>
      </c>
      <c r="AB23" s="1584">
        <f t="shared" si="36"/>
        <v>115162.56887959846</v>
      </c>
      <c r="AC23" s="1771">
        <f t="shared" si="13"/>
        <v>0.45570871720587425</v>
      </c>
      <c r="AD23" s="1774">
        <f t="shared" si="49"/>
        <v>1.0431604681652016</v>
      </c>
      <c r="AE23" s="1584">
        <f t="shared" si="50"/>
        <v>59479.883001179107</v>
      </c>
      <c r="AF23" s="1584">
        <f t="shared" si="51"/>
        <v>55682.685878419346</v>
      </c>
      <c r="AG23" s="1584">
        <f t="shared" si="38"/>
        <v>119667.18160020109</v>
      </c>
      <c r="AH23" s="1775">
        <f t="shared" si="16"/>
        <v>0.44283240352667302</v>
      </c>
      <c r="AI23" s="1776">
        <f t="shared" si="39"/>
        <v>1.0391152504188419</v>
      </c>
      <c r="AJ23" s="1584">
        <f t="shared" si="52"/>
        <v>61606.04713902354</v>
      </c>
      <c r="AK23" s="1584">
        <f t="shared" si="53"/>
        <v>58061.134461177557</v>
      </c>
      <c r="AL23" s="1584">
        <f t="shared" si="40"/>
        <v>123141.27111971061</v>
      </c>
      <c r="AM23" s="1771">
        <f t="shared" si="19"/>
        <v>0.42956908328339249</v>
      </c>
      <c r="AN23" s="1776">
        <f t="shared" si="54"/>
        <v>1.0290312638189825</v>
      </c>
      <c r="AO23" s="1584">
        <f t="shared" si="55"/>
        <v>63153.100301961829</v>
      </c>
      <c r="AP23" s="1584">
        <f t="shared" si="56"/>
        <v>59988.170817748782</v>
      </c>
    </row>
    <row r="24" spans="1:42">
      <c r="A24" s="1810" t="s">
        <v>159</v>
      </c>
      <c r="B24" s="1811" t="s">
        <v>160</v>
      </c>
      <c r="C24" s="1584"/>
      <c r="D24" s="196">
        <f t="shared" si="4"/>
        <v>50073</v>
      </c>
      <c r="E24" s="1766">
        <f t="shared" si="2"/>
        <v>0.26305112617864945</v>
      </c>
      <c r="F24" s="1584">
        <v>18073</v>
      </c>
      <c r="G24" s="1584">
        <v>32000</v>
      </c>
      <c r="H24" s="1584">
        <f t="shared" si="31"/>
        <v>49009.706226687966</v>
      </c>
      <c r="I24" s="1767">
        <f t="shared" si="57"/>
        <v>0.25285198468020925</v>
      </c>
      <c r="J24" s="1768">
        <f t="shared" si="0"/>
        <v>0.97876512744768573</v>
      </c>
      <c r="K24" s="41">
        <f>F24*K50</f>
        <v>18009.051459496372</v>
      </c>
      <c r="L24" s="41">
        <f>G24*L50</f>
        <v>31000.654767191591</v>
      </c>
      <c r="M24" s="1584">
        <f t="shared" si="32"/>
        <v>50000.565029999998</v>
      </c>
      <c r="N24" s="1767">
        <f t="shared" si="7"/>
        <v>0.22821517037388891</v>
      </c>
      <c r="O24" s="1770">
        <f t="shared" si="1"/>
        <v>0.99855341261757824</v>
      </c>
      <c r="P24" s="1769">
        <f>F24*$P$50</f>
        <v>18960.565030000002</v>
      </c>
      <c r="Q24" s="1769">
        <f>G24*Q50</f>
        <v>31040</v>
      </c>
      <c r="R24" s="1584">
        <f t="shared" si="33"/>
        <v>50381.302386071999</v>
      </c>
      <c r="S24" s="1771">
        <f t="shared" si="43"/>
        <v>0.22838848130749312</v>
      </c>
      <c r="T24" s="1772">
        <f t="shared" si="44"/>
        <v>1.0076146610712011</v>
      </c>
      <c r="U24" s="1584">
        <f t="shared" si="45"/>
        <v>19006.070386072002</v>
      </c>
      <c r="V24" s="41">
        <f t="shared" si="58"/>
        <v>31375.231999999996</v>
      </c>
      <c r="W24" s="1584">
        <f t="shared" si="34"/>
        <v>51225.083104790261</v>
      </c>
      <c r="X24" s="1771">
        <f t="shared" si="10"/>
        <v>0.23049903363042765</v>
      </c>
      <c r="Y24" s="1773">
        <f t="shared" si="46"/>
        <v>1.0167478941344623</v>
      </c>
      <c r="Z24" s="1765">
        <f t="shared" si="47"/>
        <v>19445.110611990269</v>
      </c>
      <c r="AA24" s="1584">
        <f t="shared" si="48"/>
        <v>31779.972492799992</v>
      </c>
      <c r="AB24" s="1584">
        <f t="shared" si="36"/>
        <v>53649.685714982101</v>
      </c>
      <c r="AC24" s="1771">
        <f t="shared" si="13"/>
        <v>0.21229666629991256</v>
      </c>
      <c r="AD24" s="1774">
        <f t="shared" si="49"/>
        <v>1.0473323314133405</v>
      </c>
      <c r="AE24" s="1584">
        <f t="shared" si="50"/>
        <v>20015.557714940525</v>
      </c>
      <c r="AF24" s="1584">
        <f t="shared" si="51"/>
        <v>33634.128000041579</v>
      </c>
      <c r="AG24" s="1584">
        <f t="shared" si="38"/>
        <v>55801.819796035154</v>
      </c>
      <c r="AH24" s="1775">
        <f t="shared" si="16"/>
        <v>0.20649649846352702</v>
      </c>
      <c r="AI24" s="1776">
        <f t="shared" si="39"/>
        <v>1.040114570148396</v>
      </c>
      <c r="AJ24" s="1584">
        <f t="shared" si="52"/>
        <v>20731.032575770671</v>
      </c>
      <c r="AK24" s="1584">
        <f t="shared" si="53"/>
        <v>35070.787220264487</v>
      </c>
      <c r="AL24" s="1584">
        <f t="shared" si="40"/>
        <v>57486.409954096962</v>
      </c>
      <c r="AM24" s="1771">
        <f t="shared" si="19"/>
        <v>0.20053702711277285</v>
      </c>
      <c r="AN24" s="1776">
        <f t="shared" si="54"/>
        <v>1.0301888032365121</v>
      </c>
      <c r="AO24" s="1584">
        <f t="shared" si="55"/>
        <v>21251.630974900992</v>
      </c>
      <c r="AP24" s="1584">
        <f t="shared" si="56"/>
        <v>36234.778979195966</v>
      </c>
    </row>
    <row r="25" spans="1:42">
      <c r="A25" s="1810" t="s">
        <v>161</v>
      </c>
      <c r="B25" s="1811" t="s">
        <v>162</v>
      </c>
      <c r="C25" s="1584"/>
      <c r="D25" s="196">
        <f t="shared" si="4"/>
        <v>53202</v>
      </c>
      <c r="E25" s="1766">
        <f t="shared" si="2"/>
        <v>0.27948886655396138</v>
      </c>
      <c r="F25" s="1584">
        <v>37202</v>
      </c>
      <c r="G25" s="1584">
        <v>16000</v>
      </c>
      <c r="H25" s="1584">
        <f t="shared" si="31"/>
        <v>52570.693808438598</v>
      </c>
      <c r="I25" s="1767">
        <f t="shared" si="57"/>
        <v>0.27122391234087578</v>
      </c>
      <c r="J25" s="1768">
        <f t="shared" si="0"/>
        <v>0.98813378836206534</v>
      </c>
      <c r="K25" s="41">
        <f>F25*K50</f>
        <v>37070.366424842803</v>
      </c>
      <c r="L25" s="41">
        <f>G25*L50</f>
        <v>15500.327383595795</v>
      </c>
      <c r="M25" s="1584">
        <f t="shared" si="32"/>
        <v>54548.99022</v>
      </c>
      <c r="N25" s="1767">
        <f t="shared" si="7"/>
        <v>0.24897532836502231</v>
      </c>
      <c r="O25" s="1770">
        <f t="shared" si="1"/>
        <v>1.0253184132175481</v>
      </c>
      <c r="P25" s="1769">
        <f>F25*$P$50</f>
        <v>39028.99022</v>
      </c>
      <c r="Q25" s="1769">
        <f>G25*Q50</f>
        <v>15520</v>
      </c>
      <c r="R25" s="1584">
        <f t="shared" si="33"/>
        <v>54810.275796528003</v>
      </c>
      <c r="S25" s="1771">
        <f t="shared" si="43"/>
        <v>0.24846590017241219</v>
      </c>
      <c r="T25" s="1772">
        <f t="shared" si="44"/>
        <v>1.0047899250833832</v>
      </c>
      <c r="U25" s="1584">
        <f t="shared" si="45"/>
        <v>39122.659796528002</v>
      </c>
      <c r="V25" s="41">
        <f t="shared" si="58"/>
        <v>15687.615999999998</v>
      </c>
      <c r="W25" s="1584">
        <f t="shared" si="34"/>
        <v>55916.3794842278</v>
      </c>
      <c r="X25" s="1771">
        <f t="shared" si="10"/>
        <v>0.25160859981155415</v>
      </c>
      <c r="Y25" s="1773">
        <f t="shared" si="46"/>
        <v>1.020180589709236</v>
      </c>
      <c r="Z25" s="1765">
        <f t="shared" si="47"/>
        <v>40026.393237827804</v>
      </c>
      <c r="AA25" s="1584">
        <f t="shared" si="48"/>
        <v>15889.986246399996</v>
      </c>
      <c r="AB25" s="1584">
        <f t="shared" si="36"/>
        <v>58017.682497847229</v>
      </c>
      <c r="AC25" s="1771">
        <f t="shared" si="13"/>
        <v>0.22958122525031199</v>
      </c>
      <c r="AD25" s="1774">
        <f t="shared" si="49"/>
        <v>1.0375793825172843</v>
      </c>
      <c r="AE25" s="1584">
        <f t="shared" si="50"/>
        <v>41200.618497826443</v>
      </c>
      <c r="AF25" s="1584">
        <f t="shared" si="51"/>
        <v>16817.06400002079</v>
      </c>
      <c r="AG25" s="1584">
        <f t="shared" si="38"/>
        <v>60208.766812357688</v>
      </c>
      <c r="AH25" s="1775">
        <f t="shared" si="16"/>
        <v>0.2228045531311196</v>
      </c>
      <c r="AI25" s="1776">
        <f t="shared" si="39"/>
        <v>1.0377658020826972</v>
      </c>
      <c r="AJ25" s="1584">
        <f t="shared" si="52"/>
        <v>42673.373202225441</v>
      </c>
      <c r="AK25" s="1584">
        <f t="shared" si="53"/>
        <v>17535.393610132243</v>
      </c>
      <c r="AL25" s="1584">
        <f t="shared" si="40"/>
        <v>61862.37789928462</v>
      </c>
      <c r="AM25" s="1771">
        <f t="shared" si="19"/>
        <v>0.2158022628992734</v>
      </c>
      <c r="AN25" s="1776">
        <f t="shared" si="54"/>
        <v>1.0274646230852138</v>
      </c>
      <c r="AO25" s="1584">
        <f t="shared" si="55"/>
        <v>43744.988409686637</v>
      </c>
      <c r="AP25" s="1584">
        <f t="shared" si="56"/>
        <v>18117.389489597983</v>
      </c>
    </row>
    <row r="26" spans="1:42">
      <c r="A26" s="1810" t="s">
        <v>163</v>
      </c>
      <c r="B26" s="1811" t="s">
        <v>164</v>
      </c>
      <c r="C26" s="1584"/>
      <c r="D26" s="196">
        <f t="shared" si="4"/>
        <v>151965</v>
      </c>
      <c r="E26" s="1766">
        <f t="shared" si="2"/>
        <v>0.79832573222571968</v>
      </c>
      <c r="F26" s="1584">
        <v>67965</v>
      </c>
      <c r="G26" s="1584">
        <v>84000</v>
      </c>
      <c r="H26" s="1584">
        <f t="shared" si="31"/>
        <v>150523.83502817666</v>
      </c>
      <c r="I26" s="1767">
        <f t="shared" si="57"/>
        <v>0.77658597365403859</v>
      </c>
      <c r="J26" s="1768">
        <f t="shared" si="0"/>
        <v>0.99051646779308833</v>
      </c>
      <c r="K26" s="41">
        <f>(F26*K50)+1422.6</f>
        <v>69147.116264298733</v>
      </c>
      <c r="L26" s="41">
        <f>G26*L50</f>
        <v>81376.718763877929</v>
      </c>
      <c r="M26" s="1584">
        <f t="shared" si="32"/>
        <v>155618.76115000001</v>
      </c>
      <c r="N26" s="1767">
        <f t="shared" si="7"/>
        <v>0.71028321515791437</v>
      </c>
      <c r="O26" s="1770">
        <f t="shared" si="1"/>
        <v>1.0240434386207351</v>
      </c>
      <c r="P26" s="1769">
        <f>F26*$P$50+2846</f>
        <v>74148.761150000006</v>
      </c>
      <c r="Q26" s="1769">
        <f>G26*Q50-10</f>
        <v>81470</v>
      </c>
      <c r="R26" s="1584">
        <f t="shared" si="33"/>
        <v>176676.59417676</v>
      </c>
      <c r="S26" s="1771">
        <f t="shared" si="43"/>
        <v>0.80091020111789679</v>
      </c>
      <c r="T26" s="1772">
        <f t="shared" si="44"/>
        <v>1.1353168015934947</v>
      </c>
      <c r="U26" s="1584">
        <f>P26*$U$50+20000</f>
        <v>94326.718176759998</v>
      </c>
      <c r="V26" s="41">
        <f t="shared" si="58"/>
        <v>82349.875999999989</v>
      </c>
      <c r="W26" s="1584">
        <f t="shared" si="34"/>
        <v>179917.85476704314</v>
      </c>
      <c r="X26" s="1771">
        <f t="shared" si="10"/>
        <v>0.80958173502279718</v>
      </c>
      <c r="Y26" s="1773">
        <f t="shared" si="46"/>
        <v>1.0183457271484435</v>
      </c>
      <c r="Z26" s="1765">
        <f t="shared" si="47"/>
        <v>96505.665366643167</v>
      </c>
      <c r="AA26" s="1584">
        <f t="shared" si="48"/>
        <v>83412.189400399977</v>
      </c>
      <c r="AB26" s="1584">
        <f t="shared" si="36"/>
        <v>197615.53232139698</v>
      </c>
      <c r="AC26" s="1771">
        <f t="shared" si="13"/>
        <v>0.78198256265272892</v>
      </c>
      <c r="AD26" s="1774">
        <f t="shared" si="49"/>
        <v>1.0983653210920545</v>
      </c>
      <c r="AE26" s="1584">
        <f>Z26*$AE$50+5000</f>
        <v>104336.78205840128</v>
      </c>
      <c r="AF26" s="1584">
        <f>$AF$50*AA26+5000</f>
        <v>93278.750262995716</v>
      </c>
      <c r="AG26" s="1584">
        <f t="shared" si="38"/>
        <v>215329.4875958979</v>
      </c>
      <c r="AH26" s="1775">
        <f t="shared" si="16"/>
        <v>0.7968339628891048</v>
      </c>
      <c r="AI26" s="1776">
        <f t="shared" si="39"/>
        <v>1.0896384766238485</v>
      </c>
      <c r="AJ26" s="1584">
        <f>AE26*$AJ$50+10000</f>
        <v>118066.39807439555</v>
      </c>
      <c r="AK26" s="1584">
        <f t="shared" si="53"/>
        <v>97263.089521502348</v>
      </c>
      <c r="AL26" s="1584">
        <f t="shared" si="40"/>
        <v>221522.51569545834</v>
      </c>
      <c r="AM26" s="1771">
        <f t="shared" si="19"/>
        <v>0.77276467206044042</v>
      </c>
      <c r="AN26" s="1776">
        <f t="shared" si="54"/>
        <v>1.02876070606355</v>
      </c>
      <c r="AO26" s="1584">
        <f t="shared" si="55"/>
        <v>121031.28550120181</v>
      </c>
      <c r="AP26" s="1584">
        <f t="shared" si="56"/>
        <v>100491.23019425652</v>
      </c>
    </row>
    <row r="27" spans="1:42">
      <c r="A27" s="1810" t="s">
        <v>165</v>
      </c>
      <c r="B27" s="1811" t="s">
        <v>166</v>
      </c>
      <c r="C27" s="1584"/>
      <c r="D27" s="196">
        <f t="shared" si="4"/>
        <v>2068978.6115313373</v>
      </c>
      <c r="E27" s="1766">
        <f t="shared" si="2"/>
        <v>10.869074227684715</v>
      </c>
      <c r="F27" s="1584">
        <v>545710</v>
      </c>
      <c r="G27" s="1584">
        <v>1523268.6115313373</v>
      </c>
      <c r="H27" s="1584">
        <f t="shared" si="31"/>
        <v>2008453.7245475873</v>
      </c>
      <c r="I27" s="1767">
        <f t="shared" si="57"/>
        <v>10.362059875267596</v>
      </c>
      <c r="J27" s="1768">
        <f t="shared" si="0"/>
        <v>0.97074648976726108</v>
      </c>
      <c r="K27" s="41">
        <f>(F27*K50)+9233-25076</f>
        <v>527936.08880439133</v>
      </c>
      <c r="L27" s="41">
        <f>(G27*L50)+9066-(19438)+15192</f>
        <v>1480517.6357431959</v>
      </c>
      <c r="M27" s="1584">
        <f t="shared" si="32"/>
        <v>2055242.3712853971</v>
      </c>
      <c r="N27" s="1767">
        <f t="shared" si="7"/>
        <v>9.3806437515478702</v>
      </c>
      <c r="O27" s="1770">
        <f t="shared" si="1"/>
        <v>0.99336085923296547</v>
      </c>
      <c r="P27" s="1769">
        <f>F27*$P$50-P63+17965</f>
        <v>560474.81810000003</v>
      </c>
      <c r="Q27" s="1769">
        <f>G27*Q50+17197</f>
        <v>1494767.5531853971</v>
      </c>
      <c r="R27" s="1584">
        <f t="shared" si="33"/>
        <v>2053249.2004232393</v>
      </c>
      <c r="S27" s="1771">
        <f t="shared" si="43"/>
        <v>9.3077876994328577</v>
      </c>
      <c r="T27" s="1772">
        <f t="shared" si="44"/>
        <v>0.99903020155189226</v>
      </c>
      <c r="U27" s="1584">
        <f>P27*$U$50-U63+12249.7-123.5</f>
        <v>543946.15766343998</v>
      </c>
      <c r="V27" s="41">
        <f>Q27*$V$50-1608</f>
        <v>1509303.0427597992</v>
      </c>
      <c r="W27" s="1584">
        <f t="shared" si="34"/>
        <v>2101438.2659168658</v>
      </c>
      <c r="X27" s="1771">
        <f t="shared" si="10"/>
        <v>9.4559044157518013</v>
      </c>
      <c r="Y27" s="1773">
        <f t="shared" si="46"/>
        <v>1.0234696623691333</v>
      </c>
      <c r="Z27" s="1765">
        <f>U27*$Z$50+7718-1190</f>
        <v>563039.31390546553</v>
      </c>
      <c r="AA27" s="1584">
        <f>V27*$AA$50+11546.2-1920.3</f>
        <v>1538398.9520114004</v>
      </c>
      <c r="AB27" s="1584">
        <f t="shared" si="36"/>
        <v>2203711.3540701689</v>
      </c>
      <c r="AC27" s="1771">
        <f t="shared" si="13"/>
        <v>8.7202854540807664</v>
      </c>
      <c r="AD27" s="1774">
        <f t="shared" si="49"/>
        <v>1.0486681382994048</v>
      </c>
      <c r="AE27" s="1584">
        <f>Z27*$AE$50+20000-10000</f>
        <v>589556.78978273948</v>
      </c>
      <c r="AF27" s="1584">
        <f>$AF$50*AA27-14000</f>
        <v>1614154.5642874292</v>
      </c>
      <c r="AG27" s="1584">
        <f t="shared" si="38"/>
        <v>2373733.1434633313</v>
      </c>
      <c r="AH27" s="1775">
        <f t="shared" si="16"/>
        <v>8.7840788025129335</v>
      </c>
      <c r="AI27" s="1776">
        <f t="shared" si="39"/>
        <v>1.0771524769245022</v>
      </c>
      <c r="AJ27" s="1584">
        <f>AE27*$AJ$50+50000-20000</f>
        <v>640631.04952252237</v>
      </c>
      <c r="AK27" s="1584">
        <f>AF27*$AK$50+50000</f>
        <v>1733102.0939408087</v>
      </c>
      <c r="AL27" s="1584">
        <f t="shared" si="40"/>
        <v>2517341.9718126338</v>
      </c>
      <c r="AM27" s="1771">
        <f t="shared" si="19"/>
        <v>8.7815585571722341</v>
      </c>
      <c r="AN27" s="1776">
        <f t="shared" si="54"/>
        <v>1.0604991461423392</v>
      </c>
      <c r="AO27" s="1584">
        <f>AJ27*$AO$50+50000+50000-(50000)</f>
        <v>706718.59835037927</v>
      </c>
      <c r="AP27" s="1584">
        <f>AK27*$AP$50+50000-30000</f>
        <v>1810623.3734622546</v>
      </c>
    </row>
    <row r="28" spans="1:42">
      <c r="A28" s="1810" t="s">
        <v>167</v>
      </c>
      <c r="B28" s="1811" t="s">
        <v>168</v>
      </c>
      <c r="C28" s="1584"/>
      <c r="D28" s="196">
        <f t="shared" si="4"/>
        <v>1570458</v>
      </c>
      <c r="E28" s="1766">
        <f t="shared" si="2"/>
        <v>8.2501696626179655</v>
      </c>
      <c r="F28" s="1584">
        <v>515458</v>
      </c>
      <c r="G28" s="1584">
        <v>1055000</v>
      </c>
      <c r="H28" s="1584">
        <f t="shared" si="31"/>
        <v>1889607.5677256028</v>
      </c>
      <c r="I28" s="1767">
        <f t="shared" si="57"/>
        <v>9.7489060953804128</v>
      </c>
      <c r="J28" s="1768">
        <f t="shared" si="0"/>
        <v>1.2032206959534115</v>
      </c>
      <c r="K28" s="41">
        <f>(F28*K50)+55932.6+15609</f>
        <v>585175.73086975492</v>
      </c>
      <c r="L28" s="41">
        <f>(G28*L50)+235553+46826</f>
        <v>1304431.8368558479</v>
      </c>
      <c r="M28" s="1584">
        <f t="shared" si="32"/>
        <v>2329419.1423800001</v>
      </c>
      <c r="N28" s="1767">
        <f t="shared" si="7"/>
        <v>10.632055580401708</v>
      </c>
      <c r="O28" s="1770">
        <f t="shared" si="1"/>
        <v>1.4832737598713241</v>
      </c>
      <c r="P28" s="1769">
        <f>F28*$P$50+109574+51515</f>
        <v>701861.14237999998</v>
      </c>
      <c r="Q28" s="1769">
        <f>G28*Q50+455317+148891</f>
        <v>1627558</v>
      </c>
      <c r="R28" s="1584">
        <f t="shared" si="33"/>
        <v>2448577.2355217119</v>
      </c>
      <c r="S28" s="1771">
        <f t="shared" si="43"/>
        <v>11.09988844471601</v>
      </c>
      <c r="T28" s="1772">
        <f t="shared" si="44"/>
        <v>1.0511535648410471</v>
      </c>
      <c r="U28" s="1584">
        <f>P28*$U$50</f>
        <v>703545.60912171192</v>
      </c>
      <c r="V28" s="41">
        <f>Q28*$V$50+99896</f>
        <v>1745031.6264</v>
      </c>
      <c r="W28" s="1584">
        <f t="shared" si="34"/>
        <v>2487340.0470729833</v>
      </c>
      <c r="X28" s="1771">
        <f t="shared" si="10"/>
        <v>11.192358165388134</v>
      </c>
      <c r="Y28" s="1773">
        <f t="shared" si="46"/>
        <v>1.0158307489708456</v>
      </c>
      <c r="Z28" s="1765">
        <f>U28*$Z$50</f>
        <v>719797.51269242354</v>
      </c>
      <c r="AA28" s="1584">
        <f t="shared" si="48"/>
        <v>1767542.5343805598</v>
      </c>
      <c r="AB28" s="1584">
        <f t="shared" si="36"/>
        <v>2611580.8802950475</v>
      </c>
      <c r="AC28" s="1771">
        <f t="shared" si="13"/>
        <v>10.334262116737818</v>
      </c>
      <c r="AD28" s="1774">
        <f t="shared" si="49"/>
        <v>1.0499492754793485</v>
      </c>
      <c r="AE28" s="1584">
        <f t="shared" si="50"/>
        <v>740913.69012229145</v>
      </c>
      <c r="AF28" s="1584">
        <f t="shared" si="51"/>
        <v>1870667.1901727559</v>
      </c>
      <c r="AG28" s="1584">
        <f t="shared" si="38"/>
        <v>2717969.8286601333</v>
      </c>
      <c r="AH28" s="1775">
        <f t="shared" si="16"/>
        <v>10.057938156843196</v>
      </c>
      <c r="AI28" s="1776">
        <f t="shared" si="39"/>
        <v>1.0407373745028592</v>
      </c>
      <c r="AJ28" s="1584">
        <f t="shared" si="52"/>
        <v>767398.34405385295</v>
      </c>
      <c r="AK28" s="1584">
        <f t="shared" si="53"/>
        <v>1950571.4846062802</v>
      </c>
      <c r="AL28" s="1584">
        <f t="shared" si="40"/>
        <v>2826979.803167955</v>
      </c>
      <c r="AM28" s="1771">
        <f t="shared" si="19"/>
        <v>9.8617068953833744</v>
      </c>
      <c r="AN28" s="1776">
        <f t="shared" si="54"/>
        <v>1.0401071319329398</v>
      </c>
      <c r="AO28" s="1584">
        <f>AJ28*$AO$50+25000</f>
        <v>811669.27751794958</v>
      </c>
      <c r="AP28" s="1584">
        <f t="shared" si="56"/>
        <v>2015310.5256500053</v>
      </c>
    </row>
    <row r="29" spans="1:42">
      <c r="A29" s="1810" t="s">
        <v>169</v>
      </c>
      <c r="B29" s="1811" t="s">
        <v>170</v>
      </c>
      <c r="C29" s="1584"/>
      <c r="D29" s="196">
        <f t="shared" si="4"/>
        <v>601385</v>
      </c>
      <c r="E29" s="1766">
        <f t="shared" si="2"/>
        <v>3.1592874706318193</v>
      </c>
      <c r="F29" s="1584">
        <v>77385</v>
      </c>
      <c r="G29" s="1584">
        <v>524000</v>
      </c>
      <c r="H29" s="1584">
        <f t="shared" si="31"/>
        <v>586189.90685083717</v>
      </c>
      <c r="I29" s="1767">
        <f t="shared" si="57"/>
        <v>3.0242842236428094</v>
      </c>
      <c r="J29" s="1768">
        <f t="shared" si="0"/>
        <v>0.97473316901957507</v>
      </c>
      <c r="K29" s="41">
        <f>(F29*K50)+1443</f>
        <v>78554.185038074836</v>
      </c>
      <c r="L29" s="41">
        <f>G29*L50</f>
        <v>507635.72181276232</v>
      </c>
      <c r="M29" s="1584">
        <f t="shared" si="32"/>
        <v>592350.37734999997</v>
      </c>
      <c r="N29" s="1767">
        <f t="shared" si="7"/>
        <v>2.7036362930470599</v>
      </c>
      <c r="O29" s="1770">
        <f t="shared" si="1"/>
        <v>0.98497697373562687</v>
      </c>
      <c r="P29" s="1769">
        <f>F29*$P$50+2885</f>
        <v>84070.377349999995</v>
      </c>
      <c r="Q29" s="1769">
        <f>G29*Q50</f>
        <v>508280</v>
      </c>
      <c r="R29" s="1584">
        <f t="shared" si="33"/>
        <v>598041.57025563996</v>
      </c>
      <c r="S29" s="1771">
        <f t="shared" si="43"/>
        <v>2.7110415872693565</v>
      </c>
      <c r="T29" s="1772">
        <f t="shared" si="44"/>
        <v>1.0096078151095316</v>
      </c>
      <c r="U29" s="1584">
        <f>P29*$U$50</f>
        <v>84272.146255639993</v>
      </c>
      <c r="V29" s="41">
        <f t="shared" si="58"/>
        <v>513769.42399999994</v>
      </c>
      <c r="W29" s="1584">
        <f t="shared" si="34"/>
        <v>606615.8824037452</v>
      </c>
      <c r="X29" s="1771">
        <f t="shared" si="10"/>
        <v>2.7296075712145962</v>
      </c>
      <c r="Y29" s="1773">
        <f t="shared" si="46"/>
        <v>1.0143373179634319</v>
      </c>
      <c r="Z29" s="1765">
        <f>U29*$Z$50</f>
        <v>86218.832834145287</v>
      </c>
      <c r="AA29" s="1584">
        <f t="shared" si="48"/>
        <v>520397.04956959991</v>
      </c>
      <c r="AB29" s="1584">
        <f t="shared" si="36"/>
        <v>659507.01818348805</v>
      </c>
      <c r="AC29" s="1771">
        <f t="shared" si="13"/>
        <v>2.6097290132428701</v>
      </c>
      <c r="AD29" s="1774">
        <f t="shared" si="49"/>
        <v>1.0871904895898195</v>
      </c>
      <c r="AE29" s="1584">
        <f>Z29*$AE$50+10000</f>
        <v>98748.172182807219</v>
      </c>
      <c r="AF29" s="1584">
        <f>$AF$50*AA29+10000</f>
        <v>560758.84600068082</v>
      </c>
      <c r="AG29" s="1584">
        <f t="shared" si="38"/>
        <v>776989.30212862371</v>
      </c>
      <c r="AH29" s="1775">
        <f t="shared" si="16"/>
        <v>2.8752748713148653</v>
      </c>
      <c r="AI29" s="1776">
        <f t="shared" si="39"/>
        <v>1.1781365181961563</v>
      </c>
      <c r="AJ29" s="1584">
        <f>AE29*$AJ$50+50000</f>
        <v>152278.01810346259</v>
      </c>
      <c r="AK29" s="1584">
        <f>AF29*$AK$50+40000</f>
        <v>624711.28402516118</v>
      </c>
      <c r="AL29" s="1584">
        <f t="shared" si="40"/>
        <v>901547.3438393136</v>
      </c>
      <c r="AM29" s="1771">
        <f t="shared" si="19"/>
        <v>3.1449802532340589</v>
      </c>
      <c r="AN29" s="1776">
        <f t="shared" si="54"/>
        <v>1.1603085671443008</v>
      </c>
      <c r="AO29" s="1584">
        <f>AJ29*$AO$50+50000</f>
        <v>206102.02890261853</v>
      </c>
      <c r="AP29" s="1584">
        <f>AK29*$AP$50+50000</f>
        <v>695445.31493669504</v>
      </c>
    </row>
    <row r="30" spans="1:42">
      <c r="A30" s="1810" t="s">
        <v>171</v>
      </c>
      <c r="B30" s="1811" t="s">
        <v>172</v>
      </c>
      <c r="C30" s="1584"/>
      <c r="D30" s="196">
        <f t="shared" si="4"/>
        <v>52000</v>
      </c>
      <c r="E30" s="1766">
        <f t="shared" si="2"/>
        <v>0.27317433669422186</v>
      </c>
      <c r="F30" s="1584">
        <v>20000</v>
      </c>
      <c r="G30" s="1584">
        <v>32000</v>
      </c>
      <c r="H30" s="1584">
        <f t="shared" si="31"/>
        <v>50929.88783253367</v>
      </c>
      <c r="I30" s="1767">
        <f t="shared" si="57"/>
        <v>0.26275862904446645</v>
      </c>
      <c r="J30" s="1768">
        <f t="shared" si="0"/>
        <v>0.97942091985641677</v>
      </c>
      <c r="K30" s="41">
        <f>F30*K50</f>
        <v>19929.233065342079</v>
      </c>
      <c r="L30" s="41">
        <f>G30*L50</f>
        <v>31000.654767191591</v>
      </c>
      <c r="M30" s="1584">
        <f t="shared" si="32"/>
        <v>52022.2</v>
      </c>
      <c r="N30" s="1767">
        <f t="shared" si="7"/>
        <v>0.23744242148266231</v>
      </c>
      <c r="O30" s="1770">
        <f t="shared" si="1"/>
        <v>1.0004269230769229</v>
      </c>
      <c r="P30" s="1769">
        <f>F30*$P$50</f>
        <v>20982.2</v>
      </c>
      <c r="Q30" s="1769">
        <f>G30*Q50</f>
        <v>31040</v>
      </c>
      <c r="R30" s="1584">
        <f t="shared" si="33"/>
        <v>52407.789279999997</v>
      </c>
      <c r="S30" s="1771">
        <f t="shared" si="43"/>
        <v>0.23757495013966257</v>
      </c>
      <c r="T30" s="1772">
        <f t="shared" si="44"/>
        <v>1.007412014101672</v>
      </c>
      <c r="U30" s="1584">
        <f>P30*$U$50</f>
        <v>21032.557280000001</v>
      </c>
      <c r="V30" s="41">
        <f t="shared" si="58"/>
        <v>31375.231999999996</v>
      </c>
      <c r="W30" s="1584">
        <f t="shared" si="34"/>
        <v>53298.381845967997</v>
      </c>
      <c r="X30" s="1771">
        <f t="shared" si="10"/>
        <v>0.23982831778778141</v>
      </c>
      <c r="Y30" s="1773">
        <f t="shared" si="46"/>
        <v>1.0169935152427403</v>
      </c>
      <c r="Z30" s="1765">
        <f t="shared" si="47"/>
        <v>21518.409353168005</v>
      </c>
      <c r="AA30" s="1584">
        <f t="shared" si="48"/>
        <v>31779.972492799992</v>
      </c>
      <c r="AB30" s="1584">
        <f t="shared" si="36"/>
        <v>55783.80731718929</v>
      </c>
      <c r="AC30" s="1771">
        <f t="shared" si="13"/>
        <v>0.22074157880199444</v>
      </c>
      <c r="AD30" s="1774">
        <f t="shared" si="49"/>
        <v>1.0466322876068574</v>
      </c>
      <c r="AE30" s="1584">
        <f t="shared" si="50"/>
        <v>22149.679317147707</v>
      </c>
      <c r="AF30" s="1584">
        <f t="shared" si="51"/>
        <v>33634.128000041579</v>
      </c>
      <c r="AG30" s="1584">
        <f t="shared" si="38"/>
        <v>58012.227574130113</v>
      </c>
      <c r="AH30" s="1775">
        <f t="shared" si="16"/>
        <v>0.21467618629488311</v>
      </c>
      <c r="AI30" s="1776">
        <f t="shared" si="39"/>
        <v>1.0399474393038453</v>
      </c>
      <c r="AJ30" s="1584">
        <f t="shared" si="52"/>
        <v>22941.440353865622</v>
      </c>
      <c r="AK30" s="1584">
        <f t="shared" si="53"/>
        <v>35070.787220264487</v>
      </c>
      <c r="AL30" s="1584">
        <f t="shared" si="40"/>
        <v>59752.325567920576</v>
      </c>
      <c r="AM30" s="1771">
        <f t="shared" si="19"/>
        <v>0.20844150368814848</v>
      </c>
      <c r="AN30" s="1776">
        <f t="shared" si="54"/>
        <v>1.0299953659177612</v>
      </c>
      <c r="AO30" s="1584">
        <f t="shared" si="55"/>
        <v>23517.546588724606</v>
      </c>
      <c r="AP30" s="1584">
        <f t="shared" si="56"/>
        <v>36234.778979195966</v>
      </c>
    </row>
    <row r="31" spans="1:42" s="31" customFormat="1">
      <c r="A31" s="1812">
        <v>3</v>
      </c>
      <c r="B31" s="1813" t="s">
        <v>1444</v>
      </c>
      <c r="C31" s="1570">
        <f t="shared" ref="C31" si="60">SUM(F31:G31)</f>
        <v>3000</v>
      </c>
      <c r="D31" s="195">
        <f t="shared" si="4"/>
        <v>3000</v>
      </c>
      <c r="E31" s="1748">
        <f t="shared" si="2"/>
        <v>1.5760057886205107E-2</v>
      </c>
      <c r="F31" s="1570">
        <v>3000</v>
      </c>
      <c r="G31" s="1570"/>
      <c r="H31" s="1570">
        <f t="shared" si="31"/>
        <v>3000</v>
      </c>
      <c r="I31" s="1749">
        <f t="shared" si="57"/>
        <v>1.5477667842611151E-2</v>
      </c>
      <c r="J31" s="1750">
        <f t="shared" si="0"/>
        <v>1</v>
      </c>
      <c r="K31" s="38">
        <f>F31</f>
        <v>3000</v>
      </c>
      <c r="L31" s="38">
        <f>G31</f>
        <v>0</v>
      </c>
      <c r="M31" s="1570">
        <f t="shared" si="32"/>
        <v>3000</v>
      </c>
      <c r="N31" s="1749">
        <f t="shared" si="7"/>
        <v>1.3692755486080692E-2</v>
      </c>
      <c r="O31" s="1752">
        <f t="shared" si="1"/>
        <v>1</v>
      </c>
      <c r="P31" s="38">
        <f>F31</f>
        <v>3000</v>
      </c>
      <c r="Q31" s="1759"/>
      <c r="R31" s="1570">
        <f t="shared" si="33"/>
        <v>3000</v>
      </c>
      <c r="S31" s="1753">
        <f t="shared" si="43"/>
        <v>1.3599597697416702E-2</v>
      </c>
      <c r="T31" s="1754">
        <f t="shared" ref="T31:T32" si="61">R31/M31</f>
        <v>1</v>
      </c>
      <c r="U31" s="1779">
        <v>3000</v>
      </c>
      <c r="V31" s="38"/>
      <c r="W31" s="1570">
        <f t="shared" si="34"/>
        <v>3000</v>
      </c>
      <c r="X31" s="1753">
        <f t="shared" si="10"/>
        <v>1.3499189439609094E-2</v>
      </c>
      <c r="Y31" s="1755">
        <f t="shared" si="46"/>
        <v>1</v>
      </c>
      <c r="Z31" s="1570">
        <f>U31</f>
        <v>3000</v>
      </c>
      <c r="AA31" s="1570">
        <f t="shared" ref="AA31:AA32" si="62">V31*1</f>
        <v>0</v>
      </c>
      <c r="AB31" s="1570">
        <f t="shared" si="36"/>
        <v>3000</v>
      </c>
      <c r="AC31" s="1753">
        <f t="shared" si="13"/>
        <v>1.187127175885545E-2</v>
      </c>
      <c r="AD31" s="1756">
        <f t="shared" si="49"/>
        <v>1</v>
      </c>
      <c r="AE31" s="1570">
        <f>Z31</f>
        <v>3000</v>
      </c>
      <c r="AF31" s="1570"/>
      <c r="AG31" s="1570">
        <f t="shared" si="38"/>
        <v>3000</v>
      </c>
      <c r="AH31" s="1763">
        <f t="shared" si="16"/>
        <v>1.1101600228360245E-2</v>
      </c>
      <c r="AI31" s="1757">
        <f t="shared" si="39"/>
        <v>1</v>
      </c>
      <c r="AJ31" s="1570">
        <f>AE31</f>
        <v>3000</v>
      </c>
      <c r="AK31" s="1570"/>
      <c r="AL31" s="1570">
        <f t="shared" si="40"/>
        <v>3000</v>
      </c>
      <c r="AM31" s="1753">
        <f t="shared" si="19"/>
        <v>1.0465274867898456E-2</v>
      </c>
      <c r="AN31" s="1757">
        <f t="shared" si="54"/>
        <v>1</v>
      </c>
      <c r="AO31" s="1570">
        <f>AJ31</f>
        <v>3000</v>
      </c>
      <c r="AP31" s="1570"/>
    </row>
    <row r="32" spans="1:42" s="31" customFormat="1">
      <c r="A32" s="1812">
        <v>4</v>
      </c>
      <c r="B32" s="1813" t="s">
        <v>174</v>
      </c>
      <c r="C32" s="1570">
        <v>1400</v>
      </c>
      <c r="D32" s="195">
        <f t="shared" si="4"/>
        <v>2000</v>
      </c>
      <c r="E32" s="1748">
        <f t="shared" si="2"/>
        <v>1.0506705257470071E-2</v>
      </c>
      <c r="F32" s="1570">
        <v>2000</v>
      </c>
      <c r="G32" s="1570"/>
      <c r="H32" s="1570">
        <f t="shared" ref="H32:H34" si="63">SUM(K32:L32)</f>
        <v>2000</v>
      </c>
      <c r="I32" s="1749">
        <f t="shared" si="57"/>
        <v>1.0318445228407434E-2</v>
      </c>
      <c r="J32" s="1750">
        <f t="shared" si="0"/>
        <v>1</v>
      </c>
      <c r="K32" s="38">
        <f t="shared" ref="K32" si="64">F32</f>
        <v>2000</v>
      </c>
      <c r="L32" s="38">
        <f t="shared" ref="L32" si="65">G32</f>
        <v>0</v>
      </c>
      <c r="M32" s="1570">
        <f t="shared" ref="M32:M34" si="66">SUM(P32:Q32)</f>
        <v>2000</v>
      </c>
      <c r="N32" s="1749">
        <f t="shared" si="7"/>
        <v>9.128503657387127E-3</v>
      </c>
      <c r="O32" s="1752">
        <f t="shared" si="1"/>
        <v>1</v>
      </c>
      <c r="P32" s="38">
        <f>F32</f>
        <v>2000</v>
      </c>
      <c r="Q32" s="1759"/>
      <c r="R32" s="1570">
        <f t="shared" ref="R32:R34" si="67">SUM(U32:V32)</f>
        <v>2000</v>
      </c>
      <c r="S32" s="1753">
        <f t="shared" si="43"/>
        <v>9.0663984649444682E-3</v>
      </c>
      <c r="T32" s="1754">
        <f t="shared" si="61"/>
        <v>1</v>
      </c>
      <c r="U32" s="1779">
        <v>2000</v>
      </c>
      <c r="V32" s="38"/>
      <c r="W32" s="1570">
        <f t="shared" ref="W32:W34" si="68">SUM(Z32:AA32)</f>
        <v>2000</v>
      </c>
      <c r="X32" s="1753">
        <f t="shared" si="10"/>
        <v>8.999459626406062E-3</v>
      </c>
      <c r="Y32" s="1755">
        <f t="shared" si="46"/>
        <v>1</v>
      </c>
      <c r="Z32" s="1570">
        <f>U32</f>
        <v>2000</v>
      </c>
      <c r="AA32" s="1570">
        <f t="shared" si="62"/>
        <v>0</v>
      </c>
      <c r="AB32" s="1570">
        <f t="shared" ref="AB32:AB34" si="69">SUM(AE32:AF32)</f>
        <v>2000</v>
      </c>
      <c r="AC32" s="1753">
        <f t="shared" si="13"/>
        <v>7.9141811725703011E-3</v>
      </c>
      <c r="AD32" s="1756">
        <f t="shared" si="49"/>
        <v>1</v>
      </c>
      <c r="AE32" s="1570">
        <f>Z32</f>
        <v>2000</v>
      </c>
      <c r="AF32" s="1570"/>
      <c r="AG32" s="1570">
        <f t="shared" ref="AG32:AG34" si="70">SUM(AJ32:AK32)</f>
        <v>2000</v>
      </c>
      <c r="AH32" s="1763">
        <f t="shared" si="16"/>
        <v>7.4010668189068299E-3</v>
      </c>
      <c r="AI32" s="1757">
        <f t="shared" si="39"/>
        <v>1</v>
      </c>
      <c r="AJ32" s="1570">
        <f>AE32</f>
        <v>2000</v>
      </c>
      <c r="AK32" s="1570"/>
      <c r="AL32" s="1570">
        <f t="shared" ref="AL32:AL34" si="71">SUM(AO32:AP32)</f>
        <v>2000</v>
      </c>
      <c r="AM32" s="1753">
        <f t="shared" si="19"/>
        <v>6.9768499119323034E-3</v>
      </c>
      <c r="AN32" s="1757">
        <f t="shared" si="54"/>
        <v>1</v>
      </c>
      <c r="AO32" s="1570">
        <f>AJ32</f>
        <v>2000</v>
      </c>
      <c r="AP32" s="1570"/>
    </row>
    <row r="33" spans="1:42" s="31" customFormat="1">
      <c r="A33" s="1812">
        <v>5</v>
      </c>
      <c r="B33" s="1813" t="s">
        <v>175</v>
      </c>
      <c r="C33" s="1570">
        <v>308869</v>
      </c>
      <c r="D33" s="195">
        <f t="shared" si="4"/>
        <v>327868.91231904214</v>
      </c>
      <c r="E33" s="1748">
        <f t="shared" si="2"/>
        <v>1.7224110124117371</v>
      </c>
      <c r="F33" s="1570">
        <v>152264.36799999999</v>
      </c>
      <c r="G33" s="1570">
        <v>175604.54431904212</v>
      </c>
      <c r="H33" s="1570">
        <f t="shared" si="63"/>
        <v>327868.91231904214</v>
      </c>
      <c r="I33" s="1749">
        <f t="shared" si="57"/>
        <v>1.6915487069307777</v>
      </c>
      <c r="J33" s="1750">
        <f t="shared" si="0"/>
        <v>1</v>
      </c>
      <c r="K33" s="38">
        <f>F33</f>
        <v>152264.36799999999</v>
      </c>
      <c r="L33" s="38">
        <f>G33</f>
        <v>175604.54431904212</v>
      </c>
      <c r="M33" s="1570">
        <f t="shared" si="66"/>
        <v>354094.47910195083</v>
      </c>
      <c r="N33" s="1749">
        <f>M33/$M$9*100</f>
        <v>1.6161763737713739</v>
      </c>
      <c r="O33" s="1752">
        <f t="shared" si="1"/>
        <v>1.0799879640842227</v>
      </c>
      <c r="P33" s="1779">
        <f>F33*$P$50+24000+16</f>
        <v>183758.07111247999</v>
      </c>
      <c r="Q33" s="38">
        <f>G33*Q50</f>
        <v>170336.40798947084</v>
      </c>
      <c r="R33" s="1570">
        <f t="shared" si="67"/>
        <v>356375.03167890699</v>
      </c>
      <c r="S33" s="1753">
        <f t="shared" si="43"/>
        <v>1.615519020079089</v>
      </c>
      <c r="T33" s="1754">
        <f t="shared" ref="T33:T34" si="72">R33/M33</f>
        <v>1.0064405200068074</v>
      </c>
      <c r="U33" s="1570">
        <f>P33*$U$50</f>
        <v>184199.09048314992</v>
      </c>
      <c r="V33" s="38">
        <f>Q33*$V$50-0.1</f>
        <v>172175.9411957571</v>
      </c>
      <c r="W33" s="1570">
        <f t="shared" si="68"/>
        <v>362851.10031049303</v>
      </c>
      <c r="X33" s="1753">
        <f t="shared" si="10"/>
        <v>1.6327319138206491</v>
      </c>
      <c r="Y33" s="1755">
        <f t="shared" si="46"/>
        <v>1.0181720604866082</v>
      </c>
      <c r="Z33" s="1760">
        <f>U33*$Z$50</f>
        <v>188454.08947331071</v>
      </c>
      <c r="AA33" s="1570">
        <f>V33*$AA$50</f>
        <v>174397.01083718234</v>
      </c>
      <c r="AB33" s="1570">
        <f t="shared" si="69"/>
        <v>388554.57695830194</v>
      </c>
      <c r="AC33" s="1753">
        <f t="shared" si="13"/>
        <v>1.5375456587397056</v>
      </c>
      <c r="AD33" s="1756">
        <f t="shared" si="49"/>
        <v>1.0708375326017046</v>
      </c>
      <c r="AE33" s="1570">
        <f>Z33*$AE$50</f>
        <v>193982.6303761786</v>
      </c>
      <c r="AF33" s="1570">
        <f>$AF$50*AA33+10000</f>
        <v>194571.94658212332</v>
      </c>
      <c r="AG33" s="1570">
        <f t="shared" si="70"/>
        <v>413799.67800673621</v>
      </c>
      <c r="AH33" s="1763">
        <f t="shared" si="16"/>
        <v>1.5312795332849929</v>
      </c>
      <c r="AI33" s="1757">
        <f t="shared" si="39"/>
        <v>1.0649718277572715</v>
      </c>
      <c r="AJ33" s="1570">
        <f>AE33*$AJ$50+10000</f>
        <v>210916.72121933621</v>
      </c>
      <c r="AK33" s="1570">
        <f>AF33*$AK$50</f>
        <v>202882.95678739998</v>
      </c>
      <c r="AL33" s="1570">
        <f t="shared" si="71"/>
        <v>455829.86689569859</v>
      </c>
      <c r="AM33" s="1753">
        <f t="shared" si="19"/>
        <v>1.5901282833536843</v>
      </c>
      <c r="AN33" s="1757">
        <f t="shared" si="54"/>
        <v>1.1015713426637277</v>
      </c>
      <c r="AO33" s="1570">
        <f>AJ33*$AO$50+20000</f>
        <v>236213.26913682561</v>
      </c>
      <c r="AP33" s="1570">
        <f>AK33*$AP$50+10000</f>
        <v>219616.59775887299</v>
      </c>
    </row>
    <row r="34" spans="1:42" s="31" customFormat="1">
      <c r="A34" s="1812">
        <v>6</v>
      </c>
      <c r="B34" s="1813" t="s">
        <v>1419</v>
      </c>
      <c r="C34" s="1570"/>
      <c r="D34" s="195">
        <f t="shared" si="4"/>
        <v>717399.2</v>
      </c>
      <c r="E34" s="1748">
        <f t="shared" si="2"/>
        <v>3.7687509731724114</v>
      </c>
      <c r="F34" s="1570">
        <v>79139.200000000012</v>
      </c>
      <c r="G34" s="1570">
        <f>638260</f>
        <v>638260</v>
      </c>
      <c r="H34" s="1570">
        <f t="shared" si="63"/>
        <v>0.40000000001455194</v>
      </c>
      <c r="I34" s="1749">
        <f t="shared" si="57"/>
        <v>2.0636890457565637E-6</v>
      </c>
      <c r="J34" s="1750">
        <f t="shared" si="0"/>
        <v>5.5756962095100188E-7</v>
      </c>
      <c r="K34" s="38">
        <f>F34-79139.2+0.4</f>
        <v>0.40000000001455194</v>
      </c>
      <c r="L34" s="38">
        <f>G34-623068-15192</f>
        <v>0</v>
      </c>
      <c r="M34" s="1570">
        <f t="shared" si="66"/>
        <v>0</v>
      </c>
      <c r="N34" s="1749">
        <f t="shared" si="7"/>
        <v>0</v>
      </c>
      <c r="O34" s="1752">
        <f t="shared" si="1"/>
        <v>0</v>
      </c>
      <c r="P34" s="1570"/>
      <c r="Q34" s="1570">
        <f>612464-612464</f>
        <v>0</v>
      </c>
      <c r="R34" s="1570">
        <f t="shared" si="67"/>
        <v>0</v>
      </c>
      <c r="S34" s="1753">
        <f t="shared" si="43"/>
        <v>0</v>
      </c>
      <c r="T34" s="1754" t="e">
        <f t="shared" si="72"/>
        <v>#DIV/0!</v>
      </c>
      <c r="U34" s="38"/>
      <c r="V34" s="38"/>
      <c r="W34" s="1570">
        <f t="shared" si="68"/>
        <v>0</v>
      </c>
      <c r="X34" s="1753">
        <f t="shared" si="10"/>
        <v>0</v>
      </c>
      <c r="Y34" s="1755" t="e">
        <f t="shared" si="46"/>
        <v>#DIV/0!</v>
      </c>
      <c r="Z34" s="1570"/>
      <c r="AA34" s="1570"/>
      <c r="AB34" s="1570">
        <f t="shared" si="69"/>
        <v>1088757.7498882432</v>
      </c>
      <c r="AC34" s="1753">
        <f t="shared" si="13"/>
        <v>4.3083130428277698</v>
      </c>
      <c r="AD34" s="1756" t="e">
        <f t="shared" si="49"/>
        <v>#DIV/0!</v>
      </c>
      <c r="AE34" s="1570">
        <f>Z34+'Phụ lục số III-CĐC'!S76+261410.4-(10000)-(8136)+(10739)-50000</f>
        <v>508427.53552337422</v>
      </c>
      <c r="AF34" s="1570">
        <f>AA34+'Phụ lục số III-CĐC'!T76+40373-14000-(5462.9)</f>
        <v>580330.21436486894</v>
      </c>
      <c r="AG34" s="1570">
        <f t="shared" si="70"/>
        <v>1572055.4252528162</v>
      </c>
      <c r="AH34" s="1763">
        <f t="shared" si="16"/>
        <v>5.8174436226605417</v>
      </c>
      <c r="AI34" s="1757">
        <f t="shared" si="39"/>
        <v>1.4438982642504099</v>
      </c>
      <c r="AJ34" s="1570">
        <f>AE34+'Phụ lục số III-CĐC'!V76+172585-(14957.4)-(50000)-20000+18842.4</f>
        <v>815349.89660284261</v>
      </c>
      <c r="AK34" s="1570">
        <f>AF34+'Phụ lục số III-CĐC'!W76+20318.5-(11130)</f>
        <v>756705.52864997357</v>
      </c>
      <c r="AL34" s="1570">
        <f t="shared" si="71"/>
        <v>2013128.5970931321</v>
      </c>
      <c r="AM34" s="1753">
        <f t="shared" si="19"/>
        <v>7.0226480376688105</v>
      </c>
      <c r="AN34" s="1757">
        <f t="shared" si="54"/>
        <v>1.2805710058024087</v>
      </c>
      <c r="AO34" s="1570">
        <f>'Phụ lục số III-CĐC'!Y76+AJ34+100843-12513.9-(35000)+8877</f>
        <v>1028179.0947566982</v>
      </c>
      <c r="AP34" s="1570">
        <f>AK34+'Phụ lục số III-CĐC'!Z76-51426.5-7411.4</f>
        <v>984949.50233643386</v>
      </c>
    </row>
    <row r="35" spans="1:42" s="31" customFormat="1">
      <c r="A35" s="1780" t="s">
        <v>33</v>
      </c>
      <c r="B35" s="1781" t="s">
        <v>177</v>
      </c>
      <c r="C35" s="1760">
        <f>SUM(C36,C39,C42)</f>
        <v>1988976</v>
      </c>
      <c r="D35" s="1760">
        <f>SUM(D36,D39,D42)</f>
        <v>1988976</v>
      </c>
      <c r="E35" s="1748">
        <f t="shared" si="2"/>
        <v>10.448792298090897</v>
      </c>
      <c r="F35" s="1760">
        <f>SUM(F36,F39,F42)</f>
        <v>1988976</v>
      </c>
      <c r="G35" s="1760">
        <f t="shared" ref="G35" si="73">SUM(G36,G39,G42)</f>
        <v>0</v>
      </c>
      <c r="H35" s="1760">
        <f>SUM(H36,H39,H42)</f>
        <v>2127535</v>
      </c>
      <c r="I35" s="1749">
        <f>H35/$H$9*100</f>
        <v>10.976426684509905</v>
      </c>
      <c r="J35" s="1750">
        <f t="shared" si="0"/>
        <v>1.0696634851300368</v>
      </c>
      <c r="K35" s="1760">
        <f>SUM(K36,K39,K42)</f>
        <v>2127535</v>
      </c>
      <c r="L35" s="1760">
        <f t="shared" ref="L35" si="74">SUM(L36,L39,L42)</f>
        <v>0</v>
      </c>
      <c r="M35" s="1760">
        <f>SUM(M36,M39,M42)</f>
        <v>3676048.8</v>
      </c>
      <c r="N35" s="1749">
        <f t="shared" si="7"/>
        <v>16.778412457766777</v>
      </c>
      <c r="O35" s="1752">
        <f t="shared" si="1"/>
        <v>1.8482117431281222</v>
      </c>
      <c r="P35" s="1760">
        <f>SUM(P36,P39,P42)</f>
        <v>3676048.8</v>
      </c>
      <c r="Q35" s="1760">
        <f t="shared" ref="Q35" si="75">SUM(Q36,Q39,Q42)</f>
        <v>0</v>
      </c>
      <c r="R35" s="1760">
        <f>SUM(R36,R39,R42)</f>
        <v>3676048.8</v>
      </c>
      <c r="S35" s="1759"/>
      <c r="T35" s="1759"/>
      <c r="U35" s="1760">
        <f>SUM(U36,U39,U42)</f>
        <v>3676048.8</v>
      </c>
      <c r="V35" s="1760">
        <f t="shared" ref="V35" si="76">SUM(V36,V39,V42)</f>
        <v>0</v>
      </c>
      <c r="W35" s="1760">
        <f>SUM(W36,W39,W42)</f>
        <v>3676048.8</v>
      </c>
      <c r="X35" s="1759"/>
      <c r="Y35" s="1782"/>
      <c r="Z35" s="1760">
        <f>SUM(Z36,Z39,Z42)</f>
        <v>3676048.8</v>
      </c>
      <c r="AA35" s="1760">
        <f t="shared" ref="AA35" si="77">SUM(AA36,AA39,AA42)</f>
        <v>0</v>
      </c>
      <c r="AB35" s="1760">
        <f>SUM(AB36,AB39,AB42)</f>
        <v>3676048.8</v>
      </c>
      <c r="AC35" s="1759"/>
      <c r="AD35" s="1759"/>
      <c r="AE35" s="1760">
        <f>SUM(AE36,AE39,AE42)</f>
        <v>3676048.8</v>
      </c>
      <c r="AF35" s="1760">
        <f t="shared" ref="AF35" si="78">SUM(AF36,AF39,AF42)</f>
        <v>0</v>
      </c>
      <c r="AG35" s="1760">
        <f>SUM(AG36,AG39,AG42)</f>
        <v>3676048.8</v>
      </c>
      <c r="AH35" s="1759"/>
      <c r="AI35" s="1759"/>
      <c r="AJ35" s="1760">
        <f>SUM(AJ36,AJ39,AJ42)</f>
        <v>3676048.8</v>
      </c>
      <c r="AK35" s="1760">
        <f t="shared" ref="AK35" si="79">SUM(AK36,AK39,AK42)</f>
        <v>0</v>
      </c>
      <c r="AL35" s="1760">
        <f>SUM(AL36,AL39,AL42)</f>
        <v>3676048.8</v>
      </c>
      <c r="AM35" s="1759"/>
      <c r="AN35" s="1759"/>
      <c r="AO35" s="1760">
        <f>SUM(AO36,AO39,AO42)</f>
        <v>3676048.8</v>
      </c>
      <c r="AP35" s="1760">
        <f t="shared" ref="AP35" si="80">SUM(AP36,AP39,AP42)</f>
        <v>0</v>
      </c>
    </row>
    <row r="36" spans="1:42">
      <c r="A36" s="1783">
        <v>1</v>
      </c>
      <c r="B36" s="1784" t="s">
        <v>178</v>
      </c>
      <c r="C36" s="1765">
        <f>SUM(C37:C38)</f>
        <v>1814491</v>
      </c>
      <c r="D36" s="1765">
        <f>SUM(D37:D38)</f>
        <v>1814491</v>
      </c>
      <c r="E36" s="1748">
        <f t="shared" si="2"/>
        <v>9.5321610646660631</v>
      </c>
      <c r="F36" s="1765">
        <f>SUM(F37:F38)</f>
        <v>1814491</v>
      </c>
      <c r="G36" s="1765">
        <f t="shared" ref="G36" si="81">SUM(G37:G38)</f>
        <v>0</v>
      </c>
      <c r="H36" s="1765">
        <f>SUM(H37:H38)</f>
        <v>1814491</v>
      </c>
      <c r="I36" s="1767">
        <f t="shared" si="57"/>
        <v>9.3613630004691171</v>
      </c>
      <c r="J36" s="1768">
        <f t="shared" si="0"/>
        <v>1</v>
      </c>
      <c r="K36" s="1765">
        <f>SUM(K37:K38)</f>
        <v>1814491</v>
      </c>
      <c r="L36" s="1765">
        <f t="shared" ref="L36" si="82">SUM(L37:L38)</f>
        <v>0</v>
      </c>
      <c r="M36" s="1765">
        <f>SUM(M37:M38)</f>
        <v>3101719</v>
      </c>
      <c r="N36" s="1767">
        <f t="shared" si="7"/>
        <v>14.15702661784357</v>
      </c>
      <c r="O36" s="1773"/>
      <c r="P36" s="1765">
        <f>SUM(P37:P38)</f>
        <v>3101719</v>
      </c>
      <c r="Q36" s="1765">
        <f t="shared" ref="Q36" si="83">SUM(Q37:Q38)</f>
        <v>0</v>
      </c>
      <c r="R36" s="1765">
        <f>SUM(R37:R38)</f>
        <v>3101719</v>
      </c>
      <c r="S36" s="1785"/>
      <c r="T36" s="1785"/>
      <c r="U36" s="1765">
        <f>SUM(U37:U38)</f>
        <v>3101719</v>
      </c>
      <c r="V36" s="1765">
        <f t="shared" ref="V36" si="84">SUM(V37:V38)</f>
        <v>0</v>
      </c>
      <c r="W36" s="1765">
        <f>SUM(W37:W38)</f>
        <v>3101719</v>
      </c>
      <c r="X36" s="1785"/>
      <c r="Y36" s="1786"/>
      <c r="Z36" s="1765">
        <f>SUM(Z37:Z38)</f>
        <v>3101719</v>
      </c>
      <c r="AA36" s="1765">
        <f t="shared" ref="AA36" si="85">SUM(AA37:AA38)</f>
        <v>0</v>
      </c>
      <c r="AB36" s="1765">
        <f>SUM(AB37:AB38)</f>
        <v>3101719</v>
      </c>
      <c r="AC36" s="1785"/>
      <c r="AD36" s="1785"/>
      <c r="AE36" s="1765">
        <f>SUM(AE37:AE38)</f>
        <v>3101719</v>
      </c>
      <c r="AF36" s="1765">
        <f t="shared" ref="AF36" si="86">SUM(AF37:AF38)</f>
        <v>0</v>
      </c>
      <c r="AG36" s="1765">
        <f>SUM(AG37:AG38)</f>
        <v>3101719</v>
      </c>
      <c r="AH36" s="1785"/>
      <c r="AI36" s="1785"/>
      <c r="AJ36" s="1765">
        <f>SUM(AJ37:AJ38)</f>
        <v>3101719</v>
      </c>
      <c r="AK36" s="1765">
        <f t="shared" ref="AK36" si="87">SUM(AK37:AK38)</f>
        <v>0</v>
      </c>
      <c r="AL36" s="1765">
        <f>SUM(AL37:AL38)</f>
        <v>3101719</v>
      </c>
      <c r="AM36" s="1785"/>
      <c r="AN36" s="1785"/>
      <c r="AO36" s="1765">
        <f>SUM(AO37:AO38)</f>
        <v>3101719</v>
      </c>
      <c r="AP36" s="1765">
        <f t="shared" ref="AP36" si="88">SUM(AP37:AP38)</f>
        <v>0</v>
      </c>
    </row>
    <row r="37" spans="1:42" hidden="1">
      <c r="A37" s="1814" t="s">
        <v>99</v>
      </c>
      <c r="B37" s="1815" t="s">
        <v>100</v>
      </c>
      <c r="C37" s="1765">
        <f>SUM(F37:G37)</f>
        <v>1681570</v>
      </c>
      <c r="D37" s="196">
        <f t="shared" ref="D37:D47" si="89">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row>
    <row r="38" spans="1:42" hidden="1">
      <c r="A38" s="1814" t="s">
        <v>101</v>
      </c>
      <c r="B38" s="1815" t="s">
        <v>102</v>
      </c>
      <c r="C38" s="1765">
        <f>SUM(F38:G38)</f>
        <v>132921</v>
      </c>
      <c r="D38" s="196">
        <f t="shared" si="89"/>
        <v>132921</v>
      </c>
      <c r="E38" s="1748">
        <f t="shared" si="2"/>
        <v>0.69828088476408967</v>
      </c>
      <c r="F38" s="1765">
        <f>'Phụ lục số I'!H61</f>
        <v>132921</v>
      </c>
      <c r="G38" s="1765"/>
      <c r="H38" s="1765">
        <f>SUM(K38:L38)</f>
        <v>132921</v>
      </c>
      <c r="I38" s="35"/>
      <c r="J38" s="1768">
        <f t="shared" si="0"/>
        <v>1</v>
      </c>
      <c r="K38" s="41">
        <f t="shared" ref="K38:L38" si="90">F38</f>
        <v>132921</v>
      </c>
      <c r="L38" s="41">
        <f t="shared" si="90"/>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row>
    <row r="39" spans="1:42">
      <c r="A39" s="1783">
        <v>2</v>
      </c>
      <c r="B39" s="1784" t="s">
        <v>179</v>
      </c>
      <c r="C39" s="1765">
        <f>SUM(C40:C41)</f>
        <v>174485</v>
      </c>
      <c r="D39" s="1765">
        <f>SUM(D40:D41)</f>
        <v>174485</v>
      </c>
      <c r="E39" s="1748">
        <f t="shared" si="2"/>
        <v>0.91663123342483266</v>
      </c>
      <c r="F39" s="1765">
        <f>SUM(F40:F41)</f>
        <v>174485</v>
      </c>
      <c r="G39" s="1765">
        <f t="shared" ref="G39" si="91">SUM(G40:G41)</f>
        <v>0</v>
      </c>
      <c r="H39" s="1765">
        <f>SUM(H40:H41)</f>
        <v>174485</v>
      </c>
      <c r="I39" s="1767">
        <f t="shared" ref="I39" si="92">H39/$H$9*100</f>
        <v>0.90020695783933558</v>
      </c>
      <c r="J39" s="1768">
        <f t="shared" si="0"/>
        <v>1</v>
      </c>
      <c r="K39" s="1765">
        <f>SUM(K40:K41)</f>
        <v>174485</v>
      </c>
      <c r="L39" s="1765">
        <f t="shared" ref="L39" si="93">SUM(L40:L41)</f>
        <v>0</v>
      </c>
      <c r="M39" s="1765">
        <f>SUM(M40:M41)</f>
        <v>195063.8</v>
      </c>
      <c r="N39" s="1767">
        <f t="shared" ref="N39" si="94">M39/$M$9*100</f>
        <v>0.89032030586191546</v>
      </c>
      <c r="O39" s="1773"/>
      <c r="P39" s="1765">
        <f>SUM(P40:P41)</f>
        <v>195063.8</v>
      </c>
      <c r="Q39" s="1765">
        <f t="shared" ref="Q39" si="95">SUM(Q40:Q41)</f>
        <v>0</v>
      </c>
      <c r="R39" s="1765">
        <f>SUM(R40:R41)</f>
        <v>195063.8</v>
      </c>
      <c r="S39" s="1785"/>
      <c r="T39" s="1785"/>
      <c r="U39" s="1765">
        <f>SUM(U40:U41)</f>
        <v>195063.8</v>
      </c>
      <c r="V39" s="1765">
        <f t="shared" ref="V39" si="96">SUM(V40:V41)</f>
        <v>0</v>
      </c>
      <c r="W39" s="1765">
        <f>SUM(W40:W41)</f>
        <v>195063.8</v>
      </c>
      <c r="X39" s="1785"/>
      <c r="Y39" s="1786"/>
      <c r="Z39" s="1765">
        <f>SUM(Z40:Z41)</f>
        <v>195063.8</v>
      </c>
      <c r="AA39" s="1765">
        <f t="shared" ref="AA39" si="97">SUM(AA40:AA41)</f>
        <v>0</v>
      </c>
      <c r="AB39" s="1765">
        <f>SUM(AB40:AB41)</f>
        <v>195063.8</v>
      </c>
      <c r="AC39" s="1785"/>
      <c r="AD39" s="1785"/>
      <c r="AE39" s="1765">
        <f>SUM(AE40:AE41)</f>
        <v>195063.8</v>
      </c>
      <c r="AF39" s="1765">
        <f t="shared" ref="AF39" si="98">SUM(AF40:AF41)</f>
        <v>0</v>
      </c>
      <c r="AG39" s="1765">
        <f>SUM(AG40:AG41)</f>
        <v>195063.8</v>
      </c>
      <c r="AH39" s="1785"/>
      <c r="AI39" s="1785"/>
      <c r="AJ39" s="1765">
        <f>SUM(AJ40:AJ41)</f>
        <v>195063.8</v>
      </c>
      <c r="AK39" s="1765">
        <f t="shared" ref="AK39" si="99">SUM(AK40:AK41)</f>
        <v>0</v>
      </c>
      <c r="AL39" s="1765">
        <f>SUM(AL40:AL41)</f>
        <v>195063.8</v>
      </c>
      <c r="AM39" s="1785"/>
      <c r="AN39" s="1785"/>
      <c r="AO39" s="1765">
        <f>SUM(AO40:AO41)</f>
        <v>195063.8</v>
      </c>
      <c r="AP39" s="1765">
        <f t="shared" ref="AP39" si="100">SUM(AP40:AP41)</f>
        <v>0</v>
      </c>
    </row>
    <row r="40" spans="1:42" hidden="1">
      <c r="A40" s="1814" t="s">
        <v>99</v>
      </c>
      <c r="B40" s="1815" t="s">
        <v>103</v>
      </c>
      <c r="C40" s="1765">
        <f>SUM(F40:G40)</f>
        <v>72469</v>
      </c>
      <c r="D40" s="196">
        <f t="shared" si="89"/>
        <v>72469</v>
      </c>
      <c r="E40" s="1748">
        <f t="shared" si="2"/>
        <v>0.38070521165179927</v>
      </c>
      <c r="F40" s="1765">
        <f>'Phụ lục số I'!H63</f>
        <v>72469</v>
      </c>
      <c r="G40" s="1765"/>
      <c r="H40" s="1765">
        <f>SUM(K40:L40)</f>
        <v>72469</v>
      </c>
      <c r="I40" s="35"/>
      <c r="J40" s="1768">
        <f t="shared" si="0"/>
        <v>1</v>
      </c>
      <c r="K40" s="41">
        <f t="shared" ref="K40" si="101">F40</f>
        <v>72469</v>
      </c>
      <c r="L40" s="41">
        <f t="shared" ref="L40" si="102">G40</f>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row>
    <row r="41" spans="1:42" hidden="1">
      <c r="A41" s="1814" t="s">
        <v>101</v>
      </c>
      <c r="B41" s="1815" t="s">
        <v>102</v>
      </c>
      <c r="C41" s="1765">
        <f>SUM(F41:G41)</f>
        <v>102016</v>
      </c>
      <c r="D41" s="196">
        <f t="shared" si="89"/>
        <v>102016</v>
      </c>
      <c r="E41" s="1748">
        <f t="shared" si="2"/>
        <v>0.53592602177303339</v>
      </c>
      <c r="F41" s="1765">
        <f>'Phụ lục số I'!H64</f>
        <v>102016</v>
      </c>
      <c r="G41" s="1765"/>
      <c r="H41" s="1765">
        <f>SUM(K41:L41)</f>
        <v>102016</v>
      </c>
      <c r="I41" s="35"/>
      <c r="J41" s="1768">
        <f t="shared" si="0"/>
        <v>1</v>
      </c>
      <c r="K41" s="41">
        <f t="shared" ref="K41" si="103">F41</f>
        <v>102016</v>
      </c>
      <c r="L41" s="41">
        <f t="shared" ref="L41" si="104">G41</f>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row>
    <row r="42" spans="1:42">
      <c r="A42" s="1783">
        <v>3</v>
      </c>
      <c r="B42" s="1784" t="s">
        <v>180</v>
      </c>
      <c r="C42" s="1765">
        <f>SUM(C43:C44)</f>
        <v>0</v>
      </c>
      <c r="D42" s="1765">
        <f>SUM(D43:D44)</f>
        <v>0</v>
      </c>
      <c r="E42" s="1785"/>
      <c r="F42" s="1765">
        <f>SUM(F43:F44)</f>
        <v>0</v>
      </c>
      <c r="G42" s="1765">
        <f>SUM(G43:G44)</f>
        <v>0</v>
      </c>
      <c r="H42" s="1765">
        <f>SUM(H43:H44)</f>
        <v>138559</v>
      </c>
      <c r="I42" s="1767">
        <f t="shared" ref="I42" si="105">H42/$H$9*100</f>
        <v>0.7148567262014528</v>
      </c>
      <c r="J42" s="2199" t="e">
        <f t="shared" si="0"/>
        <v>#DIV/0!</v>
      </c>
      <c r="K42" s="1765">
        <f>SUM(K43:K44)</f>
        <v>138559</v>
      </c>
      <c r="L42" s="1765">
        <f>SUM(L43:L44)</f>
        <v>0</v>
      </c>
      <c r="M42" s="1765">
        <f>SUM(M43:M44)</f>
        <v>379266</v>
      </c>
      <c r="N42" s="1767">
        <f t="shared" ref="N42" si="106">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row>
    <row r="43" spans="1:42" hidden="1">
      <c r="A43" s="1814" t="s">
        <v>99</v>
      </c>
      <c r="B43" s="1815" t="s">
        <v>104</v>
      </c>
      <c r="C43" s="1765">
        <f>SUM(F43:G43)</f>
        <v>0</v>
      </c>
      <c r="D43" s="196">
        <f t="shared" si="89"/>
        <v>0</v>
      </c>
      <c r="E43" s="1785"/>
      <c r="F43" s="1765"/>
      <c r="G43" s="1765"/>
      <c r="H43" s="1765">
        <f>SUM(K43:L43)</f>
        <v>0</v>
      </c>
      <c r="I43" s="35"/>
      <c r="J43" s="1768" t="e">
        <f t="shared" si="0"/>
        <v>#DIV/0!</v>
      </c>
      <c r="K43" s="41">
        <f t="shared" ref="K43" si="107">F43</f>
        <v>0</v>
      </c>
      <c r="L43" s="41">
        <f t="shared" ref="L43" si="108">G43</f>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row>
    <row r="44" spans="1:42" hidden="1">
      <c r="A44" s="1814" t="s">
        <v>101</v>
      </c>
      <c r="B44" s="1815" t="s">
        <v>105</v>
      </c>
      <c r="C44" s="1765">
        <f t="shared" ref="C44" si="109">SUM(F44:G44)</f>
        <v>0</v>
      </c>
      <c r="D44" s="196">
        <f t="shared" si="89"/>
        <v>0</v>
      </c>
      <c r="E44" s="1785"/>
      <c r="F44" s="1765"/>
      <c r="G44" s="1765"/>
      <c r="H44" s="1765">
        <f>SUM(K44:L44)</f>
        <v>138559</v>
      </c>
      <c r="I44" s="35"/>
      <c r="J44" s="1768" t="e">
        <f t="shared" si="0"/>
        <v>#DIV/0!</v>
      </c>
      <c r="K44" s="41">
        <f>'Phụ lục số I'!O67</f>
        <v>138559</v>
      </c>
      <c r="L44" s="41">
        <f t="shared" ref="L44" si="110">G44</f>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row>
    <row r="45" spans="1:42" s="31" customFormat="1">
      <c r="A45" s="1780" t="s">
        <v>182</v>
      </c>
      <c r="B45" s="1781" t="s">
        <v>181</v>
      </c>
      <c r="C45" s="1570"/>
      <c r="D45" s="195">
        <f t="shared" si="89"/>
        <v>0</v>
      </c>
      <c r="E45" s="1789"/>
      <c r="F45" s="1570"/>
      <c r="G45" s="1570"/>
      <c r="H45" s="1759"/>
      <c r="I45" s="1759"/>
      <c r="J45" s="2197"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row>
    <row r="46" spans="1:42" s="31" customFormat="1">
      <c r="A46" s="1812" t="s">
        <v>37</v>
      </c>
      <c r="B46" s="1816" t="s">
        <v>183</v>
      </c>
      <c r="C46" s="1570"/>
      <c r="D46" s="195">
        <f t="shared" si="89"/>
        <v>0</v>
      </c>
      <c r="E46" s="1789"/>
      <c r="F46" s="1570"/>
      <c r="G46" s="1570"/>
      <c r="H46" s="1759"/>
      <c r="I46" s="1759"/>
      <c r="J46" s="2197"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row>
    <row r="47" spans="1:42" s="31" customFormat="1">
      <c r="A47" s="1817" t="s">
        <v>44</v>
      </c>
      <c r="B47" s="1818" t="s">
        <v>184</v>
      </c>
      <c r="C47" s="1791"/>
      <c r="D47" s="1792">
        <f t="shared" si="89"/>
        <v>0</v>
      </c>
      <c r="E47" s="1793"/>
      <c r="F47" s="1791"/>
      <c r="G47" s="1791"/>
      <c r="H47" s="1794"/>
      <c r="I47" s="1794"/>
      <c r="J47" s="2198"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row>
    <row r="49" spans="1:42">
      <c r="H49" s="32"/>
      <c r="O49" s="32"/>
    </row>
    <row r="50" spans="1:42">
      <c r="C50" s="1805">
        <f>1729491+85000</f>
        <v>1814491</v>
      </c>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2">
      <c r="C51" s="32">
        <f>+C50+C11</f>
        <v>6504677</v>
      </c>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row>
    <row r="52" spans="1:42">
      <c r="H52" s="32"/>
      <c r="M52" s="32">
        <f>M51-M9</f>
        <v>0.19594352319836617</v>
      </c>
      <c r="R52" s="32">
        <f>R51-R9</f>
        <v>0.13032336533069611</v>
      </c>
      <c r="W52" s="32">
        <f>W51-W9</f>
        <v>-0.36055499315261841</v>
      </c>
      <c r="AB52" s="32">
        <f>AB51-AB9</f>
        <v>-616133.23736639321</v>
      </c>
      <c r="AG52" s="32">
        <f>AG51-AG9</f>
        <v>-284136.44699073583</v>
      </c>
      <c r="AL52" s="32">
        <f>AL51-AL9</f>
        <v>-288529.84032297134</v>
      </c>
    </row>
    <row r="53" spans="1:42">
      <c r="C53" s="32">
        <f>+C11+C36</f>
        <v>6504677</v>
      </c>
      <c r="D53" s="32">
        <f>+D11+D36</f>
        <v>7145731.5709698759</v>
      </c>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row>
    <row r="54" spans="1:42">
      <c r="C54" s="32">
        <f>+C37+C11</f>
        <v>6371756</v>
      </c>
      <c r="D54" s="30">
        <v>251866</v>
      </c>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row>
    <row r="55" spans="1:42">
      <c r="C55" s="32">
        <f>+C39</f>
        <v>174485</v>
      </c>
      <c r="D55" s="32">
        <f>+D54+D53</f>
        <v>7397597.5709698759</v>
      </c>
      <c r="E55" s="1732">
        <f>+D55/C53</f>
        <v>1.1372736218831274</v>
      </c>
    </row>
    <row r="56" spans="1:42">
      <c r="C56" s="32">
        <f>+C55+C54</f>
        <v>6546241</v>
      </c>
    </row>
    <row r="57" spans="1:42">
      <c r="M57" s="1732">
        <f>+M33/C33</f>
        <v>1.1464228494991431</v>
      </c>
    </row>
    <row r="59" spans="1:42">
      <c r="A59" s="1799" t="s">
        <v>312</v>
      </c>
      <c r="B59" s="31" t="s">
        <v>311</v>
      </c>
      <c r="M59" s="1733">
        <f>SUM(M60:M65)</f>
        <v>270000</v>
      </c>
      <c r="N59" s="1733"/>
      <c r="O59" s="1733"/>
      <c r="P59" s="1733">
        <f>SUM(P60:P65)</f>
        <v>270000</v>
      </c>
      <c r="Q59" s="1733">
        <f t="shared" ref="Q59" si="111">SUM(Q60:Q65)</f>
        <v>0</v>
      </c>
      <c r="R59" s="1733">
        <f>SUM(R60:R65)</f>
        <v>260000</v>
      </c>
      <c r="U59" s="1733">
        <f>SUM(U60:U65)</f>
        <v>260000</v>
      </c>
      <c r="V59" s="1733">
        <f t="shared" ref="V59" si="112">SUM(V60:V65)</f>
        <v>0</v>
      </c>
      <c r="W59" s="1733">
        <f>SUM(W60:W65)</f>
        <v>300000</v>
      </c>
      <c r="X59" s="32"/>
      <c r="Y59" s="32"/>
      <c r="Z59" s="1733">
        <f>SUM(Z60:Z65)</f>
        <v>300000</v>
      </c>
      <c r="AA59" s="1733">
        <f t="shared" ref="AA59" si="113">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2">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2">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2">
      <c r="A62" s="1731">
        <v>3</v>
      </c>
      <c r="B62" s="30" t="s">
        <v>314</v>
      </c>
      <c r="M62" s="1733">
        <f t="shared" ref="M62:M65" si="114">SUM(P62:Q62)</f>
        <v>100000</v>
      </c>
      <c r="N62" s="1733"/>
      <c r="O62" s="1733"/>
      <c r="P62" s="1733">
        <v>100000</v>
      </c>
      <c r="Q62" s="1733"/>
      <c r="R62" s="1733">
        <f t="shared" ref="R62:R65" si="115">SUM(U62:V62)</f>
        <v>100000</v>
      </c>
      <c r="U62" s="1733">
        <v>100000</v>
      </c>
      <c r="V62" s="1733"/>
      <c r="W62" s="1733">
        <f t="shared" ref="W62:W65" si="116">SUM(Z62:AA62)</f>
        <v>150000</v>
      </c>
      <c r="X62" s="32"/>
      <c r="Y62" s="32"/>
      <c r="Z62" s="32">
        <v>150000</v>
      </c>
      <c r="AA62" s="32"/>
      <c r="AB62" s="1733">
        <f t="shared" ref="AB62:AB65" si="117">SUM(AE62:AF62)</f>
        <v>800000</v>
      </c>
      <c r="AC62" s="32"/>
      <c r="AD62" s="32"/>
      <c r="AE62" s="32">
        <v>800000</v>
      </c>
      <c r="AG62" s="1733">
        <f t="shared" ref="AG62:AG65" si="118">SUM(AJ62:AK62)</f>
        <v>800000</v>
      </c>
      <c r="AH62" s="32"/>
      <c r="AI62" s="32"/>
      <c r="AJ62" s="32">
        <v>800000</v>
      </c>
      <c r="AL62" s="1733">
        <f t="shared" ref="AL62:AL65" si="119">SUM(AO62:AP62)</f>
        <v>800000</v>
      </c>
      <c r="AM62" s="32"/>
      <c r="AN62" s="32"/>
      <c r="AO62" s="32">
        <v>800000</v>
      </c>
    </row>
    <row r="63" spans="1:42">
      <c r="A63" s="1731">
        <v>4</v>
      </c>
      <c r="B63" s="30" t="s">
        <v>316</v>
      </c>
      <c r="M63" s="1733">
        <f t="shared" si="114"/>
        <v>30000</v>
      </c>
      <c r="N63" s="1733"/>
      <c r="O63" s="1733"/>
      <c r="P63" s="1733">
        <v>30000</v>
      </c>
      <c r="Q63" s="1733"/>
      <c r="R63" s="1733">
        <f t="shared" si="115"/>
        <v>30000</v>
      </c>
      <c r="U63" s="1733">
        <v>30000</v>
      </c>
      <c r="V63" s="1733"/>
      <c r="W63" s="1733">
        <f t="shared" si="116"/>
        <v>30000</v>
      </c>
      <c r="X63" s="32"/>
      <c r="Y63" s="32"/>
      <c r="Z63" s="32">
        <v>30000</v>
      </c>
      <c r="AA63" s="32"/>
      <c r="AB63" s="1733">
        <f t="shared" si="117"/>
        <v>60000</v>
      </c>
      <c r="AC63" s="32"/>
      <c r="AD63" s="32"/>
      <c r="AE63" s="32">
        <v>60000</v>
      </c>
      <c r="AG63" s="1733">
        <f t="shared" si="118"/>
        <v>100000</v>
      </c>
      <c r="AH63" s="32"/>
      <c r="AI63" s="32"/>
      <c r="AJ63" s="32">
        <v>100000</v>
      </c>
      <c r="AL63" s="1733">
        <f t="shared" si="119"/>
        <v>200000</v>
      </c>
      <c r="AM63" s="32"/>
      <c r="AN63" s="32"/>
      <c r="AO63" s="32">
        <f>100000+50000+50000</f>
        <v>200000</v>
      </c>
    </row>
    <row r="64" spans="1:42">
      <c r="A64" s="1731">
        <v>5</v>
      </c>
      <c r="M64" s="1733">
        <f t="shared" si="114"/>
        <v>0</v>
      </c>
      <c r="N64" s="1733"/>
      <c r="O64" s="1733"/>
      <c r="P64" s="1733"/>
      <c r="Q64" s="1733"/>
      <c r="R64" s="1733">
        <f t="shared" si="115"/>
        <v>0</v>
      </c>
      <c r="U64" s="1733"/>
      <c r="V64" s="1733"/>
      <c r="W64" s="1733">
        <f t="shared" si="116"/>
        <v>0</v>
      </c>
      <c r="X64" s="32"/>
      <c r="Y64" s="32"/>
      <c r="Z64" s="32"/>
      <c r="AA64" s="32"/>
      <c r="AB64" s="1733">
        <f t="shared" si="117"/>
        <v>50000</v>
      </c>
      <c r="AC64" s="32"/>
      <c r="AD64" s="32"/>
      <c r="AE64" s="32">
        <v>50000</v>
      </c>
      <c r="AG64" s="1733">
        <f t="shared" si="118"/>
        <v>50000</v>
      </c>
      <c r="AH64" s="32"/>
      <c r="AI64" s="32"/>
      <c r="AJ64" s="32">
        <v>50000</v>
      </c>
      <c r="AL64" s="1733">
        <f t="shared" si="119"/>
        <v>35000</v>
      </c>
      <c r="AM64" s="32"/>
      <c r="AN64" s="32"/>
      <c r="AO64" s="32">
        <v>35000</v>
      </c>
    </row>
    <row r="65" spans="1:41 16384:16384">
      <c r="A65" s="1731">
        <v>6</v>
      </c>
      <c r="M65" s="1733">
        <f t="shared" si="114"/>
        <v>0</v>
      </c>
      <c r="N65" s="1733"/>
      <c r="O65" s="1733"/>
      <c r="P65" s="1733"/>
      <c r="Q65" s="1733"/>
      <c r="R65" s="1733">
        <f t="shared" si="115"/>
        <v>0</v>
      </c>
      <c r="U65" s="1733"/>
      <c r="V65" s="1733"/>
      <c r="W65" s="1733">
        <f t="shared" si="116"/>
        <v>0</v>
      </c>
      <c r="X65" s="32"/>
      <c r="Y65" s="32"/>
      <c r="Z65" s="32"/>
      <c r="AA65" s="32"/>
      <c r="AB65" s="1733">
        <f t="shared" si="117"/>
        <v>0</v>
      </c>
      <c r="AC65" s="32"/>
      <c r="AD65" s="32"/>
      <c r="AE65" s="32"/>
      <c r="AG65" s="1733">
        <f t="shared" si="118"/>
        <v>0</v>
      </c>
      <c r="AH65" s="32"/>
      <c r="AI65" s="32"/>
      <c r="AJ65" s="32"/>
      <c r="AL65" s="1733">
        <f t="shared" si="119"/>
        <v>0</v>
      </c>
      <c r="AM65" s="32"/>
      <c r="AN65" s="32"/>
      <c r="AO65" s="32"/>
    </row>
    <row r="66" spans="1:41 16384:16384">
      <c r="H66" s="32">
        <f>+H17-C17</f>
        <v>1164142.2109508011</v>
      </c>
    </row>
    <row r="67" spans="1:41 16384:16384">
      <c r="A67" s="1731" t="s">
        <v>312</v>
      </c>
      <c r="B67" s="30" t="s">
        <v>942</v>
      </c>
      <c r="H67" s="6067" t="s">
        <v>1430</v>
      </c>
      <c r="I67" s="6067"/>
      <c r="J67" s="6067"/>
      <c r="K67" s="6067"/>
      <c r="L67" s="6067"/>
      <c r="M67" s="6067" t="s">
        <v>1431</v>
      </c>
      <c r="N67" s="6067"/>
      <c r="O67" s="6067"/>
      <c r="P67" s="6067"/>
      <c r="Q67" s="6067"/>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20">SUM(K71:L71)</f>
        <v>0</v>
      </c>
      <c r="I71" s="1804"/>
      <c r="J71" s="1804"/>
      <c r="K71" s="1804"/>
      <c r="L71" s="1804"/>
      <c r="M71" s="1805">
        <f t="shared" ref="M71:M74" si="121">SUM(P71:Q71)</f>
        <v>0</v>
      </c>
      <c r="P71" s="32">
        <f t="shared" ref="P71:P72" si="122">+K71/6*12</f>
        <v>0</v>
      </c>
      <c r="Q71" s="32">
        <f t="shared" ref="Q71:Q72" si="123">+L71/6*12</f>
        <v>0</v>
      </c>
    </row>
    <row r="72" spans="1:41 16384:16384" hidden="1">
      <c r="B72" s="30" t="s">
        <v>947</v>
      </c>
      <c r="H72" s="1804">
        <f t="shared" si="120"/>
        <v>0</v>
      </c>
      <c r="I72" s="1804"/>
      <c r="J72" s="1804"/>
      <c r="K72" s="1804"/>
      <c r="L72" s="1804"/>
      <c r="M72" s="1805">
        <f t="shared" si="121"/>
        <v>0</v>
      </c>
      <c r="P72" s="32">
        <f t="shared" si="122"/>
        <v>0</v>
      </c>
      <c r="Q72" s="32">
        <f t="shared" si="123"/>
        <v>0</v>
      </c>
    </row>
    <row r="73" spans="1:41 16384:16384" s="31" customFormat="1">
      <c r="A73" s="1799">
        <v>3</v>
      </c>
      <c r="B73" s="31" t="s">
        <v>949</v>
      </c>
      <c r="H73" s="1800">
        <f t="shared" si="120"/>
        <v>7717</v>
      </c>
      <c r="I73" s="1800"/>
      <c r="J73" s="1800"/>
      <c r="K73" s="1800">
        <v>3363</v>
      </c>
      <c r="L73" s="1800">
        <v>4354</v>
      </c>
      <c r="M73" s="1801">
        <f t="shared" si="121"/>
        <v>14813</v>
      </c>
      <c r="P73" s="32">
        <v>6105</v>
      </c>
      <c r="Q73" s="32">
        <v>8708</v>
      </c>
    </row>
    <row r="74" spans="1:41 16384:16384" s="31" customFormat="1">
      <c r="A74" s="1799">
        <v>4</v>
      </c>
      <c r="B74" s="31" t="s">
        <v>950</v>
      </c>
      <c r="H74" s="1800">
        <f t="shared" si="120"/>
        <v>18299</v>
      </c>
      <c r="I74" s="1800"/>
      <c r="J74" s="1800"/>
      <c r="K74" s="1800">
        <v>9233</v>
      </c>
      <c r="L74" s="1800">
        <v>9066</v>
      </c>
      <c r="M74" s="1801">
        <f t="shared" si="121"/>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24">+K77/6*12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25">SUM(K79:L79)</f>
        <v>93298</v>
      </c>
      <c r="I79" s="1800"/>
      <c r="J79" s="1800"/>
      <c r="K79" s="1800">
        <v>93298</v>
      </c>
      <c r="L79" s="1800"/>
      <c r="M79" s="1801">
        <f t="shared" ref="M79:M82" si="126">SUM(P79:Q79)</f>
        <v>186122</v>
      </c>
      <c r="P79" s="1802">
        <v>186122</v>
      </c>
      <c r="Q79" s="1802"/>
    </row>
    <row r="80" spans="1:41 16384:16384" s="31" customFormat="1">
      <c r="A80" s="1799">
        <v>8</v>
      </c>
      <c r="B80" s="31" t="s">
        <v>954</v>
      </c>
      <c r="H80" s="1800">
        <f t="shared" si="125"/>
        <v>0</v>
      </c>
      <c r="I80" s="1800"/>
      <c r="J80" s="1800"/>
      <c r="K80" s="1800"/>
      <c r="L80" s="1800"/>
      <c r="M80" s="1801">
        <f t="shared" si="126"/>
        <v>0</v>
      </c>
      <c r="P80" s="1802"/>
      <c r="Q80" s="1802"/>
    </row>
    <row r="81" spans="1:18" s="31" customFormat="1">
      <c r="A81" s="1799">
        <v>9</v>
      </c>
      <c r="B81" s="31" t="s">
        <v>955</v>
      </c>
      <c r="H81" s="1800">
        <f t="shared" si="125"/>
        <v>1423</v>
      </c>
      <c r="I81" s="1800"/>
      <c r="J81" s="1800"/>
      <c r="K81" s="1800">
        <v>1423</v>
      </c>
      <c r="L81" s="1800"/>
      <c r="M81" s="1801">
        <f t="shared" si="126"/>
        <v>2846</v>
      </c>
      <c r="P81" s="1802">
        <v>2846</v>
      </c>
      <c r="Q81" s="1802">
        <f t="shared" ref="Q81:Q82" si="127">+L81/6*12</f>
        <v>0</v>
      </c>
    </row>
    <row r="82" spans="1:18" s="31" customFormat="1">
      <c r="A82" s="1799">
        <v>10</v>
      </c>
      <c r="B82" s="31" t="s">
        <v>956</v>
      </c>
      <c r="H82" s="1800">
        <f t="shared" si="125"/>
        <v>0</v>
      </c>
      <c r="I82" s="1800"/>
      <c r="J82" s="1800"/>
      <c r="K82" s="1800"/>
      <c r="L82" s="1800"/>
      <c r="M82" s="1801">
        <f t="shared" si="126"/>
        <v>0</v>
      </c>
      <c r="P82" s="1802"/>
      <c r="Q82" s="1802">
        <f t="shared" si="127"/>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48">
    <mergeCell ref="H67:L67"/>
    <mergeCell ref="AL6:AP6"/>
    <mergeCell ref="AL7:AL8"/>
    <mergeCell ref="AM7:AM8"/>
    <mergeCell ref="AN7:AN8"/>
    <mergeCell ref="AO7:AP7"/>
    <mergeCell ref="AB6:AF6"/>
    <mergeCell ref="AB7:AB8"/>
    <mergeCell ref="AC7:AC8"/>
    <mergeCell ref="AD7:AD8"/>
    <mergeCell ref="AE7:AF7"/>
    <mergeCell ref="AG6:AK6"/>
    <mergeCell ref="AG7:AG8"/>
    <mergeCell ref="AH7:AH8"/>
    <mergeCell ref="AI7:AI8"/>
    <mergeCell ref="AJ7:AK7"/>
    <mergeCell ref="R6:V6"/>
    <mergeCell ref="R7:R8"/>
    <mergeCell ref="S7:S8"/>
    <mergeCell ref="T7:T8"/>
    <mergeCell ref="U7:V7"/>
    <mergeCell ref="W6:AA6"/>
    <mergeCell ref="W7:W8"/>
    <mergeCell ref="X7:X8"/>
    <mergeCell ref="Y7:Y8"/>
    <mergeCell ref="Z7:AA7"/>
    <mergeCell ref="P7:Q7"/>
    <mergeCell ref="H6:L6"/>
    <mergeCell ref="H7:H8"/>
    <mergeCell ref="I7:I8"/>
    <mergeCell ref="J7:J8"/>
    <mergeCell ref="K7:L7"/>
    <mergeCell ref="M67:Q67"/>
    <mergeCell ref="A1:Q1"/>
    <mergeCell ref="A2:Q2"/>
    <mergeCell ref="O5:Q5"/>
    <mergeCell ref="A3:Q3"/>
    <mergeCell ref="B6:B8"/>
    <mergeCell ref="A6:A8"/>
    <mergeCell ref="C6:G6"/>
    <mergeCell ref="C7:C8"/>
    <mergeCell ref="D7:D8"/>
    <mergeCell ref="E7:E8"/>
    <mergeCell ref="F7:G7"/>
    <mergeCell ref="M6:Q6"/>
    <mergeCell ref="M7:M8"/>
    <mergeCell ref="N7:N8"/>
    <mergeCell ref="O7:O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DW238"/>
  <sheetViews>
    <sheetView workbookViewId="0">
      <selection activeCell="A3" sqref="A3:A5"/>
    </sheetView>
  </sheetViews>
  <sheetFormatPr defaultColWidth="10.33203125" defaultRowHeight="15.6"/>
  <cols>
    <col min="1" max="1" width="7.109375" style="3071" customWidth="1"/>
    <col min="2" max="2" width="50" style="2428" customWidth="1"/>
    <col min="3" max="3" width="10.44140625" style="817" hidden="1" customWidth="1"/>
    <col min="4" max="17" width="9.88671875" style="817" hidden="1" customWidth="1"/>
    <col min="18" max="18" width="8.6640625" style="817" hidden="1" customWidth="1"/>
    <col min="19" max="20" width="8.33203125" style="817" customWidth="1"/>
    <col min="21" max="30" width="14.44140625" style="2428" customWidth="1"/>
    <col min="31" max="35" width="14.44140625" style="6" customWidth="1"/>
    <col min="36" max="36" width="15.44140625" style="6" customWidth="1"/>
    <col min="37" max="37" width="15.33203125" style="6" customWidth="1"/>
    <col min="38" max="38" width="10.6640625" style="6" customWidth="1"/>
    <col min="39" max="39" width="6.5546875" style="6" customWidth="1"/>
    <col min="40" max="40" width="8.44140625" style="6" customWidth="1"/>
    <col min="41" max="44" width="12.44140625" style="2428" customWidth="1"/>
    <col min="45" max="47" width="12.44140625" style="2428" hidden="1" customWidth="1"/>
    <col min="48" max="51" width="13.44140625" style="817" hidden="1" customWidth="1"/>
    <col min="52" max="52" width="12.109375" style="2428" customWidth="1"/>
    <col min="53" max="60" width="12.109375" style="2428" hidden="1" customWidth="1"/>
    <col min="61" max="63" width="8.88671875" style="2428" hidden="1" customWidth="1"/>
    <col min="64" max="64" width="11.109375" style="2428" hidden="1" customWidth="1"/>
    <col min="65" max="65" width="11.6640625" style="2428" hidden="1" customWidth="1"/>
    <col min="66" max="68" width="0" style="2428" hidden="1" customWidth="1"/>
    <col min="69" max="69" width="15.109375" style="2428" hidden="1" customWidth="1"/>
    <col min="70" max="70" width="11.5546875" style="2428" hidden="1" customWidth="1"/>
    <col min="71" max="74" width="0" style="2428" hidden="1" customWidth="1"/>
    <col min="75" max="16384" width="10.33203125" style="2428"/>
  </cols>
  <sheetData>
    <row r="1" spans="1:127" s="3053" customFormat="1" ht="15" customHeight="1">
      <c r="A1" s="6371" t="s">
        <v>1928</v>
      </c>
      <c r="B1" s="6371"/>
      <c r="C1" s="6371"/>
      <c r="D1" s="6371"/>
      <c r="E1" s="6371"/>
      <c r="F1" s="6371"/>
      <c r="G1" s="6371"/>
      <c r="H1" s="6371"/>
      <c r="I1" s="6371"/>
      <c r="J1" s="6371"/>
      <c r="K1" s="6371"/>
      <c r="L1" s="6371"/>
      <c r="M1" s="6371"/>
      <c r="N1" s="6371"/>
      <c r="O1" s="6371"/>
      <c r="P1" s="6371"/>
      <c r="Q1" s="6371"/>
      <c r="R1" s="6371"/>
      <c r="S1" s="6371"/>
      <c r="T1" s="6371"/>
      <c r="U1" s="6371"/>
      <c r="V1" s="6371"/>
      <c r="W1" s="6371"/>
      <c r="X1" s="6371"/>
      <c r="Y1" s="6371"/>
      <c r="Z1" s="6371"/>
      <c r="AA1" s="6371"/>
      <c r="AB1" s="6371"/>
      <c r="AC1" s="6371"/>
      <c r="AD1" s="6371"/>
      <c r="AE1" s="6371"/>
      <c r="AF1" s="6371"/>
      <c r="AG1" s="6371"/>
      <c r="AH1" s="6371"/>
      <c r="AI1" s="6371"/>
      <c r="AJ1" s="6371"/>
      <c r="AK1" s="6371"/>
      <c r="AL1" s="3156"/>
      <c r="AM1" s="3156"/>
      <c r="AN1" s="3156"/>
      <c r="AO1" s="3156"/>
      <c r="AP1" s="3156"/>
      <c r="AQ1" s="3156"/>
      <c r="AR1" s="3156"/>
      <c r="AS1" s="3156"/>
      <c r="AT1" s="3156"/>
      <c r="AU1" s="3156"/>
      <c r="AV1" s="3156"/>
      <c r="AW1" s="3156"/>
      <c r="AX1" s="3156"/>
      <c r="AY1" s="3156"/>
      <c r="AZ1" s="3156"/>
      <c r="BA1" s="3156"/>
      <c r="BB1" s="3156"/>
      <c r="BC1" s="3156"/>
      <c r="BD1" s="3156"/>
      <c r="BE1" s="3156"/>
      <c r="BF1" s="3156"/>
      <c r="BG1" s="3156"/>
      <c r="BH1" s="3156"/>
      <c r="BI1" s="3288"/>
      <c r="BJ1" s="3288"/>
      <c r="BK1" s="3288"/>
      <c r="BS1" s="3288"/>
      <c r="CA1" s="3288"/>
      <c r="CI1" s="3288"/>
      <c r="CQ1" s="3288"/>
      <c r="CY1" s="3288"/>
      <c r="DG1" s="3288"/>
      <c r="DO1" s="3288"/>
      <c r="DW1" s="3288"/>
    </row>
    <row r="2" spans="1:127" ht="16.2" thickBot="1">
      <c r="B2" s="3071"/>
      <c r="C2" s="3289"/>
      <c r="D2" s="3289"/>
      <c r="E2" s="3289"/>
      <c r="F2" s="3289"/>
      <c r="G2" s="3289"/>
      <c r="H2" s="3289"/>
      <c r="I2" s="3289"/>
      <c r="J2" s="3289"/>
      <c r="K2" s="3289"/>
      <c r="L2" s="3289"/>
      <c r="M2" s="3289"/>
      <c r="N2" s="3289"/>
      <c r="O2" s="3289"/>
      <c r="P2" s="3289"/>
      <c r="Q2" s="3289"/>
      <c r="R2" s="3289"/>
      <c r="S2" s="3289"/>
      <c r="T2" s="3289"/>
      <c r="U2" s="3071"/>
      <c r="V2" s="3071"/>
      <c r="W2" s="3071"/>
      <c r="X2" s="3071"/>
      <c r="Y2" s="3071"/>
      <c r="Z2" s="3071"/>
      <c r="AA2" s="3071"/>
      <c r="AB2" s="3071"/>
      <c r="AC2" s="3290"/>
      <c r="AD2" s="3290"/>
      <c r="AE2" s="3070"/>
      <c r="AF2" s="3070"/>
      <c r="AG2" s="3070"/>
      <c r="AH2" s="3070"/>
      <c r="AI2" s="3070"/>
      <c r="AJ2" s="3070"/>
      <c r="AK2" s="3070"/>
      <c r="AL2" s="3070"/>
      <c r="AM2" s="3070"/>
      <c r="AN2" s="3070"/>
      <c r="AP2" s="3072"/>
      <c r="AQ2" s="3072"/>
      <c r="AR2" s="3072"/>
      <c r="AU2" s="3072"/>
    </row>
    <row r="3" spans="1:127" s="3074" customFormat="1" ht="15.75" customHeight="1">
      <c r="A3" s="6306" t="s">
        <v>0</v>
      </c>
      <c r="B3" s="6420" t="s">
        <v>1861</v>
      </c>
      <c r="C3" s="6413" t="s">
        <v>1929</v>
      </c>
      <c r="D3" s="6413" t="s">
        <v>1930</v>
      </c>
      <c r="E3" s="6413" t="s">
        <v>1931</v>
      </c>
      <c r="F3" s="6413" t="s">
        <v>1932</v>
      </c>
      <c r="G3" s="6413" t="s">
        <v>1933</v>
      </c>
      <c r="H3" s="6413" t="s">
        <v>1934</v>
      </c>
      <c r="I3" s="6408" t="s">
        <v>1935</v>
      </c>
      <c r="J3" s="6413" t="s">
        <v>1936</v>
      </c>
      <c r="K3" s="6413" t="s">
        <v>1937</v>
      </c>
      <c r="L3" s="6413" t="s">
        <v>1938</v>
      </c>
      <c r="M3" s="6413" t="s">
        <v>1939</v>
      </c>
      <c r="N3" s="6413" t="s">
        <v>1940</v>
      </c>
      <c r="O3" s="6413" t="s">
        <v>1941</v>
      </c>
      <c r="P3" s="6408" t="s">
        <v>1942</v>
      </c>
      <c r="Q3" s="6413" t="s">
        <v>1943</v>
      </c>
      <c r="R3" s="6413" t="s">
        <v>69</v>
      </c>
      <c r="S3" s="6413" t="s">
        <v>1944</v>
      </c>
      <c r="T3" s="6413" t="s">
        <v>1945</v>
      </c>
      <c r="U3" s="6420" t="s">
        <v>57</v>
      </c>
      <c r="V3" s="6420"/>
      <c r="W3" s="6420" t="s">
        <v>58</v>
      </c>
      <c r="X3" s="6420"/>
      <c r="Y3" s="6420" t="s">
        <v>484</v>
      </c>
      <c r="Z3" s="6420"/>
      <c r="AA3" s="6408" t="s">
        <v>1946</v>
      </c>
      <c r="AB3" s="6413" t="s">
        <v>1947</v>
      </c>
      <c r="AC3" s="6413" t="s">
        <v>69</v>
      </c>
      <c r="AD3" s="6413" t="s">
        <v>1948</v>
      </c>
      <c r="AE3" s="6421" t="s">
        <v>1949</v>
      </c>
      <c r="AF3" s="6422"/>
      <c r="AG3" s="6425" t="s">
        <v>1950</v>
      </c>
      <c r="AH3" s="6425"/>
      <c r="AI3" s="6426" t="s">
        <v>1951</v>
      </c>
      <c r="AJ3" s="6426" t="s">
        <v>69</v>
      </c>
      <c r="AK3" s="6426" t="s">
        <v>1952</v>
      </c>
      <c r="AL3" s="6413" t="s">
        <v>1953</v>
      </c>
      <c r="AM3" s="6413" t="s">
        <v>69</v>
      </c>
      <c r="AN3" s="6413"/>
      <c r="AO3" s="6416" t="s">
        <v>1954</v>
      </c>
      <c r="AP3" s="6417"/>
      <c r="AQ3" s="6411" t="s">
        <v>1955</v>
      </c>
      <c r="AR3" s="6411" t="s">
        <v>1785</v>
      </c>
      <c r="AS3" s="6413" t="s">
        <v>1956</v>
      </c>
      <c r="AT3" s="6413" t="s">
        <v>69</v>
      </c>
      <c r="AU3" s="6413" t="s">
        <v>1957</v>
      </c>
      <c r="AV3" s="6408" t="s">
        <v>1958</v>
      </c>
      <c r="AW3" s="6408" t="s">
        <v>1959</v>
      </c>
      <c r="AX3" s="6408" t="s">
        <v>69</v>
      </c>
      <c r="AY3" s="6408" t="s">
        <v>1960</v>
      </c>
      <c r="AZ3" s="6411" t="s">
        <v>1961</v>
      </c>
      <c r="BA3" s="6408" t="s">
        <v>1962</v>
      </c>
      <c r="BB3" s="6408" t="s">
        <v>1963</v>
      </c>
      <c r="BC3" s="6408" t="s">
        <v>1964</v>
      </c>
      <c r="BD3" s="6408" t="s">
        <v>1965</v>
      </c>
      <c r="BE3" s="6408" t="s">
        <v>1966</v>
      </c>
      <c r="BF3" s="6408" t="s">
        <v>70</v>
      </c>
      <c r="BG3" s="6408" t="s">
        <v>69</v>
      </c>
      <c r="BH3" s="6409" t="s">
        <v>1967</v>
      </c>
      <c r="BI3" s="3288"/>
      <c r="BJ3" s="3288"/>
      <c r="BK3" s="3288"/>
    </row>
    <row r="4" spans="1:127" s="3074" customFormat="1" ht="15.6" customHeight="1">
      <c r="A4" s="6206"/>
      <c r="B4" s="6429"/>
      <c r="C4" s="6414"/>
      <c r="D4" s="6414"/>
      <c r="E4" s="6414"/>
      <c r="F4" s="6414"/>
      <c r="G4" s="6414"/>
      <c r="H4" s="6414"/>
      <c r="I4" s="6372"/>
      <c r="J4" s="6414"/>
      <c r="K4" s="6414"/>
      <c r="L4" s="6414"/>
      <c r="M4" s="6414"/>
      <c r="N4" s="6414"/>
      <c r="O4" s="6414"/>
      <c r="P4" s="6372"/>
      <c r="Q4" s="6414"/>
      <c r="R4" s="6414"/>
      <c r="S4" s="6414"/>
      <c r="T4" s="6414"/>
      <c r="U4" s="6370"/>
      <c r="V4" s="6370"/>
      <c r="W4" s="6370"/>
      <c r="X4" s="6370"/>
      <c r="Y4" s="6370"/>
      <c r="Z4" s="6370"/>
      <c r="AA4" s="6372"/>
      <c r="AB4" s="6414"/>
      <c r="AC4" s="6414"/>
      <c r="AD4" s="6414"/>
      <c r="AE4" s="6423"/>
      <c r="AF4" s="6424"/>
      <c r="AG4" s="6061"/>
      <c r="AH4" s="6061"/>
      <c r="AI4" s="6427"/>
      <c r="AJ4" s="6427"/>
      <c r="AK4" s="6427"/>
      <c r="AL4" s="6414"/>
      <c r="AM4" s="6414"/>
      <c r="AN4" s="6414"/>
      <c r="AO4" s="6418"/>
      <c r="AP4" s="6419"/>
      <c r="AQ4" s="6412"/>
      <c r="AR4" s="6412"/>
      <c r="AS4" s="6414"/>
      <c r="AT4" s="6414"/>
      <c r="AU4" s="6414"/>
      <c r="AV4" s="6372"/>
      <c r="AW4" s="6372"/>
      <c r="AX4" s="6372"/>
      <c r="AY4" s="6372"/>
      <c r="AZ4" s="6412"/>
      <c r="BA4" s="6372"/>
      <c r="BB4" s="6372"/>
      <c r="BC4" s="6372"/>
      <c r="BD4" s="6372"/>
      <c r="BE4" s="6372"/>
      <c r="BF4" s="6372"/>
      <c r="BG4" s="6372"/>
      <c r="BH4" s="6410"/>
      <c r="BI4" s="3288"/>
      <c r="BJ4" s="3288"/>
      <c r="BK4" s="3288"/>
    </row>
    <row r="5" spans="1:127" s="3074" customFormat="1" ht="97.95" customHeight="1">
      <c r="A5" s="6206"/>
      <c r="B5" s="6429"/>
      <c r="C5" s="6415"/>
      <c r="D5" s="6415"/>
      <c r="E5" s="6415"/>
      <c r="F5" s="6415"/>
      <c r="G5" s="6415"/>
      <c r="H5" s="6415"/>
      <c r="I5" s="6372"/>
      <c r="J5" s="6415"/>
      <c r="K5" s="6415"/>
      <c r="L5" s="6415"/>
      <c r="M5" s="6415"/>
      <c r="N5" s="6415"/>
      <c r="O5" s="6415"/>
      <c r="P5" s="6372"/>
      <c r="Q5" s="6415"/>
      <c r="R5" s="6415"/>
      <c r="S5" s="6415"/>
      <c r="T5" s="6415"/>
      <c r="U5" s="3038" t="s">
        <v>59</v>
      </c>
      <c r="V5" s="3038" t="s">
        <v>60</v>
      </c>
      <c r="W5" s="3038" t="s">
        <v>59</v>
      </c>
      <c r="X5" s="3038" t="s">
        <v>61</v>
      </c>
      <c r="Y5" s="3038" t="s">
        <v>59</v>
      </c>
      <c r="Z5" s="3038" t="s">
        <v>61</v>
      </c>
      <c r="AA5" s="6372"/>
      <c r="AB5" s="6415"/>
      <c r="AC5" s="6415"/>
      <c r="AD5" s="6415"/>
      <c r="AE5" s="1538" t="s">
        <v>59</v>
      </c>
      <c r="AF5" s="1538" t="s">
        <v>61</v>
      </c>
      <c r="AG5" s="1538" t="s">
        <v>59</v>
      </c>
      <c r="AH5" s="1538" t="s">
        <v>61</v>
      </c>
      <c r="AI5" s="6428"/>
      <c r="AJ5" s="6428"/>
      <c r="AK5" s="6428"/>
      <c r="AL5" s="6415"/>
      <c r="AM5" s="6415"/>
      <c r="AN5" s="6415"/>
      <c r="AO5" s="3291" t="s">
        <v>118</v>
      </c>
      <c r="AP5" s="3291" t="s">
        <v>1968</v>
      </c>
      <c r="AQ5" s="6412"/>
      <c r="AR5" s="6412"/>
      <c r="AS5" s="6415"/>
      <c r="AT5" s="6415"/>
      <c r="AU5" s="6415"/>
      <c r="AV5" s="6372"/>
      <c r="AW5" s="6372"/>
      <c r="AX5" s="6372"/>
      <c r="AY5" s="6372"/>
      <c r="AZ5" s="6412"/>
      <c r="BA5" s="6372"/>
      <c r="BB5" s="6372"/>
      <c r="BC5" s="6372"/>
      <c r="BD5" s="6372"/>
      <c r="BE5" s="6372"/>
      <c r="BF5" s="6372"/>
      <c r="BG5" s="6372"/>
      <c r="BH5" s="6410"/>
      <c r="BI5" s="3288"/>
      <c r="BJ5" s="3288"/>
      <c r="BK5" s="3288"/>
    </row>
    <row r="6" spans="1:127" s="3302" customFormat="1">
      <c r="A6" s="3292">
        <v>1</v>
      </c>
      <c r="B6" s="3293">
        <v>2</v>
      </c>
      <c r="C6" s="3294"/>
      <c r="D6" s="3294"/>
      <c r="E6" s="3294"/>
      <c r="F6" s="3294"/>
      <c r="G6" s="3294"/>
      <c r="H6" s="3294"/>
      <c r="I6" s="3294"/>
      <c r="J6" s="3294"/>
      <c r="K6" s="3294"/>
      <c r="L6" s="3294"/>
      <c r="M6" s="3294"/>
      <c r="N6" s="3294"/>
      <c r="O6" s="3294"/>
      <c r="P6" s="3294"/>
      <c r="Q6" s="3294"/>
      <c r="R6" s="3294"/>
      <c r="S6" s="3294"/>
      <c r="T6" s="3294"/>
      <c r="U6" s="3293"/>
      <c r="V6" s="3293"/>
      <c r="W6" s="3293"/>
      <c r="X6" s="3293"/>
      <c r="Y6" s="3293"/>
      <c r="Z6" s="3293"/>
      <c r="AA6" s="3294"/>
      <c r="AB6" s="3294"/>
      <c r="AC6" s="3294"/>
      <c r="AD6" s="3294"/>
      <c r="AE6" s="3293"/>
      <c r="AF6" s="3293"/>
      <c r="AG6" s="3293"/>
      <c r="AH6" s="3293"/>
      <c r="AI6" s="3293"/>
      <c r="AJ6" s="3293"/>
      <c r="AK6" s="3293"/>
      <c r="AL6" s="3293"/>
      <c r="AM6" s="3293"/>
      <c r="AN6" s="3293"/>
      <c r="AO6" s="3295"/>
      <c r="AP6" s="3295"/>
      <c r="AQ6" s="3296"/>
      <c r="AR6" s="3295"/>
      <c r="AS6" s="3294"/>
      <c r="AT6" s="3294"/>
      <c r="AU6" s="3294"/>
      <c r="AV6" s="3294"/>
      <c r="AW6" s="3297"/>
      <c r="AX6" s="3294"/>
      <c r="AY6" s="3294"/>
      <c r="AZ6" s="3298"/>
      <c r="BA6" s="3299"/>
      <c r="BB6" s="3299"/>
      <c r="BC6" s="3299"/>
      <c r="BD6" s="3299"/>
      <c r="BE6" s="3299"/>
      <c r="BF6" s="3299"/>
      <c r="BG6" s="3299"/>
      <c r="BH6" s="3300"/>
      <c r="BI6" s="3301"/>
      <c r="BJ6" s="3301"/>
      <c r="BK6" s="3301"/>
    </row>
    <row r="7" spans="1:127" s="3317" customFormat="1" ht="30" customHeight="1">
      <c r="A7" s="3303" t="s">
        <v>1</v>
      </c>
      <c r="B7" s="3304" t="s">
        <v>2</v>
      </c>
      <c r="C7" s="3305">
        <f t="shared" ref="C7:O7" si="0">SUM(C8,C28)</f>
        <v>1267830.2123589995</v>
      </c>
      <c r="D7" s="3305">
        <f t="shared" si="0"/>
        <v>1553480</v>
      </c>
      <c r="E7" s="3305">
        <f t="shared" si="0"/>
        <v>2543746.399896</v>
      </c>
      <c r="F7" s="3305">
        <f t="shared" si="0"/>
        <v>2504230</v>
      </c>
      <c r="G7" s="3305">
        <f t="shared" si="0"/>
        <v>2936820</v>
      </c>
      <c r="H7" s="3305">
        <f t="shared" si="0"/>
        <v>3970508.1362620005</v>
      </c>
      <c r="I7" s="3305">
        <f>SUM(D7:H7)</f>
        <v>13508784.536157999</v>
      </c>
      <c r="J7" s="3305"/>
      <c r="K7" s="3305">
        <f t="shared" si="0"/>
        <v>4156306.1199669996</v>
      </c>
      <c r="L7" s="3305">
        <f t="shared" si="0"/>
        <v>4518654.2436259994</v>
      </c>
      <c r="M7" s="3305">
        <f t="shared" si="0"/>
        <v>4583182.5757370004</v>
      </c>
      <c r="N7" s="3305">
        <f t="shared" si="0"/>
        <v>4112417.5781439999</v>
      </c>
      <c r="O7" s="3305">
        <f t="shared" si="0"/>
        <v>5174957</v>
      </c>
      <c r="P7" s="3305">
        <f>SUM(K7:O7)</f>
        <v>22545517.517473999</v>
      </c>
      <c r="Q7" s="3306"/>
      <c r="R7" s="3306">
        <f t="shared" ref="R7:R28" si="1">P7/$P$7</f>
        <v>1</v>
      </c>
      <c r="S7" s="3305">
        <f t="shared" ref="S7:V7" si="2">SUM(S8,S28)</f>
        <v>6334779</v>
      </c>
      <c r="T7" s="3305">
        <f t="shared" si="2"/>
        <v>6851996</v>
      </c>
      <c r="U7" s="3085">
        <f t="shared" si="2"/>
        <v>6691300</v>
      </c>
      <c r="V7" s="3085">
        <f t="shared" si="2"/>
        <v>6983868</v>
      </c>
      <c r="W7" s="3085">
        <f>W8+W28</f>
        <v>7085000</v>
      </c>
      <c r="X7" s="3085">
        <f>X8+X28</f>
        <v>8771013</v>
      </c>
      <c r="Y7" s="3085">
        <f>Y8+Y28</f>
        <v>8495000</v>
      </c>
      <c r="Z7" s="3085">
        <f>Z8+Z28</f>
        <v>8430824.4000000022</v>
      </c>
      <c r="AA7" s="3305">
        <f t="shared" ref="AA7:AA28" si="3">+Z7+X7+V7+T7+S7</f>
        <v>37372480.400000006</v>
      </c>
      <c r="AB7" s="3306">
        <f t="shared" ref="AB7:AB28" si="4">(((S7/O7)*(T7/S7)*(V7/T7)*(X7/V7)*(Z7/X7))^(1/5))-1</f>
        <v>0.1025356971451945</v>
      </c>
      <c r="AC7" s="3306">
        <f>AA7/$AA$7</f>
        <v>1</v>
      </c>
      <c r="AD7" s="3306">
        <f t="shared" ref="AD7:AD23" si="5">AA7/P7-1</f>
        <v>0.65764571032952812</v>
      </c>
      <c r="AE7" s="3085">
        <f t="shared" ref="AE7:AS7" si="6">AE8+AE28</f>
        <v>8140900</v>
      </c>
      <c r="AF7" s="3085">
        <f t="shared" si="6"/>
        <v>7213306</v>
      </c>
      <c r="AG7" s="3307">
        <f t="shared" si="6"/>
        <v>6818777</v>
      </c>
      <c r="AH7" s="3308">
        <f t="shared" si="6"/>
        <v>7877094.2005829997</v>
      </c>
      <c r="AI7" s="3085">
        <f t="shared" si="6"/>
        <v>39276105.600583002</v>
      </c>
      <c r="AJ7" s="3309">
        <f>AI7/$AI$7</f>
        <v>1</v>
      </c>
      <c r="AK7" s="3310">
        <f>((V7/T7)*(X7/V7)*(Z7/X7)*(AF7/Z7)*(AH7/AF7)^(1/5))-1</f>
        <v>7.1429480600242901E-2</v>
      </c>
      <c r="AL7" s="3305">
        <f>AH7+AF7+Z7</f>
        <v>23521224.600583002</v>
      </c>
      <c r="AM7" s="3311">
        <f>AL7/$AL$7</f>
        <v>1</v>
      </c>
      <c r="AN7" s="3312">
        <f>((Z7/X7)*(AF7/Z7)*(AH7/AF7)^(1/3))-1</f>
        <v>-0.15310709263725053</v>
      </c>
      <c r="AO7" s="3308">
        <f t="shared" si="6"/>
        <v>7590000</v>
      </c>
      <c r="AP7" s="3308">
        <f t="shared" si="6"/>
        <v>8340698.4079149999</v>
      </c>
      <c r="AQ7" s="3308">
        <f t="shared" si="6"/>
        <v>9266000</v>
      </c>
      <c r="AR7" s="3308">
        <f t="shared" si="6"/>
        <v>10162499.699999999</v>
      </c>
      <c r="AS7" s="3305">
        <f t="shared" si="6"/>
        <v>27769198.107914999</v>
      </c>
      <c r="AT7" s="3313">
        <f>AS7/$AS$7</f>
        <v>1</v>
      </c>
      <c r="AU7" s="3311">
        <f>((AP7/AH7)*(AQ7/AP7)*(AR7/AQ7))^(1/3)-1</f>
        <v>8.8624662406572297E-2</v>
      </c>
      <c r="AV7" s="3305">
        <f t="shared" ref="AV7:AV49" si="7">AF7+AH7+AP7+AQ7+AR7</f>
        <v>42859598.308497995</v>
      </c>
      <c r="AW7" s="3314">
        <f t="shared" ref="AW7:AW28" si="8">(((AF7/Z7)*(AH7/AF7)*(AP7/AH7)*(AQ7/AP7)*(AR7/AQ7))^(1/5))-1</f>
        <v>3.8068709737855144E-2</v>
      </c>
      <c r="AX7" s="3306">
        <f>AV7/$AV$7</f>
        <v>1</v>
      </c>
      <c r="AY7" s="3306">
        <f t="shared" ref="AY7:AY28" si="9">AV7/AA7-1</f>
        <v>0.14682241718422273</v>
      </c>
      <c r="AZ7" s="3308">
        <f t="shared" ref="AZ7:BD7" si="10">AZ8+AZ28</f>
        <v>11039000</v>
      </c>
      <c r="BA7" s="3305">
        <f t="shared" si="10"/>
        <v>11935999.816611201</v>
      </c>
      <c r="BB7" s="3305">
        <f t="shared" si="10"/>
        <v>12893500.408798838</v>
      </c>
      <c r="BC7" s="3305">
        <f t="shared" si="10"/>
        <v>13961500.026622467</v>
      </c>
      <c r="BD7" s="3305">
        <f t="shared" si="10"/>
        <v>15200000.027793854</v>
      </c>
      <c r="BE7" s="3315">
        <f>AZ7+BA7+BB7+BC7+BD7</f>
        <v>65030000.279826358</v>
      </c>
      <c r="BF7" s="3312">
        <f t="shared" ref="BF7:BF28" si="11">(((AZ7/AR7)*(BA7/AZ7)*(BB7/BA7)*(BC7/BB7)*(BD7/BC7))^(1/5))-1</f>
        <v>8.3848569109363336E-2</v>
      </c>
      <c r="BG7" s="3314">
        <f>BE7/$BE$7</f>
        <v>1</v>
      </c>
      <c r="BH7" s="3316">
        <f>BE7/AV7-1</f>
        <v>0.5172797423752924</v>
      </c>
      <c r="BI7" s="3175"/>
      <c r="BJ7" s="3175"/>
      <c r="BK7" s="3175"/>
      <c r="BL7" s="3317">
        <f>AF7</f>
        <v>7213306</v>
      </c>
      <c r="BM7" s="3317">
        <f>AH7</f>
        <v>7877094.2005829997</v>
      </c>
      <c r="BN7" s="3317">
        <f>BM7/BL7%</f>
        <v>109.20227424960206</v>
      </c>
      <c r="BO7" s="3317">
        <f>BN7-100</f>
        <v>9.2022742496020555</v>
      </c>
    </row>
    <row r="8" spans="1:127" s="3317" customFormat="1" ht="30" customHeight="1">
      <c r="A8" s="3318" t="s">
        <v>3</v>
      </c>
      <c r="B8" s="3319" t="s">
        <v>4</v>
      </c>
      <c r="C8" s="3320">
        <f t="shared" ref="C8:V8" si="12">SUM(C10,C11,C12,C13,C14:C27)</f>
        <v>1114091.7969199996</v>
      </c>
      <c r="D8" s="3320">
        <f t="shared" si="12"/>
        <v>1322540</v>
      </c>
      <c r="E8" s="3320">
        <f t="shared" si="12"/>
        <v>2238026.399896</v>
      </c>
      <c r="F8" s="3320">
        <f t="shared" si="12"/>
        <v>2175030</v>
      </c>
      <c r="G8" s="3320">
        <f t="shared" si="12"/>
        <v>2627990</v>
      </c>
      <c r="H8" s="3320">
        <f t="shared" si="12"/>
        <v>3663943.1287150006</v>
      </c>
      <c r="I8" s="3320">
        <f>SUM(D8:H8)</f>
        <v>12027529.528611001</v>
      </c>
      <c r="J8" s="3320"/>
      <c r="K8" s="3320">
        <f t="shared" si="12"/>
        <v>3798739.5013269996</v>
      </c>
      <c r="L8" s="3320">
        <f t="shared" si="12"/>
        <v>4099702.3977709995</v>
      </c>
      <c r="M8" s="3320">
        <f t="shared" si="12"/>
        <v>4126341.428791</v>
      </c>
      <c r="N8" s="3320">
        <f t="shared" si="12"/>
        <v>3972338.7808679999</v>
      </c>
      <c r="O8" s="3320">
        <f t="shared" si="12"/>
        <v>4931116</v>
      </c>
      <c r="P8" s="3320">
        <f>SUM(K8:O8)</f>
        <v>20928238.108756997</v>
      </c>
      <c r="Q8" s="3321"/>
      <c r="R8" s="3321">
        <f t="shared" si="1"/>
        <v>0.92826603303900546</v>
      </c>
      <c r="S8" s="3320">
        <f t="shared" si="12"/>
        <v>6237814</v>
      </c>
      <c r="T8" s="3320">
        <f t="shared" si="12"/>
        <v>6744580</v>
      </c>
      <c r="U8" s="3149">
        <f t="shared" si="12"/>
        <v>6625300</v>
      </c>
      <c r="V8" s="3149">
        <f t="shared" si="12"/>
        <v>6909606</v>
      </c>
      <c r="W8" s="3149">
        <f>SUM(W10:W27)</f>
        <v>7007000</v>
      </c>
      <c r="X8" s="3149">
        <f>SUM(X10:X27)</f>
        <v>8644723</v>
      </c>
      <c r="Y8" s="3149">
        <f>SUM(Y10:Y27)</f>
        <v>8425000</v>
      </c>
      <c r="Z8" s="3149">
        <f>SUM(Z10:Z27)</f>
        <v>8337065.4000000022</v>
      </c>
      <c r="AA8" s="3320">
        <f t="shared" si="3"/>
        <v>36873788.400000006</v>
      </c>
      <c r="AB8" s="3321">
        <f t="shared" si="4"/>
        <v>0.11074303299162214</v>
      </c>
      <c r="AC8" s="3321">
        <f t="shared" ref="AC8:AC54" si="13">AA8/$AA$7</f>
        <v>0.9866561706725786</v>
      </c>
      <c r="AD8" s="3321">
        <f t="shared" si="5"/>
        <v>0.76191556156707319</v>
      </c>
      <c r="AE8" s="3149">
        <f>SUM(AE10:AE27)</f>
        <v>8035900</v>
      </c>
      <c r="AF8" s="3149">
        <f t="shared" ref="AF8:AR8" si="14">SUM(AF10:AF27)</f>
        <v>7016452</v>
      </c>
      <c r="AG8" s="3322">
        <f t="shared" si="14"/>
        <v>6708777</v>
      </c>
      <c r="AH8" s="3323">
        <f t="shared" si="14"/>
        <v>7487310.8303279998</v>
      </c>
      <c r="AI8" s="3149">
        <f t="shared" si="14"/>
        <v>38395157.230328001</v>
      </c>
      <c r="AJ8" s="3324">
        <f>AI8/$AI$7</f>
        <v>0.9775703737225433</v>
      </c>
      <c r="AK8" s="3325">
        <f t="shared" ref="AK8:AK26" si="15">((V8/T8)*(X8/V8)*(Z8/X8)*(AF8/Z8)*(AH8/AF8)^(1/5))-1</f>
        <v>5.3911901845232313E-2</v>
      </c>
      <c r="AL8" s="3320">
        <f>AH8+AF8+Z8</f>
        <v>22840828.230328001</v>
      </c>
      <c r="AM8" s="3326">
        <f>AL8/$AL$7</f>
        <v>0.97107308901603118</v>
      </c>
      <c r="AN8" s="3327">
        <f>((Z8/X8)*(AF8/Z8)*(AH8/AF8)^(1/3))-1</f>
        <v>-0.1705900429105025</v>
      </c>
      <c r="AO8" s="3323">
        <f t="shared" si="14"/>
        <v>7440000</v>
      </c>
      <c r="AP8" s="3323">
        <f t="shared" ref="AP8" si="16">SUM(AP10:AP27)</f>
        <v>8058810.7366289999</v>
      </c>
      <c r="AQ8" s="3323">
        <f t="shared" si="14"/>
        <v>9066000</v>
      </c>
      <c r="AR8" s="3323">
        <f t="shared" si="14"/>
        <v>9999999.6999999993</v>
      </c>
      <c r="AS8" s="3320">
        <f t="shared" ref="AS8" si="17">SUM(AS10:AS27)</f>
        <v>27124810.436629001</v>
      </c>
      <c r="AT8" s="3328">
        <f>AS8/$AS$7</f>
        <v>0.97679487651095231</v>
      </c>
      <c r="AU8" s="3326">
        <f t="shared" ref="AU8:AU28" si="18">((AP8/AH8)*(AQ8/AP8)*(AR8/AQ8))^(1/3)-1</f>
        <v>0.10126382804172107</v>
      </c>
      <c r="AV8" s="3320">
        <f t="shared" si="7"/>
        <v>41628573.266957</v>
      </c>
      <c r="AW8" s="3329">
        <f t="shared" si="8"/>
        <v>3.7044412096000512E-2</v>
      </c>
      <c r="AX8" s="3321">
        <f>AV8/$AV$7</f>
        <v>0.97127772797401801</v>
      </c>
      <c r="AY8" s="3321">
        <f t="shared" si="9"/>
        <v>0.12894755524921853</v>
      </c>
      <c r="AZ8" s="3323">
        <f t="shared" ref="AZ8:BD8" si="19">SUM(AZ10:AZ27)</f>
        <v>10870000</v>
      </c>
      <c r="BA8" s="3320">
        <f t="shared" si="19"/>
        <v>11760000</v>
      </c>
      <c r="BB8" s="3320">
        <f t="shared" si="19"/>
        <v>12710000</v>
      </c>
      <c r="BC8" s="3320">
        <f t="shared" si="19"/>
        <v>13770000</v>
      </c>
      <c r="BD8" s="3320">
        <f t="shared" si="19"/>
        <v>15000000</v>
      </c>
      <c r="BE8" s="3330">
        <f>AZ8+BA8+BB8+BC8+BD8</f>
        <v>64110000</v>
      </c>
      <c r="BF8" s="3327">
        <f t="shared" si="11"/>
        <v>8.4471777704529405E-2</v>
      </c>
      <c r="BG8" s="3331">
        <f t="shared" ref="BG8:BG28" si="20">BE8/$BE$7</f>
        <v>0.9858526791347445</v>
      </c>
      <c r="BH8" s="3332">
        <f>BE8/AV8-1</f>
        <v>0.54004797591484599</v>
      </c>
      <c r="BI8" s="3175"/>
      <c r="BJ8" s="3175"/>
      <c r="BK8" s="3175"/>
      <c r="BL8" s="3317">
        <f>AF8</f>
        <v>7016452</v>
      </c>
      <c r="BM8" s="3317">
        <f>AH8</f>
        <v>7487310.8303279998</v>
      </c>
      <c r="BN8" s="3317">
        <f>BM8/BL8%</f>
        <v>106.71078246281738</v>
      </c>
      <c r="BO8" s="3317">
        <f t="shared" ref="BO8:BO28" si="21">BN8-100</f>
        <v>6.7107824628173773</v>
      </c>
    </row>
    <row r="9" spans="1:127" s="2028" customFormat="1" ht="30" customHeight="1">
      <c r="A9" s="3333"/>
      <c r="B9" s="39" t="s">
        <v>1969</v>
      </c>
      <c r="C9" s="3334">
        <f>C8-C20-C27</f>
        <v>680419.64697399968</v>
      </c>
      <c r="D9" s="3334">
        <f>D8-D20-D27</f>
        <v>781630</v>
      </c>
      <c r="E9" s="3334">
        <f>E8-E20-E27</f>
        <v>1012420</v>
      </c>
      <c r="F9" s="3334">
        <f>F8-F20-F27</f>
        <v>1278230</v>
      </c>
      <c r="G9" s="3334">
        <f>G8-G20-G27</f>
        <v>1827240</v>
      </c>
      <c r="H9" s="3334">
        <f t="shared" ref="H9:O9" si="22">H8-H20-H27</f>
        <v>2445921.4765880005</v>
      </c>
      <c r="I9" s="3334">
        <f>SUM(D9:H9)</f>
        <v>7345441.4765880005</v>
      </c>
      <c r="J9" s="3334"/>
      <c r="K9" s="3334">
        <f t="shared" si="22"/>
        <v>2716706.9705919996</v>
      </c>
      <c r="L9" s="3334">
        <f t="shared" si="22"/>
        <v>2881335.0339119998</v>
      </c>
      <c r="M9" s="3334">
        <f t="shared" si="22"/>
        <v>2871723.7974100001</v>
      </c>
      <c r="N9" s="3334">
        <f t="shared" si="22"/>
        <v>2637997.8620639998</v>
      </c>
      <c r="O9" s="3334">
        <f t="shared" si="22"/>
        <v>3357995</v>
      </c>
      <c r="P9" s="3334">
        <f>SUM(K9:O9)</f>
        <v>14465758.663977999</v>
      </c>
      <c r="Q9" s="3329"/>
      <c r="R9" s="3329">
        <f t="shared" si="1"/>
        <v>0.64162460022335932</v>
      </c>
      <c r="S9" s="3334">
        <f t="shared" ref="S9:Z9" si="23">S8-S20-S27</f>
        <v>4473231</v>
      </c>
      <c r="T9" s="3334">
        <f t="shared" si="23"/>
        <v>4627083</v>
      </c>
      <c r="U9" s="3101">
        <f t="shared" si="23"/>
        <v>4905300</v>
      </c>
      <c r="V9" s="3101">
        <f t="shared" si="23"/>
        <v>4694910</v>
      </c>
      <c r="W9" s="3101">
        <f t="shared" si="23"/>
        <v>5177000</v>
      </c>
      <c r="X9" s="3101">
        <f t="shared" si="23"/>
        <v>6156473</v>
      </c>
      <c r="Y9" s="3101">
        <f t="shared" si="23"/>
        <v>6365000</v>
      </c>
      <c r="Z9" s="3101">
        <f t="shared" si="23"/>
        <v>5525934.6000000015</v>
      </c>
      <c r="AA9" s="3334">
        <f t="shared" si="3"/>
        <v>25477631.600000001</v>
      </c>
      <c r="AB9" s="3329">
        <f t="shared" si="4"/>
        <v>0.10475287161419655</v>
      </c>
      <c r="AC9" s="3329">
        <f t="shared" si="13"/>
        <v>0.68172171949282756</v>
      </c>
      <c r="AD9" s="3329">
        <f t="shared" si="5"/>
        <v>0.76123715263156488</v>
      </c>
      <c r="AE9" s="147">
        <f t="shared" ref="AE9:AS9" si="24">AE8-AE20-AE27</f>
        <v>5785900</v>
      </c>
      <c r="AF9" s="3335">
        <f t="shared" si="24"/>
        <v>4493500</v>
      </c>
      <c r="AG9" s="3336">
        <f>AG8-AG20-AG27</f>
        <v>4408777</v>
      </c>
      <c r="AH9" s="3337">
        <f>AH8-AH20-AH27</f>
        <v>4714407.2166780001</v>
      </c>
      <c r="AI9" s="3335">
        <f>AI8-AI20-AI27</f>
        <v>25585224.816678002</v>
      </c>
      <c r="AJ9" s="3338">
        <f t="shared" ref="AJ9:AJ27" si="25">AI9/$AI$7</f>
        <v>0.6514195953352927</v>
      </c>
      <c r="AK9" s="3339">
        <f>((V9/T9)*(X9/V9)*(Z9/X9)*(AF9/Z9)*(AH9/AF9)^(1/5))-1</f>
        <v>-1.9503775948571778E-2</v>
      </c>
      <c r="AL9" s="3335">
        <f>AH9+AF9+Z9</f>
        <v>14733841.816678002</v>
      </c>
      <c r="AM9" s="3339">
        <f>AL9/$AL$7</f>
        <v>0.62640623806265627</v>
      </c>
      <c r="AN9" s="3339">
        <f>((Z9/X9)*(AF9/Z9)*(AH9/AF9)^(1/3))-1</f>
        <v>-0.25834792553122099</v>
      </c>
      <c r="AO9" s="3337">
        <f>AO8-AO20-AO27</f>
        <v>4940000</v>
      </c>
      <c r="AP9" s="3337">
        <f>AP8-AP20-AP27</f>
        <v>4883948.0429999996</v>
      </c>
      <c r="AQ9" s="3337">
        <f t="shared" si="24"/>
        <v>5346000</v>
      </c>
      <c r="AR9" s="3337">
        <f t="shared" si="24"/>
        <v>6477999.6999999993</v>
      </c>
      <c r="AS9" s="3334">
        <f t="shared" si="24"/>
        <v>16707947.743000001</v>
      </c>
      <c r="AT9" s="3331">
        <f t="shared" ref="AT9:AT28" si="26">AS9/$AS$7</f>
        <v>0.60167195603094381</v>
      </c>
      <c r="AU9" s="3327">
        <f t="shared" si="18"/>
        <v>0.11174352885515271</v>
      </c>
      <c r="AV9" s="3334">
        <f t="shared" si="7"/>
        <v>25915854.959677998</v>
      </c>
      <c r="AW9" s="3329">
        <f t="shared" si="8"/>
        <v>3.2302636605404444E-2</v>
      </c>
      <c r="AX9" s="3329">
        <f>AV9/$AV$7</f>
        <v>0.60466863858916586</v>
      </c>
      <c r="AY9" s="3329">
        <f t="shared" si="9"/>
        <v>1.720031777514186E-2</v>
      </c>
      <c r="AZ9" s="3337">
        <f t="shared" ref="AZ9:BD9" si="27">AZ8-AZ20-AZ27</f>
        <v>7110000</v>
      </c>
      <c r="BA9" s="3334">
        <f t="shared" si="27"/>
        <v>7860000</v>
      </c>
      <c r="BB9" s="3334">
        <f t="shared" si="27"/>
        <v>8700000</v>
      </c>
      <c r="BC9" s="3334">
        <f t="shared" si="27"/>
        <v>9660000</v>
      </c>
      <c r="BD9" s="3334">
        <f t="shared" si="27"/>
        <v>10740000</v>
      </c>
      <c r="BE9" s="3340">
        <f t="shared" ref="BE9:BE27" si="28">AZ9+BA9+BB9+BC9+BD9</f>
        <v>44070000</v>
      </c>
      <c r="BF9" s="3327">
        <f t="shared" si="11"/>
        <v>0.10640128515075586</v>
      </c>
      <c r="BG9" s="3331">
        <f t="shared" si="20"/>
        <v>0.67768721836637325</v>
      </c>
      <c r="BH9" s="3341">
        <f>BE9/AV9-1</f>
        <v>0.70050342034124302</v>
      </c>
      <c r="BI9" s="3342"/>
      <c r="BJ9" s="3342"/>
      <c r="BK9" s="3342"/>
      <c r="BL9" s="3317">
        <f>AF9</f>
        <v>4493500</v>
      </c>
      <c r="BM9" s="2028">
        <f>AH9</f>
        <v>4714407.2166780001</v>
      </c>
      <c r="BN9" s="2028">
        <f>BM9/BL9%</f>
        <v>104.91615036559475</v>
      </c>
      <c r="BO9" s="3317">
        <f t="shared" si="21"/>
        <v>4.9161503655947456</v>
      </c>
    </row>
    <row r="10" spans="1:127" s="2028" customFormat="1" ht="30" customHeight="1">
      <c r="A10" s="3333">
        <v>1</v>
      </c>
      <c r="B10" s="3098" t="s">
        <v>1970</v>
      </c>
      <c r="C10" s="3103">
        <f>'[14]Tổng hợp thu NSNN năm 2005'!$D$13/1000000</f>
        <v>89115.503914999994</v>
      </c>
      <c r="D10" s="3334">
        <v>92540</v>
      </c>
      <c r="E10" s="3334">
        <v>116990</v>
      </c>
      <c r="F10" s="3334">
        <v>174910</v>
      </c>
      <c r="G10" s="3334">
        <v>255100</v>
      </c>
      <c r="H10" s="3334">
        <v>363111</v>
      </c>
      <c r="I10" s="3334">
        <f>SUM(D10:H10)</f>
        <v>1002651</v>
      </c>
      <c r="J10" s="3334"/>
      <c r="K10" s="3334">
        <v>375470.05056100001</v>
      </c>
      <c r="L10" s="3334">
        <v>392086.67269099999</v>
      </c>
      <c r="M10" s="3334">
        <v>377894.530516</v>
      </c>
      <c r="N10" s="3334">
        <v>203043.31661899999</v>
      </c>
      <c r="O10" s="3334">
        <v>205240</v>
      </c>
      <c r="P10" s="3334">
        <f>SUM(K10:O10)</f>
        <v>1553734.570387</v>
      </c>
      <c r="Q10" s="3329"/>
      <c r="R10" s="3329">
        <f t="shared" si="1"/>
        <v>6.8915453778462671E-2</v>
      </c>
      <c r="S10" s="3334">
        <v>203694</v>
      </c>
      <c r="T10" s="3334">
        <v>198943</v>
      </c>
      <c r="U10" s="3101">
        <f>'[15]Phụ lục số 1'!$N$15</f>
        <v>215000</v>
      </c>
      <c r="V10" s="3101">
        <v>203584</v>
      </c>
      <c r="W10" s="3101">
        <v>195000</v>
      </c>
      <c r="X10" s="3337">
        <v>223875</v>
      </c>
      <c r="Y10" s="3101">
        <v>235000</v>
      </c>
      <c r="Z10" s="3101">
        <v>183101</v>
      </c>
      <c r="AA10" s="3334">
        <f t="shared" si="3"/>
        <v>1013197</v>
      </c>
      <c r="AB10" s="3329">
        <f t="shared" si="4"/>
        <v>-2.2569825667848264E-2</v>
      </c>
      <c r="AC10" s="3329">
        <f t="shared" si="13"/>
        <v>2.7110777479998353E-2</v>
      </c>
      <c r="AD10" s="3329">
        <f t="shared" si="5"/>
        <v>-0.34789569640093954</v>
      </c>
      <c r="AE10" s="147">
        <v>210000</v>
      </c>
      <c r="AF10" s="3335">
        <v>245001</v>
      </c>
      <c r="AG10" s="3336">
        <v>185000</v>
      </c>
      <c r="AH10" s="3337">
        <f>[2]PL1.1!H11</f>
        <v>227900.049615</v>
      </c>
      <c r="AI10" s="3343">
        <f>AH10+AF10+Z10+X10+V10</f>
        <v>1083461.0496149999</v>
      </c>
      <c r="AJ10" s="3338">
        <f t="shared" si="25"/>
        <v>2.7585755589752702E-2</v>
      </c>
      <c r="AK10" s="3339">
        <f t="shared" si="15"/>
        <v>0.21382060876663034</v>
      </c>
      <c r="AL10" s="3335">
        <f t="shared" ref="AL10:AL27" si="29">AH10+AF10+Z10</f>
        <v>656002.04961500003</v>
      </c>
      <c r="AM10" s="3339">
        <f t="shared" ref="AM10:AM28" si="30">AL10/$AL$7</f>
        <v>2.7889791486398214E-2</v>
      </c>
      <c r="AN10" s="3339">
        <f t="shared" ref="AN10:AN28" si="31">((Z10/X10)*(AF10/Z10)*(AH10/AF10)^(1/3))-1</f>
        <v>6.8286595498367797E-2</v>
      </c>
      <c r="AO10" s="3337">
        <f>'[16]Phụ lục số 1-1'!N11</f>
        <v>250000</v>
      </c>
      <c r="AP10" s="3337">
        <f>'[17]thu noi dia(HĐND)'!$G$15</f>
        <v>209114.47203999999</v>
      </c>
      <c r="AQ10" s="3337">
        <f>[2]PL1.1!Z11</f>
        <v>230000</v>
      </c>
      <c r="AR10" s="3337">
        <f>[2]PL1.1!AF11</f>
        <v>309999.7</v>
      </c>
      <c r="AS10" s="3334">
        <f>AR10+AQ10+AP10</f>
        <v>749114.17203999998</v>
      </c>
      <c r="AT10" s="3331">
        <f t="shared" si="26"/>
        <v>2.697644235634163E-2</v>
      </c>
      <c r="AU10" s="3327">
        <f t="shared" si="18"/>
        <v>0.10799793572581562</v>
      </c>
      <c r="AV10" s="3334">
        <f t="shared" si="7"/>
        <v>1222015.221655</v>
      </c>
      <c r="AW10" s="3329">
        <f t="shared" si="8"/>
        <v>0.11105129900673982</v>
      </c>
      <c r="AX10" s="3329">
        <f>AV10/$AV$7</f>
        <v>2.8512054939458093E-2</v>
      </c>
      <c r="AY10" s="3329">
        <f t="shared" si="9"/>
        <v>0.2060983418377671</v>
      </c>
      <c r="AZ10" s="3337">
        <f>[2]PL1.1!AL11</f>
        <v>340000</v>
      </c>
      <c r="BA10" s="3334">
        <f>'[16]Phụ lục số 1-1'!AR11</f>
        <v>370000</v>
      </c>
      <c r="BB10" s="3334">
        <f>'[16]Phụ lục số 1-1'!AX11</f>
        <v>410000</v>
      </c>
      <c r="BC10" s="3334">
        <f>'[16]Phụ lục số 1-1'!BD11</f>
        <v>455000</v>
      </c>
      <c r="BD10" s="3334">
        <f>'[16]Phụ lục số 1-1'!BJ11</f>
        <v>510000</v>
      </c>
      <c r="BE10" s="3340">
        <f>AZ10+BA10+BB10+BC10+BD10</f>
        <v>2085000</v>
      </c>
      <c r="BF10" s="3327">
        <f t="shared" si="11"/>
        <v>0.10469345389885287</v>
      </c>
      <c r="BG10" s="3331">
        <f t="shared" si="20"/>
        <v>3.2062125035032633E-2</v>
      </c>
      <c r="BH10" s="3341">
        <f>BE10/AV10-1</f>
        <v>0.70619805960865389</v>
      </c>
      <c r="BI10" s="3342"/>
      <c r="BJ10" s="3342"/>
      <c r="BK10" s="3342"/>
      <c r="BL10" s="2028">
        <f>AF10+AF11</f>
        <v>531474</v>
      </c>
      <c r="BM10" s="2028">
        <f>AH10+AH11</f>
        <v>619044.33509499999</v>
      </c>
      <c r="BN10" s="2028">
        <f>BM10/BL10%</f>
        <v>116.4768803544482</v>
      </c>
      <c r="BO10" s="3317">
        <f t="shared" si="21"/>
        <v>16.476880354448198</v>
      </c>
      <c r="BQ10" s="2028">
        <f>485000</f>
        <v>485000</v>
      </c>
      <c r="BR10" s="3344">
        <f>BM10/BQ10</f>
        <v>1.2763800723608247</v>
      </c>
    </row>
    <row r="11" spans="1:127" s="2028" customFormat="1" ht="30" customHeight="1">
      <c r="A11" s="3333">
        <v>2</v>
      </c>
      <c r="B11" s="3098" t="s">
        <v>1971</v>
      </c>
      <c r="C11" s="3103">
        <f>'[14]Tổng hợp thu NSNN năm 2005'!$D$20/1000000</f>
        <v>48228.976229</v>
      </c>
      <c r="D11" s="3334">
        <v>44800</v>
      </c>
      <c r="E11" s="3334">
        <v>101880</v>
      </c>
      <c r="F11" s="3334">
        <v>76050</v>
      </c>
      <c r="G11" s="3334">
        <v>172870</v>
      </c>
      <c r="H11" s="3334">
        <v>148607</v>
      </c>
      <c r="I11" s="3334">
        <f t="shared" ref="I11:I28" si="32">SUM(D11:H11)</f>
        <v>544207</v>
      </c>
      <c r="J11" s="3334"/>
      <c r="K11" s="3334">
        <v>143351.48759800001</v>
      </c>
      <c r="L11" s="3334">
        <v>229165.69016900001</v>
      </c>
      <c r="M11" s="3334">
        <v>259813.95480400001</v>
      </c>
      <c r="N11" s="3334">
        <v>268703.66079599998</v>
      </c>
      <c r="O11" s="3334">
        <v>332356</v>
      </c>
      <c r="P11" s="3334">
        <f t="shared" ref="P11:P28" si="33">SUM(K11:O11)</f>
        <v>1233390.7933670001</v>
      </c>
      <c r="Q11" s="3329"/>
      <c r="R11" s="3329">
        <f t="shared" si="1"/>
        <v>5.4706696903766137E-2</v>
      </c>
      <c r="S11" s="3334">
        <v>323641</v>
      </c>
      <c r="T11" s="3334">
        <v>384159</v>
      </c>
      <c r="U11" s="3101">
        <f>'[15]Phụ lục số 1'!$N$22</f>
        <v>320000</v>
      </c>
      <c r="V11" s="3101">
        <v>385864</v>
      </c>
      <c r="W11" s="3101">
        <v>440000</v>
      </c>
      <c r="X11" s="3101">
        <v>479648</v>
      </c>
      <c r="Y11" s="3101">
        <v>515000</v>
      </c>
      <c r="Z11" s="3101">
        <v>455219.9</v>
      </c>
      <c r="AA11" s="3334">
        <f t="shared" si="3"/>
        <v>2028531.9</v>
      </c>
      <c r="AB11" s="3329">
        <f t="shared" si="4"/>
        <v>6.4936084774755098E-2</v>
      </c>
      <c r="AC11" s="3329">
        <f t="shared" si="13"/>
        <v>5.4278760154222991E-2</v>
      </c>
      <c r="AD11" s="3329">
        <f t="shared" si="5"/>
        <v>0.64467897028999688</v>
      </c>
      <c r="AE11" s="147">
        <v>535000</v>
      </c>
      <c r="AF11" s="3335">
        <v>286473</v>
      </c>
      <c r="AG11" s="3336">
        <v>300000</v>
      </c>
      <c r="AH11" s="3337">
        <f>[2]PL1.1!H17</f>
        <v>391144.28547999996</v>
      </c>
      <c r="AI11" s="3343">
        <f t="shared" ref="AI11:AI28" si="34">AH11+AF11+Z11+X11+V11</f>
        <v>1998349.18548</v>
      </c>
      <c r="AJ11" s="3338">
        <f t="shared" si="25"/>
        <v>5.0879514527283912E-2</v>
      </c>
      <c r="AK11" s="3339">
        <f t="shared" si="15"/>
        <v>-0.20636037613212899</v>
      </c>
      <c r="AL11" s="3335">
        <f t="shared" si="29"/>
        <v>1132837.18548</v>
      </c>
      <c r="AM11" s="3339">
        <f t="shared" si="30"/>
        <v>4.8162338684182342E-2</v>
      </c>
      <c r="AN11" s="3339">
        <f>((Z11/X11)*(AF11/Z11)*(AH11/AF11)^(1/3))-1</f>
        <v>-0.33740906586415842</v>
      </c>
      <c r="AO11" s="3337">
        <f>'[16]Phụ lục số 1-1'!N17</f>
        <v>350000</v>
      </c>
      <c r="AP11" s="3337">
        <f>'[17]thu noi dia(HĐND)'!$G$16</f>
        <v>281819.395969</v>
      </c>
      <c r="AQ11" s="3337">
        <f>[2]PL1.1!Z17</f>
        <v>300000</v>
      </c>
      <c r="AR11" s="3337">
        <f>[2]PL1.1!AF17</f>
        <v>470000</v>
      </c>
      <c r="AS11" s="3334">
        <f t="shared" ref="AS11:AS28" si="35">AR11+AQ11+AP11</f>
        <v>1051819.3959689999</v>
      </c>
      <c r="AT11" s="3331">
        <f>AS11/$AS$7</f>
        <v>3.7877197313421949E-2</v>
      </c>
      <c r="AU11" s="3327">
        <f t="shared" si="18"/>
        <v>6.3131426153523407E-2</v>
      </c>
      <c r="AV11" s="3334">
        <f t="shared" si="7"/>
        <v>1729436.681449</v>
      </c>
      <c r="AW11" s="3329">
        <f t="shared" si="8"/>
        <v>6.4108814528600622E-3</v>
      </c>
      <c r="AX11" s="3329">
        <f t="shared" ref="AX11:AX14" si="36">AV11/$AV$7</f>
        <v>4.0351210690327342E-2</v>
      </c>
      <c r="AY11" s="3329">
        <f t="shared" si="9"/>
        <v>-0.14744417800429954</v>
      </c>
      <c r="AZ11" s="3337">
        <f>[2]PL1.1!AL17</f>
        <v>510000</v>
      </c>
      <c r="BA11" s="3334">
        <f>'[16]Phụ lục số 1-1'!AR17</f>
        <v>560000</v>
      </c>
      <c r="BB11" s="3334">
        <f>'[16]Phụ lục số 1-1'!AX17</f>
        <v>620000</v>
      </c>
      <c r="BC11" s="3334">
        <f>'[16]Phụ lục số 1-1'!BD17</f>
        <v>690000</v>
      </c>
      <c r="BD11" s="3334">
        <f>'[16]Phụ lục số 1-1'!BJ17</f>
        <v>770000</v>
      </c>
      <c r="BE11" s="3340">
        <f t="shared" si="28"/>
        <v>3150000</v>
      </c>
      <c r="BF11" s="3327">
        <f t="shared" si="11"/>
        <v>0.10376996822418216</v>
      </c>
      <c r="BG11" s="3331">
        <f t="shared" si="20"/>
        <v>4.8439181707603265E-2</v>
      </c>
      <c r="BH11" s="3341">
        <f t="shared" ref="BH11:BH27" si="37">BE11/AV11-1</f>
        <v>0.82140232931846224</v>
      </c>
      <c r="BI11" s="3342"/>
      <c r="BJ11" s="3342"/>
      <c r="BK11" s="3342"/>
      <c r="BN11" s="2028" t="e">
        <f t="shared" ref="BN11:BN28" si="38">BM11/BL11%</f>
        <v>#DIV/0!</v>
      </c>
      <c r="BO11" s="3317" t="e">
        <f t="shared" si="21"/>
        <v>#DIV/0!</v>
      </c>
      <c r="BQ11" s="2028">
        <f>'[16]Phụ lục số 1-1'!C11</f>
        <v>185000</v>
      </c>
      <c r="BR11" s="2028">
        <f>'[16]Phụ lục số 1-1'!H11</f>
        <v>237000</v>
      </c>
      <c r="BS11" s="3344">
        <f>BR11/BQ11</f>
        <v>1.2810810810810811</v>
      </c>
      <c r="BT11" s="3344">
        <f>BS11+BS12</f>
        <v>2.647747747747748</v>
      </c>
      <c r="BU11" s="3344">
        <f>BT11/2</f>
        <v>1.323873873873874</v>
      </c>
    </row>
    <row r="12" spans="1:127" s="2028" customFormat="1" ht="30" customHeight="1">
      <c r="A12" s="3333">
        <v>3</v>
      </c>
      <c r="B12" s="3098" t="s">
        <v>1972</v>
      </c>
      <c r="C12" s="3103">
        <f>'[14]Tổng hợp thu NSNN năm 2005'!$D$28/1000000</f>
        <v>1037.3321739999999</v>
      </c>
      <c r="D12" s="3334">
        <v>580</v>
      </c>
      <c r="E12" s="3334">
        <v>630</v>
      </c>
      <c r="F12" s="3334">
        <v>2440</v>
      </c>
      <c r="G12" s="3334">
        <v>780</v>
      </c>
      <c r="H12" s="3334">
        <v>3761</v>
      </c>
      <c r="I12" s="3334">
        <f t="shared" si="32"/>
        <v>8191</v>
      </c>
      <c r="J12" s="3334"/>
      <c r="K12" s="3334">
        <v>8028.6076819999998</v>
      </c>
      <c r="L12" s="3334">
        <v>7377.2642779999996</v>
      </c>
      <c r="M12" s="3334">
        <v>17351.560365000001</v>
      </c>
      <c r="N12" s="3334">
        <v>25825.109232999999</v>
      </c>
      <c r="O12" s="3334">
        <v>69494</v>
      </c>
      <c r="P12" s="3334">
        <f t="shared" si="33"/>
        <v>128076.541558</v>
      </c>
      <c r="Q12" s="3329"/>
      <c r="R12" s="3329">
        <f t="shared" si="1"/>
        <v>5.680798476181961E-3</v>
      </c>
      <c r="S12" s="3334">
        <v>61938</v>
      </c>
      <c r="T12" s="3334">
        <v>49785</v>
      </c>
      <c r="U12" s="3101">
        <f>'[15]Phụ lục số 1'!$N$29</f>
        <v>31000</v>
      </c>
      <c r="V12" s="3101">
        <v>35833</v>
      </c>
      <c r="W12" s="3101">
        <v>33000</v>
      </c>
      <c r="X12" s="3101">
        <v>76845</v>
      </c>
      <c r="Y12" s="3101">
        <v>60000</v>
      </c>
      <c r="Z12" s="3101">
        <v>110158.9</v>
      </c>
      <c r="AA12" s="3334">
        <f t="shared" si="3"/>
        <v>334559.90000000002</v>
      </c>
      <c r="AB12" s="3329">
        <f t="shared" si="4"/>
        <v>9.6514694647396038E-2</v>
      </c>
      <c r="AC12" s="3329">
        <f t="shared" si="13"/>
        <v>8.9520389446775921E-3</v>
      </c>
      <c r="AD12" s="3329">
        <f t="shared" si="5"/>
        <v>1.6121871806516039</v>
      </c>
      <c r="AE12" s="3345">
        <v>70000</v>
      </c>
      <c r="AF12" s="3335">
        <v>70477</v>
      </c>
      <c r="AG12" s="3336">
        <v>74000</v>
      </c>
      <c r="AH12" s="3337">
        <f>[2]PL1.1!H23</f>
        <v>74729.223614999995</v>
      </c>
      <c r="AI12" s="3343">
        <f t="shared" si="34"/>
        <v>368043.12361499999</v>
      </c>
      <c r="AJ12" s="3338">
        <f t="shared" si="25"/>
        <v>9.3706623400446522E-3</v>
      </c>
      <c r="AK12" s="3339">
        <f>((V12/T12)*(X12/V12)*(Z12/X12)*(AF12/Z12)*(AH12/AF12)^(1/5))-1</f>
        <v>0.43231160233283594</v>
      </c>
      <c r="AL12" s="3335">
        <f t="shared" si="29"/>
        <v>255365.12361499999</v>
      </c>
      <c r="AM12" s="3339">
        <f t="shared" si="30"/>
        <v>1.0856795424191922E-2</v>
      </c>
      <c r="AN12" s="3339">
        <f>((Z12/X12)*(AF12/Z12)*(AH12/AF12)^(1/3))-1</f>
        <v>-6.4782091405470532E-2</v>
      </c>
      <c r="AO12" s="3337">
        <f>'[16]Phụ lục số 1-1'!N23</f>
        <v>70000</v>
      </c>
      <c r="AP12" s="3337">
        <f>'[17]thu noi dia(HĐND)'!$G$17</f>
        <v>63555.740023999999</v>
      </c>
      <c r="AQ12" s="3337">
        <f>[2]PL1.1!Z23</f>
        <v>75000</v>
      </c>
      <c r="AR12" s="3337">
        <f>[2]PL1.1!AF23</f>
        <v>100000</v>
      </c>
      <c r="AS12" s="3334">
        <f t="shared" si="35"/>
        <v>238555.740024</v>
      </c>
      <c r="AT12" s="3331">
        <f t="shared" si="26"/>
        <v>8.5906600218320656E-3</v>
      </c>
      <c r="AU12" s="3327">
        <f t="shared" si="18"/>
        <v>0.10197018216005049</v>
      </c>
      <c r="AV12" s="3334">
        <f t="shared" si="7"/>
        <v>383761.96363899997</v>
      </c>
      <c r="AW12" s="3329">
        <f t="shared" si="8"/>
        <v>-1.9164712909005899E-2</v>
      </c>
      <c r="AX12" s="3329">
        <f>AV12/$AV$7</f>
        <v>8.9539328128259536E-3</v>
      </c>
      <c r="AY12" s="3329">
        <f t="shared" si="9"/>
        <v>0.14706503570511575</v>
      </c>
      <c r="AZ12" s="3337">
        <f>[2]PL1.1!AL23</f>
        <v>110000</v>
      </c>
      <c r="BA12" s="3334">
        <f>'[16]Phụ lục số 1-1'!AR23</f>
        <v>120000</v>
      </c>
      <c r="BB12" s="3334">
        <f>'[16]Phụ lục số 1-1'!AX23</f>
        <v>130000</v>
      </c>
      <c r="BC12" s="3334">
        <f>'[16]Phụ lục số 1-1'!BD23</f>
        <v>140000</v>
      </c>
      <c r="BD12" s="3334">
        <f>'[16]Phụ lục số 1-1'!BJ23</f>
        <v>153000</v>
      </c>
      <c r="BE12" s="3340">
        <f t="shared" si="28"/>
        <v>653000</v>
      </c>
      <c r="BF12" s="3327">
        <f t="shared" si="11"/>
        <v>8.8775365880074064E-2</v>
      </c>
      <c r="BG12" s="3331">
        <f t="shared" si="20"/>
        <v>1.0041519255576168E-2</v>
      </c>
      <c r="BH12" s="3341">
        <f t="shared" si="37"/>
        <v>0.70157561684322856</v>
      </c>
      <c r="BI12" s="3342"/>
      <c r="BJ12" s="3342"/>
      <c r="BK12" s="3342"/>
      <c r="BL12" s="2028">
        <f t="shared" ref="BL12:BL28" si="39">AF12</f>
        <v>70477</v>
      </c>
      <c r="BM12" s="2028">
        <f t="shared" ref="BM12:BM28" si="40">AH12</f>
        <v>74729.223614999995</v>
      </c>
      <c r="BN12" s="2028">
        <f t="shared" si="38"/>
        <v>106.0334912311818</v>
      </c>
      <c r="BO12" s="3317">
        <f t="shared" si="21"/>
        <v>6.0334912311817988</v>
      </c>
      <c r="BQ12" s="2028">
        <f>'[16]Phụ lục số 1-1'!C17</f>
        <v>300000</v>
      </c>
      <c r="BR12" s="2028">
        <f>'[16]Phụ lục số 1-1'!H17</f>
        <v>410000</v>
      </c>
      <c r="BS12" s="3344">
        <f>BR12/BQ12</f>
        <v>1.3666666666666667</v>
      </c>
    </row>
    <row r="13" spans="1:127" s="2028" customFormat="1" ht="30" customHeight="1">
      <c r="A13" s="3333">
        <v>4</v>
      </c>
      <c r="B13" s="3098" t="s">
        <v>1973</v>
      </c>
      <c r="C13" s="3103">
        <f>'[14]Tổng hợp thu NSNN năm 2005'!$D$32/1000000</f>
        <v>237081.01390699999</v>
      </c>
      <c r="D13" s="3334">
        <v>271920</v>
      </c>
      <c r="E13" s="3334">
        <v>369340</v>
      </c>
      <c r="F13" s="3334">
        <v>554950</v>
      </c>
      <c r="G13" s="3334">
        <v>654560</v>
      </c>
      <c r="H13" s="3334">
        <v>873678</v>
      </c>
      <c r="I13" s="3334">
        <f t="shared" si="32"/>
        <v>2724448</v>
      </c>
      <c r="J13" s="3334"/>
      <c r="K13" s="3334">
        <v>1024104.439563</v>
      </c>
      <c r="L13" s="3334">
        <v>1064747.6828060001</v>
      </c>
      <c r="M13" s="3334">
        <v>1081721.420525</v>
      </c>
      <c r="N13" s="3334">
        <v>744273.199104</v>
      </c>
      <c r="O13" s="3334">
        <v>586685</v>
      </c>
      <c r="P13" s="3334">
        <f t="shared" si="33"/>
        <v>4501531.7419980001</v>
      </c>
      <c r="Q13" s="3329"/>
      <c r="R13" s="3329">
        <f t="shared" si="1"/>
        <v>0.19966415667810991</v>
      </c>
      <c r="S13" s="3334">
        <v>674044</v>
      </c>
      <c r="T13" s="3334">
        <v>895287</v>
      </c>
      <c r="U13" s="3101">
        <f>'[15]Phụ lục số 1'!$N$35</f>
        <v>860000</v>
      </c>
      <c r="V13" s="3101">
        <v>943679</v>
      </c>
      <c r="W13" s="3101">
        <v>960000</v>
      </c>
      <c r="X13" s="3101">
        <v>1430938</v>
      </c>
      <c r="Y13" s="3101">
        <v>1410000</v>
      </c>
      <c r="Z13" s="3101">
        <v>1265121.8999999999</v>
      </c>
      <c r="AA13" s="3334">
        <f t="shared" si="3"/>
        <v>5209069.9000000004</v>
      </c>
      <c r="AB13" s="3329">
        <f t="shared" si="4"/>
        <v>0.16612599815317886</v>
      </c>
      <c r="AC13" s="3329">
        <f t="shared" si="13"/>
        <v>0.1393825040309607</v>
      </c>
      <c r="AD13" s="3329">
        <f t="shared" si="5"/>
        <v>0.1571772006850185</v>
      </c>
      <c r="AE13" s="3345">
        <v>1315000</v>
      </c>
      <c r="AF13" s="3335">
        <v>1132031</v>
      </c>
      <c r="AG13" s="3336">
        <v>945000</v>
      </c>
      <c r="AH13" s="3337">
        <f>[2]PL1.1!H28</f>
        <v>1184282.337326</v>
      </c>
      <c r="AI13" s="3343">
        <f t="shared" si="34"/>
        <v>5956052.2373259999</v>
      </c>
      <c r="AJ13" s="3338">
        <f t="shared" si="25"/>
        <v>0.1516456926227836</v>
      </c>
      <c r="AK13" s="3339">
        <f t="shared" si="15"/>
        <v>0.27589644681387449</v>
      </c>
      <c r="AL13" s="3335">
        <f t="shared" si="29"/>
        <v>3581435.2373259999</v>
      </c>
      <c r="AM13" s="3339">
        <f t="shared" si="30"/>
        <v>0.15226397851909587</v>
      </c>
      <c r="AN13" s="3339">
        <f t="shared" si="31"/>
        <v>-0.19689965272990928</v>
      </c>
      <c r="AO13" s="3337">
        <f>'[16]Phụ lục số 1-1'!N28</f>
        <v>1265000</v>
      </c>
      <c r="AP13" s="3337">
        <f>'[17]thu noi dia(HĐND)'!$G$18</f>
        <v>1585169.3797579999</v>
      </c>
      <c r="AQ13" s="3337">
        <f>[2]PL1.1!Z28</f>
        <v>1701000</v>
      </c>
      <c r="AR13" s="3337">
        <f>[2]PL1.1!AF28</f>
        <v>1620000</v>
      </c>
      <c r="AS13" s="3334">
        <f t="shared" si="35"/>
        <v>4906169.3797580004</v>
      </c>
      <c r="AT13" s="3346">
        <f t="shared" si="26"/>
        <v>0.17667666746054164</v>
      </c>
      <c r="AU13" s="3327">
        <f t="shared" si="18"/>
        <v>0.11007738252049504</v>
      </c>
      <c r="AV13" s="3334">
        <f t="shared" si="7"/>
        <v>7222482.7170839999</v>
      </c>
      <c r="AW13" s="3329">
        <f t="shared" si="8"/>
        <v>5.0694667607676047E-2</v>
      </c>
      <c r="AX13" s="3329">
        <f>AV13/$AV$7</f>
        <v>0.1685149418596385</v>
      </c>
      <c r="AY13" s="3329">
        <f t="shared" si="9"/>
        <v>0.38652059882782508</v>
      </c>
      <c r="AZ13" s="3337">
        <f>[2]PL1.1!AL28</f>
        <v>1790000</v>
      </c>
      <c r="BA13" s="3334">
        <f>'[16]Phụ lục số 1-1'!AR28</f>
        <v>1980000</v>
      </c>
      <c r="BB13" s="3334">
        <f>'[16]Phụ lục số 1-1'!AX28</f>
        <v>2190000</v>
      </c>
      <c r="BC13" s="3334">
        <f>'[16]Phụ lục số 1-1'!BD28</f>
        <v>2430000</v>
      </c>
      <c r="BD13" s="3334">
        <f>'[16]Phụ lục số 1-1'!BJ28</f>
        <v>2730000</v>
      </c>
      <c r="BE13" s="3340">
        <f t="shared" si="28"/>
        <v>11120000</v>
      </c>
      <c r="BF13" s="3327">
        <f t="shared" si="11"/>
        <v>0.11001673522571775</v>
      </c>
      <c r="BG13" s="3331">
        <f t="shared" si="20"/>
        <v>0.17099800018684072</v>
      </c>
      <c r="BH13" s="3341">
        <f>BE13/AV13-1</f>
        <v>0.53963677527352827</v>
      </c>
      <c r="BI13" s="3342"/>
      <c r="BJ13" s="3342"/>
      <c r="BK13" s="3342"/>
      <c r="BL13" s="2028">
        <f t="shared" si="39"/>
        <v>1132031</v>
      </c>
      <c r="BM13" s="2028">
        <f t="shared" si="40"/>
        <v>1184282.337326</v>
      </c>
      <c r="BN13" s="2028">
        <f>BM13/BL13%</f>
        <v>104.61571611784483</v>
      </c>
      <c r="BO13" s="3317">
        <f t="shared" si="21"/>
        <v>4.6157161178448263</v>
      </c>
    </row>
    <row r="14" spans="1:127" s="2028" customFormat="1" ht="30" customHeight="1">
      <c r="A14" s="3333">
        <v>5</v>
      </c>
      <c r="B14" s="3098" t="s">
        <v>17</v>
      </c>
      <c r="C14" s="3103">
        <f>'[14]Tổng hợp thu NSNN năm 2005'!$D$39/1000000</f>
        <v>29969.945012</v>
      </c>
      <c r="D14" s="3334">
        <v>39220</v>
      </c>
      <c r="E14" s="3334">
        <v>50330</v>
      </c>
      <c r="F14" s="3334">
        <v>56660</v>
      </c>
      <c r="G14" s="3334">
        <v>61750</v>
      </c>
      <c r="H14" s="3334">
        <v>66384</v>
      </c>
      <c r="I14" s="3334">
        <f t="shared" si="32"/>
        <v>274344</v>
      </c>
      <c r="J14" s="3334"/>
      <c r="K14" s="3334">
        <v>83707.295922000005</v>
      </c>
      <c r="L14" s="3334">
        <v>85266.235153999995</v>
      </c>
      <c r="M14" s="3334">
        <v>86018.719326999999</v>
      </c>
      <c r="N14" s="3334">
        <v>102607.365288</v>
      </c>
      <c r="O14" s="3334">
        <v>139966</v>
      </c>
      <c r="P14" s="3334">
        <f t="shared" si="33"/>
        <v>497565.61569100001</v>
      </c>
      <c r="Q14" s="3329"/>
      <c r="R14" s="3329">
        <f t="shared" si="1"/>
        <v>2.2069380989163796E-2</v>
      </c>
      <c r="S14" s="3334">
        <v>184878</v>
      </c>
      <c r="T14" s="3334">
        <v>209558</v>
      </c>
      <c r="U14" s="3101">
        <f>'[15]Phụ lục số 1'!$N$42</f>
        <v>242800</v>
      </c>
      <c r="V14" s="3101">
        <v>247450</v>
      </c>
      <c r="W14" s="3101">
        <v>240000</v>
      </c>
      <c r="X14" s="3101">
        <v>317324</v>
      </c>
      <c r="Y14" s="3101">
        <v>345000</v>
      </c>
      <c r="Z14" s="3101">
        <v>281768.90000000002</v>
      </c>
      <c r="AA14" s="3334">
        <f t="shared" si="3"/>
        <v>1240978.8999999999</v>
      </c>
      <c r="AB14" s="3329">
        <f t="shared" si="4"/>
        <v>0.15020195395128755</v>
      </c>
      <c r="AC14" s="3329">
        <f t="shared" si="13"/>
        <v>3.3205687359193846E-2</v>
      </c>
      <c r="AD14" s="3329">
        <f t="shared" si="5"/>
        <v>1.4941010006822437</v>
      </c>
      <c r="AE14" s="3345">
        <v>280000</v>
      </c>
      <c r="AF14" s="3335">
        <v>242162</v>
      </c>
      <c r="AG14" s="3336">
        <v>220000</v>
      </c>
      <c r="AH14" s="3337">
        <f>[2]PL1.1!H34</f>
        <v>368324.93194500002</v>
      </c>
      <c r="AI14" s="3343">
        <f t="shared" si="34"/>
        <v>1457029.8319450002</v>
      </c>
      <c r="AJ14" s="3338">
        <f t="shared" si="25"/>
        <v>3.7097105470746378E-2</v>
      </c>
      <c r="AK14" s="3339">
        <f t="shared" si="15"/>
        <v>0.25668599262699843</v>
      </c>
      <c r="AL14" s="3335">
        <f t="shared" si="29"/>
        <v>892255.8319450001</v>
      </c>
      <c r="AM14" s="3339">
        <f t="shared" si="30"/>
        <v>3.7934072187843677E-2</v>
      </c>
      <c r="AN14" s="3339">
        <f t="shared" si="31"/>
        <v>-0.1223700231664262</v>
      </c>
      <c r="AO14" s="3337">
        <f>'[16]Phụ lục số 1-1'!N34</f>
        <v>295000</v>
      </c>
      <c r="AP14" s="3337">
        <f>'[17]thu noi dia(HĐND)'!$G$19</f>
        <v>299934.16521599999</v>
      </c>
      <c r="AQ14" s="3337">
        <f>[2]PL1.1!Z34</f>
        <v>350000</v>
      </c>
      <c r="AR14" s="3337">
        <f>[2]PL1.1!AF34</f>
        <v>436000</v>
      </c>
      <c r="AS14" s="3334">
        <f t="shared" si="35"/>
        <v>1085934.1652160001</v>
      </c>
      <c r="AT14" s="3331">
        <f t="shared" si="26"/>
        <v>3.9105708454234347E-2</v>
      </c>
      <c r="AU14" s="3327">
        <f t="shared" si="18"/>
        <v>5.7836279133762547E-2</v>
      </c>
      <c r="AV14" s="3334">
        <f t="shared" si="7"/>
        <v>1696421.0971610001</v>
      </c>
      <c r="AW14" s="3329">
        <f t="shared" si="8"/>
        <v>9.1236003951927547E-2</v>
      </c>
      <c r="AX14" s="3329">
        <f t="shared" si="36"/>
        <v>3.9580891191522014E-2</v>
      </c>
      <c r="AY14" s="3329">
        <f t="shared" si="9"/>
        <v>0.36700236979129963</v>
      </c>
      <c r="AZ14" s="3337">
        <f>[2]PL1.1!AL34</f>
        <v>480000</v>
      </c>
      <c r="BA14" s="3334">
        <f>'[16]Phụ lục số 1-1'!AR34</f>
        <v>528000</v>
      </c>
      <c r="BB14" s="3334">
        <f>'[16]Phụ lục số 1-1'!AX34</f>
        <v>585000</v>
      </c>
      <c r="BC14" s="3334">
        <f>'[16]Phụ lục số 1-1'!BD34</f>
        <v>650000</v>
      </c>
      <c r="BD14" s="3334">
        <f>'[16]Phụ lục số 1-1'!BJ34</f>
        <v>730000</v>
      </c>
      <c r="BE14" s="3340">
        <f t="shared" si="28"/>
        <v>2973000</v>
      </c>
      <c r="BF14" s="3327">
        <f t="shared" si="11"/>
        <v>0.10858059984170887</v>
      </c>
      <c r="BG14" s="3331">
        <f t="shared" si="20"/>
        <v>4.5717361021176031E-2</v>
      </c>
      <c r="BH14" s="3341">
        <f t="shared" si="37"/>
        <v>0.75251298452688675</v>
      </c>
      <c r="BI14" s="3342"/>
      <c r="BJ14" s="3342"/>
      <c r="BK14" s="3342"/>
      <c r="BL14" s="2028">
        <f t="shared" si="39"/>
        <v>242162</v>
      </c>
      <c r="BM14" s="2028">
        <f t="shared" si="40"/>
        <v>368324.93194500002</v>
      </c>
      <c r="BN14" s="2028">
        <f t="shared" si="38"/>
        <v>152.09856705222126</v>
      </c>
      <c r="BO14" s="3317">
        <f t="shared" si="21"/>
        <v>52.098567052221256</v>
      </c>
      <c r="BQ14" s="2028">
        <f>AH13+AH14+AH15+AH16+AH17+AH18+AH12+AH11+AH10+AH19+AH28+AH27</f>
        <v>6211588.4322429998</v>
      </c>
      <c r="BR14" s="2028">
        <f>AF63</f>
        <v>5215166</v>
      </c>
      <c r="BS14" s="2028">
        <f>BQ14-BR14</f>
        <v>996422.43224299978</v>
      </c>
    </row>
    <row r="15" spans="1:127" s="2028" customFormat="1" ht="30" customHeight="1">
      <c r="A15" s="3333">
        <v>6</v>
      </c>
      <c r="B15" s="3098" t="s">
        <v>18</v>
      </c>
      <c r="C15" s="3103">
        <f>'[14]Tổng hợp thu NSNN năm 2005'!$D$40/1000000</f>
        <v>1192.553216</v>
      </c>
      <c r="D15" s="3334">
        <v>770</v>
      </c>
      <c r="E15" s="3334">
        <v>880</v>
      </c>
      <c r="F15" s="3334">
        <v>960</v>
      </c>
      <c r="G15" s="3334">
        <v>770</v>
      </c>
      <c r="H15" s="3334">
        <v>826.96921500000008</v>
      </c>
      <c r="I15" s="3334">
        <f t="shared" si="32"/>
        <v>4206.9692150000001</v>
      </c>
      <c r="J15" s="3334"/>
      <c r="K15" s="3334">
        <v>708.54907600000001</v>
      </c>
      <c r="L15" s="3334">
        <v>552.2912</v>
      </c>
      <c r="M15" s="3334">
        <v>154.60680099999999</v>
      </c>
      <c r="N15" s="3334">
        <v>529.35928999999999</v>
      </c>
      <c r="O15" s="3334">
        <v>663</v>
      </c>
      <c r="P15" s="3334">
        <f t="shared" si="33"/>
        <v>2607.8063669999997</v>
      </c>
      <c r="Q15" s="3329"/>
      <c r="R15" s="3329">
        <f t="shared" si="1"/>
        <v>1.1566850771905361E-4</v>
      </c>
      <c r="S15" s="3334">
        <v>909</v>
      </c>
      <c r="T15" s="3334">
        <v>694</v>
      </c>
      <c r="U15" s="3101">
        <f>'[15]Phụ lục số 1'!$N$43</f>
        <v>0</v>
      </c>
      <c r="V15" s="3101">
        <v>519</v>
      </c>
      <c r="W15" s="3101"/>
      <c r="X15" s="3101">
        <v>1035</v>
      </c>
      <c r="Y15" s="3101"/>
      <c r="Z15" s="3101">
        <v>703.9</v>
      </c>
      <c r="AA15" s="3334">
        <f t="shared" si="3"/>
        <v>3860.9</v>
      </c>
      <c r="AB15" s="3329">
        <f t="shared" si="4"/>
        <v>1.2044216480944447E-2</v>
      </c>
      <c r="AC15" s="3329">
        <f t="shared" si="13"/>
        <v>1.0330863669407395E-4</v>
      </c>
      <c r="AD15" s="3329">
        <f t="shared" si="5"/>
        <v>0.48051636381329565</v>
      </c>
      <c r="AE15" s="3345"/>
      <c r="AF15" s="3335">
        <v>297</v>
      </c>
      <c r="AG15" s="3336"/>
      <c r="AH15" s="3337">
        <f>[2]PL1.1!H35</f>
        <v>280.44446699999997</v>
      </c>
      <c r="AI15" s="3343">
        <f t="shared" si="34"/>
        <v>2835.3444669999999</v>
      </c>
      <c r="AJ15" s="3338">
        <f t="shared" si="25"/>
        <v>7.2190061199904531E-5</v>
      </c>
      <c r="AK15" s="3339">
        <f t="shared" si="15"/>
        <v>-0.57692723951032088</v>
      </c>
      <c r="AL15" s="3335">
        <f t="shared" si="29"/>
        <v>1281.3444669999999</v>
      </c>
      <c r="AM15" s="3339">
        <f t="shared" si="30"/>
        <v>5.4476095048564788E-5</v>
      </c>
      <c r="AN15" s="3339">
        <f t="shared" si="31"/>
        <v>-0.71847763098363737</v>
      </c>
      <c r="AO15" s="3337">
        <f>'[16]Phụ lục số 1-1'!N35</f>
        <v>0</v>
      </c>
      <c r="AP15" s="3337">
        <f>'[17]thu noi dia(HĐND)'!$G$20</f>
        <v>341.74988999999999</v>
      </c>
      <c r="AQ15" s="3337">
        <f>[2]PL1.1!Z35</f>
        <v>0</v>
      </c>
      <c r="AR15" s="3337">
        <f>[2]PL1.1!AF35</f>
        <v>0</v>
      </c>
      <c r="AS15" s="3334">
        <f t="shared" si="35"/>
        <v>341.74988999999999</v>
      </c>
      <c r="AT15" s="3331">
        <f t="shared" si="26"/>
        <v>1.230679721725892E-5</v>
      </c>
      <c r="AU15" s="3327" t="e">
        <f t="shared" si="18"/>
        <v>#DIV/0!</v>
      </c>
      <c r="AV15" s="3334">
        <f t="shared" si="7"/>
        <v>919.19435700000008</v>
      </c>
      <c r="AW15" s="3329" t="e">
        <f t="shared" si="8"/>
        <v>#DIV/0!</v>
      </c>
      <c r="AX15" s="3329"/>
      <c r="AY15" s="3329">
        <f t="shared" si="9"/>
        <v>-0.76192225724571983</v>
      </c>
      <c r="AZ15" s="3337">
        <f>[2]PL1.1!AL35</f>
        <v>0</v>
      </c>
      <c r="BA15" s="3334">
        <f>'[16]Phụ lục số 1-1'!AR35</f>
        <v>0</v>
      </c>
      <c r="BB15" s="3334">
        <f>'[16]Phụ lục số 1-1'!AX35</f>
        <v>0</v>
      </c>
      <c r="BC15" s="3334">
        <f>'[16]Phụ lục số 1-1'!BD35</f>
        <v>0</v>
      </c>
      <c r="BD15" s="3334">
        <f>'[16]Phụ lục số 1-1'!BJ35</f>
        <v>0</v>
      </c>
      <c r="BE15" s="3340">
        <f t="shared" si="28"/>
        <v>0</v>
      </c>
      <c r="BF15" s="3327" t="e">
        <f t="shared" si="11"/>
        <v>#DIV/0!</v>
      </c>
      <c r="BG15" s="3331">
        <f t="shared" si="20"/>
        <v>0</v>
      </c>
      <c r="BH15" s="3341">
        <f t="shared" si="37"/>
        <v>-1</v>
      </c>
      <c r="BI15" s="3342"/>
      <c r="BJ15" s="3342"/>
      <c r="BK15" s="3342"/>
      <c r="BL15" s="2028">
        <f t="shared" si="39"/>
        <v>297</v>
      </c>
      <c r="BM15" s="2028">
        <f t="shared" si="40"/>
        <v>280.44446699999997</v>
      </c>
      <c r="BN15" s="2028">
        <f t="shared" si="38"/>
        <v>94.425746464646451</v>
      </c>
      <c r="BO15" s="3317">
        <f t="shared" si="21"/>
        <v>-5.5742535353535487</v>
      </c>
      <c r="BP15" s="2028" t="s">
        <v>1974</v>
      </c>
      <c r="BQ15" s="2028">
        <f>'[18]1'!$H$10*1000</f>
        <v>87214000</v>
      </c>
    </row>
    <row r="16" spans="1:127" s="2028" customFormat="1" ht="30" customHeight="1">
      <c r="A16" s="3333">
        <v>7</v>
      </c>
      <c r="B16" s="3098" t="s">
        <v>97</v>
      </c>
      <c r="C16" s="3103">
        <f>'[14]Tổng hợp thu NSNN năm 2005'!$D$41/1000000</f>
        <v>4947.6086210000003</v>
      </c>
      <c r="D16" s="3334">
        <v>6300</v>
      </c>
      <c r="E16" s="3334">
        <v>10340</v>
      </c>
      <c r="F16" s="3334">
        <v>13690</v>
      </c>
      <c r="G16" s="3334">
        <v>17250</v>
      </c>
      <c r="H16" s="3334">
        <v>22513.990010999998</v>
      </c>
      <c r="I16" s="3334">
        <f t="shared" si="32"/>
        <v>70093.990011000002</v>
      </c>
      <c r="J16" s="3334"/>
      <c r="K16" s="3334">
        <v>22700.889665999999</v>
      </c>
      <c r="L16" s="3334">
        <v>7232.069724</v>
      </c>
      <c r="M16" s="3334">
        <v>9025.4512319999994</v>
      </c>
      <c r="N16" s="3334">
        <v>8785.7481970000008</v>
      </c>
      <c r="O16" s="3334">
        <v>8245</v>
      </c>
      <c r="P16" s="3334">
        <f t="shared" si="33"/>
        <v>55989.158818999997</v>
      </c>
      <c r="Q16" s="3329"/>
      <c r="R16" s="3329">
        <f t="shared" si="1"/>
        <v>2.4833831725355323E-3</v>
      </c>
      <c r="S16" s="3334">
        <v>8374</v>
      </c>
      <c r="T16" s="3334">
        <v>9759</v>
      </c>
      <c r="U16" s="3101">
        <f>'[15]Phụ lục số 1'!$N$44</f>
        <v>8500</v>
      </c>
      <c r="V16" s="3101">
        <v>10562</v>
      </c>
      <c r="W16" s="3101">
        <v>6000</v>
      </c>
      <c r="X16" s="3101">
        <v>11281</v>
      </c>
      <c r="Y16" s="3101">
        <v>8000</v>
      </c>
      <c r="Z16" s="3101">
        <v>11442.9</v>
      </c>
      <c r="AA16" s="3334">
        <f t="shared" si="3"/>
        <v>51418.9</v>
      </c>
      <c r="AB16" s="3329">
        <f t="shared" si="4"/>
        <v>6.7748791440422895E-2</v>
      </c>
      <c r="AC16" s="3329">
        <f t="shared" si="13"/>
        <v>1.375849273306462E-3</v>
      </c>
      <c r="AD16" s="3329">
        <f t="shared" si="5"/>
        <v>-8.1627567111243526E-2</v>
      </c>
      <c r="AE16" s="3345">
        <v>8000</v>
      </c>
      <c r="AF16" s="3335">
        <v>9403</v>
      </c>
      <c r="AG16" s="3336">
        <v>8000</v>
      </c>
      <c r="AH16" s="3337">
        <f>[2]PL1.1!H36</f>
        <v>17903.111367000001</v>
      </c>
      <c r="AI16" s="3343">
        <f t="shared" si="34"/>
        <v>60592.011366999999</v>
      </c>
      <c r="AJ16" s="3338">
        <f t="shared" si="25"/>
        <v>1.5427194331125486E-3</v>
      </c>
      <c r="AK16" s="3339">
        <f t="shared" si="15"/>
        <v>9.5957047041294707E-2</v>
      </c>
      <c r="AL16" s="3335">
        <f t="shared" si="29"/>
        <v>38749.011366999999</v>
      </c>
      <c r="AM16" s="3339">
        <f t="shared" si="30"/>
        <v>1.6474062054591986E-3</v>
      </c>
      <c r="AN16" s="3339">
        <f t="shared" si="31"/>
        <v>3.309326256702616E-2</v>
      </c>
      <c r="AO16" s="3337">
        <f>'[16]Phụ lục số 1-1'!N36</f>
        <v>10000</v>
      </c>
      <c r="AP16" s="3337">
        <f>'[17]thu noi dia(HĐND)'!$G$21</f>
        <v>17526.987714000003</v>
      </c>
      <c r="AQ16" s="3337">
        <f>[2]PL1.1!Z36</f>
        <v>15000</v>
      </c>
      <c r="AR16" s="3337">
        <f>[2]PL1.1!AF36</f>
        <v>12000</v>
      </c>
      <c r="AS16" s="3334">
        <f t="shared" si="35"/>
        <v>44526.987714000003</v>
      </c>
      <c r="AT16" s="3331">
        <f t="shared" si="26"/>
        <v>1.6034668174774757E-3</v>
      </c>
      <c r="AU16" s="3327">
        <f t="shared" si="18"/>
        <v>-0.12484647929465131</v>
      </c>
      <c r="AV16" s="3334">
        <f t="shared" si="7"/>
        <v>71833.099081000008</v>
      </c>
      <c r="AW16" s="3329">
        <f t="shared" si="8"/>
        <v>9.5527791710896537E-3</v>
      </c>
      <c r="AX16" s="3329">
        <f t="shared" ref="AX16:AX21" si="41">AV16/$AV$7</f>
        <v>1.6760096201544961E-3</v>
      </c>
      <c r="AY16" s="3329">
        <f t="shared" si="9"/>
        <v>0.39701742124004991</v>
      </c>
      <c r="AZ16" s="3337">
        <f>[2]PL1.1!AL36</f>
        <v>13000</v>
      </c>
      <c r="BA16" s="3334">
        <f>'[16]Phụ lục số 1-1'!AR36</f>
        <v>14000</v>
      </c>
      <c r="BB16" s="3334">
        <f>'[16]Phụ lục số 1-1'!AX36</f>
        <v>15000</v>
      </c>
      <c r="BC16" s="3334">
        <f>'[16]Phụ lục số 1-1'!BD36</f>
        <v>16000</v>
      </c>
      <c r="BD16" s="3334">
        <f>'[16]Phụ lục số 1-1'!BJ36</f>
        <v>17000</v>
      </c>
      <c r="BE16" s="3340">
        <f t="shared" si="28"/>
        <v>75000</v>
      </c>
      <c r="BF16" s="3327">
        <f t="shared" si="11"/>
        <v>7.2145025900850923E-2</v>
      </c>
      <c r="BG16" s="3331">
        <f t="shared" si="20"/>
        <v>1.1533138501810302E-3</v>
      </c>
      <c r="BH16" s="3341">
        <f t="shared" si="37"/>
        <v>4.4086931505334936E-2</v>
      </c>
      <c r="BI16" s="3342"/>
      <c r="BJ16" s="3342"/>
      <c r="BK16" s="3342"/>
      <c r="BL16" s="2028">
        <f t="shared" si="39"/>
        <v>9403</v>
      </c>
      <c r="BM16" s="2028">
        <f t="shared" si="40"/>
        <v>17903.111367000001</v>
      </c>
      <c r="BN16" s="2028">
        <f t="shared" si="38"/>
        <v>190.3978662873551</v>
      </c>
      <c r="BO16" s="3317">
        <f t="shared" si="21"/>
        <v>90.3978662873551</v>
      </c>
      <c r="BQ16" s="3347">
        <f>BQ14/BQ15</f>
        <v>7.1222377510984466E-2</v>
      </c>
    </row>
    <row r="17" spans="1:67" s="2028" customFormat="1">
      <c r="A17" s="3333">
        <v>8</v>
      </c>
      <c r="B17" s="3098" t="s">
        <v>20</v>
      </c>
      <c r="C17" s="3103">
        <f>'[14]Tổng hợp thu NSNN năm 2005'!$D$42/1000000</f>
        <v>30997.278076999999</v>
      </c>
      <c r="D17" s="3334">
        <f>38820+25460</f>
        <v>64280</v>
      </c>
      <c r="E17" s="3334">
        <f>50550+36090</f>
        <v>86640</v>
      </c>
      <c r="F17" s="3334">
        <f>66690+43730</f>
        <v>110420</v>
      </c>
      <c r="G17" s="3334">
        <f>115840+0</f>
        <v>115840</v>
      </c>
      <c r="H17" s="3334">
        <v>186978.995165</v>
      </c>
      <c r="I17" s="3334">
        <f t="shared" si="32"/>
        <v>564158.99516499997</v>
      </c>
      <c r="J17" s="3334"/>
      <c r="K17" s="3334">
        <v>211576.30287000001</v>
      </c>
      <c r="L17" s="3334">
        <v>242659.928071</v>
      </c>
      <c r="M17" s="3334">
        <v>238487.114038</v>
      </c>
      <c r="N17" s="3334">
        <v>256057.09914899999</v>
      </c>
      <c r="O17" s="3334">
        <v>310783</v>
      </c>
      <c r="P17" s="3334">
        <f t="shared" si="33"/>
        <v>1259563.4441280002</v>
      </c>
      <c r="Q17" s="3329"/>
      <c r="R17" s="3329">
        <f t="shared" si="1"/>
        <v>5.5867577364403821E-2</v>
      </c>
      <c r="S17" s="3334">
        <v>341640</v>
      </c>
      <c r="T17" s="3334">
        <v>382262</v>
      </c>
      <c r="U17" s="3101">
        <f>'[15]Phụ lục số 1'!$N$45</f>
        <v>445000</v>
      </c>
      <c r="V17" s="3101">
        <v>479310</v>
      </c>
      <c r="W17" s="3101">
        <v>521000</v>
      </c>
      <c r="X17" s="3101">
        <v>521482</v>
      </c>
      <c r="Y17" s="3101">
        <v>580000</v>
      </c>
      <c r="Z17" s="3101">
        <v>534260.9</v>
      </c>
      <c r="AA17" s="3334">
        <f t="shared" si="3"/>
        <v>2258954.9</v>
      </c>
      <c r="AB17" s="3329">
        <f t="shared" si="4"/>
        <v>0.11444650701410319</v>
      </c>
      <c r="AC17" s="3329">
        <f t="shared" si="13"/>
        <v>6.0444339680488519E-2</v>
      </c>
      <c r="AD17" s="3329">
        <f t="shared" si="5"/>
        <v>0.79344272853510889</v>
      </c>
      <c r="AE17" s="3345">
        <v>465000</v>
      </c>
      <c r="AF17" s="3335">
        <v>453602</v>
      </c>
      <c r="AG17" s="3336">
        <v>500000</v>
      </c>
      <c r="AH17" s="3337">
        <f>[2]PL1.1!H37</f>
        <v>711978.18546399998</v>
      </c>
      <c r="AI17" s="3343">
        <f t="shared" si="34"/>
        <v>2700633.0854639998</v>
      </c>
      <c r="AJ17" s="3338">
        <f t="shared" si="25"/>
        <v>6.8760205325038959E-2</v>
      </c>
      <c r="AK17" s="3339">
        <f t="shared" si="15"/>
        <v>0.29859037129816812</v>
      </c>
      <c r="AL17" s="3335">
        <f>AH17+AF17+Z17</f>
        <v>1699841.0854639998</v>
      </c>
      <c r="AM17" s="3339">
        <f t="shared" si="30"/>
        <v>7.2268392242717971E-2</v>
      </c>
      <c r="AN17" s="3339">
        <f>((Z17/X17)*(AF17/Z17)*(AH17/AF17)^(1/3))-1</f>
        <v>1.0879867146190492E-2</v>
      </c>
      <c r="AO17" s="3337">
        <f>'[16]Phụ lục số 1-1'!N37</f>
        <v>600000</v>
      </c>
      <c r="AP17" s="3337">
        <f>'[17]thu noi dia(HĐND)'!$G$22</f>
        <v>694840.38474699995</v>
      </c>
      <c r="AQ17" s="3337">
        <f>[2]PL1.1!Z37</f>
        <v>730000</v>
      </c>
      <c r="AR17" s="3337">
        <f>[2]PL1.1!AF37</f>
        <v>870000</v>
      </c>
      <c r="AS17" s="3334">
        <f t="shared" si="35"/>
        <v>2294840.3847469999</v>
      </c>
      <c r="AT17" s="3331">
        <f t="shared" si="26"/>
        <v>8.2639778643550613E-2</v>
      </c>
      <c r="AU17" s="3327">
        <f t="shared" si="18"/>
        <v>6.9098011471332654E-2</v>
      </c>
      <c r="AV17" s="3334">
        <f t="shared" si="7"/>
        <v>3460420.5702109998</v>
      </c>
      <c r="AW17" s="3329">
        <f t="shared" si="8"/>
        <v>0.10243545570273538</v>
      </c>
      <c r="AX17" s="3329">
        <f t="shared" si="41"/>
        <v>8.0738520816348483E-2</v>
      </c>
      <c r="AY17" s="3329">
        <f t="shared" si="9"/>
        <v>0.53186793158685908</v>
      </c>
      <c r="AZ17" s="3337">
        <f>[2]PL1.1!AL37</f>
        <v>940000</v>
      </c>
      <c r="BA17" s="3334">
        <f>'[16]Phụ lục số 1-1'!AR37</f>
        <v>1040000</v>
      </c>
      <c r="BB17" s="3334">
        <f>'[16]Phụ lục số 1-1'!AX37</f>
        <v>1150000</v>
      </c>
      <c r="BC17" s="3334">
        <f>'[16]Phụ lục số 1-1'!BD37</f>
        <v>1270000</v>
      </c>
      <c r="BD17" s="3334">
        <f>'[16]Phụ lục số 1-1'!BJ37</f>
        <v>1420000</v>
      </c>
      <c r="BE17" s="3340">
        <f t="shared" si="28"/>
        <v>5820000</v>
      </c>
      <c r="BF17" s="3327">
        <f t="shared" si="11"/>
        <v>0.10294490378842869</v>
      </c>
      <c r="BG17" s="3331">
        <f t="shared" si="20"/>
        <v>8.9497154774047932E-2</v>
      </c>
      <c r="BH17" s="3341">
        <f t="shared" si="37"/>
        <v>0.68187648926301581</v>
      </c>
      <c r="BI17" s="3342"/>
      <c r="BJ17" s="3342"/>
      <c r="BK17" s="3342"/>
      <c r="BL17" s="2028">
        <f t="shared" si="39"/>
        <v>453602</v>
      </c>
      <c r="BM17" s="2028">
        <f t="shared" si="40"/>
        <v>711978.18546399998</v>
      </c>
      <c r="BN17" s="2028">
        <f t="shared" si="38"/>
        <v>156.96098903091254</v>
      </c>
      <c r="BO17" s="3317">
        <f t="shared" si="21"/>
        <v>56.960989030912543</v>
      </c>
    </row>
    <row r="18" spans="1:67" s="2028" customFormat="1">
      <c r="A18" s="3333">
        <v>9</v>
      </c>
      <c r="B18" s="3098" t="s">
        <v>1975</v>
      </c>
      <c r="C18" s="3103">
        <f>'[14]Tổng hợp thu NSNN năm 2005'!$D$44/1000000</f>
        <v>121877.060023</v>
      </c>
      <c r="D18" s="3334">
        <v>154600</v>
      </c>
      <c r="E18" s="3334">
        <v>172040</v>
      </c>
      <c r="F18" s="3334">
        <v>185420</v>
      </c>
      <c r="G18" s="3334">
        <v>382620</v>
      </c>
      <c r="H18" s="3334">
        <v>499448.84769999998</v>
      </c>
      <c r="I18" s="3334">
        <f t="shared" si="32"/>
        <v>1394128.8477</v>
      </c>
      <c r="J18" s="3334"/>
      <c r="K18" s="3334">
        <v>650890.53007500002</v>
      </c>
      <c r="L18" s="3334">
        <v>646721.78421900002</v>
      </c>
      <c r="M18" s="3334">
        <v>553543.69900000002</v>
      </c>
      <c r="N18" s="3334">
        <v>670403.16145000001</v>
      </c>
      <c r="O18" s="3334">
        <v>1299030</v>
      </c>
      <c r="P18" s="3334">
        <f t="shared" si="33"/>
        <v>3820589.1747440002</v>
      </c>
      <c r="Q18" s="3329"/>
      <c r="R18" s="3329">
        <f t="shared" si="1"/>
        <v>0.16946114329745751</v>
      </c>
      <c r="S18" s="3334">
        <v>2273225</v>
      </c>
      <c r="T18" s="3334">
        <v>1947905</v>
      </c>
      <c r="U18" s="3101">
        <f>'[15]Phụ lục số 1'!$N$46</f>
        <v>2332000</v>
      </c>
      <c r="V18" s="3101">
        <v>1700536</v>
      </c>
      <c r="W18" s="3101">
        <v>2280000</v>
      </c>
      <c r="X18" s="3101">
        <v>2280939</v>
      </c>
      <c r="Y18" s="3101">
        <v>2510000</v>
      </c>
      <c r="Z18" s="3101">
        <v>1939730</v>
      </c>
      <c r="AA18" s="3334">
        <f t="shared" si="3"/>
        <v>10142335</v>
      </c>
      <c r="AB18" s="3329">
        <f t="shared" si="4"/>
        <v>8.3488784977151065E-2</v>
      </c>
      <c r="AC18" s="3329">
        <f t="shared" si="13"/>
        <v>0.27138511791152076</v>
      </c>
      <c r="AD18" s="3329">
        <f t="shared" si="5"/>
        <v>1.6546520801152589</v>
      </c>
      <c r="AE18" s="3345">
        <v>2270000</v>
      </c>
      <c r="AF18" s="3335">
        <v>1312857</v>
      </c>
      <c r="AG18" s="3336">
        <v>1527000</v>
      </c>
      <c r="AH18" s="3337">
        <f>[2]PL1.1!H38</f>
        <v>926612.70443099993</v>
      </c>
      <c r="AI18" s="3343">
        <f t="shared" si="34"/>
        <v>8160674.7044310002</v>
      </c>
      <c r="AJ18" s="3338">
        <f t="shared" si="25"/>
        <v>0.20777708430211231</v>
      </c>
      <c r="AK18" s="3339">
        <f t="shared" si="15"/>
        <v>-0.37138344101499066</v>
      </c>
      <c r="AL18" s="3335">
        <f t="shared" si="29"/>
        <v>4179199.7044310002</v>
      </c>
      <c r="AM18" s="3339">
        <f t="shared" si="30"/>
        <v>0.17767781122788198</v>
      </c>
      <c r="AN18" s="3339">
        <f t="shared" si="31"/>
        <v>-0.48753521356171647</v>
      </c>
      <c r="AO18" s="3337">
        <f>'[16]Phụ lục số 1-1'!N38</f>
        <v>1500000</v>
      </c>
      <c r="AP18" s="3337">
        <f>'[17]thu noi dia(HĐND)'!$G$23</f>
        <v>946182.54455700004</v>
      </c>
      <c r="AQ18" s="3337">
        <f>[2]PL1.1!Z38</f>
        <v>1065000</v>
      </c>
      <c r="AR18" s="3337">
        <f>[2]PL1.1!AF38</f>
        <v>1750000</v>
      </c>
      <c r="AS18" s="3334">
        <f t="shared" si="35"/>
        <v>3761182.544557</v>
      </c>
      <c r="AT18" s="3346">
        <f t="shared" si="26"/>
        <v>0.13544440606244793</v>
      </c>
      <c r="AU18" s="3327">
        <f t="shared" si="18"/>
        <v>0.23608005671337562</v>
      </c>
      <c r="AV18" s="3334">
        <f t="shared" si="7"/>
        <v>6000652.2489880007</v>
      </c>
      <c r="AW18" s="3329">
        <f t="shared" si="8"/>
        <v>-2.0376142663472319E-2</v>
      </c>
      <c r="AX18" s="3329">
        <f t="shared" si="41"/>
        <v>0.14000719758958216</v>
      </c>
      <c r="AY18" s="3329">
        <f t="shared" si="9"/>
        <v>-0.40835594081757298</v>
      </c>
      <c r="AZ18" s="3337">
        <f>[2]PL1.1!AL38</f>
        <v>1900000</v>
      </c>
      <c r="BA18" s="3334">
        <f>'[16]Phụ lục số 1-1'!AR38</f>
        <v>2100000</v>
      </c>
      <c r="BB18" s="3334">
        <f>'[16]Phụ lục số 1-1'!AX38</f>
        <v>2300000</v>
      </c>
      <c r="BC18" s="3334">
        <f>'[16]Phụ lục số 1-1'!BD38</f>
        <v>2500000</v>
      </c>
      <c r="BD18" s="3334">
        <f>'[16]Phụ lục số 1-1'!BJ38</f>
        <v>2670000</v>
      </c>
      <c r="BE18" s="3340">
        <f t="shared" si="28"/>
        <v>11470000</v>
      </c>
      <c r="BF18" s="3327">
        <f t="shared" si="11"/>
        <v>8.8164723114491528E-2</v>
      </c>
      <c r="BG18" s="3331">
        <f t="shared" si="20"/>
        <v>0.17638013148768553</v>
      </c>
      <c r="BH18" s="3341">
        <f t="shared" si="37"/>
        <v>0.9114588754804771</v>
      </c>
      <c r="BI18" s="3342"/>
      <c r="BJ18" s="3342"/>
      <c r="BK18" s="3342"/>
      <c r="BL18" s="2028">
        <f t="shared" si="39"/>
        <v>1312857</v>
      </c>
      <c r="BM18" s="2028">
        <f t="shared" si="40"/>
        <v>926612.70443099993</v>
      </c>
      <c r="BN18" s="2028">
        <f t="shared" si="38"/>
        <v>70.579865471334656</v>
      </c>
      <c r="BO18" s="3317">
        <f t="shared" si="21"/>
        <v>-29.420134528665344</v>
      </c>
    </row>
    <row r="19" spans="1:67" s="2028" customFormat="1">
      <c r="A19" s="3333">
        <v>10</v>
      </c>
      <c r="B19" s="3098" t="s">
        <v>22</v>
      </c>
      <c r="C19" s="3103">
        <f>'[14]Tổng hợp thu NSNN năm 2005'!$D$45/1000000</f>
        <v>61753.951621</v>
      </c>
      <c r="D19" s="3334">
        <v>83710</v>
      </c>
      <c r="E19" s="3334">
        <v>65760</v>
      </c>
      <c r="F19" s="3334">
        <v>62020</v>
      </c>
      <c r="G19" s="3334">
        <v>108070</v>
      </c>
      <c r="H19" s="3334">
        <v>147763</v>
      </c>
      <c r="I19" s="3334">
        <f t="shared" si="32"/>
        <v>467323</v>
      </c>
      <c r="J19" s="3334"/>
      <c r="K19" s="3334">
        <v>129532.067836</v>
      </c>
      <c r="L19" s="3334">
        <v>124106.44856800001</v>
      </c>
      <c r="M19" s="3334">
        <v>151790.240028</v>
      </c>
      <c r="N19" s="3334">
        <v>165870.497191</v>
      </c>
      <c r="O19" s="3334">
        <v>212616</v>
      </c>
      <c r="P19" s="3334">
        <f t="shared" si="33"/>
        <v>783915.253623</v>
      </c>
      <c r="Q19" s="3329"/>
      <c r="R19" s="3329">
        <f t="shared" si="1"/>
        <v>3.4770337518995657E-2</v>
      </c>
      <c r="S19" s="3334">
        <v>205555</v>
      </c>
      <c r="T19" s="3334">
        <v>256429</v>
      </c>
      <c r="U19" s="3101">
        <f>'[15]Phụ lục số 1'!$N$47</f>
        <v>175000</v>
      </c>
      <c r="V19" s="3101">
        <v>154856</v>
      </c>
      <c r="W19" s="3101">
        <v>180000</v>
      </c>
      <c r="X19" s="3101">
        <v>172887</v>
      </c>
      <c r="Y19" s="3101">
        <v>187000</v>
      </c>
      <c r="Z19" s="3101">
        <v>169167.9</v>
      </c>
      <c r="AA19" s="3334">
        <f t="shared" si="3"/>
        <v>958894.9</v>
      </c>
      <c r="AB19" s="3329">
        <f t="shared" si="4"/>
        <v>-4.4689826074443384E-2</v>
      </c>
      <c r="AC19" s="3329">
        <f t="shared" si="13"/>
        <v>2.5657780530938479E-2</v>
      </c>
      <c r="AD19" s="3329">
        <f t="shared" si="5"/>
        <v>0.22321245258119582</v>
      </c>
      <c r="AE19" s="3345">
        <v>192900</v>
      </c>
      <c r="AF19" s="3335">
        <v>156068</v>
      </c>
      <c r="AG19" s="3336">
        <v>160000</v>
      </c>
      <c r="AH19" s="3337">
        <f>[2]PL1.1!H39</f>
        <v>174909.15649200001</v>
      </c>
      <c r="AI19" s="3343">
        <f t="shared" si="34"/>
        <v>827888.056492</v>
      </c>
      <c r="AJ19" s="3338">
        <f t="shared" si="25"/>
        <v>2.1078669685614428E-2</v>
      </c>
      <c r="AK19" s="3339">
        <f t="shared" si="15"/>
        <v>-0.37734645892694785</v>
      </c>
      <c r="AL19" s="3335">
        <f t="shared" si="29"/>
        <v>500145.056492</v>
      </c>
      <c r="AM19" s="3339">
        <f t="shared" si="30"/>
        <v>2.1263563653042251E-2</v>
      </c>
      <c r="AN19" s="3339">
        <f t="shared" si="31"/>
        <v>-6.2327699626152921E-2</v>
      </c>
      <c r="AO19" s="3337">
        <f>'[16]Phụ lục số 1-1'!N39</f>
        <v>160000</v>
      </c>
      <c r="AP19" s="3337">
        <f>'[17]thu noi dia(HĐND)'!$G$24</f>
        <v>154883.97971400002</v>
      </c>
      <c r="AQ19" s="3337">
        <f>[2]PL1.1!Z39</f>
        <v>170000</v>
      </c>
      <c r="AR19" s="3337">
        <f>[2]PL1.1!AF39</f>
        <v>212000</v>
      </c>
      <c r="AS19" s="3334">
        <f t="shared" si="35"/>
        <v>536883.97971400002</v>
      </c>
      <c r="AT19" s="3331">
        <f t="shared" si="26"/>
        <v>1.9333794862480134E-2</v>
      </c>
      <c r="AU19" s="3327">
        <f t="shared" si="18"/>
        <v>6.6205958322870906E-2</v>
      </c>
      <c r="AV19" s="3334">
        <f t="shared" si="7"/>
        <v>867861.136206</v>
      </c>
      <c r="AW19" s="3329">
        <f t="shared" si="8"/>
        <v>4.617317620241157E-2</v>
      </c>
      <c r="AX19" s="3329">
        <f t="shared" si="41"/>
        <v>2.0248933038505047E-2</v>
      </c>
      <c r="AY19" s="3329">
        <f t="shared" si="9"/>
        <v>-9.493612260738904E-2</v>
      </c>
      <c r="AZ19" s="3337">
        <f>[2]PL1.1!AL39</f>
        <v>226000</v>
      </c>
      <c r="BA19" s="3334">
        <f>'[16]Phụ lục số 1-1'!AR39</f>
        <v>245000</v>
      </c>
      <c r="BB19" s="3334">
        <f>'[16]Phụ lục số 1-1'!AX39</f>
        <v>270000</v>
      </c>
      <c r="BC19" s="3334">
        <f>'[16]Phụ lục số 1-1'!BD39</f>
        <v>300000</v>
      </c>
      <c r="BD19" s="3334">
        <f>'[16]Phụ lục số 1-1'!BJ39</f>
        <v>340000</v>
      </c>
      <c r="BE19" s="3340">
        <f t="shared" si="28"/>
        <v>1381000</v>
      </c>
      <c r="BF19" s="3327">
        <f t="shared" si="11"/>
        <v>9.9078244074792599E-2</v>
      </c>
      <c r="BG19" s="3331">
        <f t="shared" si="20"/>
        <v>2.1236352361333366E-2</v>
      </c>
      <c r="BH19" s="3341">
        <f t="shared" si="37"/>
        <v>0.59126839811870391</v>
      </c>
      <c r="BI19" s="3342"/>
      <c r="BJ19" s="3342"/>
      <c r="BK19" s="3342"/>
      <c r="BL19" s="2028">
        <f t="shared" si="39"/>
        <v>156068</v>
      </c>
      <c r="BM19" s="2028">
        <f t="shared" si="40"/>
        <v>174909.15649200001</v>
      </c>
      <c r="BN19" s="2028">
        <f t="shared" si="38"/>
        <v>112.07240208883307</v>
      </c>
      <c r="BO19" s="3317">
        <f t="shared" si="21"/>
        <v>12.072402088833073</v>
      </c>
    </row>
    <row r="20" spans="1:67" s="2028" customFormat="1">
      <c r="A20" s="3333">
        <v>11</v>
      </c>
      <c r="B20" s="3098" t="s">
        <v>23</v>
      </c>
      <c r="C20" s="3103">
        <f>'[14]Tổng hợp thu NSNN năm 2005'!$D$49/1000000+'[14]Tổng hợp thu NSNN năm 2005'!$D$48/1000000</f>
        <v>153669.14994599999</v>
      </c>
      <c r="D20" s="3334">
        <v>191500</v>
      </c>
      <c r="E20" s="3334">
        <v>415260</v>
      </c>
      <c r="F20" s="3334">
        <v>444040</v>
      </c>
      <c r="G20" s="3334">
        <v>300000</v>
      </c>
      <c r="H20" s="3334">
        <v>407675.25223099999</v>
      </c>
      <c r="I20" s="3334">
        <f t="shared" si="32"/>
        <v>1758475.252231</v>
      </c>
      <c r="J20" s="3334"/>
      <c r="K20" s="3334">
        <v>394171.66318199999</v>
      </c>
      <c r="L20" s="3334">
        <v>413801.849995</v>
      </c>
      <c r="M20" s="3334">
        <v>312735.00110200001</v>
      </c>
      <c r="N20" s="3334">
        <v>379564.95398699999</v>
      </c>
      <c r="O20" s="3334">
        <v>383777</v>
      </c>
      <c r="P20" s="3334">
        <f t="shared" si="33"/>
        <v>1884050.468266</v>
      </c>
      <c r="Q20" s="3329"/>
      <c r="R20" s="3329">
        <f t="shared" si="1"/>
        <v>8.3566521230029819E-2</v>
      </c>
      <c r="S20" s="3334">
        <v>454422</v>
      </c>
      <c r="T20" s="3334">
        <v>639601</v>
      </c>
      <c r="U20" s="3101">
        <f>'[15]Phụ lục số 1'!$N$48</f>
        <v>450000</v>
      </c>
      <c r="V20" s="3101">
        <v>843422</v>
      </c>
      <c r="W20" s="3101">
        <v>450000</v>
      </c>
      <c r="X20" s="3101">
        <v>964965</v>
      </c>
      <c r="Y20" s="3101">
        <v>600000</v>
      </c>
      <c r="Z20" s="3101">
        <v>834389.9</v>
      </c>
      <c r="AA20" s="3334">
        <f t="shared" si="3"/>
        <v>3736799.9</v>
      </c>
      <c r="AB20" s="3329">
        <f t="shared" si="4"/>
        <v>0.16804081585277508</v>
      </c>
      <c r="AC20" s="3329">
        <f t="shared" si="13"/>
        <v>9.9988008823733293E-2</v>
      </c>
      <c r="AD20" s="3329">
        <f t="shared" si="5"/>
        <v>0.98338630675811545</v>
      </c>
      <c r="AE20" s="3345">
        <v>750000</v>
      </c>
      <c r="AF20" s="3335">
        <v>1239694</v>
      </c>
      <c r="AG20" s="3336">
        <v>800000</v>
      </c>
      <c r="AH20" s="3337">
        <f>[2]PL1.1!H40</f>
        <v>1029162.981864</v>
      </c>
      <c r="AI20" s="3343">
        <f t="shared" si="34"/>
        <v>4911633.8818640001</v>
      </c>
      <c r="AJ20" s="3338">
        <f t="shared" si="25"/>
        <v>0.12505399419720201</v>
      </c>
      <c r="AK20" s="3339">
        <f t="shared" si="15"/>
        <v>0.8674083510974111</v>
      </c>
      <c r="AL20" s="3335">
        <f t="shared" si="29"/>
        <v>3103246.8818639996</v>
      </c>
      <c r="AM20" s="3339">
        <f t="shared" si="30"/>
        <v>0.13193389946997411</v>
      </c>
      <c r="AN20" s="3339">
        <f t="shared" si="31"/>
        <v>0.20742312752420955</v>
      </c>
      <c r="AO20" s="3337">
        <f>'[16]Phụ lục số 1-1'!N40</f>
        <v>900000</v>
      </c>
      <c r="AP20" s="3337">
        <f>'[17]thu noi dia(HĐND)'!$G$25</f>
        <v>1157474.7737749999</v>
      </c>
      <c r="AQ20" s="3337">
        <f>[2]PL1.1!Z40</f>
        <v>1770000</v>
      </c>
      <c r="AR20" s="3337">
        <f>[2]PL1.1!AF40</f>
        <v>1200000</v>
      </c>
      <c r="AS20" s="3334">
        <f t="shared" si="35"/>
        <v>4127474.7737750001</v>
      </c>
      <c r="AT20" s="3346">
        <f t="shared" si="26"/>
        <v>0.14863500046832662</v>
      </c>
      <c r="AU20" s="3327">
        <f t="shared" si="18"/>
        <v>5.2524861805290257E-2</v>
      </c>
      <c r="AV20" s="3334">
        <f t="shared" si="7"/>
        <v>6396331.7556389999</v>
      </c>
      <c r="AW20" s="3329">
        <f t="shared" si="8"/>
        <v>7.5381204258924139E-2</v>
      </c>
      <c r="AX20" s="3329">
        <f>AV20/$AV$7</f>
        <v>0.14923919047488521</v>
      </c>
      <c r="AY20" s="3329">
        <f t="shared" si="9"/>
        <v>0.71171374620273342</v>
      </c>
      <c r="AZ20" s="3337">
        <f>[2]PL1.1!AL40</f>
        <v>1260000</v>
      </c>
      <c r="BA20" s="3334">
        <f>'[16]Phụ lục số 1-1'!AR40</f>
        <v>1300000</v>
      </c>
      <c r="BB20" s="3334">
        <f>'[16]Phụ lục số 1-1'!AX40</f>
        <v>1350000</v>
      </c>
      <c r="BC20" s="3334">
        <f>'[16]Phụ lục số 1-1'!BD40</f>
        <v>1400000</v>
      </c>
      <c r="BD20" s="3334">
        <f>'[16]Phụ lục số 1-1'!BJ40</f>
        <v>1450000</v>
      </c>
      <c r="BE20" s="3340">
        <f t="shared" si="28"/>
        <v>6760000</v>
      </c>
      <c r="BF20" s="3327">
        <f t="shared" si="11"/>
        <v>3.8573773084258578E-2</v>
      </c>
      <c r="BG20" s="3331">
        <f>BE20/$BE$7</f>
        <v>0.10395202169631684</v>
      </c>
      <c r="BH20" s="3341">
        <f>BE20/AV20-1</f>
        <v>5.6855750804418514E-2</v>
      </c>
      <c r="BI20" s="3342"/>
      <c r="BJ20" s="3342"/>
      <c r="BK20" s="3342"/>
      <c r="BL20" s="2028">
        <f t="shared" si="39"/>
        <v>1239694</v>
      </c>
      <c r="BM20" s="2028">
        <f t="shared" si="40"/>
        <v>1029162.981864</v>
      </c>
      <c r="BN20" s="2028">
        <f t="shared" si="38"/>
        <v>83.017501243371342</v>
      </c>
      <c r="BO20" s="3317">
        <f t="shared" si="21"/>
        <v>-16.982498756628658</v>
      </c>
    </row>
    <row r="21" spans="1:67" s="2028" customFormat="1">
      <c r="A21" s="3333">
        <v>12</v>
      </c>
      <c r="B21" s="3098" t="s">
        <v>24</v>
      </c>
      <c r="C21" s="3103">
        <f>'[14]Tổng hợp thu NSNN năm 2005'!$D$50/1000000</f>
        <v>4097.7900090000003</v>
      </c>
      <c r="D21" s="3334">
        <v>3650</v>
      </c>
      <c r="E21" s="3334">
        <v>1290</v>
      </c>
      <c r="F21" s="3334">
        <v>6350</v>
      </c>
      <c r="G21" s="3334">
        <v>9960</v>
      </c>
      <c r="H21" s="3334">
        <v>12272.982172</v>
      </c>
      <c r="I21" s="3334">
        <f t="shared" si="32"/>
        <v>33522.982172000004</v>
      </c>
      <c r="J21" s="3334"/>
      <c r="K21" s="3334">
        <v>14797.318150999999</v>
      </c>
      <c r="L21" s="3334">
        <v>21280.122105999999</v>
      </c>
      <c r="M21" s="3334">
        <v>25056.577998000001</v>
      </c>
      <c r="N21" s="3334">
        <v>30109.314546000001</v>
      </c>
      <c r="O21" s="3334">
        <v>35945</v>
      </c>
      <c r="P21" s="3334">
        <f t="shared" si="33"/>
        <v>127188.332801</v>
      </c>
      <c r="Q21" s="3329"/>
      <c r="R21" s="3329">
        <f t="shared" si="1"/>
        <v>5.6414022300629004E-3</v>
      </c>
      <c r="S21" s="3334">
        <v>53095</v>
      </c>
      <c r="T21" s="3334">
        <v>61296</v>
      </c>
      <c r="U21" s="3101">
        <f>'[15]Phụ lục số 1'!$N$49</f>
        <v>65000</v>
      </c>
      <c r="V21" s="3101">
        <v>194910</v>
      </c>
      <c r="W21" s="3101">
        <v>70000</v>
      </c>
      <c r="X21" s="3101">
        <v>177724</v>
      </c>
      <c r="Y21" s="3101">
        <v>140000</v>
      </c>
      <c r="Z21" s="3101">
        <v>103321.9</v>
      </c>
      <c r="AA21" s="3334">
        <f t="shared" si="3"/>
        <v>590346.9</v>
      </c>
      <c r="AB21" s="3329">
        <f t="shared" si="4"/>
        <v>0.23512462141630674</v>
      </c>
      <c r="AC21" s="3329">
        <f t="shared" si="13"/>
        <v>1.5796299675094615E-2</v>
      </c>
      <c r="AD21" s="3329">
        <f t="shared" si="5"/>
        <v>3.6415177162803296</v>
      </c>
      <c r="AE21" s="3345">
        <v>76000</v>
      </c>
      <c r="AF21" s="3335">
        <v>253261</v>
      </c>
      <c r="AG21" s="3336">
        <v>120000</v>
      </c>
      <c r="AH21" s="3337">
        <f>[2]PL1.1!H41</f>
        <v>237121.31138199999</v>
      </c>
      <c r="AI21" s="3343">
        <f t="shared" si="34"/>
        <v>966338.21138200001</v>
      </c>
      <c r="AJ21" s="3338">
        <f t="shared" si="25"/>
        <v>2.460371761928596E-2</v>
      </c>
      <c r="AK21" s="3339">
        <f t="shared" si="15"/>
        <v>3.0777128227538091</v>
      </c>
      <c r="AL21" s="3335">
        <f t="shared" si="29"/>
        <v>593704.21138200001</v>
      </c>
      <c r="AM21" s="3339">
        <f t="shared" si="30"/>
        <v>2.5241211776332612E-2</v>
      </c>
      <c r="AN21" s="3339">
        <f t="shared" si="31"/>
        <v>0.39408630762742924</v>
      </c>
      <c r="AO21" s="3337">
        <f>'[16]Phụ lục số 1-1'!N41</f>
        <v>115000</v>
      </c>
      <c r="AP21" s="3337">
        <f>'[17]thu noi dia(HĐND)'!$G$26</f>
        <v>118474.487924</v>
      </c>
      <c r="AQ21" s="3337">
        <f>[2]PL1.1!Z41</f>
        <v>315000</v>
      </c>
      <c r="AR21" s="3337">
        <f>[2]PL1.1!AF41</f>
        <v>184000</v>
      </c>
      <c r="AS21" s="3334">
        <f t="shared" si="35"/>
        <v>617474.48792400002</v>
      </c>
      <c r="AT21" s="3331">
        <f t="shared" si="26"/>
        <v>2.2235949541085327E-2</v>
      </c>
      <c r="AU21" s="3327">
        <f t="shared" si="18"/>
        <v>-8.1070038934718314E-2</v>
      </c>
      <c r="AV21" s="3334">
        <f t="shared" si="7"/>
        <v>1107856.7993060001</v>
      </c>
      <c r="AW21" s="3329">
        <f t="shared" si="8"/>
        <v>0.12234167062345613</v>
      </c>
      <c r="AX21" s="3329">
        <f t="shared" si="41"/>
        <v>2.5848511022706893E-2</v>
      </c>
      <c r="AY21" s="3329">
        <f t="shared" si="9"/>
        <v>0.8766199997086459</v>
      </c>
      <c r="AZ21" s="3337">
        <f>[2]PL1.1!AL41</f>
        <v>250000</v>
      </c>
      <c r="BA21" s="3334">
        <f>'[16]Phụ lục số 1-1'!AR41</f>
        <v>300000</v>
      </c>
      <c r="BB21" s="3334">
        <f>'[16]Phụ lục số 1-1'!AX41</f>
        <v>365000</v>
      </c>
      <c r="BC21" s="3334">
        <f>'[16]Phụ lục số 1-1'!BD41</f>
        <v>480000</v>
      </c>
      <c r="BD21" s="3334">
        <f>'[16]Phụ lục số 1-1'!BJ41</f>
        <v>600000</v>
      </c>
      <c r="BE21" s="3340">
        <f t="shared" si="28"/>
        <v>1995000</v>
      </c>
      <c r="BF21" s="3327">
        <f t="shared" si="11"/>
        <v>0.26667933524247434</v>
      </c>
      <c r="BG21" s="3331">
        <f t="shared" si="20"/>
        <v>3.06781484148154E-2</v>
      </c>
      <c r="BH21" s="3341">
        <f t="shared" si="37"/>
        <v>0.80077425281835812</v>
      </c>
      <c r="BI21" s="3342"/>
      <c r="BJ21" s="3342"/>
      <c r="BK21" s="3342"/>
      <c r="BL21" s="2028">
        <f t="shared" si="39"/>
        <v>253261</v>
      </c>
      <c r="BM21" s="2028">
        <f t="shared" si="40"/>
        <v>237121.31138199999</v>
      </c>
      <c r="BN21" s="2028">
        <f t="shared" si="38"/>
        <v>93.627250694737825</v>
      </c>
      <c r="BO21" s="3317">
        <f t="shared" si="21"/>
        <v>-6.3727493052621753</v>
      </c>
    </row>
    <row r="22" spans="1:67" s="2028" customFormat="1">
      <c r="A22" s="3333">
        <v>13</v>
      </c>
      <c r="B22" s="3098" t="s">
        <v>25</v>
      </c>
      <c r="C22" s="3103">
        <f>'[14]Tổng hợp thu NSNN năm 2005'!$D$51/1000000</f>
        <v>392.82925699999998</v>
      </c>
      <c r="D22" s="3334">
        <v>2970</v>
      </c>
      <c r="E22" s="3334">
        <v>1390</v>
      </c>
      <c r="F22" s="3334">
        <v>170</v>
      </c>
      <c r="G22" s="3334">
        <v>1150</v>
      </c>
      <c r="H22" s="3334">
        <v>1533.5377189999999</v>
      </c>
      <c r="I22" s="3334">
        <f t="shared" si="32"/>
        <v>7213.5377189999999</v>
      </c>
      <c r="J22" s="3334"/>
      <c r="K22" s="3334">
        <v>1094.738333</v>
      </c>
      <c r="L22" s="3334">
        <v>1681.6920950000001</v>
      </c>
      <c r="M22" s="3334">
        <v>1120.580835</v>
      </c>
      <c r="N22" s="3334">
        <v>258.28733599999998</v>
      </c>
      <c r="O22" s="3334">
        <v>375</v>
      </c>
      <c r="P22" s="3334">
        <f t="shared" si="33"/>
        <v>4530.2985990000006</v>
      </c>
      <c r="Q22" s="3329"/>
      <c r="R22" s="3329">
        <f t="shared" si="1"/>
        <v>2.0094010241675637E-4</v>
      </c>
      <c r="S22" s="3334">
        <v>382</v>
      </c>
      <c r="T22" s="3334">
        <v>2247</v>
      </c>
      <c r="U22" s="3101">
        <f>'[15]Phụ lục số 1'!$N$50</f>
        <v>0</v>
      </c>
      <c r="V22" s="3101">
        <v>702</v>
      </c>
      <c r="W22" s="3101"/>
      <c r="X22" s="3101">
        <v>3951</v>
      </c>
      <c r="Y22" s="3101"/>
      <c r="Z22" s="3101">
        <v>141.9</v>
      </c>
      <c r="AA22" s="3334">
        <f t="shared" si="3"/>
        <v>7423.9</v>
      </c>
      <c r="AB22" s="3329">
        <f t="shared" si="4"/>
        <v>-0.17663912597994502</v>
      </c>
      <c r="AC22" s="3329">
        <f t="shared" si="13"/>
        <v>1.9864616746176683E-4</v>
      </c>
      <c r="AD22" s="3329">
        <f t="shared" si="5"/>
        <v>0.63872200424906223</v>
      </c>
      <c r="AE22" s="3345"/>
      <c r="AF22" s="3335">
        <v>127</v>
      </c>
      <c r="AG22" s="3336"/>
      <c r="AH22" s="3337">
        <f>[2]PL1.1!H42</f>
        <v>79.078599999999994</v>
      </c>
      <c r="AI22" s="3343">
        <f t="shared" si="34"/>
        <v>5000.9786000000004</v>
      </c>
      <c r="AJ22" s="3338">
        <f t="shared" si="25"/>
        <v>1.2732877976389206E-4</v>
      </c>
      <c r="AK22" s="3339">
        <f t="shared" si="15"/>
        <v>-0.94858951526273927</v>
      </c>
      <c r="AL22" s="3335">
        <f t="shared" si="29"/>
        <v>347.97860000000003</v>
      </c>
      <c r="AM22" s="3339">
        <f t="shared" si="30"/>
        <v>1.4794238221396642E-5</v>
      </c>
      <c r="AN22" s="3339">
        <f t="shared" si="31"/>
        <v>-0.97255172170775117</v>
      </c>
      <c r="AO22" s="3337">
        <f>'[16]Phụ lục số 1-1'!N42</f>
        <v>0</v>
      </c>
      <c r="AP22" s="3337">
        <f>'[17]thu noi dia(HĐND)'!$G$27</f>
        <v>32.606999999999999</v>
      </c>
      <c r="AQ22" s="3337">
        <f>[2]PL1.1!Z42</f>
        <v>0</v>
      </c>
      <c r="AR22" s="3337">
        <f>[2]PL1.1!AF42</f>
        <v>0</v>
      </c>
      <c r="AS22" s="3334">
        <f t="shared" si="35"/>
        <v>32.606999999999999</v>
      </c>
      <c r="AT22" s="3331">
        <f t="shared" si="26"/>
        <v>1.1742146774741073E-6</v>
      </c>
      <c r="AU22" s="3327" t="e">
        <f t="shared" si="18"/>
        <v>#DIV/0!</v>
      </c>
      <c r="AV22" s="3334">
        <f t="shared" si="7"/>
        <v>238.68559999999999</v>
      </c>
      <c r="AW22" s="3329" t="e">
        <f t="shared" si="8"/>
        <v>#DIV/0!</v>
      </c>
      <c r="AX22" s="3329"/>
      <c r="AY22" s="3329">
        <f t="shared" si="9"/>
        <v>-0.96784902813884888</v>
      </c>
      <c r="AZ22" s="3337">
        <f>[2]PL1.1!AL42</f>
        <v>0</v>
      </c>
      <c r="BA22" s="3334">
        <f>'[16]Phụ lục số 1-1'!AR42</f>
        <v>0</v>
      </c>
      <c r="BB22" s="3334">
        <f>'[16]Phụ lục số 1-1'!AX42</f>
        <v>0</v>
      </c>
      <c r="BC22" s="3334">
        <f>'[16]Phụ lục số 1-1'!BD42</f>
        <v>0</v>
      </c>
      <c r="BD22" s="3334">
        <f>'[16]Phụ lục số 1-1'!BJ42</f>
        <v>0</v>
      </c>
      <c r="BE22" s="3340">
        <f t="shared" si="28"/>
        <v>0</v>
      </c>
      <c r="BF22" s="3327" t="e">
        <f t="shared" si="11"/>
        <v>#DIV/0!</v>
      </c>
      <c r="BG22" s="3331">
        <f t="shared" si="20"/>
        <v>0</v>
      </c>
      <c r="BH22" s="3341">
        <f t="shared" si="37"/>
        <v>-1</v>
      </c>
      <c r="BI22" s="3342"/>
      <c r="BJ22" s="3342"/>
      <c r="BK22" s="3342"/>
      <c r="BL22" s="2028">
        <f t="shared" si="39"/>
        <v>127</v>
      </c>
      <c r="BM22" s="2028">
        <f t="shared" si="40"/>
        <v>79.078599999999994</v>
      </c>
      <c r="BN22" s="2028">
        <f t="shared" si="38"/>
        <v>62.266614173228341</v>
      </c>
      <c r="BO22" s="3317">
        <f t="shared" si="21"/>
        <v>-37.733385826771659</v>
      </c>
    </row>
    <row r="23" spans="1:67" s="2028" customFormat="1">
      <c r="A23" s="3333">
        <v>14</v>
      </c>
      <c r="B23" s="3098" t="s">
        <v>26</v>
      </c>
      <c r="C23" s="3103">
        <f>'[14]Tổng hợp thu NSNN năm 2005'!$D$52/1000000</f>
        <v>40157.714318999999</v>
      </c>
      <c r="D23" s="3334">
        <v>16290</v>
      </c>
      <c r="E23" s="3334">
        <v>34910</v>
      </c>
      <c r="F23" s="3334">
        <v>34190</v>
      </c>
      <c r="G23" s="3334">
        <v>46520</v>
      </c>
      <c r="H23" s="3334">
        <v>100128.154606</v>
      </c>
      <c r="I23" s="3334">
        <f t="shared" si="32"/>
        <v>232038.154606</v>
      </c>
      <c r="J23" s="3334"/>
      <c r="K23" s="3334">
        <v>32762.876378000001</v>
      </c>
      <c r="L23" s="3334">
        <v>42614.135322000002</v>
      </c>
      <c r="M23" s="3334">
        <v>52575.311074999998</v>
      </c>
      <c r="N23" s="3334">
        <v>145587.907744</v>
      </c>
      <c r="O23" s="3334">
        <v>140912</v>
      </c>
      <c r="P23" s="3334">
        <f t="shared" si="33"/>
        <v>414452.23051899998</v>
      </c>
      <c r="Q23" s="3329"/>
      <c r="R23" s="3329">
        <f t="shared" si="1"/>
        <v>1.8382910491975935E-2</v>
      </c>
      <c r="S23" s="3334">
        <v>126290</v>
      </c>
      <c r="T23" s="3334">
        <v>203509</v>
      </c>
      <c r="U23" s="3101">
        <f>'[15]Phụ lục số 1'!$N$51</f>
        <v>180000</v>
      </c>
      <c r="V23" s="3101">
        <v>237551</v>
      </c>
      <c r="W23" s="3101">
        <v>236000</v>
      </c>
      <c r="X23" s="3101">
        <v>300917</v>
      </c>
      <c r="Y23" s="3101">
        <v>310000</v>
      </c>
      <c r="Z23" s="3101">
        <v>310822.8</v>
      </c>
      <c r="AA23" s="3334">
        <f t="shared" si="3"/>
        <v>1179089.8</v>
      </c>
      <c r="AB23" s="3329">
        <f t="shared" si="4"/>
        <v>0.17142092594657199</v>
      </c>
      <c r="AC23" s="3329">
        <f t="shared" si="13"/>
        <v>3.154968006886693E-2</v>
      </c>
      <c r="AD23" s="3329">
        <f t="shared" si="5"/>
        <v>1.8449353464052507</v>
      </c>
      <c r="AE23" s="3345">
        <v>280000</v>
      </c>
      <c r="AF23" s="3335">
        <v>248330</v>
      </c>
      <c r="AG23" s="3336">
        <v>250000</v>
      </c>
      <c r="AH23" s="3337">
        <f>[2]PL1.1!H43</f>
        <v>285472.88611600001</v>
      </c>
      <c r="AI23" s="3343">
        <f t="shared" si="34"/>
        <v>1383093.6861159999</v>
      </c>
      <c r="AJ23" s="3338">
        <f t="shared" si="25"/>
        <v>3.5214634062280085E-2</v>
      </c>
      <c r="AK23" s="3339">
        <f t="shared" si="15"/>
        <v>0.2547369969590858</v>
      </c>
      <c r="AL23" s="3335">
        <f t="shared" si="29"/>
        <v>844625.68611599994</v>
      </c>
      <c r="AM23" s="3339">
        <f t="shared" si="30"/>
        <v>3.5909086387239587E-2</v>
      </c>
      <c r="AN23" s="3339">
        <f t="shared" si="31"/>
        <v>-0.13550790947586355</v>
      </c>
      <c r="AO23" s="3337">
        <f>'[16]Phụ lục số 1-1'!N43</f>
        <v>250000</v>
      </c>
      <c r="AP23" s="3337">
        <f>'[17]thu noi dia(HĐND)'!$G$28</f>
        <v>377487.68165899999</v>
      </c>
      <c r="AQ23" s="3337">
        <f>[2]PL1.1!Z43</f>
        <v>326000</v>
      </c>
      <c r="AR23" s="3337">
        <f>[2]PL1.1!AF43</f>
        <v>370000</v>
      </c>
      <c r="AS23" s="3334">
        <f t="shared" si="35"/>
        <v>1073487.681659</v>
      </c>
      <c r="AT23" s="3331">
        <f t="shared" si="26"/>
        <v>3.8657496607834199E-2</v>
      </c>
      <c r="AU23" s="3327">
        <f t="shared" si="18"/>
        <v>9.0299014253998555E-2</v>
      </c>
      <c r="AV23" s="3334">
        <f t="shared" si="7"/>
        <v>1607290.5677749999</v>
      </c>
      <c r="AW23" s="3329">
        <f t="shared" si="8"/>
        <v>3.547059666898833E-2</v>
      </c>
      <c r="AX23" s="3329">
        <f t="shared" ref="AX23:AX28" si="42">AV23/$AV$7</f>
        <v>3.750129798711422E-2</v>
      </c>
      <c r="AY23" s="3329">
        <f t="shared" si="9"/>
        <v>0.36316213385528373</v>
      </c>
      <c r="AZ23" s="3337">
        <f>[2]PL1.1!AL43</f>
        <v>400000</v>
      </c>
      <c r="BA23" s="3334">
        <f>'[16]Phụ lục số 1-1'!AR43</f>
        <v>440000</v>
      </c>
      <c r="BB23" s="3334">
        <f>'[16]Phụ lục số 1-1'!AX43</f>
        <v>490000</v>
      </c>
      <c r="BC23" s="3334">
        <f>'[16]Phụ lục số 1-1'!BD43</f>
        <v>541000</v>
      </c>
      <c r="BD23" s="3334">
        <f>'[16]Phụ lục số 1-1'!BJ43</f>
        <v>600000</v>
      </c>
      <c r="BE23" s="3340">
        <f t="shared" si="28"/>
        <v>2471000</v>
      </c>
      <c r="BF23" s="3327">
        <f t="shared" si="11"/>
        <v>0.10151370567009632</v>
      </c>
      <c r="BG23" s="3331">
        <f t="shared" si="20"/>
        <v>3.7997846983964335E-2</v>
      </c>
      <c r="BH23" s="3341">
        <f t="shared" si="37"/>
        <v>0.53736981323834176</v>
      </c>
      <c r="BI23" s="3342"/>
      <c r="BJ23" s="3342"/>
      <c r="BK23" s="3342"/>
      <c r="BL23" s="2028">
        <f t="shared" si="39"/>
        <v>248330</v>
      </c>
      <c r="BM23" s="2028">
        <f t="shared" si="40"/>
        <v>285472.88611600001</v>
      </c>
      <c r="BN23" s="2028">
        <f t="shared" si="38"/>
        <v>114.95706765835783</v>
      </c>
      <c r="BO23" s="3317">
        <f t="shared" si="21"/>
        <v>14.957067658357829</v>
      </c>
    </row>
    <row r="24" spans="1:67" s="2028" customFormat="1">
      <c r="A24" s="3333">
        <v>15</v>
      </c>
      <c r="B24" s="3098" t="s">
        <v>27</v>
      </c>
      <c r="C24" s="3103"/>
      <c r="D24" s="3334">
        <v>0</v>
      </c>
      <c r="E24" s="3334">
        <v>0</v>
      </c>
      <c r="F24" s="3334">
        <v>0</v>
      </c>
      <c r="G24" s="3334">
        <v>0</v>
      </c>
      <c r="H24" s="3334">
        <v>0</v>
      </c>
      <c r="I24" s="3334">
        <f t="shared" si="32"/>
        <v>0</v>
      </c>
      <c r="J24" s="3334"/>
      <c r="K24" s="3334">
        <v>0</v>
      </c>
      <c r="L24" s="3334">
        <v>0</v>
      </c>
      <c r="M24" s="3334">
        <v>0</v>
      </c>
      <c r="N24" s="3334">
        <v>0</v>
      </c>
      <c r="O24" s="3334">
        <v>0</v>
      </c>
      <c r="P24" s="3334">
        <f t="shared" si="33"/>
        <v>0</v>
      </c>
      <c r="Q24" s="3329"/>
      <c r="R24" s="3329">
        <f t="shared" si="1"/>
        <v>0</v>
      </c>
      <c r="S24" s="3334">
        <v>0</v>
      </c>
      <c r="T24" s="3334">
        <v>5516</v>
      </c>
      <c r="U24" s="3101">
        <f>'[15]Phụ lục số 1'!$N$52</f>
        <v>4000</v>
      </c>
      <c r="V24" s="3101">
        <v>46773</v>
      </c>
      <c r="W24" s="3101">
        <v>4500</v>
      </c>
      <c r="X24" s="3101">
        <v>25517</v>
      </c>
      <c r="Y24" s="3101">
        <v>6000</v>
      </c>
      <c r="Z24" s="3101">
        <v>32308.9</v>
      </c>
      <c r="AA24" s="3334">
        <f t="shared" si="3"/>
        <v>110114.9</v>
      </c>
      <c r="AB24" s="3329" t="e">
        <f t="shared" si="4"/>
        <v>#DIV/0!</v>
      </c>
      <c r="AC24" s="3329">
        <f t="shared" si="13"/>
        <v>2.946416690073372E-3</v>
      </c>
      <c r="AD24" s="3329"/>
      <c r="AE24" s="3345">
        <v>11000</v>
      </c>
      <c r="AF24" s="3335">
        <v>21198</v>
      </c>
      <c r="AG24" s="3336">
        <v>18000</v>
      </c>
      <c r="AH24" s="3337">
        <f>[2]PL1.1!H44</f>
        <v>35466.300600000002</v>
      </c>
      <c r="AI24" s="3343">
        <f t="shared" si="34"/>
        <v>161263.20060000001</v>
      </c>
      <c r="AJ24" s="3338">
        <f t="shared" si="25"/>
        <v>4.1058857066930349E-3</v>
      </c>
      <c r="AK24" s="3339">
        <f t="shared" si="15"/>
        <v>3.2596589717819748</v>
      </c>
      <c r="AL24" s="3335">
        <f t="shared" si="29"/>
        <v>88973.200600000011</v>
      </c>
      <c r="AM24" s="3348">
        <f t="shared" si="30"/>
        <v>3.7826772249687501E-3</v>
      </c>
      <c r="AN24" s="3339">
        <f t="shared" si="31"/>
        <v>-1.3783475284551927E-2</v>
      </c>
      <c r="AO24" s="3337">
        <f>'[16]Phụ lục số 1-1'!N44</f>
        <v>22000</v>
      </c>
      <c r="AP24" s="3337">
        <f>'[17]thu noi dia(HĐND)'!$G$29</f>
        <v>52127.206015000003</v>
      </c>
      <c r="AQ24" s="3337">
        <f>[2]PL1.1!Z44</f>
        <v>30000</v>
      </c>
      <c r="AR24" s="3337">
        <f>[2]PL1.1!AF44</f>
        <v>27000</v>
      </c>
      <c r="AS24" s="3334">
        <f t="shared" si="35"/>
        <v>109127.206015</v>
      </c>
      <c r="AT24" s="3331">
        <f t="shared" si="26"/>
        <v>3.9297932043596065E-3</v>
      </c>
      <c r="AU24" s="3327">
        <f t="shared" si="18"/>
        <v>-8.690501432776232E-2</v>
      </c>
      <c r="AV24" s="3334">
        <f t="shared" si="7"/>
        <v>165791.50661500002</v>
      </c>
      <c r="AW24" s="3329">
        <f t="shared" si="8"/>
        <v>-3.5264369891161662E-2</v>
      </c>
      <c r="AX24" s="3329">
        <f t="shared" si="42"/>
        <v>3.8682468608700815E-3</v>
      </c>
      <c r="AY24" s="3329">
        <f t="shared" si="9"/>
        <v>0.50562282320557905</v>
      </c>
      <c r="AZ24" s="3337">
        <f>[2]PL1.1!AL44</f>
        <v>28000</v>
      </c>
      <c r="BA24" s="3334">
        <f>'[16]Phụ lục số 1-1'!AR44</f>
        <v>30000</v>
      </c>
      <c r="BB24" s="3334">
        <f>'[16]Phụ lục số 1-1'!AX44</f>
        <v>32000</v>
      </c>
      <c r="BC24" s="3334">
        <f>'[16]Phụ lục số 1-1'!BD44</f>
        <v>35000</v>
      </c>
      <c r="BD24" s="3334">
        <f>'[16]Phụ lục số 1-1'!BJ44</f>
        <v>37000</v>
      </c>
      <c r="BE24" s="3340">
        <f t="shared" si="28"/>
        <v>162000</v>
      </c>
      <c r="BF24" s="3327">
        <f t="shared" si="11"/>
        <v>6.5044102740563714E-2</v>
      </c>
      <c r="BG24" s="3331">
        <f t="shared" si="20"/>
        <v>2.491157916391025E-3</v>
      </c>
      <c r="BH24" s="3341">
        <f t="shared" si="37"/>
        <v>-2.2869124555364828E-2</v>
      </c>
      <c r="BI24" s="3342"/>
      <c r="BJ24" s="3342"/>
      <c r="BK24" s="3342"/>
      <c r="BL24" s="2028">
        <f t="shared" si="39"/>
        <v>21198</v>
      </c>
      <c r="BM24" s="2028">
        <f t="shared" si="40"/>
        <v>35466.300600000002</v>
      </c>
      <c r="BN24" s="2028">
        <f t="shared" si="38"/>
        <v>167.30965468440419</v>
      </c>
      <c r="BO24" s="3317">
        <f t="shared" si="21"/>
        <v>67.309654684404194</v>
      </c>
    </row>
    <row r="25" spans="1:67" s="2028" customFormat="1">
      <c r="A25" s="3333">
        <v>16</v>
      </c>
      <c r="B25" s="3098" t="s">
        <v>28</v>
      </c>
      <c r="C25" s="3103"/>
      <c r="D25" s="3334">
        <v>0</v>
      </c>
      <c r="E25" s="3334">
        <v>0</v>
      </c>
      <c r="F25" s="3334">
        <v>0</v>
      </c>
      <c r="G25" s="3334">
        <v>0</v>
      </c>
      <c r="H25" s="3334">
        <v>0</v>
      </c>
      <c r="I25" s="3334">
        <f t="shared" si="32"/>
        <v>0</v>
      </c>
      <c r="J25" s="3334"/>
      <c r="K25" s="3334">
        <v>0</v>
      </c>
      <c r="L25" s="3334">
        <v>0</v>
      </c>
      <c r="M25" s="3334">
        <v>0</v>
      </c>
      <c r="N25" s="3334">
        <v>0</v>
      </c>
      <c r="O25" s="3334">
        <v>0</v>
      </c>
      <c r="P25" s="3334">
        <f t="shared" si="33"/>
        <v>0</v>
      </c>
      <c r="Q25" s="3329"/>
      <c r="R25" s="3329">
        <f t="shared" si="1"/>
        <v>0</v>
      </c>
      <c r="S25" s="3334">
        <v>0</v>
      </c>
      <c r="T25" s="3334">
        <v>0</v>
      </c>
      <c r="U25" s="3101">
        <f>'[15]Phụ lục số 1'!$N$53</f>
        <v>8000</v>
      </c>
      <c r="V25" s="3101">
        <v>47932</v>
      </c>
      <c r="W25" s="3101">
        <v>8000</v>
      </c>
      <c r="X25" s="3101">
        <v>129025</v>
      </c>
      <c r="Y25" s="3101">
        <v>55000</v>
      </c>
      <c r="Z25" s="3101">
        <v>125796</v>
      </c>
      <c r="AA25" s="3334">
        <f t="shared" si="3"/>
        <v>302753</v>
      </c>
      <c r="AB25" s="3329" t="e">
        <f t="shared" si="4"/>
        <v>#DIV/0!</v>
      </c>
      <c r="AC25" s="3329">
        <f t="shared" si="13"/>
        <v>8.1009608342720533E-3</v>
      </c>
      <c r="AD25" s="3329"/>
      <c r="AE25" s="3345">
        <v>70000</v>
      </c>
      <c r="AF25" s="3335">
        <v>59826</v>
      </c>
      <c r="AG25" s="3336">
        <v>98777</v>
      </c>
      <c r="AH25" s="3337">
        <f>[2]PL1.1!H45</f>
        <v>76161.542220000003</v>
      </c>
      <c r="AI25" s="3343">
        <f t="shared" si="34"/>
        <v>438740.54222</v>
      </c>
      <c r="AJ25" s="3338">
        <f t="shared" si="25"/>
        <v>1.1170673250595585E-2</v>
      </c>
      <c r="AK25" s="3339" t="e">
        <f t="shared" si="15"/>
        <v>#DIV/0!</v>
      </c>
      <c r="AL25" s="3335">
        <f t="shared" si="29"/>
        <v>261783.54222</v>
      </c>
      <c r="AM25" s="3339">
        <f t="shared" si="30"/>
        <v>1.1129673163935155E-2</v>
      </c>
      <c r="AN25" s="3339">
        <f t="shared" si="31"/>
        <v>-0.4974668836215953</v>
      </c>
      <c r="AO25" s="3337">
        <f>'[16]Phụ lục số 1-1'!N45</f>
        <v>50000</v>
      </c>
      <c r="AP25" s="3337">
        <f>'[17]thu noi dia(HĐND)'!$G$30</f>
        <v>80341.411819999994</v>
      </c>
      <c r="AQ25" s="3337">
        <f>[2]PL1.1!Z45</f>
        <v>37000</v>
      </c>
      <c r="AR25" s="3337">
        <f>[2]PL1.1!AF45</f>
        <v>114000</v>
      </c>
      <c r="AS25" s="3334">
        <f t="shared" si="35"/>
        <v>231341.41181999998</v>
      </c>
      <c r="AT25" s="3331">
        <f t="shared" si="26"/>
        <v>8.33086396376931E-3</v>
      </c>
      <c r="AU25" s="3327">
        <f t="shared" si="18"/>
        <v>0.14390433871818376</v>
      </c>
      <c r="AV25" s="3334">
        <f t="shared" si="7"/>
        <v>367328.95403999998</v>
      </c>
      <c r="AW25" s="3329">
        <f t="shared" si="8"/>
        <v>-1.9499986691724369E-2</v>
      </c>
      <c r="AX25" s="3329">
        <f t="shared" si="42"/>
        <v>8.5705178895054586E-3</v>
      </c>
      <c r="AY25" s="3329">
        <f t="shared" si="9"/>
        <v>0.21329583535092955</v>
      </c>
      <c r="AZ25" s="3337">
        <f>[2]PL1.1!AL45</f>
        <v>120000</v>
      </c>
      <c r="BA25" s="3334">
        <f>'[16]Phụ lục số 1-1'!AR45</f>
        <v>130000</v>
      </c>
      <c r="BB25" s="3334">
        <f>'[16]Phụ lục số 1-1'!AX45</f>
        <v>140000</v>
      </c>
      <c r="BC25" s="3334">
        <f>'[16]Phụ lục số 1-1'!BD45</f>
        <v>150000</v>
      </c>
      <c r="BD25" s="3334">
        <f>'[16]Phụ lục số 1-1'!BJ45</f>
        <v>160000</v>
      </c>
      <c r="BE25" s="3340">
        <f t="shared" si="28"/>
        <v>700000</v>
      </c>
      <c r="BF25" s="3327">
        <f t="shared" si="11"/>
        <v>7.0145984594375044E-2</v>
      </c>
      <c r="BG25" s="3331">
        <f t="shared" si="20"/>
        <v>1.0764262601689613E-2</v>
      </c>
      <c r="BH25" s="3341">
        <f t="shared" si="37"/>
        <v>0.90564885316329868</v>
      </c>
      <c r="BI25" s="3342"/>
      <c r="BJ25" s="3342"/>
      <c r="BK25" s="3342"/>
      <c r="BL25" s="2028">
        <f t="shared" si="39"/>
        <v>59826</v>
      </c>
      <c r="BM25" s="2028">
        <f t="shared" si="40"/>
        <v>76161.542220000003</v>
      </c>
      <c r="BN25" s="2028">
        <f t="shared" si="38"/>
        <v>127.30508845652393</v>
      </c>
      <c r="BO25" s="3317">
        <f t="shared" si="21"/>
        <v>27.305088456523933</v>
      </c>
    </row>
    <row r="26" spans="1:67" s="2028" customFormat="1">
      <c r="A26" s="3333">
        <v>15</v>
      </c>
      <c r="B26" s="3098" t="s">
        <v>31</v>
      </c>
      <c r="C26" s="3103">
        <f>'[14]Tổng hợp thu NSNN năm 2005'!$D$64/1000000</f>
        <v>9570.0905939999993</v>
      </c>
      <c r="D26" s="3334"/>
      <c r="E26" s="3334"/>
      <c r="F26" s="3334"/>
      <c r="G26" s="3334"/>
      <c r="H26" s="3334">
        <v>18914</v>
      </c>
      <c r="I26" s="3334">
        <f t="shared" si="32"/>
        <v>18914</v>
      </c>
      <c r="J26" s="3334"/>
      <c r="K26" s="3334">
        <v>17981.816880999999</v>
      </c>
      <c r="L26" s="3334">
        <v>15843.017508999999</v>
      </c>
      <c r="M26" s="3334">
        <v>17170.030866000001</v>
      </c>
      <c r="N26" s="3334">
        <v>15943.836121</v>
      </c>
      <c r="O26" s="3334">
        <v>15685</v>
      </c>
      <c r="P26" s="3334">
        <f t="shared" si="33"/>
        <v>82623.70137699999</v>
      </c>
      <c r="Q26" s="3329"/>
      <c r="R26" s="3329">
        <f t="shared" si="1"/>
        <v>3.6647507121077235E-3</v>
      </c>
      <c r="S26" s="3334">
        <v>15566</v>
      </c>
      <c r="T26" s="3334">
        <v>19734</v>
      </c>
      <c r="U26" s="3101">
        <f>'[15]Phụ lục số 1'!$N$54</f>
        <v>19000</v>
      </c>
      <c r="V26" s="3101">
        <v>4849</v>
      </c>
      <c r="W26" s="3101">
        <v>3500</v>
      </c>
      <c r="X26" s="3101">
        <v>3085</v>
      </c>
      <c r="Y26" s="3101">
        <v>4000</v>
      </c>
      <c r="Z26" s="3101">
        <v>2866.9</v>
      </c>
      <c r="AA26" s="3334">
        <f t="shared" si="3"/>
        <v>46100.9</v>
      </c>
      <c r="AB26" s="3329">
        <f t="shared" si="4"/>
        <v>-0.28815472886121263</v>
      </c>
      <c r="AC26" s="3329">
        <f t="shared" si="13"/>
        <v>1.233552055057068E-3</v>
      </c>
      <c r="AD26" s="3329">
        <f>AA26/P26-1</f>
        <v>-0.44203782653541179</v>
      </c>
      <c r="AE26" s="3345">
        <v>3000</v>
      </c>
      <c r="AF26" s="3335">
        <v>2387</v>
      </c>
      <c r="AG26" s="3336">
        <v>3000</v>
      </c>
      <c r="AH26" s="3337">
        <f>[2]PL1.1!H47</f>
        <v>2041.6675579999999</v>
      </c>
      <c r="AI26" s="3343">
        <f t="shared" si="34"/>
        <v>15229.567558000001</v>
      </c>
      <c r="AJ26" s="3338">
        <f t="shared" si="25"/>
        <v>3.8775655898465496E-4</v>
      </c>
      <c r="AK26" s="3339">
        <f t="shared" si="15"/>
        <v>-0.88276323748436392</v>
      </c>
      <c r="AL26" s="3335">
        <f t="shared" si="29"/>
        <v>7295.5675580000006</v>
      </c>
      <c r="AM26" s="3349">
        <f t="shared" si="30"/>
        <v>3.1016954609664203E-4</v>
      </c>
      <c r="AN26" s="3339">
        <f t="shared" si="31"/>
        <v>-0.26552877296467181</v>
      </c>
      <c r="AO26" s="3337">
        <f>'[16]Phụ lục số 1-1'!N47</f>
        <v>3000</v>
      </c>
      <c r="AP26" s="3337">
        <f>'[17]thu noi dia(HĐND)'!$G$32</f>
        <v>2115.8489530000002</v>
      </c>
      <c r="AQ26" s="3337">
        <f>[2]PL1.1!Z47</f>
        <v>2000</v>
      </c>
      <c r="AR26" s="3337">
        <f>[2]PL1.1!AF47</f>
        <v>3000</v>
      </c>
      <c r="AS26" s="3334">
        <f t="shared" si="35"/>
        <v>7115.8489530000006</v>
      </c>
      <c r="AT26" s="3331">
        <f t="shared" si="26"/>
        <v>2.5624970967281135E-4</v>
      </c>
      <c r="AU26" s="3327">
        <f t="shared" si="18"/>
        <v>0.13687332252828499</v>
      </c>
      <c r="AV26" s="3334">
        <f t="shared" si="7"/>
        <v>11544.516511</v>
      </c>
      <c r="AW26" s="3329">
        <f t="shared" si="8"/>
        <v>9.1175099741072074E-3</v>
      </c>
      <c r="AX26" s="3329">
        <f t="shared" si="42"/>
        <v>2.693566194415548E-4</v>
      </c>
      <c r="AY26" s="3329">
        <f t="shared" si="9"/>
        <v>-0.74958153721510867</v>
      </c>
      <c r="AZ26" s="3337">
        <f>[2]PL1.1!AL47</f>
        <v>3000</v>
      </c>
      <c r="BA26" s="3334">
        <f>'[16]Phụ lục số 1-1'!AR47</f>
        <v>3000</v>
      </c>
      <c r="BB26" s="3334">
        <f>'[16]Phụ lục số 1-1'!AX47</f>
        <v>3000</v>
      </c>
      <c r="BC26" s="3334">
        <f>'[16]Phụ lục số 1-1'!BD47</f>
        <v>3000</v>
      </c>
      <c r="BD26" s="3334">
        <f>'[16]Phụ lục số 1-1'!BJ47</f>
        <v>3000</v>
      </c>
      <c r="BE26" s="3340">
        <f t="shared" si="28"/>
        <v>15000</v>
      </c>
      <c r="BF26" s="3327">
        <f t="shared" si="11"/>
        <v>0</v>
      </c>
      <c r="BG26" s="3331">
        <f t="shared" si="20"/>
        <v>2.3066277003620602E-4</v>
      </c>
      <c r="BH26" s="3341">
        <f t="shared" si="37"/>
        <v>0.29931816423039459</v>
      </c>
      <c r="BI26" s="3342"/>
      <c r="BJ26" s="3342"/>
      <c r="BK26" s="3342"/>
      <c r="BL26" s="2028">
        <f t="shared" si="39"/>
        <v>2387</v>
      </c>
      <c r="BM26" s="2028">
        <f t="shared" si="40"/>
        <v>2041.6675579999999</v>
      </c>
      <c r="BN26" s="2028">
        <f t="shared" si="38"/>
        <v>85.532784164222861</v>
      </c>
      <c r="BO26" s="3317">
        <f t="shared" si="21"/>
        <v>-14.467215835777139</v>
      </c>
    </row>
    <row r="27" spans="1:67" s="2028" customFormat="1">
      <c r="A27" s="3333">
        <v>16</v>
      </c>
      <c r="B27" s="3098" t="s">
        <v>32</v>
      </c>
      <c r="C27" s="3103">
        <f>'[14]Tổng hợp thu NSNN năm 2005'!$D$43/1000000</f>
        <v>280003</v>
      </c>
      <c r="D27" s="3334">
        <v>349410</v>
      </c>
      <c r="E27" s="3334">
        <v>810346.39989600005</v>
      </c>
      <c r="F27" s="3334">
        <v>452760</v>
      </c>
      <c r="G27" s="3334">
        <v>500750</v>
      </c>
      <c r="H27" s="3334">
        <v>810346.39989600005</v>
      </c>
      <c r="I27" s="3334">
        <f t="shared" si="32"/>
        <v>2923612.7997920001</v>
      </c>
      <c r="J27" s="3334"/>
      <c r="K27" s="3334">
        <v>687860.86755299999</v>
      </c>
      <c r="L27" s="3334">
        <v>804565.51386399998</v>
      </c>
      <c r="M27" s="3334">
        <v>941882.63027900003</v>
      </c>
      <c r="N27" s="3334">
        <v>954775.96481699997</v>
      </c>
      <c r="O27" s="3334">
        <v>1189344</v>
      </c>
      <c r="P27" s="3334">
        <f t="shared" si="33"/>
        <v>4578428.9765130002</v>
      </c>
      <c r="Q27" s="3329"/>
      <c r="R27" s="3329">
        <f t="shared" si="1"/>
        <v>0.2030749115856165</v>
      </c>
      <c r="S27" s="3334">
        <v>1310161</v>
      </c>
      <c r="T27" s="3334">
        <v>1477896</v>
      </c>
      <c r="U27" s="3101">
        <f>'[15]Phụ lục số 1'!$N$55</f>
        <v>1270000</v>
      </c>
      <c r="V27" s="3101">
        <v>1371274</v>
      </c>
      <c r="W27" s="3101">
        <v>1380000</v>
      </c>
      <c r="X27" s="3101">
        <v>1523285</v>
      </c>
      <c r="Y27" s="3101">
        <v>1460000</v>
      </c>
      <c r="Z27" s="3101">
        <v>1976740.9</v>
      </c>
      <c r="AA27" s="3334">
        <f t="shared" si="3"/>
        <v>7659356.9000000004</v>
      </c>
      <c r="AB27" s="3329">
        <f t="shared" si="4"/>
        <v>0.10695114146144746</v>
      </c>
      <c r="AC27" s="3329">
        <f t="shared" si="13"/>
        <v>0.20494644235601764</v>
      </c>
      <c r="AD27" s="3329">
        <f>AA27/P27-1</f>
        <v>0.67292251103859657</v>
      </c>
      <c r="AE27" s="3345">
        <v>1500000</v>
      </c>
      <c r="AF27" s="3335">
        <v>1283258</v>
      </c>
      <c r="AG27" s="3336">
        <v>1500000</v>
      </c>
      <c r="AH27" s="3337">
        <f>[2]PL1.1!H48</f>
        <v>1743740.6317860002</v>
      </c>
      <c r="AI27" s="3343">
        <f t="shared" si="34"/>
        <v>7898298.5317860004</v>
      </c>
      <c r="AJ27" s="3338">
        <f t="shared" si="25"/>
        <v>0.20109678419004864</v>
      </c>
      <c r="AK27" s="3339">
        <f>((V27/T27)*(X27/V27)*(Z27/X27)*(AF27/Z27)*(AH27/AF27)^(1/5))-1</f>
        <v>-7.6783222858292755E-2</v>
      </c>
      <c r="AL27" s="3335">
        <f t="shared" si="29"/>
        <v>5003739.5317860004</v>
      </c>
      <c r="AM27" s="3339">
        <f t="shared" si="30"/>
        <v>0.21273295148340093</v>
      </c>
      <c r="AN27" s="3339">
        <f t="shared" si="31"/>
        <v>-6.6913046401453569E-2</v>
      </c>
      <c r="AO27" s="3337">
        <f>'[16]Phụ lục số 1-1'!N48</f>
        <v>1600000</v>
      </c>
      <c r="AP27" s="3337">
        <f>'[17]thu noi dia(HĐND)'!$G$33</f>
        <v>2017387.9198539997</v>
      </c>
      <c r="AQ27" s="3337">
        <f>[2]PL1.1!Z48</f>
        <v>1950000</v>
      </c>
      <c r="AR27" s="3337">
        <f>[2]PL1.1!AF48</f>
        <v>2322000</v>
      </c>
      <c r="AS27" s="3334">
        <f t="shared" si="35"/>
        <v>6289387.9198540002</v>
      </c>
      <c r="AT27" s="3346">
        <f t="shared" si="26"/>
        <v>0.22648792001168189</v>
      </c>
      <c r="AU27" s="3327">
        <f t="shared" si="18"/>
        <v>0.10017078816251401</v>
      </c>
      <c r="AV27" s="3334">
        <f t="shared" si="7"/>
        <v>9316386.5516400002</v>
      </c>
      <c r="AW27" s="3329">
        <f t="shared" si="8"/>
        <v>3.2719775641952165E-2</v>
      </c>
      <c r="AX27" s="3329">
        <f t="shared" si="42"/>
        <v>0.21736989890996697</v>
      </c>
      <c r="AY27" s="3329">
        <f t="shared" si="9"/>
        <v>0.21634057183573718</v>
      </c>
      <c r="AZ27" s="3337">
        <f>[2]PL1.1!AL48</f>
        <v>2500000</v>
      </c>
      <c r="BA27" s="3334">
        <f>'[16]Phụ lục số 1-1'!AR48</f>
        <v>2600000</v>
      </c>
      <c r="BB27" s="3334">
        <f>'[16]Phụ lục số 1-1'!AX48</f>
        <v>2660000</v>
      </c>
      <c r="BC27" s="3334">
        <f>'[16]Phụ lục số 1-1'!BD48</f>
        <v>2710000</v>
      </c>
      <c r="BD27" s="3334">
        <f>'[16]Phụ lục số 1-1'!BJ48</f>
        <v>2810000</v>
      </c>
      <c r="BE27" s="3340">
        <f t="shared" si="28"/>
        <v>13280000</v>
      </c>
      <c r="BF27" s="3327">
        <f t="shared" si="11"/>
        <v>3.8888217818427551E-2</v>
      </c>
      <c r="BG27" s="3331">
        <f t="shared" si="20"/>
        <v>0.20421343907205439</v>
      </c>
      <c r="BH27" s="3341">
        <f t="shared" si="37"/>
        <v>0.42544536193190363</v>
      </c>
      <c r="BI27" s="3342"/>
      <c r="BJ27" s="3342"/>
      <c r="BK27" s="3342"/>
      <c r="BL27" s="2028">
        <f t="shared" si="39"/>
        <v>1283258</v>
      </c>
      <c r="BM27" s="2028">
        <f t="shared" si="40"/>
        <v>1743740.6317860002</v>
      </c>
      <c r="BN27" s="2028">
        <f t="shared" si="38"/>
        <v>135.88386994556046</v>
      </c>
      <c r="BO27" s="3317">
        <f t="shared" si="21"/>
        <v>35.883869945560463</v>
      </c>
    </row>
    <row r="28" spans="1:67" s="3317" customFormat="1">
      <c r="A28" s="3318" t="s">
        <v>33</v>
      </c>
      <c r="B28" s="3094" t="s">
        <v>1976</v>
      </c>
      <c r="C28" s="3089">
        <f>'[14]Tổng hợp thu NSNN năm 2005'!$D$65/1000000</f>
        <v>153738.415439</v>
      </c>
      <c r="D28" s="3320">
        <v>230940</v>
      </c>
      <c r="E28" s="3320">
        <v>305720</v>
      </c>
      <c r="F28" s="3320">
        <v>329200</v>
      </c>
      <c r="G28" s="3320">
        <v>308830</v>
      </c>
      <c r="H28" s="3320">
        <v>306565.00754700002</v>
      </c>
      <c r="I28" s="3320">
        <f t="shared" si="32"/>
        <v>1481255.007547</v>
      </c>
      <c r="J28" s="3320"/>
      <c r="K28" s="3320">
        <v>357566.61864</v>
      </c>
      <c r="L28" s="3320">
        <v>418951.84585500002</v>
      </c>
      <c r="M28" s="3320">
        <v>456841.14694599999</v>
      </c>
      <c r="N28" s="3320">
        <v>140078.797276</v>
      </c>
      <c r="O28" s="3320">
        <v>243841</v>
      </c>
      <c r="P28" s="3320">
        <f t="shared" si="33"/>
        <v>1617279.4087169999</v>
      </c>
      <c r="Q28" s="3321"/>
      <c r="R28" s="3321">
        <f t="shared" si="1"/>
        <v>7.1733966960994378E-2</v>
      </c>
      <c r="S28" s="3320">
        <v>96965</v>
      </c>
      <c r="T28" s="3320">
        <v>107416</v>
      </c>
      <c r="U28" s="3149">
        <f>'[15]Phụ lục số 1'!$N$56</f>
        <v>66000</v>
      </c>
      <c r="V28" s="3149">
        <v>74262</v>
      </c>
      <c r="W28" s="3149">
        <v>78000</v>
      </c>
      <c r="X28" s="3149">
        <v>126290</v>
      </c>
      <c r="Y28" s="3149">
        <v>70000</v>
      </c>
      <c r="Z28" s="3149">
        <v>93759</v>
      </c>
      <c r="AA28" s="3320">
        <f t="shared" si="3"/>
        <v>498692</v>
      </c>
      <c r="AB28" s="3321">
        <f t="shared" si="4"/>
        <v>-0.17399771792258245</v>
      </c>
      <c r="AC28" s="3321">
        <f t="shared" si="13"/>
        <v>1.3343829327421359E-2</v>
      </c>
      <c r="AD28" s="3321">
        <f>AA28/P28-1</f>
        <v>-0.69164759205361048</v>
      </c>
      <c r="AE28" s="3350">
        <v>105000</v>
      </c>
      <c r="AF28" s="3144">
        <v>196854</v>
      </c>
      <c r="AG28" s="3322">
        <v>110000</v>
      </c>
      <c r="AH28" s="3323">
        <f>[2]PL1.1!H49</f>
        <v>389783.37025500002</v>
      </c>
      <c r="AI28" s="3351">
        <f t="shared" si="34"/>
        <v>880948.37025499996</v>
      </c>
      <c r="AJ28" s="3324">
        <f>AI28/$AI$7</f>
        <v>2.242962627745668E-2</v>
      </c>
      <c r="AK28" s="3325">
        <f>((V28/T28)*(X28/V28)*(Z28/X28)*(AF28/Z28)*(AH28/AF28)^(1/5))-1</f>
        <v>1.1009275712244229</v>
      </c>
      <c r="AL28" s="3144">
        <f>AH28+AF28+Z28</f>
        <v>680396.37025499996</v>
      </c>
      <c r="AM28" s="3325">
        <f t="shared" si="30"/>
        <v>2.892691098396873E-2</v>
      </c>
      <c r="AN28" s="3339">
        <f t="shared" si="31"/>
        <v>0.95734914959977924</v>
      </c>
      <c r="AO28" s="3323">
        <f>'[16]Phụ lục số 1-1'!N49</f>
        <v>150000</v>
      </c>
      <c r="AP28" s="3323">
        <f>'[17]thu noi dia(HĐND)'!$G$39</f>
        <v>281887.67128599994</v>
      </c>
      <c r="AQ28" s="3323">
        <f>[2]PL1.1!Z49</f>
        <v>200000</v>
      </c>
      <c r="AR28" s="3323">
        <f>[2]PL1.1!AF49</f>
        <v>162500</v>
      </c>
      <c r="AS28" s="3320">
        <f t="shared" si="35"/>
        <v>644387.67128599994</v>
      </c>
      <c r="AT28" s="3328">
        <f t="shared" si="26"/>
        <v>2.3205123489047796E-2</v>
      </c>
      <c r="AU28" s="3326">
        <f t="shared" si="18"/>
        <v>-0.25296086628331893</v>
      </c>
      <c r="AV28" s="3320">
        <f t="shared" si="7"/>
        <v>1231025.0415409999</v>
      </c>
      <c r="AW28" s="3321">
        <f t="shared" si="8"/>
        <v>0.11626698398103552</v>
      </c>
      <c r="AX28" s="3321">
        <f t="shared" si="42"/>
        <v>2.8722272025982057E-2</v>
      </c>
      <c r="AY28" s="3321">
        <f t="shared" si="9"/>
        <v>1.4685076992231676</v>
      </c>
      <c r="AZ28" s="3323">
        <f>[2]PL1.1!AL49</f>
        <v>169000</v>
      </c>
      <c r="BA28" s="3320">
        <f>'[16]Phụ lục số 1-1'!AR49</f>
        <v>175999.81661120002</v>
      </c>
      <c r="BB28" s="3320">
        <f>'[16]Phụ lục số 1-1'!AX49</f>
        <v>183500.40879883713</v>
      </c>
      <c r="BC28" s="3320">
        <f>'[16]Phụ lục số 1-1'!BD49</f>
        <v>191500.02662246645</v>
      </c>
      <c r="BD28" s="3320">
        <f>'[16]Phụ lục số 1-1'!BJ49</f>
        <v>200000.027793855</v>
      </c>
      <c r="BE28" s="3340">
        <f>AZ28+BA28+BB28+BC28+BD28-0.1</f>
        <v>920000.17982635845</v>
      </c>
      <c r="BF28" s="3327">
        <f t="shared" si="11"/>
        <v>4.2402245249672177E-2</v>
      </c>
      <c r="BG28" s="3331">
        <f t="shared" si="20"/>
        <v>1.41473193275037E-2</v>
      </c>
      <c r="BH28" s="3332">
        <f>BE28/AV28-1</f>
        <v>-0.25265518670952447</v>
      </c>
      <c r="BI28" s="3175"/>
      <c r="BJ28" s="3175"/>
      <c r="BK28" s="3175"/>
      <c r="BL28" s="2028">
        <f t="shared" si="39"/>
        <v>196854</v>
      </c>
      <c r="BM28" s="2028">
        <f t="shared" si="40"/>
        <v>389783.37025500002</v>
      </c>
      <c r="BN28" s="2028">
        <f t="shared" si="38"/>
        <v>198.00632461367309</v>
      </c>
      <c r="BO28" s="3317">
        <f t="shared" si="21"/>
        <v>98.006324613673087</v>
      </c>
    </row>
    <row r="29" spans="1:67" s="3317" customFormat="1">
      <c r="A29" s="3318"/>
      <c r="B29" s="152" t="s">
        <v>1888</v>
      </c>
      <c r="C29" s="3089"/>
      <c r="D29" s="3320"/>
      <c r="E29" s="3320"/>
      <c r="F29" s="3320"/>
      <c r="G29" s="3320"/>
      <c r="H29" s="3320"/>
      <c r="I29" s="3320"/>
      <c r="J29" s="3320"/>
      <c r="K29" s="3320"/>
      <c r="L29" s="3320"/>
      <c r="M29" s="3320"/>
      <c r="N29" s="3320"/>
      <c r="O29" s="3320"/>
      <c r="P29" s="3320"/>
      <c r="Q29" s="3321"/>
      <c r="R29" s="3321"/>
      <c r="S29" s="3320"/>
      <c r="T29" s="3320"/>
      <c r="U29" s="3149"/>
      <c r="V29" s="3149"/>
      <c r="W29" s="3149"/>
      <c r="X29" s="3149"/>
      <c r="Y29" s="3149"/>
      <c r="Z29" s="3149"/>
      <c r="AA29" s="3320"/>
      <c r="AB29" s="3321"/>
      <c r="AC29" s="3321"/>
      <c r="AD29" s="3321"/>
      <c r="AE29" s="3350"/>
      <c r="AF29" s="3144"/>
      <c r="AG29" s="3322"/>
      <c r="AH29" s="3323"/>
      <c r="AI29" s="3144"/>
      <c r="AJ29" s="3144"/>
      <c r="AK29" s="3144"/>
      <c r="AL29" s="3320"/>
      <c r="AM29" s="3320"/>
      <c r="AN29" s="3320"/>
      <c r="AO29" s="3323"/>
      <c r="AP29" s="3323"/>
      <c r="AQ29" s="3323"/>
      <c r="AR29" s="3320"/>
      <c r="AS29" s="3320"/>
      <c r="AT29" s="3320"/>
      <c r="AU29" s="3320"/>
      <c r="AV29" s="3334">
        <f t="shared" si="7"/>
        <v>0</v>
      </c>
      <c r="AW29" s="3321"/>
      <c r="AX29" s="3321"/>
      <c r="AY29" s="3321"/>
      <c r="AZ29" s="3323"/>
      <c r="BA29" s="3320"/>
      <c r="BB29" s="3320"/>
      <c r="BC29" s="3320"/>
      <c r="BD29" s="3320"/>
      <c r="BE29" s="3340"/>
      <c r="BF29" s="3329"/>
      <c r="BG29" s="3321"/>
      <c r="BH29" s="3332"/>
      <c r="BI29" s="3175"/>
      <c r="BJ29" s="3175"/>
      <c r="BK29" s="3175"/>
      <c r="BL29" s="2028"/>
      <c r="BM29" s="2028"/>
      <c r="BN29" s="2028"/>
    </row>
    <row r="30" spans="1:67" s="3317" customFormat="1">
      <c r="A30" s="3318"/>
      <c r="B30" s="152" t="s">
        <v>1889</v>
      </c>
      <c r="C30" s="3089"/>
      <c r="D30" s="3320"/>
      <c r="E30" s="3320"/>
      <c r="F30" s="3320"/>
      <c r="G30" s="3320"/>
      <c r="H30" s="3320"/>
      <c r="I30" s="3320"/>
      <c r="J30" s="3320"/>
      <c r="K30" s="3320"/>
      <c r="L30" s="3320"/>
      <c r="M30" s="3320"/>
      <c r="N30" s="3320"/>
      <c r="O30" s="3320"/>
      <c r="P30" s="3320"/>
      <c r="Q30" s="3321"/>
      <c r="R30" s="3321"/>
      <c r="S30" s="3320"/>
      <c r="T30" s="3320"/>
      <c r="U30" s="3149"/>
      <c r="V30" s="3149"/>
      <c r="W30" s="3149"/>
      <c r="X30" s="3149"/>
      <c r="Y30" s="3149"/>
      <c r="Z30" s="3149"/>
      <c r="AA30" s="3320"/>
      <c r="AB30" s="3321"/>
      <c r="AC30" s="3321"/>
      <c r="AD30" s="3321"/>
      <c r="AE30" s="3350"/>
      <c r="AF30" s="3144"/>
      <c r="AG30" s="3322"/>
      <c r="AH30" s="3323"/>
      <c r="AI30" s="3144"/>
      <c r="AJ30" s="3144"/>
      <c r="AK30" s="3144"/>
      <c r="AL30" s="3320"/>
      <c r="AM30" s="3320"/>
      <c r="AN30" s="3320"/>
      <c r="AO30" s="3323"/>
      <c r="AP30" s="3323"/>
      <c r="AQ30" s="3323"/>
      <c r="AR30" s="3320"/>
      <c r="AS30" s="3320"/>
      <c r="AT30" s="3320"/>
      <c r="AU30" s="3320"/>
      <c r="AV30" s="3334"/>
      <c r="AW30" s="3321"/>
      <c r="AX30" s="3321"/>
      <c r="AY30" s="3321"/>
      <c r="AZ30" s="3323"/>
      <c r="BA30" s="3320"/>
      <c r="BB30" s="3320"/>
      <c r="BC30" s="3320"/>
      <c r="BD30" s="3320"/>
      <c r="BE30" s="3340"/>
      <c r="BF30" s="3329"/>
      <c r="BG30" s="3321"/>
      <c r="BH30" s="3332"/>
      <c r="BI30" s="3175"/>
      <c r="BJ30" s="3175"/>
      <c r="BK30" s="3175"/>
      <c r="BL30" s="2028"/>
      <c r="BM30" s="2028"/>
      <c r="BN30" s="2028"/>
    </row>
    <row r="31" spans="1:67" s="3317" customFormat="1">
      <c r="A31" s="226" t="s">
        <v>37</v>
      </c>
      <c r="B31" s="3093" t="s">
        <v>38</v>
      </c>
      <c r="C31" s="3094">
        <f t="shared" ref="C31:H31" si="43">SUM(C32:C33)</f>
        <v>8016985</v>
      </c>
      <c r="D31" s="3094">
        <f t="shared" si="43"/>
        <v>0</v>
      </c>
      <c r="E31" s="3094">
        <f t="shared" si="43"/>
        <v>8016985</v>
      </c>
      <c r="F31" s="3094">
        <f>SUM(F32:F33)</f>
        <v>8016985</v>
      </c>
      <c r="G31" s="3094">
        <f t="shared" si="43"/>
        <v>0</v>
      </c>
      <c r="H31" s="3094">
        <f t="shared" si="43"/>
        <v>8016985</v>
      </c>
      <c r="I31" s="3095">
        <f>H31/C31*100</f>
        <v>100</v>
      </c>
      <c r="J31" s="3149">
        <f>SUM(J32:J33)</f>
        <v>0</v>
      </c>
      <c r="K31" s="3149">
        <f>SUM(K32:K33)</f>
        <v>8016985</v>
      </c>
      <c r="L31" s="3149">
        <f>SUM(L32:L33)</f>
        <v>8016985</v>
      </c>
      <c r="M31" s="3149">
        <f>SUM(M32:M33)</f>
        <v>0</v>
      </c>
      <c r="N31" s="174" t="e">
        <f>SUM(N32:N33)</f>
        <v>#REF!</v>
      </c>
      <c r="O31" s="3088"/>
      <c r="P31" s="174">
        <f t="shared" ref="P31:Y31" si="44">SUM(P32:P33)</f>
        <v>0</v>
      </c>
      <c r="Q31" s="174" t="e">
        <f t="shared" si="44"/>
        <v>#REF!</v>
      </c>
      <c r="R31" s="174" t="e">
        <f t="shared" si="44"/>
        <v>#REF!</v>
      </c>
      <c r="S31" s="174">
        <f t="shared" si="44"/>
        <v>0</v>
      </c>
      <c r="T31" s="174">
        <f t="shared" si="44"/>
        <v>6392370</v>
      </c>
      <c r="U31" s="3352">
        <f t="shared" si="44"/>
        <v>6694954</v>
      </c>
      <c r="V31" s="3352">
        <f t="shared" si="44"/>
        <v>6694954</v>
      </c>
      <c r="W31" s="3352">
        <f t="shared" si="44"/>
        <v>6592723</v>
      </c>
      <c r="X31" s="174">
        <f t="shared" si="44"/>
        <v>6592723</v>
      </c>
      <c r="Y31" s="174">
        <f t="shared" si="44"/>
        <v>6510639</v>
      </c>
      <c r="Z31" s="3094">
        <f>SUM(Z32:Z33)</f>
        <v>6510639</v>
      </c>
      <c r="AA31" s="3095"/>
      <c r="AB31" s="3094">
        <f t="shared" ref="AB31:AL31" si="45">SUM(AB32:AB33)</f>
        <v>0</v>
      </c>
      <c r="AC31" s="3094">
        <f t="shared" si="45"/>
        <v>6483689</v>
      </c>
      <c r="AD31" s="3094">
        <f t="shared" si="45"/>
        <v>4803413</v>
      </c>
      <c r="AE31" s="3094">
        <f>SUM(AE32:AE33)</f>
        <v>6765596</v>
      </c>
      <c r="AF31" s="3094">
        <f t="shared" si="45"/>
        <v>6765596</v>
      </c>
      <c r="AG31" s="3353">
        <f t="shared" si="45"/>
        <v>8016985</v>
      </c>
      <c r="AH31" s="3353">
        <f t="shared" si="45"/>
        <v>8153554.5071109999</v>
      </c>
      <c r="AI31" s="3094">
        <f t="shared" si="45"/>
        <v>5213359.4928890001</v>
      </c>
      <c r="AJ31" s="3094">
        <f t="shared" si="45"/>
        <v>5213359.4928890001</v>
      </c>
      <c r="AK31" s="3094">
        <f t="shared" si="45"/>
        <v>0</v>
      </c>
      <c r="AL31" s="174">
        <f t="shared" si="45"/>
        <v>24240276</v>
      </c>
      <c r="AM31" s="3088"/>
      <c r="AN31" s="174">
        <f>SUM(AN32:AN33)</f>
        <v>0</v>
      </c>
      <c r="AO31" s="3354">
        <f>SUM(AO32:AO33)</f>
        <v>9084495</v>
      </c>
      <c r="AP31" s="3354">
        <f>SUM(AP32:AP33)</f>
        <v>9084495</v>
      </c>
      <c r="AQ31" s="3354">
        <f>SUM(AQ32:AQ33)</f>
        <v>8476464</v>
      </c>
      <c r="AR31" s="3354">
        <f>SUM(AR32:AR33)</f>
        <v>8996673.3000000007</v>
      </c>
      <c r="AS31" s="3090"/>
      <c r="AT31" s="3089">
        <f>SUM(AT32:AT33)</f>
        <v>0</v>
      </c>
      <c r="AU31" s="3089">
        <f>SUM(AU32:AU33)</f>
        <v>8996673.3000000007</v>
      </c>
      <c r="AV31" s="174">
        <f>SUM(AV32:AV33)</f>
        <v>8996673.3000000007</v>
      </c>
      <c r="AW31" s="174">
        <f>SUM(AW32:AW33)</f>
        <v>0</v>
      </c>
      <c r="AX31" s="174">
        <f>SUM(AX32:AX33)</f>
        <v>24939485.300000001</v>
      </c>
      <c r="AY31" s="3088"/>
      <c r="AZ31" s="3354">
        <f>SUM(AZ32:AZ33)</f>
        <v>8996673.3000000007</v>
      </c>
      <c r="BA31" s="3089">
        <f>SUM(BA32:BA33)</f>
        <v>22560000</v>
      </c>
      <c r="BB31" s="3089">
        <f>SUM(BB32:BB33)</f>
        <v>24939485.300000001</v>
      </c>
      <c r="BC31" s="3089">
        <f>SUM(BC32:BC33)</f>
        <v>0</v>
      </c>
      <c r="BD31" s="3089">
        <f>SUM(BD32:BD33)</f>
        <v>24939485.300000001</v>
      </c>
      <c r="BE31" s="3090"/>
      <c r="BF31" s="3089">
        <f>SUM(BF32:BF33)</f>
        <v>0</v>
      </c>
      <c r="BG31" s="3089">
        <f>SUM(BG32:BG33)</f>
        <v>24939485.300000001</v>
      </c>
      <c r="BH31" s="3355">
        <f>SUM(BH32:BH33)</f>
        <v>24939485.300000001</v>
      </c>
      <c r="BI31" s="3356">
        <f>SUM(BI32:BI33)</f>
        <v>0</v>
      </c>
      <c r="BJ31" s="174">
        <f>SUM(BJ32:BJ33)</f>
        <v>24939485.300000001</v>
      </c>
      <c r="BK31" s="3088"/>
      <c r="BL31" s="174">
        <f>SUM(BL32:BL33)</f>
        <v>0</v>
      </c>
      <c r="BM31" s="174">
        <f>SUM(BM32:BM33)</f>
        <v>24939485.300000001</v>
      </c>
      <c r="BN31" s="174">
        <f>SUM(BN32:BN33)</f>
        <v>24939485.300000001</v>
      </c>
      <c r="BO31" s="174">
        <f>SUM(BO32:BO33)</f>
        <v>0</v>
      </c>
    </row>
    <row r="32" spans="1:67" s="3317" customFormat="1">
      <c r="A32" s="226" t="s">
        <v>3</v>
      </c>
      <c r="B32" s="3093" t="s">
        <v>39</v>
      </c>
      <c r="C32" s="3094">
        <v>6803512</v>
      </c>
      <c r="D32" s="3094"/>
      <c r="E32" s="3094">
        <f>F32+G32</f>
        <v>6803512</v>
      </c>
      <c r="F32" s="3094">
        <f>C32</f>
        <v>6803512</v>
      </c>
      <c r="G32" s="3094">
        <v>0</v>
      </c>
      <c r="H32" s="3094">
        <f>C32</f>
        <v>6803512</v>
      </c>
      <c r="I32" s="3095"/>
      <c r="J32" s="3149">
        <v>0</v>
      </c>
      <c r="K32" s="3149">
        <f>H32</f>
        <v>6803512</v>
      </c>
      <c r="L32" s="3149">
        <f>K32</f>
        <v>6803512</v>
      </c>
      <c r="M32" s="3149">
        <v>0</v>
      </c>
      <c r="N32" s="174">
        <f>Q32</f>
        <v>6487488</v>
      </c>
      <c r="O32" s="3088"/>
      <c r="P32" s="174">
        <v>0</v>
      </c>
      <c r="Q32" s="174">
        <f>R32+S32</f>
        <v>6487488</v>
      </c>
      <c r="R32" s="174">
        <f>INT(13141488-6654000)</f>
        <v>6487488</v>
      </c>
      <c r="S32" s="174">
        <v>0</v>
      </c>
      <c r="T32" s="174">
        <f>W32</f>
        <v>4881126</v>
      </c>
      <c r="U32" s="3352">
        <f>4693126</f>
        <v>4693126</v>
      </c>
      <c r="V32" s="3352">
        <f>U32</f>
        <v>4693126</v>
      </c>
      <c r="W32" s="3352">
        <f>4787126+94000</f>
        <v>4881126</v>
      </c>
      <c r="X32" s="174">
        <f>W32</f>
        <v>4881126</v>
      </c>
      <c r="Y32" s="174">
        <f>4787126+96000</f>
        <v>4883126</v>
      </c>
      <c r="Z32" s="3094">
        <f>4787126+96000</f>
        <v>4883126</v>
      </c>
      <c r="AA32" s="3095"/>
      <c r="AB32" s="3094">
        <v>0</v>
      </c>
      <c r="AC32" s="3094">
        <f>Z32</f>
        <v>4883126</v>
      </c>
      <c r="AD32" s="3094">
        <f>AC32</f>
        <v>4883126</v>
      </c>
      <c r="AE32" s="3094">
        <v>4883126</v>
      </c>
      <c r="AF32" s="3094">
        <f>AE32</f>
        <v>4883126</v>
      </c>
      <c r="AG32" s="3353">
        <f>[2]PL1.1!C53</f>
        <v>6803512</v>
      </c>
      <c r="AH32" s="3353">
        <f>AG32</f>
        <v>6803512</v>
      </c>
      <c r="AI32" s="3094">
        <f>AF32</f>
        <v>4883126</v>
      </c>
      <c r="AJ32" s="3094">
        <f>AI32</f>
        <v>4883126</v>
      </c>
      <c r="AK32" s="3094">
        <v>0</v>
      </c>
      <c r="AL32" s="174">
        <f>$N$61</f>
        <v>22560000</v>
      </c>
      <c r="AM32" s="3088"/>
      <c r="AN32" s="174">
        <v>0</v>
      </c>
      <c r="AO32" s="3354">
        <f>[2]PL1.1!N53</f>
        <v>6487488</v>
      </c>
      <c r="AP32" s="3354">
        <f>AO32</f>
        <v>6487488</v>
      </c>
      <c r="AQ32" s="3354">
        <f>[2]PL1.1!Z53</f>
        <v>6487488</v>
      </c>
      <c r="AR32" s="3354">
        <f>[2]PL1.1!AF53</f>
        <v>6617188</v>
      </c>
      <c r="AS32" s="3090"/>
      <c r="AT32" s="3089">
        <v>0</v>
      </c>
      <c r="AU32" s="3089">
        <f>AR32</f>
        <v>6617188</v>
      </c>
      <c r="AV32" s="174">
        <f>AU32</f>
        <v>6617188</v>
      </c>
      <c r="AW32" s="174">
        <v>0</v>
      </c>
      <c r="AX32" s="174">
        <f>$N$61</f>
        <v>22560000</v>
      </c>
      <c r="AY32" s="3088"/>
      <c r="AZ32" s="3354">
        <f>[2]PL1.1!AL53</f>
        <v>6617188</v>
      </c>
      <c r="BA32" s="3089">
        <f>AX32</f>
        <v>22560000</v>
      </c>
      <c r="BB32" s="3089">
        <f>BA32</f>
        <v>22560000</v>
      </c>
      <c r="BC32" s="3089">
        <v>0</v>
      </c>
      <c r="BD32" s="3089">
        <f>$N$61</f>
        <v>22560000</v>
      </c>
      <c r="BE32" s="3090"/>
      <c r="BF32" s="3089">
        <v>0</v>
      </c>
      <c r="BG32" s="3089">
        <f>BD32</f>
        <v>22560000</v>
      </c>
      <c r="BH32" s="3355">
        <f>BG32</f>
        <v>22560000</v>
      </c>
      <c r="BI32" s="3356">
        <v>0</v>
      </c>
      <c r="BJ32" s="174">
        <f>$N$61</f>
        <v>22560000</v>
      </c>
      <c r="BK32" s="3088"/>
      <c r="BL32" s="174">
        <v>0</v>
      </c>
      <c r="BM32" s="174">
        <f>BJ32</f>
        <v>22560000</v>
      </c>
      <c r="BN32" s="174">
        <f>BM32</f>
        <v>22560000</v>
      </c>
      <c r="BO32" s="174">
        <v>0</v>
      </c>
    </row>
    <row r="33" spans="1:67" s="3317" customFormat="1">
      <c r="A33" s="226" t="s">
        <v>33</v>
      </c>
      <c r="B33" s="3093" t="s">
        <v>41</v>
      </c>
      <c r="C33" s="3094">
        <f t="shared" ref="C33:H33" si="46">SUM(C34:C35)</f>
        <v>1213473</v>
      </c>
      <c r="D33" s="3094">
        <f t="shared" si="46"/>
        <v>0</v>
      </c>
      <c r="E33" s="3094">
        <f t="shared" si="46"/>
        <v>1213473</v>
      </c>
      <c r="F33" s="3094">
        <f t="shared" si="46"/>
        <v>1213473</v>
      </c>
      <c r="G33" s="3094">
        <f t="shared" si="46"/>
        <v>0</v>
      </c>
      <c r="H33" s="3094">
        <f t="shared" si="46"/>
        <v>1213473</v>
      </c>
      <c r="I33" s="3095"/>
      <c r="J33" s="3149">
        <f>SUM(J34:J35)</f>
        <v>0</v>
      </c>
      <c r="K33" s="3149">
        <f>H33</f>
        <v>1213473</v>
      </c>
      <c r="L33" s="3149">
        <f>K33</f>
        <v>1213473</v>
      </c>
      <c r="M33" s="3149">
        <f>SUM(M34:M35)</f>
        <v>0</v>
      </c>
      <c r="N33" s="174" t="e">
        <f>SUM(N34:N35)</f>
        <v>#REF!</v>
      </c>
      <c r="O33" s="3088"/>
      <c r="P33" s="174">
        <f>SUM(P34:P35)</f>
        <v>0</v>
      </c>
      <c r="Q33" s="174" t="e">
        <f>SUM(Q34:Q35)</f>
        <v>#REF!</v>
      </c>
      <c r="R33" s="174" t="e">
        <f>SUM(R34:R35)</f>
        <v>#REF!</v>
      </c>
      <c r="S33" s="174">
        <f>SUM(S34:S35)</f>
        <v>0</v>
      </c>
      <c r="T33" s="174">
        <f>SUM(T34:T35)</f>
        <v>1511244</v>
      </c>
      <c r="U33" s="3088">
        <f>SUM(U34:U36)</f>
        <v>2001828</v>
      </c>
      <c r="V33" s="3088">
        <f>SUM(V34:V36)</f>
        <v>2001828</v>
      </c>
      <c r="W33" s="3088">
        <f>SUM(W34:W36)</f>
        <v>1711597</v>
      </c>
      <c r="X33" s="174">
        <f>SUM(X34:X36)</f>
        <v>1711597</v>
      </c>
      <c r="Y33" s="3094">
        <f>SUM(Y34:Y36)</f>
        <v>1627513</v>
      </c>
      <c r="Z33" s="3094">
        <f t="shared" ref="Z33:AD33" si="47">SUM(Z34:Z36)</f>
        <v>1627513</v>
      </c>
      <c r="AA33" s="3094">
        <f t="shared" si="47"/>
        <v>0</v>
      </c>
      <c r="AB33" s="3094">
        <f t="shared" si="47"/>
        <v>0</v>
      </c>
      <c r="AC33" s="3094">
        <f t="shared" si="47"/>
        <v>1600563</v>
      </c>
      <c r="AD33" s="3094">
        <f t="shared" si="47"/>
        <v>-79713</v>
      </c>
      <c r="AE33" s="3094">
        <f>SUM(AE34:AE36)</f>
        <v>1882470</v>
      </c>
      <c r="AF33" s="3094">
        <f t="shared" ref="AF33" si="48">SUM(AF34:AF36)</f>
        <v>1882470</v>
      </c>
      <c r="AG33" s="3357">
        <f>SUM(AG34:AG36)</f>
        <v>1213473</v>
      </c>
      <c r="AH33" s="3357">
        <f>SUM(AH34:AH36)</f>
        <v>1350042.5071109999</v>
      </c>
      <c r="AI33" s="3094">
        <f>SUM(AI34:AI35)</f>
        <v>330233.4928890001</v>
      </c>
      <c r="AJ33" s="3094">
        <f>SUM(AJ34:AJ35)</f>
        <v>330233.4928890001</v>
      </c>
      <c r="AK33" s="3094">
        <f>SUM(AK34:AK35)</f>
        <v>0</v>
      </c>
      <c r="AL33" s="174">
        <f>SUM(AL34:AL35)</f>
        <v>1680276</v>
      </c>
      <c r="AM33" s="3088"/>
      <c r="AN33" s="174">
        <f>SUM(AN34:AN35)</f>
        <v>0</v>
      </c>
      <c r="AO33" s="3354">
        <f>SUM(AO34:AO35)</f>
        <v>2597007</v>
      </c>
      <c r="AP33" s="3354">
        <f>SUM(AP34:AP35)</f>
        <v>2597007</v>
      </c>
      <c r="AQ33" s="3354">
        <f>SUM(AQ34:AQ35)</f>
        <v>1988976</v>
      </c>
      <c r="AR33" s="3354">
        <f>SUM(AR34:AR35)</f>
        <v>2379485.2999999998</v>
      </c>
      <c r="AS33" s="3090"/>
      <c r="AT33" s="3089">
        <f>SUM(AT34:AT35)</f>
        <v>0</v>
      </c>
      <c r="AU33" s="3089">
        <f>SUM(AU34:AU35)</f>
        <v>2379485.2999999998</v>
      </c>
      <c r="AV33" s="174">
        <f>SUM(AV34:AV35)</f>
        <v>2379485.2999999998</v>
      </c>
      <c r="AW33" s="174">
        <f>SUM(AW34:AW35)</f>
        <v>0</v>
      </c>
      <c r="AX33" s="174">
        <f>SUM(AX34:AX35)</f>
        <v>2379485.2999999998</v>
      </c>
      <c r="AY33" s="3088"/>
      <c r="AZ33" s="3354">
        <f>SUM(AZ34:AZ35)</f>
        <v>2379485.2999999998</v>
      </c>
      <c r="BA33" s="3089">
        <f>SUM(BA34:BA35)</f>
        <v>0</v>
      </c>
      <c r="BB33" s="3089">
        <f>SUM(BB34:BB35)</f>
        <v>2379485.2999999998</v>
      </c>
      <c r="BC33" s="3089">
        <f>SUM(BC34:BC35)</f>
        <v>0</v>
      </c>
      <c r="BD33" s="3089">
        <f>SUM(BD34:BD35)</f>
        <v>2379485.2999999998</v>
      </c>
      <c r="BE33" s="3090"/>
      <c r="BF33" s="3089">
        <f>SUM(BF34:BF35)</f>
        <v>0</v>
      </c>
      <c r="BG33" s="3089">
        <f>SUM(BG34:BG35)</f>
        <v>2379485.2999999998</v>
      </c>
      <c r="BH33" s="3355">
        <f>SUM(BH34:BH35)</f>
        <v>2379485.2999999998</v>
      </c>
      <c r="BI33" s="3356">
        <f>SUM(BI34:BI35)</f>
        <v>0</v>
      </c>
      <c r="BJ33" s="174">
        <f>SUM(BJ34:BJ35)</f>
        <v>2379485.2999999998</v>
      </c>
      <c r="BK33" s="3088"/>
      <c r="BL33" s="174">
        <f>SUM(BL34:BL35)</f>
        <v>0</v>
      </c>
      <c r="BM33" s="174">
        <f>SUM(BM34:BM35)</f>
        <v>2379485.2999999998</v>
      </c>
      <c r="BN33" s="174">
        <f>SUM(BN34:BN35)</f>
        <v>2379485.2999999998</v>
      </c>
      <c r="BO33" s="174">
        <f>SUM(BO34:BO35)</f>
        <v>0</v>
      </c>
    </row>
    <row r="34" spans="1:67" s="3156" customFormat="1">
      <c r="A34" s="241">
        <v>1</v>
      </c>
      <c r="B34" s="3150" t="s">
        <v>1890</v>
      </c>
      <c r="C34" s="3151">
        <v>1127000</v>
      </c>
      <c r="D34" s="3106">
        <v>0</v>
      </c>
      <c r="E34" s="3106">
        <f>F34+G34</f>
        <v>1127000</v>
      </c>
      <c r="F34" s="3106">
        <f>C34</f>
        <v>1127000</v>
      </c>
      <c r="G34" s="3106">
        <v>0</v>
      </c>
      <c r="H34" s="3106">
        <f>C34</f>
        <v>1127000</v>
      </c>
      <c r="I34" s="3109"/>
      <c r="J34" s="3110">
        <v>0</v>
      </c>
      <c r="K34" s="3110">
        <f>H34-J34</f>
        <v>1127000</v>
      </c>
      <c r="L34" s="3110">
        <f>K34-M34</f>
        <v>1127000</v>
      </c>
      <c r="M34" s="3110">
        <v>0</v>
      </c>
      <c r="N34" s="154" t="e">
        <f>'[11]Phụ lục số 8'!#REF!</f>
        <v>#REF!</v>
      </c>
      <c r="O34" s="3111"/>
      <c r="P34" s="154">
        <v>0</v>
      </c>
      <c r="Q34" s="154" t="e">
        <f>R34+S34</f>
        <v>#REF!</v>
      </c>
      <c r="R34" s="154" t="e">
        <f>N34</f>
        <v>#REF!</v>
      </c>
      <c r="S34" s="154">
        <v>0</v>
      </c>
      <c r="T34" s="154">
        <f>W34</f>
        <v>1087251</v>
      </c>
      <c r="U34" s="3358">
        <f>110942+1503647</f>
        <v>1614589</v>
      </c>
      <c r="V34" s="3359">
        <f>U34</f>
        <v>1614589</v>
      </c>
      <c r="W34" s="154">
        <f>237567+849684</f>
        <v>1087251</v>
      </c>
      <c r="X34" s="154">
        <f>W34</f>
        <v>1087251</v>
      </c>
      <c r="Y34" s="154">
        <f>325020+906600</f>
        <v>1231620</v>
      </c>
      <c r="Z34" s="3106">
        <f>Y34</f>
        <v>1231620</v>
      </c>
      <c r="AA34" s="3109"/>
      <c r="AB34" s="3106">
        <v>0</v>
      </c>
      <c r="AC34" s="3106">
        <f>Z34-AB34</f>
        <v>1231620</v>
      </c>
      <c r="AD34" s="3106">
        <f>AC34-AE34</f>
        <v>-32204</v>
      </c>
      <c r="AE34" s="3106">
        <v>1263824</v>
      </c>
      <c r="AF34" s="3106">
        <f>AE34</f>
        <v>1263824</v>
      </c>
      <c r="AG34" s="3360">
        <f>[2]PL1.1!C55</f>
        <v>1127000</v>
      </c>
      <c r="AH34" s="3108">
        <f>[2]PL1.1!H55</f>
        <v>1263569.5071109999</v>
      </c>
      <c r="AI34" s="3106">
        <f>AF34-AH34</f>
        <v>254.49288900010288</v>
      </c>
      <c r="AJ34" s="3106">
        <f>AI34-AK34</f>
        <v>254.49288900010288</v>
      </c>
      <c r="AK34" s="3106">
        <v>0</v>
      </c>
      <c r="AL34" s="202">
        <f>AF34</f>
        <v>1263824</v>
      </c>
      <c r="AM34" s="3152"/>
      <c r="AN34" s="3152"/>
      <c r="AO34" s="3108">
        <f>[2]PL1.1!R55</f>
        <v>2417971</v>
      </c>
      <c r="AP34" s="3361">
        <f>[2]PL1.1!T55</f>
        <v>2417971</v>
      </c>
      <c r="AQ34" s="3362">
        <f>[2]PL1.1!Z55</f>
        <v>1814491</v>
      </c>
      <c r="AR34" s="3363">
        <f>[2]PL1.1!AF55</f>
        <v>2205000</v>
      </c>
      <c r="AS34" s="3154"/>
      <c r="AT34" s="3154"/>
      <c r="AU34" s="3113">
        <f>AR34-AT34</f>
        <v>2205000</v>
      </c>
      <c r="AV34" s="3153">
        <f>AR34</f>
        <v>2205000</v>
      </c>
      <c r="AW34" s="3152"/>
      <c r="AX34" s="202">
        <f>AR34</f>
        <v>2205000</v>
      </c>
      <c r="AY34" s="3152"/>
      <c r="AZ34" s="3362">
        <f>[2]PL1.1!AL55</f>
        <v>2205000</v>
      </c>
      <c r="BA34" s="3113">
        <f>AX34-AZ34</f>
        <v>0</v>
      </c>
      <c r="BB34" s="3155">
        <f>AX34</f>
        <v>2205000</v>
      </c>
      <c r="BC34" s="3154"/>
      <c r="BD34" s="1328">
        <f>AX34</f>
        <v>2205000</v>
      </c>
      <c r="BE34" s="3154"/>
      <c r="BF34" s="3154"/>
      <c r="BG34" s="3113">
        <f>BD34-BF34</f>
        <v>2205000</v>
      </c>
      <c r="BH34" s="3364">
        <f>BD34</f>
        <v>2205000</v>
      </c>
      <c r="BI34" s="3365"/>
      <c r="BJ34" s="202">
        <f>BD34</f>
        <v>2205000</v>
      </c>
      <c r="BK34" s="3152"/>
      <c r="BL34" s="3152"/>
      <c r="BM34" s="154">
        <f>BJ34-BL34</f>
        <v>2205000</v>
      </c>
      <c r="BN34" s="3153">
        <f>BJ34</f>
        <v>2205000</v>
      </c>
      <c r="BO34" s="3152"/>
    </row>
    <row r="35" spans="1:67" s="3156" customFormat="1">
      <c r="A35" s="241">
        <v>2</v>
      </c>
      <c r="B35" s="37" t="s">
        <v>43</v>
      </c>
      <c r="C35" s="3151">
        <v>86473</v>
      </c>
      <c r="D35" s="3106"/>
      <c r="E35" s="3106">
        <f>F35+G35</f>
        <v>86473</v>
      </c>
      <c r="F35" s="3106">
        <f>C35</f>
        <v>86473</v>
      </c>
      <c r="G35" s="3106">
        <v>0</v>
      </c>
      <c r="H35" s="3106">
        <f>C35</f>
        <v>86473</v>
      </c>
      <c r="I35" s="3109"/>
      <c r="J35" s="3110">
        <v>0</v>
      </c>
      <c r="K35" s="3110">
        <f>H35-J35</f>
        <v>86473</v>
      </c>
      <c r="L35" s="3110">
        <f>K35-M35</f>
        <v>86473</v>
      </c>
      <c r="M35" s="3110">
        <v>0</v>
      </c>
      <c r="N35" s="154" t="e">
        <f>'[11]Phụ lục số 8'!#REF!</f>
        <v>#REF!</v>
      </c>
      <c r="O35" s="3111"/>
      <c r="P35" s="154"/>
      <c r="Q35" s="154" t="e">
        <f>R35+S35</f>
        <v>#REF!</v>
      </c>
      <c r="R35" s="154" t="e">
        <f>N35</f>
        <v>#REF!</v>
      </c>
      <c r="S35" s="154">
        <v>0</v>
      </c>
      <c r="T35" s="154">
        <f t="shared" ref="T35:T38" si="49">W35</f>
        <v>423993</v>
      </c>
      <c r="U35" s="3359">
        <f>47547+245237</f>
        <v>292784</v>
      </c>
      <c r="V35" s="3359">
        <f>U35</f>
        <v>292784</v>
      </c>
      <c r="W35" s="154">
        <v>423993</v>
      </c>
      <c r="X35" s="154">
        <f>W35</f>
        <v>423993</v>
      </c>
      <c r="Y35" s="154">
        <f>101555+267388</f>
        <v>368943</v>
      </c>
      <c r="Z35" s="3106">
        <f>Y35</f>
        <v>368943</v>
      </c>
      <c r="AA35" s="3109"/>
      <c r="AB35" s="3106">
        <v>0</v>
      </c>
      <c r="AC35" s="3106">
        <f>Z35-AB35</f>
        <v>368943</v>
      </c>
      <c r="AD35" s="3106">
        <f>AC35-AE35</f>
        <v>-47509</v>
      </c>
      <c r="AE35" s="3106">
        <v>416452</v>
      </c>
      <c r="AF35" s="3106">
        <f>AE35</f>
        <v>416452</v>
      </c>
      <c r="AG35" s="3360">
        <f>[2]PL1.1!C56</f>
        <v>86473</v>
      </c>
      <c r="AH35" s="3108">
        <f>AG35</f>
        <v>86473</v>
      </c>
      <c r="AI35" s="3106">
        <f>AF35-AH35</f>
        <v>329979</v>
      </c>
      <c r="AJ35" s="3106">
        <f>AI35-AK35</f>
        <v>329979</v>
      </c>
      <c r="AK35" s="3106">
        <v>0</v>
      </c>
      <c r="AL35" s="202">
        <f>AF35</f>
        <v>416452</v>
      </c>
      <c r="AM35" s="3152"/>
      <c r="AN35" s="3152"/>
      <c r="AO35" s="3108">
        <f>[2]PL1.1!R56</f>
        <v>179036</v>
      </c>
      <c r="AP35" s="3361">
        <f>[2]PL1.1!T56</f>
        <v>179036</v>
      </c>
      <c r="AQ35" s="3362">
        <f>[2]PL1.1!Z56</f>
        <v>174485</v>
      </c>
      <c r="AR35" s="3363">
        <f>[2]PL1.1!AF56</f>
        <v>174485.3</v>
      </c>
      <c r="AS35" s="3154"/>
      <c r="AT35" s="3154"/>
      <c r="AU35" s="3113">
        <f>AR35-AT35</f>
        <v>174485.3</v>
      </c>
      <c r="AV35" s="3153">
        <f>AR35</f>
        <v>174485.3</v>
      </c>
      <c r="AW35" s="3152"/>
      <c r="AX35" s="202">
        <f>AR35</f>
        <v>174485.3</v>
      </c>
      <c r="AY35" s="3152"/>
      <c r="AZ35" s="3362">
        <f>[2]PL1.1!AL56</f>
        <v>174485.3</v>
      </c>
      <c r="BA35" s="3113">
        <f>AX35-AZ35</f>
        <v>0</v>
      </c>
      <c r="BB35" s="3155">
        <f>AX35</f>
        <v>174485.3</v>
      </c>
      <c r="BC35" s="3154"/>
      <c r="BD35" s="1328">
        <f>AX35</f>
        <v>174485.3</v>
      </c>
      <c r="BE35" s="3154"/>
      <c r="BF35" s="3154"/>
      <c r="BG35" s="3113">
        <f>BD35-BF35</f>
        <v>174485.3</v>
      </c>
      <c r="BH35" s="3364">
        <f>BD35</f>
        <v>174485.3</v>
      </c>
      <c r="BI35" s="3365"/>
      <c r="BJ35" s="202">
        <f>BD35</f>
        <v>174485.3</v>
      </c>
      <c r="BK35" s="3152"/>
      <c r="BL35" s="3152"/>
      <c r="BM35" s="154">
        <f>BJ35-BL35</f>
        <v>174485.3</v>
      </c>
      <c r="BN35" s="3153">
        <f>BJ35</f>
        <v>174485.3</v>
      </c>
      <c r="BO35" s="3152"/>
    </row>
    <row r="36" spans="1:67" s="3156" customFormat="1">
      <c r="A36" s="241">
        <v>3</v>
      </c>
      <c r="B36" s="37" t="s">
        <v>1922</v>
      </c>
      <c r="C36" s="3151"/>
      <c r="D36" s="3106"/>
      <c r="E36" s="3106"/>
      <c r="F36" s="3106"/>
      <c r="G36" s="3106"/>
      <c r="H36" s="3106"/>
      <c r="I36" s="3109"/>
      <c r="J36" s="3110"/>
      <c r="K36" s="3110"/>
      <c r="L36" s="3110"/>
      <c r="M36" s="3110"/>
      <c r="N36" s="154"/>
      <c r="O36" s="3111"/>
      <c r="P36" s="154"/>
      <c r="Q36" s="154"/>
      <c r="R36" s="154"/>
      <c r="S36" s="154"/>
      <c r="T36" s="154"/>
      <c r="U36" s="3359">
        <v>94455</v>
      </c>
      <c r="V36" s="3359">
        <f>U36</f>
        <v>94455</v>
      </c>
      <c r="W36" s="154">
        <v>200353</v>
      </c>
      <c r="X36" s="154">
        <f>W36</f>
        <v>200353</v>
      </c>
      <c r="Y36" s="154">
        <v>26950</v>
      </c>
      <c r="Z36" s="3106">
        <f>Y36</f>
        <v>26950</v>
      </c>
      <c r="AA36" s="3109"/>
      <c r="AB36" s="3106"/>
      <c r="AC36" s="3106"/>
      <c r="AD36" s="3106"/>
      <c r="AE36" s="3106">
        <v>202194</v>
      </c>
      <c r="AF36" s="3106">
        <f>AE36</f>
        <v>202194</v>
      </c>
      <c r="AG36" s="3360">
        <f>[2]PL1.1!C57</f>
        <v>0</v>
      </c>
      <c r="AH36" s="3108"/>
      <c r="AI36" s="3106"/>
      <c r="AJ36" s="3106"/>
      <c r="AK36" s="3106"/>
      <c r="AL36" s="202"/>
      <c r="AM36" s="3152"/>
      <c r="AN36" s="3152"/>
      <c r="AO36" s="3108">
        <f>[2]PL1.1!R57</f>
        <v>0</v>
      </c>
      <c r="AP36" s="3361">
        <f>[2]PL1.1!T57</f>
        <v>0</v>
      </c>
      <c r="AQ36" s="3362">
        <f>[2]PL1.1!Z57</f>
        <v>650315</v>
      </c>
      <c r="AR36" s="3363">
        <f>[2]PL1.1!AF57</f>
        <v>650315</v>
      </c>
      <c r="AS36" s="3154"/>
      <c r="AT36" s="3154"/>
      <c r="AU36" s="3113"/>
      <c r="AV36" s="3153"/>
      <c r="AW36" s="3152"/>
      <c r="AX36" s="202"/>
      <c r="AY36" s="3152"/>
      <c r="AZ36" s="3362">
        <f>[2]PL1.1!AL57</f>
        <v>650315</v>
      </c>
      <c r="BA36" s="3113"/>
      <c r="BB36" s="3155"/>
      <c r="BC36" s="3154"/>
      <c r="BD36" s="1328"/>
      <c r="BE36" s="3154"/>
      <c r="BF36" s="3154"/>
      <c r="BG36" s="3113"/>
      <c r="BH36" s="3364"/>
      <c r="BI36" s="3365"/>
      <c r="BJ36" s="202"/>
      <c r="BK36" s="3152"/>
      <c r="BL36" s="3152"/>
      <c r="BM36" s="154"/>
      <c r="BN36" s="3153"/>
      <c r="BO36" s="3152"/>
    </row>
    <row r="37" spans="1:67" s="3317" customFormat="1">
      <c r="A37" s="226" t="s">
        <v>44</v>
      </c>
      <c r="B37" s="3093" t="s">
        <v>836</v>
      </c>
      <c r="C37" s="3094">
        <f>F37+G37</f>
        <v>179391</v>
      </c>
      <c r="D37" s="3157">
        <v>0</v>
      </c>
      <c r="E37" s="3093">
        <f>F37+G37</f>
        <v>179391</v>
      </c>
      <c r="F37" s="3094">
        <v>179391</v>
      </c>
      <c r="G37" s="3094"/>
      <c r="H37" s="3094">
        <f>L37+M37</f>
        <v>179391</v>
      </c>
      <c r="I37" s="3095"/>
      <c r="J37" s="3149"/>
      <c r="K37" s="3149">
        <f>H37-J37</f>
        <v>179391</v>
      </c>
      <c r="L37" s="3149">
        <f>F37</f>
        <v>179391</v>
      </c>
      <c r="M37" s="3149">
        <f>G37</f>
        <v>0</v>
      </c>
      <c r="N37" s="174">
        <f>SUM(Q37)</f>
        <v>2343711</v>
      </c>
      <c r="O37" s="3159"/>
      <c r="P37" s="174">
        <v>0</v>
      </c>
      <c r="Q37" s="174">
        <f>R37+S37</f>
        <v>2343711</v>
      </c>
      <c r="R37" s="174">
        <f>IF('[11]Phụ lục số 2'!I9&gt;0,'[11]Phụ lục số 2'!I9,0)</f>
        <v>2343711</v>
      </c>
      <c r="S37" s="174"/>
      <c r="T37" s="149">
        <f t="shared" si="49"/>
        <v>353947</v>
      </c>
      <c r="U37" s="3366">
        <v>236361</v>
      </c>
      <c r="V37" s="3366">
        <f>U37</f>
        <v>236361</v>
      </c>
      <c r="W37" s="174">
        <v>353947</v>
      </c>
      <c r="X37" s="174">
        <f>W37</f>
        <v>353947</v>
      </c>
      <c r="Y37" s="174">
        <v>418294</v>
      </c>
      <c r="Z37" s="3094">
        <f>Y37</f>
        <v>418294</v>
      </c>
      <c r="AA37" s="3160"/>
      <c r="AB37" s="3094"/>
      <c r="AC37" s="3094">
        <f>SUM(AD37:AE37)</f>
        <v>816873</v>
      </c>
      <c r="AD37" s="3094"/>
      <c r="AE37" s="3094">
        <v>816873</v>
      </c>
      <c r="AF37" s="3094">
        <f>AE37</f>
        <v>816873</v>
      </c>
      <c r="AG37" s="3367">
        <f>[2]PL1.1!C58</f>
        <v>179391</v>
      </c>
      <c r="AH37" s="3354">
        <f>AG37</f>
        <v>179391</v>
      </c>
      <c r="AI37" s="3094">
        <f>SUM(AJ37:AK37)</f>
        <v>0</v>
      </c>
      <c r="AJ37" s="3094"/>
      <c r="AK37" s="3094"/>
      <c r="AL37" s="866"/>
      <c r="AM37" s="3368"/>
      <c r="AN37" s="3368"/>
      <c r="AO37" s="3119">
        <f>[2]PL1.1!R58</f>
        <v>0</v>
      </c>
      <c r="AP37" s="3362">
        <f>[2]PL1.1!T58</f>
        <v>431000</v>
      </c>
      <c r="AQ37" s="3362">
        <f>[2]PL1.1!Z58</f>
        <v>886000</v>
      </c>
      <c r="AR37" s="3369">
        <f>[2]PL1.1!AF58</f>
        <v>717399.2</v>
      </c>
      <c r="AS37" s="3370"/>
      <c r="AT37" s="3370"/>
      <c r="AU37" s="3089">
        <f>SUM(AV37:AW37)</f>
        <v>0</v>
      </c>
      <c r="AV37" s="3368"/>
      <c r="AW37" s="3368"/>
      <c r="AX37" s="866"/>
      <c r="AY37" s="3368"/>
      <c r="AZ37" s="3362">
        <f>[2]PL1.1!AL58</f>
        <v>882854.2423493322</v>
      </c>
      <c r="BA37" s="3089">
        <f>SUM(BB37:BC37)</f>
        <v>0</v>
      </c>
      <c r="BB37" s="3370"/>
      <c r="BC37" s="3370"/>
      <c r="BD37" s="867"/>
      <c r="BE37" s="3370"/>
      <c r="BF37" s="3370"/>
      <c r="BG37" s="3089">
        <f>SUM(BH37:BI37)</f>
        <v>0</v>
      </c>
      <c r="BH37" s="3371"/>
      <c r="BI37" s="3372"/>
      <c r="BJ37" s="866"/>
      <c r="BK37" s="3368"/>
      <c r="BL37" s="3368"/>
      <c r="BM37" s="174">
        <f>SUM(BN37:BO37)</f>
        <v>0</v>
      </c>
      <c r="BN37" s="3368"/>
      <c r="BO37" s="3368"/>
    </row>
    <row r="38" spans="1:67" s="3317" customFormat="1">
      <c r="A38" s="226" t="s">
        <v>46</v>
      </c>
      <c r="B38" s="3093" t="s">
        <v>47</v>
      </c>
      <c r="C38" s="3157">
        <f>D38+E38</f>
        <v>48300</v>
      </c>
      <c r="D38" s="3157"/>
      <c r="E38" s="3093">
        <f>F38+G38</f>
        <v>48300</v>
      </c>
      <c r="F38" s="3094">
        <v>48300</v>
      </c>
      <c r="G38" s="3093"/>
      <c r="H38" s="3094">
        <f>C38</f>
        <v>48300</v>
      </c>
      <c r="I38" s="3095"/>
      <c r="J38" s="3149"/>
      <c r="K38" s="3149">
        <f>H38-J38</f>
        <v>48300</v>
      </c>
      <c r="L38" s="3149">
        <f>K38-M38</f>
        <v>48300</v>
      </c>
      <c r="M38" s="3149"/>
      <c r="N38" s="174">
        <f>Q38</f>
        <v>31500</v>
      </c>
      <c r="O38" s="3159"/>
      <c r="P38" s="174"/>
      <c r="Q38" s="174">
        <f>SUM(R38:S38)</f>
        <v>31500</v>
      </c>
      <c r="R38" s="174">
        <v>31500</v>
      </c>
      <c r="S38" s="174">
        <v>0</v>
      </c>
      <c r="T38" s="149">
        <f t="shared" si="49"/>
        <v>15000</v>
      </c>
      <c r="U38" s="3373">
        <v>4600</v>
      </c>
      <c r="V38" s="3374">
        <f>U38</f>
        <v>4600</v>
      </c>
      <c r="W38" s="174">
        <v>15000</v>
      </c>
      <c r="X38" s="174">
        <f>W38</f>
        <v>15000</v>
      </c>
      <c r="Y38" s="174">
        <v>30900</v>
      </c>
      <c r="Z38" s="3094">
        <v>30900</v>
      </c>
      <c r="AA38" s="3160"/>
      <c r="AB38" s="3094"/>
      <c r="AC38" s="3094">
        <f>SUM(AD38:AE38)</f>
        <v>80894</v>
      </c>
      <c r="AD38" s="3094">
        <v>19694</v>
      </c>
      <c r="AE38" s="3089">
        <v>61200</v>
      </c>
      <c r="AF38" s="3089">
        <f>AE38</f>
        <v>61200</v>
      </c>
      <c r="AG38" s="3367">
        <f>[2]PL1.1!C59</f>
        <v>48300</v>
      </c>
      <c r="AH38" s="3354">
        <f>AG38</f>
        <v>48300</v>
      </c>
      <c r="AI38" s="3094">
        <f>SUM(AJ38:AK38)</f>
        <v>0</v>
      </c>
      <c r="AJ38" s="3094">
        <v>0</v>
      </c>
      <c r="AK38" s="3094">
        <v>0</v>
      </c>
      <c r="AL38" s="866">
        <f>AF38</f>
        <v>61200</v>
      </c>
      <c r="AM38" s="3368"/>
      <c r="AN38" s="3368"/>
      <c r="AO38" s="3354">
        <f>[2]PL1.1!R59</f>
        <v>31500</v>
      </c>
      <c r="AP38" s="3375">
        <f>[2]PL1.1!T59</f>
        <v>31500</v>
      </c>
      <c r="AQ38" s="3362">
        <f>[2]PL1.1!Z59</f>
        <v>0</v>
      </c>
      <c r="AR38" s="3369">
        <f>[2]PL1.1!AF59</f>
        <v>0</v>
      </c>
      <c r="AS38" s="3370"/>
      <c r="AT38" s="3370"/>
      <c r="AU38" s="3089">
        <f>SUM(AV38:AW38)</f>
        <v>0</v>
      </c>
      <c r="AV38" s="3368"/>
      <c r="AW38" s="3368"/>
      <c r="AX38" s="866">
        <f>AR38</f>
        <v>0</v>
      </c>
      <c r="AY38" s="3368"/>
      <c r="AZ38" s="3362">
        <f>[2]PL1.1!AL59</f>
        <v>0</v>
      </c>
      <c r="BA38" s="3089">
        <f>SUM(BB38:BC38)</f>
        <v>0</v>
      </c>
      <c r="BB38" s="3370"/>
      <c r="BC38" s="3370"/>
      <c r="BD38" s="867">
        <f>AX38</f>
        <v>0</v>
      </c>
      <c r="BE38" s="3370"/>
      <c r="BF38" s="3370"/>
      <c r="BG38" s="3089">
        <f>SUM(BH38:BI38)</f>
        <v>0</v>
      </c>
      <c r="BH38" s="3371"/>
      <c r="BI38" s="3372"/>
      <c r="BJ38" s="866">
        <f>BD38</f>
        <v>0</v>
      </c>
      <c r="BK38" s="3368"/>
      <c r="BL38" s="3368"/>
      <c r="BM38" s="174">
        <f>SUM(BN38:BO38)</f>
        <v>0</v>
      </c>
      <c r="BN38" s="3368"/>
      <c r="BO38" s="3368"/>
    </row>
    <row r="39" spans="1:67" s="3317" customFormat="1" ht="16.2" thickBot="1">
      <c r="A39" s="242"/>
      <c r="B39" s="3376" t="s">
        <v>48</v>
      </c>
      <c r="C39" s="3377" t="e">
        <f t="shared" ref="C39:H39" si="50">SUM(#REF!,C31,C37,C38)</f>
        <v>#REF!</v>
      </c>
      <c r="D39" s="3377" t="e">
        <f t="shared" si="50"/>
        <v>#REF!</v>
      </c>
      <c r="E39" s="3377" t="e">
        <f t="shared" si="50"/>
        <v>#REF!</v>
      </c>
      <c r="F39" s="3377" t="e">
        <f t="shared" si="50"/>
        <v>#REF!</v>
      </c>
      <c r="G39" s="3377" t="e">
        <f t="shared" si="50"/>
        <v>#REF!</v>
      </c>
      <c r="H39" s="3377" t="e">
        <f t="shared" si="50"/>
        <v>#REF!</v>
      </c>
      <c r="I39" s="3378"/>
      <c r="J39" s="3379" t="e">
        <f>SUM(#REF!,J31,J37,J38)</f>
        <v>#REF!</v>
      </c>
      <c r="K39" s="3379" t="e">
        <f>SUM(#REF!,K31,K37,K38)</f>
        <v>#REF!</v>
      </c>
      <c r="L39" s="3379" t="e">
        <f>SUM(#REF!,L31,L37,L38)</f>
        <v>#REF!</v>
      </c>
      <c r="M39" s="3379" t="e">
        <f>SUM(#REF!,M31,M37,M38)</f>
        <v>#REF!</v>
      </c>
      <c r="N39" s="3380" t="e">
        <f>SUM(#REF!,N31,N37,N38)</f>
        <v>#REF!</v>
      </c>
      <c r="O39" s="3381"/>
      <c r="P39" s="3380" t="e">
        <f>SUM(#REF!,P31,P37,P38)</f>
        <v>#REF!</v>
      </c>
      <c r="Q39" s="3380" t="e">
        <f>SUM(#REF!,Q31,Q37,Q38)</f>
        <v>#REF!</v>
      </c>
      <c r="R39" s="3380" t="e">
        <f>SUM(#REF!,R31,R37,R38)</f>
        <v>#REF!</v>
      </c>
      <c r="S39" s="3380" t="e">
        <f>SUM(#REF!,S31,S37,S38)</f>
        <v>#REF!</v>
      </c>
      <c r="T39" s="3380" t="e">
        <f>SUM(#REF!,T31,T37,T38)</f>
        <v>#REF!</v>
      </c>
      <c r="U39" s="3382">
        <f t="shared" ref="U39:Z39" si="51">U7+U31+U37+U38</f>
        <v>13627215</v>
      </c>
      <c r="V39" s="3382">
        <f t="shared" si="51"/>
        <v>13919783</v>
      </c>
      <c r="W39" s="3383">
        <f t="shared" si="51"/>
        <v>14046670</v>
      </c>
      <c r="X39" s="3383">
        <f t="shared" si="51"/>
        <v>15732683</v>
      </c>
      <c r="Y39" s="3383">
        <f t="shared" si="51"/>
        <v>15454833</v>
      </c>
      <c r="Z39" s="3383">
        <f t="shared" si="51"/>
        <v>15390657.400000002</v>
      </c>
      <c r="AA39" s="3378"/>
      <c r="AB39" s="3377" t="e">
        <f>SUM(#REF!,AB31,AB37,AB38)</f>
        <v>#REF!</v>
      </c>
      <c r="AC39" s="3377" t="e">
        <f>SUM(#REF!,AC31,AC37,AC38)</f>
        <v>#REF!</v>
      </c>
      <c r="AD39" s="3377" t="e">
        <f>SUM(#REF!,AD31,AD37,AD38)</f>
        <v>#REF!</v>
      </c>
      <c r="AE39" s="3383">
        <f>AE7+AE31+AE37+AE38</f>
        <v>15784569</v>
      </c>
      <c r="AF39" s="3383">
        <f>AF7+AF31+AF37+AF38</f>
        <v>14856975</v>
      </c>
      <c r="AG39" s="3383">
        <f>AG7+AG31+AG37+AG38</f>
        <v>15063453</v>
      </c>
      <c r="AH39" s="3383">
        <f>AH7+AH31+AH37+AH38</f>
        <v>16258339.707694</v>
      </c>
      <c r="AI39" s="3377" t="e">
        <f>SUM(#REF!,AI31,AI37,AI38)</f>
        <v>#REF!</v>
      </c>
      <c r="AJ39" s="3377" t="e">
        <f>SUM(#REF!,AJ31,AJ37,AJ38)</f>
        <v>#REF!</v>
      </c>
      <c r="AK39" s="3377" t="e">
        <f>SUM(#REF!,AK31,AK37,AK38)</f>
        <v>#REF!</v>
      </c>
      <c r="AL39" s="3380" t="e">
        <f>SUM(#REF!,AL31,AL37,AL38)</f>
        <v>#REF!</v>
      </c>
      <c r="AM39" s="3381"/>
      <c r="AN39" s="3380" t="e">
        <f>SUM(#REF!,AN31,AN37,AN38)</f>
        <v>#REF!</v>
      </c>
      <c r="AO39" s="3383">
        <f>AO7+AO31+AO37+AO38</f>
        <v>16705995</v>
      </c>
      <c r="AP39" s="3383">
        <f>AP7+AP31+AP37+AP38</f>
        <v>17887693.407915</v>
      </c>
      <c r="AQ39" s="3383">
        <f t="shared" ref="AQ39:AR39" si="52">AQ7+AQ31+AQ37+AQ38</f>
        <v>18628464</v>
      </c>
      <c r="AR39" s="3383">
        <f t="shared" si="52"/>
        <v>19876572.199999999</v>
      </c>
      <c r="AS39" s="3384"/>
      <c r="AT39" s="3385" t="e">
        <f>SUM(#REF!,AT31,AT37,AT38)</f>
        <v>#REF!</v>
      </c>
      <c r="AU39" s="3385" t="e">
        <f>SUM(#REF!,AU31,AU37,AU38)</f>
        <v>#REF!</v>
      </c>
      <c r="AV39" s="3380" t="e">
        <f>SUM(#REF!,AV31,AV37,AV38)</f>
        <v>#REF!</v>
      </c>
      <c r="AW39" s="3380" t="e">
        <f>SUM(#REF!,AW31,AW37,AW38)</f>
        <v>#REF!</v>
      </c>
      <c r="AX39" s="3380" t="e">
        <f>SUM(#REF!,AX31,AX37,AX38)</f>
        <v>#REF!</v>
      </c>
      <c r="AY39" s="3381"/>
      <c r="AZ39" s="3383">
        <f t="shared" ref="AZ39" si="53">AZ7+AZ31+AZ37+AZ38</f>
        <v>20918527.542349331</v>
      </c>
      <c r="BA39" s="3385" t="e">
        <f>SUM(#REF!,BA31,BA37,BA38)</f>
        <v>#REF!</v>
      </c>
      <c r="BB39" s="3385" t="e">
        <f>SUM(#REF!,BB31,BB37,BB38)</f>
        <v>#REF!</v>
      </c>
      <c r="BC39" s="3385" t="e">
        <f>SUM(#REF!,BC31,BC37,BC38)</f>
        <v>#REF!</v>
      </c>
      <c r="BD39" s="3385" t="e">
        <f>SUM(#REF!,BD31,BD37,BD38)</f>
        <v>#REF!</v>
      </c>
      <c r="BE39" s="3384"/>
      <c r="BF39" s="3385" t="e">
        <f>SUM(#REF!,BF31,BF37,BF38)</f>
        <v>#REF!</v>
      </c>
      <c r="BG39" s="3385" t="e">
        <f>SUM(#REF!,BG31,BG37,BG38)</f>
        <v>#REF!</v>
      </c>
      <c r="BH39" s="3386" t="e">
        <f>SUM(#REF!,BH31,BH37,BH38)</f>
        <v>#REF!</v>
      </c>
      <c r="BI39" s="3387" t="e">
        <f>SUM(#REF!,BI31,BI37,BI38)</f>
        <v>#REF!</v>
      </c>
      <c r="BJ39" s="3388" t="e">
        <f>SUM(#REF!,BJ31,BJ37,BJ38)</f>
        <v>#REF!</v>
      </c>
      <c r="BK39" s="3389"/>
      <c r="BL39" s="3388" t="e">
        <f>SUM(#REF!,BL31,BL37,BL38)</f>
        <v>#REF!</v>
      </c>
      <c r="BM39" s="3388" t="e">
        <f>SUM(#REF!,BM31,BM37,BM38)</f>
        <v>#REF!</v>
      </c>
      <c r="BN39" s="3388" t="e">
        <f>SUM(#REF!,BN31,BN37,BN38)</f>
        <v>#REF!</v>
      </c>
      <c r="BO39" s="3388" t="e">
        <f>SUM(#REF!,BO31,BO37,BO38)</f>
        <v>#REF!</v>
      </c>
    </row>
    <row r="40" spans="1:67" s="3317" customFormat="1">
      <c r="A40" s="3390" t="s">
        <v>182</v>
      </c>
      <c r="B40" s="3173" t="s">
        <v>1977</v>
      </c>
      <c r="C40" s="3391"/>
      <c r="D40" s="3392"/>
      <c r="E40" s="3392"/>
      <c r="F40" s="3392"/>
      <c r="G40" s="3392"/>
      <c r="H40" s="3392"/>
      <c r="I40" s="3392"/>
      <c r="J40" s="3392"/>
      <c r="K40" s="3392"/>
      <c r="L40" s="3392"/>
      <c r="M40" s="3392"/>
      <c r="N40" s="3392"/>
      <c r="O40" s="3392"/>
      <c r="P40" s="3392"/>
      <c r="Q40" s="3393"/>
      <c r="R40" s="3393"/>
      <c r="S40" s="3392"/>
      <c r="T40" s="3392"/>
      <c r="U40" s="3175"/>
      <c r="V40" s="3175"/>
      <c r="W40" s="3175"/>
      <c r="X40" s="3175"/>
      <c r="Y40" s="3175"/>
      <c r="Z40" s="3175"/>
      <c r="AA40" s="3392"/>
      <c r="AB40" s="3393"/>
      <c r="AC40" s="3393"/>
      <c r="AD40" s="3393"/>
      <c r="AE40" s="3394"/>
      <c r="AF40" s="3395"/>
      <c r="AG40" s="3395"/>
      <c r="AH40" s="3395"/>
      <c r="AI40" s="3395"/>
      <c r="AJ40" s="3395"/>
      <c r="AK40" s="3395"/>
      <c r="AL40" s="3392"/>
      <c r="AM40" s="3392"/>
      <c r="AN40" s="3392"/>
      <c r="AO40" s="3392"/>
      <c r="AP40" s="3392"/>
      <c r="AQ40" s="3392"/>
      <c r="AR40" s="3392"/>
      <c r="AS40" s="3392"/>
      <c r="AT40" s="3392"/>
      <c r="AU40" s="3392"/>
      <c r="AV40" s="3396"/>
      <c r="AW40" s="3393"/>
      <c r="AX40" s="3393"/>
      <c r="AY40" s="3393"/>
      <c r="AZ40" s="3392"/>
      <c r="BA40" s="3392"/>
      <c r="BB40" s="3392"/>
      <c r="BC40" s="3392"/>
      <c r="BD40" s="3392"/>
      <c r="BE40" s="3397"/>
      <c r="BF40" s="3398"/>
      <c r="BG40" s="3393"/>
      <c r="BH40" s="3393"/>
      <c r="BI40" s="3175"/>
      <c r="BJ40" s="3175"/>
      <c r="BK40" s="3175"/>
      <c r="BL40" s="2028"/>
      <c r="BM40" s="2028"/>
      <c r="BN40" s="2028"/>
    </row>
    <row r="41" spans="1:67" s="3317" customFormat="1">
      <c r="A41" s="3390"/>
      <c r="B41" s="3173"/>
      <c r="C41" s="3391"/>
      <c r="D41" s="3392"/>
      <c r="E41" s="3392"/>
      <c r="F41" s="3392"/>
      <c r="G41" s="3392"/>
      <c r="H41" s="3392"/>
      <c r="I41" s="3392"/>
      <c r="J41" s="3392"/>
      <c r="K41" s="3392"/>
      <c r="L41" s="3392"/>
      <c r="M41" s="3392"/>
      <c r="N41" s="3392"/>
      <c r="O41" s="3392"/>
      <c r="P41" s="3392"/>
      <c r="Q41" s="3393"/>
      <c r="R41" s="3393"/>
      <c r="S41" s="3392"/>
      <c r="T41" s="3392"/>
      <c r="U41" s="3175"/>
      <c r="V41" s="3175"/>
      <c r="W41" s="3175"/>
      <c r="X41" s="3175"/>
      <c r="Y41" s="3175"/>
      <c r="Z41" s="3175"/>
      <c r="AA41" s="3392"/>
      <c r="AB41" s="3393"/>
      <c r="AC41" s="3393"/>
      <c r="AD41" s="3393"/>
      <c r="AE41" s="3394"/>
      <c r="AF41" s="3395"/>
      <c r="AG41" s="3395"/>
      <c r="AH41" s="3395"/>
      <c r="AI41" s="3395"/>
      <c r="AJ41" s="3395"/>
      <c r="AK41" s="3395"/>
      <c r="AL41" s="3392"/>
      <c r="AM41" s="3392"/>
      <c r="AN41" s="3392"/>
      <c r="AO41" s="3392"/>
      <c r="AP41" s="3392"/>
      <c r="AQ41" s="3392"/>
      <c r="AR41" s="3392"/>
      <c r="AS41" s="3392"/>
      <c r="AT41" s="3392"/>
      <c r="AU41" s="3392"/>
      <c r="AV41" s="3396"/>
      <c r="AW41" s="3393"/>
      <c r="AX41" s="3393"/>
      <c r="AY41" s="3393"/>
      <c r="AZ41" s="3392"/>
      <c r="BA41" s="3392"/>
      <c r="BB41" s="3392"/>
      <c r="BC41" s="3392"/>
      <c r="BD41" s="3392"/>
      <c r="BE41" s="3397"/>
      <c r="BF41" s="3398"/>
      <c r="BG41" s="3393"/>
      <c r="BH41" s="3393"/>
      <c r="BI41" s="3175"/>
      <c r="BJ41" s="3175"/>
      <c r="BK41" s="3175"/>
      <c r="BL41" s="2028"/>
      <c r="BM41" s="2028"/>
      <c r="BN41" s="2028"/>
    </row>
    <row r="42" spans="1:67" s="3317" customFormat="1">
      <c r="A42" s="3390"/>
      <c r="B42" s="3173" t="s">
        <v>831</v>
      </c>
      <c r="C42" s="3391"/>
      <c r="D42" s="3392"/>
      <c r="E42" s="3392"/>
      <c r="F42" s="3392"/>
      <c r="G42" s="3392"/>
      <c r="H42" s="3392"/>
      <c r="I42" s="3392"/>
      <c r="J42" s="3392"/>
      <c r="K42" s="3392"/>
      <c r="L42" s="3392"/>
      <c r="M42" s="3392"/>
      <c r="N42" s="3392"/>
      <c r="O42" s="3392"/>
      <c r="P42" s="3392"/>
      <c r="Q42" s="3393"/>
      <c r="R42" s="3393"/>
      <c r="S42" s="3392"/>
      <c r="T42" s="3392"/>
      <c r="U42" s="3175"/>
      <c r="V42" s="3175"/>
      <c r="W42" s="3175"/>
      <c r="X42" s="3175"/>
      <c r="Y42" s="3175"/>
      <c r="Z42" s="3175"/>
      <c r="AA42" s="3392"/>
      <c r="AB42" s="3393"/>
      <c r="AC42" s="3393"/>
      <c r="AD42" s="3393"/>
      <c r="AE42" s="3394"/>
      <c r="AF42" s="3395"/>
      <c r="AG42" s="3395">
        <f>AG39-[2]PL1.1!C60</f>
        <v>0</v>
      </c>
      <c r="AH42" s="3395"/>
      <c r="AI42" s="3395"/>
      <c r="AJ42" s="3395"/>
      <c r="AK42" s="3395"/>
      <c r="AL42" s="3392"/>
      <c r="AM42" s="3392"/>
      <c r="AN42" s="3392"/>
      <c r="AO42" s="3392"/>
      <c r="AP42" s="3392"/>
      <c r="AQ42" s="3392"/>
      <c r="AR42" s="3392"/>
      <c r="AS42" s="3392"/>
      <c r="AT42" s="3392"/>
      <c r="AU42" s="3392"/>
      <c r="AV42" s="3396"/>
      <c r="AW42" s="3393"/>
      <c r="AX42" s="3393"/>
      <c r="AY42" s="3393"/>
      <c r="AZ42" s="3392"/>
      <c r="BA42" s="3399"/>
      <c r="BB42" s="3400"/>
      <c r="BC42" s="3400"/>
      <c r="BD42" s="3400"/>
      <c r="BE42" s="3401"/>
      <c r="BF42" s="3402"/>
      <c r="BG42" s="3403"/>
      <c r="BH42" s="3404"/>
      <c r="BI42" s="3175"/>
      <c r="BJ42" s="3175"/>
      <c r="BK42" s="3175"/>
      <c r="BL42" s="2028"/>
      <c r="BM42" s="2028"/>
      <c r="BN42" s="2028"/>
    </row>
    <row r="43" spans="1:67" s="3317" customFormat="1">
      <c r="A43" s="3390"/>
      <c r="B43" s="3173"/>
      <c r="C43" s="3391"/>
      <c r="D43" s="3392"/>
      <c r="E43" s="3392"/>
      <c r="F43" s="3392"/>
      <c r="G43" s="3392"/>
      <c r="H43" s="3392"/>
      <c r="I43" s="3392"/>
      <c r="J43" s="3392"/>
      <c r="K43" s="3392"/>
      <c r="L43" s="3392"/>
      <c r="M43" s="3392"/>
      <c r="N43" s="3392"/>
      <c r="O43" s="3392"/>
      <c r="P43" s="3392"/>
      <c r="Q43" s="3393"/>
      <c r="R43" s="3393"/>
      <c r="S43" s="3392"/>
      <c r="T43" s="3392"/>
      <c r="U43" s="3175"/>
      <c r="V43" s="3175"/>
      <c r="W43" s="3175"/>
      <c r="X43" s="3175"/>
      <c r="Y43" s="3175"/>
      <c r="Z43" s="3175"/>
      <c r="AA43" s="3392"/>
      <c r="AB43" s="3393"/>
      <c r="AC43" s="3393"/>
      <c r="AD43" s="3393"/>
      <c r="AE43" s="3394"/>
      <c r="AF43" s="3395"/>
      <c r="AG43" s="3395"/>
      <c r="AH43" s="3395"/>
      <c r="AI43" s="3395"/>
      <c r="AJ43" s="3395"/>
      <c r="AK43" s="3395"/>
      <c r="AL43" s="3392"/>
      <c r="AM43" s="3392"/>
      <c r="AN43" s="3392"/>
      <c r="AO43" s="3392"/>
      <c r="AP43" s="3392"/>
      <c r="AQ43" s="3392"/>
      <c r="AR43" s="3392"/>
      <c r="AS43" s="3392"/>
      <c r="AT43" s="3392"/>
      <c r="AU43" s="3392"/>
      <c r="AV43" s="3396"/>
      <c r="AW43" s="3393"/>
      <c r="AX43" s="3393"/>
      <c r="AY43" s="3393"/>
      <c r="AZ43" s="3392"/>
      <c r="BA43" s="3399"/>
      <c r="BB43" s="3400"/>
      <c r="BC43" s="3400"/>
      <c r="BD43" s="3400"/>
      <c r="BE43" s="3401"/>
      <c r="BF43" s="3402"/>
      <c r="BG43" s="3403"/>
      <c r="BH43" s="3404"/>
      <c r="BI43" s="3175"/>
      <c r="BJ43" s="3175"/>
      <c r="BK43" s="3175"/>
      <c r="BL43" s="2028"/>
      <c r="BM43" s="2028"/>
      <c r="BN43" s="2028"/>
    </row>
    <row r="44" spans="1:67" s="3317" customFormat="1">
      <c r="A44" s="3390"/>
      <c r="B44" s="3173"/>
      <c r="C44" s="3391"/>
      <c r="D44" s="3392"/>
      <c r="E44" s="3392"/>
      <c r="F44" s="3392"/>
      <c r="G44" s="3392"/>
      <c r="H44" s="3392"/>
      <c r="I44" s="3392"/>
      <c r="J44" s="3392"/>
      <c r="K44" s="3392"/>
      <c r="L44" s="3392"/>
      <c r="M44" s="3392"/>
      <c r="N44" s="3392"/>
      <c r="O44" s="3392"/>
      <c r="P44" s="3392"/>
      <c r="Q44" s="3393"/>
      <c r="R44" s="3393"/>
      <c r="S44" s="3392"/>
      <c r="T44" s="3392"/>
      <c r="U44" s="3175"/>
      <c r="V44" s="3175"/>
      <c r="W44" s="3175"/>
      <c r="X44" s="3175"/>
      <c r="Y44" s="3175"/>
      <c r="Z44" s="3175"/>
      <c r="AA44" s="3392"/>
      <c r="AB44" s="3393"/>
      <c r="AC44" s="3393"/>
      <c r="AD44" s="3393"/>
      <c r="AE44" s="3394"/>
      <c r="AF44" s="3395"/>
      <c r="AG44" s="3395"/>
      <c r="AH44" s="3395"/>
      <c r="AI44" s="3395"/>
      <c r="AJ44" s="3395"/>
      <c r="AK44" s="3395"/>
      <c r="AL44" s="3392"/>
      <c r="AM44" s="3392"/>
      <c r="AN44" s="3392"/>
      <c r="AO44" s="3392"/>
      <c r="AP44" s="3392"/>
      <c r="AQ44" s="3392"/>
      <c r="AR44" s="3392"/>
      <c r="AS44" s="3392"/>
      <c r="AT44" s="3392"/>
      <c r="AU44" s="3392"/>
      <c r="AV44" s="3396"/>
      <c r="AW44" s="3393"/>
      <c r="AX44" s="3393"/>
      <c r="AY44" s="3393"/>
      <c r="AZ44" s="3392"/>
      <c r="BA44" s="3399"/>
      <c r="BB44" s="3400"/>
      <c r="BC44" s="3400"/>
      <c r="BD44" s="3400"/>
      <c r="BE44" s="3401"/>
      <c r="BF44" s="3402"/>
      <c r="BG44" s="3403"/>
      <c r="BH44" s="3404"/>
      <c r="BI44" s="3175"/>
      <c r="BJ44" s="3175"/>
      <c r="BK44" s="3175"/>
      <c r="BL44" s="2028"/>
      <c r="BM44" s="2028"/>
      <c r="BN44" s="2028"/>
    </row>
    <row r="45" spans="1:67" s="3317" customFormat="1">
      <c r="A45" s="3390"/>
      <c r="B45" s="3173"/>
      <c r="C45" s="3391"/>
      <c r="D45" s="3392"/>
      <c r="E45" s="3392"/>
      <c r="F45" s="3392"/>
      <c r="G45" s="3392"/>
      <c r="H45" s="3392"/>
      <c r="I45" s="3392"/>
      <c r="J45" s="3392"/>
      <c r="K45" s="3392"/>
      <c r="L45" s="3392"/>
      <c r="M45" s="3392"/>
      <c r="N45" s="3392"/>
      <c r="O45" s="3392"/>
      <c r="P45" s="3392"/>
      <c r="Q45" s="3393"/>
      <c r="R45" s="3393"/>
      <c r="S45" s="3392"/>
      <c r="T45" s="3392"/>
      <c r="U45" s="3175"/>
      <c r="V45" s="3175"/>
      <c r="W45" s="3175"/>
      <c r="X45" s="3175"/>
      <c r="Y45" s="3175"/>
      <c r="Z45" s="3175"/>
      <c r="AA45" s="3392"/>
      <c r="AB45" s="3393"/>
      <c r="AC45" s="3393"/>
      <c r="AD45" s="3393"/>
      <c r="AE45" s="3394"/>
      <c r="AF45" s="3395"/>
      <c r="AG45" s="3395"/>
      <c r="AH45" s="3395"/>
      <c r="AI45" s="3395"/>
      <c r="AJ45" s="3395"/>
      <c r="AK45" s="3395"/>
      <c r="AL45" s="3392"/>
      <c r="AM45" s="3392"/>
      <c r="AN45" s="3392"/>
      <c r="AO45" s="3392"/>
      <c r="AP45" s="3392"/>
      <c r="AQ45" s="3392"/>
      <c r="AR45" s="3392"/>
      <c r="AS45" s="3392"/>
      <c r="AT45" s="3392"/>
      <c r="AU45" s="3392"/>
      <c r="AV45" s="3396"/>
      <c r="AW45" s="3393"/>
      <c r="AX45" s="3393"/>
      <c r="AY45" s="3393"/>
      <c r="AZ45" s="3392"/>
      <c r="BA45" s="3399"/>
      <c r="BB45" s="3400"/>
      <c r="BC45" s="3400"/>
      <c r="BD45" s="3400"/>
      <c r="BE45" s="3401"/>
      <c r="BF45" s="3402"/>
      <c r="BG45" s="3403"/>
      <c r="BH45" s="3404"/>
      <c r="BI45" s="3175"/>
      <c r="BJ45" s="3175"/>
      <c r="BK45" s="3175"/>
      <c r="BL45" s="2028"/>
      <c r="BM45" s="2028"/>
      <c r="BN45" s="2028"/>
    </row>
    <row r="46" spans="1:67" s="3317" customFormat="1">
      <c r="A46" s="3390"/>
      <c r="B46" s="3173"/>
      <c r="C46" s="3391"/>
      <c r="D46" s="3392"/>
      <c r="E46" s="3392"/>
      <c r="F46" s="3392"/>
      <c r="G46" s="3392"/>
      <c r="H46" s="3392"/>
      <c r="I46" s="3392"/>
      <c r="J46" s="3392"/>
      <c r="K46" s="3392"/>
      <c r="L46" s="3392"/>
      <c r="M46" s="3392"/>
      <c r="N46" s="3392"/>
      <c r="O46" s="3392"/>
      <c r="P46" s="3392"/>
      <c r="Q46" s="3393"/>
      <c r="R46" s="3393"/>
      <c r="S46" s="3392"/>
      <c r="T46" s="3392"/>
      <c r="U46" s="3175"/>
      <c r="V46" s="3175"/>
      <c r="W46" s="3175"/>
      <c r="X46" s="3175"/>
      <c r="Y46" s="3175"/>
      <c r="Z46" s="3175"/>
      <c r="AA46" s="3392"/>
      <c r="AB46" s="3393"/>
      <c r="AC46" s="3393"/>
      <c r="AD46" s="3393"/>
      <c r="AE46" s="3394"/>
      <c r="AF46" s="3395"/>
      <c r="AG46" s="3395"/>
      <c r="AH46" s="3395"/>
      <c r="AI46" s="3395"/>
      <c r="AJ46" s="3395"/>
      <c r="AK46" s="3395"/>
      <c r="AL46" s="3392"/>
      <c r="AM46" s="3392"/>
      <c r="AN46" s="3392"/>
      <c r="AO46" s="3392"/>
      <c r="AP46" s="3392"/>
      <c r="AQ46" s="3392"/>
      <c r="AR46" s="3392"/>
      <c r="AS46" s="3392"/>
      <c r="AT46" s="3392"/>
      <c r="AU46" s="3392"/>
      <c r="AV46" s="3396"/>
      <c r="AW46" s="3393"/>
      <c r="AX46" s="3393"/>
      <c r="AY46" s="3393"/>
      <c r="AZ46" s="3392"/>
      <c r="BA46" s="3399"/>
      <c r="BB46" s="3400"/>
      <c r="BC46" s="3400"/>
      <c r="BD46" s="3400"/>
      <c r="BE46" s="3401"/>
      <c r="BF46" s="3402"/>
      <c r="BG46" s="3403"/>
      <c r="BH46" s="3404"/>
      <c r="BI46" s="3175"/>
      <c r="BJ46" s="3175"/>
      <c r="BK46" s="3175"/>
      <c r="BL46" s="2028"/>
      <c r="BM46" s="2028"/>
      <c r="BN46" s="2028"/>
    </row>
    <row r="47" spans="1:67" s="3317" customFormat="1">
      <c r="A47" s="3390"/>
      <c r="B47" s="3173"/>
      <c r="C47" s="3391"/>
      <c r="D47" s="3392"/>
      <c r="E47" s="3392"/>
      <c r="F47" s="3392"/>
      <c r="G47" s="3392"/>
      <c r="H47" s="3392"/>
      <c r="I47" s="3392"/>
      <c r="J47" s="3392"/>
      <c r="K47" s="3392"/>
      <c r="L47" s="3392"/>
      <c r="M47" s="3392"/>
      <c r="N47" s="3392"/>
      <c r="O47" s="3392"/>
      <c r="P47" s="3392"/>
      <c r="Q47" s="3393"/>
      <c r="R47" s="3393"/>
      <c r="S47" s="3392"/>
      <c r="T47" s="3392"/>
      <c r="U47" s="3175"/>
      <c r="V47" s="3175"/>
      <c r="W47" s="3175"/>
      <c r="X47" s="3175"/>
      <c r="Y47" s="3175"/>
      <c r="Z47" s="3175"/>
      <c r="AA47" s="3392"/>
      <c r="AB47" s="3393"/>
      <c r="AC47" s="3393"/>
      <c r="AD47" s="3393"/>
      <c r="AE47" s="3394"/>
      <c r="AF47" s="3395"/>
      <c r="AG47" s="3395"/>
      <c r="AH47" s="3395"/>
      <c r="AI47" s="3395"/>
      <c r="AJ47" s="3395"/>
      <c r="AK47" s="3395"/>
      <c r="AL47" s="3392"/>
      <c r="AM47" s="3392"/>
      <c r="AN47" s="3392"/>
      <c r="AO47" s="3392"/>
      <c r="AP47" s="3392"/>
      <c r="AQ47" s="3392"/>
      <c r="AR47" s="3392"/>
      <c r="AS47" s="3392"/>
      <c r="AT47" s="3392"/>
      <c r="AU47" s="3392"/>
      <c r="AV47" s="3396"/>
      <c r="AW47" s="3393"/>
      <c r="AX47" s="3393"/>
      <c r="AY47" s="3393"/>
      <c r="AZ47" s="3392"/>
      <c r="BA47" s="3399"/>
      <c r="BB47" s="3400"/>
      <c r="BC47" s="3400"/>
      <c r="BD47" s="3400"/>
      <c r="BE47" s="3401"/>
      <c r="BF47" s="3402"/>
      <c r="BG47" s="3403"/>
      <c r="BH47" s="3404"/>
      <c r="BI47" s="3175"/>
      <c r="BJ47" s="3175"/>
      <c r="BK47" s="3175"/>
      <c r="BL47" s="2028"/>
      <c r="BM47" s="2028"/>
      <c r="BN47" s="2028"/>
    </row>
    <row r="48" spans="1:67" s="3317" customFormat="1">
      <c r="A48" s="3390"/>
      <c r="B48" s="3173"/>
      <c r="C48" s="3391"/>
      <c r="D48" s="3392"/>
      <c r="E48" s="3392"/>
      <c r="F48" s="3392"/>
      <c r="G48" s="3392"/>
      <c r="H48" s="3392"/>
      <c r="I48" s="3392"/>
      <c r="J48" s="3392"/>
      <c r="K48" s="3392"/>
      <c r="L48" s="3392"/>
      <c r="M48" s="3392"/>
      <c r="N48" s="3392"/>
      <c r="O48" s="3392"/>
      <c r="P48" s="3392"/>
      <c r="Q48" s="3393"/>
      <c r="R48" s="3393"/>
      <c r="S48" s="3392"/>
      <c r="T48" s="3392"/>
      <c r="U48" s="3175"/>
      <c r="V48" s="3175"/>
      <c r="W48" s="3175"/>
      <c r="X48" s="3175"/>
      <c r="Y48" s="3175"/>
      <c r="Z48" s="3175"/>
      <c r="AA48" s="3392"/>
      <c r="AB48" s="3393"/>
      <c r="AC48" s="3393"/>
      <c r="AD48" s="3393"/>
      <c r="AE48" s="3394"/>
      <c r="AF48" s="3395"/>
      <c r="AG48" s="3395"/>
      <c r="AH48" s="3395"/>
      <c r="AI48" s="3395"/>
      <c r="AJ48" s="3395"/>
      <c r="AK48" s="3395"/>
      <c r="AL48" s="3392"/>
      <c r="AM48" s="3392"/>
      <c r="AN48" s="3392"/>
      <c r="AO48" s="3392"/>
      <c r="AP48" s="3392"/>
      <c r="AQ48" s="3392"/>
      <c r="AR48" s="3392"/>
      <c r="AS48" s="3392"/>
      <c r="AT48" s="3392"/>
      <c r="AU48" s="3392"/>
      <c r="AV48" s="3396"/>
      <c r="AW48" s="3393"/>
      <c r="AX48" s="3393"/>
      <c r="AY48" s="3393"/>
      <c r="AZ48" s="3392"/>
      <c r="BA48" s="3399"/>
      <c r="BB48" s="3400"/>
      <c r="BC48" s="3400"/>
      <c r="BD48" s="3400"/>
      <c r="BE48" s="3401"/>
      <c r="BF48" s="3402"/>
      <c r="BG48" s="3403"/>
      <c r="BH48" s="3404"/>
      <c r="BI48" s="3175"/>
      <c r="BJ48" s="3175"/>
      <c r="BK48" s="3175"/>
      <c r="BL48" s="2028"/>
      <c r="BM48" s="2028"/>
      <c r="BN48" s="2028"/>
    </row>
    <row r="49" spans="1:70" s="3091" customFormat="1">
      <c r="A49" s="3405" t="s">
        <v>37</v>
      </c>
      <c r="B49" s="3406" t="s">
        <v>831</v>
      </c>
      <c r="C49" s="3407"/>
      <c r="D49" s="3400"/>
      <c r="E49" s="3400"/>
      <c r="F49" s="3400"/>
      <c r="G49" s="3400"/>
      <c r="H49" s="3400"/>
      <c r="I49" s="3400"/>
      <c r="J49" s="3400"/>
      <c r="K49" s="3400"/>
      <c r="L49" s="3400"/>
      <c r="M49" s="3400"/>
      <c r="N49" s="3400"/>
      <c r="O49" s="3400"/>
      <c r="P49" s="3400"/>
      <c r="Q49" s="3403"/>
      <c r="R49" s="3403"/>
      <c r="S49" s="3400"/>
      <c r="T49" s="3400"/>
      <c r="U49" s="3408"/>
      <c r="V49" s="3408"/>
      <c r="W49" s="3408">
        <f>W167</f>
        <v>5466580</v>
      </c>
      <c r="X49" s="3408">
        <f>X167</f>
        <v>7096349.4378000004</v>
      </c>
      <c r="Y49" s="3408">
        <f t="shared" ref="Y49:BE49" si="54">Y167</f>
        <v>6718699.7999999998</v>
      </c>
      <c r="Z49" s="3408">
        <f t="shared" si="54"/>
        <v>7003638.9160600007</v>
      </c>
      <c r="AA49" s="3408"/>
      <c r="AB49" s="3408"/>
      <c r="AC49" s="3408"/>
      <c r="AD49" s="3408"/>
      <c r="AE49" s="3408">
        <f t="shared" si="54"/>
        <v>6480439.5999999996</v>
      </c>
      <c r="AF49" s="3408">
        <f t="shared" si="54"/>
        <v>6073702.1359999999</v>
      </c>
      <c r="AG49" s="3408">
        <f>AG167</f>
        <v>5809777</v>
      </c>
      <c r="AH49" s="3408">
        <f>AH167</f>
        <v>6866532.5071577355</v>
      </c>
      <c r="AI49" s="3408"/>
      <c r="AJ49" s="3408"/>
      <c r="AK49" s="3408"/>
      <c r="AL49" s="3409">
        <f>AH49+AF49+Z49-1</f>
        <v>19943872.559217736</v>
      </c>
      <c r="AM49" s="3410">
        <f>AL49/$AL$7</f>
        <v>0.84790961771282114</v>
      </c>
      <c r="AN49" s="3410"/>
      <c r="AO49" s="3408">
        <f>AO167</f>
        <v>6704000</v>
      </c>
      <c r="AP49" s="3408"/>
      <c r="AQ49" s="3408">
        <f t="shared" si="54"/>
        <v>8108000</v>
      </c>
      <c r="AR49" s="3408">
        <f t="shared" si="54"/>
        <v>9128000</v>
      </c>
      <c r="AS49" s="3408"/>
      <c r="AT49" s="3408"/>
      <c r="AU49" s="3408"/>
      <c r="AV49" s="3411">
        <f t="shared" si="7"/>
        <v>30176234.643157735</v>
      </c>
      <c r="AW49" s="3400"/>
      <c r="AX49" s="3400"/>
      <c r="AY49" s="3400"/>
      <c r="AZ49" s="3408">
        <f t="shared" si="54"/>
        <v>9925000</v>
      </c>
      <c r="BA49" s="3408">
        <f t="shared" si="54"/>
        <v>10718000</v>
      </c>
      <c r="BB49" s="3408">
        <f t="shared" si="54"/>
        <v>11567000</v>
      </c>
      <c r="BC49" s="3408">
        <f t="shared" si="54"/>
        <v>12522000</v>
      </c>
      <c r="BD49" s="3408">
        <f t="shared" si="54"/>
        <v>13654000</v>
      </c>
      <c r="BE49" s="3408">
        <f t="shared" si="54"/>
        <v>58386000</v>
      </c>
      <c r="BF49" s="3408"/>
      <c r="BG49" s="3408"/>
      <c r="BH49" s="3408"/>
      <c r="BI49" s="3175"/>
      <c r="BJ49" s="3175"/>
      <c r="BK49" s="3175"/>
      <c r="BL49" s="3053"/>
      <c r="BM49" s="3053"/>
      <c r="BN49" s="3053"/>
    </row>
    <row r="50" spans="1:70" s="3091" customFormat="1">
      <c r="A50" s="3405"/>
      <c r="B50" s="3412" t="s">
        <v>1978</v>
      </c>
      <c r="C50" s="3407"/>
      <c r="D50" s="3400"/>
      <c r="E50" s="3400"/>
      <c r="F50" s="3400"/>
      <c r="G50" s="3400"/>
      <c r="H50" s="3400"/>
      <c r="I50" s="3400"/>
      <c r="J50" s="3400"/>
      <c r="K50" s="3400"/>
      <c r="L50" s="3400"/>
      <c r="M50" s="3400"/>
      <c r="N50" s="3400"/>
      <c r="O50" s="3400"/>
      <c r="P50" s="3400"/>
      <c r="Q50" s="3403"/>
      <c r="R50" s="3403"/>
      <c r="S50" s="3400"/>
      <c r="T50" s="3400"/>
      <c r="U50" s="3408"/>
      <c r="V50" s="3408"/>
      <c r="W50" s="3413">
        <f>W49/W7</f>
        <v>0.77157092448835574</v>
      </c>
      <c r="X50" s="3413">
        <f>X49/X7</f>
        <v>0.80906839812003473</v>
      </c>
      <c r="Y50" s="3413">
        <f t="shared" ref="Y50:Z50" si="55">Y49/Y7</f>
        <v>0.79090050618010588</v>
      </c>
      <c r="Z50" s="3413">
        <f t="shared" si="55"/>
        <v>0.83071815800836735</v>
      </c>
      <c r="AA50" s="3413"/>
      <c r="AB50" s="3414"/>
      <c r="AC50" s="3414"/>
      <c r="AD50" s="3414"/>
      <c r="AE50" s="3413">
        <f t="shared" ref="AE50:AH50" si="56">AE49/AE7</f>
        <v>0.7960347873085285</v>
      </c>
      <c r="AF50" s="3413">
        <f t="shared" si="56"/>
        <v>0.842013653101643</v>
      </c>
      <c r="AG50" s="3413">
        <f t="shared" si="56"/>
        <v>0.85202625045517688</v>
      </c>
      <c r="AH50" s="3413">
        <f t="shared" si="56"/>
        <v>0.87170882209959222</v>
      </c>
      <c r="AI50" s="3413"/>
      <c r="AJ50" s="3413"/>
      <c r="AK50" s="3413"/>
      <c r="AL50" s="3413"/>
      <c r="AM50" s="3413"/>
      <c r="AN50" s="3413"/>
      <c r="AO50" s="3413">
        <f t="shared" ref="AO50" si="57">AO49/AO7</f>
        <v>0.8832674571805007</v>
      </c>
      <c r="AP50" s="3413"/>
      <c r="AQ50" s="3413">
        <f t="shared" ref="AQ50:AR50" si="58">AQ49/AQ7</f>
        <v>0.87502698035829918</v>
      </c>
      <c r="AR50" s="3413">
        <f t="shared" si="58"/>
        <v>0.89820420855707384</v>
      </c>
      <c r="AS50" s="3413"/>
      <c r="AT50" s="3413"/>
      <c r="AU50" s="3413"/>
      <c r="AV50" s="3415">
        <f t="shared" ref="AV50" si="59">AV49/AV7</f>
        <v>0.70407180267890046</v>
      </c>
      <c r="AW50" s="3403"/>
      <c r="AX50" s="3403"/>
      <c r="AY50" s="3403"/>
      <c r="AZ50" s="3413">
        <f t="shared" ref="AZ50:BE50" si="60">AZ49/AZ7</f>
        <v>0.89908506205272221</v>
      </c>
      <c r="BA50" s="3413">
        <f t="shared" si="60"/>
        <v>0.89795577787156766</v>
      </c>
      <c r="BB50" s="3413">
        <f t="shared" si="60"/>
        <v>0.89711867477868135</v>
      </c>
      <c r="BC50" s="3413">
        <f t="shared" si="60"/>
        <v>0.89689503105844226</v>
      </c>
      <c r="BD50" s="3413">
        <f t="shared" si="60"/>
        <v>0.89828947204164955</v>
      </c>
      <c r="BE50" s="3413">
        <f t="shared" si="60"/>
        <v>0.89783176608892834</v>
      </c>
      <c r="BF50" s="3402"/>
      <c r="BG50" s="3403"/>
      <c r="BH50" s="3416"/>
      <c r="BI50" s="3175"/>
      <c r="BJ50" s="3175"/>
      <c r="BK50" s="3175"/>
      <c r="BL50" s="3053"/>
      <c r="BM50" s="3053"/>
      <c r="BN50" s="3053"/>
    </row>
    <row r="51" spans="1:70" s="3091" customFormat="1">
      <c r="A51" s="3405"/>
      <c r="B51" s="3406"/>
      <c r="C51" s="3407"/>
      <c r="D51" s="3400"/>
      <c r="E51" s="3400"/>
      <c r="F51" s="3400"/>
      <c r="G51" s="3400"/>
      <c r="H51" s="3400"/>
      <c r="I51" s="3400"/>
      <c r="J51" s="3400"/>
      <c r="K51" s="3400"/>
      <c r="L51" s="3400"/>
      <c r="M51" s="3400"/>
      <c r="N51" s="3400"/>
      <c r="O51" s="3400"/>
      <c r="P51" s="3400"/>
      <c r="Q51" s="3403"/>
      <c r="R51" s="3403"/>
      <c r="S51" s="3400"/>
      <c r="T51" s="3400"/>
      <c r="U51" s="3408"/>
      <c r="V51" s="3408"/>
      <c r="W51" s="3408"/>
      <c r="X51" s="3408"/>
      <c r="Y51" s="3408"/>
      <c r="Z51" s="3408"/>
      <c r="AA51" s="3408"/>
      <c r="AB51" s="3414"/>
      <c r="AC51" s="3414"/>
      <c r="AD51" s="3414"/>
      <c r="AE51" s="3417"/>
      <c r="AF51" s="3418">
        <f>AF7/Z7</f>
        <v>0.85558726617529812</v>
      </c>
      <c r="AG51" s="3419"/>
      <c r="AH51" s="3418">
        <f>AH7/AF7</f>
        <v>1.0920227424960205</v>
      </c>
      <c r="AI51" s="3418"/>
      <c r="AJ51" s="3418"/>
      <c r="AK51" s="3418"/>
      <c r="AL51" s="3419"/>
      <c r="AM51" s="3419"/>
      <c r="AN51" s="3419"/>
      <c r="AO51" s="3400"/>
      <c r="AP51" s="3410">
        <f>AP7/AH7</f>
        <v>1.0588547242836943</v>
      </c>
      <c r="AQ51" s="3410">
        <f>AQ7/AP7</f>
        <v>1.1109381429266072</v>
      </c>
      <c r="AR51" s="3410">
        <f>AR7/AQ7</f>
        <v>1.0967515324843513</v>
      </c>
      <c r="AS51" s="3410"/>
      <c r="AT51" s="3410"/>
      <c r="AU51" s="3410"/>
      <c r="AV51" s="3410">
        <f>(AF51+AH51+AP51+AQ51+AR51)/5</f>
        <v>1.0428308816731942</v>
      </c>
      <c r="AW51" s="3403">
        <f>(AF51*AH51*AP51*AQ51*AR51)^(1/5)-1</f>
        <v>3.8068709737855144E-2</v>
      </c>
      <c r="AX51" s="3403"/>
      <c r="AY51" s="3403"/>
      <c r="AZ51" s="3400"/>
      <c r="BA51" s="3400"/>
      <c r="BB51" s="3400"/>
      <c r="BC51" s="3400"/>
      <c r="BD51" s="3400"/>
      <c r="BE51" s="3401"/>
      <c r="BF51" s="3402"/>
      <c r="BG51" s="3403"/>
      <c r="BH51" s="3416"/>
      <c r="BI51" s="3175"/>
      <c r="BJ51" s="3175"/>
      <c r="BK51" s="3175"/>
      <c r="BL51" s="3053"/>
      <c r="BM51" s="3053"/>
      <c r="BN51" s="3053"/>
    </row>
    <row r="52" spans="1:70" s="3091" customFormat="1">
      <c r="A52" s="3405"/>
      <c r="B52" s="3406"/>
      <c r="C52" s="3407"/>
      <c r="D52" s="3400"/>
      <c r="E52" s="3400"/>
      <c r="F52" s="3400"/>
      <c r="G52" s="3400"/>
      <c r="H52" s="3400"/>
      <c r="I52" s="3400"/>
      <c r="J52" s="3400"/>
      <c r="K52" s="3400"/>
      <c r="L52" s="3400"/>
      <c r="M52" s="3400"/>
      <c r="N52" s="3400"/>
      <c r="O52" s="3400"/>
      <c r="P52" s="3400"/>
      <c r="Q52" s="3403"/>
      <c r="R52" s="3403"/>
      <c r="S52" s="3400"/>
      <c r="T52" s="3400"/>
      <c r="U52" s="3408"/>
      <c r="V52" s="3408"/>
      <c r="W52" s="3408"/>
      <c r="X52" s="3408"/>
      <c r="Y52" s="3408"/>
      <c r="Z52" s="3420">
        <f>Z7/X7</f>
        <v>0.96121444581144755</v>
      </c>
      <c r="AA52" s="3420"/>
      <c r="AB52" s="3420"/>
      <c r="AC52" s="3420"/>
      <c r="AD52" s="3420"/>
      <c r="AE52" s="3418"/>
      <c r="AF52" s="3418">
        <f>AF7/Z7</f>
        <v>0.85558726617529812</v>
      </c>
      <c r="AG52" s="3418"/>
      <c r="AH52" s="3418">
        <f>AH7/AF7</f>
        <v>1.0920227424960205</v>
      </c>
      <c r="AI52" s="3418"/>
      <c r="AJ52" s="3418"/>
      <c r="AK52" s="3418"/>
      <c r="AL52" s="3419"/>
      <c r="AM52" s="3418">
        <f>(Z52*AF52*AH52)^(1/3)</f>
        <v>0.96480325829386782</v>
      </c>
      <c r="AN52" s="3418"/>
      <c r="AO52" s="3410">
        <f>AO18/AO7</f>
        <v>0.19762845849802371</v>
      </c>
      <c r="AP52" s="3410"/>
      <c r="AQ52" s="3400"/>
      <c r="AR52" s="3400"/>
      <c r="AS52" s="3400"/>
      <c r="AT52" s="3400"/>
      <c r="AU52" s="3400"/>
      <c r="AV52" s="3400"/>
      <c r="AW52" s="3403"/>
      <c r="AX52" s="3403"/>
      <c r="AY52" s="3403"/>
      <c r="AZ52" s="3400"/>
      <c r="BA52" s="3400"/>
      <c r="BB52" s="3400"/>
      <c r="BC52" s="3400"/>
      <c r="BD52" s="3400"/>
      <c r="BE52" s="3401"/>
      <c r="BF52" s="3402"/>
      <c r="BG52" s="3403"/>
      <c r="BH52" s="3416"/>
      <c r="BI52" s="3175"/>
      <c r="BJ52" s="3175"/>
      <c r="BK52" s="3175"/>
      <c r="BL52" s="3053"/>
      <c r="BM52" s="3053"/>
      <c r="BN52" s="3053"/>
    </row>
    <row r="53" spans="1:70" s="3091" customFormat="1">
      <c r="A53" s="3405"/>
      <c r="B53" s="3406"/>
      <c r="C53" s="3407"/>
      <c r="D53" s="3400"/>
      <c r="E53" s="3400"/>
      <c r="F53" s="3400"/>
      <c r="G53" s="3400"/>
      <c r="H53" s="3400"/>
      <c r="I53" s="3400"/>
      <c r="J53" s="3400"/>
      <c r="K53" s="3400"/>
      <c r="L53" s="3400"/>
      <c r="M53" s="3400"/>
      <c r="N53" s="3400"/>
      <c r="O53" s="3400"/>
      <c r="P53" s="3400"/>
      <c r="Q53" s="3403"/>
      <c r="R53" s="3403"/>
      <c r="S53" s="3400"/>
      <c r="T53" s="3400"/>
      <c r="U53" s="3408"/>
      <c r="V53" s="3408"/>
      <c r="W53" s="3408"/>
      <c r="X53" s="3408"/>
      <c r="Y53" s="3408"/>
      <c r="Z53" s="3408"/>
      <c r="AA53" s="3408"/>
      <c r="AB53" s="3414"/>
      <c r="AC53" s="3414"/>
      <c r="AD53" s="3414"/>
      <c r="AE53" s="3417"/>
      <c r="AF53" s="3419"/>
      <c r="AG53" s="3419"/>
      <c r="AH53" s="3418">
        <f>AH7/X7</f>
        <v>0.89808260466413625</v>
      </c>
      <c r="AI53" s="3418"/>
      <c r="AJ53" s="3418"/>
      <c r="AK53" s="3418"/>
      <c r="AL53" s="3419"/>
      <c r="AM53" s="3419"/>
      <c r="AN53" s="3419"/>
      <c r="AO53" s="3400"/>
      <c r="AP53" s="3400"/>
      <c r="AQ53" s="3400"/>
      <c r="AR53" s="3400"/>
      <c r="AS53" s="3400"/>
      <c r="AT53" s="3400"/>
      <c r="AU53" s="3400"/>
      <c r="AV53" s="3400"/>
      <c r="AW53" s="3403"/>
      <c r="AX53" s="3403"/>
      <c r="AY53" s="3403"/>
      <c r="AZ53" s="3400"/>
      <c r="BA53" s="3400"/>
      <c r="BB53" s="3400"/>
      <c r="BC53" s="3400"/>
      <c r="BD53" s="3400"/>
      <c r="BE53" s="3401"/>
      <c r="BF53" s="3402"/>
      <c r="BG53" s="3403"/>
      <c r="BH53" s="3416"/>
      <c r="BI53" s="3175"/>
      <c r="BJ53" s="3175"/>
      <c r="BK53" s="3175"/>
      <c r="BL53" s="3053"/>
      <c r="BM53" s="3053"/>
      <c r="BN53" s="3053"/>
    </row>
    <row r="54" spans="1:70" s="3425" customFormat="1">
      <c r="A54" s="3421" t="s">
        <v>182</v>
      </c>
      <c r="B54" s="3422" t="s">
        <v>1979</v>
      </c>
      <c r="C54" s="3422"/>
      <c r="D54" s="3423"/>
      <c r="E54" s="3423"/>
      <c r="F54" s="3423"/>
      <c r="G54" s="3423"/>
      <c r="H54" s="3423"/>
      <c r="I54" s="3423"/>
      <c r="J54" s="3423"/>
      <c r="K54" s="3423"/>
      <c r="L54" s="3423"/>
      <c r="M54" s="3423"/>
      <c r="N54" s="3423"/>
      <c r="O54" s="3423"/>
      <c r="P54" s="3423"/>
      <c r="Q54" s="3416"/>
      <c r="R54" s="3416"/>
      <c r="S54" s="3423"/>
      <c r="T54" s="3423"/>
      <c r="U54" s="3423"/>
      <c r="V54" s="3423"/>
      <c r="W54" s="3423"/>
      <c r="X54" s="3423"/>
      <c r="Y54" s="3423"/>
      <c r="Z54" s="3423"/>
      <c r="AA54" s="3423">
        <f>SUM(S54:Z54)</f>
        <v>0</v>
      </c>
      <c r="AB54" s="3423"/>
      <c r="AC54" s="3416">
        <f t="shared" si="13"/>
        <v>0</v>
      </c>
      <c r="AD54" s="3416"/>
      <c r="AE54" s="3424"/>
      <c r="AF54" s="3423"/>
      <c r="AG54" s="3423"/>
      <c r="AH54" s="3423"/>
      <c r="AI54" s="3423"/>
      <c r="AJ54" s="3423"/>
      <c r="AK54" s="3423"/>
      <c r="AL54" s="3423"/>
      <c r="AM54" s="3423"/>
      <c r="AN54" s="3423"/>
      <c r="AO54" s="3423"/>
      <c r="AP54" s="3423"/>
      <c r="AQ54" s="3423"/>
      <c r="AR54" s="3423"/>
      <c r="AS54" s="3423"/>
      <c r="AT54" s="3423"/>
      <c r="AU54" s="3423"/>
      <c r="AV54" s="3423">
        <f>SUM(AF54:AR54)</f>
        <v>0</v>
      </c>
      <c r="AW54" s="3416"/>
      <c r="AX54" s="3416"/>
      <c r="AY54" s="3416"/>
      <c r="AZ54" s="3423"/>
      <c r="BA54" s="3423"/>
      <c r="BB54" s="3423"/>
      <c r="BC54" s="3423"/>
      <c r="BD54" s="3423"/>
      <c r="BE54" s="3423"/>
      <c r="BF54" s="3423"/>
      <c r="BG54" s="3423"/>
      <c r="BH54" s="3423"/>
      <c r="BI54" s="3392"/>
      <c r="BJ54" s="3392"/>
      <c r="BK54" s="3392"/>
    </row>
    <row r="55" spans="1:70" s="3425" customFormat="1">
      <c r="A55" s="3426" t="s">
        <v>37</v>
      </c>
      <c r="B55" s="3370" t="s">
        <v>1980</v>
      </c>
      <c r="C55" s="3370"/>
      <c r="D55" s="3320"/>
      <c r="E55" s="3320"/>
      <c r="F55" s="3320"/>
      <c r="G55" s="3320"/>
      <c r="H55" s="3320"/>
      <c r="I55" s="3320"/>
      <c r="J55" s="3320"/>
      <c r="K55" s="3320"/>
      <c r="L55" s="3320"/>
      <c r="M55" s="3320"/>
      <c r="N55" s="3320"/>
      <c r="O55" s="3320"/>
      <c r="P55" s="3320"/>
      <c r="Q55" s="3321"/>
      <c r="R55" s="3321"/>
      <c r="S55" s="3320"/>
      <c r="T55" s="3320"/>
      <c r="U55" s="3320"/>
      <c r="V55" s="3320"/>
      <c r="W55" s="3320"/>
      <c r="X55" s="3320"/>
      <c r="Y55" s="3320"/>
      <c r="Z55" s="3320"/>
      <c r="AA55" s="3320"/>
      <c r="AB55" s="3320"/>
      <c r="AC55" s="3321"/>
      <c r="AD55" s="3321"/>
      <c r="AE55" s="3427"/>
      <c r="AF55" s="3320"/>
      <c r="AG55" s="3320"/>
      <c r="AH55" s="3320"/>
      <c r="AI55" s="3320"/>
      <c r="AJ55" s="3320"/>
      <c r="AK55" s="3320"/>
      <c r="AL55" s="3320"/>
      <c r="AM55" s="3320"/>
      <c r="AN55" s="3320"/>
      <c r="AO55" s="3320"/>
      <c r="AP55" s="3320"/>
      <c r="AQ55" s="3320"/>
      <c r="AR55" s="3320"/>
      <c r="AS55" s="3320"/>
      <c r="AT55" s="3320"/>
      <c r="AU55" s="3320"/>
      <c r="AV55" s="3320"/>
      <c r="AW55" s="3321"/>
      <c r="AX55" s="3321"/>
      <c r="AY55" s="3321"/>
      <c r="AZ55" s="3320"/>
      <c r="BA55" s="3320"/>
      <c r="BB55" s="3320"/>
      <c r="BC55" s="3320"/>
      <c r="BD55" s="3320"/>
      <c r="BE55" s="3320"/>
      <c r="BF55" s="3320"/>
      <c r="BG55" s="3320"/>
      <c r="BH55" s="3320"/>
      <c r="BI55" s="3392"/>
      <c r="BJ55" s="3392"/>
      <c r="BK55" s="3392"/>
      <c r="BL55" s="3425">
        <f>BL13+BL14+BL15+BL16+BL17+BL18+BL19+BL28+BL27+BL10+BL12</f>
        <v>5388483</v>
      </c>
    </row>
    <row r="56" spans="1:70" s="3436" customFormat="1" ht="19.2">
      <c r="A56" s="3428">
        <v>1</v>
      </c>
      <c r="B56" s="3429" t="s">
        <v>1981</v>
      </c>
      <c r="C56" s="3429"/>
      <c r="D56" s="3430">
        <f>SUM(D57,D58,D61)</f>
        <v>12140916</v>
      </c>
      <c r="E56" s="3430">
        <f>SUM(E57,E58,E61)</f>
        <v>15688862</v>
      </c>
      <c r="F56" s="3430">
        <f>SUM(F57,F58,F61)</f>
        <v>20624075</v>
      </c>
      <c r="G56" s="3430">
        <f>SUM(G57,G58,G61)</f>
        <v>23241053</v>
      </c>
      <c r="H56" s="3431">
        <v>30287000</v>
      </c>
      <c r="I56" s="3431"/>
      <c r="J56" s="3431"/>
      <c r="K56" s="3431">
        <v>41703000</v>
      </c>
      <c r="L56" s="3431">
        <v>44027000</v>
      </c>
      <c r="M56" s="3431">
        <v>48316000</v>
      </c>
      <c r="N56" s="3431">
        <v>53472000</v>
      </c>
      <c r="O56" s="3431">
        <v>57208361</v>
      </c>
      <c r="P56" s="3431">
        <f>SUM(K56:O56)</f>
        <v>244726361</v>
      </c>
      <c r="Q56" s="3432"/>
      <c r="R56" s="3432">
        <f>O56/$O$56</f>
        <v>1</v>
      </c>
      <c r="S56" s="3431">
        <v>62221079</v>
      </c>
      <c r="T56" s="3431">
        <v>68288574</v>
      </c>
      <c r="U56" s="3431"/>
      <c r="V56" s="3431">
        <v>75875880</v>
      </c>
      <c r="W56" s="3431">
        <f>SUM(W57,W58,W61)</f>
        <v>0</v>
      </c>
      <c r="X56" s="3431">
        <f>SUM(X57,X58,X61)</f>
        <v>82283000</v>
      </c>
      <c r="Y56" s="3431">
        <f>SUM(Y57,Y58,Y61)</f>
        <v>0</v>
      </c>
      <c r="Z56" s="3431">
        <f>SUM(Z57,Z58,Z61)</f>
        <v>86575000</v>
      </c>
      <c r="AA56" s="3431">
        <f>SUM(S56:Z56)</f>
        <v>375243533</v>
      </c>
      <c r="AB56" s="3431"/>
      <c r="AC56" s="3432">
        <f t="shared" ref="AC56:AC61" si="61">AA56/$AA$56</f>
        <v>1</v>
      </c>
      <c r="AD56" s="3432">
        <f>AA56/P56-1</f>
        <v>0.53331881153579519</v>
      </c>
      <c r="AE56" s="3433">
        <f>SUM(AE57,AE58,AE61)</f>
        <v>0</v>
      </c>
      <c r="AF56" s="3431">
        <f>SUM(AF57,AF58,AF61)</f>
        <v>90384749</v>
      </c>
      <c r="AG56" s="3434">
        <f>AE56*1.07</f>
        <v>0</v>
      </c>
      <c r="AH56" s="3434">
        <f>AF56*1.07</f>
        <v>96711681.430000007</v>
      </c>
      <c r="AI56" s="3434"/>
      <c r="AJ56" s="3434"/>
      <c r="AK56" s="3434"/>
      <c r="AL56" s="3434"/>
      <c r="AM56" s="3434"/>
      <c r="AN56" s="3434"/>
      <c r="AO56" s="3434">
        <f>AH56*1.07</f>
        <v>103481499.13010001</v>
      </c>
      <c r="AP56" s="3434"/>
      <c r="AQ56" s="3434">
        <f>AO56*1.07</f>
        <v>110725204.06920701</v>
      </c>
      <c r="AR56" s="3434">
        <f>AQ56*1.07</f>
        <v>118475968.35405152</v>
      </c>
      <c r="AS56" s="3434"/>
      <c r="AT56" s="3434"/>
      <c r="AU56" s="3434"/>
      <c r="AV56" s="3434">
        <f t="shared" ref="AV56:AV61" si="62">SUM(AF56:AR56)</f>
        <v>519779101.98335856</v>
      </c>
      <c r="AW56" s="3432"/>
      <c r="AX56" s="3432"/>
      <c r="AY56" s="3432">
        <f t="shared" ref="AY56:AY61" si="63">AV56/AA56-1</f>
        <v>0.38517804111858878</v>
      </c>
      <c r="AZ56" s="3434">
        <f>AR56*1.07</f>
        <v>126769286.13883513</v>
      </c>
      <c r="BA56" s="3434">
        <f>AZ56*1.07</f>
        <v>135643136.16855359</v>
      </c>
      <c r="BB56" s="3434">
        <f>BA56*1.07</f>
        <v>145138155.70035234</v>
      </c>
      <c r="BC56" s="3434">
        <f>BB56*1.07</f>
        <v>155297826.59937701</v>
      </c>
      <c r="BD56" s="3434">
        <f>BC56*1.07</f>
        <v>166168674.46133339</v>
      </c>
      <c r="BE56" s="3434"/>
      <c r="BF56" s="3434"/>
      <c r="BG56" s="3434"/>
      <c r="BH56" s="3434"/>
      <c r="BI56" s="3435"/>
      <c r="BJ56" s="3435"/>
      <c r="BK56" s="3435"/>
      <c r="BL56" s="3436">
        <f>AF63-BL55</f>
        <v>-173317</v>
      </c>
    </row>
    <row r="57" spans="1:70" s="817" customFormat="1">
      <c r="A57" s="3437" t="s">
        <v>99</v>
      </c>
      <c r="B57" s="3438" t="s">
        <v>1982</v>
      </c>
      <c r="C57" s="3438"/>
      <c r="D57" s="3439">
        <v>6907745</v>
      </c>
      <c r="E57" s="3439">
        <v>8963673</v>
      </c>
      <c r="F57" s="3439">
        <v>11462136</v>
      </c>
      <c r="G57" s="3439">
        <v>12072143</v>
      </c>
      <c r="H57" s="3440">
        <v>12433000</v>
      </c>
      <c r="I57" s="3440"/>
      <c r="J57" s="3440"/>
      <c r="K57" s="3440">
        <v>18357000</v>
      </c>
      <c r="L57" s="3440">
        <v>18479000</v>
      </c>
      <c r="M57" s="3440">
        <v>19829000</v>
      </c>
      <c r="N57" s="3440">
        <v>21568000</v>
      </c>
      <c r="O57" s="3440">
        <v>22812751</v>
      </c>
      <c r="P57" s="3440">
        <f t="shared" ref="P57:P62" si="64">SUM(K57:O57)</f>
        <v>101045751</v>
      </c>
      <c r="Q57" s="3441"/>
      <c r="R57" s="3441">
        <f>O57/$O$56</f>
        <v>0.39876603002138095</v>
      </c>
      <c r="S57" s="3440">
        <v>24048745</v>
      </c>
      <c r="T57" s="3440">
        <v>25053517</v>
      </c>
      <c r="U57" s="3440"/>
      <c r="V57" s="3442">
        <v>27636696</v>
      </c>
      <c r="W57" s="3442"/>
      <c r="X57" s="3442">
        <v>29135000</v>
      </c>
      <c r="Y57" s="3442"/>
      <c r="Z57" s="3442">
        <v>28219000</v>
      </c>
      <c r="AA57" s="3442">
        <f>SUM(S57:Z57)</f>
        <v>134092958</v>
      </c>
      <c r="AB57" s="3442"/>
      <c r="AC57" s="3441">
        <f t="shared" si="61"/>
        <v>0.35734915117111427</v>
      </c>
      <c r="AD57" s="3441"/>
      <c r="AE57" s="3443"/>
      <c r="AF57" s="3442">
        <f>32671646</f>
        <v>32671646</v>
      </c>
      <c r="AG57" s="3442"/>
      <c r="AH57" s="3444">
        <f>34042487</f>
        <v>34042487</v>
      </c>
      <c r="AI57" s="3444"/>
      <c r="AJ57" s="3444"/>
      <c r="AK57" s="3444"/>
      <c r="AL57" s="3444"/>
      <c r="AM57" s="3444"/>
      <c r="AN57" s="3444"/>
      <c r="AO57" s="3444">
        <f>36883489</f>
        <v>36883489</v>
      </c>
      <c r="AP57" s="3444"/>
      <c r="AQ57" s="3444">
        <v>35695516.944354013</v>
      </c>
      <c r="AR57" s="3444">
        <v>37942371.25841637</v>
      </c>
      <c r="AS57" s="3444"/>
      <c r="AT57" s="3444"/>
      <c r="AU57" s="3444"/>
      <c r="AV57" s="3444">
        <f t="shared" si="62"/>
        <v>177235510.20277035</v>
      </c>
      <c r="AW57" s="3441"/>
      <c r="AX57" s="3441"/>
      <c r="AY57" s="3441">
        <f t="shared" si="63"/>
        <v>0.321736151146508</v>
      </c>
      <c r="AZ57" s="3444">
        <v>37942371.25841637</v>
      </c>
      <c r="BA57" s="3444">
        <v>37942371.25841637</v>
      </c>
      <c r="BB57" s="3444">
        <v>37942371.25841637</v>
      </c>
      <c r="BC57" s="3444">
        <v>37942371.25841637</v>
      </c>
      <c r="BD57" s="3444">
        <v>37942371.25841637</v>
      </c>
      <c r="BE57" s="3444"/>
      <c r="BF57" s="3444"/>
      <c r="BG57" s="3444"/>
      <c r="BH57" s="3444"/>
      <c r="BI57" s="3445"/>
      <c r="BJ57" s="3445"/>
      <c r="BK57" s="3445"/>
    </row>
    <row r="58" spans="1:70" s="817" customFormat="1">
      <c r="A58" s="3437" t="s">
        <v>101</v>
      </c>
      <c r="B58" s="3438" t="s">
        <v>1983</v>
      </c>
      <c r="C58" s="3438"/>
      <c r="D58" s="3439">
        <v>1949902</v>
      </c>
      <c r="E58" s="3439">
        <v>2645157</v>
      </c>
      <c r="F58" s="3439">
        <v>3949777</v>
      </c>
      <c r="G58" s="3439">
        <v>4993718</v>
      </c>
      <c r="H58" s="3440">
        <v>5537000</v>
      </c>
      <c r="I58" s="3440"/>
      <c r="J58" s="3440"/>
      <c r="K58" s="3440">
        <v>7684000</v>
      </c>
      <c r="L58" s="3440">
        <v>7550000</v>
      </c>
      <c r="M58" s="3440">
        <v>8222000</v>
      </c>
      <c r="N58" s="3440">
        <v>9344000</v>
      </c>
      <c r="O58" s="3440">
        <v>9956179</v>
      </c>
      <c r="P58" s="3440">
        <f t="shared" si="64"/>
        <v>42756179</v>
      </c>
      <c r="Q58" s="3441"/>
      <c r="R58" s="3441">
        <f>O58/$O$56</f>
        <v>0.17403363469895597</v>
      </c>
      <c r="S58" s="3440">
        <v>10918344</v>
      </c>
      <c r="T58" s="3440">
        <v>12602909</v>
      </c>
      <c r="U58" s="3440"/>
      <c r="V58" s="3442">
        <v>14241397</v>
      </c>
      <c r="W58" s="3442"/>
      <c r="X58" s="3442">
        <v>15934000</v>
      </c>
      <c r="Y58" s="3442"/>
      <c r="Z58" s="3442">
        <v>17300000</v>
      </c>
      <c r="AA58" s="3442">
        <f>SUM(S58:Z58)</f>
        <v>70996650</v>
      </c>
      <c r="AB58" s="3442"/>
      <c r="AC58" s="3441">
        <f t="shared" si="61"/>
        <v>0.18920152849109861</v>
      </c>
      <c r="AD58" s="3441"/>
      <c r="AE58" s="3443"/>
      <c r="AF58" s="3442">
        <f>17873020</f>
        <v>17873020</v>
      </c>
      <c r="AG58" s="3442"/>
      <c r="AH58" s="3444">
        <f>20312059</f>
        <v>20312059</v>
      </c>
      <c r="AI58" s="3444"/>
      <c r="AJ58" s="3444"/>
      <c r="AK58" s="3444"/>
      <c r="AL58" s="3444"/>
      <c r="AM58" s="3444"/>
      <c r="AN58" s="3444"/>
      <c r="AO58" s="3444">
        <f>23204090</f>
        <v>23204090</v>
      </c>
      <c r="AP58" s="3444"/>
      <c r="AQ58" s="3444">
        <v>24733621.047940463</v>
      </c>
      <c r="AR58" s="3444">
        <v>27968987.070854526</v>
      </c>
      <c r="AS58" s="3444"/>
      <c r="AT58" s="3444"/>
      <c r="AU58" s="3444"/>
      <c r="AV58" s="3444">
        <f t="shared" si="62"/>
        <v>114091777.11879499</v>
      </c>
      <c r="AW58" s="3441"/>
      <c r="AX58" s="3441"/>
      <c r="AY58" s="3441">
        <f t="shared" si="63"/>
        <v>0.60700226163903492</v>
      </c>
      <c r="AZ58" s="3444">
        <v>27968987.070854526</v>
      </c>
      <c r="BA58" s="3444">
        <v>27968987.070854526</v>
      </c>
      <c r="BB58" s="3444">
        <v>27968987.070854526</v>
      </c>
      <c r="BC58" s="3444">
        <v>27968987.070854526</v>
      </c>
      <c r="BD58" s="3444">
        <v>27968987.070854526</v>
      </c>
      <c r="BE58" s="3444"/>
      <c r="BF58" s="3444"/>
      <c r="BG58" s="3444"/>
      <c r="BH58" s="3444"/>
      <c r="BI58" s="3445"/>
      <c r="BJ58" s="3445"/>
      <c r="BK58" s="3445"/>
    </row>
    <row r="59" spans="1:70" s="3454" customFormat="1">
      <c r="A59" s="3446"/>
      <c r="B59" s="3447" t="s">
        <v>1984</v>
      </c>
      <c r="C59" s="3447"/>
      <c r="D59" s="3448"/>
      <c r="E59" s="3448"/>
      <c r="F59" s="3448"/>
      <c r="G59" s="3448"/>
      <c r="H59" s="3449">
        <v>4504000</v>
      </c>
      <c r="I59" s="3449"/>
      <c r="J59" s="3449"/>
      <c r="K59" s="3449">
        <v>6402000</v>
      </c>
      <c r="L59" s="3449">
        <v>5954000</v>
      </c>
      <c r="M59" s="3449">
        <v>6517000</v>
      </c>
      <c r="N59" s="3449">
        <v>7470000</v>
      </c>
      <c r="O59" s="3449">
        <v>7929072</v>
      </c>
      <c r="P59" s="3449">
        <f t="shared" si="64"/>
        <v>34272072</v>
      </c>
      <c r="Q59" s="3450"/>
      <c r="R59" s="3450">
        <f>O59/$O$56</f>
        <v>0.13859988053144889</v>
      </c>
      <c r="S59" s="3449">
        <v>8682916</v>
      </c>
      <c r="T59" s="3449">
        <v>9979782</v>
      </c>
      <c r="U59" s="3449"/>
      <c r="V59" s="3451">
        <v>11226790</v>
      </c>
      <c r="W59" s="3451"/>
      <c r="X59" s="3451">
        <v>11226790</v>
      </c>
      <c r="Y59" s="3451"/>
      <c r="Z59" s="3451">
        <v>12407642</v>
      </c>
      <c r="AA59" s="3451">
        <f>SUM(S59:X59)</f>
        <v>41116278</v>
      </c>
      <c r="AB59" s="3451"/>
      <c r="AC59" s="3441">
        <f t="shared" si="61"/>
        <v>0.10957224944366996</v>
      </c>
      <c r="AD59" s="3441"/>
      <c r="AE59" s="3443"/>
      <c r="AF59" s="3451">
        <v>12407642</v>
      </c>
      <c r="AG59" s="3451"/>
      <c r="AH59" s="3452">
        <v>15294772.390274998</v>
      </c>
      <c r="AI59" s="3452"/>
      <c r="AJ59" s="3452"/>
      <c r="AK59" s="3452"/>
      <c r="AL59" s="3452"/>
      <c r="AM59" s="3452"/>
      <c r="AN59" s="3452"/>
      <c r="AO59" s="3452">
        <v>17183562.06968103</v>
      </c>
      <c r="AP59" s="3452"/>
      <c r="AQ59" s="3452">
        <v>19323388.095313232</v>
      </c>
      <c r="AR59" s="3452">
        <v>21779680.573048972</v>
      </c>
      <c r="AS59" s="3452"/>
      <c r="AT59" s="3452"/>
      <c r="AU59" s="3452"/>
      <c r="AV59" s="3452">
        <f t="shared" si="62"/>
        <v>85989045.12831822</v>
      </c>
      <c r="AW59" s="3450"/>
      <c r="AX59" s="3450"/>
      <c r="AY59" s="3450">
        <f t="shared" si="63"/>
        <v>1.0913625773305213</v>
      </c>
      <c r="AZ59" s="3452">
        <v>21779680.573048972</v>
      </c>
      <c r="BA59" s="3452">
        <v>21779680.573048972</v>
      </c>
      <c r="BB59" s="3452">
        <v>21779680.573048972</v>
      </c>
      <c r="BC59" s="3452">
        <v>21779680.573048972</v>
      </c>
      <c r="BD59" s="3452">
        <v>21779680.573048972</v>
      </c>
      <c r="BE59" s="3452"/>
      <c r="BF59" s="3452"/>
      <c r="BG59" s="3452"/>
      <c r="BH59" s="3452"/>
      <c r="BI59" s="3453"/>
      <c r="BJ59" s="3453"/>
      <c r="BK59" s="3453"/>
    </row>
    <row r="60" spans="1:70" s="3454" customFormat="1">
      <c r="A60" s="3446"/>
      <c r="B60" s="3447" t="s">
        <v>1985</v>
      </c>
      <c r="C60" s="3447"/>
      <c r="D60" s="3448"/>
      <c r="E60" s="3448"/>
      <c r="F60" s="3448"/>
      <c r="G60" s="3448"/>
      <c r="H60" s="3449">
        <v>1033000</v>
      </c>
      <c r="I60" s="3449"/>
      <c r="J60" s="3449"/>
      <c r="K60" s="3449">
        <v>1282000</v>
      </c>
      <c r="L60" s="3449">
        <v>1596000</v>
      </c>
      <c r="M60" s="3449">
        <v>1705000</v>
      </c>
      <c r="N60" s="3449">
        <v>1874000</v>
      </c>
      <c r="O60" s="3449">
        <v>2027108</v>
      </c>
      <c r="P60" s="3449">
        <f t="shared" si="64"/>
        <v>8484108</v>
      </c>
      <c r="Q60" s="3450"/>
      <c r="R60" s="3450"/>
      <c r="S60" s="3449">
        <v>2235428</v>
      </c>
      <c r="T60" s="3449">
        <v>2632127</v>
      </c>
      <c r="U60" s="3449"/>
      <c r="V60" s="3449">
        <v>3014608</v>
      </c>
      <c r="W60" s="3449"/>
      <c r="X60" s="3449">
        <v>3014608</v>
      </c>
      <c r="Y60" s="3449"/>
      <c r="Z60" s="3449">
        <v>3231658</v>
      </c>
      <c r="AA60" s="3449">
        <f>SUM(S60:X60)</f>
        <v>10896771</v>
      </c>
      <c r="AB60" s="3449"/>
      <c r="AC60" s="3441">
        <f t="shared" si="61"/>
        <v>2.9039197325753781E-2</v>
      </c>
      <c r="AD60" s="3441"/>
      <c r="AE60" s="3443"/>
      <c r="AF60" s="3449">
        <v>3231658</v>
      </c>
      <c r="AG60" s="3449"/>
      <c r="AH60" s="3452">
        <v>4059787.7528000004</v>
      </c>
      <c r="AI60" s="3452"/>
      <c r="AJ60" s="3452"/>
      <c r="AK60" s="3452"/>
      <c r="AL60" s="3452"/>
      <c r="AM60" s="3452"/>
      <c r="AN60" s="3452"/>
      <c r="AO60" s="3452">
        <v>4686618.9818323208</v>
      </c>
      <c r="AP60" s="3452"/>
      <c r="AQ60" s="3452">
        <v>5410232.9526272314</v>
      </c>
      <c r="AR60" s="3452">
        <v>6189306.4978055544</v>
      </c>
      <c r="AS60" s="3452"/>
      <c r="AT60" s="3452"/>
      <c r="AU60" s="3452"/>
      <c r="AV60" s="3452">
        <f t="shared" si="62"/>
        <v>23577604.185065106</v>
      </c>
      <c r="AW60" s="3450"/>
      <c r="AX60" s="3450"/>
      <c r="AY60" s="3450">
        <f t="shared" si="63"/>
        <v>1.1637239311595247</v>
      </c>
      <c r="AZ60" s="3452">
        <v>6189306.4978055544</v>
      </c>
      <c r="BA60" s="3452">
        <v>6189306.4978055544</v>
      </c>
      <c r="BB60" s="3452">
        <v>6189306.4978055544</v>
      </c>
      <c r="BC60" s="3452">
        <v>6189306.4978055544</v>
      </c>
      <c r="BD60" s="3452">
        <v>6189306.4978055544</v>
      </c>
      <c r="BE60" s="3452"/>
      <c r="BF60" s="3452"/>
      <c r="BG60" s="3452"/>
      <c r="BH60" s="3452"/>
      <c r="BI60" s="3455"/>
      <c r="BJ60" s="3455"/>
      <c r="BK60" s="3455"/>
    </row>
    <row r="61" spans="1:70" s="3454" customFormat="1">
      <c r="A61" s="3437" t="s">
        <v>147</v>
      </c>
      <c r="B61" s="3438" t="s">
        <v>1986</v>
      </c>
      <c r="C61" s="3438"/>
      <c r="D61" s="3439">
        <v>3283269</v>
      </c>
      <c r="E61" s="3439">
        <v>4080032</v>
      </c>
      <c r="F61" s="3439">
        <v>5212162</v>
      </c>
      <c r="G61" s="3439">
        <v>6175192</v>
      </c>
      <c r="H61" s="3440">
        <v>12318000</v>
      </c>
      <c r="I61" s="3440"/>
      <c r="J61" s="3440"/>
      <c r="K61" s="3440">
        <v>15662000</v>
      </c>
      <c r="L61" s="3440">
        <v>17997000</v>
      </c>
      <c r="M61" s="3440">
        <v>20265000</v>
      </c>
      <c r="N61" s="3440">
        <v>22560000</v>
      </c>
      <c r="O61" s="3440">
        <v>24439431</v>
      </c>
      <c r="P61" s="3440">
        <f t="shared" si="64"/>
        <v>100923431</v>
      </c>
      <c r="Q61" s="3441"/>
      <c r="R61" s="3441">
        <f>O61/$O$56</f>
        <v>0.42720033527966306</v>
      </c>
      <c r="S61" s="3440">
        <v>27253990</v>
      </c>
      <c r="T61" s="3440">
        <v>30632149</v>
      </c>
      <c r="U61" s="3440"/>
      <c r="V61" s="3442">
        <v>33997786</v>
      </c>
      <c r="W61" s="3442"/>
      <c r="X61" s="3442">
        <v>37214000</v>
      </c>
      <c r="Y61" s="3442"/>
      <c r="Z61" s="3442">
        <v>41056000</v>
      </c>
      <c r="AA61" s="3442">
        <f>SUM(S61:Z61)</f>
        <v>170153925</v>
      </c>
      <c r="AB61" s="3442"/>
      <c r="AC61" s="3441">
        <f t="shared" si="61"/>
        <v>0.45344932033778712</v>
      </c>
      <c r="AD61" s="3441"/>
      <c r="AE61" s="3443"/>
      <c r="AF61" s="3442">
        <f>39840083</f>
        <v>39840083</v>
      </c>
      <c r="AG61" s="3442"/>
      <c r="AH61" s="3452">
        <f>43960866</f>
        <v>43960866</v>
      </c>
      <c r="AI61" s="3452"/>
      <c r="AJ61" s="3452"/>
      <c r="AK61" s="3452"/>
      <c r="AL61" s="3452"/>
      <c r="AM61" s="3452"/>
      <c r="AN61" s="3452"/>
      <c r="AO61" s="3452">
        <f>49808448</f>
        <v>49808448</v>
      </c>
      <c r="AP61" s="3452"/>
      <c r="AQ61" s="3452">
        <v>57584424.718697324</v>
      </c>
      <c r="AR61" s="3452">
        <v>64879104.399336763</v>
      </c>
      <c r="AS61" s="3452"/>
      <c r="AT61" s="3452"/>
      <c r="AU61" s="3452"/>
      <c r="AV61" s="3452">
        <f t="shared" si="62"/>
        <v>256072926.11803406</v>
      </c>
      <c r="AW61" s="3441"/>
      <c r="AX61" s="3441"/>
      <c r="AY61" s="3441">
        <f t="shared" si="63"/>
        <v>0.50494868759585798</v>
      </c>
      <c r="AZ61" s="3452">
        <v>64879104.399336763</v>
      </c>
      <c r="BA61" s="3452">
        <v>64879104.399336763</v>
      </c>
      <c r="BB61" s="3452">
        <v>64879104.399336763</v>
      </c>
      <c r="BC61" s="3452">
        <v>64879104.399336763</v>
      </c>
      <c r="BD61" s="3452">
        <v>64879104.399336763</v>
      </c>
      <c r="BE61" s="3452"/>
      <c r="BF61" s="3452"/>
      <c r="BG61" s="3452"/>
      <c r="BH61" s="3452"/>
      <c r="BI61" s="3445"/>
      <c r="BJ61" s="3445"/>
      <c r="BK61" s="3445"/>
    </row>
    <row r="62" spans="1:70" s="3454" customFormat="1">
      <c r="A62" s="3437"/>
      <c r="B62" s="3438" t="s">
        <v>1987</v>
      </c>
      <c r="C62" s="3438"/>
      <c r="D62" s="3439"/>
      <c r="E62" s="3439"/>
      <c r="F62" s="3439"/>
      <c r="G62" s="3439"/>
      <c r="H62" s="3440">
        <v>10250000</v>
      </c>
      <c r="I62" s="3440"/>
      <c r="J62" s="3440"/>
      <c r="K62" s="3440">
        <v>13064000</v>
      </c>
      <c r="L62" s="3440">
        <v>15397000</v>
      </c>
      <c r="M62" s="3440">
        <v>17597000</v>
      </c>
      <c r="N62" s="3440">
        <v>19550000</v>
      </c>
      <c r="O62" s="3440">
        <v>21355327</v>
      </c>
      <c r="P62" s="3440">
        <f t="shared" si="64"/>
        <v>86963327</v>
      </c>
      <c r="Q62" s="3441"/>
      <c r="R62" s="3441"/>
      <c r="S62" s="3440">
        <v>23812618</v>
      </c>
      <c r="T62" s="3440">
        <v>26587715</v>
      </c>
      <c r="U62" s="3440"/>
      <c r="V62" s="3440">
        <v>29244625</v>
      </c>
      <c r="W62" s="3440"/>
      <c r="X62" s="3440">
        <v>29244625</v>
      </c>
      <c r="Y62" s="3440"/>
      <c r="Z62" s="3442">
        <v>31342234</v>
      </c>
      <c r="AA62" s="3440">
        <f>SUM(S62:X62)</f>
        <v>108889583</v>
      </c>
      <c r="AB62" s="3440"/>
      <c r="AC62" s="3441" t="e">
        <f>#REF!/#REF!</f>
        <v>#REF!</v>
      </c>
      <c r="AD62" s="3441"/>
      <c r="AE62" s="3443"/>
      <c r="AF62" s="3442">
        <v>31342234</v>
      </c>
      <c r="AG62" s="3442"/>
      <c r="AH62" s="3452">
        <v>39218293.328947201</v>
      </c>
      <c r="AI62" s="3452"/>
      <c r="AJ62" s="3452"/>
      <c r="AK62" s="3452"/>
      <c r="AL62" s="3452"/>
      <c r="AM62" s="3452"/>
      <c r="AN62" s="3452"/>
      <c r="AO62" s="3452">
        <v>44131561.117197707</v>
      </c>
      <c r="AP62" s="3452"/>
      <c r="AQ62" s="3452">
        <v>49706259.917522117</v>
      </c>
      <c r="AR62" s="3452">
        <v>56036849.180617742</v>
      </c>
      <c r="AS62" s="3452"/>
      <c r="AT62" s="3452"/>
      <c r="AU62" s="3452"/>
      <c r="AV62" s="3452">
        <f>SUM(AH62:AR62)</f>
        <v>189092963.54428476</v>
      </c>
      <c r="AW62" s="3441"/>
      <c r="AX62" s="3441"/>
      <c r="AY62" s="3441"/>
      <c r="AZ62" s="3452">
        <v>56036849.180617742</v>
      </c>
      <c r="BA62" s="3452">
        <v>56036849.180617742</v>
      </c>
      <c r="BB62" s="3452">
        <v>56036849.180617742</v>
      </c>
      <c r="BC62" s="3452">
        <v>56036849.180617742</v>
      </c>
      <c r="BD62" s="3452">
        <v>56036849.180617742</v>
      </c>
      <c r="BE62" s="3452"/>
      <c r="BF62" s="3452"/>
      <c r="BG62" s="3452"/>
      <c r="BH62" s="3452"/>
      <c r="BI62" s="3456"/>
      <c r="BJ62" s="3456"/>
      <c r="BK62" s="3456"/>
    </row>
    <row r="63" spans="1:70" s="817" customFormat="1">
      <c r="A63" s="3457"/>
      <c r="B63" s="3438" t="s">
        <v>1988</v>
      </c>
      <c r="C63" s="3438"/>
      <c r="D63" s="747"/>
      <c r="E63" s="747"/>
      <c r="F63" s="747"/>
      <c r="G63" s="3458"/>
      <c r="H63" s="3459">
        <v>2068000</v>
      </c>
      <c r="I63" s="3459"/>
      <c r="J63" s="3459"/>
      <c r="K63" s="3459">
        <v>2598000</v>
      </c>
      <c r="L63" s="3459">
        <v>2600000</v>
      </c>
      <c r="M63" s="3459">
        <v>2668000</v>
      </c>
      <c r="N63" s="3459">
        <v>3010000</v>
      </c>
      <c r="O63" s="3459">
        <v>3084104</v>
      </c>
      <c r="P63" s="3459">
        <f>SUM(K63:O63)</f>
        <v>13960104</v>
      </c>
      <c r="Q63" s="3441"/>
      <c r="R63" s="3441"/>
      <c r="S63" s="3459">
        <v>3441372</v>
      </c>
      <c r="T63" s="3459">
        <v>4044434</v>
      </c>
      <c r="U63" s="3459"/>
      <c r="V63" s="3460">
        <v>4753161</v>
      </c>
      <c r="W63" s="3460"/>
      <c r="X63" s="3460">
        <v>4753161</v>
      </c>
      <c r="Y63" s="3460"/>
      <c r="Z63" s="3460">
        <v>5215166</v>
      </c>
      <c r="AA63" s="3460">
        <f>SUM(S63:X63)</f>
        <v>16992128</v>
      </c>
      <c r="AB63" s="3460"/>
      <c r="AC63" s="3441" t="e">
        <f>#REF!/#REF!</f>
        <v>#REF!</v>
      </c>
      <c r="AD63" s="3441"/>
      <c r="AE63" s="3443"/>
      <c r="AF63" s="3460">
        <v>5215166</v>
      </c>
      <c r="AG63" s="3460"/>
      <c r="AH63" s="3461">
        <v>6253873.4999999991</v>
      </c>
      <c r="AI63" s="3461"/>
      <c r="AJ63" s="3461"/>
      <c r="AK63" s="3461"/>
      <c r="AL63" s="3461"/>
      <c r="AM63" s="3461"/>
      <c r="AN63" s="3461"/>
      <c r="AO63" s="3462">
        <v>7019191.2695624987</v>
      </c>
      <c r="AP63" s="3462"/>
      <c r="AQ63" s="3462">
        <v>7878164.8011752078</v>
      </c>
      <c r="AR63" s="3462">
        <v>8842255.2187190223</v>
      </c>
      <c r="AS63" s="3462"/>
      <c r="AT63" s="3462"/>
      <c r="AU63" s="3462"/>
      <c r="AV63" s="3462">
        <f>SUM(AH63:AR63)</f>
        <v>29993484.789456725</v>
      </c>
      <c r="AW63" s="3441"/>
      <c r="AX63" s="3441"/>
      <c r="AY63" s="3441"/>
      <c r="AZ63" s="3462">
        <v>8842255.2187190223</v>
      </c>
      <c r="BA63" s="3462">
        <v>8842255.2187190223</v>
      </c>
      <c r="BB63" s="3462">
        <v>8842255.2187190223</v>
      </c>
      <c r="BC63" s="3462">
        <v>8842255.2187190223</v>
      </c>
      <c r="BD63" s="3462">
        <v>8842255.2187190223</v>
      </c>
      <c r="BE63" s="3462"/>
      <c r="BF63" s="3462"/>
      <c r="BG63" s="3462"/>
      <c r="BH63" s="3462"/>
      <c r="BI63" s="3463"/>
      <c r="BJ63" s="3463"/>
      <c r="BK63" s="3463"/>
      <c r="BL63" s="817">
        <f>AF61-AF62-AF60</f>
        <v>5266191</v>
      </c>
      <c r="BM63" s="817">
        <f>AH61-AH62</f>
        <v>4742572.6710527986</v>
      </c>
      <c r="BO63" s="3464">
        <f>AF63/BQ15</f>
        <v>5.9797349049464536E-2</v>
      </c>
      <c r="BQ63" s="3465">
        <f>AF63/AF56</f>
        <v>5.7699623638939351E-2</v>
      </c>
      <c r="BR63" s="3465">
        <f>AH63/AH56</f>
        <v>6.466513049436079E-2</v>
      </c>
    </row>
    <row r="64" spans="1:70" s="817" customFormat="1">
      <c r="A64" s="3426">
        <v>2</v>
      </c>
      <c r="B64" s="3466" t="s">
        <v>1989</v>
      </c>
      <c r="C64" s="3466"/>
      <c r="D64" s="3439"/>
      <c r="E64" s="3441">
        <f>E56/D56-1</f>
        <v>0.29223050385984051</v>
      </c>
      <c r="F64" s="3441">
        <f>F56/E56-1</f>
        <v>0.31456793998188015</v>
      </c>
      <c r="G64" s="3441">
        <f>G56/F56-1</f>
        <v>0.12688947261877193</v>
      </c>
      <c r="H64" s="3441">
        <f>H56/G56-1</f>
        <v>0.30316814819018734</v>
      </c>
      <c r="I64" s="3467"/>
      <c r="J64" s="3468">
        <f>(D64*E64*F64*G64*H64)^(1/5)</f>
        <v>0</v>
      </c>
      <c r="K64" s="3441">
        <f>K56/H56-1</f>
        <v>0.37692739459173907</v>
      </c>
      <c r="L64" s="3441">
        <f>L56/K56-1</f>
        <v>5.5727405702227673E-2</v>
      </c>
      <c r="M64" s="3441">
        <f>M56/L56-1</f>
        <v>9.7417493810616262E-2</v>
      </c>
      <c r="N64" s="3441">
        <f>N56/M56-1</f>
        <v>0.10671413196456658</v>
      </c>
      <c r="O64" s="3441">
        <f>O56/N56-1</f>
        <v>6.9875093506882147E-2</v>
      </c>
      <c r="P64" s="3467"/>
      <c r="Q64" s="3441">
        <f>(K64*L64*M64*N64*O64)^(1/5)</f>
        <v>0.10881820651005422</v>
      </c>
      <c r="R64" s="3441"/>
      <c r="S64" s="3441">
        <f>S56/O56-1</f>
        <v>8.7622122227902999E-2</v>
      </c>
      <c r="T64" s="3441">
        <f>T56/S56-1</f>
        <v>9.7515104165905031E-2</v>
      </c>
      <c r="U64" s="3441"/>
      <c r="V64" s="3441">
        <f>V56/T56-1</f>
        <v>0.11110652273980715</v>
      </c>
      <c r="W64" s="3441"/>
      <c r="X64" s="3441">
        <f>X56/V56-1</f>
        <v>8.4442117837710828E-2</v>
      </c>
      <c r="Y64" s="3441"/>
      <c r="Z64" s="3441">
        <f>Z56/X56-1</f>
        <v>5.2161442825370941E-2</v>
      </c>
      <c r="AA64" s="3441"/>
      <c r="AB64" s="3441">
        <f>(S64*T64*V64*X64*Z64)^(1/5)</f>
        <v>8.3997582129730144E-2</v>
      </c>
      <c r="AC64" s="3441"/>
      <c r="AD64" s="3441"/>
      <c r="AE64" s="3443"/>
      <c r="AF64" s="3441">
        <f>AF56/Z56-1</f>
        <v>4.4005186254692408E-2</v>
      </c>
      <c r="AG64" s="3469"/>
      <c r="AH64" s="3469">
        <f>AH56/AF56-1</f>
        <v>7.0000000000000062E-2</v>
      </c>
      <c r="AI64" s="3469"/>
      <c r="AJ64" s="3469"/>
      <c r="AK64" s="3469"/>
      <c r="AL64" s="3469"/>
      <c r="AM64" s="3469"/>
      <c r="AN64" s="3469"/>
      <c r="AO64" s="3469">
        <f>AO56/AH56-1</f>
        <v>7.0000000000000062E-2</v>
      </c>
      <c r="AP64" s="3469"/>
      <c r="AQ64" s="3469">
        <f>AQ56/AO56-1</f>
        <v>7.0000000000000062E-2</v>
      </c>
      <c r="AR64" s="3469">
        <f>AR56/AQ56-1</f>
        <v>7.0000000000000062E-2</v>
      </c>
      <c r="AS64" s="3469"/>
      <c r="AT64" s="3469"/>
      <c r="AU64" s="3469"/>
      <c r="AV64" s="3469"/>
      <c r="AW64" s="3441">
        <f>(AO64*AQ64*AR64*AF64*AH64)^(1/5)</f>
        <v>6.3793907554759041E-2</v>
      </c>
      <c r="AX64" s="3441"/>
      <c r="AY64" s="3441"/>
      <c r="AZ64" s="3469">
        <f>AZ56/AR56</f>
        <v>1.07</v>
      </c>
      <c r="BA64" s="3469">
        <f>BA56/AZ56</f>
        <v>1.07</v>
      </c>
      <c r="BB64" s="3469">
        <f>BB56/BA56</f>
        <v>1.07</v>
      </c>
      <c r="BC64" s="3469">
        <f>BC56/BB56</f>
        <v>1.07</v>
      </c>
      <c r="BD64" s="3469">
        <f>BD56/BC56</f>
        <v>1.07</v>
      </c>
      <c r="BE64" s="3469"/>
      <c r="BF64" s="3469">
        <f>(AZ64*BA64*BB64*BC64*BD64)^(1/5)</f>
        <v>1.07</v>
      </c>
      <c r="BG64" s="3469"/>
      <c r="BH64" s="3469"/>
      <c r="BI64" s="3470"/>
      <c r="BJ64" s="3470"/>
      <c r="BK64" s="3470"/>
      <c r="BL64" s="817">
        <f>AF63-BL63</f>
        <v>-51025</v>
      </c>
    </row>
    <row r="65" spans="1:63" s="3425" customFormat="1">
      <c r="A65" s="3426">
        <v>3</v>
      </c>
      <c r="B65" s="3370" t="s">
        <v>1990</v>
      </c>
      <c r="C65" s="3370"/>
      <c r="D65" s="3326">
        <f t="shared" ref="D65:K65" si="65">D7/D56</f>
        <v>0.12795410165097923</v>
      </c>
      <c r="E65" s="3326">
        <f t="shared" si="65"/>
        <v>0.16213708807534927</v>
      </c>
      <c r="F65" s="3326">
        <f t="shared" si="65"/>
        <v>0.12142265774343819</v>
      </c>
      <c r="G65" s="3326">
        <f t="shared" si="65"/>
        <v>0.12636346554521433</v>
      </c>
      <c r="H65" s="3321">
        <f t="shared" si="65"/>
        <v>0.13109611834324961</v>
      </c>
      <c r="I65" s="3471"/>
      <c r="J65" s="3471"/>
      <c r="K65" s="3321">
        <f t="shared" si="65"/>
        <v>9.9664439487974474E-2</v>
      </c>
      <c r="L65" s="3321">
        <f>L7/L56</f>
        <v>0.10263370758003042</v>
      </c>
      <c r="M65" s="3321">
        <f>M7/M56</f>
        <v>9.4858485299631604E-2</v>
      </c>
      <c r="N65" s="3321">
        <f>N7/N56</f>
        <v>7.6907869130460799E-2</v>
      </c>
      <c r="O65" s="3321">
        <f>O7/O56</f>
        <v>9.0458053849855974E-2</v>
      </c>
      <c r="P65" s="3321"/>
      <c r="Q65" s="3321">
        <f>(K65*L65*M65*N65*O65)^(1/5)</f>
        <v>9.2441054321229982E-2</v>
      </c>
      <c r="R65" s="3321"/>
      <c r="S65" s="3321">
        <f>S7/S56</f>
        <v>0.10181081880627625</v>
      </c>
      <c r="T65" s="3321">
        <f>T7/T56</f>
        <v>0.10033883560081369</v>
      </c>
      <c r="U65" s="3321"/>
      <c r="V65" s="3321">
        <f>V7/V56</f>
        <v>9.204332127680101E-2</v>
      </c>
      <c r="W65" s="3321"/>
      <c r="X65" s="3321">
        <f>X7/X56</f>
        <v>0.10659568805221005</v>
      </c>
      <c r="Y65" s="3321"/>
      <c r="Z65" s="3321">
        <f>Z7/Z56</f>
        <v>9.7381742997401127E-2</v>
      </c>
      <c r="AA65" s="3321"/>
      <c r="AB65" s="3441">
        <f>(S65*T65*V65*X65*Z65)^(1/5)</f>
        <v>9.951636168262909E-2</v>
      </c>
      <c r="AC65" s="3321"/>
      <c r="AD65" s="3321"/>
      <c r="AE65" s="3427"/>
      <c r="AF65" s="3321">
        <f>AF7/AF56</f>
        <v>7.980667180920091E-2</v>
      </c>
      <c r="AG65" s="3321"/>
      <c r="AH65" s="3321">
        <f>AH7/AH56</f>
        <v>8.1449252914545245E-2</v>
      </c>
      <c r="AI65" s="3321"/>
      <c r="AJ65" s="3321"/>
      <c r="AK65" s="3321"/>
      <c r="AL65" s="3321"/>
      <c r="AM65" s="3321"/>
      <c r="AN65" s="3321"/>
      <c r="AO65" s="3321">
        <f>AO7/AO56</f>
        <v>7.3346444183782333E-2</v>
      </c>
      <c r="AP65" s="3321"/>
      <c r="AQ65" s="3321">
        <f>AQ7/AQ56</f>
        <v>8.3684650463217353E-2</v>
      </c>
      <c r="AR65" s="3321">
        <f>AR7/AR56</f>
        <v>8.5776886580327935E-2</v>
      </c>
      <c r="AS65" s="3321"/>
      <c r="AT65" s="3321"/>
      <c r="AU65" s="3321"/>
      <c r="AV65" s="3321"/>
      <c r="AW65" s="3321"/>
      <c r="AX65" s="3321"/>
      <c r="AY65" s="3321"/>
      <c r="AZ65" s="3321">
        <f>AZ7/AZ56</f>
        <v>8.7079452257152509E-2</v>
      </c>
      <c r="BA65" s="3321">
        <f>BA7/BA56</f>
        <v>8.7995604892084078E-2</v>
      </c>
      <c r="BB65" s="3321">
        <f>BB7/BB56</f>
        <v>8.8836049669932096E-2</v>
      </c>
      <c r="BC65" s="3321">
        <f>BC7/BC56</f>
        <v>8.990145150349757E-2</v>
      </c>
      <c r="BD65" s="3321">
        <f>BD7/BD56</f>
        <v>9.1473318163411227E-2</v>
      </c>
      <c r="BE65" s="3321"/>
      <c r="BF65" s="3321"/>
      <c r="BG65" s="3321"/>
      <c r="BH65" s="3321"/>
      <c r="BI65" s="3393"/>
      <c r="BJ65" s="3393"/>
      <c r="BK65" s="3393"/>
    </row>
    <row r="66" spans="1:63" s="3425" customFormat="1">
      <c r="A66" s="3426">
        <v>4</v>
      </c>
      <c r="B66" s="3370" t="s">
        <v>1991</v>
      </c>
      <c r="C66" s="3370"/>
      <c r="D66" s="3326"/>
      <c r="E66" s="3326"/>
      <c r="F66" s="3326"/>
      <c r="G66" s="3326"/>
      <c r="H66" s="3321"/>
      <c r="I66" s="3471"/>
      <c r="J66" s="3471"/>
      <c r="K66" s="3321">
        <f>K7/H7</f>
        <v>1.046794510256291</v>
      </c>
      <c r="L66" s="3321">
        <f>L7/K7</f>
        <v>1.0871803262801722</v>
      </c>
      <c r="M66" s="3321">
        <f>M7/L7</f>
        <v>1.0142804314364227</v>
      </c>
      <c r="N66" s="3321">
        <f>N7/M7</f>
        <v>0.89728425830443836</v>
      </c>
      <c r="O66" s="3321">
        <f>O7/N7</f>
        <v>1.2583734267412459</v>
      </c>
      <c r="P66" s="3321"/>
      <c r="Q66" s="3472">
        <f>(K66*L66*M66*N66*O66)^(1/5)-1</f>
        <v>5.441634872072143E-2</v>
      </c>
      <c r="R66" s="3321"/>
      <c r="S66" s="3321">
        <f>S7/O7</f>
        <v>1.2241220555069345</v>
      </c>
      <c r="T66" s="3321">
        <f>T7/S7</f>
        <v>1.0816472050564037</v>
      </c>
      <c r="U66" s="3321"/>
      <c r="V66" s="3321">
        <f>V7/T7</f>
        <v>1.0192457788942084</v>
      </c>
      <c r="W66" s="3321"/>
      <c r="X66" s="3321">
        <f>X7/V7</f>
        <v>1.2558961595494074</v>
      </c>
      <c r="Y66" s="3321"/>
      <c r="Z66" s="3321">
        <f>Z7/X7</f>
        <v>0.96121444581144755</v>
      </c>
      <c r="AA66" s="3321"/>
      <c r="AB66" s="3441">
        <f>(S66*T66*V66*X66*Z66)^(1/5)-1</f>
        <v>0.1025356971451945</v>
      </c>
      <c r="AC66" s="3321"/>
      <c r="AD66" s="3321"/>
      <c r="AE66" s="3427"/>
      <c r="AF66" s="3321">
        <f>AF7/Z7</f>
        <v>0.85558726617529812</v>
      </c>
      <c r="AG66" s="3321"/>
      <c r="AH66" s="3321">
        <f>AH7/AF7</f>
        <v>1.0920227424960205</v>
      </c>
      <c r="AI66" s="3321"/>
      <c r="AJ66" s="3321"/>
      <c r="AK66" s="3321"/>
      <c r="AL66" s="3321"/>
      <c r="AM66" s="3321"/>
      <c r="AN66" s="3321"/>
      <c r="AO66" s="3321">
        <f>AO7/AH7</f>
        <v>0.9635532858599366</v>
      </c>
      <c r="AP66" s="3321"/>
      <c r="AQ66" s="3321">
        <f>AQ7/AO7</f>
        <v>1.2208168642951251</v>
      </c>
      <c r="AR66" s="3321">
        <f>AR7/AQ7</f>
        <v>1.0967515324843513</v>
      </c>
      <c r="AS66" s="3321"/>
      <c r="AT66" s="3321"/>
      <c r="AU66" s="3321"/>
      <c r="AV66" s="3321"/>
      <c r="AW66" s="3321">
        <f>(AO66*AQ66*AR66*AF66*AH66)^(1/5)-1</f>
        <v>3.8068709737854922E-2</v>
      </c>
      <c r="AX66" s="3321"/>
      <c r="AY66" s="3321"/>
      <c r="AZ66" s="3321">
        <f>AZ7/AR7</f>
        <v>1.0862484945510011</v>
      </c>
      <c r="BA66" s="3321">
        <f>BA7/AZ7</f>
        <v>1.0812573436553312</v>
      </c>
      <c r="BB66" s="3321">
        <f>BB7/BA7</f>
        <v>1.080219554867544</v>
      </c>
      <c r="BC66" s="3321">
        <f>BC7/BB7</f>
        <v>1.0828324026805629</v>
      </c>
      <c r="BD66" s="3321">
        <f>BD7/BC7</f>
        <v>1.0887082332707629</v>
      </c>
      <c r="BE66" s="3321"/>
      <c r="BF66" s="3469">
        <f>(AZ66*BA66*BB66*BC66*BD66)^(1/5)-1</f>
        <v>8.3848569109363336E-2</v>
      </c>
      <c r="BG66" s="3321"/>
      <c r="BH66" s="3321"/>
      <c r="BI66" s="3393"/>
      <c r="BJ66" s="3393"/>
      <c r="BK66" s="3393"/>
    </row>
    <row r="67" spans="1:63" s="3425" customFormat="1" ht="31.2">
      <c r="A67" s="3426">
        <v>5</v>
      </c>
      <c r="B67" s="3466" t="s">
        <v>1992</v>
      </c>
      <c r="C67" s="3466"/>
      <c r="D67" s="3326"/>
      <c r="E67" s="3326"/>
      <c r="F67" s="3326"/>
      <c r="G67" s="3326"/>
      <c r="H67" s="3321"/>
      <c r="I67" s="3471"/>
      <c r="J67" s="3471"/>
      <c r="K67" s="3321">
        <f>K9/H9</f>
        <v>1.1107089890644151</v>
      </c>
      <c r="L67" s="3321">
        <f>L9/K9</f>
        <v>1.0605983880860459</v>
      </c>
      <c r="M67" s="3321">
        <f>M9/L9</f>
        <v>0.99666431137341549</v>
      </c>
      <c r="N67" s="3321">
        <f>N9/M9</f>
        <v>0.91861127607160653</v>
      </c>
      <c r="O67" s="3321">
        <f>O9/N9</f>
        <v>1.2729331771985084</v>
      </c>
      <c r="P67" s="3321"/>
      <c r="Q67" s="3472">
        <f>(K67*L67*M67*N67*O67)^(1/5)-1</f>
        <v>6.5436343162004418E-2</v>
      </c>
      <c r="R67" s="3321"/>
      <c r="S67" s="3321">
        <f>S9/O9</f>
        <v>1.3321136571078873</v>
      </c>
      <c r="T67" s="3321">
        <f>T9/S9</f>
        <v>1.0343939313663881</v>
      </c>
      <c r="U67" s="3321"/>
      <c r="V67" s="3321">
        <f>V9/T9</f>
        <v>1.0146586953378618</v>
      </c>
      <c r="W67" s="3321"/>
      <c r="X67" s="3321">
        <f>X9/V9</f>
        <v>1.3113079909945025</v>
      </c>
      <c r="Y67" s="3321"/>
      <c r="Z67" s="3321">
        <f>Z9/X9</f>
        <v>0.89758122873275026</v>
      </c>
      <c r="AA67" s="3321">
        <f>SUM(S67:Z67)</f>
        <v>5.5900555035393893</v>
      </c>
      <c r="AB67" s="3441">
        <f>(S67*T67*V67*X67*Z67)^(1/5)-1</f>
        <v>0.10475287161419655</v>
      </c>
      <c r="AC67" s="3321"/>
      <c r="AD67" s="3321"/>
      <c r="AE67" s="3427"/>
      <c r="AF67" s="3321">
        <f>AF9/Z9</f>
        <v>0.81316561365022288</v>
      </c>
      <c r="AG67" s="3321"/>
      <c r="AH67" s="3321">
        <f>AH9/AF9</f>
        <v>1.0491615036559474</v>
      </c>
      <c r="AI67" s="3321"/>
      <c r="AJ67" s="3321"/>
      <c r="AK67" s="3321"/>
      <c r="AL67" s="3321"/>
      <c r="AM67" s="3321"/>
      <c r="AN67" s="3321"/>
      <c r="AO67" s="3321">
        <f>AO9/AH9</f>
        <v>1.0478517813488677</v>
      </c>
      <c r="AP67" s="3321"/>
      <c r="AQ67" s="3321">
        <f>AQ9/AO9</f>
        <v>1.0821862348178137</v>
      </c>
      <c r="AR67" s="3321">
        <f>AR9/AQ9</f>
        <v>1.2117470445192666</v>
      </c>
      <c r="AS67" s="3321"/>
      <c r="AT67" s="3321"/>
      <c r="AU67" s="3321"/>
      <c r="AV67" s="3321"/>
      <c r="AW67" s="3321">
        <f>(AO67*AQ67*AR67*AF67*AH67)^(1/5)-1</f>
        <v>3.2302636605404444E-2</v>
      </c>
      <c r="AX67" s="3321"/>
      <c r="AY67" s="3321"/>
      <c r="AZ67" s="3321">
        <f>AZ9/AR9</f>
        <v>1.0975610264384545</v>
      </c>
      <c r="BA67" s="3321">
        <f>BA9/AZ9</f>
        <v>1.1054852320675106</v>
      </c>
      <c r="BB67" s="3321">
        <f>BB9/BA9</f>
        <v>1.1068702290076335</v>
      </c>
      <c r="BC67" s="3321">
        <f>BC9/BB9</f>
        <v>1.1103448275862069</v>
      </c>
      <c r="BD67" s="3321">
        <f>BD9/BC9</f>
        <v>1.1118012422360248</v>
      </c>
      <c r="BE67" s="3321"/>
      <c r="BF67" s="3331">
        <f>(AZ67*BA67*BB67*BC67*BD67)^(1/5)-1</f>
        <v>0.10640128515075586</v>
      </c>
      <c r="BG67" s="3321"/>
      <c r="BH67" s="3321"/>
      <c r="BI67" s="3393"/>
      <c r="BJ67" s="3393"/>
      <c r="BK67" s="3393"/>
    </row>
    <row r="68" spans="1:63" s="3425" customFormat="1">
      <c r="A68" s="3426">
        <v>6</v>
      </c>
      <c r="B68" s="3089" t="s">
        <v>2</v>
      </c>
      <c r="C68" s="3473">
        <f t="shared" ref="C68:O68" si="66">C7</f>
        <v>1267830.2123589995</v>
      </c>
      <c r="D68" s="3473">
        <f t="shared" si="66"/>
        <v>1553480</v>
      </c>
      <c r="E68" s="3473">
        <f t="shared" si="66"/>
        <v>2543746.399896</v>
      </c>
      <c r="F68" s="3473">
        <f t="shared" si="66"/>
        <v>2504230</v>
      </c>
      <c r="G68" s="3473">
        <f t="shared" si="66"/>
        <v>2936820</v>
      </c>
      <c r="H68" s="3473">
        <f t="shared" si="66"/>
        <v>3970508.1362620005</v>
      </c>
      <c r="I68" s="3474"/>
      <c r="J68" s="3474"/>
      <c r="K68" s="3473">
        <f t="shared" si="66"/>
        <v>4156306.1199669996</v>
      </c>
      <c r="L68" s="3473">
        <f t="shared" si="66"/>
        <v>4518654.2436259994</v>
      </c>
      <c r="M68" s="3473">
        <f t="shared" si="66"/>
        <v>4583182.5757370004</v>
      </c>
      <c r="N68" s="3473">
        <f t="shared" si="66"/>
        <v>4112417.5781439999</v>
      </c>
      <c r="O68" s="3473">
        <f t="shared" si="66"/>
        <v>5174957</v>
      </c>
      <c r="P68" s="3473">
        <f>SUM(K68:O68)</f>
        <v>22545517.517473999</v>
      </c>
      <c r="Q68" s="3321"/>
      <c r="R68" s="3321"/>
      <c r="S68" s="3320">
        <f>S7</f>
        <v>6334779</v>
      </c>
      <c r="T68" s="3320">
        <f>T7</f>
        <v>6851996</v>
      </c>
      <c r="U68" s="3320"/>
      <c r="V68" s="3320">
        <f>V7</f>
        <v>6983868</v>
      </c>
      <c r="W68" s="3320"/>
      <c r="X68" s="3320">
        <f>X7</f>
        <v>8771013</v>
      </c>
      <c r="Y68" s="3320"/>
      <c r="Z68" s="3320">
        <f>Z7</f>
        <v>8430824.4000000022</v>
      </c>
      <c r="AA68" s="3320">
        <f>SUM(S68:Z68)</f>
        <v>37372480.400000006</v>
      </c>
      <c r="AB68" s="3320"/>
      <c r="AC68" s="3321"/>
      <c r="AD68" s="3321"/>
      <c r="AE68" s="3427"/>
      <c r="AF68" s="3320">
        <f>AF7</f>
        <v>7213306</v>
      </c>
      <c r="AG68" s="3320"/>
      <c r="AH68" s="3320">
        <f>AH7</f>
        <v>7877094.2005829997</v>
      </c>
      <c r="AI68" s="3320"/>
      <c r="AJ68" s="3320"/>
      <c r="AK68" s="3320"/>
      <c r="AL68" s="3320"/>
      <c r="AM68" s="3320"/>
      <c r="AN68" s="3320"/>
      <c r="AO68" s="3320">
        <f>AO7</f>
        <v>7590000</v>
      </c>
      <c r="AP68" s="3320">
        <f>AP7</f>
        <v>8340698.4079149999</v>
      </c>
      <c r="AQ68" s="3320">
        <f>AQ7</f>
        <v>9266000</v>
      </c>
      <c r="AR68" s="3320">
        <f>AR7</f>
        <v>10162499.699999999</v>
      </c>
      <c r="AS68" s="3320"/>
      <c r="AT68" s="3320"/>
      <c r="AU68" s="3320"/>
      <c r="AV68" s="3320">
        <f>SUM(AF68:AR68)</f>
        <v>50449598.308497995</v>
      </c>
      <c r="AW68" s="3321"/>
      <c r="AX68" s="3321"/>
      <c r="AY68" s="3321"/>
      <c r="AZ68" s="3320">
        <f>AZ7</f>
        <v>11039000</v>
      </c>
      <c r="BA68" s="3320">
        <f>BA7</f>
        <v>11935999.816611201</v>
      </c>
      <c r="BB68" s="3320">
        <f>BB7</f>
        <v>12893500.408798838</v>
      </c>
      <c r="BC68" s="3320">
        <f>BC7</f>
        <v>13961500.026622467</v>
      </c>
      <c r="BD68" s="3320">
        <f>BD7</f>
        <v>15200000.027793854</v>
      </c>
      <c r="BE68" s="3320"/>
      <c r="BF68" s="3331"/>
      <c r="BG68" s="3320"/>
      <c r="BH68" s="3320"/>
      <c r="BI68" s="3392"/>
      <c r="BJ68" s="3392"/>
      <c r="BK68" s="3392"/>
    </row>
    <row r="69" spans="1:63" s="3479" customFormat="1">
      <c r="A69" s="3446" t="s">
        <v>29</v>
      </c>
      <c r="B69" s="3475" t="s">
        <v>1993</v>
      </c>
      <c r="C69" s="3475"/>
      <c r="D69" s="3476">
        <f>D68/C68</f>
        <v>1.2253060266717446</v>
      </c>
      <c r="E69" s="3472">
        <f>E68/D68</f>
        <v>1.6374503694260627</v>
      </c>
      <c r="F69" s="3472">
        <f>F68/E68</f>
        <v>0.98446527535228523</v>
      </c>
      <c r="G69" s="3472">
        <f>G68/F68</f>
        <v>1.1727437176297704</v>
      </c>
      <c r="H69" s="3472">
        <f>H68/G68</f>
        <v>1.3519753121614537</v>
      </c>
      <c r="I69" s="3472"/>
      <c r="J69" s="3472">
        <f>(D69*E69*F69*G69*H69)^(1/5)-1</f>
        <v>0.25648410421890921</v>
      </c>
      <c r="K69" s="3472">
        <f>K68/H68</f>
        <v>1.046794510256291</v>
      </c>
      <c r="L69" s="3472">
        <f>L68/K68</f>
        <v>1.0871803262801722</v>
      </c>
      <c r="M69" s="3472">
        <f>M68/L68</f>
        <v>1.0142804314364227</v>
      </c>
      <c r="N69" s="3472">
        <f>N68/M68</f>
        <v>0.89728425830443836</v>
      </c>
      <c r="O69" s="3472">
        <f>O68/N68</f>
        <v>1.2583734267412459</v>
      </c>
      <c r="P69" s="3472"/>
      <c r="Q69" s="3472">
        <f>(K69*L69*M69*N69*O69)^(1/5)-1</f>
        <v>5.441634872072143E-2</v>
      </c>
      <c r="R69" s="3472"/>
      <c r="S69" s="3472">
        <f>S68/O68</f>
        <v>1.2241220555069345</v>
      </c>
      <c r="T69" s="3472">
        <f>T68/S68</f>
        <v>1.0816472050564037</v>
      </c>
      <c r="U69" s="3472"/>
      <c r="V69" s="3472">
        <f>V68/T68</f>
        <v>1.0192457788942084</v>
      </c>
      <c r="W69" s="3472"/>
      <c r="X69" s="3472">
        <f>X68/V68</f>
        <v>1.2558961595494074</v>
      </c>
      <c r="Y69" s="3472"/>
      <c r="Z69" s="3472">
        <f>Z68/X68</f>
        <v>0.96121444581144755</v>
      </c>
      <c r="AA69" s="3472"/>
      <c r="AB69" s="3441">
        <f>(S69*T69*V69*X69*Z69)^(1/5)-1</f>
        <v>0.1025356971451945</v>
      </c>
      <c r="AC69" s="3472"/>
      <c r="AD69" s="3472"/>
      <c r="AE69" s="3477"/>
      <c r="AF69" s="3472">
        <f>AF68/Z68</f>
        <v>0.85558726617529812</v>
      </c>
      <c r="AG69" s="3472"/>
      <c r="AH69" s="3472">
        <f>AH68/AF68</f>
        <v>1.0920227424960205</v>
      </c>
      <c r="AI69" s="3472"/>
      <c r="AJ69" s="3472"/>
      <c r="AK69" s="3472"/>
      <c r="AL69" s="3472"/>
      <c r="AM69" s="3472"/>
      <c r="AN69" s="3472"/>
      <c r="AO69" s="3472">
        <f>AO68/AH68</f>
        <v>0.9635532858599366</v>
      </c>
      <c r="AP69" s="3472">
        <f>AP68/AH68</f>
        <v>1.0588547242836943</v>
      </c>
      <c r="AQ69" s="3472">
        <f>AQ68/AP68</f>
        <v>1.1109381429266072</v>
      </c>
      <c r="AR69" s="3472">
        <f>AR68/AQ68</f>
        <v>1.0967515324843513</v>
      </c>
      <c r="AS69" s="3472"/>
      <c r="AT69" s="3472"/>
      <c r="AU69" s="3472"/>
      <c r="AV69" s="3472"/>
      <c r="AW69" s="3472">
        <f>(AP69*AQ69*AR69*AF69*AH69)^(1/5)-1</f>
        <v>3.8068709737854922E-2</v>
      </c>
      <c r="AX69" s="3472"/>
      <c r="AY69" s="3472"/>
      <c r="AZ69" s="3472">
        <f>AZ68/AR68</f>
        <v>1.0862484945510011</v>
      </c>
      <c r="BA69" s="3476">
        <f>BA68/AZ68</f>
        <v>1.0812573436553312</v>
      </c>
      <c r="BB69" s="3472">
        <f>BB68/BA68</f>
        <v>1.080219554867544</v>
      </c>
      <c r="BC69" s="3472">
        <f>BC68/BB68</f>
        <v>1.0828324026805629</v>
      </c>
      <c r="BD69" s="3472">
        <f>BD68/BC68</f>
        <v>1.0887082332707629</v>
      </c>
      <c r="BE69" s="3472"/>
      <c r="BF69" s="3331">
        <f t="shared" ref="BF69:BF72" si="67">(AZ69*BA69*BB69*BC69*BD69)^(1/5)-1</f>
        <v>8.3848569109363336E-2</v>
      </c>
      <c r="BG69" s="3472"/>
      <c r="BH69" s="3472"/>
      <c r="BI69" s="3478"/>
      <c r="BJ69" s="3478"/>
      <c r="BK69" s="3478"/>
    </row>
    <row r="70" spans="1:63" s="3486" customFormat="1">
      <c r="A70" s="3480" t="s">
        <v>29</v>
      </c>
      <c r="B70" s="3481" t="s">
        <v>1994</v>
      </c>
      <c r="C70" s="3475"/>
      <c r="D70" s="3476"/>
      <c r="E70" s="3472"/>
      <c r="F70" s="3472"/>
      <c r="G70" s="3472"/>
      <c r="H70" s="3472"/>
      <c r="I70" s="3472"/>
      <c r="J70" s="3472"/>
      <c r="K70" s="3472"/>
      <c r="L70" s="3472"/>
      <c r="M70" s="3472"/>
      <c r="N70" s="3472"/>
      <c r="O70" s="3472"/>
      <c r="P70" s="3472"/>
      <c r="Q70" s="3472"/>
      <c r="R70" s="3472"/>
      <c r="S70" s="3472"/>
      <c r="T70" s="3472"/>
      <c r="U70" s="3482"/>
      <c r="V70" s="3482"/>
      <c r="W70" s="3482"/>
      <c r="X70" s="3482">
        <f>X7/W7</f>
        <v>1.2379693719124911</v>
      </c>
      <c r="Y70" s="3482"/>
      <c r="Z70" s="3482">
        <f>Z7/Y7</f>
        <v>0.99244548557975309</v>
      </c>
      <c r="AA70" s="3482"/>
      <c r="AB70" s="3483"/>
      <c r="AC70" s="3482"/>
      <c r="AD70" s="3482"/>
      <c r="AE70" s="3484"/>
      <c r="AF70" s="3482">
        <f>AF7/AE7</f>
        <v>0.88605756120330681</v>
      </c>
      <c r="AG70" s="3482"/>
      <c r="AH70" s="3482">
        <f>AH7/AG7</f>
        <v>1.1552063076095611</v>
      </c>
      <c r="AI70" s="3482"/>
      <c r="AJ70" s="3482"/>
      <c r="AK70" s="3482"/>
      <c r="AL70" s="3482"/>
      <c r="AM70" s="3482"/>
      <c r="AN70" s="3482"/>
      <c r="AO70" s="3482"/>
      <c r="AP70" s="3482"/>
      <c r="AQ70" s="3482"/>
      <c r="AR70" s="3482"/>
      <c r="AS70" s="3482"/>
      <c r="AT70" s="3482"/>
      <c r="AU70" s="3482"/>
      <c r="AV70" s="3472"/>
      <c r="AW70" s="3472"/>
      <c r="AX70" s="3472"/>
      <c r="AY70" s="3472"/>
      <c r="AZ70" s="3482"/>
      <c r="BA70" s="3482"/>
      <c r="BB70" s="3482"/>
      <c r="BC70" s="3482"/>
      <c r="BD70" s="3482"/>
      <c r="BE70" s="3482"/>
      <c r="BF70" s="3331"/>
      <c r="BG70" s="3482"/>
      <c r="BH70" s="3482"/>
      <c r="BI70" s="3485"/>
      <c r="BJ70" s="3485"/>
      <c r="BK70" s="3485"/>
    </row>
    <row r="71" spans="1:63" s="3425" customFormat="1">
      <c r="A71" s="3426" t="s">
        <v>99</v>
      </c>
      <c r="B71" s="3466" t="s">
        <v>4</v>
      </c>
      <c r="C71" s="3320">
        <f t="shared" ref="C71:O71" si="68">C8</f>
        <v>1114091.7969199996</v>
      </c>
      <c r="D71" s="3320">
        <f t="shared" si="68"/>
        <v>1322540</v>
      </c>
      <c r="E71" s="3320">
        <f t="shared" si="68"/>
        <v>2238026.399896</v>
      </c>
      <c r="F71" s="3320">
        <f t="shared" si="68"/>
        <v>2175030</v>
      </c>
      <c r="G71" s="3320">
        <f t="shared" si="68"/>
        <v>2627990</v>
      </c>
      <c r="H71" s="3320">
        <f t="shared" si="68"/>
        <v>3663943.1287150006</v>
      </c>
      <c r="I71" s="3320"/>
      <c r="J71" s="3320"/>
      <c r="K71" s="3320">
        <f t="shared" si="68"/>
        <v>3798739.5013269996</v>
      </c>
      <c r="L71" s="3320">
        <f t="shared" si="68"/>
        <v>4099702.3977709995</v>
      </c>
      <c r="M71" s="3320">
        <f t="shared" si="68"/>
        <v>4126341.428791</v>
      </c>
      <c r="N71" s="3320">
        <f t="shared" si="68"/>
        <v>3972338.7808679999</v>
      </c>
      <c r="O71" s="3320">
        <f t="shared" si="68"/>
        <v>4931116</v>
      </c>
      <c r="P71" s="3320">
        <f>SUM(K71:O71)</f>
        <v>20928238.108756997</v>
      </c>
      <c r="Q71" s="3321"/>
      <c r="R71" s="3321"/>
      <c r="S71" s="3320">
        <f>S8</f>
        <v>6237814</v>
      </c>
      <c r="T71" s="3320">
        <f>T8</f>
        <v>6744580</v>
      </c>
      <c r="U71" s="3320"/>
      <c r="V71" s="3320">
        <f>V8</f>
        <v>6909606</v>
      </c>
      <c r="W71" s="3320"/>
      <c r="X71" s="3320">
        <f>X8</f>
        <v>8644723</v>
      </c>
      <c r="Y71" s="3320"/>
      <c r="Z71" s="3320">
        <f>Z8</f>
        <v>8337065.4000000022</v>
      </c>
      <c r="AA71" s="3320">
        <f>SUM(S71:Z71)</f>
        <v>36873788.400000006</v>
      </c>
      <c r="AB71" s="3320"/>
      <c r="AC71" s="3321"/>
      <c r="AD71" s="3321"/>
      <c r="AE71" s="3427"/>
      <c r="AF71" s="3320">
        <f>AF8</f>
        <v>7016452</v>
      </c>
      <c r="AG71" s="3320"/>
      <c r="AH71" s="3320">
        <f>AH8</f>
        <v>7487310.8303279998</v>
      </c>
      <c r="AI71" s="3320"/>
      <c r="AJ71" s="3320"/>
      <c r="AK71" s="3320"/>
      <c r="AL71" s="3320"/>
      <c r="AM71" s="3320"/>
      <c r="AN71" s="3320"/>
      <c r="AO71" s="3320">
        <f>AO8</f>
        <v>7440000</v>
      </c>
      <c r="AP71" s="3320"/>
      <c r="AQ71" s="3320">
        <f>AQ8</f>
        <v>9066000</v>
      </c>
      <c r="AR71" s="3320">
        <f>AR8</f>
        <v>9999999.6999999993</v>
      </c>
      <c r="AS71" s="3320"/>
      <c r="AT71" s="3320"/>
      <c r="AU71" s="3320"/>
      <c r="AV71" s="3320">
        <f>SUM(AF71:AR71)</f>
        <v>41009762.530327998</v>
      </c>
      <c r="AW71" s="3321"/>
      <c r="AX71" s="3321"/>
      <c r="AY71" s="3321"/>
      <c r="AZ71" s="3320">
        <f>AZ8</f>
        <v>10870000</v>
      </c>
      <c r="BA71" s="3320">
        <f>BA8</f>
        <v>11760000</v>
      </c>
      <c r="BB71" s="3320">
        <f>BB8</f>
        <v>12710000</v>
      </c>
      <c r="BC71" s="3320">
        <f>BC8</f>
        <v>13770000</v>
      </c>
      <c r="BD71" s="3320">
        <f>BD8</f>
        <v>15000000</v>
      </c>
      <c r="BE71" s="3320"/>
      <c r="BF71" s="3331"/>
      <c r="BG71" s="3320"/>
      <c r="BH71" s="3320"/>
      <c r="BI71" s="3392"/>
      <c r="BJ71" s="3392"/>
      <c r="BK71" s="3392"/>
    </row>
    <row r="72" spans="1:63" s="3479" customFormat="1">
      <c r="A72" s="3446" t="s">
        <v>29</v>
      </c>
      <c r="B72" s="3475" t="s">
        <v>1993</v>
      </c>
      <c r="C72" s="3475"/>
      <c r="D72" s="3476"/>
      <c r="E72" s="3476"/>
      <c r="F72" s="3476"/>
      <c r="G72" s="3476"/>
      <c r="H72" s="3472"/>
      <c r="I72" s="3487"/>
      <c r="J72" s="3487"/>
      <c r="K72" s="3472">
        <f>K71/H71</f>
        <v>1.0367899740461513</v>
      </c>
      <c r="L72" s="3472">
        <f>L71/K71</f>
        <v>1.0792270426384503</v>
      </c>
      <c r="M72" s="3472">
        <f>M71/L71</f>
        <v>1.0064977962874779</v>
      </c>
      <c r="N72" s="3472">
        <f>N71/M71</f>
        <v>0.96267816161588882</v>
      </c>
      <c r="O72" s="3472">
        <f>O71/N71</f>
        <v>1.2413634063010348</v>
      </c>
      <c r="P72" s="3472"/>
      <c r="Q72" s="3472">
        <f>(K72*L72*M72*N72*O72)^(1/5)-1</f>
        <v>6.1205028008409545E-2</v>
      </c>
      <c r="R72" s="3472"/>
      <c r="S72" s="3472">
        <f>S71/O71</f>
        <v>1.2649903186215858</v>
      </c>
      <c r="T72" s="3472">
        <f>T71/S71</f>
        <v>1.0812409603749005</v>
      </c>
      <c r="U72" s="3472"/>
      <c r="V72" s="3472">
        <f>V71/T71</f>
        <v>1.0244679431484243</v>
      </c>
      <c r="W72" s="3472"/>
      <c r="X72" s="3472">
        <f>X71/V71</f>
        <v>1.2511166338572706</v>
      </c>
      <c r="Y72" s="3472"/>
      <c r="Z72" s="3472">
        <f>Z71/X71</f>
        <v>0.96441093601264061</v>
      </c>
      <c r="AA72" s="3472"/>
      <c r="AB72" s="3441">
        <f>(S72*T72*V72*X72*Z72)^(1/5)-1</f>
        <v>0.11074303299162214</v>
      </c>
      <c r="AC72" s="3472"/>
      <c r="AD72" s="3472"/>
      <c r="AE72" s="3477"/>
      <c r="AF72" s="3472">
        <f>AF71/Z71</f>
        <v>0.84159733231791589</v>
      </c>
      <c r="AG72" s="3472"/>
      <c r="AH72" s="3472">
        <f>AH71/AF71</f>
        <v>1.0671078246281738</v>
      </c>
      <c r="AI72" s="3472"/>
      <c r="AJ72" s="3472"/>
      <c r="AK72" s="3472"/>
      <c r="AL72" s="3472"/>
      <c r="AM72" s="3472"/>
      <c r="AN72" s="3472"/>
      <c r="AO72" s="3472">
        <f>AO71/AH71</f>
        <v>0.99368119857714965</v>
      </c>
      <c r="AP72" s="3472"/>
      <c r="AQ72" s="3472">
        <f>AQ71/AO71</f>
        <v>1.2185483870967742</v>
      </c>
      <c r="AR72" s="3472">
        <f>AR71/AQ71</f>
        <v>1.1030222479594087</v>
      </c>
      <c r="AS72" s="3472"/>
      <c r="AT72" s="3472"/>
      <c r="AU72" s="3472"/>
      <c r="AV72" s="3472"/>
      <c r="AW72" s="3472">
        <f>(AO72*AQ72*AR72*AF72*AH72)^(1/5)-1</f>
        <v>3.7044412096000512E-2</v>
      </c>
      <c r="AX72" s="3472"/>
      <c r="AY72" s="3472"/>
      <c r="AZ72" s="3472">
        <f>AZ71/AR71</f>
        <v>1.0870000326100011</v>
      </c>
      <c r="BA72" s="3472">
        <f>BA71/AZ71</f>
        <v>1.0818767249310028</v>
      </c>
      <c r="BB72" s="3472">
        <f>BB71/BA71</f>
        <v>1.0807823129251701</v>
      </c>
      <c r="BC72" s="3472">
        <f>BC71/BB71</f>
        <v>1.0833988985051142</v>
      </c>
      <c r="BD72" s="3472">
        <f>BD71/BC71</f>
        <v>1.0893246187363834</v>
      </c>
      <c r="BE72" s="3472"/>
      <c r="BF72" s="3331">
        <f t="shared" si="67"/>
        <v>8.4471777704529405E-2</v>
      </c>
      <c r="BG72" s="3472"/>
      <c r="BH72" s="3472"/>
      <c r="BI72" s="3478"/>
      <c r="BJ72" s="3478"/>
      <c r="BK72" s="3478"/>
    </row>
    <row r="73" spans="1:63" s="3479" customFormat="1">
      <c r="A73" s="3446" t="s">
        <v>29</v>
      </c>
      <c r="B73" s="3475" t="s">
        <v>1995</v>
      </c>
      <c r="C73" s="3475"/>
      <c r="D73" s="3476">
        <f t="shared" ref="D73:O73" si="69">D71/D68</f>
        <v>0.85134021680356364</v>
      </c>
      <c r="E73" s="3476">
        <f t="shared" si="69"/>
        <v>0.87981506332058135</v>
      </c>
      <c r="F73" s="3476">
        <f t="shared" si="69"/>
        <v>0.86854242621484445</v>
      </c>
      <c r="G73" s="3476">
        <f t="shared" si="69"/>
        <v>0.89484204002969203</v>
      </c>
      <c r="H73" s="3472">
        <f>H71/H68</f>
        <v>0.92278947756152618</v>
      </c>
      <c r="I73" s="3487"/>
      <c r="J73" s="3487"/>
      <c r="K73" s="3472">
        <f t="shared" si="69"/>
        <v>0.91397009548400665</v>
      </c>
      <c r="L73" s="3472">
        <f t="shared" si="69"/>
        <v>0.90728393382919881</v>
      </c>
      <c r="M73" s="3472">
        <f t="shared" si="69"/>
        <v>0.90032228928332891</v>
      </c>
      <c r="N73" s="3472">
        <f t="shared" si="69"/>
        <v>0.96593760370530757</v>
      </c>
      <c r="O73" s="3472">
        <f t="shared" si="69"/>
        <v>0.95288057465984743</v>
      </c>
      <c r="P73" s="3472"/>
      <c r="Q73" s="3472">
        <f>P71/P68</f>
        <v>0.92826603303900546</v>
      </c>
      <c r="R73" s="3472"/>
      <c r="S73" s="3472">
        <f>S71/S68</f>
        <v>0.98469323081357696</v>
      </c>
      <c r="T73" s="3472">
        <f>T71/T68</f>
        <v>0.98432340007203745</v>
      </c>
      <c r="U73" s="3472"/>
      <c r="V73" s="3472">
        <f>V71/V68</f>
        <v>0.98936663751376741</v>
      </c>
      <c r="W73" s="3472"/>
      <c r="X73" s="3472">
        <f>X71/X68</f>
        <v>0.98560143509079279</v>
      </c>
      <c r="Y73" s="3472"/>
      <c r="Z73" s="3472">
        <f>Z71/Z68</f>
        <v>0.98887902350332435</v>
      </c>
      <c r="AA73" s="3472"/>
      <c r="AB73" s="3441">
        <f>(S73*T73*V73*X73*Z73)^(1/5)</f>
        <v>0.98657044955842199</v>
      </c>
      <c r="AC73" s="3472"/>
      <c r="AD73" s="3472"/>
      <c r="AE73" s="3477"/>
      <c r="AF73" s="3472">
        <f>AF71/AF68</f>
        <v>0.97270960084044678</v>
      </c>
      <c r="AG73" s="3472"/>
      <c r="AH73" s="3472">
        <f>AH71/AH68</f>
        <v>0.95051685807868702</v>
      </c>
      <c r="AI73" s="3472"/>
      <c r="AJ73" s="3472"/>
      <c r="AK73" s="3472"/>
      <c r="AL73" s="3472"/>
      <c r="AM73" s="3472"/>
      <c r="AN73" s="3472"/>
      <c r="AO73" s="3472">
        <f>AO71/AO68</f>
        <v>0.98023715415019763</v>
      </c>
      <c r="AP73" s="3472"/>
      <c r="AQ73" s="3472">
        <f>AQ71/AQ68</f>
        <v>0.97841571336067346</v>
      </c>
      <c r="AR73" s="3472">
        <f>AR71/AR68</f>
        <v>0.98400983962636668</v>
      </c>
      <c r="AS73" s="3472"/>
      <c r="AT73" s="3472"/>
      <c r="AU73" s="3472"/>
      <c r="AV73" s="3472"/>
      <c r="AW73" s="3472"/>
      <c r="AX73" s="3472"/>
      <c r="AY73" s="3472"/>
      <c r="AZ73" s="3472">
        <f>AZ71/AZ68</f>
        <v>0.98469064226832137</v>
      </c>
      <c r="BA73" s="3472">
        <f>BA71/BA68</f>
        <v>0.98525470682679939</v>
      </c>
      <c r="BB73" s="3472">
        <f>BB71/BB68</f>
        <v>0.98576799139249938</v>
      </c>
      <c r="BC73" s="3472">
        <f>BC71/BC68</f>
        <v>0.9862837068898539</v>
      </c>
      <c r="BD73" s="3472">
        <f>BD71/BD68</f>
        <v>0.98684210345867462</v>
      </c>
      <c r="BE73" s="3472"/>
      <c r="BF73" s="3331"/>
      <c r="BG73" s="3472"/>
      <c r="BH73" s="3472"/>
      <c r="BI73" s="3478"/>
      <c r="BJ73" s="3478"/>
      <c r="BK73" s="3478"/>
    </row>
    <row r="74" spans="1:63" s="3479" customFormat="1">
      <c r="A74" s="3446" t="s">
        <v>29</v>
      </c>
      <c r="B74" s="3475" t="s">
        <v>1994</v>
      </c>
      <c r="C74" s="3475"/>
      <c r="D74" s="3476"/>
      <c r="E74" s="3476"/>
      <c r="F74" s="3476"/>
      <c r="G74" s="3476"/>
      <c r="H74" s="3472"/>
      <c r="I74" s="3487"/>
      <c r="J74" s="3487"/>
      <c r="K74" s="3472"/>
      <c r="L74" s="3472"/>
      <c r="M74" s="3472"/>
      <c r="N74" s="3472"/>
      <c r="O74" s="3472"/>
      <c r="P74" s="3472"/>
      <c r="Q74" s="3472"/>
      <c r="R74" s="3472"/>
      <c r="S74" s="3472"/>
      <c r="T74" s="3472"/>
      <c r="U74" s="3472"/>
      <c r="V74" s="3472"/>
      <c r="W74" s="3472"/>
      <c r="X74" s="3472">
        <f>X8/W8</f>
        <v>1.233726701869559</v>
      </c>
      <c r="Y74" s="3472"/>
      <c r="Z74" s="3482">
        <f>Z8/Y8</f>
        <v>0.98956265875370941</v>
      </c>
      <c r="AA74" s="3472"/>
      <c r="AB74" s="3441"/>
      <c r="AC74" s="3472"/>
      <c r="AD74" s="3472"/>
      <c r="AE74" s="3477"/>
      <c r="AF74" s="3482">
        <f>AF8/AE8</f>
        <v>0.87313829191503134</v>
      </c>
      <c r="AG74" s="3472"/>
      <c r="AH74" s="3482">
        <f>AH8/AG8</f>
        <v>1.1160470575080972</v>
      </c>
      <c r="AI74" s="3482"/>
      <c r="AJ74" s="3482"/>
      <c r="AK74" s="3482"/>
      <c r="AL74" s="3482"/>
      <c r="AM74" s="3482"/>
      <c r="AN74" s="3482"/>
      <c r="AO74" s="3472"/>
      <c r="AP74" s="3472"/>
      <c r="AQ74" s="3472"/>
      <c r="AR74" s="3472"/>
      <c r="AS74" s="3472"/>
      <c r="AT74" s="3472"/>
      <c r="AU74" s="3472"/>
      <c r="AV74" s="3472"/>
      <c r="AW74" s="3472"/>
      <c r="AX74" s="3472"/>
      <c r="AY74" s="3472"/>
      <c r="AZ74" s="3472"/>
      <c r="BA74" s="3472"/>
      <c r="BB74" s="3472"/>
      <c r="BC74" s="3472"/>
      <c r="BD74" s="3472"/>
      <c r="BE74" s="3472"/>
      <c r="BF74" s="3331"/>
      <c r="BG74" s="3472"/>
      <c r="BH74" s="3472"/>
      <c r="BI74" s="3478"/>
      <c r="BJ74" s="3478"/>
      <c r="BK74" s="3478"/>
    </row>
    <row r="75" spans="1:63" s="3425" customFormat="1">
      <c r="A75" s="3426"/>
      <c r="B75" s="185" t="s">
        <v>1969</v>
      </c>
      <c r="C75" s="3320">
        <f>C9</f>
        <v>680419.64697399968</v>
      </c>
      <c r="D75" s="3320">
        <f>D9</f>
        <v>781630</v>
      </c>
      <c r="E75" s="3320">
        <f t="shared" ref="E75:O75" si="70">E9</f>
        <v>1012420</v>
      </c>
      <c r="F75" s="3320">
        <f t="shared" si="70"/>
        <v>1278230</v>
      </c>
      <c r="G75" s="3320">
        <f t="shared" si="70"/>
        <v>1827240</v>
      </c>
      <c r="H75" s="3320">
        <f t="shared" si="70"/>
        <v>2445921.4765880005</v>
      </c>
      <c r="I75" s="3320"/>
      <c r="J75" s="3320"/>
      <c r="K75" s="3320">
        <f t="shared" si="70"/>
        <v>2716706.9705919996</v>
      </c>
      <c r="L75" s="3320">
        <f t="shared" si="70"/>
        <v>2881335.0339119998</v>
      </c>
      <c r="M75" s="3320">
        <f t="shared" si="70"/>
        <v>2871723.7974100001</v>
      </c>
      <c r="N75" s="3320">
        <f t="shared" si="70"/>
        <v>2637997.8620639998</v>
      </c>
      <c r="O75" s="3320">
        <f t="shared" si="70"/>
        <v>3357995</v>
      </c>
      <c r="P75" s="3320">
        <f>SUM(K75:O75)</f>
        <v>14465758.663977999</v>
      </c>
      <c r="Q75" s="3321"/>
      <c r="R75" s="3321"/>
      <c r="S75" s="3320">
        <f>S9</f>
        <v>4473231</v>
      </c>
      <c r="T75" s="3320">
        <f>T9</f>
        <v>4627083</v>
      </c>
      <c r="U75" s="3320"/>
      <c r="V75" s="3320">
        <f>V9</f>
        <v>4694910</v>
      </c>
      <c r="W75" s="3320"/>
      <c r="X75" s="3320">
        <f>X9</f>
        <v>6156473</v>
      </c>
      <c r="Y75" s="3320"/>
      <c r="Z75" s="3320">
        <f>Z9</f>
        <v>5525934.6000000015</v>
      </c>
      <c r="AA75" s="3320">
        <f>SUM(S75:Z75)</f>
        <v>25477631.600000001</v>
      </c>
      <c r="AB75" s="3320"/>
      <c r="AC75" s="3321"/>
      <c r="AD75" s="3321"/>
      <c r="AE75" s="3427"/>
      <c r="AF75" s="3320">
        <f>AF9</f>
        <v>4493500</v>
      </c>
      <c r="AG75" s="3320"/>
      <c r="AH75" s="3320">
        <f>AH9</f>
        <v>4714407.2166780001</v>
      </c>
      <c r="AI75" s="3320"/>
      <c r="AJ75" s="3320"/>
      <c r="AK75" s="3320"/>
      <c r="AL75" s="3320"/>
      <c r="AM75" s="3320"/>
      <c r="AN75" s="3320"/>
      <c r="AO75" s="3320">
        <f>AO9</f>
        <v>4940000</v>
      </c>
      <c r="AP75" s="3320"/>
      <c r="AQ75" s="3320">
        <f>AQ9</f>
        <v>5346000</v>
      </c>
      <c r="AR75" s="3320">
        <f>AR9</f>
        <v>6477999.6999999993</v>
      </c>
      <c r="AS75" s="3320"/>
      <c r="AT75" s="3320"/>
      <c r="AU75" s="3320"/>
      <c r="AV75" s="3320">
        <f>SUM(AF75:AR75)</f>
        <v>25971906.916678</v>
      </c>
      <c r="AW75" s="3321"/>
      <c r="AX75" s="3321"/>
      <c r="AY75" s="3321"/>
      <c r="AZ75" s="3320">
        <f>AZ9</f>
        <v>7110000</v>
      </c>
      <c r="BA75" s="3320">
        <f>BA9</f>
        <v>7860000</v>
      </c>
      <c r="BB75" s="3320">
        <f>BB9</f>
        <v>8700000</v>
      </c>
      <c r="BC75" s="3320">
        <f>BC9</f>
        <v>9660000</v>
      </c>
      <c r="BD75" s="3320">
        <f>BD9</f>
        <v>10740000</v>
      </c>
      <c r="BE75" s="3320"/>
      <c r="BF75" s="3320"/>
      <c r="BG75" s="3320"/>
      <c r="BH75" s="3320"/>
      <c r="BI75" s="3392"/>
      <c r="BJ75" s="3392"/>
      <c r="BK75" s="3392"/>
    </row>
    <row r="76" spans="1:63" s="3479" customFormat="1">
      <c r="A76" s="3446" t="s">
        <v>29</v>
      </c>
      <c r="B76" s="3475" t="s">
        <v>1993</v>
      </c>
      <c r="C76" s="3475"/>
      <c r="D76" s="3476"/>
      <c r="E76" s="3476"/>
      <c r="F76" s="3476"/>
      <c r="G76" s="3476"/>
      <c r="H76" s="3472"/>
      <c r="I76" s="3487"/>
      <c r="J76" s="3487"/>
      <c r="K76" s="3472">
        <f>K75/H75</f>
        <v>1.1107089890644151</v>
      </c>
      <c r="L76" s="3472">
        <f>L75/K75</f>
        <v>1.0605983880860459</v>
      </c>
      <c r="M76" s="3472">
        <f>M75/L75</f>
        <v>0.99666431137341549</v>
      </c>
      <c r="N76" s="3472">
        <f>N75/M75</f>
        <v>0.91861127607160653</v>
      </c>
      <c r="O76" s="3472">
        <f>O75/N75</f>
        <v>1.2729331771985084</v>
      </c>
      <c r="P76" s="3472"/>
      <c r="Q76" s="3472">
        <f>(K76*L76*M76*N76*O76)^(1/5)-1</f>
        <v>6.5436343162004418E-2</v>
      </c>
      <c r="R76" s="3472"/>
      <c r="S76" s="3472">
        <f>S75/O75</f>
        <v>1.3321136571078873</v>
      </c>
      <c r="T76" s="3472">
        <f>T75/S75</f>
        <v>1.0343939313663881</v>
      </c>
      <c r="U76" s="3472"/>
      <c r="V76" s="3472">
        <f>V75/T75</f>
        <v>1.0146586953378618</v>
      </c>
      <c r="W76" s="3472"/>
      <c r="X76" s="3472">
        <f>X75/V75</f>
        <v>1.3113079909945025</v>
      </c>
      <c r="Y76" s="3472"/>
      <c r="Z76" s="3472">
        <f>Z75/X75</f>
        <v>0.89758122873275026</v>
      </c>
      <c r="AA76" s="3472"/>
      <c r="AB76" s="3472">
        <f>(S76*T76*V76*X76*Z76)^(1/5)-1</f>
        <v>0.10475287161419655</v>
      </c>
      <c r="AC76" s="3472"/>
      <c r="AD76" s="3472"/>
      <c r="AE76" s="3477"/>
      <c r="AF76" s="3472">
        <f>AF75/Z75</f>
        <v>0.81316561365022288</v>
      </c>
      <c r="AG76" s="3472"/>
      <c r="AH76" s="3472">
        <f>AH75/AF75</f>
        <v>1.0491615036559474</v>
      </c>
      <c r="AI76" s="3472"/>
      <c r="AJ76" s="3472"/>
      <c r="AK76" s="3472"/>
      <c r="AL76" s="3472"/>
      <c r="AM76" s="3472"/>
      <c r="AN76" s="3472"/>
      <c r="AO76" s="3472">
        <f>AO75/AH75</f>
        <v>1.0478517813488677</v>
      </c>
      <c r="AP76" s="3472"/>
      <c r="AQ76" s="3472">
        <f>AQ75/AO75</f>
        <v>1.0821862348178137</v>
      </c>
      <c r="AR76" s="3472">
        <f>AR75/AQ75</f>
        <v>1.2117470445192666</v>
      </c>
      <c r="AS76" s="3472"/>
      <c r="AT76" s="3472"/>
      <c r="AU76" s="3472"/>
      <c r="AV76" s="3472"/>
      <c r="AW76" s="3472">
        <f>(AO76*AQ76*AR76*AF76*AH76)^(1/5)-1</f>
        <v>3.2302636605404444E-2</v>
      </c>
      <c r="AX76" s="3472"/>
      <c r="AY76" s="3472"/>
      <c r="AZ76" s="3472">
        <f>AZ75/AR75</f>
        <v>1.0975610264384545</v>
      </c>
      <c r="BA76" s="3472">
        <f>BA75/AZ75</f>
        <v>1.1054852320675106</v>
      </c>
      <c r="BB76" s="3472">
        <f>BB75/BA75</f>
        <v>1.1068702290076335</v>
      </c>
      <c r="BC76" s="3472">
        <f>BC75/BB75</f>
        <v>1.1103448275862069</v>
      </c>
      <c r="BD76" s="3472">
        <f>BD75/BC75</f>
        <v>1.1118012422360248</v>
      </c>
      <c r="BE76" s="3472"/>
      <c r="BF76" s="3331">
        <f>(AZ76*BA76*BB76*BC76*BD76)^(1/5)-1</f>
        <v>0.10640128515075586</v>
      </c>
      <c r="BG76" s="3472"/>
      <c r="BH76" s="3472"/>
      <c r="BI76" s="3478"/>
      <c r="BJ76" s="3478"/>
      <c r="BK76" s="3478"/>
    </row>
    <row r="77" spans="1:63" s="3479" customFormat="1">
      <c r="A77" s="3446" t="s">
        <v>29</v>
      </c>
      <c r="B77" s="3475" t="s">
        <v>1995</v>
      </c>
      <c r="C77" s="3475"/>
      <c r="D77" s="3476"/>
      <c r="E77" s="3476"/>
      <c r="F77" s="3476"/>
      <c r="G77" s="3476"/>
      <c r="H77" s="3472"/>
      <c r="I77" s="3487"/>
      <c r="J77" s="3487"/>
      <c r="K77" s="3472">
        <f t="shared" ref="K77:P77" si="71">K75/K68</f>
        <v>0.6536349566604035</v>
      </c>
      <c r="L77" s="3472">
        <f t="shared" si="71"/>
        <v>0.63765335397732692</v>
      </c>
      <c r="M77" s="3472">
        <f t="shared" si="71"/>
        <v>0.62657852921083146</v>
      </c>
      <c r="N77" s="3472">
        <f t="shared" si="71"/>
        <v>0.64147130293479837</v>
      </c>
      <c r="O77" s="3472">
        <f t="shared" si="71"/>
        <v>0.64889331447584975</v>
      </c>
      <c r="P77" s="3472">
        <f t="shared" si="71"/>
        <v>0.64162460022335932</v>
      </c>
      <c r="Q77" s="3472"/>
      <c r="R77" s="3472"/>
      <c r="S77" s="3472">
        <f>S75/S68</f>
        <v>0.70613844618730981</v>
      </c>
      <c r="T77" s="3472">
        <f>T75/T68</f>
        <v>0.67528979876812534</v>
      </c>
      <c r="U77" s="3472"/>
      <c r="V77" s="3472">
        <f>V75/V68</f>
        <v>0.67225067827742446</v>
      </c>
      <c r="W77" s="3472"/>
      <c r="X77" s="3472">
        <f>X75/X68</f>
        <v>0.70191128436361916</v>
      </c>
      <c r="Y77" s="3472"/>
      <c r="Z77" s="3472">
        <f>Z75/Z68</f>
        <v>0.65544415798768152</v>
      </c>
      <c r="AA77" s="3472">
        <f>AA75/$AA$68</f>
        <v>0.68172171949282756</v>
      </c>
      <c r="AB77" s="3472"/>
      <c r="AC77" s="3472"/>
      <c r="AD77" s="3472"/>
      <c r="AE77" s="3477"/>
      <c r="AF77" s="3472">
        <f>AF75/AF68</f>
        <v>0.62294598343672092</v>
      </c>
      <c r="AG77" s="3472"/>
      <c r="AH77" s="3472">
        <f>AH75/AH68</f>
        <v>0.59849572654965544</v>
      </c>
      <c r="AI77" s="3472"/>
      <c r="AJ77" s="3472"/>
      <c r="AK77" s="3472"/>
      <c r="AL77" s="3472"/>
      <c r="AM77" s="3472"/>
      <c r="AN77" s="3472"/>
      <c r="AO77" s="3472">
        <f>AO75/AO68</f>
        <v>0.65085638998682482</v>
      </c>
      <c r="AP77" s="3472"/>
      <c r="AQ77" s="3472">
        <f>AQ75/AQ68</f>
        <v>0.57694798186919927</v>
      </c>
      <c r="AR77" s="3472">
        <f>AR75/AR68</f>
        <v>0.63744156371291205</v>
      </c>
      <c r="AS77" s="3472"/>
      <c r="AT77" s="3472"/>
      <c r="AU77" s="3472"/>
      <c r="AV77" s="3472"/>
      <c r="AW77" s="3472"/>
      <c r="AX77" s="3472"/>
      <c r="AY77" s="3472"/>
      <c r="AZ77" s="3472">
        <f>AZ75/AZ68</f>
        <v>0.64408007971736569</v>
      </c>
      <c r="BA77" s="3472">
        <f>BA75/AZ68</f>
        <v>0.71202101639641269</v>
      </c>
      <c r="BB77" s="3472">
        <f>BB75/BB68</f>
        <v>0.67475857790045202</v>
      </c>
      <c r="BC77" s="3472">
        <f>BC75/BC68</f>
        <v>0.69190273119506085</v>
      </c>
      <c r="BD77" s="3472">
        <f>BD75/BD68</f>
        <v>0.70657894607641103</v>
      </c>
      <c r="BE77" s="3472"/>
      <c r="BF77" s="3472"/>
      <c r="BG77" s="3472"/>
      <c r="BH77" s="3472"/>
      <c r="BI77" s="3478"/>
      <c r="BJ77" s="3478"/>
      <c r="BK77" s="3478"/>
    </row>
    <row r="78" spans="1:63" s="3479" customFormat="1">
      <c r="A78" s="3446" t="s">
        <v>29</v>
      </c>
      <c r="B78" s="3475" t="s">
        <v>1994</v>
      </c>
      <c r="C78" s="3475"/>
      <c r="D78" s="3476"/>
      <c r="E78" s="3476"/>
      <c r="F78" s="3476"/>
      <c r="G78" s="3476"/>
      <c r="H78" s="3472"/>
      <c r="I78" s="3487"/>
      <c r="J78" s="3487"/>
      <c r="K78" s="3472"/>
      <c r="L78" s="3472"/>
      <c r="M78" s="3472"/>
      <c r="N78" s="3472"/>
      <c r="O78" s="3472"/>
      <c r="P78" s="3472"/>
      <c r="Q78" s="3472"/>
      <c r="R78" s="3472"/>
      <c r="S78" s="3472"/>
      <c r="T78" s="3472"/>
      <c r="U78" s="3472"/>
      <c r="V78" s="3472"/>
      <c r="W78" s="3472"/>
      <c r="X78" s="3472">
        <f>X9/W9</f>
        <v>1.1891970253042303</v>
      </c>
      <c r="Y78" s="3472"/>
      <c r="Z78" s="3482">
        <f>Z9/Y9</f>
        <v>0.86817511390416358</v>
      </c>
      <c r="AA78" s="3472"/>
      <c r="AB78" s="3472"/>
      <c r="AC78" s="3472"/>
      <c r="AD78" s="3472"/>
      <c r="AE78" s="3477"/>
      <c r="AF78" s="3482">
        <f>AF9/AE9</f>
        <v>0.77662939214296822</v>
      </c>
      <c r="AG78" s="3472"/>
      <c r="AH78" s="3482">
        <f>AH9/AG9</f>
        <v>1.0693231289942766</v>
      </c>
      <c r="AI78" s="3482"/>
      <c r="AJ78" s="3482"/>
      <c r="AK78" s="3482"/>
      <c r="AL78" s="3482"/>
      <c r="AM78" s="3482"/>
      <c r="AN78" s="3482"/>
      <c r="AO78" s="3472"/>
      <c r="AP78" s="3472"/>
      <c r="AQ78" s="3472"/>
      <c r="AR78" s="3472"/>
      <c r="AS78" s="3472"/>
      <c r="AT78" s="3472"/>
      <c r="AU78" s="3472"/>
      <c r="AV78" s="3472"/>
      <c r="AW78" s="3472"/>
      <c r="AX78" s="3472"/>
      <c r="AY78" s="3472"/>
      <c r="AZ78" s="3472"/>
      <c r="BA78" s="3472"/>
      <c r="BB78" s="3472"/>
      <c r="BC78" s="3472"/>
      <c r="BD78" s="3472"/>
      <c r="BE78" s="3472"/>
      <c r="BF78" s="3472"/>
      <c r="BG78" s="3472"/>
      <c r="BH78" s="3472"/>
      <c r="BI78" s="3478"/>
      <c r="BJ78" s="3478"/>
      <c r="BK78" s="3478"/>
    </row>
    <row r="79" spans="1:63" s="3425" customFormat="1">
      <c r="A79" s="3426" t="s">
        <v>101</v>
      </c>
      <c r="B79" s="3466" t="s">
        <v>1996</v>
      </c>
      <c r="C79" s="3320">
        <f t="shared" ref="C79:O79" si="72">C28</f>
        <v>153738.415439</v>
      </c>
      <c r="D79" s="3320">
        <f t="shared" si="72"/>
        <v>230940</v>
      </c>
      <c r="E79" s="3320">
        <f t="shared" si="72"/>
        <v>305720</v>
      </c>
      <c r="F79" s="3320">
        <f t="shared" si="72"/>
        <v>329200</v>
      </c>
      <c r="G79" s="3320">
        <f t="shared" si="72"/>
        <v>308830</v>
      </c>
      <c r="H79" s="3320">
        <f t="shared" si="72"/>
        <v>306565.00754700002</v>
      </c>
      <c r="I79" s="3320"/>
      <c r="J79" s="3320"/>
      <c r="K79" s="3320">
        <f t="shared" si="72"/>
        <v>357566.61864</v>
      </c>
      <c r="L79" s="3320">
        <f t="shared" si="72"/>
        <v>418951.84585500002</v>
      </c>
      <c r="M79" s="3320">
        <f t="shared" si="72"/>
        <v>456841.14694599999</v>
      </c>
      <c r="N79" s="3320">
        <f t="shared" si="72"/>
        <v>140078.797276</v>
      </c>
      <c r="O79" s="3320">
        <f t="shared" si="72"/>
        <v>243841</v>
      </c>
      <c r="P79" s="3320">
        <f>SUM(K79:O79)</f>
        <v>1617279.4087169999</v>
      </c>
      <c r="Q79" s="3321"/>
      <c r="R79" s="3321"/>
      <c r="S79" s="3320">
        <f>S28</f>
        <v>96965</v>
      </c>
      <c r="T79" s="3320">
        <f>T28</f>
        <v>107416</v>
      </c>
      <c r="U79" s="3320"/>
      <c r="V79" s="3320">
        <f>V28</f>
        <v>74262</v>
      </c>
      <c r="W79" s="3320"/>
      <c r="X79" s="3320">
        <f>X28</f>
        <v>126290</v>
      </c>
      <c r="Y79" s="3320"/>
      <c r="Z79" s="3320">
        <f>Z28</f>
        <v>93759</v>
      </c>
      <c r="AA79" s="3320">
        <f>SUM(S79:Z79)</f>
        <v>498692</v>
      </c>
      <c r="AB79" s="3320"/>
      <c r="AC79" s="3321"/>
      <c r="AD79" s="3321"/>
      <c r="AE79" s="3427"/>
      <c r="AF79" s="3320">
        <f>AF28</f>
        <v>196854</v>
      </c>
      <c r="AG79" s="3320"/>
      <c r="AH79" s="3320">
        <f>AH28</f>
        <v>389783.37025500002</v>
      </c>
      <c r="AI79" s="3320"/>
      <c r="AJ79" s="3320"/>
      <c r="AK79" s="3320"/>
      <c r="AL79" s="3320"/>
      <c r="AM79" s="3320"/>
      <c r="AN79" s="3320"/>
      <c r="AO79" s="3320">
        <f>AO28</f>
        <v>150000</v>
      </c>
      <c r="AP79" s="3320"/>
      <c r="AQ79" s="3320">
        <f>AQ28</f>
        <v>200000</v>
      </c>
      <c r="AR79" s="3320">
        <f>AR28</f>
        <v>162500</v>
      </c>
      <c r="AS79" s="3320"/>
      <c r="AT79" s="3320"/>
      <c r="AU79" s="3320"/>
      <c r="AV79" s="3320">
        <f>SUM(AF79:AR79)</f>
        <v>1099137.370255</v>
      </c>
      <c r="AW79" s="3321"/>
      <c r="AX79" s="3321"/>
      <c r="AY79" s="3321"/>
      <c r="AZ79" s="3320">
        <f>AZ28</f>
        <v>169000</v>
      </c>
      <c r="BA79" s="3320">
        <f>BA28</f>
        <v>175999.81661120002</v>
      </c>
      <c r="BB79" s="3320">
        <f>BB28</f>
        <v>183500.40879883713</v>
      </c>
      <c r="BC79" s="3320">
        <f>BC28</f>
        <v>191500.02662246645</v>
      </c>
      <c r="BD79" s="3320">
        <f>BD28</f>
        <v>200000.027793855</v>
      </c>
      <c r="BE79" s="3320"/>
      <c r="BF79" s="3320"/>
      <c r="BG79" s="3320"/>
      <c r="BH79" s="3320"/>
      <c r="BI79" s="3392"/>
      <c r="BJ79" s="3392"/>
      <c r="BK79" s="3392"/>
    </row>
    <row r="80" spans="1:63" s="3479" customFormat="1">
      <c r="A80" s="3446" t="s">
        <v>29</v>
      </c>
      <c r="B80" s="3475" t="s">
        <v>1993</v>
      </c>
      <c r="C80" s="3475"/>
      <c r="D80" s="3476"/>
      <c r="E80" s="3476"/>
      <c r="F80" s="3476"/>
      <c r="G80" s="3476"/>
      <c r="H80" s="3472"/>
      <c r="I80" s="3487"/>
      <c r="J80" s="3487"/>
      <c r="K80" s="3472">
        <f>K79/H79</f>
        <v>1.1663647508275414</v>
      </c>
      <c r="L80" s="3472">
        <f>L79/K79</f>
        <v>1.1716749383610749</v>
      </c>
      <c r="M80" s="3472">
        <f>M79/L79</f>
        <v>1.0904383199784577</v>
      </c>
      <c r="N80" s="3472">
        <f>N79/M79</f>
        <v>0.30662473862617662</v>
      </c>
      <c r="O80" s="3472">
        <f>O79/N79</f>
        <v>1.7407416735564576</v>
      </c>
      <c r="P80" s="3472"/>
      <c r="Q80" s="3472">
        <f>(K80*L80*M80*N80*O80)^(1/5)-1</f>
        <v>-4.4750476186834587E-2</v>
      </c>
      <c r="R80" s="3472"/>
      <c r="S80" s="3472">
        <f>S79/O79</f>
        <v>0.39765666971510122</v>
      </c>
      <c r="T80" s="3472">
        <f>T79/S79</f>
        <v>1.1077811581498478</v>
      </c>
      <c r="U80" s="3472"/>
      <c r="V80" s="3472">
        <f>V79/T79</f>
        <v>0.69134951962463698</v>
      </c>
      <c r="W80" s="3472"/>
      <c r="X80" s="3472">
        <f>X79/V79</f>
        <v>1.7006005763378309</v>
      </c>
      <c r="Y80" s="3472"/>
      <c r="Z80" s="3472">
        <f>Z79/X79</f>
        <v>0.74241032544144425</v>
      </c>
      <c r="AA80" s="3472"/>
      <c r="AB80" s="3472">
        <f>(S80*T80*V80*X80*Z80)^(1/5)-1</f>
        <v>-0.17399771792258245</v>
      </c>
      <c r="AC80" s="3472"/>
      <c r="AD80" s="3472"/>
      <c r="AE80" s="3477"/>
      <c r="AF80" s="3472">
        <f>AF79/Z79</f>
        <v>2.0995744408536781</v>
      </c>
      <c r="AG80" s="3472"/>
      <c r="AH80" s="3472">
        <f>AH79/AF79</f>
        <v>1.9800632461367309</v>
      </c>
      <c r="AI80" s="3472"/>
      <c r="AJ80" s="3472"/>
      <c r="AK80" s="3472"/>
      <c r="AL80" s="3472"/>
      <c r="AM80" s="3472"/>
      <c r="AN80" s="3472"/>
      <c r="AO80" s="3472">
        <f>AO79/AH79</f>
        <v>0.38482914215110964</v>
      </c>
      <c r="AP80" s="3472"/>
      <c r="AQ80" s="3472">
        <f>AQ79/AO79</f>
        <v>1.3333333333333333</v>
      </c>
      <c r="AR80" s="3472">
        <f>AR79/AQ79</f>
        <v>0.8125</v>
      </c>
      <c r="AS80" s="3472"/>
      <c r="AT80" s="3472"/>
      <c r="AU80" s="3472"/>
      <c r="AV80" s="3472"/>
      <c r="AW80" s="3472">
        <f>(AO80*AQ80*AR80*AF80*AH80)^(1/5)-1</f>
        <v>0.11626698398103552</v>
      </c>
      <c r="AX80" s="3472"/>
      <c r="AY80" s="3472"/>
      <c r="AZ80" s="3472">
        <f>AZ79/AR79</f>
        <v>1.04</v>
      </c>
      <c r="BA80" s="3472">
        <f>BA79/AZ79</f>
        <v>1.041419033202367</v>
      </c>
      <c r="BB80" s="3472">
        <f>BB79/BA79</f>
        <v>1.0426170454723065</v>
      </c>
      <c r="BC80" s="3472">
        <f>BC79/BB79</f>
        <v>1.0435945504208599</v>
      </c>
      <c r="BD80" s="3472">
        <f>BD79/BC79</f>
        <v>1.0443864229227806</v>
      </c>
      <c r="BE80" s="3472"/>
      <c r="BF80" s="3331">
        <f>(AZ80*BA80*BB80*BC80*BD80)^(1/5)-1</f>
        <v>4.2402245249672177E-2</v>
      </c>
      <c r="BG80" s="3472"/>
      <c r="BH80" s="3472"/>
      <c r="BI80" s="3478"/>
      <c r="BJ80" s="3478"/>
      <c r="BK80" s="3478"/>
    </row>
    <row r="81" spans="1:63" s="3479" customFormat="1">
      <c r="A81" s="3446" t="s">
        <v>29</v>
      </c>
      <c r="B81" s="3475" t="s">
        <v>1995</v>
      </c>
      <c r="C81" s="3475"/>
      <c r="D81" s="3476">
        <f t="shared" ref="D81:O81" si="73">D79/D68</f>
        <v>0.14865978319643638</v>
      </c>
      <c r="E81" s="3476">
        <f t="shared" si="73"/>
        <v>0.12018493667941868</v>
      </c>
      <c r="F81" s="3476">
        <f t="shared" si="73"/>
        <v>0.13145757378515552</v>
      </c>
      <c r="G81" s="3476">
        <f t="shared" si="73"/>
        <v>0.10515795997030802</v>
      </c>
      <c r="H81" s="3472">
        <f t="shared" si="73"/>
        <v>7.7210522438473803E-2</v>
      </c>
      <c r="I81" s="3487"/>
      <c r="J81" s="3487"/>
      <c r="K81" s="3472">
        <f t="shared" si="73"/>
        <v>8.6029904515993405E-2</v>
      </c>
      <c r="L81" s="3472">
        <f t="shared" si="73"/>
        <v>9.2716066170801248E-2</v>
      </c>
      <c r="M81" s="3472">
        <f t="shared" si="73"/>
        <v>9.9677710716671045E-2</v>
      </c>
      <c r="N81" s="3472">
        <f t="shared" si="73"/>
        <v>3.4062396294692383E-2</v>
      </c>
      <c r="O81" s="3472">
        <f t="shared" si="73"/>
        <v>4.7119425340152586E-2</v>
      </c>
      <c r="P81" s="3472">
        <f>P79/P68</f>
        <v>7.1733966960994378E-2</v>
      </c>
      <c r="Q81" s="3472"/>
      <c r="R81" s="3472"/>
      <c r="S81" s="3472">
        <f>S79/S68</f>
        <v>1.5306769186423078E-2</v>
      </c>
      <c r="T81" s="3472">
        <f>T79/T68</f>
        <v>1.5676599927962595E-2</v>
      </c>
      <c r="U81" s="3472"/>
      <c r="V81" s="3472">
        <f>V79/V68</f>
        <v>1.0633362486232558E-2</v>
      </c>
      <c r="W81" s="3472"/>
      <c r="X81" s="3472">
        <f>X79/X68</f>
        <v>1.4398564909207181E-2</v>
      </c>
      <c r="Y81" s="3472"/>
      <c r="Z81" s="3472">
        <f>Z79/Z68</f>
        <v>1.1120976496675697E-2</v>
      </c>
      <c r="AA81" s="3472">
        <f>AA79/$AA$68</f>
        <v>1.3343829327421359E-2</v>
      </c>
      <c r="AB81" s="3472"/>
      <c r="AC81" s="3472"/>
      <c r="AD81" s="3472"/>
      <c r="AE81" s="3477"/>
      <c r="AF81" s="3472">
        <f>AF79/AF68</f>
        <v>2.7290399159553193E-2</v>
      </c>
      <c r="AG81" s="3472"/>
      <c r="AH81" s="3472">
        <f>AH79/AH68</f>
        <v>4.9483141921312986E-2</v>
      </c>
      <c r="AI81" s="3472"/>
      <c r="AJ81" s="3472"/>
      <c r="AK81" s="3472"/>
      <c r="AL81" s="3472"/>
      <c r="AM81" s="3472"/>
      <c r="AN81" s="3472"/>
      <c r="AO81" s="3472">
        <f>AO79/AO68</f>
        <v>1.9762845849802372E-2</v>
      </c>
      <c r="AP81" s="3472"/>
      <c r="AQ81" s="3472">
        <f>AQ79/AQ68</f>
        <v>2.1584286639326572E-2</v>
      </c>
      <c r="AR81" s="3472">
        <f>AR79/AR68</f>
        <v>1.5990160373633273E-2</v>
      </c>
      <c r="AS81" s="3472"/>
      <c r="AT81" s="3472"/>
      <c r="AU81" s="3472"/>
      <c r="AV81" s="3472"/>
      <c r="AW81" s="3472"/>
      <c r="AX81" s="3472"/>
      <c r="AY81" s="3472"/>
      <c r="AZ81" s="3472">
        <f>AZ79/AZ68</f>
        <v>1.5309357731678594E-2</v>
      </c>
      <c r="BA81" s="3472">
        <f>BA79/AZ68</f>
        <v>1.5943456527873903E-2</v>
      </c>
      <c r="BB81" s="3472">
        <f>BB79/BB68</f>
        <v>1.4232008607500566E-2</v>
      </c>
      <c r="BC81" s="3472">
        <f>BC79/BC68</f>
        <v>1.3716293110146108E-2</v>
      </c>
      <c r="BD81" s="3472">
        <f>BD79/BD68</f>
        <v>1.3157896541325417E-2</v>
      </c>
      <c r="BE81" s="3472"/>
      <c r="BF81" s="3472"/>
      <c r="BG81" s="3472"/>
      <c r="BH81" s="3472"/>
      <c r="BI81" s="3478"/>
      <c r="BJ81" s="3478"/>
      <c r="BK81" s="3478"/>
    </row>
    <row r="82" spans="1:63" s="3425" customFormat="1">
      <c r="A82" s="3426" t="s">
        <v>147</v>
      </c>
      <c r="B82" s="3466" t="s">
        <v>1979</v>
      </c>
      <c r="C82" s="3320">
        <f t="shared" ref="C82:O82" si="74">C54</f>
        <v>0</v>
      </c>
      <c r="D82" s="3320">
        <f t="shared" si="74"/>
        <v>0</v>
      </c>
      <c r="E82" s="3320">
        <f t="shared" si="74"/>
        <v>0</v>
      </c>
      <c r="F82" s="3320">
        <f t="shared" si="74"/>
        <v>0</v>
      </c>
      <c r="G82" s="3320">
        <f t="shared" si="74"/>
        <v>0</v>
      </c>
      <c r="H82" s="3320">
        <f t="shared" si="74"/>
        <v>0</v>
      </c>
      <c r="I82" s="3320"/>
      <c r="J82" s="3320"/>
      <c r="K82" s="3320">
        <f t="shared" si="74"/>
        <v>0</v>
      </c>
      <c r="L82" s="3320">
        <f t="shared" si="74"/>
        <v>0</v>
      </c>
      <c r="M82" s="3320">
        <f t="shared" si="74"/>
        <v>0</v>
      </c>
      <c r="N82" s="3320">
        <f t="shared" si="74"/>
        <v>0</v>
      </c>
      <c r="O82" s="3320">
        <f t="shared" si="74"/>
        <v>0</v>
      </c>
      <c r="P82" s="3320">
        <f>SUM(K82:O82)</f>
        <v>0</v>
      </c>
      <c r="Q82" s="3321"/>
      <c r="R82" s="3321"/>
      <c r="S82" s="3320"/>
      <c r="T82" s="3320"/>
      <c r="U82" s="3320"/>
      <c r="V82" s="3320"/>
      <c r="W82" s="3320"/>
      <c r="X82" s="3320"/>
      <c r="Y82" s="3320"/>
      <c r="Z82" s="3320"/>
      <c r="AA82" s="3320">
        <f>SUM(S82:X82)</f>
        <v>0</v>
      </c>
      <c r="AB82" s="3320"/>
      <c r="AC82" s="3321"/>
      <c r="AD82" s="3321"/>
      <c r="AE82" s="3427"/>
      <c r="AF82" s="3320"/>
      <c r="AG82" s="3320"/>
      <c r="AH82" s="3320"/>
      <c r="AI82" s="3320"/>
      <c r="AJ82" s="3320"/>
      <c r="AK82" s="3320"/>
      <c r="AL82" s="3320"/>
      <c r="AM82" s="3320"/>
      <c r="AN82" s="3320"/>
      <c r="AO82" s="3320"/>
      <c r="AP82" s="3320"/>
      <c r="AQ82" s="3320"/>
      <c r="AR82" s="3320"/>
      <c r="AS82" s="3320"/>
      <c r="AT82" s="3320"/>
      <c r="AU82" s="3320"/>
      <c r="AV82" s="3320">
        <f>SUM(AF82:AR82)</f>
        <v>0</v>
      </c>
      <c r="AW82" s="3321"/>
      <c r="AX82" s="3321"/>
      <c r="AY82" s="3321"/>
      <c r="AZ82" s="3320"/>
      <c r="BA82" s="3320"/>
      <c r="BB82" s="3320"/>
      <c r="BC82" s="3320"/>
      <c r="BD82" s="3320"/>
      <c r="BE82" s="3320"/>
      <c r="BF82" s="3320"/>
      <c r="BG82" s="3320"/>
      <c r="BH82" s="3320"/>
      <c r="BI82" s="3392"/>
      <c r="BJ82" s="3392"/>
      <c r="BK82" s="3392"/>
    </row>
    <row r="83" spans="1:63" s="3479" customFormat="1">
      <c r="A83" s="3446" t="s">
        <v>29</v>
      </c>
      <c r="B83" s="3475" t="s">
        <v>1993</v>
      </c>
      <c r="C83" s="3475"/>
      <c r="D83" s="3476"/>
      <c r="E83" s="3476"/>
      <c r="F83" s="3476"/>
      <c r="G83" s="3476"/>
      <c r="H83" s="3476"/>
      <c r="I83" s="3488"/>
      <c r="J83" s="3488"/>
      <c r="K83" s="3476"/>
      <c r="L83" s="3476"/>
      <c r="M83" s="3476"/>
      <c r="N83" s="3476"/>
      <c r="O83" s="3476"/>
      <c r="P83" s="3476"/>
      <c r="Q83" s="3472"/>
      <c r="R83" s="3472"/>
      <c r="S83" s="3476"/>
      <c r="T83" s="3476"/>
      <c r="U83" s="3476"/>
      <c r="V83" s="3476"/>
      <c r="W83" s="3476"/>
      <c r="X83" s="3476"/>
      <c r="Y83" s="3476"/>
      <c r="Z83" s="3476"/>
      <c r="AA83" s="3476"/>
      <c r="AB83" s="3476"/>
      <c r="AC83" s="3472"/>
      <c r="AD83" s="3472"/>
      <c r="AE83" s="3477"/>
      <c r="AF83" s="3476"/>
      <c r="AG83" s="3476"/>
      <c r="AH83" s="3476"/>
      <c r="AI83" s="3476"/>
      <c r="AJ83" s="3476"/>
      <c r="AK83" s="3476"/>
      <c r="AL83" s="3476"/>
      <c r="AM83" s="3476"/>
      <c r="AN83" s="3476"/>
      <c r="AO83" s="3476"/>
      <c r="AP83" s="3476"/>
      <c r="AQ83" s="3476"/>
      <c r="AR83" s="3476"/>
      <c r="AS83" s="3476"/>
      <c r="AT83" s="3476"/>
      <c r="AU83" s="3476"/>
      <c r="AV83" s="3476"/>
      <c r="AW83" s="3472"/>
      <c r="AX83" s="3472"/>
      <c r="AY83" s="3472"/>
      <c r="AZ83" s="3476"/>
      <c r="BA83" s="3476"/>
      <c r="BB83" s="3476"/>
      <c r="BC83" s="3476"/>
      <c r="BD83" s="3476"/>
      <c r="BE83" s="3476"/>
      <c r="BF83" s="3476"/>
      <c r="BG83" s="3476"/>
      <c r="BH83" s="3476"/>
      <c r="BI83" s="3489"/>
      <c r="BJ83" s="3489"/>
      <c r="BK83" s="3489"/>
    </row>
    <row r="84" spans="1:63" s="3479" customFormat="1">
      <c r="A84" s="3446" t="s">
        <v>29</v>
      </c>
      <c r="B84" s="3475" t="s">
        <v>1995</v>
      </c>
      <c r="C84" s="3475"/>
      <c r="D84" s="3476"/>
      <c r="E84" s="3476"/>
      <c r="F84" s="3476"/>
      <c r="G84" s="3476"/>
      <c r="H84" s="3476"/>
      <c r="I84" s="3488"/>
      <c r="J84" s="3488"/>
      <c r="K84" s="3476"/>
      <c r="L84" s="3476"/>
      <c r="M84" s="3476"/>
      <c r="N84" s="3476"/>
      <c r="O84" s="3476"/>
      <c r="P84" s="3476"/>
      <c r="Q84" s="3472"/>
      <c r="R84" s="3472"/>
      <c r="S84" s="3476"/>
      <c r="T84" s="3476"/>
      <c r="U84" s="3476"/>
      <c r="V84" s="3476"/>
      <c r="W84" s="3476"/>
      <c r="X84" s="3476"/>
      <c r="Y84" s="3476"/>
      <c r="Z84" s="3476"/>
      <c r="AA84" s="3476"/>
      <c r="AB84" s="3476"/>
      <c r="AC84" s="3472"/>
      <c r="AD84" s="3472"/>
      <c r="AE84" s="3477"/>
      <c r="AF84" s="3476"/>
      <c r="AG84" s="3476"/>
      <c r="AH84" s="3476"/>
      <c r="AI84" s="3476"/>
      <c r="AJ84" s="3476"/>
      <c r="AK84" s="3476"/>
      <c r="AL84" s="3476"/>
      <c r="AM84" s="3476"/>
      <c r="AN84" s="3476"/>
      <c r="AO84" s="3476"/>
      <c r="AP84" s="3476"/>
      <c r="AQ84" s="3476"/>
      <c r="AR84" s="3476"/>
      <c r="AS84" s="3476"/>
      <c r="AT84" s="3476"/>
      <c r="AU84" s="3476"/>
      <c r="AV84" s="3476"/>
      <c r="AW84" s="3472"/>
      <c r="AX84" s="3472"/>
      <c r="AY84" s="3472"/>
      <c r="AZ84" s="3476"/>
      <c r="BA84" s="3476"/>
      <c r="BB84" s="3476"/>
      <c r="BC84" s="3476"/>
      <c r="BD84" s="3476"/>
      <c r="BE84" s="3476"/>
      <c r="BF84" s="3476"/>
      <c r="BG84" s="3476"/>
      <c r="BH84" s="3476"/>
      <c r="BI84" s="3489"/>
      <c r="BJ84" s="3489"/>
      <c r="BK84" s="3489"/>
    </row>
    <row r="85" spans="1:63" s="3425" customFormat="1">
      <c r="A85" s="3426">
        <v>7</v>
      </c>
      <c r="B85" s="3370" t="s">
        <v>1997</v>
      </c>
      <c r="C85" s="3320">
        <f t="shared" ref="C85:P85" si="75">C7</f>
        <v>1267830.2123589995</v>
      </c>
      <c r="D85" s="3320">
        <f t="shared" si="75"/>
        <v>1553480</v>
      </c>
      <c r="E85" s="3320">
        <f t="shared" si="75"/>
        <v>2543746.399896</v>
      </c>
      <c r="F85" s="3320">
        <f t="shared" si="75"/>
        <v>2504230</v>
      </c>
      <c r="G85" s="3320">
        <f t="shared" si="75"/>
        <v>2936820</v>
      </c>
      <c r="H85" s="3320">
        <f t="shared" si="75"/>
        <v>3970508.1362620005</v>
      </c>
      <c r="I85" s="3320"/>
      <c r="J85" s="3471">
        <f>((H85/D85))^(1/(5-1))-1</f>
        <v>0.26440180160658189</v>
      </c>
      <c r="K85" s="3320">
        <f t="shared" si="75"/>
        <v>4156306.1199669996</v>
      </c>
      <c r="L85" s="3320">
        <f t="shared" si="75"/>
        <v>4518654.2436259994</v>
      </c>
      <c r="M85" s="3320">
        <f t="shared" si="75"/>
        <v>4583182.5757370004</v>
      </c>
      <c r="N85" s="3320">
        <f t="shared" si="75"/>
        <v>4112417.5781439999</v>
      </c>
      <c r="O85" s="3320">
        <f t="shared" si="75"/>
        <v>5174957</v>
      </c>
      <c r="P85" s="3320">
        <f t="shared" si="75"/>
        <v>22545517.517473999</v>
      </c>
      <c r="Q85" s="3321">
        <f>((O85/K85))^(1/(5-1))-1</f>
        <v>5.6330463780306372E-2</v>
      </c>
      <c r="R85" s="3321">
        <f t="shared" ref="R85:R92" si="76">P85/$P$85</f>
        <v>1</v>
      </c>
      <c r="S85" s="3320">
        <f t="shared" ref="S85:Z85" si="77">S7</f>
        <v>6334779</v>
      </c>
      <c r="T85" s="3320">
        <f t="shared" si="77"/>
        <v>6851996</v>
      </c>
      <c r="U85" s="3320"/>
      <c r="V85" s="3320">
        <f t="shared" si="77"/>
        <v>6983868</v>
      </c>
      <c r="W85" s="3320">
        <f t="shared" si="77"/>
        <v>7085000</v>
      </c>
      <c r="X85" s="3320">
        <f t="shared" si="77"/>
        <v>8771013</v>
      </c>
      <c r="Y85" s="3320">
        <f t="shared" si="77"/>
        <v>8495000</v>
      </c>
      <c r="Z85" s="3320">
        <f t="shared" si="77"/>
        <v>8430824.4000000022</v>
      </c>
      <c r="AA85" s="3320">
        <f t="shared" ref="AA85:AA92" si="78">SUM(S85:Z85)</f>
        <v>52952480.400000006</v>
      </c>
      <c r="AB85" s="3321"/>
      <c r="AC85" s="3321"/>
      <c r="AD85" s="3321">
        <f t="shared" ref="AD85:AD92" si="79">AA85/P85-1</f>
        <v>1.3486921672549306</v>
      </c>
      <c r="AE85" s="186">
        <f t="shared" ref="AE85:AR85" si="80">AE7</f>
        <v>8140900</v>
      </c>
      <c r="AF85" s="3320">
        <f t="shared" si="80"/>
        <v>7213306</v>
      </c>
      <c r="AG85" s="3320">
        <f t="shared" si="80"/>
        <v>6818777</v>
      </c>
      <c r="AH85" s="3320">
        <f t="shared" si="80"/>
        <v>7877094.2005829997</v>
      </c>
      <c r="AI85" s="3320"/>
      <c r="AJ85" s="3320"/>
      <c r="AK85" s="3320"/>
      <c r="AL85" s="3320"/>
      <c r="AM85" s="3320"/>
      <c r="AN85" s="3320"/>
      <c r="AO85" s="3320">
        <f t="shared" si="80"/>
        <v>7590000</v>
      </c>
      <c r="AP85" s="3320"/>
      <c r="AQ85" s="3320">
        <f t="shared" si="80"/>
        <v>9266000</v>
      </c>
      <c r="AR85" s="3320">
        <f t="shared" si="80"/>
        <v>10162499.699999999</v>
      </c>
      <c r="AS85" s="3320"/>
      <c r="AT85" s="3320"/>
      <c r="AU85" s="3320"/>
      <c r="AV85" s="3320">
        <f t="shared" ref="AV85:AV92" si="81">SUM(AF85:AR85)</f>
        <v>48927676.900582999</v>
      </c>
      <c r="AW85" s="3321"/>
      <c r="AX85" s="3321">
        <f t="shared" ref="AX85:AX92" si="82">AV85/$AV$85</f>
        <v>1</v>
      </c>
      <c r="AY85" s="3321">
        <f t="shared" ref="AY85:AY92" si="83">AV85/AA85-1</f>
        <v>-7.6007837008084778E-2</v>
      </c>
      <c r="AZ85" s="3320">
        <f t="shared" ref="AZ85:BD85" si="84">AZ7</f>
        <v>11039000</v>
      </c>
      <c r="BA85" s="3320">
        <f t="shared" si="84"/>
        <v>11935999.816611201</v>
      </c>
      <c r="BB85" s="3320">
        <f t="shared" si="84"/>
        <v>12893500.408798838</v>
      </c>
      <c r="BC85" s="3320">
        <f t="shared" si="84"/>
        <v>13961500.026622467</v>
      </c>
      <c r="BD85" s="3320">
        <f t="shared" si="84"/>
        <v>15200000.027793854</v>
      </c>
      <c r="BE85" s="3320"/>
      <c r="BF85" s="3320"/>
      <c r="BG85" s="3320"/>
      <c r="BH85" s="3320"/>
      <c r="BI85" s="3392"/>
      <c r="BJ85" s="3392"/>
      <c r="BK85" s="3392"/>
    </row>
    <row r="86" spans="1:63" s="3497" customFormat="1">
      <c r="A86" s="3490" t="s">
        <v>99</v>
      </c>
      <c r="B86" s="3491" t="s">
        <v>1998</v>
      </c>
      <c r="C86" s="3492">
        <f t="shared" ref="C86" si="85">SUM(C87:C90)</f>
        <v>539224.54016700003</v>
      </c>
      <c r="D86" s="3492">
        <f t="shared" ref="D86:K86" si="86">SUM(D87:D90)</f>
        <v>641350</v>
      </c>
      <c r="E86" s="3492">
        <f t="shared" si="86"/>
        <v>1201256.399896</v>
      </c>
      <c r="F86" s="3492">
        <f t="shared" si="86"/>
        <v>889140</v>
      </c>
      <c r="G86" s="3492">
        <f t="shared" si="86"/>
        <v>1311340</v>
      </c>
      <c r="H86" s="3492">
        <f t="shared" si="86"/>
        <v>1821513.2475960001</v>
      </c>
      <c r="I86" s="3492"/>
      <c r="J86" s="3493">
        <f>((H86/D86))^(1/(5-1))-1</f>
        <v>0.29817819078413854</v>
      </c>
      <c r="K86" s="3492">
        <f t="shared" si="86"/>
        <v>1857572.9357869998</v>
      </c>
      <c r="L86" s="3492">
        <f>SUM(L87:L90)</f>
        <v>2072539.6609430001</v>
      </c>
      <c r="M86" s="3492">
        <f>SUM(M87:M90)</f>
        <v>2133134.8145989999</v>
      </c>
      <c r="N86" s="3492">
        <f>SUM(N87:N90)</f>
        <v>2096926.1036820002</v>
      </c>
      <c r="O86" s="3492">
        <f>SUM(O87:O90)</f>
        <v>3025970</v>
      </c>
      <c r="P86" s="3492">
        <f>SUM(P87:P90)</f>
        <v>11186143.515011001</v>
      </c>
      <c r="Q86" s="3494">
        <f t="shared" ref="Q86:Q92" si="87">((O86/K86))^(1/(5-1))-1</f>
        <v>0.12974306945637393</v>
      </c>
      <c r="R86" s="3494">
        <f>P86/$P$85</f>
        <v>0.49615820556530288</v>
      </c>
      <c r="S86" s="3492">
        <f t="shared" ref="S86:Z86" si="88">SUM(S87:S90)</f>
        <v>4110721</v>
      </c>
      <c r="T86" s="3492">
        <f t="shared" si="88"/>
        <v>4008903</v>
      </c>
      <c r="U86" s="3492"/>
      <c r="V86" s="3492">
        <f t="shared" si="88"/>
        <v>3661258</v>
      </c>
      <c r="W86" s="3492">
        <f t="shared" si="88"/>
        <v>0</v>
      </c>
      <c r="X86" s="3492">
        <f t="shared" si="88"/>
        <v>4507747</v>
      </c>
      <c r="Y86" s="3492">
        <f t="shared" si="88"/>
        <v>0</v>
      </c>
      <c r="Z86" s="3492">
        <f t="shared" si="88"/>
        <v>4554791.8</v>
      </c>
      <c r="AA86" s="3492">
        <f t="shared" si="78"/>
        <v>20843420.800000001</v>
      </c>
      <c r="AB86" s="3494"/>
      <c r="AC86" s="3494"/>
      <c r="AD86" s="3494">
        <f t="shared" si="79"/>
        <v>0.86332499417959618</v>
      </c>
      <c r="AE86" s="3495">
        <f t="shared" ref="AE86:AR86" si="89">SUM(AE87:AE90)</f>
        <v>0</v>
      </c>
      <c r="AF86" s="3492">
        <f t="shared" si="89"/>
        <v>3127589</v>
      </c>
      <c r="AG86" s="3492">
        <f t="shared" si="89"/>
        <v>0</v>
      </c>
      <c r="AH86" s="3492">
        <f t="shared" si="89"/>
        <v>3289397.6713120001</v>
      </c>
      <c r="AI86" s="3492"/>
      <c r="AJ86" s="3492"/>
      <c r="AK86" s="3492"/>
      <c r="AL86" s="3492"/>
      <c r="AM86" s="3492"/>
      <c r="AN86" s="3492"/>
      <c r="AO86" s="3492">
        <f t="shared" si="89"/>
        <v>3700000</v>
      </c>
      <c r="AP86" s="3492"/>
      <c r="AQ86" s="3492">
        <f t="shared" si="89"/>
        <v>3545000</v>
      </c>
      <c r="AR86" s="3492">
        <f t="shared" si="89"/>
        <v>4851999.7</v>
      </c>
      <c r="AS86" s="3492"/>
      <c r="AT86" s="3492"/>
      <c r="AU86" s="3492"/>
      <c r="AV86" s="3492">
        <f t="shared" si="81"/>
        <v>18513986.371312</v>
      </c>
      <c r="AW86" s="3494"/>
      <c r="AX86" s="3494">
        <f t="shared" si="82"/>
        <v>0.3783949605645674</v>
      </c>
      <c r="AY86" s="3494">
        <f t="shared" si="83"/>
        <v>-0.11175873917432977</v>
      </c>
      <c r="AZ86" s="3492">
        <f t="shared" ref="AZ86:BD86" si="90">SUM(AZ87:AZ90)</f>
        <v>5250000</v>
      </c>
      <c r="BA86" s="3492">
        <f t="shared" si="90"/>
        <v>5630000</v>
      </c>
      <c r="BB86" s="3492">
        <f t="shared" si="90"/>
        <v>5990000</v>
      </c>
      <c r="BC86" s="3492">
        <f t="shared" si="90"/>
        <v>6355000</v>
      </c>
      <c r="BD86" s="3492">
        <f t="shared" si="90"/>
        <v>6760000</v>
      </c>
      <c r="BE86" s="3492"/>
      <c r="BF86" s="3492"/>
      <c r="BG86" s="3492"/>
      <c r="BH86" s="3492"/>
      <c r="BI86" s="3496"/>
      <c r="BJ86" s="3496"/>
      <c r="BK86" s="3496"/>
    </row>
    <row r="87" spans="1:63" s="3454" customFormat="1">
      <c r="A87" s="3446" t="s">
        <v>29</v>
      </c>
      <c r="B87" s="3140" t="s">
        <v>1999</v>
      </c>
      <c r="C87" s="3448">
        <f t="shared" ref="C87:H88" si="91">C10</f>
        <v>89115.503914999994</v>
      </c>
      <c r="D87" s="3448">
        <f t="shared" si="91"/>
        <v>92540</v>
      </c>
      <c r="E87" s="3448">
        <f t="shared" si="91"/>
        <v>116990</v>
      </c>
      <c r="F87" s="3448">
        <f t="shared" si="91"/>
        <v>174910</v>
      </c>
      <c r="G87" s="3448">
        <f t="shared" si="91"/>
        <v>255100</v>
      </c>
      <c r="H87" s="3448">
        <f t="shared" si="91"/>
        <v>363111</v>
      </c>
      <c r="I87" s="3448"/>
      <c r="J87" s="3498">
        <f>((H87/D87))^(1/(5-1))-1</f>
        <v>0.40743218301993767</v>
      </c>
      <c r="K87" s="3448">
        <f t="shared" ref="K87:P88" si="92">K10</f>
        <v>375470.05056100001</v>
      </c>
      <c r="L87" s="3448">
        <f t="shared" si="92"/>
        <v>392086.67269099999</v>
      </c>
      <c r="M87" s="3448">
        <f t="shared" si="92"/>
        <v>377894.530516</v>
      </c>
      <c r="N87" s="3448">
        <f t="shared" si="92"/>
        <v>203043.31661899999</v>
      </c>
      <c r="O87" s="3448">
        <f t="shared" si="92"/>
        <v>205240</v>
      </c>
      <c r="P87" s="3448">
        <f t="shared" si="92"/>
        <v>1553734.570387</v>
      </c>
      <c r="Q87" s="3450">
        <f>((O87/K87))^(1/(5-1))-1</f>
        <v>-0.14015201826253876</v>
      </c>
      <c r="R87" s="3450">
        <f t="shared" si="76"/>
        <v>6.8915453778462671E-2</v>
      </c>
      <c r="S87" s="3448">
        <f>S10</f>
        <v>203694</v>
      </c>
      <c r="T87" s="3448">
        <f>T10</f>
        <v>198943</v>
      </c>
      <c r="U87" s="3448"/>
      <c r="V87" s="3448">
        <f>V10</f>
        <v>203584</v>
      </c>
      <c r="W87" s="3448"/>
      <c r="X87" s="3448">
        <f>X10</f>
        <v>223875</v>
      </c>
      <c r="Y87" s="3448"/>
      <c r="Z87" s="3448">
        <f>Z10</f>
        <v>183101</v>
      </c>
      <c r="AA87" s="3448">
        <f t="shared" si="78"/>
        <v>1013197</v>
      </c>
      <c r="AB87" s="3450"/>
      <c r="AC87" s="3450"/>
      <c r="AD87" s="3450">
        <f t="shared" si="79"/>
        <v>-0.34789569640093954</v>
      </c>
      <c r="AE87" s="3499"/>
      <c r="AF87" s="3448">
        <f>AF10</f>
        <v>245001</v>
      </c>
      <c r="AG87" s="3448"/>
      <c r="AH87" s="3448">
        <f>AH10</f>
        <v>227900.049615</v>
      </c>
      <c r="AI87" s="3448"/>
      <c r="AJ87" s="3448"/>
      <c r="AK87" s="3448"/>
      <c r="AL87" s="3448"/>
      <c r="AM87" s="3448"/>
      <c r="AN87" s="3448"/>
      <c r="AO87" s="3448">
        <f>AO10</f>
        <v>250000</v>
      </c>
      <c r="AP87" s="3448"/>
      <c r="AQ87" s="3448">
        <f>AQ10</f>
        <v>230000</v>
      </c>
      <c r="AR87" s="3448">
        <f>AR10</f>
        <v>309999.7</v>
      </c>
      <c r="AS87" s="3448"/>
      <c r="AT87" s="3448"/>
      <c r="AU87" s="3448"/>
      <c r="AV87" s="3448">
        <f t="shared" si="81"/>
        <v>1262900.7496150001</v>
      </c>
      <c r="AW87" s="3450"/>
      <c r="AX87" s="3450">
        <f t="shared" si="82"/>
        <v>2.5811582106812676E-2</v>
      </c>
      <c r="AY87" s="3450">
        <f t="shared" si="83"/>
        <v>0.24645133139458575</v>
      </c>
      <c r="AZ87" s="3448">
        <f t="shared" ref="AZ87:BD88" si="93">AZ10</f>
        <v>340000</v>
      </c>
      <c r="BA87" s="3448">
        <f t="shared" si="93"/>
        <v>370000</v>
      </c>
      <c r="BB87" s="3448">
        <f t="shared" si="93"/>
        <v>410000</v>
      </c>
      <c r="BC87" s="3448">
        <f t="shared" si="93"/>
        <v>455000</v>
      </c>
      <c r="BD87" s="3448">
        <f t="shared" si="93"/>
        <v>510000</v>
      </c>
      <c r="BE87" s="3448"/>
      <c r="BF87" s="3448"/>
      <c r="BG87" s="3448"/>
      <c r="BH87" s="3448"/>
      <c r="BI87" s="3500"/>
      <c r="BJ87" s="3500"/>
      <c r="BK87" s="3500"/>
    </row>
    <row r="88" spans="1:63" s="3454" customFormat="1">
      <c r="A88" s="3446" t="s">
        <v>29</v>
      </c>
      <c r="B88" s="3140" t="s">
        <v>2000</v>
      </c>
      <c r="C88" s="3448">
        <f t="shared" si="91"/>
        <v>48228.976229</v>
      </c>
      <c r="D88" s="3448">
        <f t="shared" si="91"/>
        <v>44800</v>
      </c>
      <c r="E88" s="3448">
        <f t="shared" si="91"/>
        <v>101880</v>
      </c>
      <c r="F88" s="3448">
        <f t="shared" si="91"/>
        <v>76050</v>
      </c>
      <c r="G88" s="3448">
        <f t="shared" si="91"/>
        <v>172870</v>
      </c>
      <c r="H88" s="3448">
        <f t="shared" si="91"/>
        <v>148607</v>
      </c>
      <c r="I88" s="3448"/>
      <c r="J88" s="3498">
        <f t="shared" ref="J88:J92" si="94">((H88/D88))^(1/(5-1))-1</f>
        <v>0.3495541444347896</v>
      </c>
      <c r="K88" s="3448">
        <f t="shared" si="92"/>
        <v>143351.48759800001</v>
      </c>
      <c r="L88" s="3448">
        <f t="shared" si="92"/>
        <v>229165.69016900001</v>
      </c>
      <c r="M88" s="3448">
        <f t="shared" si="92"/>
        <v>259813.95480400001</v>
      </c>
      <c r="N88" s="3448">
        <f t="shared" si="92"/>
        <v>268703.66079599998</v>
      </c>
      <c r="O88" s="3448">
        <f t="shared" si="92"/>
        <v>332356</v>
      </c>
      <c r="P88" s="3448">
        <f t="shared" si="92"/>
        <v>1233390.7933670001</v>
      </c>
      <c r="Q88" s="3450">
        <f t="shared" si="87"/>
        <v>0.23395786331815405</v>
      </c>
      <c r="R88" s="3450">
        <f t="shared" si="76"/>
        <v>5.4706696903766137E-2</v>
      </c>
      <c r="S88" s="3448">
        <f>S11</f>
        <v>323641</v>
      </c>
      <c r="T88" s="3448">
        <f>T11</f>
        <v>384159</v>
      </c>
      <c r="U88" s="3448"/>
      <c r="V88" s="3448">
        <f>V11</f>
        <v>385864</v>
      </c>
      <c r="W88" s="3448"/>
      <c r="X88" s="3448">
        <f>X11</f>
        <v>479648</v>
      </c>
      <c r="Y88" s="3448"/>
      <c r="Z88" s="3448">
        <f>Z11</f>
        <v>455219.9</v>
      </c>
      <c r="AA88" s="3448">
        <f t="shared" si="78"/>
        <v>2028531.9</v>
      </c>
      <c r="AB88" s="3450"/>
      <c r="AC88" s="3450"/>
      <c r="AD88" s="3450">
        <f t="shared" si="79"/>
        <v>0.64467897028999688</v>
      </c>
      <c r="AE88" s="3499"/>
      <c r="AF88" s="3448">
        <f>AF11</f>
        <v>286473</v>
      </c>
      <c r="AG88" s="3448"/>
      <c r="AH88" s="3448">
        <f>AH11</f>
        <v>391144.28547999996</v>
      </c>
      <c r="AI88" s="3448"/>
      <c r="AJ88" s="3448"/>
      <c r="AK88" s="3448"/>
      <c r="AL88" s="3448"/>
      <c r="AM88" s="3448"/>
      <c r="AN88" s="3448"/>
      <c r="AO88" s="3448">
        <f>AO11</f>
        <v>350000</v>
      </c>
      <c r="AP88" s="3448"/>
      <c r="AQ88" s="3448">
        <f>AQ11</f>
        <v>300000</v>
      </c>
      <c r="AR88" s="3448">
        <f>AR11</f>
        <v>470000</v>
      </c>
      <c r="AS88" s="3448"/>
      <c r="AT88" s="3448"/>
      <c r="AU88" s="3448"/>
      <c r="AV88" s="3448">
        <f t="shared" si="81"/>
        <v>1797617.2854800001</v>
      </c>
      <c r="AW88" s="3450"/>
      <c r="AX88" s="3450">
        <f t="shared" si="82"/>
        <v>3.6740295050848422E-2</v>
      </c>
      <c r="AY88" s="3450">
        <f t="shared" si="83"/>
        <v>-0.11383336615016992</v>
      </c>
      <c r="AZ88" s="3448">
        <f t="shared" si="93"/>
        <v>510000</v>
      </c>
      <c r="BA88" s="3448">
        <f t="shared" si="93"/>
        <v>560000</v>
      </c>
      <c r="BB88" s="3448">
        <f t="shared" si="93"/>
        <v>620000</v>
      </c>
      <c r="BC88" s="3448">
        <f t="shared" si="93"/>
        <v>690000</v>
      </c>
      <c r="BD88" s="3448">
        <f t="shared" si="93"/>
        <v>770000</v>
      </c>
      <c r="BE88" s="3448"/>
      <c r="BF88" s="3448"/>
      <c r="BG88" s="3448"/>
      <c r="BH88" s="3448"/>
      <c r="BI88" s="3500"/>
      <c r="BJ88" s="3500"/>
      <c r="BK88" s="3500"/>
    </row>
    <row r="89" spans="1:63" s="3454" customFormat="1">
      <c r="A89" s="3446" t="s">
        <v>29</v>
      </c>
      <c r="B89" s="3140" t="s">
        <v>1975</v>
      </c>
      <c r="C89" s="3448">
        <f t="shared" ref="C89:P89" si="95">C18</f>
        <v>121877.060023</v>
      </c>
      <c r="D89" s="3448">
        <f t="shared" si="95"/>
        <v>154600</v>
      </c>
      <c r="E89" s="3448">
        <f t="shared" si="95"/>
        <v>172040</v>
      </c>
      <c r="F89" s="3448">
        <f t="shared" si="95"/>
        <v>185420</v>
      </c>
      <c r="G89" s="3448">
        <f t="shared" si="95"/>
        <v>382620</v>
      </c>
      <c r="H89" s="3448">
        <f t="shared" si="95"/>
        <v>499448.84769999998</v>
      </c>
      <c r="I89" s="3448"/>
      <c r="J89" s="3498">
        <f t="shared" si="94"/>
        <v>0.34066533905704843</v>
      </c>
      <c r="K89" s="3448">
        <f t="shared" si="95"/>
        <v>650890.53007500002</v>
      </c>
      <c r="L89" s="3448">
        <f t="shared" si="95"/>
        <v>646721.78421900002</v>
      </c>
      <c r="M89" s="3448">
        <f t="shared" si="95"/>
        <v>553543.69900000002</v>
      </c>
      <c r="N89" s="3448">
        <f t="shared" si="95"/>
        <v>670403.16145000001</v>
      </c>
      <c r="O89" s="3448">
        <f t="shared" si="95"/>
        <v>1299030</v>
      </c>
      <c r="P89" s="3448">
        <f t="shared" si="95"/>
        <v>3820589.1747440002</v>
      </c>
      <c r="Q89" s="3450">
        <f t="shared" si="87"/>
        <v>0.18857832720237511</v>
      </c>
      <c r="R89" s="3450">
        <f t="shared" si="76"/>
        <v>0.16946114329745751</v>
      </c>
      <c r="S89" s="3448">
        <f>S18</f>
        <v>2273225</v>
      </c>
      <c r="T89" s="3448">
        <f>T18</f>
        <v>1947905</v>
      </c>
      <c r="U89" s="3448"/>
      <c r="V89" s="3448">
        <f>V18</f>
        <v>1700536</v>
      </c>
      <c r="W89" s="3448"/>
      <c r="X89" s="3448">
        <f>X18</f>
        <v>2280939</v>
      </c>
      <c r="Y89" s="3448"/>
      <c r="Z89" s="3448">
        <f>Z18</f>
        <v>1939730</v>
      </c>
      <c r="AA89" s="3448">
        <f t="shared" si="78"/>
        <v>10142335</v>
      </c>
      <c r="AB89" s="3450"/>
      <c r="AC89" s="3450"/>
      <c r="AD89" s="3450">
        <f t="shared" si="79"/>
        <v>1.6546520801152589</v>
      </c>
      <c r="AE89" s="3499"/>
      <c r="AF89" s="3448">
        <f>AF18</f>
        <v>1312857</v>
      </c>
      <c r="AG89" s="3448"/>
      <c r="AH89" s="3448">
        <f>AH18</f>
        <v>926612.70443099993</v>
      </c>
      <c r="AI89" s="3448"/>
      <c r="AJ89" s="3448"/>
      <c r="AK89" s="3448"/>
      <c r="AL89" s="3448"/>
      <c r="AM89" s="3448"/>
      <c r="AN89" s="3448"/>
      <c r="AO89" s="3448">
        <f>AO18</f>
        <v>1500000</v>
      </c>
      <c r="AP89" s="3448"/>
      <c r="AQ89" s="3448">
        <f>AQ18</f>
        <v>1065000</v>
      </c>
      <c r="AR89" s="3448">
        <f>AR18</f>
        <v>1750000</v>
      </c>
      <c r="AS89" s="3448"/>
      <c r="AT89" s="3448"/>
      <c r="AU89" s="3448"/>
      <c r="AV89" s="3448">
        <f t="shared" si="81"/>
        <v>6554469.7044310002</v>
      </c>
      <c r="AW89" s="3450"/>
      <c r="AX89" s="3450">
        <f t="shared" si="82"/>
        <v>0.13396241390632835</v>
      </c>
      <c r="AY89" s="3450">
        <f t="shared" si="83"/>
        <v>-0.35375140887862611</v>
      </c>
      <c r="AZ89" s="3448">
        <f>AZ18</f>
        <v>1900000</v>
      </c>
      <c r="BA89" s="3448">
        <f>BA18</f>
        <v>2100000</v>
      </c>
      <c r="BB89" s="3448">
        <f>BB18</f>
        <v>2300000</v>
      </c>
      <c r="BC89" s="3448">
        <f>BC18</f>
        <v>2500000</v>
      </c>
      <c r="BD89" s="3448">
        <f>BD18</f>
        <v>2670000</v>
      </c>
      <c r="BE89" s="3448"/>
      <c r="BF89" s="3448"/>
      <c r="BG89" s="3448"/>
      <c r="BH89" s="3448"/>
      <c r="BI89" s="3500"/>
      <c r="BJ89" s="3500"/>
      <c r="BK89" s="3500"/>
    </row>
    <row r="90" spans="1:63" s="3454" customFormat="1">
      <c r="A90" s="3446" t="s">
        <v>29</v>
      </c>
      <c r="B90" s="3140" t="s">
        <v>32</v>
      </c>
      <c r="C90" s="3448">
        <f t="shared" ref="C90:P90" si="96">C27</f>
        <v>280003</v>
      </c>
      <c r="D90" s="3448">
        <f t="shared" si="96"/>
        <v>349410</v>
      </c>
      <c r="E90" s="3448">
        <f t="shared" si="96"/>
        <v>810346.39989600005</v>
      </c>
      <c r="F90" s="3448">
        <f t="shared" si="96"/>
        <v>452760</v>
      </c>
      <c r="G90" s="3448">
        <f t="shared" si="96"/>
        <v>500750</v>
      </c>
      <c r="H90" s="3448">
        <f t="shared" si="96"/>
        <v>810346.39989600005</v>
      </c>
      <c r="I90" s="3448"/>
      <c r="J90" s="3498">
        <f>((H90/D90))^(1/(5-1))-1</f>
        <v>0.23405309113091044</v>
      </c>
      <c r="K90" s="3448">
        <f t="shared" si="96"/>
        <v>687860.86755299999</v>
      </c>
      <c r="L90" s="3448">
        <f t="shared" si="96"/>
        <v>804565.51386399998</v>
      </c>
      <c r="M90" s="3448">
        <f t="shared" si="96"/>
        <v>941882.63027900003</v>
      </c>
      <c r="N90" s="3448">
        <f t="shared" si="96"/>
        <v>954775.96481699997</v>
      </c>
      <c r="O90" s="3448">
        <f t="shared" si="96"/>
        <v>1189344</v>
      </c>
      <c r="P90" s="3448">
        <f t="shared" si="96"/>
        <v>4578428.9765130002</v>
      </c>
      <c r="Q90" s="3450">
        <f t="shared" si="87"/>
        <v>0.14670503839993909</v>
      </c>
      <c r="R90" s="3450">
        <f t="shared" si="76"/>
        <v>0.2030749115856165</v>
      </c>
      <c r="S90" s="3448">
        <f>S27</f>
        <v>1310161</v>
      </c>
      <c r="T90" s="3448">
        <f>T27</f>
        <v>1477896</v>
      </c>
      <c r="U90" s="3448"/>
      <c r="V90" s="3448">
        <f>V27</f>
        <v>1371274</v>
      </c>
      <c r="W90" s="3448"/>
      <c r="X90" s="3448">
        <f>X27</f>
        <v>1523285</v>
      </c>
      <c r="Y90" s="3448"/>
      <c r="Z90" s="3448">
        <f>Z27</f>
        <v>1976740.9</v>
      </c>
      <c r="AA90" s="3448">
        <f t="shared" si="78"/>
        <v>7659356.9000000004</v>
      </c>
      <c r="AB90" s="3450"/>
      <c r="AC90" s="3450"/>
      <c r="AD90" s="3450">
        <f t="shared" si="79"/>
        <v>0.67292251103859657</v>
      </c>
      <c r="AE90" s="3499"/>
      <c r="AF90" s="3448">
        <f>AF27</f>
        <v>1283258</v>
      </c>
      <c r="AG90" s="3448"/>
      <c r="AH90" s="3448">
        <f>AH27</f>
        <v>1743740.6317860002</v>
      </c>
      <c r="AI90" s="3448"/>
      <c r="AJ90" s="3448"/>
      <c r="AK90" s="3448"/>
      <c r="AL90" s="3448"/>
      <c r="AM90" s="3448"/>
      <c r="AN90" s="3448"/>
      <c r="AO90" s="3448">
        <f>AO27</f>
        <v>1600000</v>
      </c>
      <c r="AP90" s="3448"/>
      <c r="AQ90" s="3448">
        <f>AQ27</f>
        <v>1950000</v>
      </c>
      <c r="AR90" s="3448">
        <f>AR27</f>
        <v>2322000</v>
      </c>
      <c r="AS90" s="3448"/>
      <c r="AT90" s="3448"/>
      <c r="AU90" s="3448"/>
      <c r="AV90" s="3448">
        <f t="shared" si="81"/>
        <v>8898998.631786</v>
      </c>
      <c r="AW90" s="3450"/>
      <c r="AX90" s="3450">
        <f t="shared" si="82"/>
        <v>0.18188066950057799</v>
      </c>
      <c r="AY90" s="3450">
        <f t="shared" si="83"/>
        <v>0.16184671219407454</v>
      </c>
      <c r="AZ90" s="3448">
        <f>AZ27</f>
        <v>2500000</v>
      </c>
      <c r="BA90" s="3448">
        <f>BA27</f>
        <v>2600000</v>
      </c>
      <c r="BB90" s="3448">
        <f>BB27</f>
        <v>2660000</v>
      </c>
      <c r="BC90" s="3448">
        <f>BC27</f>
        <v>2710000</v>
      </c>
      <c r="BD90" s="3448">
        <f>BD27</f>
        <v>2810000</v>
      </c>
      <c r="BE90" s="3448"/>
      <c r="BF90" s="3448"/>
      <c r="BG90" s="3448"/>
      <c r="BH90" s="3448"/>
      <c r="BI90" s="3500"/>
      <c r="BJ90" s="3500"/>
      <c r="BK90" s="3500"/>
    </row>
    <row r="91" spans="1:63" s="3497" customFormat="1">
      <c r="A91" s="3490" t="s">
        <v>101</v>
      </c>
      <c r="B91" s="3491" t="s">
        <v>2001</v>
      </c>
      <c r="C91" s="3492">
        <f t="shared" ref="C91:K91" si="97">C85-C86-C92</f>
        <v>727568.34001799952</v>
      </c>
      <c r="D91" s="3492">
        <f t="shared" si="97"/>
        <v>911550</v>
      </c>
      <c r="E91" s="3492">
        <f t="shared" si="97"/>
        <v>1341860</v>
      </c>
      <c r="F91" s="3492">
        <f t="shared" si="97"/>
        <v>1612650</v>
      </c>
      <c r="G91" s="3492">
        <f t="shared" si="97"/>
        <v>1624700</v>
      </c>
      <c r="H91" s="3492">
        <f t="shared" si="97"/>
        <v>2145233.8886660002</v>
      </c>
      <c r="I91" s="3492"/>
      <c r="J91" s="3493">
        <f t="shared" si="94"/>
        <v>0.23857850400056324</v>
      </c>
      <c r="K91" s="3492">
        <f t="shared" si="97"/>
        <v>2290704.576498</v>
      </c>
      <c r="L91" s="3492">
        <f>L85-L86-L92</f>
        <v>2438737.3184049991</v>
      </c>
      <c r="M91" s="3492">
        <f>M85-M86-M92</f>
        <v>2432696.2007730007</v>
      </c>
      <c r="N91" s="3492">
        <f>N85-N86-N92</f>
        <v>1989666.3652289996</v>
      </c>
      <c r="O91" s="3492">
        <f>O85-O86-O92</f>
        <v>2079493</v>
      </c>
      <c r="P91" s="3492">
        <f>P85-P86-P92</f>
        <v>11231297.460904999</v>
      </c>
      <c r="Q91" s="3494">
        <f t="shared" si="87"/>
        <v>-2.3893747172246682E-2</v>
      </c>
      <c r="R91" s="3494">
        <f t="shared" si="76"/>
        <v>0.49816099595851521</v>
      </c>
      <c r="S91" s="3492">
        <f t="shared" ref="S91:Z91" si="98">S85-S86-S92</f>
        <v>2162120</v>
      </c>
      <c r="T91" s="3492">
        <f t="shared" si="98"/>
        <v>2793308</v>
      </c>
      <c r="U91" s="3492"/>
      <c r="V91" s="3492">
        <f t="shared" si="98"/>
        <v>3286777</v>
      </c>
      <c r="W91" s="3492">
        <f t="shared" si="98"/>
        <v>7052000</v>
      </c>
      <c r="X91" s="3492">
        <f t="shared" si="98"/>
        <v>4186421</v>
      </c>
      <c r="Y91" s="3492">
        <f t="shared" si="98"/>
        <v>8435000</v>
      </c>
      <c r="Z91" s="3492">
        <f t="shared" si="98"/>
        <v>3765873.7000000025</v>
      </c>
      <c r="AA91" s="3492">
        <f t="shared" si="78"/>
        <v>31681499.700000003</v>
      </c>
      <c r="AB91" s="3494"/>
      <c r="AC91" s="3494"/>
      <c r="AD91" s="3494">
        <f t="shared" si="79"/>
        <v>1.8208227776247643</v>
      </c>
      <c r="AE91" s="186">
        <f t="shared" ref="AE91:AR91" si="99">AE85-AE86-AE92</f>
        <v>8070900</v>
      </c>
      <c r="AF91" s="3492">
        <f t="shared" si="99"/>
        <v>4015240</v>
      </c>
      <c r="AG91" s="3320">
        <f t="shared" si="99"/>
        <v>6744777</v>
      </c>
      <c r="AH91" s="3492">
        <f t="shared" si="99"/>
        <v>4512967.3056559991</v>
      </c>
      <c r="AI91" s="3492"/>
      <c r="AJ91" s="3492"/>
      <c r="AK91" s="3492"/>
      <c r="AL91" s="3492"/>
      <c r="AM91" s="3492"/>
      <c r="AN91" s="3492"/>
      <c r="AO91" s="3492">
        <f t="shared" si="99"/>
        <v>3820000</v>
      </c>
      <c r="AP91" s="3492"/>
      <c r="AQ91" s="3492">
        <f t="shared" si="99"/>
        <v>5646000</v>
      </c>
      <c r="AR91" s="3492">
        <f t="shared" si="99"/>
        <v>5210499.9999999991</v>
      </c>
      <c r="AS91" s="3492"/>
      <c r="AT91" s="3492"/>
      <c r="AU91" s="3492"/>
      <c r="AV91" s="3492">
        <f t="shared" si="81"/>
        <v>29949484.305656001</v>
      </c>
      <c r="AW91" s="3494"/>
      <c r="AX91" s="3494">
        <f t="shared" si="82"/>
        <v>0.61211743951201447</v>
      </c>
      <c r="AY91" s="3494">
        <f t="shared" si="83"/>
        <v>-5.4669615098555502E-2</v>
      </c>
      <c r="AZ91" s="3492">
        <f t="shared" ref="AZ91:BD91" si="100">AZ85-AZ86-AZ92</f>
        <v>5679000</v>
      </c>
      <c r="BA91" s="3492">
        <f t="shared" si="100"/>
        <v>6185999.8166112006</v>
      </c>
      <c r="BB91" s="3492">
        <f t="shared" si="100"/>
        <v>6773500.408798838</v>
      </c>
      <c r="BC91" s="3492">
        <f t="shared" si="100"/>
        <v>7466500.0266224667</v>
      </c>
      <c r="BD91" s="3492">
        <f t="shared" si="100"/>
        <v>8287000.0277938545</v>
      </c>
      <c r="BE91" s="3492"/>
      <c r="BF91" s="3492"/>
      <c r="BG91" s="3492"/>
      <c r="BH91" s="3492"/>
      <c r="BI91" s="3496"/>
      <c r="BJ91" s="3496"/>
      <c r="BK91" s="3496"/>
    </row>
    <row r="92" spans="1:63" s="3497" customFormat="1">
      <c r="A92" s="3490" t="s">
        <v>147</v>
      </c>
      <c r="B92" s="3491" t="s">
        <v>2002</v>
      </c>
      <c r="C92" s="3492">
        <f t="shared" ref="C92:P92" si="101">C12</f>
        <v>1037.3321739999999</v>
      </c>
      <c r="D92" s="3492">
        <f t="shared" si="101"/>
        <v>580</v>
      </c>
      <c r="E92" s="3492">
        <f t="shared" si="101"/>
        <v>630</v>
      </c>
      <c r="F92" s="3492">
        <f t="shared" si="101"/>
        <v>2440</v>
      </c>
      <c r="G92" s="3492">
        <f t="shared" si="101"/>
        <v>780</v>
      </c>
      <c r="H92" s="3492">
        <f t="shared" si="101"/>
        <v>3761</v>
      </c>
      <c r="I92" s="3492"/>
      <c r="J92" s="3493">
        <f t="shared" si="94"/>
        <v>0.59576463082611464</v>
      </c>
      <c r="K92" s="3492">
        <f t="shared" si="101"/>
        <v>8028.6076819999998</v>
      </c>
      <c r="L92" s="3492">
        <f t="shared" si="101"/>
        <v>7377.2642779999996</v>
      </c>
      <c r="M92" s="3492">
        <f t="shared" si="101"/>
        <v>17351.560365000001</v>
      </c>
      <c r="N92" s="3492">
        <f t="shared" si="101"/>
        <v>25825.109232999999</v>
      </c>
      <c r="O92" s="3492">
        <f t="shared" si="101"/>
        <v>69494</v>
      </c>
      <c r="P92" s="3492">
        <f t="shared" si="101"/>
        <v>128076.541558</v>
      </c>
      <c r="Q92" s="3494">
        <f t="shared" si="87"/>
        <v>0.71524739460908648</v>
      </c>
      <c r="R92" s="3494">
        <f t="shared" si="76"/>
        <v>5.680798476181961E-3</v>
      </c>
      <c r="S92" s="3492">
        <f t="shared" ref="S92:Z92" si="102">S12</f>
        <v>61938</v>
      </c>
      <c r="T92" s="3492">
        <f t="shared" si="102"/>
        <v>49785</v>
      </c>
      <c r="U92" s="3492"/>
      <c r="V92" s="3492">
        <f t="shared" si="102"/>
        <v>35833</v>
      </c>
      <c r="W92" s="3492">
        <f t="shared" si="102"/>
        <v>33000</v>
      </c>
      <c r="X92" s="3492">
        <f t="shared" si="102"/>
        <v>76845</v>
      </c>
      <c r="Y92" s="3492">
        <f t="shared" si="102"/>
        <v>60000</v>
      </c>
      <c r="Z92" s="3492">
        <f t="shared" si="102"/>
        <v>110158.9</v>
      </c>
      <c r="AA92" s="3492">
        <f t="shared" si="78"/>
        <v>427559.9</v>
      </c>
      <c r="AB92" s="3494"/>
      <c r="AC92" s="3494"/>
      <c r="AD92" s="3494">
        <f t="shared" si="79"/>
        <v>2.338315469787867</v>
      </c>
      <c r="AE92" s="3495">
        <f t="shared" ref="AE92:AR92" si="103">AE12</f>
        <v>70000</v>
      </c>
      <c r="AF92" s="3492">
        <f t="shared" si="103"/>
        <v>70477</v>
      </c>
      <c r="AG92" s="3492">
        <f t="shared" si="103"/>
        <v>74000</v>
      </c>
      <c r="AH92" s="3492">
        <f t="shared" si="103"/>
        <v>74729.223614999995</v>
      </c>
      <c r="AI92" s="3492"/>
      <c r="AJ92" s="3492"/>
      <c r="AK92" s="3492"/>
      <c r="AL92" s="3492"/>
      <c r="AM92" s="3492"/>
      <c r="AN92" s="3492"/>
      <c r="AO92" s="3492">
        <f t="shared" si="103"/>
        <v>70000</v>
      </c>
      <c r="AP92" s="3492"/>
      <c r="AQ92" s="3492">
        <f t="shared" si="103"/>
        <v>75000</v>
      </c>
      <c r="AR92" s="3492">
        <f t="shared" si="103"/>
        <v>100000</v>
      </c>
      <c r="AS92" s="3492"/>
      <c r="AT92" s="3492"/>
      <c r="AU92" s="3492"/>
      <c r="AV92" s="3492">
        <f t="shared" si="81"/>
        <v>464206.22361500002</v>
      </c>
      <c r="AW92" s="3494"/>
      <c r="AX92" s="3494">
        <f t="shared" si="82"/>
        <v>9.4875999234181659E-3</v>
      </c>
      <c r="AY92" s="3494">
        <f t="shared" si="83"/>
        <v>8.571038494255423E-2</v>
      </c>
      <c r="AZ92" s="3492">
        <f t="shared" ref="AZ92:BD92" si="104">AZ12</f>
        <v>110000</v>
      </c>
      <c r="BA92" s="3492">
        <f t="shared" si="104"/>
        <v>120000</v>
      </c>
      <c r="BB92" s="3492">
        <f t="shared" si="104"/>
        <v>130000</v>
      </c>
      <c r="BC92" s="3492">
        <f t="shared" si="104"/>
        <v>140000</v>
      </c>
      <c r="BD92" s="3492">
        <f t="shared" si="104"/>
        <v>153000</v>
      </c>
      <c r="BE92" s="3492"/>
      <c r="BF92" s="3492"/>
      <c r="BG92" s="3492"/>
      <c r="BH92" s="3492"/>
      <c r="BI92" s="3496"/>
      <c r="BJ92" s="3496"/>
      <c r="BK92" s="3496"/>
    </row>
    <row r="93" spans="1:63" s="3425" customFormat="1">
      <c r="A93" s="3426">
        <v>8</v>
      </c>
      <c r="B93" s="3370" t="s">
        <v>2003</v>
      </c>
      <c r="C93" s="3326">
        <f>C85/C85</f>
        <v>1</v>
      </c>
      <c r="D93" s="3326">
        <f>D85/D85</f>
        <v>1</v>
      </c>
      <c r="E93" s="3326">
        <f t="shared" ref="E93:K93" si="105">E85/E85</f>
        <v>1</v>
      </c>
      <c r="F93" s="3326">
        <f t="shared" si="105"/>
        <v>1</v>
      </c>
      <c r="G93" s="3326">
        <f t="shared" si="105"/>
        <v>1</v>
      </c>
      <c r="H93" s="3326">
        <f t="shared" si="105"/>
        <v>1</v>
      </c>
      <c r="I93" s="3501"/>
      <c r="J93" s="3471"/>
      <c r="K93" s="3326">
        <f t="shared" si="105"/>
        <v>1</v>
      </c>
      <c r="L93" s="3326">
        <f>L85/L85</f>
        <v>1</v>
      </c>
      <c r="M93" s="3326">
        <f>M85/M85</f>
        <v>1</v>
      </c>
      <c r="N93" s="3326">
        <f>N85/N85</f>
        <v>1</v>
      </c>
      <c r="O93" s="3326">
        <f>O85/O85</f>
        <v>1</v>
      </c>
      <c r="P93" s="3320"/>
      <c r="Q93" s="3321"/>
      <c r="R93" s="3321">
        <f>AVERAGE(K93:O93)</f>
        <v>1</v>
      </c>
      <c r="S93" s="3326">
        <f t="shared" ref="S93:Z93" si="106">S85/S85</f>
        <v>1</v>
      </c>
      <c r="T93" s="3326">
        <f t="shared" si="106"/>
        <v>1</v>
      </c>
      <c r="U93" s="3326"/>
      <c r="V93" s="3326">
        <f t="shared" si="106"/>
        <v>1</v>
      </c>
      <c r="W93" s="3326">
        <f t="shared" si="106"/>
        <v>1</v>
      </c>
      <c r="X93" s="3326">
        <f t="shared" si="106"/>
        <v>1</v>
      </c>
      <c r="Y93" s="3326">
        <f t="shared" si="106"/>
        <v>1</v>
      </c>
      <c r="Z93" s="3326">
        <f t="shared" si="106"/>
        <v>1</v>
      </c>
      <c r="AA93" s="3326"/>
      <c r="AB93" s="3326"/>
      <c r="AC93" s="3321"/>
      <c r="AD93" s="3321"/>
      <c r="AE93" s="3427">
        <f t="shared" ref="AE93:AR93" si="107">AE85/AE85</f>
        <v>1</v>
      </c>
      <c r="AF93" s="3326">
        <f t="shared" si="107"/>
        <v>1</v>
      </c>
      <c r="AG93" s="3326">
        <f t="shared" si="107"/>
        <v>1</v>
      </c>
      <c r="AH93" s="3326">
        <f t="shared" si="107"/>
        <v>1</v>
      </c>
      <c r="AI93" s="3326"/>
      <c r="AJ93" s="3326"/>
      <c r="AK93" s="3326"/>
      <c r="AL93" s="3326"/>
      <c r="AM93" s="3326"/>
      <c r="AN93" s="3326"/>
      <c r="AO93" s="3326">
        <f t="shared" si="107"/>
        <v>1</v>
      </c>
      <c r="AP93" s="3326"/>
      <c r="AQ93" s="3326">
        <f t="shared" si="107"/>
        <v>1</v>
      </c>
      <c r="AR93" s="3326">
        <f t="shared" si="107"/>
        <v>1</v>
      </c>
      <c r="AS93" s="3326"/>
      <c r="AT93" s="3326"/>
      <c r="AU93" s="3326"/>
      <c r="AV93" s="3326"/>
      <c r="AW93" s="3321"/>
      <c r="AX93" s="3321">
        <f>AVERAGE(AO93:AR93)</f>
        <v>1</v>
      </c>
      <c r="AY93" s="3321"/>
      <c r="AZ93" s="3326">
        <f t="shared" ref="AZ93" si="108">AZ85/AZ85</f>
        <v>1</v>
      </c>
      <c r="BA93" s="3326">
        <f>BA85/BA85</f>
        <v>1</v>
      </c>
      <c r="BB93" s="3326">
        <f t="shared" ref="BB93:BD93" si="109">BB85/BB85</f>
        <v>1</v>
      </c>
      <c r="BC93" s="3326">
        <f t="shared" si="109"/>
        <v>1</v>
      </c>
      <c r="BD93" s="3326">
        <f t="shared" si="109"/>
        <v>1</v>
      </c>
      <c r="BE93" s="3326"/>
      <c r="BF93" s="3326"/>
      <c r="BG93" s="3326"/>
      <c r="BH93" s="3326"/>
      <c r="BI93" s="3502"/>
      <c r="BJ93" s="3502"/>
      <c r="BK93" s="3502"/>
    </row>
    <row r="94" spans="1:63" s="817" customFormat="1">
      <c r="A94" s="3437" t="s">
        <v>99</v>
      </c>
      <c r="B94" s="1328" t="s">
        <v>1998</v>
      </c>
      <c r="C94" s="3503">
        <f>C86/C85</f>
        <v>0.42531289671957501</v>
      </c>
      <c r="D94" s="3503">
        <f>D86/D85</f>
        <v>0.41284728480572652</v>
      </c>
      <c r="E94" s="3503">
        <f t="shared" ref="E94:K94" si="110">E86/E85</f>
        <v>0.47223905651330372</v>
      </c>
      <c r="F94" s="3503">
        <f t="shared" si="110"/>
        <v>0.35505524652288328</v>
      </c>
      <c r="G94" s="3503">
        <f t="shared" si="110"/>
        <v>0.44651698095218639</v>
      </c>
      <c r="H94" s="3441">
        <f t="shared" si="110"/>
        <v>0.45876073920121657</v>
      </c>
      <c r="I94" s="3468"/>
      <c r="J94" s="3468"/>
      <c r="K94" s="3441">
        <f t="shared" si="110"/>
        <v>0.44692880701524185</v>
      </c>
      <c r="L94" s="3441">
        <f>L86/L85</f>
        <v>0.45866303310692969</v>
      </c>
      <c r="M94" s="3441">
        <f>M86/M85</f>
        <v>0.46542654134959488</v>
      </c>
      <c r="N94" s="3441">
        <f>N86/N85</f>
        <v>0.50990106520952494</v>
      </c>
      <c r="O94" s="3441">
        <f>O86/O85</f>
        <v>0.5847333610694736</v>
      </c>
      <c r="P94" s="3441"/>
      <c r="Q94" s="3441"/>
      <c r="R94" s="3441">
        <f>AVERAGE(K94:O94)</f>
        <v>0.49313056155015306</v>
      </c>
      <c r="S94" s="3441">
        <f>S86/S85</f>
        <v>0.64891308757574651</v>
      </c>
      <c r="T94" s="3441">
        <f>T86/T85</f>
        <v>0.58507083191525511</v>
      </c>
      <c r="U94" s="3441"/>
      <c r="V94" s="3441">
        <f>V86/V85</f>
        <v>0.52424501723113892</v>
      </c>
      <c r="W94" s="3441"/>
      <c r="X94" s="3441">
        <f>X86/X85</f>
        <v>0.51393687365416063</v>
      </c>
      <c r="Y94" s="3441"/>
      <c r="Z94" s="3441">
        <f>Z86/Z85</f>
        <v>0.54025461614406278</v>
      </c>
      <c r="AA94" s="3441"/>
      <c r="AB94" s="3441"/>
      <c r="AC94" s="3441"/>
      <c r="AD94" s="3441"/>
      <c r="AE94" s="3443"/>
      <c r="AF94" s="3441">
        <f>AF86/AF85</f>
        <v>0.43358606996569948</v>
      </c>
      <c r="AG94" s="3441"/>
      <c r="AH94" s="3441">
        <f>AH86/AH85</f>
        <v>0.41759024172499359</v>
      </c>
      <c r="AI94" s="3441"/>
      <c r="AJ94" s="3441"/>
      <c r="AK94" s="3441"/>
      <c r="AL94" s="3441"/>
      <c r="AM94" s="3441"/>
      <c r="AN94" s="3441"/>
      <c r="AO94" s="3441">
        <f>AO86/AO85</f>
        <v>0.48748353096179181</v>
      </c>
      <c r="AP94" s="3441"/>
      <c r="AQ94" s="3441">
        <f>AQ86/AQ85</f>
        <v>0.38258148068206344</v>
      </c>
      <c r="AR94" s="3441">
        <f>AR86/AR85</f>
        <v>0.47744155898966478</v>
      </c>
      <c r="AS94" s="3441"/>
      <c r="AT94" s="3441"/>
      <c r="AU94" s="3441"/>
      <c r="AV94" s="3441"/>
      <c r="AW94" s="3441"/>
      <c r="AX94" s="3441">
        <f>AVERAGE(AO94:AR94)</f>
        <v>0.44916885687784003</v>
      </c>
      <c r="AY94" s="3441"/>
      <c r="AZ94" s="3441">
        <f>AZ86/AZ85</f>
        <v>0.47558655675332911</v>
      </c>
      <c r="BA94" s="3441">
        <f>BA86/BA85</f>
        <v>0.47168231287711571</v>
      </c>
      <c r="BB94" s="3441">
        <f>BB86/BB85</f>
        <v>0.4645751588073227</v>
      </c>
      <c r="BC94" s="3441">
        <f>BC86/BC85</f>
        <v>0.45518031643318962</v>
      </c>
      <c r="BD94" s="3441">
        <f>BD86/BD85</f>
        <v>0.44473684129204272</v>
      </c>
      <c r="BE94" s="3441"/>
      <c r="BF94" s="3441"/>
      <c r="BG94" s="3441"/>
      <c r="BH94" s="3441"/>
      <c r="BI94" s="3470"/>
      <c r="BJ94" s="3470"/>
      <c r="BK94" s="3470"/>
    </row>
    <row r="95" spans="1:63" s="817" customFormat="1">
      <c r="A95" s="3437" t="s">
        <v>101</v>
      </c>
      <c r="B95" s="1328" t="s">
        <v>2001</v>
      </c>
      <c r="C95" s="3503">
        <f t="shared" ref="C95:K95" si="111">C91/C85</f>
        <v>0.57386890841183147</v>
      </c>
      <c r="D95" s="3503">
        <f t="shared" si="111"/>
        <v>0.58677935988876584</v>
      </c>
      <c r="E95" s="3503">
        <f t="shared" si="111"/>
        <v>0.52751327728851483</v>
      </c>
      <c r="F95" s="3503">
        <f t="shared" si="111"/>
        <v>0.64397040207968115</v>
      </c>
      <c r="G95" s="3503">
        <f t="shared" si="111"/>
        <v>0.55321742565087406</v>
      </c>
      <c r="H95" s="3441">
        <f t="shared" si="111"/>
        <v>0.54029202687533373</v>
      </c>
      <c r="I95" s="3468"/>
      <c r="J95" s="3468"/>
      <c r="K95" s="3441">
        <f t="shared" si="111"/>
        <v>0.55113952398582899</v>
      </c>
      <c r="L95" s="3441">
        <f>L91/L85</f>
        <v>0.53970434269120615</v>
      </c>
      <c r="M95" s="3441">
        <f>M91/M85</f>
        <v>0.53078753913306853</v>
      </c>
      <c r="N95" s="3441">
        <f>N91/N85</f>
        <v>0.48381914711272295</v>
      </c>
      <c r="O95" s="3441">
        <f>O91/O85</f>
        <v>0.40183773507683251</v>
      </c>
      <c r="P95" s="3441"/>
      <c r="Q95" s="3441"/>
      <c r="R95" s="3441">
        <f>AVERAGE(K95:O95)</f>
        <v>0.50145765759993177</v>
      </c>
      <c r="S95" s="3441">
        <f>S91/S85</f>
        <v>0.3413094600458832</v>
      </c>
      <c r="T95" s="3441">
        <f>T91/T85</f>
        <v>0.40766340202183421</v>
      </c>
      <c r="U95" s="3441"/>
      <c r="V95" s="3441">
        <f>V91/V85</f>
        <v>0.47062415841765626</v>
      </c>
      <c r="W95" s="3441"/>
      <c r="X95" s="3441">
        <f>X91/X85</f>
        <v>0.47730188063796053</v>
      </c>
      <c r="Y95" s="3441"/>
      <c r="Z95" s="3441">
        <f>Z91/Z85</f>
        <v>0.44667917647531619</v>
      </c>
      <c r="AA95" s="3441"/>
      <c r="AB95" s="3441"/>
      <c r="AC95" s="3441"/>
      <c r="AD95" s="3441"/>
      <c r="AE95" s="3443"/>
      <c r="AF95" s="3441">
        <f>AF91/AF85</f>
        <v>0.55664351408355617</v>
      </c>
      <c r="AG95" s="3441"/>
      <c r="AH95" s="3441">
        <f>AH91/AH85</f>
        <v>0.57292285590820857</v>
      </c>
      <c r="AI95" s="3441"/>
      <c r="AJ95" s="3441"/>
      <c r="AK95" s="3441"/>
      <c r="AL95" s="3441"/>
      <c r="AM95" s="3441"/>
      <c r="AN95" s="3441"/>
      <c r="AO95" s="3441">
        <f>AO91/AO85</f>
        <v>0.50329380764163378</v>
      </c>
      <c r="AP95" s="3441"/>
      <c r="AQ95" s="3441">
        <f>AQ91/AQ85</f>
        <v>0.60932441182818908</v>
      </c>
      <c r="AR95" s="3441">
        <f>AR91/AR85</f>
        <v>0.51271834231886859</v>
      </c>
      <c r="AS95" s="3441"/>
      <c r="AT95" s="3441"/>
      <c r="AU95" s="3441"/>
      <c r="AV95" s="3441"/>
      <c r="AW95" s="3441"/>
      <c r="AX95" s="3441">
        <f>AVERAGE(AO95:AR95)</f>
        <v>0.54177885392956382</v>
      </c>
      <c r="AY95" s="3441"/>
      <c r="AZ95" s="3441">
        <f>AZ91/AZ85</f>
        <v>0.51444877253374399</v>
      </c>
      <c r="BA95" s="3441">
        <f>BA91/BA85</f>
        <v>0.51826406766546795</v>
      </c>
      <c r="BB95" s="3441">
        <f>BB91/BB85</f>
        <v>0.52534224175278554</v>
      </c>
      <c r="BC95" s="3441">
        <f>BC91/BC85</f>
        <v>0.53479210775238917</v>
      </c>
      <c r="BD95" s="3441">
        <f>BD91/BD85</f>
        <v>0.54519736925267881</v>
      </c>
      <c r="BE95" s="3441"/>
      <c r="BF95" s="3441"/>
      <c r="BG95" s="3441"/>
      <c r="BH95" s="3441"/>
      <c r="BI95" s="3470"/>
      <c r="BJ95" s="3470"/>
      <c r="BK95" s="3470"/>
    </row>
    <row r="96" spans="1:63" s="817" customFormat="1">
      <c r="A96" s="3437" t="s">
        <v>147</v>
      </c>
      <c r="B96" s="1328" t="s">
        <v>2002</v>
      </c>
      <c r="C96" s="3503">
        <f t="shared" ref="C96:K96" si="112">C92/C85</f>
        <v>8.1819486859354654E-4</v>
      </c>
      <c r="D96" s="3503">
        <f t="shared" si="112"/>
        <v>3.7335530550763446E-4</v>
      </c>
      <c r="E96" s="3503">
        <f t="shared" si="112"/>
        <v>2.4766619818145287E-4</v>
      </c>
      <c r="F96" s="3503">
        <f t="shared" si="112"/>
        <v>9.7435139743553905E-4</v>
      </c>
      <c r="G96" s="3503">
        <f t="shared" si="112"/>
        <v>2.6559339693954688E-4</v>
      </c>
      <c r="H96" s="3441">
        <f t="shared" si="112"/>
        <v>9.4723392344959654E-4</v>
      </c>
      <c r="I96" s="3468"/>
      <c r="J96" s="3468"/>
      <c r="K96" s="3441">
        <f t="shared" si="112"/>
        <v>1.9316689989292092E-3</v>
      </c>
      <c r="L96" s="3441">
        <f>L92/L85</f>
        <v>1.6326242018641606E-3</v>
      </c>
      <c r="M96" s="3441">
        <f>M92/M85</f>
        <v>3.785919517336657E-3</v>
      </c>
      <c r="N96" s="3441">
        <f>N92/N85</f>
        <v>6.2797876777521428E-3</v>
      </c>
      <c r="O96" s="3441">
        <f>O92/O85</f>
        <v>1.3428903853693858E-2</v>
      </c>
      <c r="P96" s="3441"/>
      <c r="Q96" s="3441"/>
      <c r="R96" s="3441">
        <f>AVERAGE(K96:O96)</f>
        <v>5.4117808499152056E-3</v>
      </c>
      <c r="S96" s="3441">
        <f>S92/S85</f>
        <v>9.7774523783702629E-3</v>
      </c>
      <c r="T96" s="3441">
        <f>T92/T85</f>
        <v>7.2657660629107199E-3</v>
      </c>
      <c r="U96" s="3441"/>
      <c r="V96" s="3441">
        <f>V92/V85</f>
        <v>5.1308243512048048E-3</v>
      </c>
      <c r="W96" s="3441"/>
      <c r="X96" s="3441">
        <f>X92/X85</f>
        <v>8.7612457078788952E-3</v>
      </c>
      <c r="Y96" s="3441"/>
      <c r="Z96" s="3441">
        <f>Z92/Z85</f>
        <v>1.3066207380621041E-2</v>
      </c>
      <c r="AA96" s="3441"/>
      <c r="AB96" s="3441"/>
      <c r="AC96" s="3441"/>
      <c r="AD96" s="3441"/>
      <c r="AE96" s="3443"/>
      <c r="AF96" s="3441">
        <f>AF92/AF85</f>
        <v>9.770415950744361E-3</v>
      </c>
      <c r="AG96" s="3441"/>
      <c r="AH96" s="3441">
        <f>AH92/AH85</f>
        <v>9.4869023667977885E-3</v>
      </c>
      <c r="AI96" s="3441"/>
      <c r="AJ96" s="3441"/>
      <c r="AK96" s="3441"/>
      <c r="AL96" s="3441"/>
      <c r="AM96" s="3441"/>
      <c r="AN96" s="3441"/>
      <c r="AO96" s="3441">
        <f>AO92/AO85</f>
        <v>9.22266139657444E-3</v>
      </c>
      <c r="AP96" s="3441"/>
      <c r="AQ96" s="3441">
        <f>AQ92/AQ85</f>
        <v>8.0941074897474645E-3</v>
      </c>
      <c r="AR96" s="3441">
        <f>AR92/AR85</f>
        <v>9.840098691466629E-3</v>
      </c>
      <c r="AS96" s="3441"/>
      <c r="AT96" s="3441"/>
      <c r="AU96" s="3441"/>
      <c r="AV96" s="3441"/>
      <c r="AW96" s="3441"/>
      <c r="AX96" s="3441">
        <f>AVERAGE(AO96:AR96)</f>
        <v>9.0522891925961784E-3</v>
      </c>
      <c r="AY96" s="3441"/>
      <c r="AZ96" s="3441">
        <f>AZ92/AZ85</f>
        <v>9.9646707129268947E-3</v>
      </c>
      <c r="BA96" s="3441">
        <f>BA92/BA85</f>
        <v>1.005361945741632E-2</v>
      </c>
      <c r="BB96" s="3441">
        <f>BB92/BB85</f>
        <v>1.0082599439891812E-2</v>
      </c>
      <c r="BC96" s="3441">
        <f>BC92/BC85</f>
        <v>1.0027575814421172E-2</v>
      </c>
      <c r="BD96" s="3441">
        <f>BD92/BD85</f>
        <v>1.0065789455278482E-2</v>
      </c>
      <c r="BE96" s="3441"/>
      <c r="BF96" s="3441"/>
      <c r="BG96" s="3441"/>
      <c r="BH96" s="3441"/>
      <c r="BI96" s="3470"/>
      <c r="BJ96" s="3470"/>
      <c r="BK96" s="3470"/>
    </row>
    <row r="97" spans="1:63" s="3508" customFormat="1">
      <c r="A97" s="3504">
        <v>9</v>
      </c>
      <c r="B97" s="3154" t="s">
        <v>2004</v>
      </c>
      <c r="C97" s="3154"/>
      <c r="D97" s="3327"/>
      <c r="E97" s="3327"/>
      <c r="F97" s="3327"/>
      <c r="G97" s="3327"/>
      <c r="H97" s="3329"/>
      <c r="I97" s="3505"/>
      <c r="J97" s="3505">
        <f>(D97*E97*F97*G97*H97)^(1/5)-1</f>
        <v>-1</v>
      </c>
      <c r="K97" s="3329">
        <f>K7/H7</f>
        <v>1.046794510256291</v>
      </c>
      <c r="L97" s="3329">
        <f>L7/K7</f>
        <v>1.0871803262801722</v>
      </c>
      <c r="M97" s="3329">
        <f>M7/L7</f>
        <v>1.0142804314364227</v>
      </c>
      <c r="N97" s="3329">
        <f>N7/M7</f>
        <v>0.89728425830443836</v>
      </c>
      <c r="O97" s="3329">
        <f>O7/N7</f>
        <v>1.2583734267412459</v>
      </c>
      <c r="P97" s="3329"/>
      <c r="Q97" s="3329">
        <f>(K97*L97*M97*N97*O97)^(1/5)-1</f>
        <v>5.441634872072143E-2</v>
      </c>
      <c r="R97" s="3329"/>
      <c r="S97" s="3329">
        <f>S7/O7</f>
        <v>1.2241220555069345</v>
      </c>
      <c r="T97" s="3329">
        <f>T7/S7</f>
        <v>1.0816472050564037</v>
      </c>
      <c r="U97" s="3329"/>
      <c r="V97" s="3329">
        <f>V7/T7</f>
        <v>1.0192457788942084</v>
      </c>
      <c r="W97" s="3329"/>
      <c r="X97" s="3329">
        <f>X7/V7</f>
        <v>1.2558961595494074</v>
      </c>
      <c r="Y97" s="3329"/>
      <c r="Z97" s="3329">
        <f>Z7/X7</f>
        <v>0.96121444581144755</v>
      </c>
      <c r="AA97" s="3329"/>
      <c r="AB97" s="3329">
        <f>(S97*T97*V97*X97*Z97)^(1/5)-1</f>
        <v>0.1025356971451945</v>
      </c>
      <c r="AC97" s="3329"/>
      <c r="AD97" s="3329"/>
      <c r="AE97" s="3506"/>
      <c r="AF97" s="3329">
        <f>AF7/Z7</f>
        <v>0.85558726617529812</v>
      </c>
      <c r="AG97" s="3329"/>
      <c r="AH97" s="3329">
        <f>AH7/AF7</f>
        <v>1.0920227424960205</v>
      </c>
      <c r="AI97" s="3329"/>
      <c r="AJ97" s="3329"/>
      <c r="AK97" s="3329"/>
      <c r="AL97" s="3329"/>
      <c r="AM97" s="3329"/>
      <c r="AN97" s="3329"/>
      <c r="AO97" s="3329">
        <f>AO7/AH7</f>
        <v>0.9635532858599366</v>
      </c>
      <c r="AP97" s="3329"/>
      <c r="AQ97" s="3329">
        <f>AQ7/AO7</f>
        <v>1.2208168642951251</v>
      </c>
      <c r="AR97" s="3329">
        <f>AR7/AQ7</f>
        <v>1.0967515324843513</v>
      </c>
      <c r="AS97" s="3329"/>
      <c r="AT97" s="3329"/>
      <c r="AU97" s="3329"/>
      <c r="AV97" s="3329"/>
      <c r="AW97" s="3329">
        <f>(AO97*AQ97*AR97*AF97*AH97)^(1/5)-1</f>
        <v>3.8068709737854922E-2</v>
      </c>
      <c r="AX97" s="3329"/>
      <c r="AY97" s="3329"/>
      <c r="AZ97" s="3329">
        <f>AZ7/AR7</f>
        <v>1.0862484945510011</v>
      </c>
      <c r="BA97" s="3329">
        <f>BA7/AZ7</f>
        <v>1.0812573436553312</v>
      </c>
      <c r="BB97" s="3329">
        <f>BB7/BA7</f>
        <v>1.080219554867544</v>
      </c>
      <c r="BC97" s="3329">
        <f>BC7/BB7</f>
        <v>1.0828324026805629</v>
      </c>
      <c r="BD97" s="3329">
        <f>BD7/BC7</f>
        <v>1.0887082332707629</v>
      </c>
      <c r="BE97" s="3329"/>
      <c r="BF97" s="3331">
        <f>(AZ97*BA97*BB97*BC97*BD97)^(1/5)-1</f>
        <v>8.3848569109363336E-2</v>
      </c>
      <c r="BG97" s="3329"/>
      <c r="BH97" s="3329"/>
      <c r="BI97" s="3507"/>
      <c r="BJ97" s="3507"/>
      <c r="BK97" s="3507"/>
    </row>
    <row r="98" spans="1:63" s="817" customFormat="1">
      <c r="A98" s="3437" t="s">
        <v>99</v>
      </c>
      <c r="B98" s="1328" t="s">
        <v>1998</v>
      </c>
      <c r="C98" s="1328"/>
      <c r="D98" s="3503"/>
      <c r="E98" s="3503"/>
      <c r="F98" s="3503"/>
      <c r="G98" s="3503"/>
      <c r="H98" s="3441"/>
      <c r="I98" s="3468"/>
      <c r="J98" s="3468">
        <f>(D98*E98*F98*G98*H98)^(1/5)-1</f>
        <v>-1</v>
      </c>
      <c r="K98" s="3441">
        <f>K86/H86</f>
        <v>1.0197965555499475</v>
      </c>
      <c r="L98" s="3441">
        <f>L86/K86</f>
        <v>1.1157245139690437</v>
      </c>
      <c r="M98" s="3441">
        <f>M86/L86</f>
        <v>1.0292371503416389</v>
      </c>
      <c r="N98" s="3441">
        <f>N86/M86</f>
        <v>0.9830255871925252</v>
      </c>
      <c r="O98" s="3441">
        <f>O86/N86</f>
        <v>1.4430503748733388</v>
      </c>
      <c r="P98" s="3441"/>
      <c r="Q98" s="3441">
        <f>(K98*L98*M98*N98*O98)^(1/5)-1</f>
        <v>0.1068441060267149</v>
      </c>
      <c r="R98" s="3441"/>
      <c r="S98" s="3441">
        <f>S86/O86</f>
        <v>1.3584804211542083</v>
      </c>
      <c r="T98" s="3441">
        <f>T86/S86</f>
        <v>0.97523110909254118</v>
      </c>
      <c r="U98" s="3441"/>
      <c r="V98" s="3441">
        <f>V86/T86</f>
        <v>0.91328176311574516</v>
      </c>
      <c r="W98" s="3441"/>
      <c r="X98" s="3441">
        <f>X86/V86</f>
        <v>1.231201679859764</v>
      </c>
      <c r="Y98" s="3441"/>
      <c r="Z98" s="3441">
        <f>Z86/X86</f>
        <v>1.0104364331006155</v>
      </c>
      <c r="AA98" s="3441"/>
      <c r="AB98" s="3441">
        <f>(S98*T98*V98*X98*Z98)^(1/5)-1</f>
        <v>8.5227480086591756E-2</v>
      </c>
      <c r="AC98" s="3441"/>
      <c r="AD98" s="3441"/>
      <c r="AE98" s="3443"/>
      <c r="AF98" s="3441">
        <f>AF86/Z86</f>
        <v>0.68665904773078767</v>
      </c>
      <c r="AG98" s="3441"/>
      <c r="AH98" s="3441">
        <f>AH86/AF86</f>
        <v>1.0517359126509269</v>
      </c>
      <c r="AI98" s="3441"/>
      <c r="AJ98" s="3441"/>
      <c r="AK98" s="3441"/>
      <c r="AL98" s="3441"/>
      <c r="AM98" s="3441"/>
      <c r="AN98" s="3441"/>
      <c r="AO98" s="3441">
        <f>AO86/AH86</f>
        <v>1.1248259923903419</v>
      </c>
      <c r="AP98" s="3441"/>
      <c r="AQ98" s="3441">
        <f>AQ86/AO86</f>
        <v>0.95810810810810809</v>
      </c>
      <c r="AR98" s="3441">
        <f>AR86/AQ86</f>
        <v>1.368688208744711</v>
      </c>
      <c r="AS98" s="3441"/>
      <c r="AT98" s="3441"/>
      <c r="AU98" s="3441"/>
      <c r="AV98" s="3441"/>
      <c r="AW98" s="3441">
        <f>(AO98*AQ98*AR98*AF98*AH98)^(1/5)-1</f>
        <v>1.2722472227807646E-2</v>
      </c>
      <c r="AX98" s="3441"/>
      <c r="AY98" s="3441"/>
      <c r="AZ98" s="3441">
        <f>AZ86/AR86</f>
        <v>1.0820280965804676</v>
      </c>
      <c r="BA98" s="3441">
        <f>BA86/AZ86</f>
        <v>1.0723809523809524</v>
      </c>
      <c r="BB98" s="3441">
        <f>BB86/BA86</f>
        <v>1.0639431616341031</v>
      </c>
      <c r="BC98" s="3441">
        <f>BC86/BB86</f>
        <v>1.0609348914858097</v>
      </c>
      <c r="BD98" s="3441">
        <f>BD86/BC86</f>
        <v>1.0637293469708891</v>
      </c>
      <c r="BE98" s="3441"/>
      <c r="BF98" s="3469">
        <f t="shared" ref="BF98:BF102" si="113">(AZ98*BA98*BB98*BC98*BD98)^(1/5)-1</f>
        <v>6.857543489854323E-2</v>
      </c>
      <c r="BG98" s="3441"/>
      <c r="BH98" s="3441"/>
      <c r="BI98" s="3470"/>
      <c r="BJ98" s="3470"/>
      <c r="BK98" s="3470"/>
    </row>
    <row r="99" spans="1:63" s="817" customFormat="1">
      <c r="A99" s="3437" t="s">
        <v>101</v>
      </c>
      <c r="B99" s="1328" t="s">
        <v>2001</v>
      </c>
      <c r="C99" s="1328"/>
      <c r="D99" s="3503"/>
      <c r="E99" s="3503"/>
      <c r="F99" s="3503"/>
      <c r="G99" s="3503"/>
      <c r="H99" s="3441"/>
      <c r="I99" s="3468"/>
      <c r="J99" s="3468">
        <f>(D99*E99*F99*G99*H99)^(1/5)-1</f>
        <v>-1</v>
      </c>
      <c r="K99" s="3441">
        <f>K91/H91</f>
        <v>1.0678111084299808</v>
      </c>
      <c r="L99" s="3441">
        <f t="shared" ref="L99:O100" si="114">L91/K91</f>
        <v>1.0646232357615095</v>
      </c>
      <c r="M99" s="3441">
        <f t="shared" si="114"/>
        <v>0.99752285021170328</v>
      </c>
      <c r="N99" s="3441">
        <f t="shared" si="114"/>
        <v>0.81788526022968822</v>
      </c>
      <c r="O99" s="3441">
        <f t="shared" si="114"/>
        <v>1.045146581527834</v>
      </c>
      <c r="P99" s="3441"/>
      <c r="Q99" s="3441">
        <f>(K99*L99*M99*N99*O99)^(1/5)-1</f>
        <v>-6.205559772676783E-3</v>
      </c>
      <c r="R99" s="3441"/>
      <c r="S99" s="3441">
        <f>S91/O91</f>
        <v>1.0397342044431022</v>
      </c>
      <c r="T99" s="3441">
        <f>T91/S91</f>
        <v>1.2919301426377814</v>
      </c>
      <c r="U99" s="3441"/>
      <c r="V99" s="3441">
        <f>V91/T91</f>
        <v>1.1766611487168619</v>
      </c>
      <c r="W99" s="3441"/>
      <c r="X99" s="3441">
        <f>X91/V91</f>
        <v>1.2737161663234227</v>
      </c>
      <c r="Y99" s="3441"/>
      <c r="Z99" s="3441">
        <f>Z91/X91</f>
        <v>0.89954490960178213</v>
      </c>
      <c r="AA99" s="3441"/>
      <c r="AB99" s="3441">
        <f>(S99*T99*V99*X99*Z99)^(1/5)-1</f>
        <v>0.12611218450346207</v>
      </c>
      <c r="AC99" s="3441"/>
      <c r="AD99" s="3441"/>
      <c r="AE99" s="3443"/>
      <c r="AF99" s="3441">
        <f>AF91/Z91</f>
        <v>1.0662173827019206</v>
      </c>
      <c r="AG99" s="3441"/>
      <c r="AH99" s="3441">
        <f>AH91/AF91</f>
        <v>1.1239595405644491</v>
      </c>
      <c r="AI99" s="3441"/>
      <c r="AJ99" s="3441"/>
      <c r="AK99" s="3441"/>
      <c r="AL99" s="3441"/>
      <c r="AM99" s="3441"/>
      <c r="AN99" s="3441"/>
      <c r="AO99" s="3441">
        <f>AO91/AH91</f>
        <v>0.84644973944581448</v>
      </c>
      <c r="AP99" s="3441"/>
      <c r="AQ99" s="3441">
        <f>AQ91/AO91</f>
        <v>1.4780104712041884</v>
      </c>
      <c r="AR99" s="3441">
        <f t="shared" ref="AR99:AR100" si="115">AR91/AQ91</f>
        <v>0.9228657456606445</v>
      </c>
      <c r="AS99" s="3441"/>
      <c r="AT99" s="3441"/>
      <c r="AU99" s="3441"/>
      <c r="AV99" s="3441"/>
      <c r="AW99" s="3441">
        <f>(AO99*AQ99*AR99*AF99*AH99)^(1/5)-1</f>
        <v>6.709412765495415E-2</v>
      </c>
      <c r="AX99" s="3441"/>
      <c r="AY99" s="3441"/>
      <c r="AZ99" s="3441">
        <f>AZ91/AR91</f>
        <v>1.0899145955282605</v>
      </c>
      <c r="BA99" s="3441">
        <f t="shared" ref="BA99:BD100" si="116">BA91/AZ91</f>
        <v>1.0892762487429477</v>
      </c>
      <c r="BB99" s="3441">
        <f t="shared" si="116"/>
        <v>1.0949726171362031</v>
      </c>
      <c r="BC99" s="3441">
        <f t="shared" si="116"/>
        <v>1.1023104120468372</v>
      </c>
      <c r="BD99" s="3441">
        <f t="shared" si="116"/>
        <v>1.1098908455428678</v>
      </c>
      <c r="BE99" s="3441"/>
      <c r="BF99" s="3469">
        <f t="shared" si="113"/>
        <v>9.724494319006749E-2</v>
      </c>
      <c r="BG99" s="3441"/>
      <c r="BH99" s="3441"/>
      <c r="BI99" s="3470"/>
      <c r="BJ99" s="3470"/>
      <c r="BK99" s="3470"/>
    </row>
    <row r="100" spans="1:63" s="817" customFormat="1">
      <c r="A100" s="3437" t="s">
        <v>147</v>
      </c>
      <c r="B100" s="1328" t="s">
        <v>2002</v>
      </c>
      <c r="C100" s="1328"/>
      <c r="D100" s="3503"/>
      <c r="E100" s="3503"/>
      <c r="F100" s="3503"/>
      <c r="G100" s="3503"/>
      <c r="H100" s="3441"/>
      <c r="I100" s="3468"/>
      <c r="J100" s="3468">
        <f>(D100*E100*F100*G100*H100)^(1/5)-1</f>
        <v>-1</v>
      </c>
      <c r="K100" s="3441">
        <f>K92/H92</f>
        <v>2.1347002611007708</v>
      </c>
      <c r="L100" s="3441">
        <f t="shared" si="114"/>
        <v>0.91887218434395534</v>
      </c>
      <c r="M100" s="3441">
        <f t="shared" si="114"/>
        <v>2.3520318252315704</v>
      </c>
      <c r="N100" s="3441">
        <f t="shared" si="114"/>
        <v>1.4883450646370728</v>
      </c>
      <c r="O100" s="3441">
        <f t="shared" si="114"/>
        <v>2.6909469916664959</v>
      </c>
      <c r="P100" s="3441"/>
      <c r="Q100" s="3441">
        <f>(K100*L100*M100*N100*O100)^(1/5)-1</f>
        <v>0.79196199769437925</v>
      </c>
      <c r="R100" s="3441"/>
      <c r="S100" s="3441">
        <f>S92/O92</f>
        <v>0.89127118887961554</v>
      </c>
      <c r="T100" s="3441">
        <f>T92/S92</f>
        <v>0.80378765862636825</v>
      </c>
      <c r="U100" s="3441"/>
      <c r="V100" s="3441">
        <f>V92/T92</f>
        <v>0.71975494626895653</v>
      </c>
      <c r="W100" s="3441"/>
      <c r="X100" s="3441">
        <f>X92/V92</f>
        <v>2.1445315770379261</v>
      </c>
      <c r="Y100" s="3441"/>
      <c r="Z100" s="3441">
        <f>Z92/X92</f>
        <v>1.4335207235343874</v>
      </c>
      <c r="AA100" s="3441"/>
      <c r="AB100" s="3441">
        <f>(S100*T100*V100*X100*Z100)^(1/5)-1</f>
        <v>9.6514694647396038E-2</v>
      </c>
      <c r="AC100" s="3441"/>
      <c r="AD100" s="3441"/>
      <c r="AE100" s="3443"/>
      <c r="AF100" s="3441">
        <f>AF92/Z92</f>
        <v>0.63977581475486778</v>
      </c>
      <c r="AG100" s="3441"/>
      <c r="AH100" s="3441">
        <f>AH92/AF92</f>
        <v>1.060334912311818</v>
      </c>
      <c r="AI100" s="3441"/>
      <c r="AJ100" s="3441"/>
      <c r="AK100" s="3441"/>
      <c r="AL100" s="3441"/>
      <c r="AM100" s="3441"/>
      <c r="AN100" s="3441"/>
      <c r="AO100" s="3441">
        <f>AO92/AH92</f>
        <v>0.93671520475892212</v>
      </c>
      <c r="AP100" s="3441"/>
      <c r="AQ100" s="3441">
        <f>AQ92/AO92</f>
        <v>1.0714285714285714</v>
      </c>
      <c r="AR100" s="3441">
        <f t="shared" si="115"/>
        <v>1.3333333333333333</v>
      </c>
      <c r="AS100" s="3441"/>
      <c r="AT100" s="3441"/>
      <c r="AU100" s="3441"/>
      <c r="AV100" s="3441"/>
      <c r="AW100" s="3441">
        <f>(AO100*AQ100*AR100*AF100*AH100)^(1/5)-1</f>
        <v>-1.9164712909005899E-2</v>
      </c>
      <c r="AX100" s="3441"/>
      <c r="AY100" s="3441"/>
      <c r="AZ100" s="3441">
        <f>AZ92/AR92</f>
        <v>1.1000000000000001</v>
      </c>
      <c r="BA100" s="3441">
        <f t="shared" si="116"/>
        <v>1.0909090909090908</v>
      </c>
      <c r="BB100" s="3441">
        <f t="shared" si="116"/>
        <v>1.0833333333333333</v>
      </c>
      <c r="BC100" s="3441">
        <f t="shared" si="116"/>
        <v>1.0769230769230769</v>
      </c>
      <c r="BD100" s="3441">
        <f t="shared" si="116"/>
        <v>1.0928571428571427</v>
      </c>
      <c r="BE100" s="3441"/>
      <c r="BF100" s="3469">
        <f t="shared" si="113"/>
        <v>8.8775365880074064E-2</v>
      </c>
      <c r="BG100" s="3441"/>
      <c r="BH100" s="3441"/>
      <c r="BI100" s="3470"/>
      <c r="BJ100" s="3470"/>
      <c r="BK100" s="3470"/>
    </row>
    <row r="101" spans="1:63" s="3508" customFormat="1">
      <c r="A101" s="3504">
        <v>10</v>
      </c>
      <c r="B101" s="867" t="s">
        <v>2005</v>
      </c>
      <c r="C101" s="185">
        <f t="shared" ref="C101:O101" si="117">C7</f>
        <v>1267830.2123589995</v>
      </c>
      <c r="D101" s="185">
        <f t="shared" si="117"/>
        <v>1553480</v>
      </c>
      <c r="E101" s="185">
        <f t="shared" si="117"/>
        <v>2543746.399896</v>
      </c>
      <c r="F101" s="185">
        <f t="shared" si="117"/>
        <v>2504230</v>
      </c>
      <c r="G101" s="185">
        <f t="shared" si="117"/>
        <v>2936820</v>
      </c>
      <c r="H101" s="185">
        <f t="shared" si="117"/>
        <v>3970508.1362620005</v>
      </c>
      <c r="I101" s="185"/>
      <c r="J101" s="3505"/>
      <c r="K101" s="185">
        <f t="shared" si="117"/>
        <v>4156306.1199669996</v>
      </c>
      <c r="L101" s="185">
        <f t="shared" si="117"/>
        <v>4518654.2436259994</v>
      </c>
      <c r="M101" s="185">
        <f t="shared" si="117"/>
        <v>4583182.5757370004</v>
      </c>
      <c r="N101" s="185">
        <f t="shared" si="117"/>
        <v>4112417.5781439999</v>
      </c>
      <c r="O101" s="185">
        <f t="shared" si="117"/>
        <v>5174957</v>
      </c>
      <c r="P101" s="185">
        <f>SUM(K101:O101)</f>
        <v>22545517.517473999</v>
      </c>
      <c r="Q101" s="3329"/>
      <c r="R101" s="3329">
        <f>P101/$P$101</f>
        <v>1</v>
      </c>
      <c r="S101" s="185">
        <f>S7</f>
        <v>6334779</v>
      </c>
      <c r="T101" s="185">
        <f>T7</f>
        <v>6851996</v>
      </c>
      <c r="U101" s="185"/>
      <c r="V101" s="185">
        <f>V7</f>
        <v>6983868</v>
      </c>
      <c r="W101" s="185"/>
      <c r="X101" s="185">
        <f>X7</f>
        <v>8771013</v>
      </c>
      <c r="Y101" s="185"/>
      <c r="Z101" s="185">
        <f>Z7</f>
        <v>8430824.4000000022</v>
      </c>
      <c r="AA101" s="3334">
        <f>SUM(S101:Z101)</f>
        <v>37372480.400000006</v>
      </c>
      <c r="AB101" s="185"/>
      <c r="AC101" s="3329"/>
      <c r="AD101" s="3329">
        <f>AA101/P101-1</f>
        <v>0.65764571032952812</v>
      </c>
      <c r="AE101" s="3506"/>
      <c r="AF101" s="185">
        <f>AF7</f>
        <v>7213306</v>
      </c>
      <c r="AG101" s="185"/>
      <c r="AH101" s="185">
        <f>AH7</f>
        <v>7877094.2005829997</v>
      </c>
      <c r="AI101" s="185"/>
      <c r="AJ101" s="185"/>
      <c r="AK101" s="185"/>
      <c r="AL101" s="185"/>
      <c r="AM101" s="185"/>
      <c r="AN101" s="185"/>
      <c r="AO101" s="185">
        <f>AO7</f>
        <v>7590000</v>
      </c>
      <c r="AP101" s="185"/>
      <c r="AQ101" s="185">
        <f>AQ7</f>
        <v>9266000</v>
      </c>
      <c r="AR101" s="185">
        <f>AR7</f>
        <v>10162499.699999999</v>
      </c>
      <c r="AS101" s="185"/>
      <c r="AT101" s="185"/>
      <c r="AU101" s="185"/>
      <c r="AV101" s="185">
        <f>SUM(AF101:AR101)</f>
        <v>42108899.900582999</v>
      </c>
      <c r="AW101" s="3329"/>
      <c r="AX101" s="3329">
        <f>AV101/$AV$101</f>
        <v>1</v>
      </c>
      <c r="AY101" s="3329">
        <f>AV101/AA101-1</f>
        <v>0.12673548691145986</v>
      </c>
      <c r="AZ101" s="185">
        <f>AZ7</f>
        <v>11039000</v>
      </c>
      <c r="BA101" s="185">
        <f>BA7</f>
        <v>11935999.816611201</v>
      </c>
      <c r="BB101" s="185">
        <f>BB7</f>
        <v>12893500.408798838</v>
      </c>
      <c r="BC101" s="185">
        <f>BC7</f>
        <v>13961500.026622467</v>
      </c>
      <c r="BD101" s="185">
        <f>BD7</f>
        <v>15200000.027793854</v>
      </c>
      <c r="BE101" s="185">
        <f>SUM(AY101:BD101)</f>
        <v>65030000.406561844</v>
      </c>
      <c r="BF101" s="185"/>
      <c r="BG101" s="3327">
        <f>BE101/$BE$101</f>
        <v>1</v>
      </c>
      <c r="BH101" s="3327">
        <f>BE101/AV101</f>
        <v>1.5443291218743405</v>
      </c>
      <c r="BI101" s="3509"/>
      <c r="BJ101" s="3509"/>
      <c r="BK101" s="3509"/>
    </row>
    <row r="102" spans="1:63" s="3454" customFormat="1">
      <c r="A102" s="3446" t="s">
        <v>29</v>
      </c>
      <c r="B102" s="3475" t="s">
        <v>1993</v>
      </c>
      <c r="C102" s="3475"/>
      <c r="D102" s="3510"/>
      <c r="E102" s="3510"/>
      <c r="F102" s="3510"/>
      <c r="G102" s="3510"/>
      <c r="H102" s="3450"/>
      <c r="I102" s="3498"/>
      <c r="J102" s="3487">
        <f>(D102*E102*F102*G102*H102)^(1/5)-1</f>
        <v>-1</v>
      </c>
      <c r="K102" s="3450">
        <f>K101/H101</f>
        <v>1.046794510256291</v>
      </c>
      <c r="L102" s="3450">
        <f>L101/K101</f>
        <v>1.0871803262801722</v>
      </c>
      <c r="M102" s="3450">
        <f>M101/L101</f>
        <v>1.0142804314364227</v>
      </c>
      <c r="N102" s="3450">
        <f>N101/M101</f>
        <v>0.89728425830443836</v>
      </c>
      <c r="O102" s="3450">
        <f>O101/N101</f>
        <v>1.2583734267412459</v>
      </c>
      <c r="P102" s="3450"/>
      <c r="Q102" s="3472">
        <f>(K102*L102*M102*N102*O102)^(1/5)-1</f>
        <v>5.441634872072143E-2</v>
      </c>
      <c r="R102" s="3450"/>
      <c r="S102" s="3450">
        <f>S101/O101</f>
        <v>1.2241220555069345</v>
      </c>
      <c r="T102" s="3450">
        <f>T101/S101</f>
        <v>1.0816472050564037</v>
      </c>
      <c r="U102" s="3450"/>
      <c r="V102" s="3450">
        <f>V101/T101</f>
        <v>1.0192457788942084</v>
      </c>
      <c r="W102" s="3450"/>
      <c r="X102" s="3450">
        <f>X101/V101</f>
        <v>1.2558961595494074</v>
      </c>
      <c r="Y102" s="3450"/>
      <c r="Z102" s="3450">
        <f>Z101/X101</f>
        <v>0.96121444581144755</v>
      </c>
      <c r="AA102" s="3450"/>
      <c r="AB102" s="3441">
        <f>(S102*T102*V102*X102*Z102)^(1/5)-1</f>
        <v>0.1025356971451945</v>
      </c>
      <c r="AC102" s="3450"/>
      <c r="AD102" s="3450"/>
      <c r="AE102" s="3499"/>
      <c r="AF102" s="3450">
        <f>AF101/Z101</f>
        <v>0.85558726617529812</v>
      </c>
      <c r="AG102" s="3450"/>
      <c r="AH102" s="3450">
        <f>AH101/AF101</f>
        <v>1.0920227424960205</v>
      </c>
      <c r="AI102" s="3450"/>
      <c r="AJ102" s="3450"/>
      <c r="AK102" s="3450"/>
      <c r="AL102" s="3450"/>
      <c r="AM102" s="3450"/>
      <c r="AN102" s="3450"/>
      <c r="AO102" s="3450">
        <f>AO101/AH101</f>
        <v>0.9635532858599366</v>
      </c>
      <c r="AP102" s="3450"/>
      <c r="AQ102" s="3450">
        <f>AQ101/AO101</f>
        <v>1.2208168642951251</v>
      </c>
      <c r="AR102" s="3450">
        <f>AR101/AQ101</f>
        <v>1.0967515324843513</v>
      </c>
      <c r="AS102" s="3450"/>
      <c r="AT102" s="3450"/>
      <c r="AU102" s="3450"/>
      <c r="AV102" s="3450"/>
      <c r="AW102" s="3450">
        <f>(AO102*AQ102*AR102*AF102*AH102)^(1/5)-1</f>
        <v>3.8068709737854922E-2</v>
      </c>
      <c r="AX102" s="3450"/>
      <c r="AY102" s="3450"/>
      <c r="AZ102" s="3450">
        <f>AZ101/AR101</f>
        <v>1.0862484945510011</v>
      </c>
      <c r="BA102" s="3450">
        <f>BA101/AZ101</f>
        <v>1.0812573436553312</v>
      </c>
      <c r="BB102" s="3450">
        <f>BB101/BA101</f>
        <v>1.080219554867544</v>
      </c>
      <c r="BC102" s="3450">
        <f>BC101/BB101</f>
        <v>1.0828324026805629</v>
      </c>
      <c r="BD102" s="3450">
        <f>BD101/BC101</f>
        <v>1.0887082332707629</v>
      </c>
      <c r="BE102" s="3450"/>
      <c r="BF102" s="3469">
        <f t="shared" si="113"/>
        <v>8.3848569109363336E-2</v>
      </c>
      <c r="BG102" s="3450"/>
      <c r="BH102" s="3450"/>
      <c r="BI102" s="3511"/>
      <c r="BJ102" s="3511"/>
      <c r="BK102" s="3511"/>
    </row>
    <row r="103" spans="1:63" s="3454" customFormat="1">
      <c r="A103" s="3446" t="s">
        <v>29</v>
      </c>
      <c r="B103" s="3475" t="s">
        <v>1995</v>
      </c>
      <c r="C103" s="3475"/>
      <c r="D103" s="3510"/>
      <c r="E103" s="3510"/>
      <c r="F103" s="3510"/>
      <c r="G103" s="3510"/>
      <c r="H103" s="3450"/>
      <c r="I103" s="3498"/>
      <c r="J103" s="3498"/>
      <c r="K103" s="3450">
        <f t="shared" ref="K103:P103" si="118">K101/K101</f>
        <v>1</v>
      </c>
      <c r="L103" s="3450">
        <f t="shared" si="118"/>
        <v>1</v>
      </c>
      <c r="M103" s="3450">
        <f t="shared" si="118"/>
        <v>1</v>
      </c>
      <c r="N103" s="3450">
        <f t="shared" si="118"/>
        <v>1</v>
      </c>
      <c r="O103" s="3450">
        <f t="shared" si="118"/>
        <v>1</v>
      </c>
      <c r="P103" s="3450">
        <f t="shared" si="118"/>
        <v>1</v>
      </c>
      <c r="Q103" s="3450"/>
      <c r="R103" s="3450"/>
      <c r="S103" s="3450"/>
      <c r="T103" s="3450"/>
      <c r="U103" s="3450"/>
      <c r="V103" s="3450"/>
      <c r="W103" s="3450"/>
      <c r="X103" s="3450"/>
      <c r="Y103" s="3450"/>
      <c r="Z103" s="3450"/>
      <c r="AA103" s="3450">
        <f>AA101/$AA$101</f>
        <v>1</v>
      </c>
      <c r="AB103" s="3450"/>
      <c r="AC103" s="3450"/>
      <c r="AD103" s="3450"/>
      <c r="AE103" s="3499"/>
      <c r="AF103" s="3450"/>
      <c r="AG103" s="3450"/>
      <c r="AH103" s="3450"/>
      <c r="AI103" s="3450"/>
      <c r="AJ103" s="3450"/>
      <c r="AK103" s="3450"/>
      <c r="AL103" s="3450"/>
      <c r="AM103" s="3450"/>
      <c r="AN103" s="3450"/>
      <c r="AO103" s="3450"/>
      <c r="AP103" s="3450"/>
      <c r="AQ103" s="3450"/>
      <c r="AR103" s="3450"/>
      <c r="AS103" s="3450"/>
      <c r="AT103" s="3450"/>
      <c r="AU103" s="3450"/>
      <c r="AV103" s="3450"/>
      <c r="AW103" s="3450"/>
      <c r="AX103" s="3450"/>
      <c r="AY103" s="3450"/>
      <c r="AZ103" s="3450"/>
      <c r="BA103" s="3450"/>
      <c r="BB103" s="3450"/>
      <c r="BC103" s="3450"/>
      <c r="BD103" s="3450"/>
      <c r="BE103" s="3450"/>
      <c r="BF103" s="3450"/>
      <c r="BG103" s="3450"/>
      <c r="BH103" s="3450"/>
      <c r="BI103" s="3511"/>
      <c r="BJ103" s="3511"/>
      <c r="BK103" s="3511"/>
    </row>
    <row r="104" spans="1:63" s="3508" customFormat="1">
      <c r="A104" s="3504" t="s">
        <v>99</v>
      </c>
      <c r="B104" s="867" t="s">
        <v>2006</v>
      </c>
      <c r="C104" s="185">
        <f t="shared" ref="C104:K104" si="119">C107+C110</f>
        <v>137344.480144</v>
      </c>
      <c r="D104" s="185">
        <f t="shared" si="119"/>
        <v>137340</v>
      </c>
      <c r="E104" s="185">
        <f t="shared" si="119"/>
        <v>218870</v>
      </c>
      <c r="F104" s="185">
        <f t="shared" si="119"/>
        <v>250960</v>
      </c>
      <c r="G104" s="185">
        <f t="shared" si="119"/>
        <v>427970</v>
      </c>
      <c r="H104" s="185">
        <f t="shared" si="119"/>
        <v>511718</v>
      </c>
      <c r="I104" s="185"/>
      <c r="J104" s="3505"/>
      <c r="K104" s="185">
        <f t="shared" si="119"/>
        <v>518821.53815899999</v>
      </c>
      <c r="L104" s="185">
        <f>L107+L110</f>
        <v>621252.36285999999</v>
      </c>
      <c r="M104" s="185">
        <f>M107+M110</f>
        <v>637708.48531999998</v>
      </c>
      <c r="N104" s="185">
        <f>N107+N110</f>
        <v>471746.97741499997</v>
      </c>
      <c r="O104" s="185">
        <f>O107+O110</f>
        <v>537596</v>
      </c>
      <c r="P104" s="185">
        <f>P107+P110</f>
        <v>2787125.363754</v>
      </c>
      <c r="Q104" s="3329"/>
      <c r="R104" s="3329">
        <f>P104/$P$101</f>
        <v>0.12362215068222882</v>
      </c>
      <c r="S104" s="185">
        <f>S107+S110</f>
        <v>527335</v>
      </c>
      <c r="T104" s="185">
        <f>T107+T110</f>
        <v>583102</v>
      </c>
      <c r="U104" s="185"/>
      <c r="V104" s="185">
        <f>V107+V110</f>
        <v>589448</v>
      </c>
      <c r="W104" s="185"/>
      <c r="X104" s="185">
        <f>X107+X110</f>
        <v>703523</v>
      </c>
      <c r="Y104" s="185"/>
      <c r="Z104" s="185">
        <f>Z107+Z110</f>
        <v>638320.9</v>
      </c>
      <c r="AA104" s="3334">
        <f>SUM(S104:Z104)</f>
        <v>3041728.9</v>
      </c>
      <c r="AB104" s="185"/>
      <c r="AC104" s="3329"/>
      <c r="AD104" s="3329"/>
      <c r="AE104" s="3506"/>
      <c r="AF104" s="185">
        <f>AF107+AF110</f>
        <v>531474</v>
      </c>
      <c r="AG104" s="185"/>
      <c r="AH104" s="185">
        <f>AH107+AH110</f>
        <v>619044.33509499999</v>
      </c>
      <c r="AI104" s="185"/>
      <c r="AJ104" s="185"/>
      <c r="AK104" s="185"/>
      <c r="AL104" s="185"/>
      <c r="AM104" s="185"/>
      <c r="AN104" s="185"/>
      <c r="AO104" s="185">
        <f>AO107+AO110</f>
        <v>600000</v>
      </c>
      <c r="AP104" s="185"/>
      <c r="AQ104" s="185">
        <f>AQ107+AQ110</f>
        <v>530000</v>
      </c>
      <c r="AR104" s="185">
        <f>AR107+AR110</f>
        <v>779999.7</v>
      </c>
      <c r="AS104" s="185"/>
      <c r="AT104" s="185"/>
      <c r="AU104" s="185"/>
      <c r="AV104" s="185">
        <f>SUM(AF104:AR104)</f>
        <v>3060518.0350949997</v>
      </c>
      <c r="AW104" s="3329"/>
      <c r="AX104" s="3329"/>
      <c r="AY104" s="3329"/>
      <c r="AZ104" s="185">
        <f>AZ107+AZ110</f>
        <v>850000</v>
      </c>
      <c r="BA104" s="185">
        <f>BA107+BA110</f>
        <v>930000</v>
      </c>
      <c r="BB104" s="185">
        <f>BB107+BB110</f>
        <v>1030000</v>
      </c>
      <c r="BC104" s="185">
        <f>BC107+BC110</f>
        <v>1145000</v>
      </c>
      <c r="BD104" s="185">
        <f>BD107+BD110</f>
        <v>1280000</v>
      </c>
      <c r="BE104" s="185">
        <f>SUM(AY104:BD104)</f>
        <v>5235000</v>
      </c>
      <c r="BF104" s="185"/>
      <c r="BG104" s="3327">
        <f>BE104/$BE$101</f>
        <v>8.0501306585748736E-2</v>
      </c>
      <c r="BH104" s="3327">
        <f>BE104/AV104</f>
        <v>1.7104947397696035</v>
      </c>
      <c r="BI104" s="3509"/>
      <c r="BJ104" s="3509"/>
      <c r="BK104" s="3509"/>
    </row>
    <row r="105" spans="1:63" s="3454" customFormat="1">
      <c r="A105" s="3446" t="s">
        <v>29</v>
      </c>
      <c r="B105" s="3475" t="s">
        <v>1993</v>
      </c>
      <c r="C105" s="3475"/>
      <c r="D105" s="3510"/>
      <c r="E105" s="3510"/>
      <c r="F105" s="3510"/>
      <c r="G105" s="3510"/>
      <c r="H105" s="3450"/>
      <c r="I105" s="3498"/>
      <c r="J105" s="3487">
        <f>(D105*E105*F105*G105*H105)^(1/5)-1</f>
        <v>-1</v>
      </c>
      <c r="K105" s="3450">
        <f>K104/H104</f>
        <v>1.0138817437709833</v>
      </c>
      <c r="L105" s="3450">
        <f>L104/K104</f>
        <v>1.1974297849400553</v>
      </c>
      <c r="M105" s="3450">
        <f>M104/L104</f>
        <v>1.0264886275590848</v>
      </c>
      <c r="N105" s="3450">
        <f>N104/M104</f>
        <v>0.73975333287007927</v>
      </c>
      <c r="O105" s="3450">
        <f>O104/N104</f>
        <v>1.1395854679256843</v>
      </c>
      <c r="P105" s="3450"/>
      <c r="Q105" s="3472">
        <f>(K105*L105*M105*N105*O105)^(1/5)-1</f>
        <v>9.9155680111433497E-3</v>
      </c>
      <c r="R105" s="3450"/>
      <c r="S105" s="3450">
        <f>S104/O104</f>
        <v>0.98091317643732467</v>
      </c>
      <c r="T105" s="3450">
        <f>T104/S104</f>
        <v>1.1057525102638741</v>
      </c>
      <c r="U105" s="3450"/>
      <c r="V105" s="3450">
        <f>V104/T104</f>
        <v>1.0108831730983601</v>
      </c>
      <c r="W105" s="3450"/>
      <c r="X105" s="3450">
        <f>X104/V104</f>
        <v>1.1935285215998697</v>
      </c>
      <c r="Y105" s="3450"/>
      <c r="Z105" s="3450">
        <f>Z104/X104</f>
        <v>0.90732058511235603</v>
      </c>
      <c r="AA105" s="3450"/>
      <c r="AB105" s="3441">
        <f>(S105*T105*V105*X105*Z105)^(1/5)-1</f>
        <v>3.4943418646943725E-2</v>
      </c>
      <c r="AC105" s="3450"/>
      <c r="AD105" s="3450"/>
      <c r="AE105" s="3499"/>
      <c r="AF105" s="3450">
        <f>AF104/Z104</f>
        <v>0.83261256211413415</v>
      </c>
      <c r="AG105" s="3450"/>
      <c r="AH105" s="3450">
        <f>AH104/AF104</f>
        <v>1.1647688035444819</v>
      </c>
      <c r="AI105" s="3450"/>
      <c r="AJ105" s="3450"/>
      <c r="AK105" s="3450"/>
      <c r="AL105" s="3450"/>
      <c r="AM105" s="3450"/>
      <c r="AN105" s="3450"/>
      <c r="AO105" s="3450">
        <f>AO104/AH104</f>
        <v>0.969235910878536</v>
      </c>
      <c r="AP105" s="3450"/>
      <c r="AQ105" s="3450">
        <f>AQ104/AO104</f>
        <v>0.8833333333333333</v>
      </c>
      <c r="AR105" s="3450">
        <f>AR104/AQ104</f>
        <v>1.4716975471698113</v>
      </c>
      <c r="AS105" s="3450"/>
      <c r="AT105" s="3450"/>
      <c r="AU105" s="3450"/>
      <c r="AV105" s="3450"/>
      <c r="AW105" s="3450">
        <f>(AO105*AQ105*AR105*AF105*AH105)^(1/5)-1</f>
        <v>4.0904951036302872E-2</v>
      </c>
      <c r="AX105" s="3450"/>
      <c r="AY105" s="3450"/>
      <c r="AZ105" s="3450">
        <f>AZ104/AR104</f>
        <v>1.0897440088759009</v>
      </c>
      <c r="BA105" s="3450">
        <f>BA104/AZ104</f>
        <v>1.0941176470588236</v>
      </c>
      <c r="BB105" s="3450">
        <f>BB104/BA104</f>
        <v>1.10752688172043</v>
      </c>
      <c r="BC105" s="3450">
        <f>BC104/BB104</f>
        <v>1.1116504854368932</v>
      </c>
      <c r="BD105" s="3450">
        <f>BD104/BC104</f>
        <v>1.1179039301310043</v>
      </c>
      <c r="BE105" s="3450"/>
      <c r="BF105" s="3469">
        <f t="shared" ref="BF105" si="120">(AZ105*BA105*BB105*BC105*BD105)^(1/5)-1</f>
        <v>0.10413736437669052</v>
      </c>
      <c r="BG105" s="3450"/>
      <c r="BH105" s="3450"/>
      <c r="BI105" s="3511"/>
      <c r="BJ105" s="3511"/>
      <c r="BK105" s="3511"/>
    </row>
    <row r="106" spans="1:63" s="3454" customFormat="1">
      <c r="A106" s="3446" t="s">
        <v>29</v>
      </c>
      <c r="B106" s="3475" t="s">
        <v>1995</v>
      </c>
      <c r="C106" s="3475"/>
      <c r="D106" s="3510"/>
      <c r="E106" s="3510"/>
      <c r="F106" s="3510"/>
      <c r="G106" s="3510"/>
      <c r="H106" s="3450"/>
      <c r="I106" s="3498"/>
      <c r="J106" s="3498"/>
      <c r="K106" s="3450">
        <f>K104/$K$101</f>
        <v>0.12482755677368619</v>
      </c>
      <c r="L106" s="3450">
        <f>L104/$L$101</f>
        <v>0.13748614728297409</v>
      </c>
      <c r="M106" s="3450">
        <f>M104/$M$101</f>
        <v>0.13914097350081084</v>
      </c>
      <c r="N106" s="3450">
        <f>N104/$N$101</f>
        <v>0.11471281027543583</v>
      </c>
      <c r="O106" s="3450">
        <f>O104/$O$101</f>
        <v>0.10388414821611078</v>
      </c>
      <c r="P106" s="3450">
        <f>P104/$P$101</f>
        <v>0.12362215068222882</v>
      </c>
      <c r="Q106" s="3450"/>
      <c r="R106" s="3450"/>
      <c r="S106" s="3450">
        <f>S104/$S$101</f>
        <v>8.3244419418577978E-2</v>
      </c>
      <c r="T106" s="3450">
        <f>T104/$T$101</f>
        <v>8.5099582661752868E-2</v>
      </c>
      <c r="U106" s="3450"/>
      <c r="V106" s="3450">
        <f>V104/$V$101</f>
        <v>8.4401366119749119E-2</v>
      </c>
      <c r="W106" s="3450"/>
      <c r="X106" s="3450">
        <f>X104/$X$101</f>
        <v>8.0210005389343281E-2</v>
      </c>
      <c r="Y106" s="3450"/>
      <c r="Z106" s="3450">
        <f>Z104/$Z$101</f>
        <v>7.5712749989194403E-2</v>
      </c>
      <c r="AA106" s="3450">
        <f>AA104/$AA$101</f>
        <v>8.138953763422134E-2</v>
      </c>
      <c r="AB106" s="3450"/>
      <c r="AC106" s="3441"/>
      <c r="AD106" s="3441"/>
      <c r="AE106" s="3443"/>
      <c r="AF106" s="3450">
        <f>AF104/$AF$101</f>
        <v>7.3679669211315871E-2</v>
      </c>
      <c r="AG106" s="3450"/>
      <c r="AH106" s="3450">
        <f>AH104/$AH$101</f>
        <v>7.8587905556491033E-2</v>
      </c>
      <c r="AI106" s="3450"/>
      <c r="AJ106" s="3450"/>
      <c r="AK106" s="3450"/>
      <c r="AL106" s="3450"/>
      <c r="AM106" s="3450"/>
      <c r="AN106" s="3450"/>
      <c r="AO106" s="3450">
        <f>AO104/$AO$101</f>
        <v>7.9051383399209488E-2</v>
      </c>
      <c r="AP106" s="3450"/>
      <c r="AQ106" s="3450">
        <f>AQ104/$AQ$101</f>
        <v>5.719835959421541E-2</v>
      </c>
      <c r="AR106" s="3450">
        <f>AR104/$AR$101</f>
        <v>7.6752740273143619E-2</v>
      </c>
      <c r="AS106" s="3450"/>
      <c r="AT106" s="3450"/>
      <c r="AU106" s="3450"/>
      <c r="AV106" s="3450"/>
      <c r="AW106" s="3441"/>
      <c r="AX106" s="3441"/>
      <c r="AY106" s="3441"/>
      <c r="AZ106" s="3450">
        <f>AZ104/AZ101</f>
        <v>7.6999728236253284E-2</v>
      </c>
      <c r="BA106" s="3450">
        <f>BA104/BA101</f>
        <v>7.7915550794976488E-2</v>
      </c>
      <c r="BB106" s="3450">
        <f>BB104/BB101</f>
        <v>7.9885210946835122E-2</v>
      </c>
      <c r="BC106" s="3450">
        <f>BC104/BC101</f>
        <v>8.2011245053658879E-2</v>
      </c>
      <c r="BD106" s="3450">
        <f>BD104/BD101</f>
        <v>8.4210526161806895E-2</v>
      </c>
      <c r="BE106" s="3450"/>
      <c r="BF106" s="3450"/>
      <c r="BG106" s="3450"/>
      <c r="BH106" s="3450"/>
      <c r="BI106" s="3511"/>
      <c r="BJ106" s="3511"/>
      <c r="BK106" s="3511"/>
    </row>
    <row r="107" spans="1:63" s="3508" customFormat="1">
      <c r="A107" s="3512" t="s">
        <v>2007</v>
      </c>
      <c r="B107" s="3103" t="s">
        <v>1999</v>
      </c>
      <c r="C107" s="185">
        <f t="shared" ref="C107:P107" si="121">C10</f>
        <v>89115.503914999994</v>
      </c>
      <c r="D107" s="185">
        <f t="shared" si="121"/>
        <v>92540</v>
      </c>
      <c r="E107" s="185">
        <f t="shared" si="121"/>
        <v>116990</v>
      </c>
      <c r="F107" s="185">
        <f t="shared" si="121"/>
        <v>174910</v>
      </c>
      <c r="G107" s="185">
        <f t="shared" si="121"/>
        <v>255100</v>
      </c>
      <c r="H107" s="185">
        <f t="shared" si="121"/>
        <v>363111</v>
      </c>
      <c r="I107" s="185"/>
      <c r="J107" s="3505"/>
      <c r="K107" s="185">
        <f t="shared" si="121"/>
        <v>375470.05056100001</v>
      </c>
      <c r="L107" s="185">
        <f t="shared" si="121"/>
        <v>392086.67269099999</v>
      </c>
      <c r="M107" s="185">
        <f t="shared" si="121"/>
        <v>377894.530516</v>
      </c>
      <c r="N107" s="185">
        <f t="shared" si="121"/>
        <v>203043.31661899999</v>
      </c>
      <c r="O107" s="185">
        <f t="shared" si="121"/>
        <v>205240</v>
      </c>
      <c r="P107" s="185">
        <f t="shared" si="121"/>
        <v>1553734.570387</v>
      </c>
      <c r="Q107" s="3329"/>
      <c r="R107" s="3329">
        <f>P107/$P$101</f>
        <v>6.8915453778462671E-2</v>
      </c>
      <c r="S107" s="185">
        <f>S10</f>
        <v>203694</v>
      </c>
      <c r="T107" s="185">
        <f>T10</f>
        <v>198943</v>
      </c>
      <c r="U107" s="185"/>
      <c r="V107" s="185">
        <f>V10</f>
        <v>203584</v>
      </c>
      <c r="W107" s="185"/>
      <c r="X107" s="185">
        <f>X10</f>
        <v>223875</v>
      </c>
      <c r="Y107" s="185"/>
      <c r="Z107" s="185">
        <f>Z10</f>
        <v>183101</v>
      </c>
      <c r="AA107" s="3334">
        <f>SUM(S107:Z107)</f>
        <v>1013197</v>
      </c>
      <c r="AB107" s="185"/>
      <c r="AC107" s="3329"/>
      <c r="AD107" s="3329">
        <f>AA107/P107-1</f>
        <v>-0.34789569640093954</v>
      </c>
      <c r="AE107" s="3506"/>
      <c r="AF107" s="185">
        <f>AF10</f>
        <v>245001</v>
      </c>
      <c r="AG107" s="185"/>
      <c r="AH107" s="185">
        <f>AH10</f>
        <v>227900.049615</v>
      </c>
      <c r="AI107" s="185"/>
      <c r="AJ107" s="185"/>
      <c r="AK107" s="185"/>
      <c r="AL107" s="185"/>
      <c r="AM107" s="185"/>
      <c r="AN107" s="185"/>
      <c r="AO107" s="185">
        <f>AO10</f>
        <v>250000</v>
      </c>
      <c r="AP107" s="185"/>
      <c r="AQ107" s="185">
        <f>AQ10</f>
        <v>230000</v>
      </c>
      <c r="AR107" s="185">
        <f>AR10</f>
        <v>309999.7</v>
      </c>
      <c r="AS107" s="185"/>
      <c r="AT107" s="185"/>
      <c r="AU107" s="185"/>
      <c r="AV107" s="185">
        <f>SUM(AF107:AR107)</f>
        <v>1262900.7496150001</v>
      </c>
      <c r="AW107" s="3329"/>
      <c r="AX107" s="3329">
        <f>AV107/$AV$101</f>
        <v>2.9991302375427652E-2</v>
      </c>
      <c r="AY107" s="3329">
        <f>AV107/AA107-1</f>
        <v>0.24645133139458575</v>
      </c>
      <c r="AZ107" s="185">
        <f>AZ10</f>
        <v>340000</v>
      </c>
      <c r="BA107" s="185">
        <f>BA10</f>
        <v>370000</v>
      </c>
      <c r="BB107" s="185">
        <f>BB10</f>
        <v>410000</v>
      </c>
      <c r="BC107" s="185">
        <f>BC10</f>
        <v>455000</v>
      </c>
      <c r="BD107" s="185">
        <f>BD10</f>
        <v>510000</v>
      </c>
      <c r="BE107" s="185">
        <f>SUM(AY107:BD107)</f>
        <v>2085000.2464513313</v>
      </c>
      <c r="BF107" s="185"/>
      <c r="BG107" s="3327">
        <f>BE107/$BE$101</f>
        <v>3.206212876235727E-2</v>
      </c>
      <c r="BH107" s="3327">
        <f>BE107/AV107</f>
        <v>1.650961286614923</v>
      </c>
      <c r="BI107" s="3509"/>
      <c r="BJ107" s="3509"/>
      <c r="BK107" s="3509"/>
    </row>
    <row r="108" spans="1:63" s="3454" customFormat="1">
      <c r="A108" s="3446" t="s">
        <v>29</v>
      </c>
      <c r="B108" s="3475" t="s">
        <v>1993</v>
      </c>
      <c r="C108" s="3475"/>
      <c r="D108" s="3510"/>
      <c r="E108" s="3510"/>
      <c r="F108" s="3510"/>
      <c r="G108" s="3510"/>
      <c r="H108" s="3450"/>
      <c r="I108" s="3498"/>
      <c r="J108" s="3487">
        <f>(D108*E108*F108*G108*H108)^(1/5)-1</f>
        <v>-1</v>
      </c>
      <c r="K108" s="3450">
        <f>K107/H107</f>
        <v>1.0340365633676756</v>
      </c>
      <c r="L108" s="3450">
        <f>L107/K107</f>
        <v>1.0442555194619987</v>
      </c>
      <c r="M108" s="3450">
        <f>M107/L107</f>
        <v>0.96380355884683511</v>
      </c>
      <c r="N108" s="3450">
        <f>N107/M107</f>
        <v>0.53730154903737926</v>
      </c>
      <c r="O108" s="3450">
        <f>O107/N107</f>
        <v>1.0108187918596798</v>
      </c>
      <c r="P108" s="3450"/>
      <c r="Q108" s="3472">
        <f>(K108*L108*M108*N108*O108)^(1/5)-1</f>
        <v>-0.10783635910935707</v>
      </c>
      <c r="R108" s="3450"/>
      <c r="S108" s="3450">
        <f>S107/O107</f>
        <v>0.9924673552913662</v>
      </c>
      <c r="T108" s="3450">
        <f>T107/S107</f>
        <v>0.97667579801074156</v>
      </c>
      <c r="U108" s="3450"/>
      <c r="V108" s="3450">
        <f>V107/T107</f>
        <v>1.0233282900127172</v>
      </c>
      <c r="W108" s="3450"/>
      <c r="X108" s="3450">
        <f>X107/V107</f>
        <v>1.099668932725558</v>
      </c>
      <c r="Y108" s="3450"/>
      <c r="Z108" s="3450">
        <f>Z107/X107</f>
        <v>0.81787158012283645</v>
      </c>
      <c r="AA108" s="3450"/>
      <c r="AB108" s="3441">
        <f>(S108*T108*V108*X108*Z108)^(1/5)-1</f>
        <v>-2.2569825667848264E-2</v>
      </c>
      <c r="AC108" s="3450"/>
      <c r="AD108" s="3450"/>
      <c r="AE108" s="3499"/>
      <c r="AF108" s="3450">
        <f>AF107/Z107</f>
        <v>1.3380647839170732</v>
      </c>
      <c r="AG108" s="3450"/>
      <c r="AH108" s="3450">
        <f>AH107/AF107</f>
        <v>0.93020048740617378</v>
      </c>
      <c r="AI108" s="3450"/>
      <c r="AJ108" s="3450"/>
      <c r="AK108" s="3450"/>
      <c r="AL108" s="3450"/>
      <c r="AM108" s="3450"/>
      <c r="AN108" s="3450"/>
      <c r="AO108" s="3450">
        <f>AO107/AH107</f>
        <v>1.0969721174801597</v>
      </c>
      <c r="AP108" s="3450"/>
      <c r="AQ108" s="3450">
        <f>AQ107/AO107</f>
        <v>0.92</v>
      </c>
      <c r="AR108" s="3450">
        <f>AR107/AQ107</f>
        <v>1.3478247826086958</v>
      </c>
      <c r="AS108" s="3450"/>
      <c r="AT108" s="3450"/>
      <c r="AU108" s="3450"/>
      <c r="AV108" s="3450"/>
      <c r="AW108" s="3450">
        <f>(AO108*AQ108*AR108*AF108*AH108)^(1/5)-1</f>
        <v>0.1110512990067396</v>
      </c>
      <c r="AX108" s="3450"/>
      <c r="AY108" s="3450"/>
      <c r="AZ108" s="3450">
        <f>AZ107/AR107</f>
        <v>1.096775254943795</v>
      </c>
      <c r="BA108" s="3450">
        <f>BA107/AZ107</f>
        <v>1.088235294117647</v>
      </c>
      <c r="BB108" s="3450">
        <f>BB107/BA107</f>
        <v>1.1081081081081081</v>
      </c>
      <c r="BC108" s="3450">
        <f>BC107/BB107</f>
        <v>1.1097560975609757</v>
      </c>
      <c r="BD108" s="3450">
        <f>BD107/BC107</f>
        <v>1.1208791208791209</v>
      </c>
      <c r="BE108" s="3450"/>
      <c r="BF108" s="3469">
        <f t="shared" ref="BF108" si="122">(AZ108*BA108*BB108*BC108*BD108)^(1/5)-1</f>
        <v>0.10469345389885287</v>
      </c>
      <c r="BG108" s="3450"/>
      <c r="BH108" s="3450"/>
      <c r="BI108" s="3511"/>
      <c r="BJ108" s="3511"/>
      <c r="BK108" s="3511"/>
    </row>
    <row r="109" spans="1:63" s="3454" customFormat="1">
      <c r="A109" s="3446" t="s">
        <v>29</v>
      </c>
      <c r="B109" s="3475" t="s">
        <v>1995</v>
      </c>
      <c r="C109" s="3475"/>
      <c r="D109" s="3510"/>
      <c r="E109" s="3510"/>
      <c r="F109" s="3510"/>
      <c r="G109" s="3510"/>
      <c r="H109" s="3450"/>
      <c r="I109" s="3498"/>
      <c r="J109" s="3498"/>
      <c r="K109" s="3450">
        <f>K107/$K$101</f>
        <v>9.0337438995946998E-2</v>
      </c>
      <c r="L109" s="3450">
        <f>L107/$L$101</f>
        <v>8.6770673645605062E-2</v>
      </c>
      <c r="M109" s="3450">
        <f>M107/$M$101</f>
        <v>8.2452427820908378E-2</v>
      </c>
      <c r="N109" s="3450">
        <f>N107/$N$101</f>
        <v>4.9373224571867699E-2</v>
      </c>
      <c r="O109" s="3450">
        <f>O107/$O$101</f>
        <v>3.9660232925606921E-2</v>
      </c>
      <c r="P109" s="3450">
        <f>P107/$P$101</f>
        <v>6.8915453778462671E-2</v>
      </c>
      <c r="Q109" s="3450"/>
      <c r="R109" s="3450"/>
      <c r="S109" s="3450">
        <f>S107/$S$101</f>
        <v>3.2154870753975787E-2</v>
      </c>
      <c r="T109" s="3450">
        <f>T107/$T$101</f>
        <v>2.9034313505145071E-2</v>
      </c>
      <c r="U109" s="3450"/>
      <c r="V109" s="3450">
        <f>V107/$V$101</f>
        <v>2.9150608230281559E-2</v>
      </c>
      <c r="W109" s="3450"/>
      <c r="X109" s="3450">
        <f>X107/$X$101</f>
        <v>2.5524417761095555E-2</v>
      </c>
      <c r="Y109" s="3450"/>
      <c r="Z109" s="3450">
        <f>Z107/$Z$101</f>
        <v>2.1718042188139983E-2</v>
      </c>
      <c r="AA109" s="3450">
        <f>AA107/$AA$101</f>
        <v>2.7110777479998353E-2</v>
      </c>
      <c r="AB109" s="3450"/>
      <c r="AC109" s="3441"/>
      <c r="AD109" s="3441"/>
      <c r="AE109" s="3443"/>
      <c r="AF109" s="3450">
        <f>AF107/$AF$101</f>
        <v>3.3965147187711153E-2</v>
      </c>
      <c r="AG109" s="3450"/>
      <c r="AH109" s="3450">
        <f>AH107/$AH$101</f>
        <v>2.8931994947849253E-2</v>
      </c>
      <c r="AI109" s="3450"/>
      <c r="AJ109" s="3450"/>
      <c r="AK109" s="3450"/>
      <c r="AL109" s="3450"/>
      <c r="AM109" s="3450"/>
      <c r="AN109" s="3450"/>
      <c r="AO109" s="3450">
        <f>AO107/$AO$101</f>
        <v>3.2938076416337288E-2</v>
      </c>
      <c r="AP109" s="3450"/>
      <c r="AQ109" s="3450">
        <f>AQ107/$AQ$101</f>
        <v>2.4821929635225556E-2</v>
      </c>
      <c r="AR109" s="3450">
        <f>AR107/$AR$101</f>
        <v>3.0504276423250477E-2</v>
      </c>
      <c r="AS109" s="3450"/>
      <c r="AT109" s="3450"/>
      <c r="AU109" s="3450"/>
      <c r="AV109" s="3450"/>
      <c r="AW109" s="3441"/>
      <c r="AX109" s="3441"/>
      <c r="AY109" s="3441"/>
      <c r="AZ109" s="3450">
        <f>AZ107/$AZ$101</f>
        <v>3.0799891294501315E-2</v>
      </c>
      <c r="BA109" s="3450">
        <f>BA107/$BA$101</f>
        <v>3.0998659993700321E-2</v>
      </c>
      <c r="BB109" s="3450">
        <f>BB107/$BB$101</f>
        <v>3.1798967464274172E-2</v>
      </c>
      <c r="BC109" s="3450">
        <f>BC107/$BC$101</f>
        <v>3.2589621396868808E-2</v>
      </c>
      <c r="BD109" s="3450">
        <f>BD107/$BD$101</f>
        <v>3.3552631517594939E-2</v>
      </c>
      <c r="BE109" s="3450"/>
      <c r="BF109" s="3450"/>
      <c r="BG109" s="3450"/>
      <c r="BH109" s="3450"/>
      <c r="BI109" s="3511"/>
      <c r="BJ109" s="3511"/>
      <c r="BK109" s="3511"/>
    </row>
    <row r="110" spans="1:63" s="3508" customFormat="1">
      <c r="A110" s="3512" t="s">
        <v>2008</v>
      </c>
      <c r="B110" s="3103" t="s">
        <v>2000</v>
      </c>
      <c r="C110" s="185">
        <f t="shared" ref="C110:P110" si="123">C11</f>
        <v>48228.976229</v>
      </c>
      <c r="D110" s="185">
        <f t="shared" si="123"/>
        <v>44800</v>
      </c>
      <c r="E110" s="185">
        <f t="shared" si="123"/>
        <v>101880</v>
      </c>
      <c r="F110" s="185">
        <f t="shared" si="123"/>
        <v>76050</v>
      </c>
      <c r="G110" s="185">
        <f t="shared" si="123"/>
        <v>172870</v>
      </c>
      <c r="H110" s="185">
        <f t="shared" si="123"/>
        <v>148607</v>
      </c>
      <c r="I110" s="185"/>
      <c r="J110" s="3505"/>
      <c r="K110" s="185">
        <f t="shared" si="123"/>
        <v>143351.48759800001</v>
      </c>
      <c r="L110" s="185">
        <f t="shared" si="123"/>
        <v>229165.69016900001</v>
      </c>
      <c r="M110" s="185">
        <f t="shared" si="123"/>
        <v>259813.95480400001</v>
      </c>
      <c r="N110" s="185">
        <f t="shared" si="123"/>
        <v>268703.66079599998</v>
      </c>
      <c r="O110" s="185">
        <f t="shared" si="123"/>
        <v>332356</v>
      </c>
      <c r="P110" s="185">
        <f t="shared" si="123"/>
        <v>1233390.7933670001</v>
      </c>
      <c r="Q110" s="3329"/>
      <c r="R110" s="3329">
        <f>P110/$P$101</f>
        <v>5.4706696903766137E-2</v>
      </c>
      <c r="S110" s="185">
        <f>S11</f>
        <v>323641</v>
      </c>
      <c r="T110" s="185">
        <f>T11</f>
        <v>384159</v>
      </c>
      <c r="U110" s="185"/>
      <c r="V110" s="185">
        <f>V11</f>
        <v>385864</v>
      </c>
      <c r="W110" s="185"/>
      <c r="X110" s="185">
        <f>X11</f>
        <v>479648</v>
      </c>
      <c r="Y110" s="185"/>
      <c r="Z110" s="185">
        <f>Z11</f>
        <v>455219.9</v>
      </c>
      <c r="AA110" s="3334">
        <f>SUM(S110:Z110)</f>
        <v>2028531.9</v>
      </c>
      <c r="AB110" s="185"/>
      <c r="AC110" s="3329"/>
      <c r="AD110" s="3329">
        <f>AA110/P110-1</f>
        <v>0.64467897028999688</v>
      </c>
      <c r="AE110" s="3506"/>
      <c r="AF110" s="185">
        <f>AF11</f>
        <v>286473</v>
      </c>
      <c r="AG110" s="185"/>
      <c r="AH110" s="185">
        <f>AH11</f>
        <v>391144.28547999996</v>
      </c>
      <c r="AI110" s="185"/>
      <c r="AJ110" s="185"/>
      <c r="AK110" s="185"/>
      <c r="AL110" s="185"/>
      <c r="AM110" s="185"/>
      <c r="AN110" s="185"/>
      <c r="AO110" s="185">
        <f>AO11</f>
        <v>350000</v>
      </c>
      <c r="AP110" s="185"/>
      <c r="AQ110" s="185">
        <f>AQ11</f>
        <v>300000</v>
      </c>
      <c r="AR110" s="185">
        <f>AR11</f>
        <v>470000</v>
      </c>
      <c r="AS110" s="185"/>
      <c r="AT110" s="185"/>
      <c r="AU110" s="185"/>
      <c r="AV110" s="185">
        <f>SUM(AF110:AR110)</f>
        <v>1797617.2854800001</v>
      </c>
      <c r="AW110" s="3329"/>
      <c r="AX110" s="3329">
        <f>AV110/$AV$101</f>
        <v>4.2689723306096439E-2</v>
      </c>
      <c r="AY110" s="3329">
        <f>AV110/AA110-1</f>
        <v>-0.11383336615016992</v>
      </c>
      <c r="AZ110" s="185">
        <f>AZ11</f>
        <v>510000</v>
      </c>
      <c r="BA110" s="185">
        <f>BA11</f>
        <v>560000</v>
      </c>
      <c r="BB110" s="185">
        <f>BB11</f>
        <v>620000</v>
      </c>
      <c r="BC110" s="185">
        <f>BC11</f>
        <v>690000</v>
      </c>
      <c r="BD110" s="185">
        <f>BD11</f>
        <v>770000</v>
      </c>
      <c r="BE110" s="185">
        <f>SUM(AY110:BD110)</f>
        <v>3149999.886166634</v>
      </c>
      <c r="BF110" s="185"/>
      <c r="BG110" s="3327">
        <f>BE110/$BE$101</f>
        <v>4.8439179862726611E-2</v>
      </c>
      <c r="BH110" s="3327">
        <f>BE110/AV110</f>
        <v>1.7523195352038021</v>
      </c>
      <c r="BI110" s="3509"/>
      <c r="BJ110" s="3509"/>
      <c r="BK110" s="3509"/>
    </row>
    <row r="111" spans="1:63" s="817" customFormat="1">
      <c r="A111" s="3446" t="s">
        <v>29</v>
      </c>
      <c r="B111" s="3475" t="s">
        <v>1993</v>
      </c>
      <c r="C111" s="3510"/>
      <c r="D111" s="3510"/>
      <c r="E111" s="3510"/>
      <c r="F111" s="3510"/>
      <c r="G111" s="3510"/>
      <c r="H111" s="3450"/>
      <c r="I111" s="3498"/>
      <c r="J111" s="3487">
        <f>(D111*E111*F111*G111*H111)^(1/5)-1</f>
        <v>-1</v>
      </c>
      <c r="K111" s="3450">
        <f>K110/H110</f>
        <v>0.96463482607145024</v>
      </c>
      <c r="L111" s="3450">
        <f>L110/K110</f>
        <v>1.5986279180558518</v>
      </c>
      <c r="M111" s="3450">
        <f>M110/L110</f>
        <v>1.1337384519139764</v>
      </c>
      <c r="N111" s="3450">
        <f>N110/M110</f>
        <v>1.0342156601969523</v>
      </c>
      <c r="O111" s="3450">
        <f>O110/N110</f>
        <v>1.2368867585035432</v>
      </c>
      <c r="P111" s="3450"/>
      <c r="Q111" s="3472">
        <f>(K111*L111*M111*N111*O111)^(1/5)-1</f>
        <v>0.17466181508080636</v>
      </c>
      <c r="R111" s="3450"/>
      <c r="S111" s="3450">
        <f>S110/O110</f>
        <v>0.97377811744033504</v>
      </c>
      <c r="T111" s="3450">
        <f>T110/S110</f>
        <v>1.1869911414190415</v>
      </c>
      <c r="U111" s="3450"/>
      <c r="V111" s="3450">
        <f>V110/T110</f>
        <v>1.004438266446966</v>
      </c>
      <c r="W111" s="3450"/>
      <c r="X111" s="3450">
        <f>X110/V110</f>
        <v>1.2430493645429477</v>
      </c>
      <c r="Y111" s="3450"/>
      <c r="Z111" s="3450">
        <f>Z110/X110</f>
        <v>0.9490707769030623</v>
      </c>
      <c r="AA111" s="3450"/>
      <c r="AB111" s="3441">
        <f>(S111*T111*V111*X111*Z111)^(1/5)-1</f>
        <v>6.4936084774755098E-2</v>
      </c>
      <c r="AC111" s="3450"/>
      <c r="AD111" s="3450"/>
      <c r="AE111" s="3499"/>
      <c r="AF111" s="3450">
        <f>AF110/Z110</f>
        <v>0.62930684708643003</v>
      </c>
      <c r="AG111" s="3450"/>
      <c r="AH111" s="3450">
        <f>AH110/AF110</f>
        <v>1.36537923462246</v>
      </c>
      <c r="AI111" s="3450"/>
      <c r="AJ111" s="3450"/>
      <c r="AK111" s="3450"/>
      <c r="AL111" s="3450"/>
      <c r="AM111" s="3450"/>
      <c r="AN111" s="3450"/>
      <c r="AO111" s="3450">
        <f>AO110/AH110</f>
        <v>0.89481046507043049</v>
      </c>
      <c r="AP111" s="3450"/>
      <c r="AQ111" s="3450">
        <f>AQ110/AO110</f>
        <v>0.8571428571428571</v>
      </c>
      <c r="AR111" s="3450">
        <f>AR110/AQ110</f>
        <v>1.5666666666666667</v>
      </c>
      <c r="AS111" s="3450"/>
      <c r="AT111" s="3450"/>
      <c r="AU111" s="3450"/>
      <c r="AV111" s="3450"/>
      <c r="AW111" s="3450">
        <f>(AO111*AQ111*AR111*AF111*AH111)^(1/5)-1</f>
        <v>6.4108814528600622E-3</v>
      </c>
      <c r="AX111" s="3450"/>
      <c r="AY111" s="3450"/>
      <c r="AZ111" s="3450">
        <f>AZ110/AR110</f>
        <v>1.0851063829787233</v>
      </c>
      <c r="BA111" s="3450">
        <f>BA110/AZ110</f>
        <v>1.0980392156862746</v>
      </c>
      <c r="BB111" s="3450">
        <f>BB110/BA110</f>
        <v>1.1071428571428572</v>
      </c>
      <c r="BC111" s="3450">
        <f>BC110/BB110</f>
        <v>1.1129032258064515</v>
      </c>
      <c r="BD111" s="3450">
        <f>BD110/BC110</f>
        <v>1.1159420289855073</v>
      </c>
      <c r="BE111" s="3450"/>
      <c r="BF111" s="3469">
        <f>(AZ111*BA111*BB111*BC111*BD111)^(1/5)-1</f>
        <v>0.10376996822418216</v>
      </c>
      <c r="BG111" s="3450"/>
      <c r="BH111" s="3450"/>
      <c r="BI111" s="3511"/>
      <c r="BJ111" s="3511"/>
      <c r="BK111" s="3511"/>
    </row>
    <row r="112" spans="1:63" s="817" customFormat="1">
      <c r="A112" s="3446" t="s">
        <v>29</v>
      </c>
      <c r="B112" s="3475" t="s">
        <v>1995</v>
      </c>
      <c r="C112" s="3510"/>
      <c r="D112" s="3510"/>
      <c r="E112" s="3510"/>
      <c r="F112" s="3510"/>
      <c r="G112" s="3510"/>
      <c r="H112" s="3450"/>
      <c r="I112" s="3498"/>
      <c r="J112" s="3498"/>
      <c r="K112" s="3450">
        <f>K110/$K$101</f>
        <v>3.4490117777739186E-2</v>
      </c>
      <c r="L112" s="3450">
        <f>L110/$L$101</f>
        <v>5.0715473637369016E-2</v>
      </c>
      <c r="M112" s="3450">
        <f>M110/$M$101</f>
        <v>5.6688545679902468E-2</v>
      </c>
      <c r="N112" s="3450">
        <f>N110/$N$101</f>
        <v>6.533958570356814E-2</v>
      </c>
      <c r="O112" s="3450">
        <f>O110/$O$101</f>
        <v>6.4223915290503863E-2</v>
      </c>
      <c r="P112" s="3450">
        <f>P110/$P$101</f>
        <v>5.4706696903766137E-2</v>
      </c>
      <c r="Q112" s="3450"/>
      <c r="R112" s="3450"/>
      <c r="S112" s="3450">
        <f>S110/$S$101</f>
        <v>5.1089548664602191E-2</v>
      </c>
      <c r="T112" s="3450">
        <f>T110/$T$101</f>
        <v>5.6065269156607797E-2</v>
      </c>
      <c r="U112" s="3450"/>
      <c r="V112" s="3450">
        <f>V110/$V$101</f>
        <v>5.5250757889467553E-2</v>
      </c>
      <c r="W112" s="3450"/>
      <c r="X112" s="3450">
        <f>X110/$X$101</f>
        <v>5.4685587628247732E-2</v>
      </c>
      <c r="Y112" s="3450"/>
      <c r="Z112" s="3450">
        <f>Z110/$Z$101</f>
        <v>5.3994707801054413E-2</v>
      </c>
      <c r="AA112" s="3450">
        <f>AA110/$AA$101</f>
        <v>5.4278760154222991E-2</v>
      </c>
      <c r="AB112" s="3450"/>
      <c r="AC112" s="3441"/>
      <c r="AD112" s="3441"/>
      <c r="AE112" s="3443"/>
      <c r="AF112" s="3450">
        <f>AF110/$AF$101</f>
        <v>3.9714522023604711E-2</v>
      </c>
      <c r="AG112" s="3450"/>
      <c r="AH112" s="3450">
        <f>AH110/$AH$101</f>
        <v>4.9655910608641773E-2</v>
      </c>
      <c r="AI112" s="3450"/>
      <c r="AJ112" s="3450"/>
      <c r="AK112" s="3450"/>
      <c r="AL112" s="3450"/>
      <c r="AM112" s="3450"/>
      <c r="AN112" s="3450"/>
      <c r="AO112" s="3450">
        <f>AO110/$AO$101</f>
        <v>4.61133069828722E-2</v>
      </c>
      <c r="AP112" s="3450"/>
      <c r="AQ112" s="3450">
        <f>AQ110/$AQ$101</f>
        <v>3.2376429958989858E-2</v>
      </c>
      <c r="AR112" s="3450">
        <f>AR110/$AR$101</f>
        <v>4.6248463849893152E-2</v>
      </c>
      <c r="AS112" s="3450"/>
      <c r="AT112" s="3450"/>
      <c r="AU112" s="3450"/>
      <c r="AV112" s="3450"/>
      <c r="AW112" s="3441"/>
      <c r="AX112" s="3441"/>
      <c r="AY112" s="3441"/>
      <c r="AZ112" s="3450">
        <f>AZ110/AZ101</f>
        <v>4.6199836941751969E-2</v>
      </c>
      <c r="BA112" s="3450">
        <f>BA110/BA101</f>
        <v>4.6916890801276159E-2</v>
      </c>
      <c r="BB112" s="3450">
        <f>BB110/BB101</f>
        <v>4.8086243482560943E-2</v>
      </c>
      <c r="BC112" s="3450">
        <f>BC110/BC101</f>
        <v>4.9421623656790065E-2</v>
      </c>
      <c r="BD112" s="3450">
        <f>BD110/BD101</f>
        <v>5.0657894644211963E-2</v>
      </c>
      <c r="BE112" s="3450"/>
      <c r="BF112" s="3450"/>
      <c r="BG112" s="3450"/>
      <c r="BH112" s="3450"/>
      <c r="BI112" s="3511"/>
      <c r="BJ112" s="3511"/>
      <c r="BK112" s="3511"/>
    </row>
    <row r="113" spans="1:63" s="3508" customFormat="1">
      <c r="A113" s="3512" t="s">
        <v>101</v>
      </c>
      <c r="B113" s="3103" t="s">
        <v>1973</v>
      </c>
      <c r="C113" s="185">
        <f t="shared" ref="C113:P113" si="124">C13</f>
        <v>237081.01390699999</v>
      </c>
      <c r="D113" s="185">
        <f t="shared" si="124"/>
        <v>271920</v>
      </c>
      <c r="E113" s="185">
        <f t="shared" si="124"/>
        <v>369340</v>
      </c>
      <c r="F113" s="185">
        <f t="shared" si="124"/>
        <v>554950</v>
      </c>
      <c r="G113" s="185">
        <f t="shared" si="124"/>
        <v>654560</v>
      </c>
      <c r="H113" s="185">
        <f t="shared" si="124"/>
        <v>873678</v>
      </c>
      <c r="I113" s="185"/>
      <c r="J113" s="3505"/>
      <c r="K113" s="185">
        <f t="shared" si="124"/>
        <v>1024104.439563</v>
      </c>
      <c r="L113" s="185">
        <f t="shared" si="124"/>
        <v>1064747.6828060001</v>
      </c>
      <c r="M113" s="185">
        <f t="shared" si="124"/>
        <v>1081721.420525</v>
      </c>
      <c r="N113" s="185">
        <f t="shared" si="124"/>
        <v>744273.199104</v>
      </c>
      <c r="O113" s="185">
        <f t="shared" si="124"/>
        <v>586685</v>
      </c>
      <c r="P113" s="185">
        <f t="shared" si="124"/>
        <v>4501531.7419980001</v>
      </c>
      <c r="Q113" s="3329"/>
      <c r="R113" s="3329">
        <f>P113/$P$101</f>
        <v>0.19966415667810991</v>
      </c>
      <c r="S113" s="185">
        <f>S13</f>
        <v>674044</v>
      </c>
      <c r="T113" s="185">
        <f>T13</f>
        <v>895287</v>
      </c>
      <c r="U113" s="185"/>
      <c r="V113" s="185">
        <f>V13</f>
        <v>943679</v>
      </c>
      <c r="W113" s="185"/>
      <c r="X113" s="185">
        <f>X13</f>
        <v>1430938</v>
      </c>
      <c r="Y113" s="185"/>
      <c r="Z113" s="185">
        <f>Z13</f>
        <v>1265121.8999999999</v>
      </c>
      <c r="AA113" s="3334">
        <f>SUM(S113:Z113)</f>
        <v>5209069.9000000004</v>
      </c>
      <c r="AB113" s="185"/>
      <c r="AC113" s="3329"/>
      <c r="AD113" s="3329">
        <f>AA113/P113-1</f>
        <v>0.1571772006850185</v>
      </c>
      <c r="AE113" s="3506"/>
      <c r="AF113" s="185">
        <f>AF13</f>
        <v>1132031</v>
      </c>
      <c r="AG113" s="185"/>
      <c r="AH113" s="185">
        <f>AH13</f>
        <v>1184282.337326</v>
      </c>
      <c r="AI113" s="185"/>
      <c r="AJ113" s="185"/>
      <c r="AK113" s="185"/>
      <c r="AL113" s="185"/>
      <c r="AM113" s="185"/>
      <c r="AN113" s="185"/>
      <c r="AO113" s="185">
        <f>AO13</f>
        <v>1265000</v>
      </c>
      <c r="AP113" s="185"/>
      <c r="AQ113" s="185">
        <f>AQ13</f>
        <v>1701000</v>
      </c>
      <c r="AR113" s="185">
        <f>AR13</f>
        <v>1620000</v>
      </c>
      <c r="AS113" s="185"/>
      <c r="AT113" s="185"/>
      <c r="AU113" s="185"/>
      <c r="AV113" s="185">
        <f>SUM(AF113:AR113)</f>
        <v>6902313.3373259995</v>
      </c>
      <c r="AW113" s="3329"/>
      <c r="AX113" s="3329">
        <f>AV113/$AV$101</f>
        <v>0.16391578392268655</v>
      </c>
      <c r="AY113" s="3329">
        <f>AV113/AA113-1</f>
        <v>0.32505677017810775</v>
      </c>
      <c r="AZ113" s="185">
        <f>AZ13</f>
        <v>1790000</v>
      </c>
      <c r="BA113" s="185">
        <f>BA13</f>
        <v>1980000</v>
      </c>
      <c r="BB113" s="185">
        <f>BB13</f>
        <v>2190000</v>
      </c>
      <c r="BC113" s="185">
        <f>BC13</f>
        <v>2430000</v>
      </c>
      <c r="BD113" s="185">
        <f>BD13</f>
        <v>2730000</v>
      </c>
      <c r="BE113" s="185">
        <f>SUM(AY113:BD113)</f>
        <v>11120000.325056769</v>
      </c>
      <c r="BF113" s="185"/>
      <c r="BG113" s="3327">
        <f>BE113/$BE$101</f>
        <v>0.17099800485215291</v>
      </c>
      <c r="BH113" s="3327">
        <f>BE113/AV113</f>
        <v>1.6110541178886453</v>
      </c>
      <c r="BI113" s="3509"/>
      <c r="BJ113" s="3509"/>
      <c r="BK113" s="3509"/>
    </row>
    <row r="114" spans="1:63" s="817" customFormat="1">
      <c r="A114" s="3446" t="s">
        <v>29</v>
      </c>
      <c r="B114" s="3475" t="s">
        <v>1993</v>
      </c>
      <c r="C114" s="3510"/>
      <c r="D114" s="3510"/>
      <c r="E114" s="3510"/>
      <c r="F114" s="3510"/>
      <c r="G114" s="3510"/>
      <c r="H114" s="3450"/>
      <c r="I114" s="3498"/>
      <c r="J114" s="3487">
        <f>(D114*E114*F114*G114*H114)^(1/5)-1</f>
        <v>-1</v>
      </c>
      <c r="K114" s="3450">
        <f>K113/H113</f>
        <v>1.172176064365819</v>
      </c>
      <c r="L114" s="3450">
        <f>L113/K113</f>
        <v>1.0396866195212895</v>
      </c>
      <c r="M114" s="3450">
        <f>M113/L113</f>
        <v>1.0159415587308609</v>
      </c>
      <c r="N114" s="3450">
        <f>N113/M113</f>
        <v>0.6880451703940339</v>
      </c>
      <c r="O114" s="3450">
        <f>O113/N113</f>
        <v>0.78826565393767511</v>
      </c>
      <c r="P114" s="3450"/>
      <c r="Q114" s="3472">
        <f>(K114*L114*M114*N114*O114)^(1/5)-1</f>
        <v>-7.6555674498281601E-2</v>
      </c>
      <c r="R114" s="3450"/>
      <c r="S114" s="3450">
        <f>S113/O113</f>
        <v>1.1489027331532253</v>
      </c>
      <c r="T114" s="3450">
        <f>T113/S113</f>
        <v>1.3282322815721228</v>
      </c>
      <c r="U114" s="3450"/>
      <c r="V114" s="3450">
        <f>V113/T113</f>
        <v>1.0540519408859952</v>
      </c>
      <c r="W114" s="3450"/>
      <c r="X114" s="3450">
        <f>X113/V113</f>
        <v>1.5163397723166459</v>
      </c>
      <c r="Y114" s="3450"/>
      <c r="Z114" s="3450">
        <f>Z113/X113</f>
        <v>0.88412069565557694</v>
      </c>
      <c r="AA114" s="3450"/>
      <c r="AB114" s="3441">
        <f>(S114*T114*V114*X114*Z114)^(1/5)-1</f>
        <v>0.16612599815317886</v>
      </c>
      <c r="AC114" s="3450"/>
      <c r="AD114" s="3450"/>
      <c r="AE114" s="3499"/>
      <c r="AF114" s="3450">
        <f>AF113/Z113</f>
        <v>0.89479993983188499</v>
      </c>
      <c r="AG114" s="3450"/>
      <c r="AH114" s="3450">
        <f>AH113/AF113</f>
        <v>1.0461571611784484</v>
      </c>
      <c r="AI114" s="3450"/>
      <c r="AJ114" s="3450"/>
      <c r="AK114" s="3450"/>
      <c r="AL114" s="3450"/>
      <c r="AM114" s="3450"/>
      <c r="AN114" s="3450"/>
      <c r="AO114" s="3450">
        <f>AO113/AH113</f>
        <v>1.0681574487180592</v>
      </c>
      <c r="AP114" s="3450"/>
      <c r="AQ114" s="3450">
        <f>AQ113/AO113</f>
        <v>1.3446640316205534</v>
      </c>
      <c r="AR114" s="3450">
        <f>AR113/AQ113</f>
        <v>0.95238095238095233</v>
      </c>
      <c r="AS114" s="3450"/>
      <c r="AT114" s="3450"/>
      <c r="AU114" s="3450"/>
      <c r="AV114" s="3450"/>
      <c r="AW114" s="3450">
        <f>(AO114*AQ114*AR114*AF114*AH114)^(1/5)-1</f>
        <v>5.0694667607676047E-2</v>
      </c>
      <c r="AX114" s="3450"/>
      <c r="AY114" s="3450"/>
      <c r="AZ114" s="3450">
        <f>AZ113/AR113</f>
        <v>1.1049382716049383</v>
      </c>
      <c r="BA114" s="3450">
        <f>BA113/AZ113</f>
        <v>1.1061452513966481</v>
      </c>
      <c r="BB114" s="3450">
        <f>BB113/BA113</f>
        <v>1.106060606060606</v>
      </c>
      <c r="BC114" s="3450">
        <f>BC113/BB113</f>
        <v>1.1095890410958904</v>
      </c>
      <c r="BD114" s="3450">
        <f>BD113/BC113</f>
        <v>1.1234567901234569</v>
      </c>
      <c r="BE114" s="3450"/>
      <c r="BF114" s="3469">
        <f>(AZ114*BA114*BB114*BC114*BD114)^(1/5)-1</f>
        <v>0.11001673522571775</v>
      </c>
      <c r="BG114" s="3450"/>
      <c r="BH114" s="3450"/>
      <c r="BI114" s="3511"/>
      <c r="BJ114" s="3511"/>
      <c r="BK114" s="3511"/>
    </row>
    <row r="115" spans="1:63" s="817" customFormat="1">
      <c r="A115" s="3446" t="s">
        <v>29</v>
      </c>
      <c r="B115" s="3475" t="s">
        <v>1995</v>
      </c>
      <c r="C115" s="3510"/>
      <c r="D115" s="3510"/>
      <c r="E115" s="3510"/>
      <c r="F115" s="3510"/>
      <c r="G115" s="3510"/>
      <c r="H115" s="3450"/>
      <c r="I115" s="3498"/>
      <c r="J115" s="3498"/>
      <c r="K115" s="3450">
        <f>K113/$K$101</f>
        <v>0.24639774116809549</v>
      </c>
      <c r="L115" s="3450">
        <f>L113/$L$101</f>
        <v>0.2356338027650445</v>
      </c>
      <c r="M115" s="3450">
        <f>M113/$M$101</f>
        <v>0.23601970959035018</v>
      </c>
      <c r="N115" s="3450">
        <f>N113/$N$101</f>
        <v>0.18098191269766492</v>
      </c>
      <c r="O115" s="3450">
        <f>O113/$O$101</f>
        <v>0.11337002413739863</v>
      </c>
      <c r="P115" s="3450">
        <f>P113/$P$101</f>
        <v>0.19966415667810991</v>
      </c>
      <c r="Q115" s="3450"/>
      <c r="R115" s="3450"/>
      <c r="S115" s="3450">
        <f>S113/$S$101</f>
        <v>0.10640371195269796</v>
      </c>
      <c r="T115" s="3450">
        <f>T113/$T$101</f>
        <v>0.13066075928824245</v>
      </c>
      <c r="U115" s="3450"/>
      <c r="V115" s="3450">
        <f>V113/$V$101</f>
        <v>0.13512268559485946</v>
      </c>
      <c r="W115" s="3450"/>
      <c r="X115" s="3450">
        <f>X113/$X$101</f>
        <v>0.16314398348286566</v>
      </c>
      <c r="Y115" s="3450"/>
      <c r="Z115" s="3450">
        <f>Z113/$Z$101</f>
        <v>0.15005909742349746</v>
      </c>
      <c r="AA115" s="3450">
        <f>AA113/$AA$101</f>
        <v>0.1393825040309607</v>
      </c>
      <c r="AB115" s="3450"/>
      <c r="AC115" s="3441"/>
      <c r="AD115" s="3441"/>
      <c r="AE115" s="3443"/>
      <c r="AF115" s="3450">
        <f>AF113/$AF$101</f>
        <v>0.15693650040633242</v>
      </c>
      <c r="AG115" s="3450"/>
      <c r="AH115" s="3450">
        <f>AH113/$AH$101</f>
        <v>0.15034507740663414</v>
      </c>
      <c r="AI115" s="3450"/>
      <c r="AJ115" s="3450"/>
      <c r="AK115" s="3450"/>
      <c r="AL115" s="3450"/>
      <c r="AM115" s="3450"/>
      <c r="AN115" s="3450"/>
      <c r="AO115" s="3450">
        <f>AO113/$AO$101</f>
        <v>0.16666666666666666</v>
      </c>
      <c r="AP115" s="3450"/>
      <c r="AQ115" s="3450">
        <f>AQ113/$AQ$101</f>
        <v>0.18357435786747248</v>
      </c>
      <c r="AR115" s="3450">
        <f>AR113/$AR$101</f>
        <v>0.15940959880175939</v>
      </c>
      <c r="AS115" s="3450"/>
      <c r="AT115" s="3450"/>
      <c r="AU115" s="3450"/>
      <c r="AV115" s="3450"/>
      <c r="AW115" s="3441"/>
      <c r="AX115" s="3441"/>
      <c r="AY115" s="3441"/>
      <c r="AZ115" s="3450">
        <f>AZ113/AZ101</f>
        <v>0.1621523688739922</v>
      </c>
      <c r="BA115" s="3450">
        <f>BA113/BA101</f>
        <v>0.16588472104736929</v>
      </c>
      <c r="BB115" s="3450">
        <f>BB113/BB101</f>
        <v>0.16985302133356206</v>
      </c>
      <c r="BC115" s="3450">
        <f>BC113/BC101</f>
        <v>0.17405006592173891</v>
      </c>
      <c r="BD115" s="3450">
        <f>BD113/BD101</f>
        <v>0.17960526282947878</v>
      </c>
      <c r="BE115" s="3450"/>
      <c r="BF115" s="3450"/>
      <c r="BG115" s="3450"/>
      <c r="BH115" s="3450"/>
      <c r="BI115" s="3511"/>
      <c r="BJ115" s="3511"/>
      <c r="BK115" s="3511"/>
    </row>
    <row r="116" spans="1:63" s="3508" customFormat="1">
      <c r="A116" s="3504" t="s">
        <v>147</v>
      </c>
      <c r="B116" s="3103" t="s">
        <v>1975</v>
      </c>
      <c r="C116" s="185">
        <f t="shared" ref="C116:P116" si="125">C18</f>
        <v>121877.060023</v>
      </c>
      <c r="D116" s="185">
        <f t="shared" si="125"/>
        <v>154600</v>
      </c>
      <c r="E116" s="185">
        <f t="shared" si="125"/>
        <v>172040</v>
      </c>
      <c r="F116" s="185">
        <f t="shared" si="125"/>
        <v>185420</v>
      </c>
      <c r="G116" s="185">
        <f t="shared" si="125"/>
        <v>382620</v>
      </c>
      <c r="H116" s="185">
        <f t="shared" si="125"/>
        <v>499448.84769999998</v>
      </c>
      <c r="I116" s="185"/>
      <c r="J116" s="3505"/>
      <c r="K116" s="185">
        <f t="shared" si="125"/>
        <v>650890.53007500002</v>
      </c>
      <c r="L116" s="185">
        <f t="shared" si="125"/>
        <v>646721.78421900002</v>
      </c>
      <c r="M116" s="185">
        <f t="shared" si="125"/>
        <v>553543.69900000002</v>
      </c>
      <c r="N116" s="185">
        <f t="shared" si="125"/>
        <v>670403.16145000001</v>
      </c>
      <c r="O116" s="185">
        <f t="shared" si="125"/>
        <v>1299030</v>
      </c>
      <c r="P116" s="185">
        <f t="shared" si="125"/>
        <v>3820589.1747440002</v>
      </c>
      <c r="Q116" s="3329"/>
      <c r="R116" s="3329">
        <f>P116/$P$101</f>
        <v>0.16946114329745751</v>
      </c>
      <c r="S116" s="185">
        <f>S18</f>
        <v>2273225</v>
      </c>
      <c r="T116" s="185">
        <f>T18</f>
        <v>1947905</v>
      </c>
      <c r="U116" s="185"/>
      <c r="V116" s="185">
        <f>V18</f>
        <v>1700536</v>
      </c>
      <c r="W116" s="185"/>
      <c r="X116" s="185">
        <f>X18</f>
        <v>2280939</v>
      </c>
      <c r="Y116" s="185"/>
      <c r="Z116" s="185">
        <f>Z18</f>
        <v>1939730</v>
      </c>
      <c r="AA116" s="3334">
        <f>SUM(S116:Z116)</f>
        <v>10142335</v>
      </c>
      <c r="AB116" s="185"/>
      <c r="AC116" s="3329"/>
      <c r="AD116" s="3329">
        <f>AA116/P116-1</f>
        <v>1.6546520801152589</v>
      </c>
      <c r="AE116" s="3506"/>
      <c r="AF116" s="185">
        <f>AF18</f>
        <v>1312857</v>
      </c>
      <c r="AG116" s="185"/>
      <c r="AH116" s="185">
        <f>AH18</f>
        <v>926612.70443099993</v>
      </c>
      <c r="AI116" s="185"/>
      <c r="AJ116" s="185"/>
      <c r="AK116" s="185"/>
      <c r="AL116" s="185"/>
      <c r="AM116" s="185"/>
      <c r="AN116" s="185"/>
      <c r="AO116" s="185">
        <f>AO18</f>
        <v>1500000</v>
      </c>
      <c r="AP116" s="185"/>
      <c r="AQ116" s="185">
        <f>AQ18</f>
        <v>1065000</v>
      </c>
      <c r="AR116" s="185">
        <f>AR18</f>
        <v>1750000</v>
      </c>
      <c r="AS116" s="185"/>
      <c r="AT116" s="185"/>
      <c r="AU116" s="185"/>
      <c r="AV116" s="185">
        <f>SUM(AF116:AR116)</f>
        <v>6554469.7044310002</v>
      </c>
      <c r="AW116" s="3329"/>
      <c r="AX116" s="3329">
        <f>AV116/$AV$101</f>
        <v>0.15565521112890088</v>
      </c>
      <c r="AY116" s="3329">
        <f>AV116/AA116-1</f>
        <v>-0.35375140887862611</v>
      </c>
      <c r="AZ116" s="185">
        <f>AZ18</f>
        <v>1900000</v>
      </c>
      <c r="BA116" s="185">
        <f>BA18</f>
        <v>2100000</v>
      </c>
      <c r="BB116" s="185">
        <f>BB18</f>
        <v>2300000</v>
      </c>
      <c r="BC116" s="185">
        <f>BC18</f>
        <v>2500000</v>
      </c>
      <c r="BD116" s="185">
        <f>BD18</f>
        <v>2670000</v>
      </c>
      <c r="BE116" s="185">
        <f>SUM(AY116:BD116)</f>
        <v>11469999.64624859</v>
      </c>
      <c r="BF116" s="185"/>
      <c r="BG116" s="3327">
        <f>BE116/$BE$101</f>
        <v>0.17638012570412365</v>
      </c>
      <c r="BH116" s="3327">
        <f>BE116/AV116</f>
        <v>1.7499508218787796</v>
      </c>
      <c r="BI116" s="3509"/>
      <c r="BJ116" s="3509"/>
      <c r="BK116" s="3509"/>
    </row>
    <row r="117" spans="1:63" s="817" customFormat="1">
      <c r="A117" s="3446" t="s">
        <v>29</v>
      </c>
      <c r="B117" s="3475" t="s">
        <v>1993</v>
      </c>
      <c r="C117" s="3510"/>
      <c r="D117" s="3510"/>
      <c r="E117" s="3510"/>
      <c r="F117" s="3510"/>
      <c r="G117" s="3510"/>
      <c r="H117" s="3450"/>
      <c r="I117" s="3498"/>
      <c r="J117" s="3487">
        <f>(D117*E117*F117*G117*H117)^(1/5)-1</f>
        <v>-1</v>
      </c>
      <c r="K117" s="3450">
        <f>K116/H116</f>
        <v>1.303217602908487</v>
      </c>
      <c r="L117" s="3450">
        <f>L116/K116</f>
        <v>0.99359531954548541</v>
      </c>
      <c r="M117" s="3450">
        <f>M116/L116</f>
        <v>0.85592245770486208</v>
      </c>
      <c r="N117" s="3450">
        <f>N116/M116</f>
        <v>1.2111115394522809</v>
      </c>
      <c r="O117" s="3450">
        <f>O116/N116</f>
        <v>1.9376847764117893</v>
      </c>
      <c r="P117" s="3450"/>
      <c r="Q117" s="3472">
        <f>(K117*L117*M117*N117*O117)^(1/5)-1</f>
        <v>0.21066958798459878</v>
      </c>
      <c r="R117" s="3450"/>
      <c r="S117" s="3450">
        <f>S116/O116</f>
        <v>1.7499403400999207</v>
      </c>
      <c r="T117" s="3450">
        <f>T116/S116</f>
        <v>0.85689054097152728</v>
      </c>
      <c r="U117" s="3450"/>
      <c r="V117" s="3450">
        <f>V116/T116</f>
        <v>0.87300766721169665</v>
      </c>
      <c r="W117" s="3450"/>
      <c r="X117" s="3450">
        <f>X116/V116</f>
        <v>1.3413059176636073</v>
      </c>
      <c r="Y117" s="3450"/>
      <c r="Z117" s="3450">
        <f>Z116/X116</f>
        <v>0.85040853788724735</v>
      </c>
      <c r="AA117" s="3450"/>
      <c r="AB117" s="3441">
        <f>(S117*T117*V117*X117*Z117)^(1/5)-1</f>
        <v>8.3488784977151065E-2</v>
      </c>
      <c r="AC117" s="3450"/>
      <c r="AD117" s="3450"/>
      <c r="AE117" s="3499"/>
      <c r="AF117" s="3450">
        <f>AF116/Z116</f>
        <v>0.67682460961061586</v>
      </c>
      <c r="AG117" s="3450"/>
      <c r="AH117" s="3450">
        <f>AH116/AF116</f>
        <v>0.70579865471334646</v>
      </c>
      <c r="AI117" s="3450"/>
      <c r="AJ117" s="3450"/>
      <c r="AK117" s="3450"/>
      <c r="AL117" s="3450"/>
      <c r="AM117" s="3450"/>
      <c r="AN117" s="3450"/>
      <c r="AO117" s="3450">
        <f>AO116/AH116</f>
        <v>1.6187993029095116</v>
      </c>
      <c r="AP117" s="3450"/>
      <c r="AQ117" s="3450">
        <f>AQ116/AO116</f>
        <v>0.71</v>
      </c>
      <c r="AR117" s="3450">
        <f>AR116/AQ116</f>
        <v>1.6431924882629108</v>
      </c>
      <c r="AS117" s="3450"/>
      <c r="AT117" s="3450"/>
      <c r="AU117" s="3450"/>
      <c r="AV117" s="3450"/>
      <c r="AW117" s="3450">
        <f>(AO117*AQ117*AR117*AF117*AH117)^(1/5)-1</f>
        <v>-2.0376142663472319E-2</v>
      </c>
      <c r="AX117" s="3450"/>
      <c r="AY117" s="3450"/>
      <c r="AZ117" s="3450">
        <f>AZ116/AR116</f>
        <v>1.0857142857142856</v>
      </c>
      <c r="BA117" s="3450">
        <f>BA116/AZ116</f>
        <v>1.1052631578947369</v>
      </c>
      <c r="BB117" s="3450">
        <f>BB116/BA116</f>
        <v>1.0952380952380953</v>
      </c>
      <c r="BC117" s="3450">
        <f>BC116/BB116</f>
        <v>1.0869565217391304</v>
      </c>
      <c r="BD117" s="3450">
        <f>BD116/BC116</f>
        <v>1.0680000000000001</v>
      </c>
      <c r="BE117" s="3450"/>
      <c r="BF117" s="3469">
        <f>(AZ117*BA117*BB117*BC117*BD117)^(1/5)-1</f>
        <v>8.8164723114491528E-2</v>
      </c>
      <c r="BG117" s="3450"/>
      <c r="BH117" s="3450"/>
      <c r="BI117" s="3511"/>
      <c r="BJ117" s="3511"/>
      <c r="BK117" s="3511"/>
    </row>
    <row r="118" spans="1:63" s="817" customFormat="1">
      <c r="A118" s="3446" t="s">
        <v>29</v>
      </c>
      <c r="B118" s="3475" t="s">
        <v>1995</v>
      </c>
      <c r="C118" s="3510"/>
      <c r="D118" s="3510"/>
      <c r="E118" s="3510"/>
      <c r="F118" s="3510"/>
      <c r="G118" s="3510"/>
      <c r="H118" s="3450"/>
      <c r="I118" s="3498"/>
      <c r="J118" s="3498"/>
      <c r="K118" s="3450">
        <f>K116/$K$101</f>
        <v>0.1566031257775036</v>
      </c>
      <c r="L118" s="3450">
        <f>L116/$L$101</f>
        <v>0.14312265319508877</v>
      </c>
      <c r="M118" s="3450">
        <f>M116/$M$101</f>
        <v>0.12077714336112548</v>
      </c>
      <c r="N118" s="3450">
        <f>N116/$N$101</f>
        <v>0.16301923350706124</v>
      </c>
      <c r="O118" s="3450">
        <f>O116/$O$101</f>
        <v>0.25102237564486041</v>
      </c>
      <c r="P118" s="3450">
        <f>P116/$P$101</f>
        <v>0.16946114329745751</v>
      </c>
      <c r="Q118" s="3450"/>
      <c r="R118" s="3450"/>
      <c r="S118" s="3450">
        <f>S116/$S$101</f>
        <v>0.35884835130002168</v>
      </c>
      <c r="T118" s="3450">
        <f>T116/$T$101</f>
        <v>0.28428285714118923</v>
      </c>
      <c r="U118" s="3450"/>
      <c r="V118" s="3450">
        <f>V116/$V$101</f>
        <v>0.24349486559597061</v>
      </c>
      <c r="W118" s="3450"/>
      <c r="X118" s="3450">
        <f>X116/$X$101</f>
        <v>0.26005422634762942</v>
      </c>
      <c r="Y118" s="3450"/>
      <c r="Z118" s="3450">
        <f>Z116/$Z$101</f>
        <v>0.23007595793360369</v>
      </c>
      <c r="AA118" s="3450">
        <f>AA116/$AA$101</f>
        <v>0.27138511791152076</v>
      </c>
      <c r="AB118" s="3450"/>
      <c r="AC118" s="3441"/>
      <c r="AD118" s="3441"/>
      <c r="AE118" s="3443"/>
      <c r="AF118" s="3450">
        <f>AF116/$AF$101</f>
        <v>0.18200489484294718</v>
      </c>
      <c r="AG118" s="3450"/>
      <c r="AH118" s="3450">
        <f>AH116/$AH$101</f>
        <v>0.11763382293465774</v>
      </c>
      <c r="AI118" s="3450"/>
      <c r="AJ118" s="3450"/>
      <c r="AK118" s="3450"/>
      <c r="AL118" s="3450"/>
      <c r="AM118" s="3450"/>
      <c r="AN118" s="3450"/>
      <c r="AO118" s="3450">
        <f>AO116/$AO$101</f>
        <v>0.19762845849802371</v>
      </c>
      <c r="AP118" s="3450"/>
      <c r="AQ118" s="3450">
        <f>AQ116/$AQ$101</f>
        <v>0.11493632635441399</v>
      </c>
      <c r="AR118" s="3450">
        <f>AR116/$AR$101</f>
        <v>0.172201727100666</v>
      </c>
      <c r="AS118" s="3450"/>
      <c r="AT118" s="3450"/>
      <c r="AU118" s="3450"/>
      <c r="AV118" s="3450"/>
      <c r="AW118" s="3441"/>
      <c r="AX118" s="3441"/>
      <c r="AY118" s="3441"/>
      <c r="AZ118" s="3450">
        <f>AZ116/AZ101</f>
        <v>0.1721170395869191</v>
      </c>
      <c r="BA118" s="3450">
        <f>BA116/BA101</f>
        <v>0.1759383405047856</v>
      </c>
      <c r="BB118" s="3450">
        <f>BB116/BB101</f>
        <v>0.17838445162885511</v>
      </c>
      <c r="BC118" s="3450">
        <f>BC116/BC101</f>
        <v>0.17906385382894952</v>
      </c>
      <c r="BD118" s="3450">
        <f>BD116/BD101</f>
        <v>0.17565789441564408</v>
      </c>
      <c r="BE118" s="3450"/>
      <c r="BF118" s="3450"/>
      <c r="BG118" s="3450"/>
      <c r="BH118" s="3450"/>
      <c r="BI118" s="3511"/>
      <c r="BJ118" s="3511"/>
      <c r="BK118" s="3511"/>
    </row>
    <row r="119" spans="1:63" s="3508" customFormat="1">
      <c r="A119" s="3504" t="s">
        <v>148</v>
      </c>
      <c r="B119" s="3103" t="s">
        <v>23</v>
      </c>
      <c r="C119" s="185">
        <f t="shared" ref="C119:P119" si="126">C20</f>
        <v>153669.14994599999</v>
      </c>
      <c r="D119" s="185">
        <f t="shared" si="126"/>
        <v>191500</v>
      </c>
      <c r="E119" s="185">
        <f t="shared" si="126"/>
        <v>415260</v>
      </c>
      <c r="F119" s="185">
        <f t="shared" si="126"/>
        <v>444040</v>
      </c>
      <c r="G119" s="185">
        <f t="shared" si="126"/>
        <v>300000</v>
      </c>
      <c r="H119" s="185">
        <f t="shared" si="126"/>
        <v>407675.25223099999</v>
      </c>
      <c r="I119" s="185"/>
      <c r="J119" s="3505"/>
      <c r="K119" s="185">
        <f t="shared" si="126"/>
        <v>394171.66318199999</v>
      </c>
      <c r="L119" s="185">
        <f t="shared" si="126"/>
        <v>413801.849995</v>
      </c>
      <c r="M119" s="185">
        <f t="shared" si="126"/>
        <v>312735.00110200001</v>
      </c>
      <c r="N119" s="185">
        <f t="shared" si="126"/>
        <v>379564.95398699999</v>
      </c>
      <c r="O119" s="185">
        <f t="shared" si="126"/>
        <v>383777</v>
      </c>
      <c r="P119" s="185">
        <f t="shared" si="126"/>
        <v>1884050.468266</v>
      </c>
      <c r="Q119" s="3329"/>
      <c r="R119" s="3329">
        <f>P119/$P$101</f>
        <v>8.3566521230029819E-2</v>
      </c>
      <c r="S119" s="185">
        <f>S20</f>
        <v>454422</v>
      </c>
      <c r="T119" s="185">
        <f>T20</f>
        <v>639601</v>
      </c>
      <c r="U119" s="185"/>
      <c r="V119" s="185">
        <f>V20</f>
        <v>843422</v>
      </c>
      <c r="W119" s="185"/>
      <c r="X119" s="185">
        <f>X20</f>
        <v>964965</v>
      </c>
      <c r="Y119" s="185"/>
      <c r="Z119" s="185">
        <f>Z20</f>
        <v>834389.9</v>
      </c>
      <c r="AA119" s="3334">
        <f>SUM(S119:Z119)</f>
        <v>3736799.9</v>
      </c>
      <c r="AB119" s="185"/>
      <c r="AC119" s="3329"/>
      <c r="AD119" s="3329">
        <f>AA119/P119-1</f>
        <v>0.98338630675811545</v>
      </c>
      <c r="AE119" s="3506"/>
      <c r="AF119" s="185">
        <f>AF20</f>
        <v>1239694</v>
      </c>
      <c r="AG119" s="185"/>
      <c r="AH119" s="185">
        <f>AH20</f>
        <v>1029162.981864</v>
      </c>
      <c r="AI119" s="185"/>
      <c r="AJ119" s="185"/>
      <c r="AK119" s="185"/>
      <c r="AL119" s="185"/>
      <c r="AM119" s="185"/>
      <c r="AN119" s="185"/>
      <c r="AO119" s="185">
        <f>AO20</f>
        <v>900000</v>
      </c>
      <c r="AP119" s="185"/>
      <c r="AQ119" s="185">
        <f>AQ20</f>
        <v>1770000</v>
      </c>
      <c r="AR119" s="185">
        <f>AR20</f>
        <v>1200000</v>
      </c>
      <c r="AS119" s="185"/>
      <c r="AT119" s="185"/>
      <c r="AU119" s="185"/>
      <c r="AV119" s="185">
        <f>SUM(AF119:AR119)</f>
        <v>6138856.9818639997</v>
      </c>
      <c r="AW119" s="3329"/>
      <c r="AX119" s="3329">
        <f>AV119/$AV$101</f>
        <v>0.14578526146153267</v>
      </c>
      <c r="AY119" s="3329">
        <f>AV119/AA119-1</f>
        <v>0.64281126796861665</v>
      </c>
      <c r="AZ119" s="185">
        <f>AZ20</f>
        <v>1260000</v>
      </c>
      <c r="BA119" s="185">
        <f>BA20</f>
        <v>1300000</v>
      </c>
      <c r="BB119" s="185">
        <f>BB20</f>
        <v>1350000</v>
      </c>
      <c r="BC119" s="185">
        <f>BC20</f>
        <v>1400000</v>
      </c>
      <c r="BD119" s="185">
        <f>BD20</f>
        <v>1450000</v>
      </c>
      <c r="BE119" s="185">
        <f>SUM(AY119:BD119)</f>
        <v>6760000.6428112676</v>
      </c>
      <c r="BF119" s="185"/>
      <c r="BG119" s="3327">
        <f>BE119/$BE$101</f>
        <v>0.10395203137856894</v>
      </c>
      <c r="BH119" s="3327">
        <f>BE119/AV119</f>
        <v>1.1011822987214575</v>
      </c>
      <c r="BI119" s="3509"/>
      <c r="BJ119" s="3509"/>
      <c r="BK119" s="3509"/>
    </row>
    <row r="120" spans="1:63" s="817" customFormat="1">
      <c r="A120" s="3446" t="s">
        <v>29</v>
      </c>
      <c r="B120" s="3475" t="s">
        <v>1993</v>
      </c>
      <c r="C120" s="3510"/>
      <c r="D120" s="3510"/>
      <c r="E120" s="3510"/>
      <c r="F120" s="3510"/>
      <c r="G120" s="3510"/>
      <c r="H120" s="3450"/>
      <c r="I120" s="3498"/>
      <c r="J120" s="3487">
        <f>(D120*E120*F120*G120*H120)^(1/5)-1</f>
        <v>-1</v>
      </c>
      <c r="K120" s="3450">
        <f>K119/H119</f>
        <v>0.96687660343594151</v>
      </c>
      <c r="L120" s="3450">
        <f>L119/K119</f>
        <v>1.0498011111568317</v>
      </c>
      <c r="M120" s="3450">
        <f>M119/L119</f>
        <v>0.755760277789427</v>
      </c>
      <c r="N120" s="3450">
        <f>N119/M119</f>
        <v>1.2136951497258315</v>
      </c>
      <c r="O120" s="3450">
        <f>O119/N119</f>
        <v>1.0110970361429741</v>
      </c>
      <c r="P120" s="3450"/>
      <c r="Q120" s="3472">
        <f>(K120*L120*M120*N120*O120)^(1/5)-1</f>
        <v>-1.2009157956660799E-2</v>
      </c>
      <c r="R120" s="3450"/>
      <c r="S120" s="3450">
        <f>S119/O119</f>
        <v>1.1840782537775845</v>
      </c>
      <c r="T120" s="3450">
        <f>T119/S119</f>
        <v>1.4075044782162835</v>
      </c>
      <c r="U120" s="3450"/>
      <c r="V120" s="3450">
        <f>V119/T119</f>
        <v>1.3186689826938982</v>
      </c>
      <c r="W120" s="3450"/>
      <c r="X120" s="3450">
        <f>X119/V119</f>
        <v>1.1441069832183652</v>
      </c>
      <c r="Y120" s="3450"/>
      <c r="Z120" s="3450">
        <f>Z119/X119</f>
        <v>0.86468410771375126</v>
      </c>
      <c r="AA120" s="3450"/>
      <c r="AB120" s="3441">
        <f>(S120*T120*V120*X120*Z120)^(1/5)-1</f>
        <v>0.16804081585277508</v>
      </c>
      <c r="AC120" s="3450"/>
      <c r="AD120" s="3450"/>
      <c r="AE120" s="3499"/>
      <c r="AF120" s="3450">
        <f>AF119/Z119</f>
        <v>1.4857490484963924</v>
      </c>
      <c r="AG120" s="3450"/>
      <c r="AH120" s="3450">
        <f>AH119/AF119</f>
        <v>0.8301750124337135</v>
      </c>
      <c r="AI120" s="3450"/>
      <c r="AJ120" s="3450"/>
      <c r="AK120" s="3450"/>
      <c r="AL120" s="3450"/>
      <c r="AM120" s="3450"/>
      <c r="AN120" s="3450"/>
      <c r="AO120" s="3450">
        <f>AO119/AH119</f>
        <v>0.87449705815296375</v>
      </c>
      <c r="AP120" s="3450"/>
      <c r="AQ120" s="3450">
        <f>AQ119/AO119</f>
        <v>1.9666666666666666</v>
      </c>
      <c r="AR120" s="3450">
        <f>AR119/AQ119</f>
        <v>0.67796610169491522</v>
      </c>
      <c r="AS120" s="3450"/>
      <c r="AT120" s="3450"/>
      <c r="AU120" s="3450"/>
      <c r="AV120" s="3450"/>
      <c r="AW120" s="3450">
        <f>(AO120*AQ120*AR120*AF120*AH120)^(1/5)-1</f>
        <v>7.5381204258923917E-2</v>
      </c>
      <c r="AX120" s="3450"/>
      <c r="AY120" s="3450"/>
      <c r="AZ120" s="3450">
        <f>AZ119/AR119</f>
        <v>1.05</v>
      </c>
      <c r="BA120" s="3450">
        <f>BA119/AZ119</f>
        <v>1.0317460317460319</v>
      </c>
      <c r="BB120" s="3450">
        <f>BB119/BA119</f>
        <v>1.0384615384615385</v>
      </c>
      <c r="BC120" s="3450">
        <f>BC119/BB119</f>
        <v>1.037037037037037</v>
      </c>
      <c r="BD120" s="3450">
        <f>BD119/BC119</f>
        <v>1.0357142857142858</v>
      </c>
      <c r="BE120" s="3450"/>
      <c r="BF120" s="3469">
        <f>(AZ120*BA120*BB120*BC120*BD120)^(1/5)-1</f>
        <v>3.8573773084258578E-2</v>
      </c>
      <c r="BG120" s="3450"/>
      <c r="BH120" s="3450"/>
      <c r="BI120" s="3511"/>
      <c r="BJ120" s="3511"/>
      <c r="BK120" s="3511"/>
    </row>
    <row r="121" spans="1:63" s="817" customFormat="1">
      <c r="A121" s="3446" t="s">
        <v>29</v>
      </c>
      <c r="B121" s="3475" t="s">
        <v>1995</v>
      </c>
      <c r="C121" s="3510"/>
      <c r="D121" s="3510"/>
      <c r="E121" s="3510"/>
      <c r="F121" s="3510"/>
      <c r="G121" s="3510"/>
      <c r="H121" s="3450"/>
      <c r="I121" s="3498"/>
      <c r="J121" s="3498"/>
      <c r="K121" s="3450">
        <f>K119/$K$101</f>
        <v>9.4837014359550983E-2</v>
      </c>
      <c r="L121" s="3450">
        <f>L119/$L$101</f>
        <v>9.1576347223005103E-2</v>
      </c>
      <c r="M121" s="3450">
        <f>M119/$M$101</f>
        <v>6.8235335584838783E-2</v>
      </c>
      <c r="N121" s="3450">
        <f>N119/$N$101</f>
        <v>9.2297279343481392E-2</v>
      </c>
      <c r="O121" s="3450">
        <f>O119/$O$101</f>
        <v>7.4160422975495258E-2</v>
      </c>
      <c r="P121" s="3450">
        <f>P119/$P$101</f>
        <v>8.3566521230029819E-2</v>
      </c>
      <c r="Q121" s="3450"/>
      <c r="R121" s="3450"/>
      <c r="S121" s="3450">
        <f>S119/$S$101</f>
        <v>7.1734467769120278E-2</v>
      </c>
      <c r="T121" s="3450">
        <f>T119/$T$101</f>
        <v>9.3345209191599054E-2</v>
      </c>
      <c r="U121" s="3450"/>
      <c r="V121" s="3450">
        <f>V119/$V$101</f>
        <v>0.1207671737209237</v>
      </c>
      <c r="W121" s="3450"/>
      <c r="X121" s="3450">
        <f>X119/$X$101</f>
        <v>0.1100175088099858</v>
      </c>
      <c r="Y121" s="3450"/>
      <c r="Z121" s="3450">
        <f>Z119/$Z$101</f>
        <v>9.8968957294377977E-2</v>
      </c>
      <c r="AA121" s="3450">
        <f>AA119/$AA$101</f>
        <v>9.9988008823733293E-2</v>
      </c>
      <c r="AB121" s="3450"/>
      <c r="AC121" s="3441"/>
      <c r="AD121" s="3441"/>
      <c r="AE121" s="3443"/>
      <c r="AF121" s="3450">
        <f>AF119/$AF$101</f>
        <v>0.17186211149228939</v>
      </c>
      <c r="AG121" s="3450"/>
      <c r="AH121" s="3450">
        <f>AH119/$AH$101</f>
        <v>0.13065261829518676</v>
      </c>
      <c r="AI121" s="3450"/>
      <c r="AJ121" s="3450"/>
      <c r="AK121" s="3450"/>
      <c r="AL121" s="3450"/>
      <c r="AM121" s="3450"/>
      <c r="AN121" s="3450"/>
      <c r="AO121" s="3450">
        <f>AO119/$AO$101</f>
        <v>0.11857707509881422</v>
      </c>
      <c r="AP121" s="3450"/>
      <c r="AQ121" s="3450">
        <f>AQ119/$AQ$101</f>
        <v>0.19102093675804013</v>
      </c>
      <c r="AR121" s="3450">
        <f>AR119/$AR$101</f>
        <v>0.11808118429759955</v>
      </c>
      <c r="AS121" s="3450"/>
      <c r="AT121" s="3450"/>
      <c r="AU121" s="3450"/>
      <c r="AV121" s="3450"/>
      <c r="AW121" s="3441"/>
      <c r="AX121" s="3441"/>
      <c r="AY121" s="3441"/>
      <c r="AZ121" s="3450">
        <f>AZ119/AZ101</f>
        <v>0.11414077362079898</v>
      </c>
      <c r="BA121" s="3450">
        <f>BA119/BA101</f>
        <v>0.1089142107886768</v>
      </c>
      <c r="BB121" s="3450">
        <f>BB119/BB101</f>
        <v>0.10470391726041496</v>
      </c>
      <c r="BC121" s="3450">
        <f>BC119/BC101</f>
        <v>0.10027575814421172</v>
      </c>
      <c r="BD121" s="3450">
        <f>BD119/BD101</f>
        <v>9.5394736667671884E-2</v>
      </c>
      <c r="BE121" s="3450"/>
      <c r="BF121" s="3450"/>
      <c r="BG121" s="3450"/>
      <c r="BH121" s="3450"/>
      <c r="BI121" s="3511"/>
      <c r="BJ121" s="3511"/>
      <c r="BK121" s="3511"/>
    </row>
    <row r="122" spans="1:63" s="3508" customFormat="1">
      <c r="A122" s="3504" t="s">
        <v>157</v>
      </c>
      <c r="B122" s="3103" t="s">
        <v>32</v>
      </c>
      <c r="C122" s="185">
        <f t="shared" ref="C122:P122" si="127">C27</f>
        <v>280003</v>
      </c>
      <c r="D122" s="185">
        <f t="shared" si="127"/>
        <v>349410</v>
      </c>
      <c r="E122" s="185">
        <f t="shared" si="127"/>
        <v>810346.39989600005</v>
      </c>
      <c r="F122" s="185">
        <f t="shared" si="127"/>
        <v>452760</v>
      </c>
      <c r="G122" s="185">
        <f t="shared" si="127"/>
        <v>500750</v>
      </c>
      <c r="H122" s="185">
        <f t="shared" si="127"/>
        <v>810346.39989600005</v>
      </c>
      <c r="I122" s="185"/>
      <c r="J122" s="3505"/>
      <c r="K122" s="185">
        <f t="shared" si="127"/>
        <v>687860.86755299999</v>
      </c>
      <c r="L122" s="185">
        <f t="shared" si="127"/>
        <v>804565.51386399998</v>
      </c>
      <c r="M122" s="185">
        <f t="shared" si="127"/>
        <v>941882.63027900003</v>
      </c>
      <c r="N122" s="185">
        <f t="shared" si="127"/>
        <v>954775.96481699997</v>
      </c>
      <c r="O122" s="185">
        <f t="shared" si="127"/>
        <v>1189344</v>
      </c>
      <c r="P122" s="185">
        <f t="shared" si="127"/>
        <v>4578428.9765130002</v>
      </c>
      <c r="Q122" s="3329"/>
      <c r="R122" s="3329">
        <f>P122/$P$101</f>
        <v>0.2030749115856165</v>
      </c>
      <c r="S122" s="185">
        <f>S27</f>
        <v>1310161</v>
      </c>
      <c r="T122" s="185">
        <f>T27</f>
        <v>1477896</v>
      </c>
      <c r="U122" s="185"/>
      <c r="V122" s="185">
        <f>V27</f>
        <v>1371274</v>
      </c>
      <c r="W122" s="185"/>
      <c r="X122" s="185">
        <f>X27</f>
        <v>1523285</v>
      </c>
      <c r="Y122" s="185"/>
      <c r="Z122" s="185">
        <f>Z27</f>
        <v>1976740.9</v>
      </c>
      <c r="AA122" s="3334">
        <f>SUM(S122:Z122)</f>
        <v>7659356.9000000004</v>
      </c>
      <c r="AB122" s="185"/>
      <c r="AC122" s="3329"/>
      <c r="AD122" s="3329">
        <f>AA122/P122-1</f>
        <v>0.67292251103859657</v>
      </c>
      <c r="AE122" s="3506"/>
      <c r="AF122" s="185">
        <f>AF27</f>
        <v>1283258</v>
      </c>
      <c r="AG122" s="185"/>
      <c r="AH122" s="185">
        <f>AH27</f>
        <v>1743740.6317860002</v>
      </c>
      <c r="AI122" s="185"/>
      <c r="AJ122" s="185"/>
      <c r="AK122" s="185"/>
      <c r="AL122" s="185"/>
      <c r="AM122" s="185"/>
      <c r="AN122" s="185"/>
      <c r="AO122" s="185">
        <f>AO27</f>
        <v>1600000</v>
      </c>
      <c r="AP122" s="185"/>
      <c r="AQ122" s="185">
        <f>AQ27</f>
        <v>1950000</v>
      </c>
      <c r="AR122" s="185">
        <f>AR27</f>
        <v>2322000</v>
      </c>
      <c r="AS122" s="185"/>
      <c r="AT122" s="185"/>
      <c r="AU122" s="185"/>
      <c r="AV122" s="185">
        <f>SUM(AF122:AR122)</f>
        <v>8898998.631786</v>
      </c>
      <c r="AW122" s="3329"/>
      <c r="AX122" s="3329">
        <f>AV122/$AV$101</f>
        <v>0.21133296411913133</v>
      </c>
      <c r="AY122" s="3329">
        <f>AV122/AA122-1</f>
        <v>0.16184671219407454</v>
      </c>
      <c r="AZ122" s="185">
        <f>AZ27</f>
        <v>2500000</v>
      </c>
      <c r="BA122" s="185">
        <f>BA27</f>
        <v>2600000</v>
      </c>
      <c r="BB122" s="185">
        <f>BB27</f>
        <v>2660000</v>
      </c>
      <c r="BC122" s="185">
        <f>BC27</f>
        <v>2710000</v>
      </c>
      <c r="BD122" s="185">
        <f>BD27</f>
        <v>2810000</v>
      </c>
      <c r="BE122" s="185">
        <f>SUM(AY122:BD122)</f>
        <v>13280000.161846712</v>
      </c>
      <c r="BF122" s="185"/>
      <c r="BG122" s="3327">
        <f>BE122/$BE$101</f>
        <v>0.20421344116286819</v>
      </c>
      <c r="BH122" s="3327">
        <f>BE122/AV122</f>
        <v>1.4923027535269391</v>
      </c>
      <c r="BI122" s="3509"/>
      <c r="BJ122" s="3509"/>
      <c r="BK122" s="3509"/>
    </row>
    <row r="123" spans="1:63" s="817" customFormat="1">
      <c r="A123" s="3446" t="s">
        <v>29</v>
      </c>
      <c r="B123" s="3475" t="s">
        <v>1993</v>
      </c>
      <c r="C123" s="3510"/>
      <c r="D123" s="3510"/>
      <c r="E123" s="3510"/>
      <c r="F123" s="3510"/>
      <c r="G123" s="3510"/>
      <c r="H123" s="3450"/>
      <c r="I123" s="3498"/>
      <c r="J123" s="3487">
        <f>(D123*E123*F123*G123*H123)^(1/5)-1</f>
        <v>-1</v>
      </c>
      <c r="K123" s="3450">
        <f>K122/H122</f>
        <v>0.84884793421835414</v>
      </c>
      <c r="L123" s="3450">
        <f>L122/K122</f>
        <v>1.1696631569203315</v>
      </c>
      <c r="M123" s="3450">
        <f>M122/L122</f>
        <v>1.1706723865848065</v>
      </c>
      <c r="N123" s="3450">
        <f>N122/M122</f>
        <v>1.013688897239968</v>
      </c>
      <c r="O123" s="3450">
        <f>O122/N122</f>
        <v>1.245678613440965</v>
      </c>
      <c r="P123" s="3450"/>
      <c r="Q123" s="3472">
        <f>(K123*L123*M123*N123*O123)^(1/5)-1</f>
        <v>7.9760300619458269E-2</v>
      </c>
      <c r="R123" s="3450"/>
      <c r="S123" s="3450">
        <f>S122/O122</f>
        <v>1.1015828893911266</v>
      </c>
      <c r="T123" s="3450">
        <f>T122/S122</f>
        <v>1.1280262502089438</v>
      </c>
      <c r="U123" s="3450"/>
      <c r="V123" s="3450">
        <f>V122/T122</f>
        <v>0.92785554599241082</v>
      </c>
      <c r="W123" s="3450"/>
      <c r="X123" s="3450">
        <f>X122/V122</f>
        <v>1.1108538483191543</v>
      </c>
      <c r="Y123" s="3450"/>
      <c r="Z123" s="3450">
        <f>Z122/X122</f>
        <v>1.2976829024115644</v>
      </c>
      <c r="AA123" s="3450"/>
      <c r="AB123" s="3441">
        <f>(S123*T123*V123*X123*Z123)^(1/5)-1</f>
        <v>0.10695114146144746</v>
      </c>
      <c r="AC123" s="3450"/>
      <c r="AD123" s="3450"/>
      <c r="AE123" s="3499"/>
      <c r="AF123" s="3450">
        <f>AF122/Z122</f>
        <v>0.64917865563463584</v>
      </c>
      <c r="AG123" s="3450"/>
      <c r="AH123" s="3450">
        <f>AH122/AF122</f>
        <v>1.3588386994556045</v>
      </c>
      <c r="AI123" s="3450"/>
      <c r="AJ123" s="3450"/>
      <c r="AK123" s="3450"/>
      <c r="AL123" s="3450"/>
      <c r="AM123" s="3450"/>
      <c r="AN123" s="3450"/>
      <c r="AO123" s="3450">
        <f>AO122/AH122</f>
        <v>0.91756765360294668</v>
      </c>
      <c r="AP123" s="3450"/>
      <c r="AQ123" s="3450">
        <f>AQ122/AO122</f>
        <v>1.21875</v>
      </c>
      <c r="AR123" s="3450">
        <f>AR122/AQ122</f>
        <v>1.1907692307692308</v>
      </c>
      <c r="AS123" s="3450"/>
      <c r="AT123" s="3450"/>
      <c r="AU123" s="3450"/>
      <c r="AV123" s="3450"/>
      <c r="AW123" s="3450">
        <f>(AO123*AQ123*AR123*AF123*AH123)^(1/5)-1</f>
        <v>3.2719775641952165E-2</v>
      </c>
      <c r="AX123" s="3450"/>
      <c r="AY123" s="3450"/>
      <c r="AZ123" s="3450">
        <f>AZ122/AR122</f>
        <v>1.0766580534022394</v>
      </c>
      <c r="BA123" s="3450">
        <f>BA122/AZ122</f>
        <v>1.04</v>
      </c>
      <c r="BB123" s="3450">
        <f>BB122/BA122</f>
        <v>1.023076923076923</v>
      </c>
      <c r="BC123" s="3450">
        <f>BC122/BB122</f>
        <v>1.018796992481203</v>
      </c>
      <c r="BD123" s="3450">
        <f>BD122/BC122</f>
        <v>1.03690036900369</v>
      </c>
      <c r="BE123" s="3450"/>
      <c r="BF123" s="3469">
        <f>(AZ123*BA123*BB123*BC123*BD123)^(1/5)-1</f>
        <v>3.8888217818427551E-2</v>
      </c>
      <c r="BG123" s="3450"/>
      <c r="BH123" s="3450"/>
      <c r="BI123" s="3511"/>
      <c r="BJ123" s="3511"/>
      <c r="BK123" s="3511"/>
    </row>
    <row r="124" spans="1:63" s="817" customFormat="1">
      <c r="A124" s="3446" t="s">
        <v>29</v>
      </c>
      <c r="B124" s="3475" t="s">
        <v>1995</v>
      </c>
      <c r="C124" s="3510"/>
      <c r="D124" s="3510"/>
      <c r="E124" s="3510"/>
      <c r="F124" s="3510"/>
      <c r="G124" s="3510"/>
      <c r="H124" s="3450"/>
      <c r="I124" s="3498"/>
      <c r="J124" s="3498"/>
      <c r="K124" s="3450">
        <f>K122/$K$101</f>
        <v>0.1654981244640521</v>
      </c>
      <c r="L124" s="3450">
        <f>L122/$L$101</f>
        <v>0.17805423262886683</v>
      </c>
      <c r="M124" s="3450">
        <f>M122/$M$101</f>
        <v>0.2055084244876586</v>
      </c>
      <c r="N124" s="3450">
        <f>N122/$N$101</f>
        <v>0.23216902142702778</v>
      </c>
      <c r="O124" s="3450">
        <f>O122/$O$101</f>
        <v>0.22982683720850242</v>
      </c>
      <c r="P124" s="3450">
        <f>P122/$P$101</f>
        <v>0.2030749115856165</v>
      </c>
      <c r="Q124" s="3450"/>
      <c r="R124" s="3450"/>
      <c r="S124" s="3450">
        <f>S122/$S$101</f>
        <v>0.20682031685714686</v>
      </c>
      <c r="T124" s="3450">
        <f>T122/$T$101</f>
        <v>0.21568839211231297</v>
      </c>
      <c r="U124" s="3450"/>
      <c r="V124" s="3450">
        <f>V122/$V$101</f>
        <v>0.19634878551541926</v>
      </c>
      <c r="W124" s="3450"/>
      <c r="X124" s="3450">
        <f>X122/$X$101</f>
        <v>0.1736726419171879</v>
      </c>
      <c r="Y124" s="3450"/>
      <c r="Z124" s="3450">
        <f>Z122/$Z$101</f>
        <v>0.23446590822126473</v>
      </c>
      <c r="AA124" s="3450">
        <f>AA122/$AA$101</f>
        <v>0.20494644235601764</v>
      </c>
      <c r="AB124" s="3450"/>
      <c r="AC124" s="3441"/>
      <c r="AD124" s="3441"/>
      <c r="AE124" s="3443"/>
      <c r="AF124" s="3450">
        <f>AF122/$AF$101</f>
        <v>0.17790150591143644</v>
      </c>
      <c r="AG124" s="3450"/>
      <c r="AH124" s="3450">
        <f>AH122/$AH$101</f>
        <v>0.22136851323384485</v>
      </c>
      <c r="AI124" s="3450"/>
      <c r="AJ124" s="3450"/>
      <c r="AK124" s="3450"/>
      <c r="AL124" s="3450"/>
      <c r="AM124" s="3450"/>
      <c r="AN124" s="3450"/>
      <c r="AO124" s="3450">
        <f>AO122/$AO$101</f>
        <v>0.21080368906455862</v>
      </c>
      <c r="AP124" s="3450"/>
      <c r="AQ124" s="3450">
        <f>AQ122/$AQ$101</f>
        <v>0.21044679473343406</v>
      </c>
      <c r="AR124" s="3450">
        <f>AR122/$AR$101</f>
        <v>0.22848709161585512</v>
      </c>
      <c r="AS124" s="3450"/>
      <c r="AT124" s="3450"/>
      <c r="AU124" s="3450"/>
      <c r="AV124" s="3450"/>
      <c r="AW124" s="3441"/>
      <c r="AX124" s="3441"/>
      <c r="AY124" s="3441"/>
      <c r="AZ124" s="3450">
        <f>AZ122/AZ101</f>
        <v>0.22646978893015671</v>
      </c>
      <c r="BA124" s="3450">
        <f>BA122/BA101</f>
        <v>0.2178284215773536</v>
      </c>
      <c r="BB124" s="3450">
        <f>BB122/BB101</f>
        <v>0.20630549623163244</v>
      </c>
      <c r="BC124" s="3450">
        <f>BC122/BC101</f>
        <v>0.19410521755058127</v>
      </c>
      <c r="BD124" s="3450">
        <f>BD122/BD101</f>
        <v>0.18486842071459172</v>
      </c>
      <c r="BE124" s="3450"/>
      <c r="BF124" s="3450"/>
      <c r="BG124" s="3450"/>
      <c r="BH124" s="3450"/>
      <c r="BI124" s="3511"/>
      <c r="BJ124" s="3511"/>
      <c r="BK124" s="3511"/>
    </row>
    <row r="125" spans="1:63" s="3508" customFormat="1">
      <c r="A125" s="3504" t="s">
        <v>159</v>
      </c>
      <c r="B125" s="3103" t="s">
        <v>1976</v>
      </c>
      <c r="C125" s="185">
        <f t="shared" ref="C125:P125" si="128">C28</f>
        <v>153738.415439</v>
      </c>
      <c r="D125" s="185">
        <f t="shared" si="128"/>
        <v>230940</v>
      </c>
      <c r="E125" s="185">
        <f t="shared" si="128"/>
        <v>305720</v>
      </c>
      <c r="F125" s="185">
        <f t="shared" si="128"/>
        <v>329200</v>
      </c>
      <c r="G125" s="185">
        <f t="shared" si="128"/>
        <v>308830</v>
      </c>
      <c r="H125" s="185">
        <f t="shared" si="128"/>
        <v>306565.00754700002</v>
      </c>
      <c r="I125" s="185"/>
      <c r="J125" s="3505"/>
      <c r="K125" s="185">
        <f t="shared" si="128"/>
        <v>357566.61864</v>
      </c>
      <c r="L125" s="185">
        <f t="shared" si="128"/>
        <v>418951.84585500002</v>
      </c>
      <c r="M125" s="185">
        <f t="shared" si="128"/>
        <v>456841.14694599999</v>
      </c>
      <c r="N125" s="185">
        <f t="shared" si="128"/>
        <v>140078.797276</v>
      </c>
      <c r="O125" s="185">
        <f t="shared" si="128"/>
        <v>243841</v>
      </c>
      <c r="P125" s="185">
        <f t="shared" si="128"/>
        <v>1617279.4087169999</v>
      </c>
      <c r="Q125" s="3329"/>
      <c r="R125" s="3329">
        <f>P125/$P$101</f>
        <v>7.1733966960994378E-2</v>
      </c>
      <c r="S125" s="185">
        <f>S28</f>
        <v>96965</v>
      </c>
      <c r="T125" s="185">
        <f>T28</f>
        <v>107416</v>
      </c>
      <c r="U125" s="185"/>
      <c r="V125" s="185">
        <f>V28</f>
        <v>74262</v>
      </c>
      <c r="W125" s="185"/>
      <c r="X125" s="185">
        <f>X28</f>
        <v>126290</v>
      </c>
      <c r="Y125" s="185"/>
      <c r="Z125" s="185">
        <f>Z28</f>
        <v>93759</v>
      </c>
      <c r="AA125" s="3334">
        <f>SUM(S125:Z125)</f>
        <v>498692</v>
      </c>
      <c r="AB125" s="185"/>
      <c r="AC125" s="3329"/>
      <c r="AD125" s="3329">
        <f>AA125/P125-1</f>
        <v>-0.69164759205361048</v>
      </c>
      <c r="AE125" s="3506"/>
      <c r="AF125" s="185">
        <f>AF28</f>
        <v>196854</v>
      </c>
      <c r="AG125" s="185"/>
      <c r="AH125" s="185">
        <f>AH28</f>
        <v>389783.37025500002</v>
      </c>
      <c r="AI125" s="185"/>
      <c r="AJ125" s="185"/>
      <c r="AK125" s="185"/>
      <c r="AL125" s="185"/>
      <c r="AM125" s="185"/>
      <c r="AN125" s="185"/>
      <c r="AO125" s="185">
        <f>AO28</f>
        <v>150000</v>
      </c>
      <c r="AP125" s="185"/>
      <c r="AQ125" s="185">
        <f>AQ28</f>
        <v>200000</v>
      </c>
      <c r="AR125" s="185">
        <f>AR28</f>
        <v>162500</v>
      </c>
      <c r="AS125" s="185"/>
      <c r="AT125" s="185"/>
      <c r="AU125" s="185"/>
      <c r="AV125" s="185">
        <f>SUM(AF125:AR125)</f>
        <v>1099137.370255</v>
      </c>
      <c r="AW125" s="3329"/>
      <c r="AX125" s="3329">
        <f>AV125/$AV$101</f>
        <v>2.6102258022650988E-2</v>
      </c>
      <c r="AY125" s="3329">
        <f>AV125/AA125-1</f>
        <v>1.2040405104854299</v>
      </c>
      <c r="AZ125" s="185">
        <f>AZ28</f>
        <v>169000</v>
      </c>
      <c r="BA125" s="185">
        <f>BA28</f>
        <v>175999.81661120002</v>
      </c>
      <c r="BB125" s="185">
        <f>BB28</f>
        <v>183500.40879883713</v>
      </c>
      <c r="BC125" s="185">
        <f>BC28</f>
        <v>191500.02662246645</v>
      </c>
      <c r="BD125" s="185">
        <f>BD28</f>
        <v>200000.027793855</v>
      </c>
      <c r="BE125" s="185">
        <f>SUM(AY125:BD125)-1</f>
        <v>920000.48386686901</v>
      </c>
      <c r="BF125" s="185"/>
      <c r="BG125" s="3331">
        <f>BE125/$BE$101</f>
        <v>1.4147323975320727E-2</v>
      </c>
      <c r="BH125" s="3327">
        <f>BE125/AV125</f>
        <v>0.83702047511443345</v>
      </c>
      <c r="BI125" s="3509"/>
      <c r="BJ125" s="3509"/>
      <c r="BK125" s="3509"/>
    </row>
    <row r="126" spans="1:63" s="817" customFormat="1">
      <c r="A126" s="3446" t="s">
        <v>29</v>
      </c>
      <c r="B126" s="3475" t="s">
        <v>1993</v>
      </c>
      <c r="C126" s="3510"/>
      <c r="D126" s="3510"/>
      <c r="E126" s="3510"/>
      <c r="F126" s="3510"/>
      <c r="G126" s="3510"/>
      <c r="H126" s="3450"/>
      <c r="I126" s="3498"/>
      <c r="J126" s="3487">
        <f>(D126*E126*F126*G126*H126)^(1/5)-1</f>
        <v>-1</v>
      </c>
      <c r="K126" s="3450">
        <f>K125/H125</f>
        <v>1.1663647508275414</v>
      </c>
      <c r="L126" s="3450">
        <f>L125/K125</f>
        <v>1.1716749383610749</v>
      </c>
      <c r="M126" s="3450">
        <f>M125/L125</f>
        <v>1.0904383199784577</v>
      </c>
      <c r="N126" s="3450">
        <f>N125/M125</f>
        <v>0.30662473862617662</v>
      </c>
      <c r="O126" s="3450">
        <f>O125/N125</f>
        <v>1.7407416735564576</v>
      </c>
      <c r="P126" s="3450"/>
      <c r="Q126" s="3472">
        <f>(K126*L126*M126*N126*O126)^(1/5)-1</f>
        <v>-4.4750476186834587E-2</v>
      </c>
      <c r="R126" s="3450"/>
      <c r="S126" s="3450">
        <f>S125/O125</f>
        <v>0.39765666971510122</v>
      </c>
      <c r="T126" s="3450">
        <f>T125/S125</f>
        <v>1.1077811581498478</v>
      </c>
      <c r="U126" s="3450"/>
      <c r="V126" s="3450">
        <f>V125/T125</f>
        <v>0.69134951962463698</v>
      </c>
      <c r="W126" s="3450"/>
      <c r="X126" s="3450">
        <f>X125/V125</f>
        <v>1.7006005763378309</v>
      </c>
      <c r="Y126" s="3450"/>
      <c r="Z126" s="3450">
        <f>Z125/X125</f>
        <v>0.74241032544144425</v>
      </c>
      <c r="AA126" s="3450"/>
      <c r="AB126" s="3441">
        <f>(S126*T126*V126*X126*Z126)^(1/5)-1</f>
        <v>-0.17399771792258245</v>
      </c>
      <c r="AC126" s="3450"/>
      <c r="AD126" s="3450"/>
      <c r="AE126" s="3499"/>
      <c r="AF126" s="3450">
        <f>AF125/Z125</f>
        <v>2.0995744408536781</v>
      </c>
      <c r="AG126" s="3450"/>
      <c r="AH126" s="3450">
        <f>AH125/AF125</f>
        <v>1.9800632461367309</v>
      </c>
      <c r="AI126" s="3450"/>
      <c r="AJ126" s="3450"/>
      <c r="AK126" s="3450"/>
      <c r="AL126" s="3450"/>
      <c r="AM126" s="3450"/>
      <c r="AN126" s="3450"/>
      <c r="AO126" s="3450">
        <f>AO125/AH125</f>
        <v>0.38482914215110964</v>
      </c>
      <c r="AP126" s="3450"/>
      <c r="AQ126" s="3450">
        <f>AQ125/AO125</f>
        <v>1.3333333333333333</v>
      </c>
      <c r="AR126" s="3450">
        <f>AR125/AQ125</f>
        <v>0.8125</v>
      </c>
      <c r="AS126" s="3450"/>
      <c r="AT126" s="3450"/>
      <c r="AU126" s="3450"/>
      <c r="AV126" s="3450"/>
      <c r="AW126" s="3450">
        <f>(AO126*AQ126*AR126*AF126*AH126)^(1/5)-1</f>
        <v>0.11626698398103552</v>
      </c>
      <c r="AX126" s="3450"/>
      <c r="AY126" s="3450"/>
      <c r="AZ126" s="3450">
        <f>AZ125/AR125</f>
        <v>1.04</v>
      </c>
      <c r="BA126" s="3450">
        <f>BA125/AZ125</f>
        <v>1.041419033202367</v>
      </c>
      <c r="BB126" s="3450">
        <f>BB125/BA125</f>
        <v>1.0426170454723065</v>
      </c>
      <c r="BC126" s="3450">
        <f>BC125/BB125</f>
        <v>1.0435945504208599</v>
      </c>
      <c r="BD126" s="3450">
        <f>BD125/BC125</f>
        <v>1.0443864229227806</v>
      </c>
      <c r="BE126" s="3450"/>
      <c r="BF126" s="3469">
        <f>(AZ126*BA126*BB126*BC126*BD126)^(1/5)-1</f>
        <v>4.2402245249672177E-2</v>
      </c>
      <c r="BG126" s="3450"/>
      <c r="BH126" s="3450"/>
      <c r="BI126" s="3511"/>
      <c r="BJ126" s="3511"/>
      <c r="BK126" s="3511"/>
    </row>
    <row r="127" spans="1:63" s="817" customFormat="1">
      <c r="A127" s="3446" t="s">
        <v>29</v>
      </c>
      <c r="B127" s="3475" t="s">
        <v>1995</v>
      </c>
      <c r="C127" s="3510"/>
      <c r="D127" s="3510"/>
      <c r="E127" s="3510"/>
      <c r="F127" s="3510"/>
      <c r="G127" s="3510"/>
      <c r="H127" s="3450"/>
      <c r="I127" s="3498"/>
      <c r="J127" s="3498"/>
      <c r="K127" s="3450">
        <f>K125/$K$101</f>
        <v>8.6029904515993405E-2</v>
      </c>
      <c r="L127" s="3450">
        <f>L125/$L$101</f>
        <v>9.2716066170801248E-2</v>
      </c>
      <c r="M127" s="3450">
        <f>M125/$M$101</f>
        <v>9.9677710716671045E-2</v>
      </c>
      <c r="N127" s="3450">
        <f>N125/$N$101</f>
        <v>3.4062396294692383E-2</v>
      </c>
      <c r="O127" s="3450">
        <f>O125/$O$101</f>
        <v>4.7119425340152586E-2</v>
      </c>
      <c r="P127" s="3450">
        <f>P125/$P$101</f>
        <v>7.1733966960994378E-2</v>
      </c>
      <c r="Q127" s="3450"/>
      <c r="R127" s="3450"/>
      <c r="S127" s="3450">
        <f>S125/$S$101</f>
        <v>1.5306769186423078E-2</v>
      </c>
      <c r="T127" s="3450">
        <f>T125/$T$101</f>
        <v>1.5676599927962595E-2</v>
      </c>
      <c r="U127" s="3450"/>
      <c r="V127" s="3450">
        <f>V125/$V$101</f>
        <v>1.0633362486232558E-2</v>
      </c>
      <c r="W127" s="3450"/>
      <c r="X127" s="3450">
        <f>X125/$X$101</f>
        <v>1.4398564909207181E-2</v>
      </c>
      <c r="Y127" s="3450"/>
      <c r="Z127" s="3450">
        <f>Z125/$Z$101</f>
        <v>1.1120976496675697E-2</v>
      </c>
      <c r="AA127" s="3450">
        <f>AA125/$AA$101</f>
        <v>1.3343829327421359E-2</v>
      </c>
      <c r="AB127" s="3450"/>
      <c r="AC127" s="3441"/>
      <c r="AD127" s="3441"/>
      <c r="AE127" s="3443"/>
      <c r="AF127" s="3450">
        <f>AF125/$AF$101</f>
        <v>2.7290399159553193E-2</v>
      </c>
      <c r="AG127" s="3450"/>
      <c r="AH127" s="3450">
        <f>AH125/$AH$101</f>
        <v>4.9483141921312986E-2</v>
      </c>
      <c r="AI127" s="3450"/>
      <c r="AJ127" s="3450"/>
      <c r="AK127" s="3450"/>
      <c r="AL127" s="3450"/>
      <c r="AM127" s="3450"/>
      <c r="AN127" s="3450"/>
      <c r="AO127" s="3450">
        <f>AO125/$AO$101</f>
        <v>1.9762845849802372E-2</v>
      </c>
      <c r="AP127" s="3450"/>
      <c r="AQ127" s="3450">
        <f>AQ125/$AQ$101</f>
        <v>2.1584286639326572E-2</v>
      </c>
      <c r="AR127" s="3450">
        <f>AR125/$AR$101</f>
        <v>1.5990160373633273E-2</v>
      </c>
      <c r="AS127" s="3450"/>
      <c r="AT127" s="3450"/>
      <c r="AU127" s="3450"/>
      <c r="AV127" s="3450"/>
      <c r="AW127" s="3441"/>
      <c r="AX127" s="3441"/>
      <c r="AY127" s="3441"/>
      <c r="AZ127" s="3450">
        <f>AZ125/AZ101</f>
        <v>1.5309357731678594E-2</v>
      </c>
      <c r="BA127" s="3450">
        <f>BA125/BA101</f>
        <v>1.4745293173200539E-2</v>
      </c>
      <c r="BB127" s="3450">
        <f>BB125/BB101</f>
        <v>1.4232008607500566E-2</v>
      </c>
      <c r="BC127" s="3450">
        <f>BC125/BC101</f>
        <v>1.3716293110146108E-2</v>
      </c>
      <c r="BD127" s="3450">
        <f>BD125/BD101</f>
        <v>1.3157896541325417E-2</v>
      </c>
      <c r="BE127" s="3450"/>
      <c r="BF127" s="3450"/>
      <c r="BG127" s="3450"/>
      <c r="BH127" s="3450"/>
      <c r="BI127" s="3511"/>
      <c r="BJ127" s="3511"/>
      <c r="BK127" s="3511"/>
    </row>
    <row r="128" spans="1:63" s="817" customFormat="1">
      <c r="A128" s="3504" t="s">
        <v>161</v>
      </c>
      <c r="B128" s="3103" t="s">
        <v>1972</v>
      </c>
      <c r="C128" s="185">
        <f t="shared" ref="C128:P128" si="129">C12</f>
        <v>1037.3321739999999</v>
      </c>
      <c r="D128" s="185">
        <f t="shared" si="129"/>
        <v>580</v>
      </c>
      <c r="E128" s="185">
        <f t="shared" si="129"/>
        <v>630</v>
      </c>
      <c r="F128" s="185">
        <f t="shared" si="129"/>
        <v>2440</v>
      </c>
      <c r="G128" s="185">
        <f t="shared" si="129"/>
        <v>780</v>
      </c>
      <c r="H128" s="185">
        <f t="shared" si="129"/>
        <v>3761</v>
      </c>
      <c r="I128" s="185"/>
      <c r="J128" s="3505"/>
      <c r="K128" s="185">
        <f t="shared" si="129"/>
        <v>8028.6076819999998</v>
      </c>
      <c r="L128" s="185">
        <f t="shared" si="129"/>
        <v>7377.2642779999996</v>
      </c>
      <c r="M128" s="185">
        <f t="shared" si="129"/>
        <v>17351.560365000001</v>
      </c>
      <c r="N128" s="185">
        <f t="shared" si="129"/>
        <v>25825.109232999999</v>
      </c>
      <c r="O128" s="185">
        <f t="shared" si="129"/>
        <v>69494</v>
      </c>
      <c r="P128" s="185">
        <f t="shared" si="129"/>
        <v>128076.541558</v>
      </c>
      <c r="Q128" s="3329"/>
      <c r="R128" s="3329">
        <f>P128/$P$101</f>
        <v>5.680798476181961E-3</v>
      </c>
      <c r="S128" s="185">
        <f>S12</f>
        <v>61938</v>
      </c>
      <c r="T128" s="185">
        <f>T12</f>
        <v>49785</v>
      </c>
      <c r="U128" s="185"/>
      <c r="V128" s="185">
        <f>V12</f>
        <v>35833</v>
      </c>
      <c r="W128" s="185"/>
      <c r="X128" s="185">
        <f>X12</f>
        <v>76845</v>
      </c>
      <c r="Y128" s="185"/>
      <c r="Z128" s="185">
        <f>Z12</f>
        <v>110158.9</v>
      </c>
      <c r="AA128" s="3334">
        <f>SUM(S128:Z128)</f>
        <v>334559.90000000002</v>
      </c>
      <c r="AB128" s="185"/>
      <c r="AC128" s="3329"/>
      <c r="AD128" s="3329">
        <f>AA128/P128-1</f>
        <v>1.6121871806516039</v>
      </c>
      <c r="AE128" s="3506"/>
      <c r="AF128" s="185">
        <f>AF12</f>
        <v>70477</v>
      </c>
      <c r="AG128" s="185"/>
      <c r="AH128" s="185">
        <f>AH12</f>
        <v>74729.223614999995</v>
      </c>
      <c r="AI128" s="185"/>
      <c r="AJ128" s="185"/>
      <c r="AK128" s="185"/>
      <c r="AL128" s="185"/>
      <c r="AM128" s="185"/>
      <c r="AN128" s="185"/>
      <c r="AO128" s="185">
        <f>AO12</f>
        <v>70000</v>
      </c>
      <c r="AP128" s="185"/>
      <c r="AQ128" s="185">
        <f>AQ12</f>
        <v>75000</v>
      </c>
      <c r="AR128" s="185">
        <f>AR12</f>
        <v>100000</v>
      </c>
      <c r="AS128" s="185"/>
      <c r="AT128" s="185"/>
      <c r="AU128" s="185"/>
      <c r="AV128" s="185">
        <f>SUM(AF128:AR128)</f>
        <v>390206.22361500002</v>
      </c>
      <c r="AW128" s="3329"/>
      <c r="AX128" s="3329">
        <f>AV128/$AV$101</f>
        <v>9.2665974303830622E-3</v>
      </c>
      <c r="AY128" s="3329">
        <f>AV128/AA128-1</f>
        <v>0.16632693761266659</v>
      </c>
      <c r="AZ128" s="185">
        <f>AZ12</f>
        <v>110000</v>
      </c>
      <c r="BA128" s="185">
        <f>BA12</f>
        <v>120000</v>
      </c>
      <c r="BB128" s="185">
        <f>BB12</f>
        <v>130000</v>
      </c>
      <c r="BC128" s="185">
        <f>BC12</f>
        <v>140000</v>
      </c>
      <c r="BD128" s="185">
        <f>BD12</f>
        <v>153000</v>
      </c>
      <c r="BE128" s="185">
        <f>SUM(AY128:BD128)</f>
        <v>653000.16632693761</v>
      </c>
      <c r="BF128" s="185"/>
      <c r="BG128" s="3331">
        <f>BE128/$BE$101</f>
        <v>1.0041521793701953E-2</v>
      </c>
      <c r="BH128" s="3327">
        <f>BE128/AV128</f>
        <v>1.6734745035005523</v>
      </c>
      <c r="BI128" s="3509"/>
      <c r="BJ128" s="3509"/>
      <c r="BK128" s="3509"/>
    </row>
    <row r="129" spans="1:63" s="817" customFormat="1">
      <c r="A129" s="3446" t="s">
        <v>29</v>
      </c>
      <c r="B129" s="3475" t="s">
        <v>1993</v>
      </c>
      <c r="C129" s="3510"/>
      <c r="D129" s="3510"/>
      <c r="E129" s="3510"/>
      <c r="F129" s="3510"/>
      <c r="G129" s="3510"/>
      <c r="H129" s="3450"/>
      <c r="I129" s="3498"/>
      <c r="J129" s="3487">
        <f>(D129*E129*F129*G129*H129)^(1/5)-1</f>
        <v>-1</v>
      </c>
      <c r="K129" s="3450">
        <f>K128/H128</f>
        <v>2.1347002611007708</v>
      </c>
      <c r="L129" s="3450">
        <f>L128/K128</f>
        <v>0.91887218434395534</v>
      </c>
      <c r="M129" s="3450">
        <f>M128/L128</f>
        <v>2.3520318252315704</v>
      </c>
      <c r="N129" s="3450">
        <f>N128/M128</f>
        <v>1.4883450646370728</v>
      </c>
      <c r="O129" s="3450">
        <f>O128/N128</f>
        <v>2.6909469916664959</v>
      </c>
      <c r="P129" s="3450"/>
      <c r="Q129" s="3472">
        <f>(K129*L129*M129*N129*O129)^(1/5)-1</f>
        <v>0.79196199769437925</v>
      </c>
      <c r="R129" s="3450"/>
      <c r="S129" s="3450">
        <f>S128/O128</f>
        <v>0.89127118887961554</v>
      </c>
      <c r="T129" s="3450">
        <f>T128/S128</f>
        <v>0.80378765862636825</v>
      </c>
      <c r="U129" s="3450"/>
      <c r="V129" s="3450">
        <f>V128/T128</f>
        <v>0.71975494626895653</v>
      </c>
      <c r="W129" s="3450"/>
      <c r="X129" s="3450">
        <f>X128/V128</f>
        <v>2.1445315770379261</v>
      </c>
      <c r="Y129" s="3450"/>
      <c r="Z129" s="3450">
        <f>Z128/X128</f>
        <v>1.4335207235343874</v>
      </c>
      <c r="AA129" s="3450"/>
      <c r="AB129" s="3441">
        <f>(S129*T129*V129*X129*Z129)^(1/5)-1</f>
        <v>9.6514694647396038E-2</v>
      </c>
      <c r="AC129" s="3450"/>
      <c r="AD129" s="3450"/>
      <c r="AE129" s="3499"/>
      <c r="AF129" s="3450">
        <f>AF128/Z128</f>
        <v>0.63977581475486778</v>
      </c>
      <c r="AG129" s="3450"/>
      <c r="AH129" s="3450">
        <f>AH128/AF128</f>
        <v>1.060334912311818</v>
      </c>
      <c r="AI129" s="3450"/>
      <c r="AJ129" s="3450"/>
      <c r="AK129" s="3450"/>
      <c r="AL129" s="3450"/>
      <c r="AM129" s="3450"/>
      <c r="AN129" s="3450"/>
      <c r="AO129" s="3450">
        <f>AO128/AH128</f>
        <v>0.93671520475892212</v>
      </c>
      <c r="AP129" s="3450"/>
      <c r="AQ129" s="3450">
        <f>AQ128/AO128</f>
        <v>1.0714285714285714</v>
      </c>
      <c r="AR129" s="3450">
        <f>AR128/AQ128</f>
        <v>1.3333333333333333</v>
      </c>
      <c r="AS129" s="3450"/>
      <c r="AT129" s="3450"/>
      <c r="AU129" s="3450"/>
      <c r="AV129" s="3450"/>
      <c r="AW129" s="3450">
        <f>(AO129*AQ129*AR129*AF129*AH129)^(1/5)-1</f>
        <v>-1.9164712909005899E-2</v>
      </c>
      <c r="AX129" s="3450"/>
      <c r="AY129" s="3450"/>
      <c r="AZ129" s="3450">
        <f>AZ128/AR128</f>
        <v>1.1000000000000001</v>
      </c>
      <c r="BA129" s="3450">
        <f>BA128/AZ128</f>
        <v>1.0909090909090908</v>
      </c>
      <c r="BB129" s="3450">
        <f>BB128/BA128</f>
        <v>1.0833333333333333</v>
      </c>
      <c r="BC129" s="3450">
        <f>BC128/BB128</f>
        <v>1.0769230769230769</v>
      </c>
      <c r="BD129" s="3450">
        <f>BD128/BC128</f>
        <v>1.0928571428571427</v>
      </c>
      <c r="BE129" s="3450"/>
      <c r="BF129" s="3469">
        <f>(AZ129*BA129*BB129*BC129*BD129)^(1/5)-1</f>
        <v>8.8775365880074064E-2</v>
      </c>
      <c r="BG129" s="3450"/>
      <c r="BH129" s="3450"/>
      <c r="BI129" s="3511"/>
      <c r="BJ129" s="3511"/>
      <c r="BK129" s="3511"/>
    </row>
    <row r="130" spans="1:63" s="817" customFormat="1">
      <c r="A130" s="3446" t="s">
        <v>29</v>
      </c>
      <c r="B130" s="3475" t="s">
        <v>1995</v>
      </c>
      <c r="C130" s="3510"/>
      <c r="D130" s="3510"/>
      <c r="E130" s="3510"/>
      <c r="F130" s="3510"/>
      <c r="G130" s="3510"/>
      <c r="H130" s="3450"/>
      <c r="I130" s="3498"/>
      <c r="J130" s="3498"/>
      <c r="K130" s="3450">
        <f>K128/$K$101</f>
        <v>1.9316689989292092E-3</v>
      </c>
      <c r="L130" s="3450">
        <f>L128/$L$101</f>
        <v>1.6326242018641606E-3</v>
      </c>
      <c r="M130" s="3450">
        <f>M128/$M$101</f>
        <v>3.785919517336657E-3</v>
      </c>
      <c r="N130" s="3450">
        <f>N128/$N$101</f>
        <v>6.2797876777521428E-3</v>
      </c>
      <c r="O130" s="3450">
        <f>O128/$O$101</f>
        <v>1.3428903853693858E-2</v>
      </c>
      <c r="P130" s="3450">
        <f>P128/$P$101</f>
        <v>5.680798476181961E-3</v>
      </c>
      <c r="Q130" s="3450"/>
      <c r="R130" s="3450"/>
      <c r="S130" s="3450">
        <f>S128/$S$101</f>
        <v>9.7774523783702629E-3</v>
      </c>
      <c r="T130" s="3450">
        <f>T128/$T$101</f>
        <v>7.2657660629107199E-3</v>
      </c>
      <c r="U130" s="3450"/>
      <c r="V130" s="3450">
        <f>V128/$V$101</f>
        <v>5.1308243512048048E-3</v>
      </c>
      <c r="W130" s="3450"/>
      <c r="X130" s="3450">
        <f>X128/$X$101</f>
        <v>8.7612457078788952E-3</v>
      </c>
      <c r="Y130" s="3450"/>
      <c r="Z130" s="3450">
        <f>Z128/$Z$101</f>
        <v>1.3066207380621041E-2</v>
      </c>
      <c r="AA130" s="3450">
        <f>AA128/$AA$101</f>
        <v>8.9520389446775921E-3</v>
      </c>
      <c r="AB130" s="3450"/>
      <c r="AC130" s="3441"/>
      <c r="AD130" s="3441"/>
      <c r="AE130" s="3443"/>
      <c r="AF130" s="3450">
        <f>AF128/$AF$101</f>
        <v>9.770415950744361E-3</v>
      </c>
      <c r="AG130" s="3450"/>
      <c r="AH130" s="3450">
        <f>AH128/$AH$101</f>
        <v>9.4869023667977885E-3</v>
      </c>
      <c r="AI130" s="3450"/>
      <c r="AJ130" s="3450"/>
      <c r="AK130" s="3450"/>
      <c r="AL130" s="3450"/>
      <c r="AM130" s="3450"/>
      <c r="AN130" s="3450"/>
      <c r="AO130" s="3450">
        <f>AO128/$AO$101</f>
        <v>9.22266139657444E-3</v>
      </c>
      <c r="AP130" s="3450"/>
      <c r="AQ130" s="3450">
        <f>AQ128/$AQ$101</f>
        <v>8.0941074897474645E-3</v>
      </c>
      <c r="AR130" s="3450">
        <f>AR128/$AR$101</f>
        <v>9.840098691466629E-3</v>
      </c>
      <c r="AS130" s="3450"/>
      <c r="AT130" s="3450"/>
      <c r="AU130" s="3450"/>
      <c r="AV130" s="3450"/>
      <c r="AW130" s="3441"/>
      <c r="AX130" s="3441"/>
      <c r="AY130" s="3441"/>
      <c r="AZ130" s="3450">
        <f>AZ128/AZ101</f>
        <v>9.9646707129268947E-3</v>
      </c>
      <c r="BA130" s="3450">
        <f>BA128/BA101</f>
        <v>1.005361945741632E-2</v>
      </c>
      <c r="BB130" s="3450">
        <f>BB128/BB101</f>
        <v>1.0082599439891812E-2</v>
      </c>
      <c r="BC130" s="3450">
        <f>BC128/BC101</f>
        <v>1.0027575814421172E-2</v>
      </c>
      <c r="BD130" s="3450">
        <f>BD128/BD101</f>
        <v>1.0065789455278482E-2</v>
      </c>
      <c r="BE130" s="3450"/>
      <c r="BF130" s="3450"/>
      <c r="BG130" s="3450"/>
      <c r="BH130" s="3450"/>
      <c r="BI130" s="3511"/>
      <c r="BJ130" s="3511"/>
      <c r="BK130" s="3511"/>
    </row>
    <row r="131" spans="1:63" s="3508" customFormat="1">
      <c r="A131" s="3504" t="s">
        <v>163</v>
      </c>
      <c r="B131" s="867" t="s">
        <v>2009</v>
      </c>
      <c r="C131" s="185">
        <f>C101-C104-C113-C116-C119-C122-C125</f>
        <v>184117.0928999997</v>
      </c>
      <c r="D131" s="185">
        <f>D101-D104-D113-D116-D119-D122-D125</f>
        <v>217770</v>
      </c>
      <c r="E131" s="185">
        <f>E101-E104-E113-E116-E119-E122-E125</f>
        <v>252170</v>
      </c>
      <c r="F131" s="185">
        <f>F101-F104-F113-F116-F119-F122-F125</f>
        <v>286900</v>
      </c>
      <c r="G131" s="185">
        <f>G101-G104-G113-G116-G119-G122-G125</f>
        <v>362090</v>
      </c>
      <c r="H131" s="185">
        <f>H101-H104-H113-H116-H119-H122-H125-H128</f>
        <v>557315.6288880005</v>
      </c>
      <c r="I131" s="185"/>
      <c r="J131" s="3505"/>
      <c r="K131" s="185">
        <f t="shared" ref="K131:P131" si="130">K101-K104-K113-K116-K119-K122-K125-K128</f>
        <v>514861.85511299974</v>
      </c>
      <c r="L131" s="185">
        <f t="shared" si="130"/>
        <v>541235.93974899943</v>
      </c>
      <c r="M131" s="185">
        <f t="shared" si="130"/>
        <v>581398.63220000057</v>
      </c>
      <c r="N131" s="185">
        <f t="shared" si="130"/>
        <v>725749.41486199992</v>
      </c>
      <c r="O131" s="185">
        <f t="shared" si="130"/>
        <v>865190</v>
      </c>
      <c r="P131" s="185">
        <f t="shared" si="130"/>
        <v>3228435.8419239991</v>
      </c>
      <c r="Q131" s="3329"/>
      <c r="R131" s="3329">
        <f>P131/$P$101</f>
        <v>0.14319635108938111</v>
      </c>
      <c r="S131" s="185">
        <f>S101-S104-S113-S116-S119-S122-S125-S128</f>
        <v>936689</v>
      </c>
      <c r="T131" s="185">
        <f>T101-T104-T113-T116-T119-T122-T125-T128</f>
        <v>1151004</v>
      </c>
      <c r="U131" s="185"/>
      <c r="V131" s="185">
        <f>V101-V104-V113-V116-V119-V122-V125-V128</f>
        <v>1425414</v>
      </c>
      <c r="W131" s="185"/>
      <c r="X131" s="185">
        <f>X101-X104-X113-X116-X119-X122-X125-X128</f>
        <v>1664228</v>
      </c>
      <c r="Y131" s="185"/>
      <c r="Z131" s="185">
        <f>Z101-Z104-Z113-Z116-Z119-Z122-Z125-Z128</f>
        <v>1572602.9000000018</v>
      </c>
      <c r="AA131" s="3334">
        <f>SUM(S131:Z131)</f>
        <v>6749937.9000000022</v>
      </c>
      <c r="AB131" s="185"/>
      <c r="AC131" s="3329"/>
      <c r="AD131" s="3329">
        <f>AA131/P131-1</f>
        <v>1.0907765340559936</v>
      </c>
      <c r="AE131" s="3506"/>
      <c r="AF131" s="185">
        <f>AF101-AF104-AF113-AF116-AF119-AF122-AF125-AF128</f>
        <v>1446661</v>
      </c>
      <c r="AG131" s="185"/>
      <c r="AH131" s="185">
        <f>AH101-AH104-AH113-AH116-AH119-AH122-AH125-AH128</f>
        <v>1909738.6162110008</v>
      </c>
      <c r="AI131" s="185"/>
      <c r="AJ131" s="185"/>
      <c r="AK131" s="185"/>
      <c r="AL131" s="185"/>
      <c r="AM131" s="185"/>
      <c r="AN131" s="185"/>
      <c r="AO131" s="185">
        <f>AO101-AO104-AO113-AO116-AO119-AO122-AO125-AO128</f>
        <v>1505000</v>
      </c>
      <c r="AP131" s="185"/>
      <c r="AQ131" s="185">
        <f>AQ101-AQ104-AQ113-AQ116-AQ119-AQ122-AQ125-AQ128</f>
        <v>1975000</v>
      </c>
      <c r="AR131" s="185">
        <f>AR101-AR104-AR113-AR116-AR119-AR122-AR125-AR128</f>
        <v>2228000</v>
      </c>
      <c r="AS131" s="185"/>
      <c r="AT131" s="185"/>
      <c r="AU131" s="185"/>
      <c r="AV131" s="185">
        <f>SUM(AF131:AR131)</f>
        <v>9064399.6162110008</v>
      </c>
      <c r="AW131" s="3329"/>
      <c r="AX131" s="3329">
        <f>AV131/$AV$101</f>
        <v>0.21526089823319047</v>
      </c>
      <c r="AY131" s="3329">
        <f>AV131/AA131-1</f>
        <v>0.3428863717710644</v>
      </c>
      <c r="AZ131" s="185">
        <f>AZ101-AZ104-AZ113-AZ116-AZ119-AZ122-AZ125-AZ128</f>
        <v>2460000</v>
      </c>
      <c r="BA131" s="185">
        <f>BA101-BA104-BA113-BA116-BA119-BA122-BA125-BA128</f>
        <v>2730000.0000000005</v>
      </c>
      <c r="BB131" s="185">
        <f>BB101-BB104-BB113-BB116-BB119-BB122-BB125-BB128</f>
        <v>3050000.0000000009</v>
      </c>
      <c r="BC131" s="185">
        <f>BC101-BC104-BC113-BC116-BC119-BC122-BC125-BC128</f>
        <v>3445000.0000000005</v>
      </c>
      <c r="BD131" s="185">
        <f>BD101-BD104-BD113-BD116-BD119-BD122-BD125-BD128</f>
        <v>3906999.9999999995</v>
      </c>
      <c r="BE131" s="185">
        <f>SUM(AY131:BD131)</f>
        <v>15592000.342886373</v>
      </c>
      <c r="BF131" s="185"/>
      <c r="BG131" s="3331">
        <f>BE131/$BE$101</f>
        <v>0.23976626549910132</v>
      </c>
      <c r="BH131" s="3327">
        <f>BE131/AV131</f>
        <v>1.7201360269908277</v>
      </c>
      <c r="BI131" s="3509"/>
      <c r="BJ131" s="3509"/>
      <c r="BK131" s="3509"/>
    </row>
    <row r="132" spans="1:63" s="817" customFormat="1">
      <c r="A132" s="3446" t="s">
        <v>29</v>
      </c>
      <c r="B132" s="3475" t="s">
        <v>1993</v>
      </c>
      <c r="C132" s="3510"/>
      <c r="D132" s="3510"/>
      <c r="E132" s="3510"/>
      <c r="F132" s="3510"/>
      <c r="G132" s="3510"/>
      <c r="H132" s="3450"/>
      <c r="I132" s="3498"/>
      <c r="J132" s="3487">
        <f>(D132*E132*F132*G132*H132)^(1/5)-1</f>
        <v>-1</v>
      </c>
      <c r="K132" s="3450">
        <f>K131/H131</f>
        <v>0.92382454111378887</v>
      </c>
      <c r="L132" s="3450">
        <f>L131/K131</f>
        <v>1.0512255556982586</v>
      </c>
      <c r="M132" s="3450">
        <f>M131/L131</f>
        <v>1.0742055164881084</v>
      </c>
      <c r="N132" s="3450">
        <f>N131/M131</f>
        <v>1.2482819440351605</v>
      </c>
      <c r="O132" s="3450">
        <f>O131/N131</f>
        <v>1.1921332381156855</v>
      </c>
      <c r="P132" s="3450"/>
      <c r="Q132" s="3472">
        <f>(K132*L132*M132*N132*O132)^(1/5)-1</f>
        <v>9.1948242884595688E-2</v>
      </c>
      <c r="R132" s="3450"/>
      <c r="S132" s="3450">
        <f>S131/O131</f>
        <v>1.0826396514060495</v>
      </c>
      <c r="T132" s="3450">
        <f>T131/S131</f>
        <v>1.2288005944342253</v>
      </c>
      <c r="U132" s="3450"/>
      <c r="V132" s="3450">
        <f>V131/T131</f>
        <v>1.2384092496637717</v>
      </c>
      <c r="W132" s="3450"/>
      <c r="X132" s="3450">
        <f>X131/V131</f>
        <v>1.1675400971226606</v>
      </c>
      <c r="Y132" s="3450"/>
      <c r="Z132" s="3450">
        <f>Z131/X131</f>
        <v>0.94494438262065161</v>
      </c>
      <c r="AA132" s="3450"/>
      <c r="AB132" s="3441">
        <f>(S132*T132*V132*X132*Z132)^(1/5)-1</f>
        <v>0.12694187362418563</v>
      </c>
      <c r="AC132" s="3450"/>
      <c r="AD132" s="3450"/>
      <c r="AE132" s="3499"/>
      <c r="AF132" s="3450">
        <f>AF131/Z131</f>
        <v>0.91991500206441079</v>
      </c>
      <c r="AG132" s="3450"/>
      <c r="AH132" s="3450">
        <f>AH131/AF131</f>
        <v>1.3201009885598636</v>
      </c>
      <c r="AI132" s="3450"/>
      <c r="AJ132" s="3450"/>
      <c r="AK132" s="3450"/>
      <c r="AL132" s="3450"/>
      <c r="AM132" s="3450"/>
      <c r="AN132" s="3450"/>
      <c r="AO132" s="3450">
        <f>AO131/AH131</f>
        <v>0.7880659621294045</v>
      </c>
      <c r="AP132" s="3450"/>
      <c r="AQ132" s="3450">
        <f>AQ131/AO131</f>
        <v>1.3122923588039868</v>
      </c>
      <c r="AR132" s="3450">
        <f>AR131/AQ131</f>
        <v>1.1281012658227849</v>
      </c>
      <c r="AS132" s="3450"/>
      <c r="AT132" s="3450"/>
      <c r="AU132" s="3450"/>
      <c r="AV132" s="3450"/>
      <c r="AW132" s="3450">
        <f>(AO132*AQ132*AR132*AF132*AH132)^(1/5)-1</f>
        <v>7.2159067478089201E-2</v>
      </c>
      <c r="AX132" s="3450"/>
      <c r="AY132" s="3450"/>
      <c r="AZ132" s="3450">
        <f>AZ131/AR131</f>
        <v>1.104129263913824</v>
      </c>
      <c r="BA132" s="3450">
        <f>BA131/AZ131</f>
        <v>1.1097560975609757</v>
      </c>
      <c r="BB132" s="3450">
        <f>BB131/BA131</f>
        <v>1.1172161172161175</v>
      </c>
      <c r="BC132" s="3450">
        <f>BC131/BB131</f>
        <v>1.1295081967213112</v>
      </c>
      <c r="BD132" s="3450">
        <f>BD131/BC131</f>
        <v>1.1341074020319299</v>
      </c>
      <c r="BE132" s="3450"/>
      <c r="BF132" s="3469">
        <f>(AZ132*BA132*BB132*BC132*BD132)^(1/5)-1</f>
        <v>0.1188854979975591</v>
      </c>
      <c r="BG132" s="3450"/>
      <c r="BH132" s="3450"/>
      <c r="BI132" s="3511"/>
      <c r="BJ132" s="3511"/>
      <c r="BK132" s="3511"/>
    </row>
    <row r="133" spans="1:63" s="817" customFormat="1">
      <c r="A133" s="3446" t="s">
        <v>29</v>
      </c>
      <c r="B133" s="3475" t="s">
        <v>1995</v>
      </c>
      <c r="C133" s="3510"/>
      <c r="D133" s="3510"/>
      <c r="E133" s="3510"/>
      <c r="F133" s="3510"/>
      <c r="G133" s="3510"/>
      <c r="H133" s="3450"/>
      <c r="I133" s="3498"/>
      <c r="J133" s="3498"/>
      <c r="K133" s="3450">
        <f>K131/$K$101</f>
        <v>0.12387486394218905</v>
      </c>
      <c r="L133" s="3450">
        <f>L131/$L$101</f>
        <v>0.11977812653235535</v>
      </c>
      <c r="M133" s="3450">
        <f>M131/$M$101</f>
        <v>0.12685478324120844</v>
      </c>
      <c r="N133" s="3450">
        <f>N131/$N$101</f>
        <v>0.17647755877688429</v>
      </c>
      <c r="O133" s="3450">
        <f>O131/$O$101</f>
        <v>0.16718786262378604</v>
      </c>
      <c r="P133" s="3450">
        <f>P131/$P$101</f>
        <v>0.14319635108938111</v>
      </c>
      <c r="Q133" s="3450"/>
      <c r="R133" s="3450"/>
      <c r="S133" s="3450">
        <f>S131/$S$101</f>
        <v>0.1478645111376419</v>
      </c>
      <c r="T133" s="3450">
        <f>T131/$T$101</f>
        <v>0.16798083361403013</v>
      </c>
      <c r="U133" s="3450"/>
      <c r="V133" s="3450">
        <f>V131/$V$101</f>
        <v>0.20410093661564049</v>
      </c>
      <c r="W133" s="3450"/>
      <c r="X133" s="3450">
        <f>X131/$X$101</f>
        <v>0.18974182343590187</v>
      </c>
      <c r="Y133" s="3450"/>
      <c r="Z133" s="3450">
        <f>Z131/$Z$101</f>
        <v>0.18653014526076495</v>
      </c>
      <c r="AA133" s="3450">
        <f>AA131/$AA$101</f>
        <v>0.18061252097144725</v>
      </c>
      <c r="AB133" s="3450"/>
      <c r="AC133" s="3441"/>
      <c r="AD133" s="3441"/>
      <c r="AE133" s="3443"/>
      <c r="AF133" s="3450">
        <f>AF131/$AF$101</f>
        <v>0.20055450302538114</v>
      </c>
      <c r="AG133" s="3450"/>
      <c r="AH133" s="3450">
        <f>AH131/$AH$101</f>
        <v>0.24244201828507486</v>
      </c>
      <c r="AI133" s="3450"/>
      <c r="AJ133" s="3450"/>
      <c r="AK133" s="3450"/>
      <c r="AL133" s="3450"/>
      <c r="AM133" s="3450"/>
      <c r="AN133" s="3450"/>
      <c r="AO133" s="3450">
        <f>AO131/$AO$101</f>
        <v>0.19828722002635046</v>
      </c>
      <c r="AP133" s="3450"/>
      <c r="AQ133" s="3450">
        <f>AQ131/$AQ$101</f>
        <v>0.21314483056334987</v>
      </c>
      <c r="AR133" s="3450">
        <f>AR131/$AR$101</f>
        <v>0.21923739884587648</v>
      </c>
      <c r="AS133" s="3450"/>
      <c r="AT133" s="3450"/>
      <c r="AU133" s="3450"/>
      <c r="AV133" s="3450"/>
      <c r="AW133" s="3441"/>
      <c r="AX133" s="3441"/>
      <c r="AY133" s="3441"/>
      <c r="AZ133" s="3450">
        <f>AZ131/AZ101</f>
        <v>0.22284627230727422</v>
      </c>
      <c r="BA133" s="3450">
        <f>BA131/BA101</f>
        <v>0.22871984265622133</v>
      </c>
      <c r="BB133" s="3450">
        <f>BB131/BB101</f>
        <v>0.23655329455130794</v>
      </c>
      <c r="BC133" s="3450">
        <f>BC131/BC101</f>
        <v>0.24674999057629246</v>
      </c>
      <c r="BD133" s="3450">
        <f>BD131/BD101</f>
        <v>0.25703947321420273</v>
      </c>
      <c r="BE133" s="3450"/>
      <c r="BF133" s="3450"/>
      <c r="BG133" s="3450"/>
      <c r="BH133" s="3450"/>
      <c r="BI133" s="3511"/>
      <c r="BJ133" s="3511"/>
      <c r="BK133" s="3511"/>
    </row>
    <row r="134" spans="1:63" s="3508" customFormat="1" ht="16.2">
      <c r="A134" s="3513"/>
      <c r="B134" s="3514" t="s">
        <v>186</v>
      </c>
      <c r="C134" s="3515"/>
      <c r="D134" s="3515"/>
      <c r="E134" s="3515"/>
      <c r="F134" s="3515"/>
      <c r="G134" s="3515"/>
      <c r="H134" s="3515"/>
      <c r="I134" s="3516"/>
      <c r="J134" s="3517"/>
      <c r="K134" s="3515"/>
      <c r="L134" s="3515"/>
      <c r="M134" s="3515"/>
      <c r="N134" s="3515"/>
      <c r="O134" s="3515"/>
      <c r="P134" s="3515"/>
      <c r="Q134" s="3518"/>
      <c r="R134" s="3518"/>
      <c r="S134" s="3515"/>
      <c r="T134" s="3515"/>
      <c r="U134" s="3515"/>
      <c r="V134" s="3515"/>
      <c r="W134" s="3515"/>
      <c r="X134" s="3515"/>
      <c r="Y134" s="3515"/>
      <c r="Z134" s="3515"/>
      <c r="AA134" s="3515"/>
      <c r="AB134" s="3515"/>
      <c r="AC134" s="3329"/>
      <c r="AD134" s="3329"/>
      <c r="AE134" s="3506"/>
      <c r="AF134" s="3515"/>
      <c r="AG134" s="3515"/>
      <c r="AH134" s="3515"/>
      <c r="AI134" s="3515"/>
      <c r="AJ134" s="3515"/>
      <c r="AK134" s="3515"/>
      <c r="AL134" s="3515"/>
      <c r="AM134" s="3515"/>
      <c r="AN134" s="3515"/>
      <c r="AO134" s="3515"/>
      <c r="AP134" s="3515"/>
      <c r="AQ134" s="3515"/>
      <c r="AR134" s="3515"/>
      <c r="AS134" s="3515"/>
      <c r="AT134" s="3515"/>
      <c r="AU134" s="3515"/>
      <c r="AV134" s="3515"/>
      <c r="AW134" s="3329"/>
      <c r="AX134" s="3329"/>
      <c r="AY134" s="3329"/>
      <c r="AZ134" s="3515"/>
      <c r="BA134" s="3515"/>
      <c r="BB134" s="3515"/>
      <c r="BC134" s="3515"/>
      <c r="BD134" s="3515"/>
      <c r="BE134" s="3515"/>
      <c r="BF134" s="3515"/>
      <c r="BG134" s="3515"/>
      <c r="BH134" s="3515"/>
      <c r="BI134" s="3519"/>
      <c r="BJ134" s="3519"/>
      <c r="BK134" s="3519"/>
    </row>
    <row r="135" spans="1:63" s="3525" customFormat="1" ht="16.2">
      <c r="A135" s="3520" t="s">
        <v>1797</v>
      </c>
      <c r="B135" s="3521" t="s">
        <v>2010</v>
      </c>
      <c r="C135" s="3522">
        <f t="shared" ref="C135:P135" si="131">C14</f>
        <v>29969.945012</v>
      </c>
      <c r="D135" s="3522">
        <f t="shared" si="131"/>
        <v>39220</v>
      </c>
      <c r="E135" s="3522">
        <f t="shared" si="131"/>
        <v>50330</v>
      </c>
      <c r="F135" s="3522">
        <f t="shared" si="131"/>
        <v>56660</v>
      </c>
      <c r="G135" s="3522">
        <f t="shared" si="131"/>
        <v>61750</v>
      </c>
      <c r="H135" s="3522">
        <f t="shared" si="131"/>
        <v>66384</v>
      </c>
      <c r="I135" s="3522"/>
      <c r="J135" s="3517"/>
      <c r="K135" s="3522">
        <f t="shared" si="131"/>
        <v>83707.295922000005</v>
      </c>
      <c r="L135" s="3522">
        <f t="shared" si="131"/>
        <v>85266.235153999995</v>
      </c>
      <c r="M135" s="3522">
        <f t="shared" si="131"/>
        <v>86018.719326999999</v>
      </c>
      <c r="N135" s="3522">
        <f t="shared" si="131"/>
        <v>102607.365288</v>
      </c>
      <c r="O135" s="3522">
        <f t="shared" si="131"/>
        <v>139966</v>
      </c>
      <c r="P135" s="3522">
        <f t="shared" si="131"/>
        <v>497565.61569100001</v>
      </c>
      <c r="Q135" s="3518"/>
      <c r="R135" s="3518"/>
      <c r="S135" s="3522">
        <f>S14</f>
        <v>184878</v>
      </c>
      <c r="T135" s="3522">
        <f>T14</f>
        <v>209558</v>
      </c>
      <c r="U135" s="3522"/>
      <c r="V135" s="3522">
        <f>V14</f>
        <v>247450</v>
      </c>
      <c r="W135" s="3522"/>
      <c r="X135" s="3522">
        <f>X14</f>
        <v>317324</v>
      </c>
      <c r="Y135" s="3522"/>
      <c r="Z135" s="3522">
        <f>Z14</f>
        <v>281768.90000000002</v>
      </c>
      <c r="AA135" s="3334">
        <f>SUM(S135:Z135)</f>
        <v>1240978.8999999999</v>
      </c>
      <c r="AB135" s="3522"/>
      <c r="AC135" s="3518"/>
      <c r="AD135" s="3518"/>
      <c r="AE135" s="3523"/>
      <c r="AF135" s="3522">
        <f>AF14</f>
        <v>242162</v>
      </c>
      <c r="AG135" s="3522"/>
      <c r="AH135" s="3522">
        <f>AH14</f>
        <v>368324.93194500002</v>
      </c>
      <c r="AI135" s="3522"/>
      <c r="AJ135" s="3522"/>
      <c r="AK135" s="3522"/>
      <c r="AL135" s="3522"/>
      <c r="AM135" s="3522"/>
      <c r="AN135" s="3522"/>
      <c r="AO135" s="3522">
        <f>AO14</f>
        <v>295000</v>
      </c>
      <c r="AP135" s="3522"/>
      <c r="AQ135" s="3522">
        <f>AQ14</f>
        <v>350000</v>
      </c>
      <c r="AR135" s="3522">
        <f>AR14</f>
        <v>436000</v>
      </c>
      <c r="AS135" s="3522"/>
      <c r="AT135" s="3522"/>
      <c r="AU135" s="3522"/>
      <c r="AV135" s="3522">
        <f>SUM(AF135:AR135)</f>
        <v>1691486.9319450001</v>
      </c>
      <c r="AW135" s="3518"/>
      <c r="AX135" s="3518"/>
      <c r="AY135" s="3518"/>
      <c r="AZ135" s="3522">
        <f>AZ14</f>
        <v>480000</v>
      </c>
      <c r="BA135" s="3522">
        <f>BA14</f>
        <v>528000</v>
      </c>
      <c r="BB135" s="3522">
        <f>BB14</f>
        <v>585000</v>
      </c>
      <c r="BC135" s="3522">
        <f>BC14</f>
        <v>650000</v>
      </c>
      <c r="BD135" s="3522">
        <f>BD14</f>
        <v>730000</v>
      </c>
      <c r="BE135" s="185">
        <f>SUM(AY135:BD135)</f>
        <v>2973000</v>
      </c>
      <c r="BF135" s="185"/>
      <c r="BG135" s="3331">
        <f>BE135/$BE$101</f>
        <v>4.571736093207851E-2</v>
      </c>
      <c r="BH135" s="3327">
        <f>BE135/AV135</f>
        <v>1.7576251662680118</v>
      </c>
      <c r="BI135" s="3524"/>
      <c r="BJ135" s="3524"/>
      <c r="BK135" s="3524"/>
    </row>
    <row r="136" spans="1:63" s="817" customFormat="1">
      <c r="A136" s="3446" t="s">
        <v>29</v>
      </c>
      <c r="B136" s="3475" t="s">
        <v>1993</v>
      </c>
      <c r="C136" s="3510"/>
      <c r="D136" s="3510"/>
      <c r="E136" s="3510"/>
      <c r="F136" s="3510"/>
      <c r="G136" s="3510"/>
      <c r="H136" s="3450"/>
      <c r="I136" s="3498"/>
      <c r="J136" s="3487">
        <f>(D136*E136*F136*G136*H136)^(1/5)-1</f>
        <v>-1</v>
      </c>
      <c r="K136" s="3450">
        <f>K135/H135</f>
        <v>1.26095589181128</v>
      </c>
      <c r="L136" s="3450">
        <f>L135/K135</f>
        <v>1.0186236959972119</v>
      </c>
      <c r="M136" s="3450">
        <f>M135/L135</f>
        <v>1.0088251131487269</v>
      </c>
      <c r="N136" s="3450">
        <f>N135/M135</f>
        <v>1.1928492552642906</v>
      </c>
      <c r="O136" s="3450">
        <f>O135/N135</f>
        <v>1.364093109760115</v>
      </c>
      <c r="P136" s="3450"/>
      <c r="Q136" s="3472">
        <f>(K136*L136*M136*N136*O136)^(1/5)-1</f>
        <v>0.16089202245544021</v>
      </c>
      <c r="R136" s="3450"/>
      <c r="S136" s="3450">
        <f>S135/O135</f>
        <v>1.3208779274966778</v>
      </c>
      <c r="T136" s="3450">
        <f>T135/S135</f>
        <v>1.1334934389164746</v>
      </c>
      <c r="U136" s="3450"/>
      <c r="V136" s="3450">
        <f>V135/T135</f>
        <v>1.1808186754979528</v>
      </c>
      <c r="W136" s="3450"/>
      <c r="X136" s="3450">
        <f>X135/V135</f>
        <v>1.2823762376237624</v>
      </c>
      <c r="Y136" s="3450"/>
      <c r="Z136" s="3450">
        <f>Z135/X135</f>
        <v>0.88795332215653411</v>
      </c>
      <c r="AA136" s="3450"/>
      <c r="AB136" s="3441">
        <f>(S136*T136*V136*X136*Z136)^(1/5)-1</f>
        <v>0.15020195395128755</v>
      </c>
      <c r="AC136" s="3450"/>
      <c r="AD136" s="3450"/>
      <c r="AE136" s="3499"/>
      <c r="AF136" s="3450">
        <f>AF135/Z135</f>
        <v>0.85943480632532543</v>
      </c>
      <c r="AG136" s="3450"/>
      <c r="AH136" s="3450">
        <f>AH135/AF135</f>
        <v>1.5209856705222125</v>
      </c>
      <c r="AI136" s="3450"/>
      <c r="AJ136" s="3450"/>
      <c r="AK136" s="3450"/>
      <c r="AL136" s="3450"/>
      <c r="AM136" s="3450"/>
      <c r="AN136" s="3450"/>
      <c r="AO136" s="3450">
        <f>AO135/AH135</f>
        <v>0.80092324579333873</v>
      </c>
      <c r="AP136" s="3450"/>
      <c r="AQ136" s="3450">
        <f>AQ135/AO135</f>
        <v>1.1864406779661016</v>
      </c>
      <c r="AR136" s="3450">
        <f>AR135/AQ135</f>
        <v>1.2457142857142858</v>
      </c>
      <c r="AS136" s="3450"/>
      <c r="AT136" s="3450"/>
      <c r="AU136" s="3450"/>
      <c r="AV136" s="3450"/>
      <c r="AW136" s="3450">
        <f>(AO136*AQ136*AR136*AF136*AH136)^(1/5)-1</f>
        <v>9.1236003951927547E-2</v>
      </c>
      <c r="AX136" s="3450"/>
      <c r="AY136" s="3450"/>
      <c r="AZ136" s="3450">
        <f>AZ135/AR135</f>
        <v>1.1009174311926606</v>
      </c>
      <c r="BA136" s="3450">
        <f>BA135/AZ135</f>
        <v>1.1000000000000001</v>
      </c>
      <c r="BB136" s="3450">
        <f>BB135/BA135</f>
        <v>1.1079545454545454</v>
      </c>
      <c r="BC136" s="3450">
        <f>BC135/BB135</f>
        <v>1.1111111111111112</v>
      </c>
      <c r="BD136" s="3450">
        <f>BD135/BC135</f>
        <v>1.1230769230769231</v>
      </c>
      <c r="BE136" s="3450"/>
      <c r="BF136" s="3469">
        <f>(AZ136*BA136*BB136*BC136*BD136)^(1/5)-1</f>
        <v>0.10858059984170887</v>
      </c>
      <c r="BG136" s="3450"/>
      <c r="BH136" s="3450"/>
      <c r="BI136" s="3511"/>
      <c r="BJ136" s="3511"/>
      <c r="BK136" s="3511"/>
    </row>
    <row r="137" spans="1:63" s="817" customFormat="1">
      <c r="A137" s="3446" t="s">
        <v>29</v>
      </c>
      <c r="B137" s="3475" t="s">
        <v>1995</v>
      </c>
      <c r="C137" s="3510"/>
      <c r="D137" s="3510"/>
      <c r="E137" s="3510"/>
      <c r="F137" s="3510"/>
      <c r="G137" s="3510"/>
      <c r="H137" s="3450"/>
      <c r="I137" s="3498"/>
      <c r="J137" s="3498"/>
      <c r="K137" s="3450">
        <f t="shared" ref="K137:P137" si="132">K135/K101</f>
        <v>2.0139829335444771E-2</v>
      </c>
      <c r="L137" s="3450">
        <f t="shared" si="132"/>
        <v>1.8869829501621263E-2</v>
      </c>
      <c r="M137" s="3450">
        <f t="shared" si="132"/>
        <v>1.8768337919238952E-2</v>
      </c>
      <c r="N137" s="3450">
        <f t="shared" si="132"/>
        <v>2.4950619274005815E-2</v>
      </c>
      <c r="O137" s="3450">
        <f t="shared" si="132"/>
        <v>2.7046794784961498E-2</v>
      </c>
      <c r="P137" s="3450">
        <f t="shared" si="132"/>
        <v>2.2069380989163796E-2</v>
      </c>
      <c r="Q137" s="3450"/>
      <c r="R137" s="3450"/>
      <c r="S137" s="3450">
        <f>S135/S101</f>
        <v>2.918460138861987E-2</v>
      </c>
      <c r="T137" s="3450">
        <f>T135/T101</f>
        <v>3.0583497129887408E-2</v>
      </c>
      <c r="U137" s="3450"/>
      <c r="V137" s="3450">
        <f>V135/V101</f>
        <v>3.5431654779271314E-2</v>
      </c>
      <c r="W137" s="3450"/>
      <c r="X137" s="3450">
        <f>X135/$X$101</f>
        <v>3.6178717327177604E-2</v>
      </c>
      <c r="Y137" s="3450"/>
      <c r="Z137" s="3450">
        <f>Z135/$Z$101</f>
        <v>3.3421274911146284E-2</v>
      </c>
      <c r="AA137" s="3450">
        <f>AA135/$AA$101</f>
        <v>3.3205687359193846E-2</v>
      </c>
      <c r="AB137" s="3450"/>
      <c r="AC137" s="3441"/>
      <c r="AD137" s="3441"/>
      <c r="AE137" s="3443"/>
      <c r="AF137" s="3450">
        <f>AF135/$AF$101</f>
        <v>3.3571568986536827E-2</v>
      </c>
      <c r="AG137" s="3450"/>
      <c r="AH137" s="3450">
        <f>AH135/$AH$101</f>
        <v>4.6758985301678831E-2</v>
      </c>
      <c r="AI137" s="3450"/>
      <c r="AJ137" s="3450"/>
      <c r="AK137" s="3450"/>
      <c r="AL137" s="3450"/>
      <c r="AM137" s="3450"/>
      <c r="AN137" s="3450"/>
      <c r="AO137" s="3450">
        <f>AO135/AO101</f>
        <v>3.8866930171278E-2</v>
      </c>
      <c r="AP137" s="3450"/>
      <c r="AQ137" s="3450">
        <f>AQ135/AQ101</f>
        <v>3.7772501618821501E-2</v>
      </c>
      <c r="AR137" s="3450">
        <f>AR135/AR101</f>
        <v>4.2902830294794504E-2</v>
      </c>
      <c r="AS137" s="3450"/>
      <c r="AT137" s="3450"/>
      <c r="AU137" s="3450"/>
      <c r="AV137" s="3450"/>
      <c r="AW137" s="3441"/>
      <c r="AX137" s="3441"/>
      <c r="AY137" s="3441"/>
      <c r="AZ137" s="3450">
        <f>AZ135/AZ101</f>
        <v>4.3482199474590089E-2</v>
      </c>
      <c r="BA137" s="3450">
        <f>BA135/BA101</f>
        <v>4.4235925612631809E-2</v>
      </c>
      <c r="BB137" s="3450">
        <f>BB135/BB101</f>
        <v>4.5371697479513147E-2</v>
      </c>
      <c r="BC137" s="3450">
        <f>BC135/BC101</f>
        <v>4.6556601995526872E-2</v>
      </c>
      <c r="BD137" s="3450">
        <f>BD135/BD101</f>
        <v>4.8026315701655498E-2</v>
      </c>
      <c r="BE137" s="3450"/>
      <c r="BF137" s="3450"/>
      <c r="BG137" s="3450"/>
      <c r="BH137" s="3450"/>
      <c r="BI137" s="3511"/>
      <c r="BJ137" s="3511"/>
      <c r="BK137" s="3511"/>
    </row>
    <row r="138" spans="1:63" s="3525" customFormat="1" ht="16.2">
      <c r="A138" s="3513" t="s">
        <v>1797</v>
      </c>
      <c r="B138" s="3521" t="s">
        <v>20</v>
      </c>
      <c r="C138" s="3522">
        <f t="shared" ref="C138:P138" si="133">C17</f>
        <v>30997.278076999999</v>
      </c>
      <c r="D138" s="3522">
        <f t="shared" si="133"/>
        <v>64280</v>
      </c>
      <c r="E138" s="3522">
        <f t="shared" si="133"/>
        <v>86640</v>
      </c>
      <c r="F138" s="3522">
        <f t="shared" si="133"/>
        <v>110420</v>
      </c>
      <c r="G138" s="3522">
        <f t="shared" si="133"/>
        <v>115840</v>
      </c>
      <c r="H138" s="3522">
        <f t="shared" si="133"/>
        <v>186978.995165</v>
      </c>
      <c r="I138" s="3522"/>
      <c r="J138" s="3517"/>
      <c r="K138" s="3522">
        <f t="shared" si="133"/>
        <v>211576.30287000001</v>
      </c>
      <c r="L138" s="3522">
        <f t="shared" si="133"/>
        <v>242659.928071</v>
      </c>
      <c r="M138" s="3522">
        <f t="shared" si="133"/>
        <v>238487.114038</v>
      </c>
      <c r="N138" s="3522">
        <f t="shared" si="133"/>
        <v>256057.09914899999</v>
      </c>
      <c r="O138" s="3522">
        <f t="shared" si="133"/>
        <v>310783</v>
      </c>
      <c r="P138" s="3522">
        <f t="shared" si="133"/>
        <v>1259563.4441280002</v>
      </c>
      <c r="Q138" s="3518"/>
      <c r="R138" s="3518">
        <f>P138/$P$101</f>
        <v>5.5867577364403821E-2</v>
      </c>
      <c r="S138" s="3522">
        <f>S17</f>
        <v>341640</v>
      </c>
      <c r="T138" s="3522">
        <f>T17</f>
        <v>382262</v>
      </c>
      <c r="U138" s="3522"/>
      <c r="V138" s="3522">
        <f>V17</f>
        <v>479310</v>
      </c>
      <c r="W138" s="3522"/>
      <c r="X138" s="3522">
        <f>X17</f>
        <v>521482</v>
      </c>
      <c r="Y138" s="3522"/>
      <c r="Z138" s="3522">
        <f>Z17</f>
        <v>534260.9</v>
      </c>
      <c r="AA138" s="3334">
        <f>SUM(S138:Z138)</f>
        <v>2258954.9</v>
      </c>
      <c r="AB138" s="3522"/>
      <c r="AC138" s="3518"/>
      <c r="AD138" s="3518">
        <f>AA138/P138-1</f>
        <v>0.79344272853510889</v>
      </c>
      <c r="AE138" s="3523"/>
      <c r="AF138" s="3522">
        <f>AF17</f>
        <v>453602</v>
      </c>
      <c r="AG138" s="3522"/>
      <c r="AH138" s="3522">
        <f>AH17</f>
        <v>711978.18546399998</v>
      </c>
      <c r="AI138" s="3522"/>
      <c r="AJ138" s="3522"/>
      <c r="AK138" s="3522"/>
      <c r="AL138" s="3522"/>
      <c r="AM138" s="3522"/>
      <c r="AN138" s="3522"/>
      <c r="AO138" s="3522">
        <f>AO17</f>
        <v>600000</v>
      </c>
      <c r="AP138" s="3522"/>
      <c r="AQ138" s="3522">
        <f>AQ17</f>
        <v>730000</v>
      </c>
      <c r="AR138" s="3522">
        <f>AR17</f>
        <v>870000</v>
      </c>
      <c r="AS138" s="3522"/>
      <c r="AT138" s="3522"/>
      <c r="AU138" s="3522"/>
      <c r="AV138" s="3522">
        <f>SUM(AF138:AR138)</f>
        <v>3365580.1854639999</v>
      </c>
      <c r="AW138" s="3518"/>
      <c r="AX138" s="3518">
        <f>AV138/$AV$101</f>
        <v>7.9925626017539428E-2</v>
      </c>
      <c r="AY138" s="3518">
        <f>AV138/AA138-1</f>
        <v>0.4898837446750266</v>
      </c>
      <c r="AZ138" s="3522">
        <f>AZ17</f>
        <v>940000</v>
      </c>
      <c r="BA138" s="3522">
        <f>BA17</f>
        <v>1040000</v>
      </c>
      <c r="BB138" s="3522">
        <f>BB17</f>
        <v>1150000</v>
      </c>
      <c r="BC138" s="3522">
        <f>BC17</f>
        <v>1270000</v>
      </c>
      <c r="BD138" s="3522">
        <f>BD17</f>
        <v>1420000</v>
      </c>
      <c r="BE138" s="185">
        <f>SUM(AY138:BD138)</f>
        <v>5820000.4898837451</v>
      </c>
      <c r="BF138" s="185"/>
      <c r="BG138" s="3331">
        <f>BE138/$BE$101</f>
        <v>8.9497162132825062E-2</v>
      </c>
      <c r="BH138" s="3327">
        <f>BE138/AV138</f>
        <v>1.7292710822996968</v>
      </c>
      <c r="BI138" s="3524"/>
      <c r="BJ138" s="3524"/>
      <c r="BK138" s="3524"/>
    </row>
    <row r="139" spans="1:63" s="817" customFormat="1">
      <c r="A139" s="3446" t="s">
        <v>29</v>
      </c>
      <c r="B139" s="3475" t="s">
        <v>1993</v>
      </c>
      <c r="C139" s="3510"/>
      <c r="D139" s="3510"/>
      <c r="E139" s="3510"/>
      <c r="F139" s="3510"/>
      <c r="G139" s="3510"/>
      <c r="H139" s="3450"/>
      <c r="I139" s="3498"/>
      <c r="J139" s="3487">
        <f>(D139*E139*F139*G139*H139)^(1/5)-1</f>
        <v>-1</v>
      </c>
      <c r="K139" s="3450">
        <f>K138/H138</f>
        <v>1.1315511813682284</v>
      </c>
      <c r="L139" s="3450">
        <f>L138/K138</f>
        <v>1.1469144926882424</v>
      </c>
      <c r="M139" s="3450">
        <f>M138/L138</f>
        <v>0.98280386025755728</v>
      </c>
      <c r="N139" s="3450">
        <f>N138/M138</f>
        <v>1.0736726811503972</v>
      </c>
      <c r="O139" s="3450">
        <f>O138/N138</f>
        <v>1.2137253801315422</v>
      </c>
      <c r="P139" s="3450"/>
      <c r="Q139" s="3472">
        <f>(K139*L139*M139*N139*O139)^(1/5)-1</f>
        <v>0.10696244357773277</v>
      </c>
      <c r="R139" s="3450"/>
      <c r="S139" s="3450">
        <f>S138/O138</f>
        <v>1.099287927589347</v>
      </c>
      <c r="T139" s="3450">
        <f>T138/S138</f>
        <v>1.1189029387659524</v>
      </c>
      <c r="U139" s="3450"/>
      <c r="V139" s="3450">
        <f>V138/T138</f>
        <v>1.2538782301144242</v>
      </c>
      <c r="W139" s="3450"/>
      <c r="X139" s="3450">
        <f>X138/V138</f>
        <v>1.0879848114998645</v>
      </c>
      <c r="Y139" s="3450"/>
      <c r="Z139" s="3450">
        <f>Z138/X138</f>
        <v>1.0245049685319916</v>
      </c>
      <c r="AA139" s="3450"/>
      <c r="AB139" s="3441">
        <f>(S139*T139*V139*X139*Z139)^(1/5)-1</f>
        <v>0.11444650701410319</v>
      </c>
      <c r="AC139" s="3450"/>
      <c r="AD139" s="3450"/>
      <c r="AE139" s="3499"/>
      <c r="AF139" s="3450">
        <f>AF138/Z138</f>
        <v>0.84902713262377982</v>
      </c>
      <c r="AG139" s="3450"/>
      <c r="AH139" s="3450">
        <f>AH138/AF138</f>
        <v>1.5696098903091256</v>
      </c>
      <c r="AI139" s="3450"/>
      <c r="AJ139" s="3450"/>
      <c r="AK139" s="3450"/>
      <c r="AL139" s="3450"/>
      <c r="AM139" s="3450"/>
      <c r="AN139" s="3450"/>
      <c r="AO139" s="3450">
        <f>AO138/AH138</f>
        <v>0.84272244887527947</v>
      </c>
      <c r="AP139" s="3450"/>
      <c r="AQ139" s="3450">
        <f>AQ138/AO138</f>
        <v>1.2166666666666666</v>
      </c>
      <c r="AR139" s="3450">
        <f>AR138/AQ138</f>
        <v>1.1917808219178083</v>
      </c>
      <c r="AS139" s="3450"/>
      <c r="AT139" s="3450"/>
      <c r="AU139" s="3450"/>
      <c r="AV139" s="3450"/>
      <c r="AW139" s="3450">
        <f>(AO139*AQ139*AR139*AF139*AH139)^(1/5)-1</f>
        <v>0.10243545570273538</v>
      </c>
      <c r="AX139" s="3450"/>
      <c r="AY139" s="3450"/>
      <c r="AZ139" s="3450">
        <f>AZ138/AR138</f>
        <v>1.0804597701149425</v>
      </c>
      <c r="BA139" s="3450">
        <f>BA138/AZ138</f>
        <v>1.1063829787234043</v>
      </c>
      <c r="BB139" s="3450">
        <f>BB138/BA138</f>
        <v>1.1057692307692308</v>
      </c>
      <c r="BC139" s="3450">
        <f>BC138/BB138</f>
        <v>1.1043478260869566</v>
      </c>
      <c r="BD139" s="3450">
        <f>BD138/BC138</f>
        <v>1.1181102362204725</v>
      </c>
      <c r="BE139" s="3450"/>
      <c r="BF139" s="3469">
        <f>(AZ139*BA139*BB139*BC139*BD139)^(1/5)-1</f>
        <v>0.10294490378842869</v>
      </c>
      <c r="BG139" s="3450"/>
      <c r="BH139" s="3450"/>
      <c r="BI139" s="3511"/>
      <c r="BJ139" s="3511"/>
      <c r="BK139" s="3511"/>
    </row>
    <row r="140" spans="1:63" s="817" customFormat="1">
      <c r="A140" s="3446" t="s">
        <v>29</v>
      </c>
      <c r="B140" s="3475" t="s">
        <v>1995</v>
      </c>
      <c r="C140" s="3510"/>
      <c r="D140" s="3510"/>
      <c r="E140" s="3510"/>
      <c r="F140" s="3510"/>
      <c r="G140" s="3510"/>
      <c r="H140" s="3450"/>
      <c r="I140" s="3498"/>
      <c r="J140" s="3498"/>
      <c r="K140" s="3450">
        <f>K138/$K$101</f>
        <v>5.0904889284641985E-2</v>
      </c>
      <c r="L140" s="3450">
        <f>L138/$L$101</f>
        <v>5.370181363473326E-2</v>
      </c>
      <c r="M140" s="3450">
        <f>M138/$M$101</f>
        <v>5.2035263727116518E-2</v>
      </c>
      <c r="N140" s="3450">
        <f>N138/$N$101</f>
        <v>6.2264372302523484E-2</v>
      </c>
      <c r="O140" s="3450">
        <f>O138/$O$101</f>
        <v>6.0055184999604827E-2</v>
      </c>
      <c r="P140" s="3450">
        <f>P138/$P$101</f>
        <v>5.5867577364403821E-2</v>
      </c>
      <c r="Q140" s="3450"/>
      <c r="R140" s="3450"/>
      <c r="S140" s="3450">
        <f>S138/$S$101</f>
        <v>5.3930847469185583E-2</v>
      </c>
      <c r="T140" s="3450">
        <f>T138/$T$101</f>
        <v>5.5788415521550214E-2</v>
      </c>
      <c r="U140" s="3450"/>
      <c r="V140" s="3450">
        <f>V138/$V$101</f>
        <v>6.863102223581545E-2</v>
      </c>
      <c r="W140" s="3450"/>
      <c r="X140" s="3450">
        <f>X138/$X$101</f>
        <v>5.9455162134635989E-2</v>
      </c>
      <c r="Y140" s="3450"/>
      <c r="Z140" s="3450">
        <f>Z138/$Z$101</f>
        <v>6.3369947546292132E-2</v>
      </c>
      <c r="AA140" s="3450">
        <f>AA138/$AA$101</f>
        <v>6.0444339680488519E-2</v>
      </c>
      <c r="AB140" s="3450"/>
      <c r="AC140" s="3441"/>
      <c r="AD140" s="3441"/>
      <c r="AE140" s="3443"/>
      <c r="AF140" s="3450">
        <f>AF138/$AF$101</f>
        <v>6.288406453296172E-2</v>
      </c>
      <c r="AG140" s="3450"/>
      <c r="AH140" s="3450">
        <f>AH138/$AH$101</f>
        <v>9.0385891971598492E-2</v>
      </c>
      <c r="AI140" s="3450"/>
      <c r="AJ140" s="3450"/>
      <c r="AK140" s="3450"/>
      <c r="AL140" s="3450"/>
      <c r="AM140" s="3450"/>
      <c r="AN140" s="3450"/>
      <c r="AO140" s="3450">
        <f>AO138/$AO$101</f>
        <v>7.9051383399209488E-2</v>
      </c>
      <c r="AP140" s="3450"/>
      <c r="AQ140" s="3450">
        <f>AQ138/$AQ$101</f>
        <v>7.8782646233541975E-2</v>
      </c>
      <c r="AR140" s="3450">
        <f>AR138/$AR$101</f>
        <v>8.5608858615759675E-2</v>
      </c>
      <c r="AS140" s="3450"/>
      <c r="AT140" s="3450"/>
      <c r="AU140" s="3450"/>
      <c r="AV140" s="3450"/>
      <c r="AW140" s="3441"/>
      <c r="AX140" s="3441"/>
      <c r="AY140" s="3441"/>
      <c r="AZ140" s="3450">
        <f>AZ138/AZ101</f>
        <v>8.5152640637738919E-2</v>
      </c>
      <c r="BA140" s="3450">
        <f>BA138/BA101</f>
        <v>8.7131368630941439E-2</v>
      </c>
      <c r="BB140" s="3450">
        <f>BB138/BB101</f>
        <v>8.9192225814427553E-2</v>
      </c>
      <c r="BC140" s="3450">
        <f>BC138/BC101</f>
        <v>9.0964437745106347E-2</v>
      </c>
      <c r="BD140" s="3450">
        <f>BD138/BD101</f>
        <v>9.3421052460754536E-2</v>
      </c>
      <c r="BE140" s="3450"/>
      <c r="BF140" s="3450"/>
      <c r="BG140" s="3450"/>
      <c r="BH140" s="3450"/>
      <c r="BI140" s="3511"/>
      <c r="BJ140" s="3511"/>
      <c r="BK140" s="3511"/>
    </row>
    <row r="141" spans="1:63" s="817" customFormat="1" ht="16.2">
      <c r="A141" s="3513" t="s">
        <v>1797</v>
      </c>
      <c r="B141" s="3521" t="s">
        <v>97</v>
      </c>
      <c r="C141" s="3522">
        <f t="shared" ref="C141:P141" si="134">C16</f>
        <v>4947.6086210000003</v>
      </c>
      <c r="D141" s="3522">
        <f t="shared" si="134"/>
        <v>6300</v>
      </c>
      <c r="E141" s="3522">
        <f t="shared" si="134"/>
        <v>10340</v>
      </c>
      <c r="F141" s="3522">
        <f t="shared" si="134"/>
        <v>13690</v>
      </c>
      <c r="G141" s="3522">
        <f t="shared" si="134"/>
        <v>17250</v>
      </c>
      <c r="H141" s="3522">
        <f t="shared" si="134"/>
        <v>22513.990010999998</v>
      </c>
      <c r="I141" s="3522"/>
      <c r="J141" s="3517"/>
      <c r="K141" s="3522">
        <f t="shared" si="134"/>
        <v>22700.889665999999</v>
      </c>
      <c r="L141" s="3522">
        <f t="shared" si="134"/>
        <v>7232.069724</v>
      </c>
      <c r="M141" s="3522">
        <f t="shared" si="134"/>
        <v>9025.4512319999994</v>
      </c>
      <c r="N141" s="3522">
        <f t="shared" si="134"/>
        <v>8785.7481970000008</v>
      </c>
      <c r="O141" s="3522">
        <f t="shared" si="134"/>
        <v>8245</v>
      </c>
      <c r="P141" s="3522">
        <f t="shared" si="134"/>
        <v>55989.158818999997</v>
      </c>
      <c r="Q141" s="3518"/>
      <c r="R141" s="3518">
        <f>P141/$P$101</f>
        <v>2.4833831725355323E-3</v>
      </c>
      <c r="S141" s="3522">
        <f>S16</f>
        <v>8374</v>
      </c>
      <c r="T141" s="3522">
        <f>T16</f>
        <v>9759</v>
      </c>
      <c r="U141" s="3522"/>
      <c r="V141" s="3522">
        <f>V16</f>
        <v>10562</v>
      </c>
      <c r="W141" s="3522"/>
      <c r="X141" s="3522">
        <f>X16</f>
        <v>11281</v>
      </c>
      <c r="Y141" s="3522"/>
      <c r="Z141" s="3522">
        <f>Z16</f>
        <v>11442.9</v>
      </c>
      <c r="AA141" s="3334">
        <f>SUM(S141:Z141)</f>
        <v>51418.9</v>
      </c>
      <c r="AB141" s="3522"/>
      <c r="AC141" s="3518"/>
      <c r="AD141" s="3518">
        <f>AA141/P141-1</f>
        <v>-8.1627567111243526E-2</v>
      </c>
      <c r="AE141" s="3523"/>
      <c r="AF141" s="3522">
        <f>AF16</f>
        <v>9403</v>
      </c>
      <c r="AG141" s="3522"/>
      <c r="AH141" s="3522">
        <f>AH16</f>
        <v>17903.111367000001</v>
      </c>
      <c r="AI141" s="3522"/>
      <c r="AJ141" s="3522"/>
      <c r="AK141" s="3522"/>
      <c r="AL141" s="3522"/>
      <c r="AM141" s="3522"/>
      <c r="AN141" s="3522"/>
      <c r="AO141" s="3522">
        <f>AO16</f>
        <v>10000</v>
      </c>
      <c r="AP141" s="3522"/>
      <c r="AQ141" s="3522">
        <f>AQ16</f>
        <v>15000</v>
      </c>
      <c r="AR141" s="3522">
        <f>AR16</f>
        <v>12000</v>
      </c>
      <c r="AS141" s="3522"/>
      <c r="AT141" s="3522"/>
      <c r="AU141" s="3522"/>
      <c r="AV141" s="3522">
        <f>SUM(AF141:AR141)</f>
        <v>64306.111367000005</v>
      </c>
      <c r="AW141" s="3518"/>
      <c r="AX141" s="3518">
        <f>AV141/$AV$101</f>
        <v>1.5271382420064051E-3</v>
      </c>
      <c r="AY141" s="3518">
        <f>AV141/AA141-1</f>
        <v>0.25063179817148962</v>
      </c>
      <c r="AZ141" s="3522">
        <f>AZ16</f>
        <v>13000</v>
      </c>
      <c r="BA141" s="3522">
        <f>BA16</f>
        <v>14000</v>
      </c>
      <c r="BB141" s="3522">
        <f>BB16</f>
        <v>15000</v>
      </c>
      <c r="BC141" s="3522">
        <f>BC16</f>
        <v>16000</v>
      </c>
      <c r="BD141" s="3522">
        <f>BD16</f>
        <v>17000</v>
      </c>
      <c r="BE141" s="185">
        <f>SUM(AY141:BD141)-1</f>
        <v>74999.250631798175</v>
      </c>
      <c r="BF141" s="185"/>
      <c r="BG141" s="3331">
        <f>BE141/$BE$101</f>
        <v>1.1533023245103714E-3</v>
      </c>
      <c r="BH141" s="3327">
        <f>BE141/AV141</f>
        <v>1.1662849616853923</v>
      </c>
      <c r="BI141" s="3524"/>
      <c r="BJ141" s="3524"/>
      <c r="BK141" s="3524"/>
    </row>
    <row r="142" spans="1:63" s="817" customFormat="1">
      <c r="A142" s="3446" t="s">
        <v>29</v>
      </c>
      <c r="B142" s="3475" t="s">
        <v>1993</v>
      </c>
      <c r="C142" s="3510"/>
      <c r="D142" s="3510"/>
      <c r="E142" s="3510"/>
      <c r="F142" s="3510"/>
      <c r="G142" s="3510"/>
      <c r="H142" s="3450"/>
      <c r="I142" s="3498"/>
      <c r="J142" s="3487">
        <f>(D142*E142*F142*G142*H142)^(1/5)-1</f>
        <v>-1</v>
      </c>
      <c r="K142" s="3450">
        <f>K141/H141</f>
        <v>1.0083014896474896</v>
      </c>
      <c r="L142" s="3450">
        <f>L141/K141</f>
        <v>0.31858089398283584</v>
      </c>
      <c r="M142" s="3450">
        <f>M141/L141</f>
        <v>1.2479762469723668</v>
      </c>
      <c r="N142" s="3450">
        <f>N141/M141</f>
        <v>0.97344143480049794</v>
      </c>
      <c r="O142" s="3450">
        <f>O141/N141</f>
        <v>0.93845166229728216</v>
      </c>
      <c r="P142" s="3450"/>
      <c r="Q142" s="3472">
        <f>(K142*L142*M142*N142*O142)^(1/5)-1</f>
        <v>-0.1820106709603595</v>
      </c>
      <c r="R142" s="3450"/>
      <c r="S142" s="3450">
        <f>S141/O141</f>
        <v>1.0156458459672528</v>
      </c>
      <c r="T142" s="3450">
        <f>T141/S141</f>
        <v>1.1653928827322666</v>
      </c>
      <c r="U142" s="3450"/>
      <c r="V142" s="3450">
        <f>V141/T141</f>
        <v>1.0822830208013117</v>
      </c>
      <c r="W142" s="3450"/>
      <c r="X142" s="3450">
        <f>X141/V141</f>
        <v>1.0680742283658398</v>
      </c>
      <c r="Y142" s="3450"/>
      <c r="Z142" s="3450">
        <f>Z141/X141</f>
        <v>1.0143515645776084</v>
      </c>
      <c r="AA142" s="3450"/>
      <c r="AB142" s="3441">
        <f>(S142*T142*V142*X142*Z142)^(1/5)-1</f>
        <v>6.7748791440422895E-2</v>
      </c>
      <c r="AC142" s="3450"/>
      <c r="AD142" s="3450"/>
      <c r="AE142" s="3499"/>
      <c r="AF142" s="3450">
        <f>AF141/Z141</f>
        <v>0.82173225318756615</v>
      </c>
      <c r="AG142" s="3450"/>
      <c r="AH142" s="3450">
        <f>AH141/AF141</f>
        <v>1.9039786628735511</v>
      </c>
      <c r="AI142" s="3450"/>
      <c r="AJ142" s="3450"/>
      <c r="AK142" s="3450"/>
      <c r="AL142" s="3450"/>
      <c r="AM142" s="3450"/>
      <c r="AN142" s="3450"/>
      <c r="AO142" s="3450">
        <f>AO141/AH141</f>
        <v>0.55856212895109114</v>
      </c>
      <c r="AP142" s="3450"/>
      <c r="AQ142" s="3450">
        <f>AQ141/AO141</f>
        <v>1.5</v>
      </c>
      <c r="AR142" s="3450">
        <f>AR141/AQ141</f>
        <v>0.8</v>
      </c>
      <c r="AS142" s="3450"/>
      <c r="AT142" s="3450"/>
      <c r="AU142" s="3450"/>
      <c r="AV142" s="3450"/>
      <c r="AW142" s="3450">
        <f>(AO142*AQ142*AR142*AF142*AH142)^(1/5)-1</f>
        <v>9.5527791710896537E-3</v>
      </c>
      <c r="AX142" s="3450"/>
      <c r="AY142" s="3450"/>
      <c r="AZ142" s="3450">
        <f>AZ141/AR141</f>
        <v>1.0833333333333333</v>
      </c>
      <c r="BA142" s="3450">
        <f>BA141/AZ141</f>
        <v>1.0769230769230769</v>
      </c>
      <c r="BB142" s="3450">
        <f>BB141/BA141</f>
        <v>1.0714285714285714</v>
      </c>
      <c r="BC142" s="3450">
        <f>BC141/BB141</f>
        <v>1.0666666666666667</v>
      </c>
      <c r="BD142" s="3450">
        <f>BD141/BC141</f>
        <v>1.0625</v>
      </c>
      <c r="BE142" s="3450"/>
      <c r="BF142" s="3469">
        <f>(AZ142*BA142*BB142*BC142*BD142)^(1/5)-1</f>
        <v>7.2145025900850923E-2</v>
      </c>
      <c r="BG142" s="3450"/>
      <c r="BH142" s="3450"/>
      <c r="BI142" s="3511"/>
      <c r="BJ142" s="3511"/>
      <c r="BK142" s="3511"/>
    </row>
    <row r="143" spans="1:63" s="817" customFormat="1">
      <c r="A143" s="3446" t="s">
        <v>29</v>
      </c>
      <c r="B143" s="3475" t="s">
        <v>1995</v>
      </c>
      <c r="C143" s="3510"/>
      <c r="D143" s="3510"/>
      <c r="E143" s="3510"/>
      <c r="F143" s="3510"/>
      <c r="G143" s="3510"/>
      <c r="H143" s="3450"/>
      <c r="I143" s="3498"/>
      <c r="J143" s="3498"/>
      <c r="K143" s="3450">
        <f>K141/$K$101</f>
        <v>5.4617944421717045E-3</v>
      </c>
      <c r="L143" s="3450">
        <f>L141/$L$101</f>
        <v>1.6004919460703452E-3</v>
      </c>
      <c r="M143" s="3450">
        <f>M141/$M$101</f>
        <v>1.9692541335315796E-3</v>
      </c>
      <c r="N143" s="3450">
        <f>N141/$N$101</f>
        <v>2.1363949623435735E-3</v>
      </c>
      <c r="O143" s="3450">
        <f>O141/$O$101</f>
        <v>1.5932499535744934E-3</v>
      </c>
      <c r="P143" s="3450">
        <f>P141/$P$101</f>
        <v>2.4833831725355323E-3</v>
      </c>
      <c r="Q143" s="3450"/>
      <c r="R143" s="3450"/>
      <c r="S143" s="3450">
        <f>S141/$S$101</f>
        <v>1.3219087832424777E-3</v>
      </c>
      <c r="T143" s="3450">
        <f>T141/$T$101</f>
        <v>1.4242565232087116E-3</v>
      </c>
      <c r="U143" s="3450"/>
      <c r="V143" s="3450">
        <f>V141/$V$101</f>
        <v>1.5123424440439024E-3</v>
      </c>
      <c r="W143" s="3450"/>
      <c r="X143" s="3450">
        <f>X141/$X$101</f>
        <v>1.2861684277517317E-3</v>
      </c>
      <c r="Y143" s="3450"/>
      <c r="Z143" s="3450">
        <f>Z141/$Z$101</f>
        <v>1.3572694029779576E-3</v>
      </c>
      <c r="AA143" s="3450">
        <f>AA141/$AA$101</f>
        <v>1.375849273306462E-3</v>
      </c>
      <c r="AB143" s="3450"/>
      <c r="AC143" s="3441"/>
      <c r="AD143" s="3441"/>
      <c r="AE143" s="3443"/>
      <c r="AF143" s="3450">
        <f>AF141/$AF$101</f>
        <v>1.3035631650729915E-3</v>
      </c>
      <c r="AG143" s="3450"/>
      <c r="AH143" s="3450">
        <f>AH141/$AH$101</f>
        <v>2.2728065592607684E-3</v>
      </c>
      <c r="AI143" s="3450"/>
      <c r="AJ143" s="3450"/>
      <c r="AK143" s="3450"/>
      <c r="AL143" s="3450"/>
      <c r="AM143" s="3450"/>
      <c r="AN143" s="3450"/>
      <c r="AO143" s="3450">
        <f>AO141/$AO$101</f>
        <v>1.3175230566534915E-3</v>
      </c>
      <c r="AP143" s="3450"/>
      <c r="AQ143" s="3450">
        <f>AQ141/$AQ$101</f>
        <v>1.6188214979494927E-3</v>
      </c>
      <c r="AR143" s="3450">
        <f>AR141/$AR$101</f>
        <v>1.1808118429759954E-3</v>
      </c>
      <c r="AS143" s="3450"/>
      <c r="AT143" s="3450"/>
      <c r="AU143" s="3450"/>
      <c r="AV143" s="3450"/>
      <c r="AW143" s="3441"/>
      <c r="AX143" s="3441"/>
      <c r="AY143" s="3441"/>
      <c r="AZ143" s="3450">
        <f>AZ141/AZ101</f>
        <v>1.177642902436815E-3</v>
      </c>
      <c r="BA143" s="3450">
        <f>BA141/BA101</f>
        <v>1.172922270031904E-3</v>
      </c>
      <c r="BB143" s="3450">
        <f>BB141/BB101</f>
        <v>1.1633768584490552E-3</v>
      </c>
      <c r="BC143" s="3450">
        <f>BC141/BC101</f>
        <v>1.1460086645052768E-3</v>
      </c>
      <c r="BD143" s="3450">
        <f>BD141/BD101</f>
        <v>1.118421050586498E-3</v>
      </c>
      <c r="BE143" s="3450"/>
      <c r="BF143" s="3450"/>
      <c r="BG143" s="3450"/>
      <c r="BH143" s="3450"/>
      <c r="BI143" s="3511"/>
      <c r="BJ143" s="3511"/>
      <c r="BK143" s="3511"/>
    </row>
    <row r="144" spans="1:63" s="817" customFormat="1" ht="16.2">
      <c r="A144" s="3513" t="s">
        <v>1797</v>
      </c>
      <c r="B144" s="3521" t="s">
        <v>22</v>
      </c>
      <c r="C144" s="3522">
        <f t="shared" ref="C144:H144" si="135">C19</f>
        <v>61753.951621</v>
      </c>
      <c r="D144" s="3522">
        <f t="shared" si="135"/>
        <v>83710</v>
      </c>
      <c r="E144" s="3522">
        <f t="shared" si="135"/>
        <v>65760</v>
      </c>
      <c r="F144" s="3522">
        <f t="shared" si="135"/>
        <v>62020</v>
      </c>
      <c r="G144" s="3522">
        <f t="shared" si="135"/>
        <v>108070</v>
      </c>
      <c r="H144" s="3522">
        <f t="shared" si="135"/>
        <v>147763</v>
      </c>
      <c r="I144" s="3522"/>
      <c r="J144" s="3517"/>
      <c r="K144" s="3522">
        <f t="shared" ref="K144:P144" si="136">K19</f>
        <v>129532.067836</v>
      </c>
      <c r="L144" s="3522">
        <f t="shared" si="136"/>
        <v>124106.44856800001</v>
      </c>
      <c r="M144" s="3522">
        <f t="shared" si="136"/>
        <v>151790.240028</v>
      </c>
      <c r="N144" s="3522">
        <f t="shared" si="136"/>
        <v>165870.497191</v>
      </c>
      <c r="O144" s="3522">
        <f t="shared" si="136"/>
        <v>212616</v>
      </c>
      <c r="P144" s="3522">
        <f t="shared" si="136"/>
        <v>783915.253623</v>
      </c>
      <c r="Q144" s="3518"/>
      <c r="R144" s="3518">
        <f>P144/$P$101</f>
        <v>3.4770337518995657E-2</v>
      </c>
      <c r="S144" s="3522">
        <f>S19</f>
        <v>205555</v>
      </c>
      <c r="T144" s="3522">
        <f>T19</f>
        <v>256429</v>
      </c>
      <c r="U144" s="3522"/>
      <c r="V144" s="3522">
        <f>V19</f>
        <v>154856</v>
      </c>
      <c r="W144" s="3522"/>
      <c r="X144" s="3522">
        <f>X19</f>
        <v>172887</v>
      </c>
      <c r="Y144" s="3522"/>
      <c r="Z144" s="3522">
        <f>Z19</f>
        <v>169167.9</v>
      </c>
      <c r="AA144" s="3334">
        <f>SUM(S144:Z144)</f>
        <v>958894.9</v>
      </c>
      <c r="AB144" s="3522"/>
      <c r="AC144" s="3518"/>
      <c r="AD144" s="3518">
        <f>AA144/P144-1</f>
        <v>0.22321245258119582</v>
      </c>
      <c r="AE144" s="3523"/>
      <c r="AF144" s="3522">
        <f>AF19</f>
        <v>156068</v>
      </c>
      <c r="AG144" s="3522"/>
      <c r="AH144" s="3522">
        <f>AH19</f>
        <v>174909.15649200001</v>
      </c>
      <c r="AI144" s="3522"/>
      <c r="AJ144" s="3522"/>
      <c r="AK144" s="3522"/>
      <c r="AL144" s="3522"/>
      <c r="AM144" s="3522"/>
      <c r="AN144" s="3522"/>
      <c r="AO144" s="3522">
        <f>AO19</f>
        <v>160000</v>
      </c>
      <c r="AP144" s="3522"/>
      <c r="AQ144" s="3522">
        <f>AQ19</f>
        <v>170000</v>
      </c>
      <c r="AR144" s="3522">
        <f>AR19</f>
        <v>212000</v>
      </c>
      <c r="AS144" s="3522"/>
      <c r="AT144" s="3522"/>
      <c r="AU144" s="3522"/>
      <c r="AV144" s="3522">
        <f>SUM(AF144:AR144)</f>
        <v>872977.15649199998</v>
      </c>
      <c r="AW144" s="3518"/>
      <c r="AX144" s="3518">
        <f>AV144/$AV$101</f>
        <v>2.0731416839505551E-2</v>
      </c>
      <c r="AY144" s="3518">
        <f>AV144/AA144-1</f>
        <v>-8.9600793067102558E-2</v>
      </c>
      <c r="AZ144" s="3522">
        <f>AZ19</f>
        <v>226000</v>
      </c>
      <c r="BA144" s="3522">
        <f>BA19</f>
        <v>245000</v>
      </c>
      <c r="BB144" s="3522">
        <f>BB19</f>
        <v>270000</v>
      </c>
      <c r="BC144" s="3522">
        <f>BC19</f>
        <v>300000</v>
      </c>
      <c r="BD144" s="3522">
        <f>BD19</f>
        <v>340000</v>
      </c>
      <c r="BE144" s="185">
        <f>SUM(AY144:BD144)</f>
        <v>1380999.9103992069</v>
      </c>
      <c r="BF144" s="185"/>
      <c r="BG144" s="3331">
        <f>BE144/$BE$101</f>
        <v>2.1236350942108517E-2</v>
      </c>
      <c r="BH144" s="3327">
        <f>BE144/AV144</f>
        <v>1.5819427806664061</v>
      </c>
      <c r="BI144" s="3524"/>
      <c r="BJ144" s="3524"/>
      <c r="BK144" s="3524"/>
    </row>
    <row r="145" spans="1:64" s="817" customFormat="1">
      <c r="A145" s="3446" t="s">
        <v>29</v>
      </c>
      <c r="B145" s="3475" t="s">
        <v>1993</v>
      </c>
      <c r="C145" s="3510"/>
      <c r="D145" s="3510"/>
      <c r="E145" s="3510"/>
      <c r="F145" s="3510"/>
      <c r="G145" s="3510"/>
      <c r="H145" s="3450"/>
      <c r="I145" s="3498"/>
      <c r="J145" s="3487">
        <f>(D145*E145*F145*G145*H145)^(1/5)-1</f>
        <v>-1</v>
      </c>
      <c r="K145" s="3450">
        <f>K144/H144</f>
        <v>0.87662045191286042</v>
      </c>
      <c r="L145" s="3450">
        <f>L144/K144</f>
        <v>0.95811369834017202</v>
      </c>
      <c r="M145" s="3450">
        <f>M144/L144</f>
        <v>1.223064891304432</v>
      </c>
      <c r="N145" s="3450">
        <f>N144/M144</f>
        <v>1.0927612813604002</v>
      </c>
      <c r="O145" s="3450">
        <f>O144/N144</f>
        <v>1.2818192722674033</v>
      </c>
      <c r="P145" s="3450"/>
      <c r="Q145" s="3472">
        <f>(K145*L145*M145*N145*O145)^(1/5)-1</f>
        <v>7.5489187895901422E-2</v>
      </c>
      <c r="R145" s="3450"/>
      <c r="S145" s="3450">
        <f>S144/O144</f>
        <v>0.96678989351695077</v>
      </c>
      <c r="T145" s="3450">
        <f>T144/S144</f>
        <v>1.2474958040427135</v>
      </c>
      <c r="U145" s="3450"/>
      <c r="V145" s="3450">
        <f>V144/T144</f>
        <v>0.60389425532993535</v>
      </c>
      <c r="W145" s="3450"/>
      <c r="X145" s="3450">
        <f>X144/V144</f>
        <v>1.1164372061786434</v>
      </c>
      <c r="Y145" s="3450"/>
      <c r="Z145" s="3450">
        <f>Z144/X144</f>
        <v>0.97848826111853404</v>
      </c>
      <c r="AA145" s="3450"/>
      <c r="AB145" s="3441">
        <f>(S145*T145*V145*X145*Z145)^(1/5)-1</f>
        <v>-4.4689826074443384E-2</v>
      </c>
      <c r="AC145" s="3450"/>
      <c r="AD145" s="3450"/>
      <c r="AE145" s="3499"/>
      <c r="AF145" s="3450">
        <f>AF144/Z144</f>
        <v>0.92256273205495842</v>
      </c>
      <c r="AG145" s="3450"/>
      <c r="AH145" s="3450">
        <f>AH144/AF144</f>
        <v>1.1207240208883309</v>
      </c>
      <c r="AI145" s="3450"/>
      <c r="AJ145" s="3450"/>
      <c r="AK145" s="3450"/>
      <c r="AL145" s="3450"/>
      <c r="AM145" s="3450"/>
      <c r="AN145" s="3450"/>
      <c r="AO145" s="3450">
        <f>AO144/AH144</f>
        <v>0.91476057176753967</v>
      </c>
      <c r="AP145" s="3450"/>
      <c r="AQ145" s="3450">
        <f>AQ144/AO144</f>
        <v>1.0625</v>
      </c>
      <c r="AR145" s="3450">
        <f>AR144/AQ144</f>
        <v>1.2470588235294118</v>
      </c>
      <c r="AS145" s="3450"/>
      <c r="AT145" s="3450"/>
      <c r="AU145" s="3450"/>
      <c r="AV145" s="3450"/>
      <c r="AW145" s="3450">
        <f>(AO145*AQ145*AR145*AF145*AH145)^(1/5)-1</f>
        <v>4.617317620241157E-2</v>
      </c>
      <c r="AX145" s="3450"/>
      <c r="AY145" s="3450"/>
      <c r="AZ145" s="3450">
        <f>AZ144/AR144</f>
        <v>1.0660377358490567</v>
      </c>
      <c r="BA145" s="3450">
        <f>BA144/AZ144</f>
        <v>1.084070796460177</v>
      </c>
      <c r="BB145" s="3450">
        <f>BB144/BA144</f>
        <v>1.1020408163265305</v>
      </c>
      <c r="BC145" s="3450">
        <f>BC144/BB144</f>
        <v>1.1111111111111112</v>
      </c>
      <c r="BD145" s="3450">
        <f>BD144/BC144</f>
        <v>1.1333333333333333</v>
      </c>
      <c r="BE145" s="3450"/>
      <c r="BF145" s="3469">
        <f>(AZ145*BA145*BB145*BC145*BD145)^(1/5)-1</f>
        <v>9.9078244074792599E-2</v>
      </c>
      <c r="BG145" s="3450"/>
      <c r="BH145" s="3450"/>
      <c r="BI145" s="3511"/>
      <c r="BJ145" s="3511"/>
      <c r="BK145" s="3511"/>
    </row>
    <row r="146" spans="1:64" s="817" customFormat="1">
      <c r="A146" s="3446" t="s">
        <v>29</v>
      </c>
      <c r="B146" s="3475" t="s">
        <v>1995</v>
      </c>
      <c r="C146" s="3510"/>
      <c r="D146" s="3510"/>
      <c r="E146" s="3510"/>
      <c r="F146" s="3510"/>
      <c r="G146" s="3510"/>
      <c r="H146" s="3450"/>
      <c r="I146" s="3498"/>
      <c r="J146" s="3498"/>
      <c r="K146" s="3450">
        <f>K144/$K$101</f>
        <v>3.1165189496924848E-2</v>
      </c>
      <c r="L146" s="3450">
        <f>L144/$L$101</f>
        <v>2.7465356249167371E-2</v>
      </c>
      <c r="M146" s="3450">
        <f>M144/$M$101</f>
        <v>3.3118959919154284E-2</v>
      </c>
      <c r="N146" s="3450">
        <f>N144/$N$101</f>
        <v>4.0334059963302658E-2</v>
      </c>
      <c r="O146" s="3450">
        <f>O144/$O$101</f>
        <v>4.1085558778556033E-2</v>
      </c>
      <c r="P146" s="3450">
        <f>P144/$P$101</f>
        <v>3.4770337518995657E-2</v>
      </c>
      <c r="Q146" s="3450"/>
      <c r="R146" s="3450"/>
      <c r="S146" s="3450">
        <f>S144/$S$101</f>
        <v>3.244864580121895E-2</v>
      </c>
      <c r="T146" s="3450">
        <f>T144/$T$101</f>
        <v>3.7423985653231552E-2</v>
      </c>
      <c r="U146" s="3450"/>
      <c r="V146" s="3450">
        <f>V144/$V$101</f>
        <v>2.2173385865826789E-2</v>
      </c>
      <c r="W146" s="3450"/>
      <c r="X146" s="3450">
        <f>X144/$X$101</f>
        <v>1.9711178172920278E-2</v>
      </c>
      <c r="Y146" s="3450"/>
      <c r="Z146" s="3450">
        <f>Z144/$Z$101</f>
        <v>2.006540428003695E-2</v>
      </c>
      <c r="AA146" s="3450">
        <f>AA144/$AA$101</f>
        <v>2.5657780530938479E-2</v>
      </c>
      <c r="AB146" s="3450"/>
      <c r="AC146" s="3441"/>
      <c r="AD146" s="3441"/>
      <c r="AE146" s="3443"/>
      <c r="AF146" s="3450">
        <f>AF144/$AF$101</f>
        <v>2.16361263476137E-2</v>
      </c>
      <c r="AG146" s="3450"/>
      <c r="AH146" s="3450">
        <f>AH144/$AH$101</f>
        <v>2.2204781615923118E-2</v>
      </c>
      <c r="AI146" s="3450"/>
      <c r="AJ146" s="3450"/>
      <c r="AK146" s="3450"/>
      <c r="AL146" s="3450"/>
      <c r="AM146" s="3450"/>
      <c r="AN146" s="3450"/>
      <c r="AO146" s="3450">
        <f>AO144/$AO$101</f>
        <v>2.1080368906455864E-2</v>
      </c>
      <c r="AP146" s="3450"/>
      <c r="AQ146" s="3450">
        <f>AQ144/$AQ$101</f>
        <v>1.8346643643427585E-2</v>
      </c>
      <c r="AR146" s="3450">
        <f>AR144/$AR$101</f>
        <v>2.0861009225909253E-2</v>
      </c>
      <c r="AS146" s="3450"/>
      <c r="AT146" s="3450"/>
      <c r="AU146" s="3450"/>
      <c r="AV146" s="3450"/>
      <c r="AW146" s="3441"/>
      <c r="AX146" s="3441"/>
      <c r="AY146" s="3441"/>
      <c r="AZ146" s="3450">
        <f>AZ144/AZ101</f>
        <v>2.0472868919286166E-2</v>
      </c>
      <c r="BA146" s="3450">
        <f>BA144/BA101</f>
        <v>2.0526139725558321E-2</v>
      </c>
      <c r="BB146" s="3450">
        <f>BB144/BB101</f>
        <v>2.0940783452082994E-2</v>
      </c>
      <c r="BC146" s="3450">
        <f>BC144/BC101</f>
        <v>2.1487662459473939E-2</v>
      </c>
      <c r="BD146" s="3450">
        <f>BD144/BD101</f>
        <v>2.2368421011729957E-2</v>
      </c>
      <c r="BE146" s="3450"/>
      <c r="BF146" s="3450"/>
      <c r="BG146" s="3450"/>
      <c r="BH146" s="3450"/>
      <c r="BI146" s="3511"/>
      <c r="BJ146" s="3511"/>
      <c r="BK146" s="3511"/>
    </row>
    <row r="147" spans="1:64" s="817" customFormat="1" ht="16.2">
      <c r="A147" s="3513" t="s">
        <v>1797</v>
      </c>
      <c r="B147" s="3521" t="s">
        <v>2011</v>
      </c>
      <c r="C147" s="3522">
        <f>C22</f>
        <v>392.82925699999998</v>
      </c>
      <c r="D147" s="3522">
        <f>D22</f>
        <v>2970</v>
      </c>
      <c r="E147" s="3522">
        <f>E22</f>
        <v>1390</v>
      </c>
      <c r="F147" s="3522">
        <f>F22</f>
        <v>170</v>
      </c>
      <c r="G147" s="3522">
        <f>G22</f>
        <v>1150</v>
      </c>
      <c r="H147" s="3522">
        <f>H21</f>
        <v>12272.982172</v>
      </c>
      <c r="I147" s="3522"/>
      <c r="J147" s="3517"/>
      <c r="K147" s="3522">
        <f t="shared" ref="K147:P147" si="137">K21</f>
        <v>14797.318150999999</v>
      </c>
      <c r="L147" s="3522">
        <f t="shared" si="137"/>
        <v>21280.122105999999</v>
      </c>
      <c r="M147" s="3522">
        <f t="shared" si="137"/>
        <v>25056.577998000001</v>
      </c>
      <c r="N147" s="3522">
        <f t="shared" si="137"/>
        <v>30109.314546000001</v>
      </c>
      <c r="O147" s="3522">
        <f t="shared" si="137"/>
        <v>35945</v>
      </c>
      <c r="P147" s="3522">
        <f t="shared" si="137"/>
        <v>127188.332801</v>
      </c>
      <c r="Q147" s="3518"/>
      <c r="R147" s="3518">
        <f>P147/$P$101</f>
        <v>5.6414022300629004E-3</v>
      </c>
      <c r="S147" s="3522">
        <f>S21</f>
        <v>53095</v>
      </c>
      <c r="T147" s="3522">
        <f>T21</f>
        <v>61296</v>
      </c>
      <c r="U147" s="3522"/>
      <c r="V147" s="3522">
        <f>V21</f>
        <v>194910</v>
      </c>
      <c r="W147" s="3522"/>
      <c r="X147" s="3522">
        <f>X21</f>
        <v>177724</v>
      </c>
      <c r="Y147" s="3522"/>
      <c r="Z147" s="3522">
        <f>Z21</f>
        <v>103321.9</v>
      </c>
      <c r="AA147" s="3334">
        <f>SUM(S147:Z147)</f>
        <v>590346.9</v>
      </c>
      <c r="AB147" s="3522"/>
      <c r="AC147" s="3518"/>
      <c r="AD147" s="3518">
        <f>AA147/P147-1</f>
        <v>3.6415177162803296</v>
      </c>
      <c r="AE147" s="3523"/>
      <c r="AF147" s="3522">
        <f>AF21</f>
        <v>253261</v>
      </c>
      <c r="AG147" s="3522"/>
      <c r="AH147" s="3522">
        <f>AH21</f>
        <v>237121.31138199999</v>
      </c>
      <c r="AI147" s="3522"/>
      <c r="AJ147" s="3522"/>
      <c r="AK147" s="3522"/>
      <c r="AL147" s="3522"/>
      <c r="AM147" s="3522"/>
      <c r="AN147" s="3522"/>
      <c r="AO147" s="3522">
        <f>AO21</f>
        <v>115000</v>
      </c>
      <c r="AP147" s="3522"/>
      <c r="AQ147" s="3522">
        <f>AQ21</f>
        <v>315000</v>
      </c>
      <c r="AR147" s="3522">
        <f>AR21</f>
        <v>184000</v>
      </c>
      <c r="AS147" s="3522"/>
      <c r="AT147" s="3522"/>
      <c r="AU147" s="3522"/>
      <c r="AV147" s="3522">
        <f>SUM(AF147:AR147)</f>
        <v>1104382.3113819999</v>
      </c>
      <c r="AW147" s="3518"/>
      <c r="AX147" s="3518">
        <f>AV147/$AV$101</f>
        <v>2.6226814616135571E-2</v>
      </c>
      <c r="AY147" s="3518">
        <f>AV147/AA147-1</f>
        <v>0.87073449760132537</v>
      </c>
      <c r="AZ147" s="3522">
        <f>AZ21</f>
        <v>250000</v>
      </c>
      <c r="BA147" s="3522">
        <f>BA21</f>
        <v>300000</v>
      </c>
      <c r="BB147" s="3522">
        <f>BB21</f>
        <v>365000</v>
      </c>
      <c r="BC147" s="3522">
        <f>BC21</f>
        <v>480000</v>
      </c>
      <c r="BD147" s="3522">
        <f>BD21</f>
        <v>600000</v>
      </c>
      <c r="BE147" s="185">
        <f>SUM(AY147:BD147)-1</f>
        <v>1994999.8707344977</v>
      </c>
      <c r="BF147" s="185"/>
      <c r="BG147" s="3331">
        <f>BE147/$BE$101</f>
        <v>3.067814636724487E-2</v>
      </c>
      <c r="BH147" s="3327">
        <f>BE147/AV147</f>
        <v>1.806439536538754</v>
      </c>
      <c r="BI147" s="3524"/>
      <c r="BJ147" s="3524"/>
      <c r="BK147" s="3524"/>
    </row>
    <row r="148" spans="1:64" s="817" customFormat="1">
      <c r="A148" s="3446" t="s">
        <v>29</v>
      </c>
      <c r="B148" s="3475" t="s">
        <v>1993</v>
      </c>
      <c r="C148" s="3510"/>
      <c r="D148" s="3510"/>
      <c r="E148" s="3510"/>
      <c r="F148" s="3510"/>
      <c r="G148" s="3510"/>
      <c r="H148" s="3450"/>
      <c r="I148" s="3498"/>
      <c r="J148" s="3487">
        <f>(D148*E148*F148*G148*H148)^(1/5)-1</f>
        <v>-1</v>
      </c>
      <c r="K148" s="3450">
        <f>K147/H147</f>
        <v>1.2056823633916054</v>
      </c>
      <c r="L148" s="3450">
        <f>L147/K147</f>
        <v>1.4381066818220634</v>
      </c>
      <c r="M148" s="3450">
        <f>M147/L147</f>
        <v>1.1774640142189419</v>
      </c>
      <c r="N148" s="3450">
        <f>N147/M147</f>
        <v>1.2016530967797481</v>
      </c>
      <c r="O148" s="3450">
        <f>O147/N147</f>
        <v>1.1938166159539911</v>
      </c>
      <c r="P148" s="3450"/>
      <c r="Q148" s="3472">
        <f>(K148*L148*M148*N148*O148)^(1/5)-1</f>
        <v>0.23976016239775455</v>
      </c>
      <c r="R148" s="3450"/>
      <c r="S148" s="3450">
        <f>S147/O147</f>
        <v>1.4771178188899707</v>
      </c>
      <c r="T148" s="3450">
        <f>T147/S147</f>
        <v>1.15445898860533</v>
      </c>
      <c r="U148" s="3450"/>
      <c r="V148" s="3450">
        <f>V147/T147</f>
        <v>3.1798159749412687</v>
      </c>
      <c r="W148" s="3450"/>
      <c r="X148" s="3450">
        <f>X147/V147</f>
        <v>0.9118259709609563</v>
      </c>
      <c r="Y148" s="3450"/>
      <c r="Z148" s="3450">
        <f>Z147/X147</f>
        <v>0.58136154936868401</v>
      </c>
      <c r="AA148" s="3450"/>
      <c r="AB148" s="3441">
        <f>(S148*T148*V148*X148*Z148)^(1/5)-1</f>
        <v>0.23512462141630674</v>
      </c>
      <c r="AC148" s="3450"/>
      <c r="AD148" s="3450"/>
      <c r="AE148" s="3499"/>
      <c r="AF148" s="3450">
        <f>AF147/Z147</f>
        <v>2.4511841148875506</v>
      </c>
      <c r="AG148" s="3450"/>
      <c r="AH148" s="3450">
        <f>AH147/AF147</f>
        <v>0.93627250694737829</v>
      </c>
      <c r="AI148" s="3450"/>
      <c r="AJ148" s="3450"/>
      <c r="AK148" s="3450"/>
      <c r="AL148" s="3450"/>
      <c r="AM148" s="3450"/>
      <c r="AN148" s="3450"/>
      <c r="AO148" s="3450">
        <f>AO147/AH147</f>
        <v>0.48498382254109662</v>
      </c>
      <c r="AP148" s="3450"/>
      <c r="AQ148" s="3450">
        <f>AQ147/AO147</f>
        <v>2.7391304347826089</v>
      </c>
      <c r="AR148" s="3450">
        <f>AR147/AQ147</f>
        <v>0.58412698412698416</v>
      </c>
      <c r="AS148" s="3450"/>
      <c r="AT148" s="3450"/>
      <c r="AU148" s="3450"/>
      <c r="AV148" s="3450"/>
      <c r="AW148" s="3450">
        <f>(AO148*AQ148*AR148*AF148*AH148)^(1/5)-1</f>
        <v>0.12234167062345613</v>
      </c>
      <c r="AX148" s="3450"/>
      <c r="AY148" s="3450"/>
      <c r="AZ148" s="3450">
        <f>AZ147/AR147</f>
        <v>1.3586956521739131</v>
      </c>
      <c r="BA148" s="3450">
        <f>BA147/AZ147</f>
        <v>1.2</v>
      </c>
      <c r="BB148" s="3450">
        <f>BB147/BA147</f>
        <v>1.2166666666666666</v>
      </c>
      <c r="BC148" s="3450">
        <f>BC147/BB147</f>
        <v>1.3150684931506849</v>
      </c>
      <c r="BD148" s="3450">
        <f>BD147/BC147</f>
        <v>1.25</v>
      </c>
      <c r="BE148" s="3450"/>
      <c r="BF148" s="3469">
        <f>(AZ148*BA148*BB148*BC148*BD148)^(1/5)-1</f>
        <v>0.26667933524247434</v>
      </c>
      <c r="BG148" s="3450"/>
      <c r="BH148" s="3450"/>
      <c r="BI148" s="3511"/>
      <c r="BJ148" s="3511"/>
      <c r="BK148" s="3511"/>
    </row>
    <row r="149" spans="1:64" s="817" customFormat="1">
      <c r="A149" s="3446" t="s">
        <v>29</v>
      </c>
      <c r="B149" s="3475" t="s">
        <v>1995</v>
      </c>
      <c r="C149" s="3510"/>
      <c r="D149" s="3510"/>
      <c r="E149" s="3510"/>
      <c r="F149" s="3510"/>
      <c r="G149" s="3510"/>
      <c r="H149" s="3450"/>
      <c r="I149" s="3498"/>
      <c r="J149" s="3498"/>
      <c r="K149" s="3450">
        <f>K147/$K$101</f>
        <v>3.5602089268433113E-3</v>
      </c>
      <c r="L149" s="3450">
        <f>L147/$L$101</f>
        <v>4.7093937616531911E-3</v>
      </c>
      <c r="M149" s="3450">
        <f>M147/$M$101</f>
        <v>5.4670695709674554E-3</v>
      </c>
      <c r="N149" s="3450">
        <f>N147/$N$101</f>
        <v>7.3215606085384006E-3</v>
      </c>
      <c r="O149" s="3450">
        <f>O147/$O$101</f>
        <v>6.9459514349587831E-3</v>
      </c>
      <c r="P149" s="3450">
        <f>P147/$P$101</f>
        <v>5.6414022300629004E-3</v>
      </c>
      <c r="Q149" s="3450"/>
      <c r="R149" s="3450"/>
      <c r="S149" s="3450">
        <f>S147/$S$101</f>
        <v>8.3815078631788095E-3</v>
      </c>
      <c r="T149" s="3450">
        <f>T147/$T$101</f>
        <v>8.9457145042116191E-3</v>
      </c>
      <c r="U149" s="3450"/>
      <c r="V149" s="3450">
        <f>V147/$V$101</f>
        <v>2.7908603083563435E-2</v>
      </c>
      <c r="W149" s="3450"/>
      <c r="X149" s="3450">
        <f>X147/$X$101</f>
        <v>2.0262653812051126E-2</v>
      </c>
      <c r="Y149" s="3450"/>
      <c r="Z149" s="3450">
        <f>Z147/$Z$101</f>
        <v>1.2255254658132835E-2</v>
      </c>
      <c r="AA149" s="3450">
        <f>AA147/$AA$101</f>
        <v>1.5796299675094615E-2</v>
      </c>
      <c r="AB149" s="3450"/>
      <c r="AC149" s="3441"/>
      <c r="AD149" s="3441"/>
      <c r="AE149" s="3443"/>
      <c r="AF149" s="3450">
        <f>AF147/$AF$101</f>
        <v>3.5110253190423366E-2</v>
      </c>
      <c r="AG149" s="3450"/>
      <c r="AH149" s="3450">
        <f>AH147/$AH$101</f>
        <v>3.0102637513773817E-2</v>
      </c>
      <c r="AI149" s="3450"/>
      <c r="AJ149" s="3450"/>
      <c r="AK149" s="3450"/>
      <c r="AL149" s="3450"/>
      <c r="AM149" s="3450"/>
      <c r="AN149" s="3450"/>
      <c r="AO149" s="3450">
        <f>AO147/$AO$101</f>
        <v>1.5151515151515152E-2</v>
      </c>
      <c r="AP149" s="3450"/>
      <c r="AQ149" s="3450">
        <f>AQ147/$AQ$101</f>
        <v>3.3995251456939352E-2</v>
      </c>
      <c r="AR149" s="3450">
        <f>AR147/$AR$101</f>
        <v>1.8105781592298597E-2</v>
      </c>
      <c r="AS149" s="3450"/>
      <c r="AT149" s="3450"/>
      <c r="AU149" s="3450"/>
      <c r="AV149" s="3450"/>
      <c r="AW149" s="3441"/>
      <c r="AX149" s="3441"/>
      <c r="AY149" s="3441"/>
      <c r="AZ149" s="3450">
        <f>AZ147/AZ101</f>
        <v>2.264697889301567E-2</v>
      </c>
      <c r="BA149" s="3450">
        <f>BA147/BA101</f>
        <v>2.5134048643540803E-2</v>
      </c>
      <c r="BB149" s="3450">
        <f>BB147/BB101</f>
        <v>2.8308836888927009E-2</v>
      </c>
      <c r="BC149" s="3450">
        <f>BC147/BC101</f>
        <v>3.4380259935158308E-2</v>
      </c>
      <c r="BD149" s="3450">
        <f>BD147/BD101</f>
        <v>3.9473684138346982E-2</v>
      </c>
      <c r="BE149" s="3450"/>
      <c r="BF149" s="3450"/>
      <c r="BG149" s="3450"/>
      <c r="BH149" s="3450"/>
      <c r="BI149" s="3511"/>
      <c r="BJ149" s="3511"/>
      <c r="BK149" s="3511"/>
    </row>
    <row r="150" spans="1:64" s="817" customFormat="1" ht="16.2">
      <c r="A150" s="3513" t="s">
        <v>1797</v>
      </c>
      <c r="B150" s="3103" t="s">
        <v>28</v>
      </c>
      <c r="C150" s="3522">
        <f t="shared" ref="C150:H150" si="138">C25</f>
        <v>0</v>
      </c>
      <c r="D150" s="3522">
        <f t="shared" si="138"/>
        <v>0</v>
      </c>
      <c r="E150" s="3522">
        <f t="shared" si="138"/>
        <v>0</v>
      </c>
      <c r="F150" s="3522">
        <f t="shared" si="138"/>
        <v>0</v>
      </c>
      <c r="G150" s="3522">
        <f t="shared" si="138"/>
        <v>0</v>
      </c>
      <c r="H150" s="3522">
        <f t="shared" si="138"/>
        <v>0</v>
      </c>
      <c r="I150" s="3522"/>
      <c r="J150" s="3517"/>
      <c r="K150" s="3522">
        <f t="shared" ref="K150:P150" si="139">K25</f>
        <v>0</v>
      </c>
      <c r="L150" s="3522">
        <f t="shared" si="139"/>
        <v>0</v>
      </c>
      <c r="M150" s="3522">
        <f t="shared" si="139"/>
        <v>0</v>
      </c>
      <c r="N150" s="3522">
        <f t="shared" si="139"/>
        <v>0</v>
      </c>
      <c r="O150" s="3522">
        <f t="shared" si="139"/>
        <v>0</v>
      </c>
      <c r="P150" s="3522">
        <f t="shared" si="139"/>
        <v>0</v>
      </c>
      <c r="Q150" s="3518"/>
      <c r="R150" s="3518">
        <f>P150/$P$101</f>
        <v>0</v>
      </c>
      <c r="S150" s="3522">
        <f>S25</f>
        <v>0</v>
      </c>
      <c r="T150" s="3522">
        <f>T25</f>
        <v>0</v>
      </c>
      <c r="U150" s="3522"/>
      <c r="V150" s="3522">
        <f>V25</f>
        <v>47932</v>
      </c>
      <c r="W150" s="3522"/>
      <c r="X150" s="3522">
        <f>X25</f>
        <v>129025</v>
      </c>
      <c r="Y150" s="3522"/>
      <c r="Z150" s="3522">
        <f>Z25</f>
        <v>125796</v>
      </c>
      <c r="AA150" s="3334">
        <f>SUM(S150:Z150)</f>
        <v>302753</v>
      </c>
      <c r="AB150" s="3522"/>
      <c r="AC150" s="3518"/>
      <c r="AD150" s="3518"/>
      <c r="AE150" s="3523"/>
      <c r="AF150" s="3522">
        <f>AF25</f>
        <v>59826</v>
      </c>
      <c r="AG150" s="3522"/>
      <c r="AH150" s="3522">
        <f>AH25</f>
        <v>76161.542220000003</v>
      </c>
      <c r="AI150" s="3522"/>
      <c r="AJ150" s="3522"/>
      <c r="AK150" s="3522"/>
      <c r="AL150" s="3522"/>
      <c r="AM150" s="3522"/>
      <c r="AN150" s="3522"/>
      <c r="AO150" s="3522">
        <f>AO25</f>
        <v>50000</v>
      </c>
      <c r="AP150" s="3522"/>
      <c r="AQ150" s="3522">
        <f>AQ25</f>
        <v>37000</v>
      </c>
      <c r="AR150" s="3522">
        <f>AR25</f>
        <v>114000</v>
      </c>
      <c r="AS150" s="3522"/>
      <c r="AT150" s="3522"/>
      <c r="AU150" s="3522"/>
      <c r="AV150" s="3522">
        <f>SUM(AF150:AR150)</f>
        <v>336987.54222</v>
      </c>
      <c r="AW150" s="3518"/>
      <c r="AX150" s="3518">
        <f>AV150/$AV$101</f>
        <v>8.0027629079745775E-3</v>
      </c>
      <c r="AY150" s="3518">
        <f>AV150/AA150-1</f>
        <v>0.11307746651560846</v>
      </c>
      <c r="AZ150" s="3522">
        <f>AZ25</f>
        <v>120000</v>
      </c>
      <c r="BA150" s="3522">
        <f>BA25</f>
        <v>130000</v>
      </c>
      <c r="BB150" s="3522">
        <f>BB25</f>
        <v>140000</v>
      </c>
      <c r="BC150" s="3522">
        <f>BC25</f>
        <v>150000</v>
      </c>
      <c r="BD150" s="3522">
        <f>BD25</f>
        <v>160000</v>
      </c>
      <c r="BE150" s="185">
        <f>SUM(AY150:BD150)</f>
        <v>700000.11307746649</v>
      </c>
      <c r="BF150" s="185"/>
      <c r="BG150" s="3331">
        <f>BE150/$BE$101</f>
        <v>1.0764264319562161E-2</v>
      </c>
      <c r="BH150" s="3327">
        <f>BE150/AV150</f>
        <v>2.0772284591472414</v>
      </c>
      <c r="BI150" s="3524"/>
      <c r="BJ150" s="3524"/>
      <c r="BK150" s="3524"/>
    </row>
    <row r="151" spans="1:64" s="817" customFormat="1">
      <c r="A151" s="3446" t="s">
        <v>29</v>
      </c>
      <c r="B151" s="3475" t="s">
        <v>1993</v>
      </c>
      <c r="C151" s="3510"/>
      <c r="D151" s="3510"/>
      <c r="E151" s="3510"/>
      <c r="F151" s="3510"/>
      <c r="G151" s="3510"/>
      <c r="H151" s="3450"/>
      <c r="I151" s="3498"/>
      <c r="J151" s="3487"/>
      <c r="K151" s="3450"/>
      <c r="L151" s="3450"/>
      <c r="M151" s="3450"/>
      <c r="N151" s="3450"/>
      <c r="O151" s="3450"/>
      <c r="P151" s="3450"/>
      <c r="Q151" s="3472"/>
      <c r="R151" s="3450"/>
      <c r="S151" s="3450"/>
      <c r="T151" s="3450"/>
      <c r="U151" s="3450"/>
      <c r="V151" s="3450"/>
      <c r="W151" s="3450"/>
      <c r="X151" s="3450"/>
      <c r="Y151" s="3450"/>
      <c r="Z151" s="3450">
        <f>Z150/X150</f>
        <v>0.97497384227862816</v>
      </c>
      <c r="AA151" s="3450"/>
      <c r="AB151" s="3450"/>
      <c r="AC151" s="3450"/>
      <c r="AD151" s="3450"/>
      <c r="AE151" s="3499"/>
      <c r="AF151" s="3450">
        <f>AF150/Z150</f>
        <v>0.47557950968234286</v>
      </c>
      <c r="AG151" s="3450"/>
      <c r="AH151" s="3450">
        <f>AH150/AF150</f>
        <v>1.2730508845652393</v>
      </c>
      <c r="AI151" s="3450"/>
      <c r="AJ151" s="3450"/>
      <c r="AK151" s="3450"/>
      <c r="AL151" s="3450"/>
      <c r="AM151" s="3450"/>
      <c r="AN151" s="3450"/>
      <c r="AO151" s="3450">
        <f>AO150/AH150</f>
        <v>0.65649931110336701</v>
      </c>
      <c r="AP151" s="3450"/>
      <c r="AQ151" s="3450">
        <f>AQ150/AO150</f>
        <v>0.74</v>
      </c>
      <c r="AR151" s="3450">
        <f>AR150/AQ150</f>
        <v>3.0810810810810811</v>
      </c>
      <c r="AS151" s="3450"/>
      <c r="AT151" s="3450"/>
      <c r="AU151" s="3450"/>
      <c r="AV151" s="3450"/>
      <c r="AW151" s="3450">
        <f>(AO151*AQ151*AR151*AF151*AH151)^(1/5)-1</f>
        <v>-1.9499986691724369E-2</v>
      </c>
      <c r="AX151" s="3450"/>
      <c r="AY151" s="3450"/>
      <c r="AZ151" s="3450">
        <f>AZ150/AR150</f>
        <v>1.0526315789473684</v>
      </c>
      <c r="BA151" s="3450">
        <f>BA150/AZ150</f>
        <v>1.0833333333333333</v>
      </c>
      <c r="BB151" s="3450">
        <f>BB150/BA150</f>
        <v>1.0769230769230769</v>
      </c>
      <c r="BC151" s="3450">
        <f>BC150/BB150</f>
        <v>1.0714285714285714</v>
      </c>
      <c r="BD151" s="3450">
        <f>BD150/BC150</f>
        <v>1.0666666666666667</v>
      </c>
      <c r="BE151" s="3450"/>
      <c r="BF151" s="3469">
        <f>(AZ151*BA151*BB151*BC151*BD151)^(1/5)-1</f>
        <v>7.0145984594375044E-2</v>
      </c>
      <c r="BG151" s="3450"/>
      <c r="BH151" s="3450"/>
      <c r="BI151" s="3511"/>
      <c r="BJ151" s="3511"/>
      <c r="BK151" s="3511"/>
    </row>
    <row r="152" spans="1:64" s="817" customFormat="1">
      <c r="A152" s="3446" t="s">
        <v>29</v>
      </c>
      <c r="B152" s="3475" t="s">
        <v>1995</v>
      </c>
      <c r="C152" s="3510"/>
      <c r="D152" s="3510"/>
      <c r="E152" s="3510"/>
      <c r="F152" s="3510"/>
      <c r="G152" s="3510"/>
      <c r="H152" s="3450"/>
      <c r="I152" s="3498"/>
      <c r="J152" s="3498"/>
      <c r="K152" s="3450">
        <f>K150/$K$101</f>
        <v>0</v>
      </c>
      <c r="L152" s="3450">
        <f>L150/$L$101</f>
        <v>0</v>
      </c>
      <c r="M152" s="3450">
        <f>M150/$M$101</f>
        <v>0</v>
      </c>
      <c r="N152" s="3450">
        <f>N150/$N$101</f>
        <v>0</v>
      </c>
      <c r="O152" s="3450">
        <f>O150/$O$101</f>
        <v>0</v>
      </c>
      <c r="P152" s="3450">
        <f>P150/$P$101</f>
        <v>0</v>
      </c>
      <c r="Q152" s="3450"/>
      <c r="R152" s="3450"/>
      <c r="S152" s="3450">
        <f>S150/$S$101</f>
        <v>0</v>
      </c>
      <c r="T152" s="3450">
        <f>T150/$T$101</f>
        <v>0</v>
      </c>
      <c r="U152" s="3450"/>
      <c r="V152" s="3450">
        <f>V150/$V$101</f>
        <v>6.8632454107093663E-3</v>
      </c>
      <c r="W152" s="3450"/>
      <c r="X152" s="3450">
        <f>X150/$X$101</f>
        <v>1.4710387500280754E-2</v>
      </c>
      <c r="Y152" s="3450"/>
      <c r="Z152" s="3450">
        <f>Z150/$Z$101</f>
        <v>1.4920960754442943E-2</v>
      </c>
      <c r="AA152" s="3450">
        <f>AA150/$AA$101</f>
        <v>8.1009608342720533E-3</v>
      </c>
      <c r="AB152" s="3450"/>
      <c r="AC152" s="3441"/>
      <c r="AD152" s="3441"/>
      <c r="AE152" s="3443"/>
      <c r="AF152" s="3450">
        <f>AF150/$AF$101</f>
        <v>8.2938391910727209E-3</v>
      </c>
      <c r="AG152" s="3450"/>
      <c r="AH152" s="3450">
        <f>AH150/$AH$101</f>
        <v>9.6687357394257302E-3</v>
      </c>
      <c r="AI152" s="3450"/>
      <c r="AJ152" s="3450"/>
      <c r="AK152" s="3450"/>
      <c r="AL152" s="3450"/>
      <c r="AM152" s="3450"/>
      <c r="AN152" s="3450"/>
      <c r="AO152" s="3450">
        <f>AO150/$AO$101</f>
        <v>6.587615283267457E-3</v>
      </c>
      <c r="AP152" s="3450"/>
      <c r="AQ152" s="3450">
        <f>AQ150/$AQ$101</f>
        <v>3.9930930282754155E-3</v>
      </c>
      <c r="AR152" s="3450">
        <f>AR150/$AR$101</f>
        <v>1.1217712508271957E-2</v>
      </c>
      <c r="AS152" s="3450"/>
      <c r="AT152" s="3450"/>
      <c r="AU152" s="3450"/>
      <c r="AV152" s="3450"/>
      <c r="AW152" s="3441"/>
      <c r="AX152" s="3441"/>
      <c r="AY152" s="3441"/>
      <c r="AZ152" s="3450">
        <f>AZ150/AZ101</f>
        <v>1.0870549868647522E-2</v>
      </c>
      <c r="BA152" s="3450">
        <f>BA150/BA101</f>
        <v>1.089142107886768E-2</v>
      </c>
      <c r="BB152" s="3450">
        <f>BB150/BB101</f>
        <v>1.085818401219118E-2</v>
      </c>
      <c r="BC152" s="3450">
        <f>BC150/BC101</f>
        <v>1.074383122973697E-2</v>
      </c>
      <c r="BD152" s="3450">
        <f>BD150/BD101</f>
        <v>1.0526315770225862E-2</v>
      </c>
      <c r="BE152" s="3450"/>
      <c r="BF152" s="3450"/>
      <c r="BG152" s="3450"/>
      <c r="BH152" s="3450"/>
      <c r="BI152" s="3511"/>
      <c r="BJ152" s="3511"/>
      <c r="BK152" s="3511"/>
    </row>
    <row r="153" spans="1:64" s="817" customFormat="1" ht="16.2">
      <c r="A153" s="3513" t="s">
        <v>1797</v>
      </c>
      <c r="B153" s="3521" t="s">
        <v>2012</v>
      </c>
      <c r="C153" s="3522">
        <f>C23</f>
        <v>40157.714318999999</v>
      </c>
      <c r="D153" s="3522">
        <f>D23</f>
        <v>16290</v>
      </c>
      <c r="E153" s="3522">
        <f>E23</f>
        <v>34910</v>
      </c>
      <c r="F153" s="3522">
        <f>F23</f>
        <v>34190</v>
      </c>
      <c r="G153" s="3522">
        <f>G23</f>
        <v>46520</v>
      </c>
      <c r="H153" s="3522">
        <f t="shared" ref="H153:P153" si="140">H23+H22+H24+H26+H15</f>
        <v>121402.66154</v>
      </c>
      <c r="I153" s="3522"/>
      <c r="J153" s="3517"/>
      <c r="K153" s="3522">
        <f t="shared" si="140"/>
        <v>52547.980668000004</v>
      </c>
      <c r="L153" s="3522">
        <f t="shared" si="140"/>
        <v>60691.136125999998</v>
      </c>
      <c r="M153" s="3522">
        <f t="shared" si="140"/>
        <v>71020.529576999994</v>
      </c>
      <c r="N153" s="3522">
        <f t="shared" si="140"/>
        <v>162319.390491</v>
      </c>
      <c r="O153" s="3522">
        <f t="shared" si="140"/>
        <v>157635</v>
      </c>
      <c r="P153" s="3522">
        <f t="shared" si="140"/>
        <v>504214.03686199989</v>
      </c>
      <c r="Q153" s="3518"/>
      <c r="R153" s="3518">
        <f>P153/$P$101</f>
        <v>2.2364269814219462E-2</v>
      </c>
      <c r="S153" s="3522">
        <f>S23+S22+S24+S26+S15</f>
        <v>143147</v>
      </c>
      <c r="T153" s="3522">
        <f>T23+T22+T24+T26+T15</f>
        <v>231700</v>
      </c>
      <c r="U153" s="3522"/>
      <c r="V153" s="3522">
        <f>V23+V22+V24+V26+V15</f>
        <v>290394</v>
      </c>
      <c r="W153" s="3522"/>
      <c r="X153" s="3522">
        <f>X23+X22+X24+X26+X15</f>
        <v>334505</v>
      </c>
      <c r="Y153" s="3522"/>
      <c r="Z153" s="3522">
        <f>Z23+Z22+Z24+Z26+Z15</f>
        <v>346844.40000000008</v>
      </c>
      <c r="AA153" s="3334">
        <f>SUM(S153:Z153)</f>
        <v>1346590.4000000001</v>
      </c>
      <c r="AB153" s="3522"/>
      <c r="AC153" s="3518"/>
      <c r="AD153" s="3518">
        <f>AA153/P153-1</f>
        <v>1.6706721779912548</v>
      </c>
      <c r="AE153" s="3523"/>
      <c r="AF153" s="3522">
        <f>AF23+AF22+AF24+AF26+AF15</f>
        <v>272339</v>
      </c>
      <c r="AG153" s="3522"/>
      <c r="AH153" s="3522">
        <f>AH23+AH22+AH24+AH26+AH15</f>
        <v>323340.37734100007</v>
      </c>
      <c r="AI153" s="3522"/>
      <c r="AJ153" s="3522"/>
      <c r="AK153" s="3522"/>
      <c r="AL153" s="3522"/>
      <c r="AM153" s="3522"/>
      <c r="AN153" s="3522"/>
      <c r="AO153" s="3522">
        <f>AO23+AO22+AO24+AO26+AO15</f>
        <v>275000</v>
      </c>
      <c r="AP153" s="3522"/>
      <c r="AQ153" s="3522">
        <f>AQ23+AQ22+AQ24+AQ26+AQ15</f>
        <v>358000</v>
      </c>
      <c r="AR153" s="3522">
        <f>AR23+AR22+AR24+AR26+AR15</f>
        <v>400000</v>
      </c>
      <c r="AS153" s="3522"/>
      <c r="AT153" s="3522"/>
      <c r="AU153" s="3522"/>
      <c r="AV153" s="3522">
        <f>SUM(AF153:AR153)</f>
        <v>1628679.3773410001</v>
      </c>
      <c r="AW153" s="3518"/>
      <c r="AX153" s="3518">
        <f>AV153/$AV$101</f>
        <v>3.8677794508672286E-2</v>
      </c>
      <c r="AY153" s="3518">
        <f>AV153/AA153-1</f>
        <v>0.20948387671633473</v>
      </c>
      <c r="AZ153" s="3522">
        <f>AZ23+AZ22+AZ24+AZ26+AZ15</f>
        <v>431000</v>
      </c>
      <c r="BA153" s="3522">
        <f>BA23+BA22+BA24+BA26+BA15</f>
        <v>473000</v>
      </c>
      <c r="BB153" s="3522">
        <f>BB23+BB22+BB24+BB26+BB15</f>
        <v>525000</v>
      </c>
      <c r="BC153" s="3522">
        <f>BC23+BC22+BC24+BC26+BC15</f>
        <v>579000</v>
      </c>
      <c r="BD153" s="3522">
        <f>BD23+BD22+BD24+BD26+BD15</f>
        <v>640000</v>
      </c>
      <c r="BE153" s="185">
        <f>SUM(AY153:BD153)</f>
        <v>2648000.2094838768</v>
      </c>
      <c r="BF153" s="185"/>
      <c r="BG153" s="3331">
        <f>BE153/$BE$101</f>
        <v>4.071967081237602E-2</v>
      </c>
      <c r="BH153" s="3327">
        <f>BE153/AV153</f>
        <v>1.6258572720476334</v>
      </c>
      <c r="BI153" s="3524"/>
      <c r="BJ153" s="3524"/>
      <c r="BK153" s="3524"/>
    </row>
    <row r="154" spans="1:64" s="817" customFormat="1">
      <c r="A154" s="3446" t="s">
        <v>29</v>
      </c>
      <c r="B154" s="3475" t="s">
        <v>1993</v>
      </c>
      <c r="C154" s="3510"/>
      <c r="D154" s="3510"/>
      <c r="E154" s="3510"/>
      <c r="F154" s="3510"/>
      <c r="G154" s="3510"/>
      <c r="H154" s="3450"/>
      <c r="I154" s="3498"/>
      <c r="J154" s="3487">
        <f>(D154*E154*F154*G154*H154)^(1/5)-1</f>
        <v>-1</v>
      </c>
      <c r="K154" s="3450">
        <f>K153/H153</f>
        <v>0.4328404336562785</v>
      </c>
      <c r="L154" s="3450">
        <f>L153/K153</f>
        <v>1.1549660967839799</v>
      </c>
      <c r="M154" s="3450">
        <f>M153/L153</f>
        <v>1.1701960798617328</v>
      </c>
      <c r="N154" s="3450">
        <f>N153/M153</f>
        <v>2.2855277404685412</v>
      </c>
      <c r="O154" s="3450">
        <f>O153/N153</f>
        <v>0.97114090635240691</v>
      </c>
      <c r="P154" s="3450"/>
      <c r="Q154" s="3472">
        <f>(K154*L154*M154*N154*O154)^(1/5)-1</f>
        <v>5.3622141561359138E-2</v>
      </c>
      <c r="R154" s="3450"/>
      <c r="S154" s="3450">
        <f>S153/O153</f>
        <v>0.90809147714657279</v>
      </c>
      <c r="T154" s="3450">
        <f>T153/S153</f>
        <v>1.618615828484006</v>
      </c>
      <c r="U154" s="3450"/>
      <c r="V154" s="3450">
        <f>V153/T153</f>
        <v>1.2533189469141131</v>
      </c>
      <c r="W154" s="3450"/>
      <c r="X154" s="3450">
        <f>X153/V153</f>
        <v>1.1519005213606341</v>
      </c>
      <c r="Y154" s="3450"/>
      <c r="Z154" s="3450">
        <f>Z153/X153</f>
        <v>1.0368885367931722</v>
      </c>
      <c r="AA154" s="3450"/>
      <c r="AB154" s="3441">
        <f>(S154*T154*V154*X154*Z154)^(1/5)-1</f>
        <v>0.17083691619390029</v>
      </c>
      <c r="AC154" s="3450"/>
      <c r="AD154" s="3450"/>
      <c r="AE154" s="3499"/>
      <c r="AF154" s="3450">
        <f>AF153/Z153</f>
        <v>0.78519070799470869</v>
      </c>
      <c r="AG154" s="3450"/>
      <c r="AH154" s="3450">
        <f>AH153/AF153</f>
        <v>1.187271662674094</v>
      </c>
      <c r="AI154" s="3450"/>
      <c r="AJ154" s="3450"/>
      <c r="AK154" s="3450"/>
      <c r="AL154" s="3450"/>
      <c r="AM154" s="3450"/>
      <c r="AN154" s="3450"/>
      <c r="AO154" s="3450">
        <f>AO153/AH153</f>
        <v>0.85049693533938231</v>
      </c>
      <c r="AP154" s="3450"/>
      <c r="AQ154" s="3450">
        <f>AQ153/AO153</f>
        <v>1.3018181818181818</v>
      </c>
      <c r="AR154" s="3450">
        <f>AR153/AQ153</f>
        <v>1.1173184357541899</v>
      </c>
      <c r="AS154" s="3450"/>
      <c r="AT154" s="3450"/>
      <c r="AU154" s="3450"/>
      <c r="AV154" s="3450"/>
      <c r="AW154" s="3450">
        <f>(AO154*AQ154*AR154*AF154*AH154)^(1/5)-1</f>
        <v>2.8928177988711834E-2</v>
      </c>
      <c r="AX154" s="3450"/>
      <c r="AY154" s="3450"/>
      <c r="AZ154" s="3450">
        <f>AZ153/AR153</f>
        <v>1.0774999999999999</v>
      </c>
      <c r="BA154" s="3450">
        <f>BA153/AZ153</f>
        <v>1.0974477958236659</v>
      </c>
      <c r="BB154" s="3450">
        <f>BB153/BA153</f>
        <v>1.109936575052854</v>
      </c>
      <c r="BC154" s="3450">
        <f>BC153/BB153</f>
        <v>1.1028571428571428</v>
      </c>
      <c r="BD154" s="3450">
        <f>BD153/BC153</f>
        <v>1.1053540587219344</v>
      </c>
      <c r="BE154" s="3450"/>
      <c r="BF154" s="3469">
        <f>(AZ154*BA154*BB154*BC154*BD154)^(1/5)-1</f>
        <v>9.8560543306117632E-2</v>
      </c>
      <c r="BG154" s="3450"/>
      <c r="BH154" s="3450"/>
      <c r="BI154" s="3511"/>
      <c r="BJ154" s="3511"/>
      <c r="BK154" s="3511"/>
    </row>
    <row r="155" spans="1:64" s="817" customFormat="1">
      <c r="A155" s="3446" t="s">
        <v>29</v>
      </c>
      <c r="B155" s="3475" t="s">
        <v>1995</v>
      </c>
      <c r="C155" s="3510"/>
      <c r="D155" s="3510"/>
      <c r="E155" s="3510"/>
      <c r="F155" s="3510"/>
      <c r="G155" s="3510"/>
      <c r="H155" s="3450"/>
      <c r="I155" s="3498" t="s">
        <v>117</v>
      </c>
      <c r="J155" s="3498"/>
      <c r="K155" s="3450">
        <f>K153/$K$101</f>
        <v>1.2642952456162499E-2</v>
      </c>
      <c r="L155" s="3450">
        <f>L153/$L$101</f>
        <v>1.3431241439110049E-2</v>
      </c>
      <c r="M155" s="3450">
        <f>M153/$M$101</f>
        <v>1.5495897971199523E-2</v>
      </c>
      <c r="N155" s="3450">
        <f>N153/$N$101</f>
        <v>3.9470551666170375E-2</v>
      </c>
      <c r="O155" s="3450">
        <f>O153/$O$101</f>
        <v>3.0461122672130417E-2</v>
      </c>
      <c r="P155" s="3450">
        <f>P153/$P$101</f>
        <v>2.2364269814219462E-2</v>
      </c>
      <c r="Q155" s="3450"/>
      <c r="R155" s="3450"/>
      <c r="S155" s="3450">
        <f>S153/$S$101</f>
        <v>2.2596999832196197E-2</v>
      </c>
      <c r="T155" s="3450">
        <f>T153/$T$101</f>
        <v>3.381496428194062E-2</v>
      </c>
      <c r="U155" s="3450"/>
      <c r="V155" s="3450">
        <f>V153/$V$101</f>
        <v>4.1580682796410244E-2</v>
      </c>
      <c r="W155" s="3450"/>
      <c r="X155" s="3450">
        <f>X153/$X$101</f>
        <v>3.8137556061084391E-2</v>
      </c>
      <c r="Y155" s="3450"/>
      <c r="Z155" s="3450">
        <f>Z153/$Z$101</f>
        <v>4.1140033707735627E-2</v>
      </c>
      <c r="AA155" s="3450">
        <f>AA153/$AA$101</f>
        <v>3.6031603618153211E-2</v>
      </c>
      <c r="AB155" s="3450"/>
      <c r="AC155" s="3441"/>
      <c r="AD155" s="3441"/>
      <c r="AE155" s="3443"/>
      <c r="AF155" s="3450">
        <f>AF153/$AF$101</f>
        <v>3.7755087611699822E-2</v>
      </c>
      <c r="AG155" s="3450"/>
      <c r="AH155" s="3450">
        <f>AH153/$AH$101</f>
        <v>4.1048179583414023E-2</v>
      </c>
      <c r="AI155" s="3450"/>
      <c r="AJ155" s="3450"/>
      <c r="AK155" s="3450"/>
      <c r="AL155" s="3450"/>
      <c r="AM155" s="3450"/>
      <c r="AN155" s="3450"/>
      <c r="AO155" s="3450">
        <f>AO153/$AO$101</f>
        <v>3.6231884057971016E-2</v>
      </c>
      <c r="AP155" s="3450"/>
      <c r="AQ155" s="3450">
        <f>AQ153/$AQ$101</f>
        <v>3.8635873084394562E-2</v>
      </c>
      <c r="AR155" s="3450">
        <f>AR153/$AR$101</f>
        <v>3.9360394765866516E-2</v>
      </c>
      <c r="AS155" s="3450"/>
      <c r="AT155" s="3450"/>
      <c r="AU155" s="3450"/>
      <c r="AV155" s="3450"/>
      <c r="AW155" s="3441"/>
      <c r="AX155" s="3441"/>
      <c r="AY155" s="3441"/>
      <c r="AZ155" s="3450">
        <f>AZ153/AZ101</f>
        <v>3.9043391611559015E-2</v>
      </c>
      <c r="BA155" s="3450">
        <f>BA153/BA101</f>
        <v>3.9628016694649333E-2</v>
      </c>
      <c r="BB155" s="3450">
        <f>BB153/BB101</f>
        <v>4.0718190045716932E-2</v>
      </c>
      <c r="BC155" s="3450">
        <f>BC153/BC101</f>
        <v>4.1471188546784707E-2</v>
      </c>
      <c r="BD155" s="3450">
        <f>BD153/BD101</f>
        <v>4.2105263080903448E-2</v>
      </c>
      <c r="BE155" s="3450"/>
      <c r="BF155" s="3450"/>
      <c r="BG155" s="3450"/>
      <c r="BH155" s="3450"/>
      <c r="BI155" s="3511"/>
      <c r="BJ155" s="3511"/>
      <c r="BK155" s="3511"/>
    </row>
    <row r="156" spans="1:64" s="3508" customFormat="1">
      <c r="A156" s="3504">
        <v>11</v>
      </c>
      <c r="B156" s="867" t="s">
        <v>1991</v>
      </c>
      <c r="C156" s="185"/>
      <c r="D156" s="3327">
        <f>D7/C7</f>
        <v>1.2253060266717446</v>
      </c>
      <c r="E156" s="3327">
        <f>E7/D7</f>
        <v>1.6374503694260627</v>
      </c>
      <c r="F156" s="3327">
        <f>F7/E7</f>
        <v>0.98446527535228523</v>
      </c>
      <c r="G156" s="3327">
        <f>G7/F7</f>
        <v>1.1727437176297704</v>
      </c>
      <c r="H156" s="3327">
        <f>H7/G7</f>
        <v>1.3519753121614537</v>
      </c>
      <c r="I156" s="185"/>
      <c r="J156" s="3505">
        <f>AVERAGE(D156:H156)</f>
        <v>1.2743881402482633</v>
      </c>
      <c r="K156" s="3327">
        <f>K7/H7</f>
        <v>1.046794510256291</v>
      </c>
      <c r="L156" s="3327">
        <f>L7/K7</f>
        <v>1.0871803262801722</v>
      </c>
      <c r="M156" s="3327">
        <f>M7/L7</f>
        <v>1.0142804314364227</v>
      </c>
      <c r="N156" s="3327">
        <f>N7/M7</f>
        <v>0.89728425830443836</v>
      </c>
      <c r="O156" s="3327">
        <f>O7/N7</f>
        <v>1.2583734267412459</v>
      </c>
      <c r="P156" s="185"/>
      <c r="Q156" s="3329">
        <f>AVERAGE(K156:O156)</f>
        <v>1.060782590603714</v>
      </c>
      <c r="R156" s="3329"/>
      <c r="S156" s="3327">
        <f>S7/O7</f>
        <v>1.2241220555069345</v>
      </c>
      <c r="T156" s="3327">
        <f>T7/S7</f>
        <v>1.0816472050564037</v>
      </c>
      <c r="U156" s="3327"/>
      <c r="V156" s="3327">
        <f>V7/T7</f>
        <v>1.0192457788942084</v>
      </c>
      <c r="W156" s="3327"/>
      <c r="X156" s="3327">
        <f>X7/V7</f>
        <v>1.2558961595494074</v>
      </c>
      <c r="Y156" s="3327"/>
      <c r="Z156" s="3327">
        <f>Z7/X7</f>
        <v>0.96121444581144755</v>
      </c>
      <c r="AA156" s="3327"/>
      <c r="AB156" s="3441">
        <f>(S156*T156*V156*X156*Z156)^(1/5)-1</f>
        <v>0.1025356971451945</v>
      </c>
      <c r="AC156" s="3329"/>
      <c r="AD156" s="3329"/>
      <c r="AE156" s="3506"/>
      <c r="AF156" s="3327">
        <f>AF7/Z7</f>
        <v>0.85558726617529812</v>
      </c>
      <c r="AG156" s="3327"/>
      <c r="AH156" s="3329">
        <f>AH7/AF7</f>
        <v>1.0920227424960205</v>
      </c>
      <c r="AI156" s="3329"/>
      <c r="AJ156" s="3329"/>
      <c r="AK156" s="3329"/>
      <c r="AL156" s="3329"/>
      <c r="AM156" s="3329"/>
      <c r="AN156" s="3329"/>
      <c r="AO156" s="3329">
        <f>AO7/AH7</f>
        <v>0.9635532858599366</v>
      </c>
      <c r="AP156" s="3329"/>
      <c r="AQ156" s="3329">
        <f>AQ7/AO7</f>
        <v>1.2208168642951251</v>
      </c>
      <c r="AR156" s="3329">
        <f>AR7/AQ7</f>
        <v>1.0967515324843513</v>
      </c>
      <c r="AS156" s="3329"/>
      <c r="AT156" s="3329"/>
      <c r="AU156" s="3329"/>
      <c r="AV156" s="3329"/>
      <c r="AW156" s="3329"/>
      <c r="AX156" s="3329"/>
      <c r="AY156" s="3329"/>
      <c r="AZ156" s="3329">
        <f>AZ7/AR7</f>
        <v>1.0862484945510011</v>
      </c>
      <c r="BA156" s="3329">
        <f>BA7/AZ7</f>
        <v>1.0812573436553312</v>
      </c>
      <c r="BB156" s="3329">
        <f>BB7/BA7</f>
        <v>1.080219554867544</v>
      </c>
      <c r="BC156" s="3329">
        <f>BC7/BB7</f>
        <v>1.0828324026805629</v>
      </c>
      <c r="BD156" s="3329">
        <f>BD7/BC7</f>
        <v>1.0887082332707629</v>
      </c>
      <c r="BE156" s="3329"/>
      <c r="BF156" s="3441">
        <f>(AZ156*BA156*BB156*BC156*BD156)^(1/5)-1</f>
        <v>8.3848569109363336E-2</v>
      </c>
      <c r="BG156" s="3329"/>
      <c r="BH156" s="3329"/>
      <c r="BI156" s="3526"/>
      <c r="BJ156" s="3526"/>
      <c r="BK156" s="3526"/>
    </row>
    <row r="157" spans="1:64" s="3508" customFormat="1">
      <c r="A157" s="3504">
        <v>12</v>
      </c>
      <c r="B157" s="867" t="s">
        <v>4</v>
      </c>
      <c r="C157" s="185"/>
      <c r="D157" s="185">
        <f>D8</f>
        <v>1322540</v>
      </c>
      <c r="E157" s="185">
        <f>E8</f>
        <v>2238026.399896</v>
      </c>
      <c r="F157" s="185">
        <f>F8</f>
        <v>2175030</v>
      </c>
      <c r="G157" s="185">
        <f>G8</f>
        <v>2627990</v>
      </c>
      <c r="H157" s="185">
        <f>H8</f>
        <v>3663943.1287150006</v>
      </c>
      <c r="I157" s="185"/>
      <c r="J157" s="3505"/>
      <c r="K157" s="185">
        <f>K8</f>
        <v>3798739.5013269996</v>
      </c>
      <c r="L157" s="185">
        <f>L8</f>
        <v>4099702.3977709995</v>
      </c>
      <c r="M157" s="185">
        <f>M8</f>
        <v>4126341.428791</v>
      </c>
      <c r="N157" s="185">
        <f>N8</f>
        <v>3972338.7808679999</v>
      </c>
      <c r="O157" s="185">
        <f>O8</f>
        <v>4931116</v>
      </c>
      <c r="P157" s="185">
        <f>SUM(K157:O157)</f>
        <v>20928238.108756997</v>
      </c>
      <c r="Q157" s="3329"/>
      <c r="R157" s="3329">
        <f>P157/$P$7</f>
        <v>0.92826603303900546</v>
      </c>
      <c r="S157" s="185">
        <f>S8</f>
        <v>6237814</v>
      </c>
      <c r="T157" s="185">
        <f>T8</f>
        <v>6744580</v>
      </c>
      <c r="U157" s="185"/>
      <c r="V157" s="185">
        <f>V8</f>
        <v>6909606</v>
      </c>
      <c r="W157" s="185"/>
      <c r="X157" s="185">
        <f>X8</f>
        <v>8644723</v>
      </c>
      <c r="Y157" s="185"/>
      <c r="Z157" s="185">
        <f>Z8</f>
        <v>8337065.4000000022</v>
      </c>
      <c r="AA157" s="3334">
        <f>SUM(S157:Z157)</f>
        <v>36873788.400000006</v>
      </c>
      <c r="AB157" s="185"/>
      <c r="AC157" s="3329"/>
      <c r="AD157" s="3329"/>
      <c r="AE157" s="3506"/>
      <c r="AF157" s="185">
        <f>AF8</f>
        <v>7016452</v>
      </c>
      <c r="AG157" s="185"/>
      <c r="AH157" s="185">
        <f>AH8</f>
        <v>7487310.8303279998</v>
      </c>
      <c r="AI157" s="185"/>
      <c r="AJ157" s="185"/>
      <c r="AK157" s="185"/>
      <c r="AL157" s="185"/>
      <c r="AM157" s="185"/>
      <c r="AN157" s="185"/>
      <c r="AO157" s="185">
        <f>AO8</f>
        <v>7440000</v>
      </c>
      <c r="AP157" s="185"/>
      <c r="AQ157" s="185">
        <f>AQ8</f>
        <v>9066000</v>
      </c>
      <c r="AR157" s="185">
        <f>AR8</f>
        <v>9999999.6999999993</v>
      </c>
      <c r="AS157" s="185"/>
      <c r="AT157" s="185"/>
      <c r="AU157" s="185"/>
      <c r="AV157" s="185">
        <f>SUM(AF157:AR157)</f>
        <v>41009762.530327998</v>
      </c>
      <c r="AW157" s="3329"/>
      <c r="AX157" s="3329"/>
      <c r="AY157" s="3329">
        <f>AV157/AA157-1</f>
        <v>0.11216569573654089</v>
      </c>
      <c r="AZ157" s="185">
        <f>AZ8</f>
        <v>10870000</v>
      </c>
      <c r="BA157" s="185">
        <f>BA8</f>
        <v>11760000</v>
      </c>
      <c r="BB157" s="185">
        <f>BB8</f>
        <v>12710000</v>
      </c>
      <c r="BC157" s="185">
        <f>BC8</f>
        <v>13770000</v>
      </c>
      <c r="BD157" s="185">
        <f>BD8</f>
        <v>15000000</v>
      </c>
      <c r="BE157" s="185">
        <f>SUM(AY157:BD157)</f>
        <v>64110000.112165697</v>
      </c>
      <c r="BF157" s="3441"/>
      <c r="BG157" s="185"/>
      <c r="BH157" s="185"/>
      <c r="BI157" s="3509"/>
      <c r="BJ157" s="3509"/>
      <c r="BK157" s="3509"/>
    </row>
    <row r="158" spans="1:64" s="817" customFormat="1">
      <c r="A158" s="3437"/>
      <c r="B158" s="1328" t="s">
        <v>1993</v>
      </c>
      <c r="C158" s="779"/>
      <c r="D158" s="3441">
        <f>D8/C8</f>
        <v>1.1871014611688848</v>
      </c>
      <c r="E158" s="3441">
        <f>E8/D8</f>
        <v>1.6922183071181212</v>
      </c>
      <c r="F158" s="3441">
        <f>F8/E8</f>
        <v>0.97185180661902493</v>
      </c>
      <c r="G158" s="3441">
        <f>G8/F8</f>
        <v>1.2082545987871431</v>
      </c>
      <c r="H158" s="3441">
        <f>H8/G8</f>
        <v>1.3941997985970269</v>
      </c>
      <c r="I158" s="3468"/>
      <c r="J158" s="3487">
        <f>(D158*E158*F158*G158*H158)^(1/5)-1</f>
        <v>0.26883616752494643</v>
      </c>
      <c r="K158" s="3441">
        <f>K8/H8</f>
        <v>1.0367899740461513</v>
      </c>
      <c r="L158" s="3441">
        <f>L8/K8</f>
        <v>1.0792270426384503</v>
      </c>
      <c r="M158" s="3441">
        <f>M8/L8</f>
        <v>1.0064977962874779</v>
      </c>
      <c r="N158" s="3441">
        <f>N8/M8</f>
        <v>0.96267816161588882</v>
      </c>
      <c r="O158" s="3441">
        <f>O8/N8</f>
        <v>1.2413634063010348</v>
      </c>
      <c r="P158" s="3441"/>
      <c r="Q158" s="3472">
        <f>(K158*L158*M158*N158*O158)^(1/5)-1</f>
        <v>6.1205028008409545E-2</v>
      </c>
      <c r="R158" s="3441"/>
      <c r="S158" s="3441">
        <f>S9/O9</f>
        <v>1.3321136571078873</v>
      </c>
      <c r="T158" s="3441">
        <f>T9/S9</f>
        <v>1.0343939313663881</v>
      </c>
      <c r="U158" s="3441"/>
      <c r="V158" s="3441">
        <f>V9/T9</f>
        <v>1.0146586953378618</v>
      </c>
      <c r="W158" s="3441"/>
      <c r="X158" s="3441">
        <f>X9/V9</f>
        <v>1.3113079909945025</v>
      </c>
      <c r="Y158" s="3441"/>
      <c r="Z158" s="3441">
        <f>Z8/X8</f>
        <v>0.96441093601264061</v>
      </c>
      <c r="AA158" s="3441"/>
      <c r="AB158" s="3441">
        <f>(S158*T158*V158*X158*Z158)^(1/5)-1</f>
        <v>0.12073468296223799</v>
      </c>
      <c r="AC158" s="3441"/>
      <c r="AD158" s="3441"/>
      <c r="AE158" s="3443"/>
      <c r="AF158" s="3441">
        <f>AF8/Z8</f>
        <v>0.84159733231791589</v>
      </c>
      <c r="AG158" s="3441"/>
      <c r="AH158" s="3441">
        <f>AH8/AF8</f>
        <v>1.0671078246281738</v>
      </c>
      <c r="AI158" s="3441"/>
      <c r="AJ158" s="3441"/>
      <c r="AK158" s="3441"/>
      <c r="AL158" s="3441"/>
      <c r="AM158" s="3441"/>
      <c r="AN158" s="3441"/>
      <c r="AO158" s="3441">
        <f>AO8/AH8</f>
        <v>0.99368119857714965</v>
      </c>
      <c r="AP158" s="3441"/>
      <c r="AQ158" s="3441">
        <f>AQ8/AO8</f>
        <v>1.2185483870967742</v>
      </c>
      <c r="AR158" s="3441">
        <f>AR8/AQ8</f>
        <v>1.1030222479594087</v>
      </c>
      <c r="AS158" s="3441"/>
      <c r="AT158" s="3441"/>
      <c r="AU158" s="3441"/>
      <c r="AV158" s="3441"/>
      <c r="AW158" s="3441">
        <f>(AO158*AQ158*AR158*AF158*AH158)^(1/5)-1</f>
        <v>3.7044412096000512E-2</v>
      </c>
      <c r="AX158" s="3441"/>
      <c r="AY158" s="3441"/>
      <c r="AZ158" s="3441">
        <f>AZ8/AR8</f>
        <v>1.0870000326100011</v>
      </c>
      <c r="BA158" s="3441">
        <f>BA8/AZ8</f>
        <v>1.0818767249310028</v>
      </c>
      <c r="BB158" s="3441">
        <f>BB8/BA8</f>
        <v>1.0807823129251701</v>
      </c>
      <c r="BC158" s="3441">
        <f>BC8/BB8</f>
        <v>1.0833988985051142</v>
      </c>
      <c r="BD158" s="3441">
        <f>BD8/BC8</f>
        <v>1.0893246187363834</v>
      </c>
      <c r="BE158" s="185"/>
      <c r="BF158" s="3441"/>
      <c r="BG158" s="3441"/>
      <c r="BH158" s="3441"/>
      <c r="BI158" s="3470"/>
      <c r="BJ158" s="3470"/>
      <c r="BK158" s="3470"/>
    </row>
    <row r="159" spans="1:64" s="3508" customFormat="1">
      <c r="A159" s="3504">
        <v>13</v>
      </c>
      <c r="B159" s="3154" t="s">
        <v>2013</v>
      </c>
      <c r="C159" s="185"/>
      <c r="D159" s="185">
        <f>D9</f>
        <v>781630</v>
      </c>
      <c r="E159" s="185">
        <f>E9</f>
        <v>1012420</v>
      </c>
      <c r="F159" s="185">
        <f>F9</f>
        <v>1278230</v>
      </c>
      <c r="G159" s="185">
        <f>G9</f>
        <v>1827240</v>
      </c>
      <c r="H159" s="185">
        <f>H9</f>
        <v>2445921.4765880005</v>
      </c>
      <c r="I159" s="185"/>
      <c r="J159" s="3505"/>
      <c r="K159" s="185">
        <f>K9</f>
        <v>2716706.9705919996</v>
      </c>
      <c r="L159" s="185">
        <f>L9</f>
        <v>2881335.0339119998</v>
      </c>
      <c r="M159" s="185">
        <f>M9</f>
        <v>2871723.7974100001</v>
      </c>
      <c r="N159" s="185">
        <f>N9</f>
        <v>2637997.8620639998</v>
      </c>
      <c r="O159" s="185">
        <f>O9</f>
        <v>3357995</v>
      </c>
      <c r="P159" s="185">
        <f>SUM(K159:O159)</f>
        <v>14465758.663977999</v>
      </c>
      <c r="Q159" s="3329"/>
      <c r="R159" s="3329">
        <f>P159/$P$7</f>
        <v>0.64162460022335932</v>
      </c>
      <c r="S159" s="185">
        <f t="shared" ref="S159:Z159" si="141">S9</f>
        <v>4473231</v>
      </c>
      <c r="T159" s="185">
        <f t="shared" si="141"/>
        <v>4627083</v>
      </c>
      <c r="U159" s="185"/>
      <c r="V159" s="185">
        <f t="shared" si="141"/>
        <v>4694910</v>
      </c>
      <c r="W159" s="185">
        <f t="shared" si="141"/>
        <v>5177000</v>
      </c>
      <c r="X159" s="185">
        <f t="shared" si="141"/>
        <v>6156473</v>
      </c>
      <c r="Y159" s="185">
        <f t="shared" si="141"/>
        <v>6365000</v>
      </c>
      <c r="Z159" s="185">
        <f t="shared" si="141"/>
        <v>5525934.6000000015</v>
      </c>
      <c r="AA159" s="3334">
        <f>SUM(S159:Z159)</f>
        <v>37019631.600000001</v>
      </c>
      <c r="AB159" s="185"/>
      <c r="AC159" s="3329"/>
      <c r="AD159" s="3329"/>
      <c r="AE159" s="3506"/>
      <c r="AF159" s="185">
        <f>AF9</f>
        <v>4493500</v>
      </c>
      <c r="AG159" s="185"/>
      <c r="AH159" s="185">
        <f>AH9</f>
        <v>4714407.2166780001</v>
      </c>
      <c r="AI159" s="185"/>
      <c r="AJ159" s="185"/>
      <c r="AK159" s="185"/>
      <c r="AL159" s="185"/>
      <c r="AM159" s="185"/>
      <c r="AN159" s="185"/>
      <c r="AO159" s="185">
        <f>AO9</f>
        <v>4940000</v>
      </c>
      <c r="AP159" s="185"/>
      <c r="AQ159" s="185">
        <f>AQ9</f>
        <v>5346000</v>
      </c>
      <c r="AR159" s="185">
        <f>AR9</f>
        <v>6477999.6999999993</v>
      </c>
      <c r="AS159" s="185"/>
      <c r="AT159" s="185"/>
      <c r="AU159" s="185"/>
      <c r="AV159" s="185">
        <f>SUM(AF159:AR159)</f>
        <v>25971906.916678</v>
      </c>
      <c r="AW159" s="3329"/>
      <c r="AX159" s="3329"/>
      <c r="AY159" s="3329"/>
      <c r="AZ159" s="185">
        <f>AZ9</f>
        <v>7110000</v>
      </c>
      <c r="BA159" s="185">
        <f>BA9</f>
        <v>7860000</v>
      </c>
      <c r="BB159" s="185">
        <f>BB9</f>
        <v>8700000</v>
      </c>
      <c r="BC159" s="185">
        <f>BC9</f>
        <v>9660000</v>
      </c>
      <c r="BD159" s="185">
        <f>BD9</f>
        <v>10740000</v>
      </c>
      <c r="BE159" s="185">
        <f>SUM(AY159:BD159)</f>
        <v>44070000</v>
      </c>
      <c r="BF159" s="185"/>
      <c r="BG159" s="185"/>
      <c r="BH159" s="185"/>
      <c r="BI159" s="3509"/>
      <c r="BJ159" s="3509"/>
      <c r="BK159" s="3509"/>
      <c r="BL159" s="3508">
        <f>23+24</f>
        <v>47</v>
      </c>
    </row>
    <row r="160" spans="1:64" s="817" customFormat="1">
      <c r="A160" s="3437"/>
      <c r="B160" s="1328" t="s">
        <v>1993</v>
      </c>
      <c r="C160" s="779"/>
      <c r="D160" s="779"/>
      <c r="E160" s="779"/>
      <c r="F160" s="779"/>
      <c r="G160" s="779"/>
      <c r="H160" s="3441"/>
      <c r="I160" s="3468"/>
      <c r="J160" s="3487">
        <f>(D160*E160*F160*G160*H160)^(1/5)-1</f>
        <v>-1</v>
      </c>
      <c r="K160" s="3441">
        <f>K159/H9</f>
        <v>1.1107089890644151</v>
      </c>
      <c r="L160" s="3441">
        <f>L159/K9</f>
        <v>1.0605983880860459</v>
      </c>
      <c r="M160" s="3441">
        <f>M159/L9</f>
        <v>0.99666431137341549</v>
      </c>
      <c r="N160" s="3441">
        <f>N159/M9</f>
        <v>0.91861127607160653</v>
      </c>
      <c r="O160" s="3441">
        <f>O9/N9</f>
        <v>1.2729331771985084</v>
      </c>
      <c r="P160" s="3441"/>
      <c r="Q160" s="3472">
        <f>(K160*L160*M160*N160*O160)^(1/5)-1</f>
        <v>6.5436343162004418E-2</v>
      </c>
      <c r="R160" s="3441"/>
      <c r="S160" s="3441">
        <f>S9/O9</f>
        <v>1.3321136571078873</v>
      </c>
      <c r="T160" s="3441">
        <f>T9/S9</f>
        <v>1.0343939313663881</v>
      </c>
      <c r="U160" s="3441"/>
      <c r="V160" s="3441">
        <f>V9/T9</f>
        <v>1.0146586953378618</v>
      </c>
      <c r="W160" s="3441"/>
      <c r="X160" s="3441">
        <f>X9/V9</f>
        <v>1.3113079909945025</v>
      </c>
      <c r="Y160" s="3441"/>
      <c r="Z160" s="3441">
        <f>Z9/X9</f>
        <v>0.89758122873275026</v>
      </c>
      <c r="AA160" s="3441"/>
      <c r="AB160" s="3441">
        <f>(S160*T160*V160*X160*Z160)^(1/5)-1</f>
        <v>0.10475287161419655</v>
      </c>
      <c r="AC160" s="3441"/>
      <c r="AD160" s="3441"/>
      <c r="AE160" s="3443"/>
      <c r="AF160" s="3441">
        <f>AF9/Z9</f>
        <v>0.81316561365022288</v>
      </c>
      <c r="AG160" s="3441"/>
      <c r="AH160" s="3441">
        <f>AH9/AF9</f>
        <v>1.0491615036559474</v>
      </c>
      <c r="AI160" s="3441"/>
      <c r="AJ160" s="3441"/>
      <c r="AK160" s="3441"/>
      <c r="AL160" s="3441"/>
      <c r="AM160" s="3441"/>
      <c r="AN160" s="3441"/>
      <c r="AO160" s="3441">
        <f>AO9/AH9</f>
        <v>1.0478517813488677</v>
      </c>
      <c r="AP160" s="3441"/>
      <c r="AQ160" s="3441">
        <f>AQ9/AO9</f>
        <v>1.0821862348178137</v>
      </c>
      <c r="AR160" s="3441">
        <f>AR9/AQ9</f>
        <v>1.2117470445192666</v>
      </c>
      <c r="AS160" s="3441"/>
      <c r="AT160" s="3441"/>
      <c r="AU160" s="3441"/>
      <c r="AV160" s="3441"/>
      <c r="AW160" s="3441">
        <f>(AO160*AQ160*AR160*AF160*AH160)^(1/5)-1</f>
        <v>3.2302636605404444E-2</v>
      </c>
      <c r="AX160" s="3441"/>
      <c r="AY160" s="3441"/>
      <c r="AZ160" s="3441">
        <f>AZ9/AR9</f>
        <v>1.0975610264384545</v>
      </c>
      <c r="BA160" s="3441">
        <f>BA9/AZ9</f>
        <v>1.1054852320675106</v>
      </c>
      <c r="BB160" s="3441">
        <f>BB9/BA9</f>
        <v>1.1068702290076335</v>
      </c>
      <c r="BC160" s="3441">
        <f>BC9/BB9</f>
        <v>1.1103448275862069</v>
      </c>
      <c r="BD160" s="3441">
        <f>BD9/BC9</f>
        <v>1.1118012422360248</v>
      </c>
      <c r="BE160" s="3441"/>
      <c r="BF160" s="3441"/>
      <c r="BG160" s="3441"/>
      <c r="BH160" s="3441"/>
      <c r="BI160" s="3470"/>
      <c r="BJ160" s="3470"/>
      <c r="BK160" s="3470"/>
      <c r="BL160" s="817">
        <f>100-BL159</f>
        <v>53</v>
      </c>
    </row>
    <row r="161" spans="1:63" s="3508" customFormat="1">
      <c r="A161" s="3504">
        <v>14</v>
      </c>
      <c r="B161" s="867" t="s">
        <v>1979</v>
      </c>
      <c r="C161" s="185"/>
      <c r="D161" s="185">
        <f>D54</f>
        <v>0</v>
      </c>
      <c r="E161" s="185">
        <f>E54</f>
        <v>0</v>
      </c>
      <c r="F161" s="185">
        <f>F54</f>
        <v>0</v>
      </c>
      <c r="G161" s="185">
        <f>G54</f>
        <v>0</v>
      </c>
      <c r="H161" s="185">
        <f>H54</f>
        <v>0</v>
      </c>
      <c r="I161" s="185"/>
      <c r="J161" s="3505"/>
      <c r="K161" s="185">
        <f>K54</f>
        <v>0</v>
      </c>
      <c r="L161" s="185">
        <f>L54</f>
        <v>0</v>
      </c>
      <c r="M161" s="185">
        <f>M54</f>
        <v>0</v>
      </c>
      <c r="N161" s="185">
        <f>N54</f>
        <v>0</v>
      </c>
      <c r="O161" s="185">
        <f>O54</f>
        <v>0</v>
      </c>
      <c r="P161" s="185">
        <f>SUM(K161:O161)</f>
        <v>0</v>
      </c>
      <c r="Q161" s="3329"/>
      <c r="R161" s="3329"/>
      <c r="S161" s="185">
        <f>S54</f>
        <v>0</v>
      </c>
      <c r="T161" s="185">
        <f>T54</f>
        <v>0</v>
      </c>
      <c r="U161" s="185"/>
      <c r="V161" s="185">
        <f>V54</f>
        <v>0</v>
      </c>
      <c r="W161" s="185"/>
      <c r="X161" s="185">
        <f>X54</f>
        <v>0</v>
      </c>
      <c r="Y161" s="185"/>
      <c r="Z161" s="185">
        <f>Z54</f>
        <v>0</v>
      </c>
      <c r="AA161" s="3334">
        <f>SUM(S161:Z161)</f>
        <v>0</v>
      </c>
      <c r="AB161" s="185"/>
      <c r="AC161" s="3329"/>
      <c r="AD161" s="3329"/>
      <c r="AE161" s="3506"/>
      <c r="AF161" s="185">
        <f>AF54</f>
        <v>0</v>
      </c>
      <c r="AG161" s="185"/>
      <c r="AH161" s="185">
        <f>AH54</f>
        <v>0</v>
      </c>
      <c r="AI161" s="185"/>
      <c r="AJ161" s="185"/>
      <c r="AK161" s="185"/>
      <c r="AL161" s="185"/>
      <c r="AM161" s="185"/>
      <c r="AN161" s="185"/>
      <c r="AO161" s="185">
        <f>AO54</f>
        <v>0</v>
      </c>
      <c r="AP161" s="185"/>
      <c r="AQ161" s="185">
        <f>AQ54</f>
        <v>0</v>
      </c>
      <c r="AR161" s="185">
        <f>AR54</f>
        <v>0</v>
      </c>
      <c r="AS161" s="185"/>
      <c r="AT161" s="185"/>
      <c r="AU161" s="185"/>
      <c r="AV161" s="185">
        <f>SUM(AF161:AR161)</f>
        <v>0</v>
      </c>
      <c r="AW161" s="3329"/>
      <c r="AX161" s="3329"/>
      <c r="AY161" s="3329"/>
      <c r="AZ161" s="185"/>
      <c r="BA161" s="185"/>
      <c r="BB161" s="185"/>
      <c r="BC161" s="185"/>
      <c r="BD161" s="185"/>
      <c r="BE161" s="185"/>
      <c r="BF161" s="185"/>
      <c r="BG161" s="185"/>
      <c r="BH161" s="185"/>
      <c r="BI161" s="3509"/>
      <c r="BJ161" s="3509"/>
      <c r="BK161" s="3509"/>
    </row>
    <row r="162" spans="1:63" s="817" customFormat="1">
      <c r="A162" s="3437"/>
      <c r="B162" s="1328" t="s">
        <v>1993</v>
      </c>
      <c r="C162" s="779"/>
      <c r="D162" s="779"/>
      <c r="E162" s="779"/>
      <c r="F162" s="779"/>
      <c r="G162" s="779"/>
      <c r="H162" s="3441"/>
      <c r="I162" s="3468"/>
      <c r="J162" s="3487"/>
      <c r="K162" s="3441"/>
      <c r="L162" s="3441"/>
      <c r="M162" s="3441"/>
      <c r="N162" s="3441"/>
      <c r="O162" s="3441"/>
      <c r="P162" s="3441"/>
      <c r="Q162" s="3472"/>
      <c r="R162" s="3441"/>
      <c r="S162" s="3441"/>
      <c r="T162" s="3441"/>
      <c r="U162" s="3441"/>
      <c r="V162" s="3441"/>
      <c r="W162" s="3441"/>
      <c r="X162" s="3441"/>
      <c r="Y162" s="3441"/>
      <c r="Z162" s="3441"/>
      <c r="AA162" s="3441"/>
      <c r="AB162" s="3441"/>
      <c r="AC162" s="3441"/>
      <c r="AD162" s="3441"/>
      <c r="AE162" s="3443"/>
      <c r="AF162" s="3441"/>
      <c r="AG162" s="3441"/>
      <c r="AH162" s="3441"/>
      <c r="AI162" s="3441"/>
      <c r="AJ162" s="3441"/>
      <c r="AK162" s="3441"/>
      <c r="AL162" s="3441"/>
      <c r="AM162" s="3441"/>
      <c r="AN162" s="3441"/>
      <c r="AO162" s="3441"/>
      <c r="AP162" s="3441"/>
      <c r="AQ162" s="3441"/>
      <c r="AR162" s="3441"/>
      <c r="AS162" s="3441"/>
      <c r="AT162" s="3441"/>
      <c r="AU162" s="3441"/>
      <c r="AV162" s="3441"/>
      <c r="AW162" s="3441"/>
      <c r="AX162" s="3441"/>
      <c r="AY162" s="3441"/>
      <c r="AZ162" s="3441"/>
      <c r="BA162" s="3441"/>
      <c r="BB162" s="3441"/>
      <c r="BC162" s="3441"/>
      <c r="BD162" s="3441"/>
      <c r="BE162" s="3441"/>
      <c r="BF162" s="3441"/>
      <c r="BG162" s="3441"/>
      <c r="BH162" s="3441"/>
      <c r="BI162" s="3470"/>
      <c r="BJ162" s="3470"/>
      <c r="BK162" s="3470"/>
    </row>
    <row r="163" spans="1:63" s="3508" customFormat="1">
      <c r="A163" s="3504">
        <v>15</v>
      </c>
      <c r="B163" s="867" t="s">
        <v>2014</v>
      </c>
      <c r="C163" s="185">
        <f t="shared" ref="C163:O163" si="142">C28</f>
        <v>153738.415439</v>
      </c>
      <c r="D163" s="185">
        <f t="shared" si="142"/>
        <v>230940</v>
      </c>
      <c r="E163" s="185">
        <f t="shared" si="142"/>
        <v>305720</v>
      </c>
      <c r="F163" s="185">
        <f t="shared" si="142"/>
        <v>329200</v>
      </c>
      <c r="G163" s="185">
        <f t="shared" si="142"/>
        <v>308830</v>
      </c>
      <c r="H163" s="185">
        <f t="shared" si="142"/>
        <v>306565.00754700002</v>
      </c>
      <c r="I163" s="185"/>
      <c r="J163" s="3505"/>
      <c r="K163" s="185">
        <f t="shared" si="142"/>
        <v>357566.61864</v>
      </c>
      <c r="L163" s="185">
        <f t="shared" si="142"/>
        <v>418951.84585500002</v>
      </c>
      <c r="M163" s="185">
        <f t="shared" si="142"/>
        <v>456841.14694599999</v>
      </c>
      <c r="N163" s="185">
        <f t="shared" si="142"/>
        <v>140078.797276</v>
      </c>
      <c r="O163" s="185">
        <f t="shared" si="142"/>
        <v>243841</v>
      </c>
      <c r="P163" s="185">
        <f>SUM(K163:O163)</f>
        <v>1617279.4087169999</v>
      </c>
      <c r="Q163" s="3329"/>
      <c r="R163" s="3329">
        <f>P163/$P$7</f>
        <v>7.1733966960994378E-2</v>
      </c>
      <c r="S163" s="185">
        <f>S28</f>
        <v>96965</v>
      </c>
      <c r="T163" s="185">
        <f>T28</f>
        <v>107416</v>
      </c>
      <c r="U163" s="185"/>
      <c r="V163" s="185">
        <f>V28</f>
        <v>74262</v>
      </c>
      <c r="W163" s="185"/>
      <c r="X163" s="185">
        <f>X28</f>
        <v>126290</v>
      </c>
      <c r="Y163" s="185"/>
      <c r="Z163" s="185">
        <f>Z28</f>
        <v>93759</v>
      </c>
      <c r="AA163" s="3334">
        <f>SUM(S163:Z163)</f>
        <v>498692</v>
      </c>
      <c r="AB163" s="185"/>
      <c r="AC163" s="3329"/>
      <c r="AD163" s="3329">
        <f>AA163/P163-1</f>
        <v>-0.69164759205361048</v>
      </c>
      <c r="AE163" s="3506"/>
      <c r="AF163" s="185">
        <f>AF28</f>
        <v>196854</v>
      </c>
      <c r="AG163" s="185"/>
      <c r="AH163" s="185">
        <f>AH28</f>
        <v>389783.37025500002</v>
      </c>
      <c r="AI163" s="185"/>
      <c r="AJ163" s="185"/>
      <c r="AK163" s="185"/>
      <c r="AL163" s="185"/>
      <c r="AM163" s="185"/>
      <c r="AN163" s="185"/>
      <c r="AO163" s="185">
        <f>AO28</f>
        <v>150000</v>
      </c>
      <c r="AP163" s="185"/>
      <c r="AQ163" s="185">
        <f>AQ28</f>
        <v>200000</v>
      </c>
      <c r="AR163" s="185">
        <f>AR28</f>
        <v>162500</v>
      </c>
      <c r="AS163" s="185"/>
      <c r="AT163" s="185"/>
      <c r="AU163" s="185"/>
      <c r="AV163" s="185">
        <f>SUM(AF163:AR163)</f>
        <v>1099137.370255</v>
      </c>
      <c r="AW163" s="3329"/>
      <c r="AX163" s="3329"/>
      <c r="AY163" s="3329">
        <f>AV163/AA163-1</f>
        <v>1.2040405104854299</v>
      </c>
      <c r="AZ163" s="185"/>
      <c r="BA163" s="185"/>
      <c r="BB163" s="185"/>
      <c r="BC163" s="185"/>
      <c r="BD163" s="185"/>
      <c r="BE163" s="185"/>
      <c r="BF163" s="185"/>
      <c r="BG163" s="185"/>
      <c r="BH163" s="185"/>
      <c r="BI163" s="3509"/>
      <c r="BJ163" s="3509"/>
      <c r="BK163" s="3509"/>
    </row>
    <row r="164" spans="1:63" s="817" customFormat="1">
      <c r="A164" s="3437"/>
      <c r="B164" s="1328" t="s">
        <v>1993</v>
      </c>
      <c r="C164" s="779"/>
      <c r="D164" s="779"/>
      <c r="E164" s="779"/>
      <c r="F164" s="779"/>
      <c r="G164" s="779"/>
      <c r="H164" s="3441"/>
      <c r="I164" s="3468"/>
      <c r="J164" s="3487">
        <f>(D164*E164*F164*G164*H164)^(1/5)-1</f>
        <v>-1</v>
      </c>
      <c r="K164" s="3441">
        <f>K163/H163</f>
        <v>1.1663647508275414</v>
      </c>
      <c r="L164" s="3441">
        <f>L163/K163</f>
        <v>1.1716749383610749</v>
      </c>
      <c r="M164" s="3441">
        <f>M163/L163</f>
        <v>1.0904383199784577</v>
      </c>
      <c r="N164" s="3441">
        <f>N163/M163</f>
        <v>0.30662473862617662</v>
      </c>
      <c r="O164" s="3441">
        <f>O163/N163</f>
        <v>1.7407416735564576</v>
      </c>
      <c r="P164" s="3441"/>
      <c r="Q164" s="3472">
        <f>(K164*L164*M164*N164*O164)^(1/5)-1</f>
        <v>-4.4750476186834587E-2</v>
      </c>
      <c r="R164" s="3441"/>
      <c r="S164" s="3441">
        <f>S163/O163</f>
        <v>0.39765666971510122</v>
      </c>
      <c r="T164" s="3441">
        <f>T163/S163</f>
        <v>1.1077811581498478</v>
      </c>
      <c r="U164" s="3441"/>
      <c r="V164" s="3441">
        <f>V163/T163</f>
        <v>0.69134951962463698</v>
      </c>
      <c r="W164" s="3441"/>
      <c r="X164" s="3441">
        <f>X163/V163</f>
        <v>1.7006005763378309</v>
      </c>
      <c r="Y164" s="3441"/>
      <c r="Z164" s="3441">
        <f>Z163/X163</f>
        <v>0.74241032544144425</v>
      </c>
      <c r="AA164" s="3441"/>
      <c r="AB164" s="3441">
        <f>(S164*T164*V164*X164*Z164)^(1/5)-1</f>
        <v>-0.17399771792258245</v>
      </c>
      <c r="AC164" s="3441"/>
      <c r="AD164" s="3441"/>
      <c r="AE164" s="3443"/>
      <c r="AF164" s="3441">
        <f>AF163/Z163</f>
        <v>2.0995744408536781</v>
      </c>
      <c r="AG164" s="3441"/>
      <c r="AH164" s="3441">
        <f>AH163/AF163</f>
        <v>1.9800632461367309</v>
      </c>
      <c r="AI164" s="3441"/>
      <c r="AJ164" s="3441"/>
      <c r="AK164" s="3441"/>
      <c r="AL164" s="3441"/>
      <c r="AM164" s="3441"/>
      <c r="AN164" s="3441"/>
      <c r="AO164" s="3441">
        <f>AO163/AH163</f>
        <v>0.38482914215110964</v>
      </c>
      <c r="AP164" s="3441"/>
      <c r="AQ164" s="3441">
        <f>AQ163/AO163</f>
        <v>1.3333333333333333</v>
      </c>
      <c r="AR164" s="3441">
        <f>AR163/AQ163</f>
        <v>0.8125</v>
      </c>
      <c r="AS164" s="3441"/>
      <c r="AT164" s="3441"/>
      <c r="AU164" s="3441"/>
      <c r="AV164" s="3441"/>
      <c r="AW164" s="3441">
        <f>(AO164*AQ164*AR164*AF164*AH164)^(1/5)-1</f>
        <v>0.11626698398103552</v>
      </c>
      <c r="AX164" s="3441"/>
      <c r="AY164" s="3441"/>
      <c r="AZ164" s="3441"/>
      <c r="BA164" s="3441"/>
      <c r="BB164" s="3441"/>
      <c r="BC164" s="3441"/>
      <c r="BD164" s="3441"/>
      <c r="BE164" s="3441"/>
      <c r="BF164" s="3441"/>
      <c r="BG164" s="3441"/>
      <c r="BH164" s="3441"/>
      <c r="BI164" s="3470"/>
      <c r="BJ164" s="3470"/>
      <c r="BK164" s="3470"/>
    </row>
    <row r="165" spans="1:63" s="3053" customFormat="1">
      <c r="A165" s="3527">
        <v>16</v>
      </c>
      <c r="B165" s="3528" t="s">
        <v>2015</v>
      </c>
      <c r="C165" s="185">
        <f>SUM(C167,C171,C176)</f>
        <v>2138768</v>
      </c>
      <c r="D165" s="185">
        <f>SUM(D167,D171,D176)</f>
        <v>2138770</v>
      </c>
      <c r="E165" s="185">
        <f>SUM(E167,E171,E176)</f>
        <v>3338066.399896</v>
      </c>
      <c r="F165" s="185">
        <f>SUM(F167,F171,F176)</f>
        <v>3203060</v>
      </c>
      <c r="G165" s="185">
        <f>SUM(G167,G171,G176)</f>
        <v>3871950</v>
      </c>
      <c r="H165" s="185">
        <f t="shared" ref="H165:P165" si="143">SUM(H166,H175)</f>
        <v>4688367.1362619996</v>
      </c>
      <c r="I165" s="185"/>
      <c r="J165" s="3505"/>
      <c r="K165" s="185">
        <f t="shared" si="143"/>
        <v>5517507.1199670006</v>
      </c>
      <c r="L165" s="185">
        <f t="shared" si="143"/>
        <v>6676916.2436260004</v>
      </c>
      <c r="M165" s="185">
        <f t="shared" si="143"/>
        <v>7325261.5757369995</v>
      </c>
      <c r="N165" s="185">
        <f t="shared" si="143"/>
        <v>8159969.5781439999</v>
      </c>
      <c r="O165" s="185">
        <f t="shared" si="143"/>
        <v>8838258.6639019996</v>
      </c>
      <c r="P165" s="185">
        <f t="shared" si="143"/>
        <v>36517913.181375995</v>
      </c>
      <c r="Q165" s="3329"/>
      <c r="R165" s="3329">
        <f>P165/$P$165</f>
        <v>1</v>
      </c>
      <c r="S165" s="185">
        <f>SUM(S166,S175)</f>
        <v>9435660.1446360014</v>
      </c>
      <c r="T165" s="185">
        <f>SUM(T166,T175)</f>
        <v>10825317.768979</v>
      </c>
      <c r="U165" s="39"/>
      <c r="V165" s="39">
        <f>SUM(V166,V175)</f>
        <v>12245988.776128</v>
      </c>
      <c r="W165" s="39">
        <f>SUM(W166+W175)</f>
        <v>12319250</v>
      </c>
      <c r="X165" s="147">
        <f>SUM(X166+X175)</f>
        <v>14323390.437800001</v>
      </c>
      <c r="Y165" s="39">
        <f>SUM(Y166+Y175)</f>
        <v>13655789.800000001</v>
      </c>
      <c r="Z165" s="39">
        <f>SUM(Z166+Z175)</f>
        <v>13674616.916060001</v>
      </c>
      <c r="AA165" s="3101">
        <f>SUM(S165:Z165)</f>
        <v>86480013.843603</v>
      </c>
      <c r="AB165" s="39"/>
      <c r="AC165" s="3529"/>
      <c r="AD165" s="3529"/>
      <c r="AE165" s="39">
        <f>SUM(AE166+AE175)</f>
        <v>14062908.6</v>
      </c>
      <c r="AF165" s="39">
        <f>SUM(AF166+AF175)</f>
        <v>12863191.136</v>
      </c>
      <c r="AG165" s="39">
        <f t="shared" ref="AG165:AH165" si="144">SUM(AG166+AG175)</f>
        <v>14006153</v>
      </c>
      <c r="AH165" s="39">
        <f t="shared" si="144"/>
        <v>14861312.847009735</v>
      </c>
      <c r="AI165" s="39"/>
      <c r="AJ165" s="39"/>
      <c r="AK165" s="39"/>
      <c r="AL165" s="39"/>
      <c r="AM165" s="39"/>
      <c r="AN165" s="39"/>
      <c r="AO165" s="39">
        <f>SUM(AO166+AO175)</f>
        <v>15788495</v>
      </c>
      <c r="AP165" s="39">
        <f>SUM(AP166+AP175)</f>
        <v>7491821.4102769997</v>
      </c>
      <c r="AQ165" s="39">
        <f t="shared" ref="AQ165:AR165" si="145">SUM(AQ166+AQ175)</f>
        <v>17546524</v>
      </c>
      <c r="AR165" s="39">
        <f t="shared" si="145"/>
        <v>18972524</v>
      </c>
      <c r="AS165" s="39"/>
      <c r="AT165" s="39"/>
      <c r="AU165" s="39"/>
      <c r="AV165" s="185">
        <f>AR165+AQ165+AO165+AH165+AF165</f>
        <v>80032046.983009726</v>
      </c>
      <c r="AW165" s="3329"/>
      <c r="AX165" s="3329">
        <f>AV165/$AV$165</f>
        <v>1</v>
      </c>
      <c r="AY165" s="3329"/>
      <c r="AZ165" s="39">
        <f t="shared" ref="AZ165:BD165" si="146">SUM(AZ166+AZ175)</f>
        <v>19769524</v>
      </c>
      <c r="BA165" s="39">
        <f t="shared" si="146"/>
        <v>20562524</v>
      </c>
      <c r="BB165" s="39">
        <f t="shared" si="146"/>
        <v>21411524</v>
      </c>
      <c r="BC165" s="39">
        <f t="shared" si="146"/>
        <v>22366524</v>
      </c>
      <c r="BD165" s="39">
        <f t="shared" si="146"/>
        <v>23498524</v>
      </c>
      <c r="BE165" s="147">
        <f>SUM(AY165:BD165)</f>
        <v>107608620</v>
      </c>
      <c r="BF165" s="39"/>
      <c r="BG165" s="3530">
        <f>BE165/$BE$165</f>
        <v>1</v>
      </c>
      <c r="BH165" s="39"/>
      <c r="BI165" s="3531"/>
      <c r="BJ165" s="3531"/>
      <c r="BK165" s="3531"/>
    </row>
    <row r="166" spans="1:63" s="3141" customFormat="1">
      <c r="A166" s="3532"/>
      <c r="B166" s="3533" t="s">
        <v>2016</v>
      </c>
      <c r="C166" s="3534"/>
      <c r="D166" s="3534"/>
      <c r="E166" s="3534"/>
      <c r="F166" s="3534"/>
      <c r="G166" s="3534"/>
      <c r="H166" s="3534">
        <f t="shared" ref="H166:P166" si="147">SUM(H167,H172,H176)</f>
        <v>4308494.1362619996</v>
      </c>
      <c r="I166" s="3534"/>
      <c r="J166" s="3498"/>
      <c r="K166" s="3534">
        <f t="shared" si="147"/>
        <v>5000023.1199670006</v>
      </c>
      <c r="L166" s="3534">
        <f t="shared" si="147"/>
        <v>5990804.2436260004</v>
      </c>
      <c r="M166" s="3534">
        <f t="shared" si="147"/>
        <v>6551206.5757369995</v>
      </c>
      <c r="N166" s="3534">
        <f t="shared" si="147"/>
        <v>7628457.5781439999</v>
      </c>
      <c r="O166" s="3534">
        <f t="shared" si="147"/>
        <v>8304426.6639019996</v>
      </c>
      <c r="P166" s="3534">
        <f t="shared" si="147"/>
        <v>33474918.181375999</v>
      </c>
      <c r="Q166" s="3450"/>
      <c r="R166" s="3450"/>
      <c r="S166" s="3534">
        <f>SUM(S167,S172,S176)</f>
        <v>8674810.1446360014</v>
      </c>
      <c r="T166" s="3534">
        <f>SUM(T167,T172,T176)</f>
        <v>10083458.768979</v>
      </c>
      <c r="U166" s="3132"/>
      <c r="V166" s="3132">
        <f>SUM(V167,V172,V176)</f>
        <v>10427702.776128</v>
      </c>
      <c r="W166" s="3132">
        <f>W167+W172+W176</f>
        <v>10808006</v>
      </c>
      <c r="X166" s="3132">
        <f>X167+X172+X176</f>
        <v>12083828.437800001</v>
      </c>
      <c r="Y166" s="3132">
        <f>Y167+Y172+Y176</f>
        <v>11924119.800000001</v>
      </c>
      <c r="Z166" s="3132">
        <f>Z167+Z172+Z176</f>
        <v>11913714.916060001</v>
      </c>
      <c r="AA166" s="3132">
        <f t="shared" ref="AA166:AR166" si="148">AA167+AA172+AA176</f>
        <v>75915640.843603</v>
      </c>
      <c r="AB166" s="3132">
        <f t="shared" si="148"/>
        <v>0</v>
      </c>
      <c r="AC166" s="3132">
        <f t="shared" si="148"/>
        <v>0</v>
      </c>
      <c r="AD166" s="3132">
        <f t="shared" si="148"/>
        <v>1.1096980259949873</v>
      </c>
      <c r="AE166" s="3132">
        <f>AE167+AE172+AE176</f>
        <v>12180438.6</v>
      </c>
      <c r="AF166" s="3132">
        <f t="shared" si="148"/>
        <v>11159022.136</v>
      </c>
      <c r="AG166" s="3132">
        <f t="shared" si="148"/>
        <v>12792680</v>
      </c>
      <c r="AH166" s="3132">
        <f t="shared" si="148"/>
        <v>13670044.507157736</v>
      </c>
      <c r="AI166" s="3132"/>
      <c r="AJ166" s="3132"/>
      <c r="AK166" s="3132"/>
      <c r="AL166" s="3132"/>
      <c r="AM166" s="3132"/>
      <c r="AN166" s="3132"/>
      <c r="AO166" s="3132">
        <f>AO167+AO172+AO176</f>
        <v>13191488</v>
      </c>
      <c r="AP166" s="3132">
        <f>AP167+AP172+AP176</f>
        <v>7491821.4102769997</v>
      </c>
      <c r="AQ166" s="3132">
        <f t="shared" si="148"/>
        <v>14595488</v>
      </c>
      <c r="AR166" s="3132">
        <f t="shared" si="148"/>
        <v>15615488</v>
      </c>
      <c r="AS166" s="3132"/>
      <c r="AT166" s="3132"/>
      <c r="AU166" s="3132"/>
      <c r="AV166" s="185">
        <f>AR166+AQ166+AO166+AH166+AF166</f>
        <v>68231530.643157735</v>
      </c>
      <c r="AW166" s="3450"/>
      <c r="AX166" s="3450"/>
      <c r="AY166" s="3450"/>
      <c r="AZ166" s="3132">
        <f t="shared" ref="AZ166:BD166" si="149">AZ167+AZ172+AZ176</f>
        <v>16412488</v>
      </c>
      <c r="BA166" s="3132">
        <f t="shared" si="149"/>
        <v>17205488</v>
      </c>
      <c r="BB166" s="3132">
        <f t="shared" si="149"/>
        <v>18054488</v>
      </c>
      <c r="BC166" s="3132">
        <f t="shared" si="149"/>
        <v>19009488</v>
      </c>
      <c r="BD166" s="3132">
        <f t="shared" si="149"/>
        <v>20141488</v>
      </c>
      <c r="BE166" s="152">
        <f t="shared" ref="BE166" si="150">SUM(AY166:BD166)-1</f>
        <v>90823439</v>
      </c>
      <c r="BF166" s="3132"/>
      <c r="BG166" s="3132"/>
      <c r="BH166" s="3132"/>
      <c r="BI166" s="3535"/>
      <c r="BJ166" s="3535"/>
      <c r="BK166" s="3535"/>
    </row>
    <row r="167" spans="1:63" s="3053" customFormat="1">
      <c r="A167" s="3527" t="s">
        <v>99</v>
      </c>
      <c r="B167" s="3528" t="s">
        <v>2017</v>
      </c>
      <c r="C167" s="185">
        <v>1315939</v>
      </c>
      <c r="D167" s="185">
        <v>1315940</v>
      </c>
      <c r="E167" s="185">
        <v>2230026.399896</v>
      </c>
      <c r="F167" s="185">
        <v>2167000</v>
      </c>
      <c r="G167" s="185">
        <v>2617990</v>
      </c>
      <c r="H167" s="185">
        <v>3650184.1362620001</v>
      </c>
      <c r="I167" s="185"/>
      <c r="J167" s="3505"/>
      <c r="K167" s="185">
        <v>3769768.1199670001</v>
      </c>
      <c r="L167" s="185">
        <v>4084137.2436260004</v>
      </c>
      <c r="M167" s="185">
        <v>4073220.5757369995</v>
      </c>
      <c r="N167" s="185">
        <v>3875972.5781439999</v>
      </c>
      <c r="O167" s="185">
        <v>4846821.6639019996</v>
      </c>
      <c r="P167" s="185">
        <f>SUM(K167:O167)</f>
        <v>20649920.181375999</v>
      </c>
      <c r="Q167" s="3505"/>
      <c r="R167" s="3505">
        <f t="shared" ref="R167:R176" si="151">P167/$P$165</f>
        <v>0.56547371912553268</v>
      </c>
      <c r="S167" s="185">
        <v>6154918.1446360005</v>
      </c>
      <c r="T167" s="185">
        <v>5390332.7689789999</v>
      </c>
      <c r="U167" s="39"/>
      <c r="V167" s="39">
        <v>5734576.7761279996</v>
      </c>
      <c r="W167" s="39">
        <f>(W18*37.2%)+(W19*75.94%)+(W23*72.6%)+W10+W11+W12+W13+W14+W16+W17+W20+W21+W24+W25+W26+W27-608</f>
        <v>5466580</v>
      </c>
      <c r="X167" s="39">
        <f>(X18*37.2%)+(X19*75.94%)+(X23*72.6%)+X10+X11+X12+X13+X14+X16+X17+X20+X21+X24+X25+X26+X27+13090</f>
        <v>7096349.4378000004</v>
      </c>
      <c r="Y167" s="39">
        <f>(Y18*37.2%)+(Y19*75.94%)+(Y23*72.6%)+Y10+Y11+Y12+Y13+Y14+Y16+Y17+Y20+Y21+Y24+Y25+Y26+Y27-88</f>
        <v>6718699.7999999998</v>
      </c>
      <c r="Z167" s="39">
        <f>(Z18*37.2%)+(Z19*75.94%)+(Z23*72.6%)+Z10+Z11+Z12+Z13+Z14+Z16+Z17+Z20+Z21+Z24+Z25+Z26+Z27+11437</f>
        <v>7003638.9160600007</v>
      </c>
      <c r="AA167" s="3101">
        <f>SUM(S167:Z167)</f>
        <v>43565095.843603</v>
      </c>
      <c r="AB167" s="39"/>
      <c r="AC167" s="3536"/>
      <c r="AD167" s="3536">
        <f>AA167/P167-1</f>
        <v>1.1096980259949873</v>
      </c>
      <c r="AE167" s="39">
        <f>(AE18*37.2%)+(AE19*68.4%)+(AE23*75.4%)+AE10+AE11+AE12+AE13+AE14+AE16+AE17+AE20+AE21+AE24+AE25+AE26+AE27-64</f>
        <v>6480439.5999999996</v>
      </c>
      <c r="AF167" s="39">
        <f>(AF18*37.2%)+(AF19*68.4%)+(AF23*75.4%)+AF10+AF11+AF12+AF13+AF14+AF16+AF17+AF20+AF21+AF24+AF25+AF26+AF27-7445</f>
        <v>6073702.1359999999</v>
      </c>
      <c r="AG167" s="39">
        <f>(AG18*48%)+(AG19*68.8%)+(AG23*78%)+AG10+AG11+AG12+AG13+AG14+AG16+AG17+AG20+AG21+AG24+AG25+AG26+AG27-40</f>
        <v>5809777</v>
      </c>
      <c r="AH167" s="39">
        <f>(AH18*48%)+(AH19*68.8%)+(AH23*71%)+AH10+AH11+AH12+AH13+AH14+AH16+AH17+AH20+AH21+AH24+AH25+AH26+AH27-1221.4</f>
        <v>6866532.5071577355</v>
      </c>
      <c r="AI167" s="39"/>
      <c r="AJ167" s="39"/>
      <c r="AK167" s="39"/>
      <c r="AL167" s="39"/>
      <c r="AM167" s="39"/>
      <c r="AN167" s="39"/>
      <c r="AO167" s="39">
        <f>'[16]Phụ lục số 3-thu bs'!I8</f>
        <v>6704000</v>
      </c>
      <c r="AP167" s="39">
        <f>'[17]thu noi dia(HĐND)'!$I$10</f>
        <v>7491821.4102769997</v>
      </c>
      <c r="AQ167" s="39">
        <f>'[16]Phụ lục số 3-thu bs'!L8</f>
        <v>8108000</v>
      </c>
      <c r="AR167" s="39">
        <f>'[16]Phụ lục số 3-thu bs'!O8</f>
        <v>9128000</v>
      </c>
      <c r="AS167" s="39"/>
      <c r="AT167" s="39"/>
      <c r="AU167" s="39"/>
      <c r="AV167" s="185">
        <f>AR167+AQ167+AO167+AH167+AF167</f>
        <v>36880234.643157735</v>
      </c>
      <c r="AW167" s="3505"/>
      <c r="AX167" s="3505">
        <f>AV167/$AV$165</f>
        <v>0.46081833507253872</v>
      </c>
      <c r="AY167" s="3505">
        <f>AV167/AA167-1</f>
        <v>-0.15344534588983016</v>
      </c>
      <c r="AZ167" s="39">
        <f>'[16]Phụ lục số 1-1'!AO8</f>
        <v>9925000</v>
      </c>
      <c r="BA167" s="39">
        <f>'[16]Phụ lục số 1-1'!AU8</f>
        <v>10718000</v>
      </c>
      <c r="BB167" s="39">
        <f>'[16]Phụ lục số 1-1'!BA8</f>
        <v>11567000</v>
      </c>
      <c r="BC167" s="39">
        <f>'[16]Phụ lục số 1-1'!BG8</f>
        <v>12522000</v>
      </c>
      <c r="BD167" s="39">
        <f>'[16]Phụ lục số 1-1'!BM8</f>
        <v>13654000</v>
      </c>
      <c r="BE167" s="147">
        <f>SUM(AZ167:BD167)</f>
        <v>58386000</v>
      </c>
      <c r="BF167" s="39"/>
      <c r="BG167" s="3537">
        <f>BE167/$BE$165</f>
        <v>0.54257735114528927</v>
      </c>
      <c r="BH167" s="3537">
        <f>BE167/AV167</f>
        <v>1.5831244178602903</v>
      </c>
      <c r="BI167" s="3531"/>
      <c r="BJ167" s="3531"/>
      <c r="BK167" s="3531"/>
    </row>
    <row r="168" spans="1:63" s="3542" customFormat="1" ht="16.2">
      <c r="A168" s="3234"/>
      <c r="B168" s="1329" t="s">
        <v>1993</v>
      </c>
      <c r="C168" s="779"/>
      <c r="D168" s="779"/>
      <c r="E168" s="779"/>
      <c r="F168" s="779"/>
      <c r="G168" s="779"/>
      <c r="H168" s="3441"/>
      <c r="I168" s="3468"/>
      <c r="J168" s="3487">
        <f>(D168*E168*F168*G168*H168)^(1/5)-1</f>
        <v>-1</v>
      </c>
      <c r="K168" s="3441">
        <f>K167/H167</f>
        <v>1.0327610825210207</v>
      </c>
      <c r="L168" s="3441">
        <f>L167/K167</f>
        <v>1.0833921646251685</v>
      </c>
      <c r="M168" s="3441">
        <f>M167/L167</f>
        <v>0.99732705655128551</v>
      </c>
      <c r="N168" s="3441">
        <f>N167/M167</f>
        <v>0.9515744374935281</v>
      </c>
      <c r="O168" s="3441">
        <f>O167/N167</f>
        <v>1.2504788323922789</v>
      </c>
      <c r="P168" s="3441"/>
      <c r="Q168" s="3472">
        <f>(K168*L168*M168*N168*O168)^(1/5)-1</f>
        <v>5.8347902472006385E-2</v>
      </c>
      <c r="R168" s="3441"/>
      <c r="S168" s="3441">
        <f>S167/O167</f>
        <v>1.2698874791446113</v>
      </c>
      <c r="T168" s="3441">
        <f>T167/S167</f>
        <v>0.87577651600073103</v>
      </c>
      <c r="U168" s="3538"/>
      <c r="V168" s="3538">
        <f>V167/T167</f>
        <v>1.0638632199351588</v>
      </c>
      <c r="W168" s="3538"/>
      <c r="X168" s="3538">
        <f>X167/V167</f>
        <v>1.2374669857662055</v>
      </c>
      <c r="Y168" s="3538"/>
      <c r="Z168" s="3538">
        <f>Z167/X167</f>
        <v>0.98693546272592492</v>
      </c>
      <c r="AA168" s="3538"/>
      <c r="AB168" s="3538">
        <f>(S168*T168*V168*X168*Z168)^(1/5)-1</f>
        <v>7.6399138166203251E-2</v>
      </c>
      <c r="AC168" s="3538"/>
      <c r="AD168" s="3538"/>
      <c r="AE168" s="3539"/>
      <c r="AF168" s="3540">
        <f>AF167/Z167</f>
        <v>0.86722091312737892</v>
      </c>
      <c r="AG168" s="3540"/>
      <c r="AH168" s="3540">
        <f>AH167/AF167</f>
        <v>1.1305349444877248</v>
      </c>
      <c r="AI168" s="3540"/>
      <c r="AJ168" s="3540"/>
      <c r="AK168" s="3540"/>
      <c r="AL168" s="3540"/>
      <c r="AM168" s="3540"/>
      <c r="AN168" s="3540"/>
      <c r="AO168" s="3538">
        <f>AO167/AH167</f>
        <v>0.97632975493987539</v>
      </c>
      <c r="AP168" s="3538"/>
      <c r="AQ168" s="3538">
        <f>AQ167/AO167</f>
        <v>1.2094272076372314</v>
      </c>
      <c r="AR168" s="3538">
        <f>AR167/AQ167</f>
        <v>1.125801677355698</v>
      </c>
      <c r="AS168" s="3538"/>
      <c r="AT168" s="3538"/>
      <c r="AU168" s="3538"/>
      <c r="AV168" s="3441"/>
      <c r="AW168" s="3441">
        <f>(AO168*AQ168*AR168*AF168*AH168)^(1/5)-1</f>
        <v>5.4412089734342528E-2</v>
      </c>
      <c r="AX168" s="3441"/>
      <c r="AY168" s="3441"/>
      <c r="AZ168" s="3538">
        <f>AZ167/AR167</f>
        <v>1.0873137598597722</v>
      </c>
      <c r="BA168" s="3538">
        <f>BA167/AZ167</f>
        <v>1.0798992443324937</v>
      </c>
      <c r="BB168" s="3538">
        <f>BB167/BA167</f>
        <v>1.0792125396529204</v>
      </c>
      <c r="BC168" s="3538">
        <f>BC167/BB167</f>
        <v>1.0825624621768826</v>
      </c>
      <c r="BD168" s="3538">
        <f>BD167/BC167</f>
        <v>1.0904008944258106</v>
      </c>
      <c r="BE168" s="3538"/>
      <c r="BF168" s="3540">
        <f>(AZ168*BA168*BB168*BC168*BD168)^(1/5)-1</f>
        <v>8.3869145543119528E-2</v>
      </c>
      <c r="BG168" s="3538"/>
      <c r="BH168" s="3538"/>
      <c r="BI168" s="3541"/>
      <c r="BJ168" s="3541"/>
      <c r="BK168" s="3541"/>
    </row>
    <row r="169" spans="1:63" s="3542" customFormat="1" ht="16.2">
      <c r="A169" s="3234"/>
      <c r="B169" s="1329" t="s">
        <v>2018</v>
      </c>
      <c r="C169" s="779"/>
      <c r="D169" s="779"/>
      <c r="E169" s="779"/>
      <c r="F169" s="779"/>
      <c r="G169" s="779"/>
      <c r="H169" s="3441"/>
      <c r="I169" s="3468"/>
      <c r="J169" s="3487"/>
      <c r="K169" s="3441">
        <f>K167/'[16]Chi NSĐP 2021-2030'!D10</f>
        <v>0.75395017943570752</v>
      </c>
      <c r="L169" s="3441">
        <f>L167/'[16]Chi NSĐP 2021-2030'!E10</f>
        <v>0.68173446106187663</v>
      </c>
      <c r="M169" s="3441">
        <f>M167/'[16]Chi NSĐP 2021-2030'!F10</f>
        <v>0.62175112300288549</v>
      </c>
      <c r="N169" s="3441">
        <f>N167/'[16]Chi NSĐP 2021-2030'!G10</f>
        <v>0.50809387640147996</v>
      </c>
      <c r="O169" s="3441">
        <f>O167/'[16]Chi NSĐP 2021-2030'!H10</f>
        <v>0.58364310593534119</v>
      </c>
      <c r="P169" s="3441">
        <f>(K169*L169*M169*N169*O169)^(1/5)</f>
        <v>0.62421350307285772</v>
      </c>
      <c r="Q169" s="3472"/>
      <c r="R169" s="3441"/>
      <c r="S169" s="3441">
        <f>S167/'[16]Chi NSĐP 2021-2030'!L10</f>
        <v>0.70951621945517296</v>
      </c>
      <c r="T169" s="3441">
        <f>T167/'[16]Chi NSĐP 2021-2030'!M10</f>
        <v>0.53457177707542691</v>
      </c>
      <c r="U169" s="3538"/>
      <c r="V169" s="3538">
        <f>V167/'[16]Chi NSĐP 2021-2030'!N10</f>
        <v>0.54993672798003645</v>
      </c>
      <c r="W169" s="3538"/>
      <c r="X169" s="3538">
        <f>X167/'[16]Chi NSĐP 2021-2030'!P10</f>
        <v>0.64636850863471229</v>
      </c>
      <c r="Y169" s="3538"/>
      <c r="Z169" s="3538">
        <f>Z167/'[16]Chi NSĐP 2021-2030'!L10</f>
        <v>0.80735361370852043</v>
      </c>
      <c r="AA169" s="3538">
        <f>(S169*T169*V169*X169)^(1/4)</f>
        <v>0.60595492159255793</v>
      </c>
      <c r="AB169" s="3538"/>
      <c r="AC169" s="3538"/>
      <c r="AD169" s="3538">
        <f>AA169/P169-1</f>
        <v>-2.9250539103074624E-2</v>
      </c>
      <c r="AE169" s="3539"/>
      <c r="AF169" s="3538">
        <f>AF167/'[16]Chi NSĐP 2021-2030'!R10</f>
        <v>0.46357768673006761</v>
      </c>
      <c r="AG169" s="3540"/>
      <c r="AH169" s="3540">
        <f>AH167/'[16]Chi NSĐP 2021-2030'!X10</f>
        <v>0.48779613288208012</v>
      </c>
      <c r="AI169" s="3540"/>
      <c r="AJ169" s="3540"/>
      <c r="AK169" s="3540"/>
      <c r="AL169" s="3540"/>
      <c r="AM169" s="3540"/>
      <c r="AN169" s="3540"/>
      <c r="AO169" s="3538">
        <f>AO167/'[16]Chi NSĐP 2021-2030'!X10</f>
        <v>0.47624987887738013</v>
      </c>
      <c r="AP169" s="3538"/>
      <c r="AQ169" s="3538">
        <f>AQ167/'[16]Chi NSĐP 2021-2030'!Z10</f>
        <v>0.62006427848554846</v>
      </c>
      <c r="AR169" s="3538">
        <f>AR167/'[16]Chi NSĐP 2021-2030'!AE10</f>
        <v>0.69196136175085021</v>
      </c>
      <c r="AS169" s="3538"/>
      <c r="AT169" s="3538"/>
      <c r="AU169" s="3538"/>
      <c r="AV169" s="3441"/>
      <c r="AW169" s="3441"/>
      <c r="AX169" s="3441"/>
      <c r="AY169" s="3441"/>
      <c r="AZ169" s="3538"/>
      <c r="BA169" s="3538"/>
      <c r="BB169" s="3538"/>
      <c r="BC169" s="3538"/>
      <c r="BD169" s="3538"/>
      <c r="BE169" s="3538"/>
      <c r="BF169" s="3538"/>
      <c r="BG169" s="3538"/>
      <c r="BH169" s="3538"/>
      <c r="BI169" s="3541"/>
      <c r="BJ169" s="3541"/>
      <c r="BK169" s="3541"/>
    </row>
    <row r="170" spans="1:63" s="3542" customFormat="1" ht="16.2">
      <c r="A170" s="3234"/>
      <c r="B170" s="1329" t="s">
        <v>1994</v>
      </c>
      <c r="C170" s="779"/>
      <c r="D170" s="779"/>
      <c r="E170" s="779"/>
      <c r="F170" s="779"/>
      <c r="G170" s="779"/>
      <c r="H170" s="3441"/>
      <c r="I170" s="3468"/>
      <c r="J170" s="3487"/>
      <c r="K170" s="3441"/>
      <c r="L170" s="3441"/>
      <c r="M170" s="3441"/>
      <c r="N170" s="3441"/>
      <c r="O170" s="3441"/>
      <c r="P170" s="3441"/>
      <c r="Q170" s="3472"/>
      <c r="R170" s="3441"/>
      <c r="S170" s="3441"/>
      <c r="T170" s="3441"/>
      <c r="U170" s="3538"/>
      <c r="V170" s="3538"/>
      <c r="W170" s="3538"/>
      <c r="X170" s="3538">
        <f>X167/W167</f>
        <v>1.2981332821983764</v>
      </c>
      <c r="Y170" s="3538"/>
      <c r="Z170" s="3538">
        <f>Z167/Y167</f>
        <v>1.0424098597261335</v>
      </c>
      <c r="AA170" s="3538"/>
      <c r="AB170" s="3538"/>
      <c r="AC170" s="3538"/>
      <c r="AD170" s="3538"/>
      <c r="AE170" s="3539"/>
      <c r="AF170" s="3538">
        <f>AF167/AE167</f>
        <v>0.93723613070940437</v>
      </c>
      <c r="AG170" s="3540"/>
      <c r="AH170" s="3538">
        <f>AH167/AG167</f>
        <v>1.1818926108795114</v>
      </c>
      <c r="AI170" s="3538"/>
      <c r="AJ170" s="3538"/>
      <c r="AK170" s="3538"/>
      <c r="AL170" s="3538"/>
      <c r="AM170" s="3538"/>
      <c r="AN170" s="3538"/>
      <c r="AO170" s="3538"/>
      <c r="AP170" s="3538"/>
      <c r="AQ170" s="3538"/>
      <c r="AR170" s="3538"/>
      <c r="AS170" s="3538"/>
      <c r="AT170" s="3538"/>
      <c r="AU170" s="3538"/>
      <c r="AV170" s="3441"/>
      <c r="AW170" s="3441"/>
      <c r="AX170" s="3441"/>
      <c r="AY170" s="3441"/>
      <c r="AZ170" s="3441">
        <f>AZ167/AZ7</f>
        <v>0.89908506205272221</v>
      </c>
      <c r="BA170" s="3441">
        <f t="shared" ref="BA170:BD170" si="152">BA167/BA7</f>
        <v>0.89795577787156766</v>
      </c>
      <c r="BB170" s="3441">
        <f t="shared" si="152"/>
        <v>0.89711867477868135</v>
      </c>
      <c r="BC170" s="3441">
        <f t="shared" si="152"/>
        <v>0.89689503105844226</v>
      </c>
      <c r="BD170" s="3441">
        <f t="shared" si="152"/>
        <v>0.89828947204164955</v>
      </c>
      <c r="BE170" s="3538"/>
      <c r="BF170" s="3538"/>
      <c r="BG170" s="3538"/>
      <c r="BH170" s="3538"/>
      <c r="BI170" s="3541"/>
      <c r="BJ170" s="3541"/>
      <c r="BK170" s="3541"/>
    </row>
    <row r="171" spans="1:63" s="3053" customFormat="1">
      <c r="A171" s="3527" t="s">
        <v>101</v>
      </c>
      <c r="B171" s="3528" t="s">
        <v>38</v>
      </c>
      <c r="C171" s="185">
        <f>SUM(C173:C174)</f>
        <v>822829</v>
      </c>
      <c r="D171" s="185">
        <f>SUM(D173:D174)</f>
        <v>822830</v>
      </c>
      <c r="E171" s="185">
        <f>SUM(E173:E174)</f>
        <v>1108040</v>
      </c>
      <c r="F171" s="185">
        <f>SUM(F173:F174)</f>
        <v>911070</v>
      </c>
      <c r="G171" s="185">
        <f>SUM(G173:G174)</f>
        <v>1140640</v>
      </c>
      <c r="H171" s="185">
        <f>SUM(H172,H175)</f>
        <v>1038183</v>
      </c>
      <c r="I171" s="185"/>
      <c r="J171" s="3505"/>
      <c r="K171" s="185">
        <f t="shared" ref="K171:P171" si="153">SUM(K172,K175)</f>
        <v>1663193</v>
      </c>
      <c r="L171" s="185">
        <f t="shared" si="153"/>
        <v>1860264</v>
      </c>
      <c r="M171" s="185">
        <f t="shared" si="153"/>
        <v>1948207</v>
      </c>
      <c r="N171" s="185">
        <f t="shared" si="153"/>
        <v>1705664</v>
      </c>
      <c r="O171" s="185">
        <f t="shared" si="153"/>
        <v>1707984</v>
      </c>
      <c r="P171" s="185">
        <f t="shared" si="153"/>
        <v>8885312</v>
      </c>
      <c r="Q171" s="3505"/>
      <c r="R171" s="3505">
        <f t="shared" si="151"/>
        <v>0.24331379385970711</v>
      </c>
      <c r="S171" s="185">
        <f t="shared" ref="S171:Y171" si="154">SUM(S173:S174)</f>
        <v>1174152</v>
      </c>
      <c r="T171" s="185">
        <f t="shared" si="154"/>
        <v>4693126</v>
      </c>
      <c r="U171" s="39"/>
      <c r="V171" s="39">
        <f t="shared" si="154"/>
        <v>4693126</v>
      </c>
      <c r="W171" s="39">
        <f t="shared" si="154"/>
        <v>4987479</v>
      </c>
      <c r="X171" s="39">
        <f t="shared" si="154"/>
        <v>4987479</v>
      </c>
      <c r="Y171" s="39">
        <f t="shared" si="154"/>
        <v>4787126</v>
      </c>
      <c r="Z171" s="39">
        <f>SUM(Z173:Z174)</f>
        <v>4910076</v>
      </c>
      <c r="AA171" s="39">
        <f t="shared" ref="AA171:AA190" si="155">SUM(S171:Z171)</f>
        <v>30232564</v>
      </c>
      <c r="AB171" s="39"/>
      <c r="AC171" s="3536"/>
      <c r="AD171" s="3536"/>
      <c r="AE171" s="147">
        <f t="shared" ref="AE171:AR171" si="156">SUM(AE173:AE174)</f>
        <v>4883126</v>
      </c>
      <c r="AF171" s="147">
        <f t="shared" si="156"/>
        <v>5085320</v>
      </c>
      <c r="AG171" s="147">
        <f t="shared" si="156"/>
        <v>6803512</v>
      </c>
      <c r="AH171" s="147">
        <f t="shared" si="156"/>
        <v>6803512</v>
      </c>
      <c r="AI171" s="147"/>
      <c r="AJ171" s="147"/>
      <c r="AK171" s="147"/>
      <c r="AL171" s="147"/>
      <c r="AM171" s="147"/>
      <c r="AN171" s="147"/>
      <c r="AO171" s="39">
        <f>SUM(AO173:AO174)</f>
        <v>6487488</v>
      </c>
      <c r="AP171" s="39"/>
      <c r="AQ171" s="39">
        <f t="shared" si="156"/>
        <v>6487488</v>
      </c>
      <c r="AR171" s="39">
        <f t="shared" si="156"/>
        <v>6487488</v>
      </c>
      <c r="AS171" s="39"/>
      <c r="AT171" s="39"/>
      <c r="AU171" s="39"/>
      <c r="AV171" s="185">
        <f t="shared" ref="AV171:AV177" si="157">AR171+AQ171+AO171+AH171+AF171</f>
        <v>31351296</v>
      </c>
      <c r="AW171" s="3505"/>
      <c r="AX171" s="3505">
        <f>AV171/$AV$165</f>
        <v>0.39173427622881712</v>
      </c>
      <c r="AY171" s="3505"/>
      <c r="AZ171" s="39">
        <f t="shared" ref="AZ171:BD171" si="158">SUM(AZ173:AZ174)</f>
        <v>6487488</v>
      </c>
      <c r="BA171" s="39">
        <f t="shared" si="158"/>
        <v>6487488</v>
      </c>
      <c r="BB171" s="39">
        <f t="shared" si="158"/>
        <v>6487488</v>
      </c>
      <c r="BC171" s="39">
        <f t="shared" si="158"/>
        <v>6487488</v>
      </c>
      <c r="BD171" s="39">
        <f t="shared" si="158"/>
        <v>6487488</v>
      </c>
      <c r="BE171" s="147">
        <f t="shared" ref="BE171:BE175" si="159">SUM(AY171:BD171)-1</f>
        <v>32437439</v>
      </c>
      <c r="BF171" s="39"/>
      <c r="BG171" s="3537">
        <f>BE171/$BE$165</f>
        <v>0.301439038991486</v>
      </c>
      <c r="BH171" s="3537">
        <f>BE171/AV171</f>
        <v>1.0346442775443796</v>
      </c>
      <c r="BI171" s="3531"/>
      <c r="BJ171" s="3531"/>
      <c r="BK171" s="3531"/>
    </row>
    <row r="172" spans="1:63" s="3053" customFormat="1">
      <c r="A172" s="3527" t="s">
        <v>29</v>
      </c>
      <c r="B172" s="3528" t="s">
        <v>205</v>
      </c>
      <c r="C172" s="185"/>
      <c r="D172" s="185"/>
      <c r="E172" s="185"/>
      <c r="F172" s="185"/>
      <c r="G172" s="185"/>
      <c r="H172" s="185">
        <f>SUM(H173:H174)</f>
        <v>658310</v>
      </c>
      <c r="I172" s="185"/>
      <c r="J172" s="3505"/>
      <c r="K172" s="185">
        <f t="shared" ref="K172:P172" si="160">SUM(K173:K174)</f>
        <v>1145709</v>
      </c>
      <c r="L172" s="185">
        <f t="shared" si="160"/>
        <v>1174152</v>
      </c>
      <c r="M172" s="185">
        <f t="shared" si="160"/>
        <v>1174152</v>
      </c>
      <c r="N172" s="185">
        <f t="shared" si="160"/>
        <v>1174152</v>
      </c>
      <c r="O172" s="185">
        <f t="shared" si="160"/>
        <v>1174152</v>
      </c>
      <c r="P172" s="185">
        <f t="shared" si="160"/>
        <v>5842317</v>
      </c>
      <c r="Q172" s="3505"/>
      <c r="R172" s="3505"/>
      <c r="S172" s="185">
        <f t="shared" ref="S172:Z172" si="161">SUM(S173:S174)</f>
        <v>1174152</v>
      </c>
      <c r="T172" s="185">
        <f t="shared" si="161"/>
        <v>4693126</v>
      </c>
      <c r="U172" s="39"/>
      <c r="V172" s="39">
        <f t="shared" si="161"/>
        <v>4693126</v>
      </c>
      <c r="W172" s="39">
        <f t="shared" si="161"/>
        <v>4987479</v>
      </c>
      <c r="X172" s="39">
        <f t="shared" si="161"/>
        <v>4987479</v>
      </c>
      <c r="Y172" s="39">
        <f t="shared" si="161"/>
        <v>4787126</v>
      </c>
      <c r="Z172" s="39">
        <f t="shared" si="161"/>
        <v>4910076</v>
      </c>
      <c r="AA172" s="39">
        <f t="shared" si="155"/>
        <v>30232564</v>
      </c>
      <c r="AB172" s="39"/>
      <c r="AC172" s="3536"/>
      <c r="AD172" s="3536"/>
      <c r="AE172" s="147">
        <f t="shared" ref="AE172:AR172" si="162">SUM(AE173:AE174)</f>
        <v>4883126</v>
      </c>
      <c r="AF172" s="147">
        <f t="shared" si="162"/>
        <v>5085320</v>
      </c>
      <c r="AG172" s="147">
        <f t="shared" si="162"/>
        <v>6803512</v>
      </c>
      <c r="AH172" s="147">
        <f t="shared" si="162"/>
        <v>6803512</v>
      </c>
      <c r="AI172" s="147"/>
      <c r="AJ172" s="147"/>
      <c r="AK172" s="147"/>
      <c r="AL172" s="147"/>
      <c r="AM172" s="147"/>
      <c r="AN172" s="147"/>
      <c r="AO172" s="39">
        <f t="shared" si="162"/>
        <v>6487488</v>
      </c>
      <c r="AP172" s="39"/>
      <c r="AQ172" s="39">
        <f t="shared" si="162"/>
        <v>6487488</v>
      </c>
      <c r="AR172" s="39">
        <f t="shared" si="162"/>
        <v>6487488</v>
      </c>
      <c r="AS172" s="39"/>
      <c r="AT172" s="39"/>
      <c r="AU172" s="39"/>
      <c r="AV172" s="185">
        <f t="shared" si="157"/>
        <v>31351296</v>
      </c>
      <c r="AW172" s="3505"/>
      <c r="AX172" s="3505"/>
      <c r="AY172" s="3505"/>
      <c r="AZ172" s="39">
        <f t="shared" ref="AZ172:BD172" si="163">SUM(AZ173:AZ174)</f>
        <v>6487488</v>
      </c>
      <c r="BA172" s="39">
        <f t="shared" si="163"/>
        <v>6487488</v>
      </c>
      <c r="BB172" s="39">
        <f t="shared" si="163"/>
        <v>6487488</v>
      </c>
      <c r="BC172" s="39">
        <f t="shared" si="163"/>
        <v>6487488</v>
      </c>
      <c r="BD172" s="39">
        <f t="shared" si="163"/>
        <v>6487488</v>
      </c>
      <c r="BE172" s="147">
        <f t="shared" si="159"/>
        <v>32437439</v>
      </c>
      <c r="BF172" s="39"/>
      <c r="BG172" s="39"/>
      <c r="BH172" s="39"/>
      <c r="BI172" s="3531"/>
      <c r="BJ172" s="3531"/>
      <c r="BK172" s="3531"/>
    </row>
    <row r="173" spans="1:63" s="3141" customFormat="1">
      <c r="A173" s="3532" t="s">
        <v>1797</v>
      </c>
      <c r="B173" s="3533" t="s">
        <v>205</v>
      </c>
      <c r="C173" s="3534">
        <v>658309</v>
      </c>
      <c r="D173" s="3534">
        <v>658310</v>
      </c>
      <c r="E173" s="3534">
        <v>658310</v>
      </c>
      <c r="F173" s="3534">
        <v>658310</v>
      </c>
      <c r="G173" s="3534">
        <v>658310</v>
      </c>
      <c r="H173" s="3534">
        <v>658310</v>
      </c>
      <c r="I173" s="3534"/>
      <c r="J173" s="3498"/>
      <c r="K173" s="3534">
        <v>1145709</v>
      </c>
      <c r="L173" s="3534">
        <f>1174152</f>
        <v>1174152</v>
      </c>
      <c r="M173" s="3534">
        <f>L173</f>
        <v>1174152</v>
      </c>
      <c r="N173" s="3534">
        <f>M173</f>
        <v>1174152</v>
      </c>
      <c r="O173" s="3534">
        <f>N173</f>
        <v>1174152</v>
      </c>
      <c r="P173" s="3534">
        <f>SUM(K173:O173)</f>
        <v>5842317</v>
      </c>
      <c r="Q173" s="3498"/>
      <c r="R173" s="3498">
        <f t="shared" si="151"/>
        <v>0.15998496329685019</v>
      </c>
      <c r="S173" s="3534">
        <f>1174152</f>
        <v>1174152</v>
      </c>
      <c r="T173" s="3534">
        <v>4693126</v>
      </c>
      <c r="U173" s="3132"/>
      <c r="V173" s="3132">
        <v>4693126</v>
      </c>
      <c r="W173" s="3132">
        <f>4693126+94000</f>
        <v>4787126</v>
      </c>
      <c r="X173" s="3132">
        <f>W173</f>
        <v>4787126</v>
      </c>
      <c r="Y173" s="3132">
        <v>4787126</v>
      </c>
      <c r="Z173" s="3132">
        <f>Y173+122950</f>
        <v>4910076</v>
      </c>
      <c r="AA173" s="37">
        <f t="shared" si="155"/>
        <v>29831858</v>
      </c>
      <c r="AB173" s="3132"/>
      <c r="AC173" s="3543"/>
      <c r="AD173" s="3543"/>
      <c r="AE173" s="3544">
        <v>4883126</v>
      </c>
      <c r="AF173" s="263">
        <f>AE173+202194</f>
        <v>5085320</v>
      </c>
      <c r="AG173" s="263">
        <v>6803512</v>
      </c>
      <c r="AH173" s="263">
        <f>'[19]Thu 31-12-2022'!$L$183/1000000</f>
        <v>6803512</v>
      </c>
      <c r="AI173" s="263"/>
      <c r="AJ173" s="263"/>
      <c r="AK173" s="263"/>
      <c r="AL173" s="263"/>
      <c r="AM173" s="263"/>
      <c r="AN173" s="263"/>
      <c r="AO173" s="3132">
        <f>'[16]Phụ lục số 3-thu bs'!M14</f>
        <v>6487488</v>
      </c>
      <c r="AP173" s="3132"/>
      <c r="AQ173" s="3132">
        <f>'[16]Phụ lục số 3-thu bs'!P14</f>
        <v>6487488</v>
      </c>
      <c r="AR173" s="3132">
        <f>'[16]Phụ lục số 1-1'!AF53</f>
        <v>6487488</v>
      </c>
      <c r="AS173" s="3132"/>
      <c r="AT173" s="3132"/>
      <c r="AU173" s="3132"/>
      <c r="AV173" s="779">
        <f t="shared" si="157"/>
        <v>31351296</v>
      </c>
      <c r="AW173" s="3498"/>
      <c r="AX173" s="3498">
        <f t="shared" ref="AX173:AX176" si="164">AV173/$AV$165</f>
        <v>0.39173427622881712</v>
      </c>
      <c r="AY173" s="3498"/>
      <c r="AZ173" s="3132">
        <f>'[16]Phụ lục số 1-1'!AL53</f>
        <v>6487488</v>
      </c>
      <c r="BA173" s="3132">
        <f>'[16]Phụ lục số 1-1'!AR53</f>
        <v>6487488</v>
      </c>
      <c r="BB173" s="3132">
        <f>'[16]Phụ lục số 1-1'!AX53</f>
        <v>6487488</v>
      </c>
      <c r="BC173" s="3132">
        <f>'[16]Phụ lục số 1-1'!BD53</f>
        <v>6487488</v>
      </c>
      <c r="BD173" s="3132">
        <f>'[16]Phụ lục số 1-1'!BJ53</f>
        <v>6487488</v>
      </c>
      <c r="BE173" s="147">
        <f t="shared" si="159"/>
        <v>32437439</v>
      </c>
      <c r="BF173" s="3132"/>
      <c r="BG173" s="3132"/>
      <c r="BH173" s="3132"/>
      <c r="BI173" s="3535"/>
      <c r="BJ173" s="3535"/>
      <c r="BK173" s="3535"/>
    </row>
    <row r="174" spans="1:63" s="3141" customFormat="1">
      <c r="A174" s="3532" t="s">
        <v>1797</v>
      </c>
      <c r="B174" s="3132" t="s">
        <v>2019</v>
      </c>
      <c r="C174" s="3534">
        <f>822830-658310</f>
        <v>164520</v>
      </c>
      <c r="D174" s="3534">
        <f>822830-658310</f>
        <v>164520</v>
      </c>
      <c r="E174" s="3534">
        <f>1108040-658310</f>
        <v>449730</v>
      </c>
      <c r="F174" s="3534">
        <f>911070-658310</f>
        <v>252760</v>
      </c>
      <c r="G174" s="3534">
        <f>1140640-658310</f>
        <v>482330</v>
      </c>
      <c r="H174" s="3534"/>
      <c r="I174" s="3534"/>
      <c r="J174" s="3498"/>
      <c r="K174" s="3534">
        <v>0</v>
      </c>
      <c r="L174" s="3534"/>
      <c r="M174" s="3534"/>
      <c r="N174" s="3534"/>
      <c r="O174" s="3534"/>
      <c r="P174" s="3534">
        <f>SUM(K174:O174)</f>
        <v>0</v>
      </c>
      <c r="Q174" s="3498"/>
      <c r="R174" s="3498">
        <f t="shared" si="151"/>
        <v>0</v>
      </c>
      <c r="S174" s="3534"/>
      <c r="T174" s="3534">
        <v>0</v>
      </c>
      <c r="U174" s="3132"/>
      <c r="V174" s="3132"/>
      <c r="W174" s="3132">
        <f>200353</f>
        <v>200353</v>
      </c>
      <c r="X174" s="3132">
        <f>W174</f>
        <v>200353</v>
      </c>
      <c r="Y174" s="3132"/>
      <c r="Z174" s="3132"/>
      <c r="AA174" s="37">
        <f t="shared" si="155"/>
        <v>400706</v>
      </c>
      <c r="AB174" s="3132"/>
      <c r="AC174" s="3543"/>
      <c r="AD174" s="3543"/>
      <c r="AE174" s="3544"/>
      <c r="AF174" s="263">
        <v>0</v>
      </c>
      <c r="AG174" s="263">
        <v>0</v>
      </c>
      <c r="AH174" s="263">
        <v>0</v>
      </c>
      <c r="AI174" s="263"/>
      <c r="AJ174" s="263"/>
      <c r="AK174" s="263"/>
      <c r="AL174" s="263"/>
      <c r="AM174" s="263"/>
      <c r="AN174" s="263"/>
      <c r="AO174" s="3132">
        <v>0</v>
      </c>
      <c r="AP174" s="3132"/>
      <c r="AQ174" s="3132">
        <v>0</v>
      </c>
      <c r="AR174" s="3132">
        <v>0</v>
      </c>
      <c r="AS174" s="3132"/>
      <c r="AT174" s="3132"/>
      <c r="AU174" s="3132"/>
      <c r="AV174" s="779">
        <f t="shared" si="157"/>
        <v>0</v>
      </c>
      <c r="AW174" s="3498"/>
      <c r="AX174" s="3498">
        <f t="shared" si="164"/>
        <v>0</v>
      </c>
      <c r="AY174" s="3498"/>
      <c r="AZ174" s="3132"/>
      <c r="BA174" s="3132"/>
      <c r="BB174" s="3132"/>
      <c r="BC174" s="3132"/>
      <c r="BD174" s="3132"/>
      <c r="BE174" s="3132"/>
      <c r="BF174" s="3132"/>
      <c r="BG174" s="3132"/>
      <c r="BH174" s="3132"/>
      <c r="BI174" s="3535"/>
      <c r="BJ174" s="3535"/>
      <c r="BK174" s="3535"/>
    </row>
    <row r="175" spans="1:63" s="3053" customFormat="1">
      <c r="A175" s="3527" t="s">
        <v>29</v>
      </c>
      <c r="B175" s="39" t="s">
        <v>207</v>
      </c>
      <c r="C175" s="185"/>
      <c r="D175" s="185"/>
      <c r="E175" s="185"/>
      <c r="F175" s="185"/>
      <c r="G175" s="185"/>
      <c r="H175" s="185">
        <f>'[16]Chi từ NSTW bổ sung 2010-2025'!C8</f>
        <v>379873</v>
      </c>
      <c r="I175" s="185"/>
      <c r="J175" s="3505"/>
      <c r="K175" s="185">
        <f>'[16]Chi từ NSTW bổ sung 2010-2025'!D8</f>
        <v>517484</v>
      </c>
      <c r="L175" s="185">
        <f>'[16]Chi từ NSTW bổ sung 2010-2025'!E8</f>
        <v>686112</v>
      </c>
      <c r="M175" s="185">
        <f>'[16]Chi từ NSTW bổ sung 2010-2025'!F8</f>
        <v>774055</v>
      </c>
      <c r="N175" s="185">
        <f>'[16]Chi từ NSTW bổ sung 2010-2025'!G8</f>
        <v>531512</v>
      </c>
      <c r="O175" s="185">
        <f>'[16]Chi từ NSTW bổ sung 2010-2025'!H8</f>
        <v>533832</v>
      </c>
      <c r="P175" s="185">
        <f>'[16]Chi từ NSTW bổ sung 2010-2025'!I8</f>
        <v>3042995</v>
      </c>
      <c r="Q175" s="3505"/>
      <c r="R175" s="3505"/>
      <c r="S175" s="185">
        <f>'[16]Chi từ NSTW bổ sung 2010-2025'!L8</f>
        <v>760850</v>
      </c>
      <c r="T175" s="185">
        <f>'[16]Chi từ NSTW bổ sung 2010-2025'!M8</f>
        <v>741859</v>
      </c>
      <c r="U175" s="39"/>
      <c r="V175" s="39">
        <f>'[16]Chi từ NSTW bổ sung 2010-2025'!N8</f>
        <v>1818286</v>
      </c>
      <c r="W175" s="39">
        <f>'[16]Chi từ NSTW bổ sung 2010-2025'!O8</f>
        <v>1511244</v>
      </c>
      <c r="X175" s="39">
        <f>2026293+213269</f>
        <v>2239562</v>
      </c>
      <c r="Y175" s="39">
        <f>'[16]Chi từ NSTW bổ sung 2010-2025'!P8</f>
        <v>1731670</v>
      </c>
      <c r="Z175" s="39">
        <f>1760902</f>
        <v>1760902</v>
      </c>
      <c r="AA175" s="39">
        <f t="shared" si="155"/>
        <v>10564373</v>
      </c>
      <c r="AB175" s="39"/>
      <c r="AC175" s="3536"/>
      <c r="AD175" s="3536"/>
      <c r="AE175" s="3545">
        <f>'[16]Chi từ NSTW bổ sung 2010-2025'!U8</f>
        <v>1882470</v>
      </c>
      <c r="AF175" s="147">
        <f>1704169</f>
        <v>1704169</v>
      </c>
      <c r="AG175" s="147">
        <f>'[16]Chi từ NSTW bổ sung 2010-2025'!V8</f>
        <v>1213473</v>
      </c>
      <c r="AH175" s="147">
        <f>'[19]Thu 31-12-2022'!$L$184/1000000</f>
        <v>1191268.3398519999</v>
      </c>
      <c r="AI175" s="147"/>
      <c r="AJ175" s="147"/>
      <c r="AK175" s="147"/>
      <c r="AL175" s="147"/>
      <c r="AM175" s="147"/>
      <c r="AN175" s="147"/>
      <c r="AO175" s="39">
        <f>'[16]Chi từ NSTW bổ sung 2010-2025'!W8</f>
        <v>2597007</v>
      </c>
      <c r="AP175" s="39"/>
      <c r="AQ175" s="39">
        <f>'[16]Chi từ NSTW bổ sung 2010-2025'!X8</f>
        <v>2951036</v>
      </c>
      <c r="AR175" s="39">
        <f>'[16]Chi từ NSTW bổ sung 2010-2025'!Y8</f>
        <v>3357036</v>
      </c>
      <c r="AS175" s="39"/>
      <c r="AT175" s="39"/>
      <c r="AU175" s="39"/>
      <c r="AV175" s="185">
        <f t="shared" si="157"/>
        <v>11800516.339852</v>
      </c>
      <c r="AW175" s="3505"/>
      <c r="AX175" s="3505"/>
      <c r="AY175" s="3505"/>
      <c r="AZ175" s="39">
        <f>'[16]Phụ lục số 1-1'!AL54</f>
        <v>3357036</v>
      </c>
      <c r="BA175" s="39">
        <f>'[16]Phụ lục số 1-1'!AR54</f>
        <v>3357036</v>
      </c>
      <c r="BB175" s="39">
        <f>'[16]Phụ lục số 1-1'!AX54</f>
        <v>3357036</v>
      </c>
      <c r="BC175" s="39">
        <f>'[16]Phụ lục số 1-1'!BD54</f>
        <v>3357036</v>
      </c>
      <c r="BD175" s="39">
        <f>'[16]Phụ lục số 1-1'!BJ54</f>
        <v>3357036</v>
      </c>
      <c r="BE175" s="147">
        <f t="shared" si="159"/>
        <v>16785179</v>
      </c>
      <c r="BF175" s="39"/>
      <c r="BG175" s="3537">
        <f>BE175/$BE$165</f>
        <v>0.15598359127735306</v>
      </c>
      <c r="BH175" s="3537">
        <f>BE175/AV175</f>
        <v>1.4224105553173207</v>
      </c>
      <c r="BI175" s="3531"/>
      <c r="BJ175" s="3531"/>
      <c r="BK175" s="3531"/>
    </row>
    <row r="176" spans="1:63" s="3053" customFormat="1">
      <c r="A176" s="3527" t="s">
        <v>44</v>
      </c>
      <c r="B176" s="3528" t="s">
        <v>2020</v>
      </c>
      <c r="C176" s="185"/>
      <c r="D176" s="185"/>
      <c r="E176" s="185"/>
      <c r="F176" s="185">
        <v>124990</v>
      </c>
      <c r="G176" s="185">
        <v>113320</v>
      </c>
      <c r="H176" s="185"/>
      <c r="I176" s="185"/>
      <c r="J176" s="3505"/>
      <c r="K176" s="185">
        <f>5517507-5432961</f>
        <v>84546</v>
      </c>
      <c r="L176" s="185">
        <f>6676916-5944401</f>
        <v>732515</v>
      </c>
      <c r="M176" s="185">
        <f>7325262-6021428</f>
        <v>1303834</v>
      </c>
      <c r="N176" s="185">
        <f>8159970-5581637</f>
        <v>2578333</v>
      </c>
      <c r="O176" s="185">
        <f>8838259-6554806</f>
        <v>2283453</v>
      </c>
      <c r="P176" s="185">
        <f>SUM(K176:O176)</f>
        <v>6982681</v>
      </c>
      <c r="Q176" s="3505"/>
      <c r="R176" s="3505">
        <f t="shared" si="151"/>
        <v>0.19121248701476026</v>
      </c>
      <c r="S176" s="185">
        <f>9435660-8089920</f>
        <v>1345740</v>
      </c>
      <c r="T176" s="185"/>
      <c r="U176" s="39"/>
      <c r="V176" s="39"/>
      <c r="W176" s="39">
        <v>353947</v>
      </c>
      <c r="X176" s="39"/>
      <c r="Y176" s="39">
        <f>170545+247749</f>
        <v>418294</v>
      </c>
      <c r="Z176" s="39"/>
      <c r="AA176" s="39">
        <f t="shared" si="155"/>
        <v>2117981</v>
      </c>
      <c r="AB176" s="39"/>
      <c r="AC176" s="3536"/>
      <c r="AD176" s="3536"/>
      <c r="AE176" s="3545">
        <v>816873</v>
      </c>
      <c r="AF176" s="147">
        <v>0</v>
      </c>
      <c r="AG176" s="147">
        <v>179391</v>
      </c>
      <c r="AH176" s="147"/>
      <c r="AI176" s="147"/>
      <c r="AJ176" s="147"/>
      <c r="AK176" s="147"/>
      <c r="AL176" s="147"/>
      <c r="AM176" s="147"/>
      <c r="AN176" s="147"/>
      <c r="AO176" s="39">
        <f>'[16]Phụ lục số 3-thu bs'!L16</f>
        <v>0</v>
      </c>
      <c r="AP176" s="39"/>
      <c r="AQ176" s="39">
        <f>'[16]Phụ lục số 3-thu bs'!O16</f>
        <v>0</v>
      </c>
      <c r="AR176" s="39">
        <v>0</v>
      </c>
      <c r="AS176" s="39"/>
      <c r="AT176" s="39"/>
      <c r="AU176" s="39"/>
      <c r="AV176" s="185">
        <f t="shared" si="157"/>
        <v>0</v>
      </c>
      <c r="AW176" s="3505"/>
      <c r="AX176" s="3505">
        <f t="shared" si="164"/>
        <v>0</v>
      </c>
      <c r="AY176" s="3505"/>
      <c r="AZ176" s="39"/>
      <c r="BA176" s="39"/>
      <c r="BB176" s="39"/>
      <c r="BC176" s="39"/>
      <c r="BD176" s="39"/>
      <c r="BE176" s="39"/>
      <c r="BF176" s="39"/>
      <c r="BG176" s="39"/>
      <c r="BH176" s="39"/>
      <c r="BI176" s="3531"/>
      <c r="BJ176" s="3531"/>
      <c r="BK176" s="3531"/>
    </row>
    <row r="177" spans="1:63" s="3053" customFormat="1">
      <c r="A177" s="3040" t="s">
        <v>46</v>
      </c>
      <c r="B177" s="3546" t="s">
        <v>47</v>
      </c>
      <c r="C177" s="3547"/>
      <c r="D177" s="3547"/>
      <c r="E177" s="3547"/>
      <c r="F177" s="3547"/>
      <c r="G177" s="3547"/>
      <c r="H177" s="3547"/>
      <c r="I177" s="3547"/>
      <c r="J177" s="3548"/>
      <c r="K177" s="3547"/>
      <c r="L177" s="3547"/>
      <c r="M177" s="3547"/>
      <c r="N177" s="3547"/>
      <c r="O177" s="3547"/>
      <c r="P177" s="3547"/>
      <c r="Q177" s="3548"/>
      <c r="R177" s="3548"/>
      <c r="S177" s="3547"/>
      <c r="T177" s="3547"/>
      <c r="U177" s="3549"/>
      <c r="V177" s="3549"/>
      <c r="W177" s="3549">
        <v>15000</v>
      </c>
      <c r="X177" s="3547">
        <v>6000</v>
      </c>
      <c r="Y177" s="3549">
        <v>30900</v>
      </c>
      <c r="Z177" s="3547">
        <v>20568</v>
      </c>
      <c r="AA177" s="3549">
        <f t="shared" si="155"/>
        <v>72468</v>
      </c>
      <c r="AB177" s="3549"/>
      <c r="AC177" s="3550"/>
      <c r="AD177" s="3550"/>
      <c r="AE177" s="3551">
        <v>61200</v>
      </c>
      <c r="AF177" s="3547">
        <v>46500</v>
      </c>
      <c r="AG177" s="3552">
        <v>48300</v>
      </c>
      <c r="AH177" s="3547">
        <f>25250018130/1000000</f>
        <v>25250.01813</v>
      </c>
      <c r="AI177" s="3547"/>
      <c r="AJ177" s="3547"/>
      <c r="AK177" s="3547"/>
      <c r="AL177" s="3547"/>
      <c r="AM177" s="3547"/>
      <c r="AN177" s="3547"/>
      <c r="AO177" s="3549">
        <f>'[16]Phụ lục số 3-thu bs'!I17</f>
        <v>31500</v>
      </c>
      <c r="AP177" s="3549"/>
      <c r="AQ177" s="3549">
        <f>'[16]Phụ lục số 3-thu bs'!L17</f>
        <v>19694</v>
      </c>
      <c r="AR177" s="3549">
        <f>'[16]Phụ lục số 3-thu bs'!O17</f>
        <v>0</v>
      </c>
      <c r="AS177" s="3549"/>
      <c r="AT177" s="3549"/>
      <c r="AU177" s="3549"/>
      <c r="AV177" s="3547">
        <f t="shared" si="157"/>
        <v>122944.01813</v>
      </c>
      <c r="AW177" s="3548"/>
      <c r="AX177" s="3548"/>
      <c r="AY177" s="3548"/>
      <c r="AZ177" s="3549"/>
      <c r="BA177" s="3549"/>
      <c r="BB177" s="3549"/>
      <c r="BC177" s="3549"/>
      <c r="BD177" s="3549"/>
      <c r="BE177" s="3549"/>
      <c r="BF177" s="3549"/>
      <c r="BG177" s="3549"/>
      <c r="BH177" s="3549"/>
      <c r="BI177" s="3531"/>
      <c r="BJ177" s="3531"/>
      <c r="BK177" s="3531"/>
    </row>
    <row r="178" spans="1:63" s="3053" customFormat="1">
      <c r="A178" s="3553">
        <v>17</v>
      </c>
      <c r="B178" s="3554" t="s">
        <v>2021</v>
      </c>
      <c r="C178" s="3555"/>
      <c r="D178" s="3555"/>
      <c r="E178" s="3555"/>
      <c r="F178" s="3555"/>
      <c r="G178" s="3555"/>
      <c r="H178" s="3555">
        <f>ROUND(('[16]Chi NSĐP 2021-2030'!C11+'[16]Chi NSĐP 2021-2030'!C133)*30%,-3)</f>
        <v>378000</v>
      </c>
      <c r="I178" s="3555"/>
      <c r="J178" s="3556"/>
      <c r="K178" s="3555">
        <f>ROUND(('[16]Chi NSĐP 2021-2030'!D11+'[16]Chi NSĐP 2021-2030'!D133)*30%,-3)</f>
        <v>544000</v>
      </c>
      <c r="L178" s="3555">
        <f>ROUND(('[16]Chi NSĐP 2021-2030'!E11+'[16]Chi NSĐP 2021-2030'!E133)*30%,-3)</f>
        <v>591000</v>
      </c>
      <c r="M178" s="3555">
        <f>ROUND(('[16]Chi NSĐP 2021-2030'!F11+'[16]Chi NSĐP 2021-2030'!F133)*30%,-3)</f>
        <v>599000</v>
      </c>
      <c r="N178" s="3555">
        <f>ROUND(('[16]Chi NSĐP 2021-2030'!G11+'[16]Chi NSĐP 2021-2030'!G133)*30%,-3)</f>
        <v>745000</v>
      </c>
      <c r="O178" s="3555">
        <f>ROUND(('[16]Chi NSĐP 2021-2030'!H11+'[16]Chi NSĐP 2021-2030'!H133)*30%,-3)</f>
        <v>721000</v>
      </c>
      <c r="P178" s="3555"/>
      <c r="Q178" s="3557"/>
      <c r="R178" s="3557"/>
      <c r="S178" s="3555">
        <f>ROUND(('[16]Chi NSĐP 2021-2030'!L11+'[16]Chi NSĐP 2021-2030'!L133)*30%,-3)</f>
        <v>837000</v>
      </c>
      <c r="T178" s="3555">
        <f>ROUND(T167*20%,-3)</f>
        <v>1078000</v>
      </c>
      <c r="U178" s="3558"/>
      <c r="V178" s="3558">
        <f>ROUND(V167*20%,-3)</f>
        <v>1147000</v>
      </c>
      <c r="W178" s="3558"/>
      <c r="X178" s="3558">
        <f>ROUND(X167*20%,-3)</f>
        <v>1419000</v>
      </c>
      <c r="Y178" s="3558"/>
      <c r="Z178" s="3558">
        <f>ROUND(Z167*20%,-3)</f>
        <v>1401000</v>
      </c>
      <c r="AA178" s="3558">
        <f t="shared" si="155"/>
        <v>5882000</v>
      </c>
      <c r="AB178" s="3558"/>
      <c r="AC178" s="3559"/>
      <c r="AD178" s="3559"/>
      <c r="AE178" s="3560"/>
      <c r="AF178" s="3561">
        <f>ROUND(AF167*20%,-3)</f>
        <v>1215000</v>
      </c>
      <c r="AG178" s="3561"/>
      <c r="AH178" s="3561">
        <f>ROUND(AH167*20%,-3)</f>
        <v>1373000</v>
      </c>
      <c r="AI178" s="3561"/>
      <c r="AJ178" s="3561"/>
      <c r="AK178" s="3561"/>
      <c r="AL178" s="3561"/>
      <c r="AM178" s="3561"/>
      <c r="AN178" s="3561"/>
      <c r="AO178" s="3558">
        <f>ROUND(AO167*20%,-3)</f>
        <v>1341000</v>
      </c>
      <c r="AP178" s="3558"/>
      <c r="AQ178" s="3558">
        <f>ROUND(AQ167*20%,-3)</f>
        <v>1622000</v>
      </c>
      <c r="AR178" s="3558">
        <f>ROUND(AR167*20%,-3)</f>
        <v>1826000</v>
      </c>
      <c r="AS178" s="3558"/>
      <c r="AT178" s="3558"/>
      <c r="AU178" s="3558"/>
      <c r="AV178" s="3555">
        <f t="shared" ref="AV178:AV179" si="165">SUM(AF178:AR178)</f>
        <v>7377000</v>
      </c>
      <c r="AW178" s="3557"/>
      <c r="AX178" s="3557"/>
      <c r="AY178" s="3557"/>
      <c r="AZ178" s="3558"/>
      <c r="BA178" s="3558"/>
      <c r="BB178" s="3558"/>
      <c r="BC178" s="3558"/>
      <c r="BD178" s="3558"/>
      <c r="BE178" s="3531"/>
      <c r="BF178" s="3531"/>
      <c r="BG178" s="3531"/>
      <c r="BH178" s="3531"/>
      <c r="BI178" s="3531"/>
      <c r="BJ178" s="3531"/>
      <c r="BK178" s="3531"/>
    </row>
    <row r="179" spans="1:63" s="3053" customFormat="1">
      <c r="A179" s="3527">
        <v>18</v>
      </c>
      <c r="B179" s="3528" t="s">
        <v>2022</v>
      </c>
      <c r="C179" s="185"/>
      <c r="D179" s="185"/>
      <c r="E179" s="185"/>
      <c r="F179" s="185"/>
      <c r="G179" s="185"/>
      <c r="H179" s="185">
        <v>720694.66666666709</v>
      </c>
      <c r="I179" s="185"/>
      <c r="J179" s="3505"/>
      <c r="K179" s="185">
        <v>672807.91666666709</v>
      </c>
      <c r="L179" s="185">
        <v>850600.91666666686</v>
      </c>
      <c r="M179" s="185">
        <v>880028.91666666698</v>
      </c>
      <c r="N179" s="185">
        <v>942215.91666666709</v>
      </c>
      <c r="O179" s="185">
        <v>1061382.9166666672</v>
      </c>
      <c r="P179" s="185"/>
      <c r="Q179" s="3329"/>
      <c r="R179" s="3329"/>
      <c r="S179" s="185">
        <v>1019612.7466666669</v>
      </c>
      <c r="T179" s="185">
        <v>1011904.74666667</v>
      </c>
      <c r="U179" s="39"/>
      <c r="V179" s="39">
        <v>782191.23811367003</v>
      </c>
      <c r="W179" s="39"/>
      <c r="X179" s="39">
        <v>782191.23811367003</v>
      </c>
      <c r="Y179" s="39"/>
      <c r="Z179" s="39">
        <v>638715.73911366996</v>
      </c>
      <c r="AA179" s="39">
        <f t="shared" si="155"/>
        <v>4234615.708674347</v>
      </c>
      <c r="AB179" s="39"/>
      <c r="AC179" s="3529"/>
      <c r="AD179" s="3529"/>
      <c r="AE179" s="3345"/>
      <c r="AF179" s="147">
        <v>638715.73911366996</v>
      </c>
      <c r="AG179" s="147"/>
      <c r="AH179" s="147">
        <v>527199.90711366991</v>
      </c>
      <c r="AI179" s="147"/>
      <c r="AJ179" s="147"/>
      <c r="AK179" s="147"/>
      <c r="AL179" s="147"/>
      <c r="AM179" s="147"/>
      <c r="AN179" s="147"/>
      <c r="AO179" s="39">
        <v>232384.00133466991</v>
      </c>
      <c r="AP179" s="39"/>
      <c r="AQ179" s="39">
        <v>189722.6680026699</v>
      </c>
      <c r="AR179" s="39">
        <v>219407.33467066995</v>
      </c>
      <c r="AS179" s="39"/>
      <c r="AT179" s="39"/>
      <c r="AU179" s="39"/>
      <c r="AV179" s="185">
        <f t="shared" si="165"/>
        <v>1807429.6502353495</v>
      </c>
      <c r="AW179" s="3329"/>
      <c r="AX179" s="3329"/>
      <c r="AY179" s="3329"/>
      <c r="AZ179" s="39"/>
      <c r="BA179" s="39"/>
      <c r="BB179" s="39"/>
      <c r="BC179" s="39"/>
      <c r="BD179" s="39"/>
      <c r="BE179" s="3531"/>
      <c r="BF179" s="3531"/>
      <c r="BG179" s="3531"/>
      <c r="BH179" s="3531"/>
      <c r="BI179" s="3531"/>
      <c r="BJ179" s="3531"/>
      <c r="BK179" s="3531"/>
    </row>
    <row r="180" spans="1:63" ht="31.2">
      <c r="A180" s="3234" t="s">
        <v>29</v>
      </c>
      <c r="B180" s="2854" t="s">
        <v>2023</v>
      </c>
      <c r="C180" s="3503" t="e">
        <f t="shared" ref="C180:O180" si="166">C179/C178</f>
        <v>#DIV/0!</v>
      </c>
      <c r="D180" s="3503" t="e">
        <f t="shared" si="166"/>
        <v>#DIV/0!</v>
      </c>
      <c r="E180" s="3503" t="e">
        <f t="shared" si="166"/>
        <v>#DIV/0!</v>
      </c>
      <c r="F180" s="3503" t="e">
        <f t="shared" si="166"/>
        <v>#DIV/0!</v>
      </c>
      <c r="G180" s="3503" t="e">
        <f t="shared" si="166"/>
        <v>#DIV/0!</v>
      </c>
      <c r="H180" s="3441">
        <f>H179/H178</f>
        <v>1.9065996472663151</v>
      </c>
      <c r="I180" s="3468"/>
      <c r="J180" s="3468"/>
      <c r="K180" s="3441">
        <f t="shared" si="166"/>
        <v>1.2367792585784321</v>
      </c>
      <c r="L180" s="3441">
        <f t="shared" si="166"/>
        <v>1.4392570501974058</v>
      </c>
      <c r="M180" s="3441">
        <f t="shared" si="166"/>
        <v>1.4691634668892604</v>
      </c>
      <c r="N180" s="3441">
        <f t="shared" si="166"/>
        <v>1.2647193512304256</v>
      </c>
      <c r="O180" s="3441">
        <f t="shared" si="166"/>
        <v>1.4720983587609808</v>
      </c>
      <c r="P180" s="3441"/>
      <c r="Q180" s="3441"/>
      <c r="R180" s="3441"/>
      <c r="S180" s="3441">
        <f>S179/S178</f>
        <v>1.218175324571884</v>
      </c>
      <c r="T180" s="3441">
        <f>T179/T178</f>
        <v>0.9386871490414378</v>
      </c>
      <c r="U180" s="3538"/>
      <c r="V180" s="3538">
        <f>V179/V178</f>
        <v>0.68194528170328683</v>
      </c>
      <c r="W180" s="3538"/>
      <c r="X180" s="3538">
        <f>X179/X178</f>
        <v>0.55122708817031008</v>
      </c>
      <c r="Y180" s="3538"/>
      <c r="Z180" s="3538">
        <f>Z179/Z178</f>
        <v>0.45589988516321911</v>
      </c>
      <c r="AA180" s="3538">
        <f t="shared" si="155"/>
        <v>3.8459347286501377</v>
      </c>
      <c r="AB180" s="3538"/>
      <c r="AC180" s="3538"/>
      <c r="AD180" s="3538"/>
      <c r="AE180" s="3539"/>
      <c r="AF180" s="3540">
        <f>AF179/AF178</f>
        <v>0.52569196634869952</v>
      </c>
      <c r="AG180" s="3540"/>
      <c r="AH180" s="3540">
        <f>AH179/AH178</f>
        <v>0.38397662572008007</v>
      </c>
      <c r="AI180" s="3540"/>
      <c r="AJ180" s="3540"/>
      <c r="AK180" s="3540"/>
      <c r="AL180" s="3540"/>
      <c r="AM180" s="3540"/>
      <c r="AN180" s="3540"/>
      <c r="AO180" s="3538">
        <f>AO179/AO178</f>
        <v>0.17329157444792687</v>
      </c>
      <c r="AP180" s="3538"/>
      <c r="AQ180" s="3538">
        <f>AQ179/AQ178</f>
        <v>0.11696835265269415</v>
      </c>
      <c r="AR180" s="3538">
        <f>AR179/AR178</f>
        <v>0.12015735743191125</v>
      </c>
      <c r="AS180" s="3538"/>
      <c r="AT180" s="3538"/>
      <c r="AU180" s="3538"/>
      <c r="AV180" s="3441">
        <f>SUM(AH180:AR180)</f>
        <v>0.7943939102526123</v>
      </c>
      <c r="AW180" s="3441"/>
      <c r="AX180" s="3441"/>
      <c r="AY180" s="3441"/>
      <c r="AZ180" s="3538"/>
      <c r="BA180" s="3538"/>
      <c r="BB180" s="3538"/>
      <c r="BC180" s="3538"/>
      <c r="BD180" s="3538"/>
      <c r="BE180" s="3541"/>
      <c r="BF180" s="3541"/>
      <c r="BG180" s="3541"/>
      <c r="BH180" s="3541"/>
      <c r="BI180" s="3541"/>
      <c r="BJ180" s="3541"/>
      <c r="BK180" s="3541"/>
    </row>
    <row r="181" spans="1:63">
      <c r="A181" s="3234" t="s">
        <v>29</v>
      </c>
      <c r="B181" s="2854" t="s">
        <v>2024</v>
      </c>
      <c r="C181" s="3503" t="e">
        <f>C179/C56</f>
        <v>#DIV/0!</v>
      </c>
      <c r="D181" s="3503">
        <f>D179/D56</f>
        <v>0</v>
      </c>
      <c r="E181" s="3503">
        <f>E179/E56</f>
        <v>0</v>
      </c>
      <c r="F181" s="3503">
        <f>F179/F56</f>
        <v>0</v>
      </c>
      <c r="G181" s="3503">
        <f>G179/G56</f>
        <v>0</v>
      </c>
      <c r="H181" s="3441"/>
      <c r="I181" s="3468"/>
      <c r="J181" s="3468"/>
      <c r="K181" s="3441">
        <f>K179/K56</f>
        <v>1.6133321743439732E-2</v>
      </c>
      <c r="L181" s="3441">
        <f>L179/L56</f>
        <v>1.9319983570687687E-2</v>
      </c>
      <c r="M181" s="3441">
        <f>M179/M56</f>
        <v>1.8214026754422283E-2</v>
      </c>
      <c r="N181" s="3441">
        <f>N179/N56</f>
        <v>1.7620734527727916E-2</v>
      </c>
      <c r="O181" s="3441">
        <f>O179/O56</f>
        <v>1.855293348933152E-2</v>
      </c>
      <c r="P181" s="3441"/>
      <c r="Q181" s="3441"/>
      <c r="R181" s="3441"/>
      <c r="S181" s="3441">
        <f>S179/S56</f>
        <v>1.6386934509230656E-2</v>
      </c>
      <c r="T181" s="3441">
        <f>T179/T56</f>
        <v>1.4818068197860889E-2</v>
      </c>
      <c r="U181" s="3538"/>
      <c r="V181" s="3538">
        <f>V179/V56</f>
        <v>1.0308825915609414E-2</v>
      </c>
      <c r="W181" s="3538"/>
      <c r="X181" s="3538">
        <f>X179/X56</f>
        <v>9.506109866116573E-3</v>
      </c>
      <c r="Y181" s="3538"/>
      <c r="Z181" s="3538">
        <f>Z179/Z56</f>
        <v>7.3776002207758583E-3</v>
      </c>
      <c r="AA181" s="3538">
        <f t="shared" si="155"/>
        <v>5.8397538709593397E-2</v>
      </c>
      <c r="AB181" s="3538"/>
      <c r="AC181" s="3538"/>
      <c r="AD181" s="3538"/>
      <c r="AE181" s="3539"/>
      <c r="AF181" s="3540">
        <f>AF179/AF56</f>
        <v>7.0666317733943142E-3</v>
      </c>
      <c r="AG181" s="3540"/>
      <c r="AH181" s="3540">
        <f>AH179/AH56</f>
        <v>5.451253657452514E-3</v>
      </c>
      <c r="AI181" s="3540"/>
      <c r="AJ181" s="3540"/>
      <c r="AK181" s="3540"/>
      <c r="AL181" s="3540"/>
      <c r="AM181" s="3540"/>
      <c r="AN181" s="3540"/>
      <c r="AO181" s="3538">
        <f>AO179/AO56</f>
        <v>2.24565746812877E-3</v>
      </c>
      <c r="AP181" s="3538"/>
      <c r="AQ181" s="3538">
        <f>AQ179/AQ56</f>
        <v>1.7134551216007406E-3</v>
      </c>
      <c r="AR181" s="3538">
        <f>AR179/AR56</f>
        <v>1.851914255007369E-3</v>
      </c>
      <c r="AS181" s="3538"/>
      <c r="AT181" s="3538"/>
      <c r="AU181" s="3538"/>
      <c r="AV181" s="3441">
        <f t="shared" ref="AV181:AV190" si="167">SUM(AH181:AR181)</f>
        <v>1.1262280502189394E-2</v>
      </c>
      <c r="AW181" s="3441"/>
      <c r="AX181" s="3441"/>
      <c r="AY181" s="3441"/>
      <c r="AZ181" s="3538"/>
      <c r="BA181" s="3538"/>
      <c r="BB181" s="3538"/>
      <c r="BC181" s="3538"/>
      <c r="BD181" s="3538"/>
      <c r="BE181" s="3541"/>
      <c r="BF181" s="3541"/>
      <c r="BG181" s="3541"/>
      <c r="BH181" s="3541"/>
      <c r="BI181" s="3541"/>
      <c r="BJ181" s="3541"/>
      <c r="BK181" s="3541"/>
    </row>
    <row r="182" spans="1:63" s="3053" customFormat="1">
      <c r="A182" s="3527">
        <v>19</v>
      </c>
      <c r="B182" s="3528" t="s">
        <v>2025</v>
      </c>
      <c r="C182" s="185">
        <f t="shared" ref="C182:O182" si="168">SUM(C183:C184)</f>
        <v>0</v>
      </c>
      <c r="D182" s="185">
        <f t="shared" si="168"/>
        <v>0</v>
      </c>
      <c r="E182" s="185">
        <f t="shared" si="168"/>
        <v>0</v>
      </c>
      <c r="F182" s="185">
        <f t="shared" si="168"/>
        <v>0</v>
      </c>
      <c r="G182" s="185">
        <f t="shared" si="168"/>
        <v>0</v>
      </c>
      <c r="H182" s="185">
        <f t="shared" si="168"/>
        <v>77886.75</v>
      </c>
      <c r="I182" s="185"/>
      <c r="J182" s="3505"/>
      <c r="K182" s="185">
        <f t="shared" si="168"/>
        <v>22675</v>
      </c>
      <c r="L182" s="185">
        <f t="shared" si="168"/>
        <v>45572</v>
      </c>
      <c r="M182" s="185">
        <f t="shared" si="168"/>
        <v>37813</v>
      </c>
      <c r="N182" s="185">
        <f t="shared" si="168"/>
        <v>50833</v>
      </c>
      <c r="O182" s="185">
        <f t="shared" si="168"/>
        <v>81770.5</v>
      </c>
      <c r="P182" s="185"/>
      <c r="Q182" s="3329"/>
      <c r="R182" s="3329"/>
      <c r="S182" s="185">
        <f>SUM(S183:S184)</f>
        <v>92708</v>
      </c>
      <c r="T182" s="185">
        <f>SUM(T183:T184)</f>
        <v>229713.50855299999</v>
      </c>
      <c r="U182" s="39"/>
      <c r="V182" s="39">
        <f>SUM(V183:V184)</f>
        <v>143475.49900000001</v>
      </c>
      <c r="W182" s="39"/>
      <c r="X182" s="39">
        <f>SUM(X183:X184)</f>
        <v>143475.49900000001</v>
      </c>
      <c r="Y182" s="39"/>
      <c r="Z182" s="39">
        <f>SUM(Z183:Z184)</f>
        <v>126515.83200000001</v>
      </c>
      <c r="AA182" s="39">
        <f t="shared" si="155"/>
        <v>735888.33855300013</v>
      </c>
      <c r="AB182" s="39"/>
      <c r="AC182" s="3529"/>
      <c r="AD182" s="3529"/>
      <c r="AE182" s="3345"/>
      <c r="AF182" s="147">
        <f>SUM(AF183:AF184)</f>
        <v>126515.83200000001</v>
      </c>
      <c r="AG182" s="147"/>
      <c r="AH182" s="147">
        <f>SUM(AH183:AH184)</f>
        <v>325715.90577900002</v>
      </c>
      <c r="AI182" s="147"/>
      <c r="AJ182" s="147"/>
      <c r="AK182" s="147"/>
      <c r="AL182" s="147"/>
      <c r="AM182" s="147"/>
      <c r="AN182" s="147"/>
      <c r="AO182" s="39">
        <f>SUM(AO183:AO184)</f>
        <v>72661.333331999995</v>
      </c>
      <c r="AP182" s="39"/>
      <c r="AQ182" s="39">
        <f>SUM(AQ183:AQ184)</f>
        <v>66411.333331999995</v>
      </c>
      <c r="AR182" s="39">
        <f>SUM(AR183:AR184)</f>
        <v>64520.333332000009</v>
      </c>
      <c r="AS182" s="39"/>
      <c r="AT182" s="39"/>
      <c r="AU182" s="39"/>
      <c r="AV182" s="185">
        <f>SUM(AF182:AR182)</f>
        <v>655824.73777500005</v>
      </c>
      <c r="AW182" s="3329"/>
      <c r="AX182" s="3329"/>
      <c r="AY182" s="3329"/>
      <c r="AZ182" s="39"/>
      <c r="BA182" s="39"/>
      <c r="BB182" s="39"/>
      <c r="BC182" s="39"/>
      <c r="BD182" s="39"/>
      <c r="BE182" s="3531"/>
      <c r="BF182" s="3531"/>
      <c r="BG182" s="3531"/>
      <c r="BH182" s="3531"/>
      <c r="BI182" s="3531"/>
      <c r="BJ182" s="3531"/>
      <c r="BK182" s="3531"/>
    </row>
    <row r="183" spans="1:63">
      <c r="A183" s="3234" t="s">
        <v>29</v>
      </c>
      <c r="B183" s="2854" t="s">
        <v>2026</v>
      </c>
      <c r="C183" s="779"/>
      <c r="D183" s="779"/>
      <c r="E183" s="779"/>
      <c r="F183" s="779"/>
      <c r="G183" s="779"/>
      <c r="H183" s="779"/>
      <c r="I183" s="779"/>
      <c r="J183" s="3468"/>
      <c r="K183" s="779"/>
      <c r="L183" s="779"/>
      <c r="M183" s="779"/>
      <c r="N183" s="779"/>
      <c r="O183" s="779"/>
      <c r="P183" s="779"/>
      <c r="Q183" s="3441"/>
      <c r="R183" s="3441"/>
      <c r="S183" s="779"/>
      <c r="T183" s="779"/>
      <c r="U183" s="37"/>
      <c r="V183" s="37"/>
      <c r="W183" s="37"/>
      <c r="X183" s="37"/>
      <c r="Y183" s="37"/>
      <c r="Z183" s="37"/>
      <c r="AA183" s="39">
        <f t="shared" si="155"/>
        <v>0</v>
      </c>
      <c r="AB183" s="37"/>
      <c r="AC183" s="3538"/>
      <c r="AD183" s="3538"/>
      <c r="AE183" s="3539"/>
      <c r="AF183" s="152"/>
      <c r="AG183" s="152"/>
      <c r="AH183" s="152"/>
      <c r="AI183" s="152"/>
      <c r="AJ183" s="152"/>
      <c r="AK183" s="152"/>
      <c r="AL183" s="152"/>
      <c r="AM183" s="152"/>
      <c r="AN183" s="152"/>
      <c r="AO183" s="37"/>
      <c r="AP183" s="37"/>
      <c r="AQ183" s="37"/>
      <c r="AR183" s="37"/>
      <c r="AS183" s="37"/>
      <c r="AT183" s="37"/>
      <c r="AU183" s="37"/>
      <c r="AV183" s="779">
        <f t="shared" si="167"/>
        <v>0</v>
      </c>
      <c r="AW183" s="3441"/>
      <c r="AX183" s="3441"/>
      <c r="AY183" s="3441"/>
      <c r="AZ183" s="37"/>
      <c r="BA183" s="37"/>
      <c r="BB183" s="37"/>
      <c r="BC183" s="37"/>
      <c r="BD183" s="37"/>
      <c r="BE183" s="3562"/>
      <c r="BF183" s="3562"/>
      <c r="BG183" s="3562"/>
      <c r="BH183" s="3562"/>
      <c r="BI183" s="3562"/>
      <c r="BJ183" s="3562"/>
      <c r="BK183" s="3562"/>
    </row>
    <row r="184" spans="1:63" ht="31.2">
      <c r="A184" s="3234" t="s">
        <v>29</v>
      </c>
      <c r="B184" s="2854" t="s">
        <v>2027</v>
      </c>
      <c r="C184" s="779"/>
      <c r="D184" s="779"/>
      <c r="E184" s="779"/>
      <c r="F184" s="779"/>
      <c r="G184" s="779"/>
      <c r="H184" s="779">
        <v>77886.75</v>
      </c>
      <c r="I184" s="779"/>
      <c r="J184" s="3468"/>
      <c r="K184" s="779">
        <v>22675</v>
      </c>
      <c r="L184" s="779">
        <v>45572</v>
      </c>
      <c r="M184" s="779">
        <v>37813</v>
      </c>
      <c r="N184" s="779">
        <v>50833</v>
      </c>
      <c r="O184" s="779">
        <v>81770.5</v>
      </c>
      <c r="P184" s="779"/>
      <c r="Q184" s="3441"/>
      <c r="R184" s="3441"/>
      <c r="S184" s="779">
        <v>92708</v>
      </c>
      <c r="T184" s="779">
        <v>229713.50855299999</v>
      </c>
      <c r="U184" s="37"/>
      <c r="V184" s="37">
        <v>143475.49900000001</v>
      </c>
      <c r="W184" s="37"/>
      <c r="X184" s="37">
        <v>143475.49900000001</v>
      </c>
      <c r="Y184" s="37"/>
      <c r="Z184" s="37">
        <v>126515.83200000001</v>
      </c>
      <c r="AA184" s="39">
        <f t="shared" si="155"/>
        <v>735888.33855300013</v>
      </c>
      <c r="AB184" s="37"/>
      <c r="AC184" s="3538"/>
      <c r="AD184" s="3538"/>
      <c r="AE184" s="3539"/>
      <c r="AF184" s="152">
        <v>126515.83200000001</v>
      </c>
      <c r="AG184" s="152"/>
      <c r="AH184" s="152">
        <v>325715.90577900002</v>
      </c>
      <c r="AI184" s="152"/>
      <c r="AJ184" s="152"/>
      <c r="AK184" s="152"/>
      <c r="AL184" s="152"/>
      <c r="AM184" s="152"/>
      <c r="AN184" s="152"/>
      <c r="AO184" s="37">
        <v>72661.333331999995</v>
      </c>
      <c r="AP184" s="37"/>
      <c r="AQ184" s="37">
        <v>66411.333331999995</v>
      </c>
      <c r="AR184" s="37">
        <v>64520.333332000009</v>
      </c>
      <c r="AS184" s="37"/>
      <c r="AT184" s="37"/>
      <c r="AU184" s="37"/>
      <c r="AV184" s="779">
        <f>SUM(AH184:AR184)</f>
        <v>529308.90577500011</v>
      </c>
      <c r="AW184" s="3441"/>
      <c r="AX184" s="3441"/>
      <c r="AY184" s="3441"/>
      <c r="AZ184" s="37"/>
      <c r="BA184" s="37"/>
      <c r="BB184" s="37"/>
      <c r="BC184" s="37"/>
      <c r="BD184" s="37"/>
      <c r="BE184" s="3562"/>
      <c r="BF184" s="3562"/>
      <c r="BG184" s="3562"/>
      <c r="BH184" s="3562"/>
      <c r="BI184" s="3562"/>
      <c r="BJ184" s="3562"/>
      <c r="BK184" s="3562"/>
    </row>
    <row r="185" spans="1:63" s="3053" customFormat="1">
      <c r="A185" s="3527">
        <v>20</v>
      </c>
      <c r="B185" s="2856" t="s">
        <v>2028</v>
      </c>
      <c r="C185" s="185"/>
      <c r="D185" s="185"/>
      <c r="E185" s="185"/>
      <c r="F185" s="185"/>
      <c r="G185" s="185"/>
      <c r="H185" s="185">
        <v>30000</v>
      </c>
      <c r="I185" s="185"/>
      <c r="J185" s="3505"/>
      <c r="K185" s="185">
        <v>200468</v>
      </c>
      <c r="L185" s="185">
        <v>75000</v>
      </c>
      <c r="M185" s="185">
        <v>100000</v>
      </c>
      <c r="N185" s="185">
        <v>170000</v>
      </c>
      <c r="O185" s="185">
        <v>40000</v>
      </c>
      <c r="P185" s="185"/>
      <c r="Q185" s="3329"/>
      <c r="R185" s="3329"/>
      <c r="S185" s="185">
        <v>85000</v>
      </c>
      <c r="T185" s="185">
        <v>0</v>
      </c>
      <c r="U185" s="39"/>
      <c r="V185" s="39">
        <v>0</v>
      </c>
      <c r="W185" s="39"/>
      <c r="X185" s="39">
        <v>0</v>
      </c>
      <c r="Y185" s="39"/>
      <c r="Z185" s="39">
        <f>Z177</f>
        <v>20568</v>
      </c>
      <c r="AA185" s="39">
        <f t="shared" si="155"/>
        <v>105568</v>
      </c>
      <c r="AB185" s="39"/>
      <c r="AC185" s="3529"/>
      <c r="AD185" s="3529"/>
      <c r="AE185" s="3345"/>
      <c r="AF185" s="147">
        <f>AF177</f>
        <v>46500</v>
      </c>
      <c r="AG185" s="147"/>
      <c r="AH185" s="147">
        <f>AH177</f>
        <v>25250.01813</v>
      </c>
      <c r="AI185" s="147"/>
      <c r="AJ185" s="147"/>
      <c r="AK185" s="147"/>
      <c r="AL185" s="147"/>
      <c r="AM185" s="147"/>
      <c r="AN185" s="147"/>
      <c r="AO185" s="39">
        <f>AO177</f>
        <v>31500</v>
      </c>
      <c r="AP185" s="39"/>
      <c r="AQ185" s="39">
        <f>AQ177</f>
        <v>19694</v>
      </c>
      <c r="AR185" s="39">
        <f>AR177</f>
        <v>0</v>
      </c>
      <c r="AS185" s="39"/>
      <c r="AT185" s="39"/>
      <c r="AU185" s="39"/>
      <c r="AV185" s="185">
        <f>SUM(AF185:AR185)</f>
        <v>122944.01813</v>
      </c>
      <c r="AW185" s="3329"/>
      <c r="AX185" s="3329"/>
      <c r="AY185" s="3329"/>
      <c r="AZ185" s="39"/>
      <c r="BA185" s="39"/>
      <c r="BB185" s="39"/>
      <c r="BC185" s="39"/>
      <c r="BD185" s="39"/>
      <c r="BE185" s="3531"/>
      <c r="BF185" s="3531"/>
      <c r="BG185" s="3531"/>
      <c r="BH185" s="3531"/>
      <c r="BI185" s="3531"/>
      <c r="BJ185" s="3531"/>
      <c r="BK185" s="3531"/>
    </row>
    <row r="186" spans="1:63">
      <c r="A186" s="3234" t="s">
        <v>29</v>
      </c>
      <c r="B186" s="2854" t="s">
        <v>2029</v>
      </c>
      <c r="C186" s="779"/>
      <c r="D186" s="779"/>
      <c r="E186" s="779"/>
      <c r="F186" s="779"/>
      <c r="G186" s="779"/>
      <c r="H186" s="779"/>
      <c r="I186" s="779"/>
      <c r="J186" s="3468"/>
      <c r="K186" s="779"/>
      <c r="L186" s="779"/>
      <c r="M186" s="779"/>
      <c r="N186" s="779"/>
      <c r="O186" s="779"/>
      <c r="P186" s="779"/>
      <c r="Q186" s="3441"/>
      <c r="R186" s="3441"/>
      <c r="S186" s="779"/>
      <c r="T186" s="779"/>
      <c r="U186" s="37"/>
      <c r="V186" s="37"/>
      <c r="W186" s="37"/>
      <c r="X186" s="37"/>
      <c r="Y186" s="37"/>
      <c r="Z186" s="37"/>
      <c r="AA186" s="39">
        <f t="shared" si="155"/>
        <v>0</v>
      </c>
      <c r="AB186" s="37"/>
      <c r="AC186" s="3538"/>
      <c r="AD186" s="3538"/>
      <c r="AE186" s="3539"/>
      <c r="AF186" s="152"/>
      <c r="AG186" s="152"/>
      <c r="AH186" s="152"/>
      <c r="AI186" s="152"/>
      <c r="AJ186" s="152"/>
      <c r="AK186" s="152"/>
      <c r="AL186" s="152"/>
      <c r="AM186" s="152"/>
      <c r="AN186" s="152"/>
      <c r="AO186" s="37"/>
      <c r="AP186" s="37"/>
      <c r="AQ186" s="37"/>
      <c r="AR186" s="37"/>
      <c r="AS186" s="37"/>
      <c r="AT186" s="37"/>
      <c r="AU186" s="37"/>
      <c r="AV186" s="779">
        <f>SUM(AF186:AR186)</f>
        <v>0</v>
      </c>
      <c r="AW186" s="3441"/>
      <c r="AX186" s="3441"/>
      <c r="AY186" s="3441"/>
      <c r="AZ186" s="37"/>
      <c r="BA186" s="37"/>
      <c r="BB186" s="37"/>
      <c r="BC186" s="37"/>
      <c r="BD186" s="37"/>
      <c r="BE186" s="3562"/>
      <c r="BF186" s="3562"/>
      <c r="BG186" s="3562"/>
      <c r="BH186" s="3562"/>
      <c r="BI186" s="3562"/>
      <c r="BJ186" s="3562"/>
      <c r="BK186" s="3562"/>
    </row>
    <row r="187" spans="1:63">
      <c r="A187" s="3234" t="s">
        <v>29</v>
      </c>
      <c r="B187" s="2854" t="s">
        <v>2030</v>
      </c>
      <c r="C187" s="779"/>
      <c r="D187" s="779"/>
      <c r="E187" s="779"/>
      <c r="F187" s="779"/>
      <c r="G187" s="779"/>
      <c r="H187" s="779"/>
      <c r="I187" s="779"/>
      <c r="J187" s="3468"/>
      <c r="K187" s="779"/>
      <c r="L187" s="779"/>
      <c r="M187" s="779"/>
      <c r="N187" s="779"/>
      <c r="O187" s="779"/>
      <c r="P187" s="779"/>
      <c r="Q187" s="3441"/>
      <c r="R187" s="3441"/>
      <c r="S187" s="779"/>
      <c r="T187" s="779"/>
      <c r="U187" s="37"/>
      <c r="V187" s="37"/>
      <c r="W187" s="37"/>
      <c r="X187" s="37"/>
      <c r="Y187" s="37"/>
      <c r="Z187" s="37"/>
      <c r="AA187" s="39">
        <f t="shared" si="155"/>
        <v>0</v>
      </c>
      <c r="AB187" s="37"/>
      <c r="AC187" s="3538"/>
      <c r="AD187" s="3538"/>
      <c r="AE187" s="3539"/>
      <c r="AF187" s="152"/>
      <c r="AG187" s="152"/>
      <c r="AH187" s="152"/>
      <c r="AI187" s="152"/>
      <c r="AJ187" s="152"/>
      <c r="AK187" s="152"/>
      <c r="AL187" s="152"/>
      <c r="AM187" s="152"/>
      <c r="AN187" s="152"/>
      <c r="AO187" s="37"/>
      <c r="AP187" s="37"/>
      <c r="AQ187" s="37"/>
      <c r="AR187" s="37"/>
      <c r="AS187" s="37"/>
      <c r="AT187" s="37"/>
      <c r="AU187" s="37"/>
      <c r="AV187" s="779">
        <f>SUM(AF187:AR187)</f>
        <v>0</v>
      </c>
      <c r="AW187" s="3441"/>
      <c r="AX187" s="3441"/>
      <c r="AY187" s="3441"/>
      <c r="AZ187" s="37"/>
      <c r="BA187" s="37"/>
      <c r="BB187" s="37"/>
      <c r="BC187" s="37"/>
      <c r="BD187" s="37"/>
      <c r="BE187" s="3562"/>
      <c r="BF187" s="3562"/>
      <c r="BG187" s="3562"/>
      <c r="BH187" s="3562"/>
      <c r="BI187" s="3562"/>
      <c r="BJ187" s="3562"/>
      <c r="BK187" s="3562"/>
    </row>
    <row r="188" spans="1:63" s="3053" customFormat="1">
      <c r="A188" s="3527">
        <v>21</v>
      </c>
      <c r="B188" s="2856" t="s">
        <v>2031</v>
      </c>
      <c r="C188" s="185">
        <f t="shared" ref="C188:O188" si="169">C179+C185-C182</f>
        <v>0</v>
      </c>
      <c r="D188" s="185">
        <f t="shared" si="169"/>
        <v>0</v>
      </c>
      <c r="E188" s="185">
        <f t="shared" si="169"/>
        <v>0</v>
      </c>
      <c r="F188" s="185">
        <f t="shared" si="169"/>
        <v>0</v>
      </c>
      <c r="G188" s="185">
        <f t="shared" si="169"/>
        <v>0</v>
      </c>
      <c r="H188" s="185">
        <f t="shared" si="169"/>
        <v>672807.91666666709</v>
      </c>
      <c r="I188" s="185"/>
      <c r="J188" s="3505"/>
      <c r="K188" s="185">
        <f t="shared" si="169"/>
        <v>850600.91666666709</v>
      </c>
      <c r="L188" s="185">
        <f t="shared" si="169"/>
        <v>880028.91666666686</v>
      </c>
      <c r="M188" s="185">
        <f t="shared" si="169"/>
        <v>942215.91666666698</v>
      </c>
      <c r="N188" s="185">
        <f t="shared" si="169"/>
        <v>1061382.916666667</v>
      </c>
      <c r="O188" s="185">
        <f t="shared" si="169"/>
        <v>1019612.4166666672</v>
      </c>
      <c r="P188" s="185"/>
      <c r="Q188" s="3329"/>
      <c r="R188" s="3329"/>
      <c r="S188" s="185">
        <f>S179+S185-S182</f>
        <v>1011904.7466666671</v>
      </c>
      <c r="T188" s="185">
        <f>T179+T185-T182</f>
        <v>782191.23811366991</v>
      </c>
      <c r="U188" s="39"/>
      <c r="V188" s="39">
        <f>V179+V185-V182</f>
        <v>638715.73911367008</v>
      </c>
      <c r="W188" s="39"/>
      <c r="X188" s="39">
        <f>X179+X185-X182</f>
        <v>638715.73911367008</v>
      </c>
      <c r="Y188" s="39"/>
      <c r="Z188" s="39">
        <f>Z179+Z185-Z182</f>
        <v>532767.90711366991</v>
      </c>
      <c r="AA188" s="39">
        <f t="shared" si="155"/>
        <v>3604295.3701213473</v>
      </c>
      <c r="AB188" s="39"/>
      <c r="AC188" s="3529"/>
      <c r="AD188" s="3529"/>
      <c r="AE188" s="3345"/>
      <c r="AF188" s="147">
        <f>AF179+AF185-AF182</f>
        <v>558699.90711366991</v>
      </c>
      <c r="AG188" s="147"/>
      <c r="AH188" s="147">
        <f>AH179+AH185-AH182</f>
        <v>226734.01946466987</v>
      </c>
      <c r="AI188" s="147"/>
      <c r="AJ188" s="147"/>
      <c r="AK188" s="147"/>
      <c r="AL188" s="147"/>
      <c r="AM188" s="147"/>
      <c r="AN188" s="147"/>
      <c r="AO188" s="39">
        <f>AO179+AO185-AO182</f>
        <v>191222.66800266987</v>
      </c>
      <c r="AP188" s="39"/>
      <c r="AQ188" s="39">
        <f>AQ179+AQ185-AQ182</f>
        <v>143005.33467066992</v>
      </c>
      <c r="AR188" s="39">
        <f>AR179+AR185-AR182</f>
        <v>154887.00133866994</v>
      </c>
      <c r="AS188" s="39"/>
      <c r="AT188" s="39"/>
      <c r="AU188" s="39"/>
      <c r="AV188" s="185">
        <f>SUM(AF188:AR188)</f>
        <v>1274548.9305903495</v>
      </c>
      <c r="AW188" s="3329"/>
      <c r="AX188" s="3329"/>
      <c r="AY188" s="3329"/>
      <c r="AZ188" s="39"/>
      <c r="BA188" s="39"/>
      <c r="BB188" s="39"/>
      <c r="BC188" s="39"/>
      <c r="BD188" s="39"/>
      <c r="BE188" s="3531"/>
      <c r="BF188" s="3531"/>
      <c r="BG188" s="3531"/>
      <c r="BH188" s="3531"/>
      <c r="BI188" s="3531"/>
      <c r="BJ188" s="3531"/>
      <c r="BK188" s="3531"/>
    </row>
    <row r="189" spans="1:63" ht="31.2">
      <c r="A189" s="3234" t="s">
        <v>29</v>
      </c>
      <c r="B189" s="2854" t="s">
        <v>2032</v>
      </c>
      <c r="C189" s="3503" t="e">
        <f t="shared" ref="C189:O189" si="170">C188/C178</f>
        <v>#DIV/0!</v>
      </c>
      <c r="D189" s="3503" t="e">
        <f t="shared" si="170"/>
        <v>#DIV/0!</v>
      </c>
      <c r="E189" s="3503" t="e">
        <f t="shared" si="170"/>
        <v>#DIV/0!</v>
      </c>
      <c r="F189" s="3503" t="e">
        <f t="shared" si="170"/>
        <v>#DIV/0!</v>
      </c>
      <c r="G189" s="3503" t="e">
        <f t="shared" si="170"/>
        <v>#DIV/0!</v>
      </c>
      <c r="H189" s="3441">
        <f t="shared" si="170"/>
        <v>1.7799151234567911</v>
      </c>
      <c r="I189" s="3468"/>
      <c r="J189" s="3468"/>
      <c r="K189" s="3441">
        <f t="shared" si="170"/>
        <v>1.563604626225491</v>
      </c>
      <c r="L189" s="3441">
        <f t="shared" si="170"/>
        <v>1.4890506204173719</v>
      </c>
      <c r="M189" s="3441">
        <f t="shared" si="170"/>
        <v>1.5729814969393439</v>
      </c>
      <c r="N189" s="3441">
        <f t="shared" si="170"/>
        <v>1.424675055928412</v>
      </c>
      <c r="O189" s="3441">
        <f t="shared" si="170"/>
        <v>1.4141642394822014</v>
      </c>
      <c r="P189" s="3441"/>
      <c r="Q189" s="3441"/>
      <c r="R189" s="3441"/>
      <c r="S189" s="3441">
        <f>S188/S178</f>
        <v>1.2089662445240945</v>
      </c>
      <c r="T189" s="3441">
        <f>T188/T178</f>
        <v>0.72559484055071422</v>
      </c>
      <c r="U189" s="3538"/>
      <c r="V189" s="3538">
        <f>V188/V178</f>
        <v>0.55685766269718406</v>
      </c>
      <c r="W189" s="3538"/>
      <c r="X189" s="3538">
        <f>X188/X178</f>
        <v>0.45011679993916143</v>
      </c>
      <c r="Y189" s="3538"/>
      <c r="Z189" s="3538">
        <f>Z188/Z178</f>
        <v>0.38027687873923621</v>
      </c>
      <c r="AA189" s="3538">
        <f t="shared" si="155"/>
        <v>3.3218124264503905</v>
      </c>
      <c r="AB189" s="3538"/>
      <c r="AC189" s="3538"/>
      <c r="AD189" s="3538"/>
      <c r="AE189" s="3539"/>
      <c r="AF189" s="3540">
        <f>AF188/AF178</f>
        <v>0.45983531449684767</v>
      </c>
      <c r="AG189" s="3540"/>
      <c r="AH189" s="3540">
        <f>AH188/AH178</f>
        <v>0.16513766894731963</v>
      </c>
      <c r="AI189" s="3540"/>
      <c r="AJ189" s="3540"/>
      <c r="AK189" s="3540"/>
      <c r="AL189" s="3540"/>
      <c r="AM189" s="3540"/>
      <c r="AN189" s="3540"/>
      <c r="AO189" s="3538">
        <f>AO188/AO178</f>
        <v>0.14259706786179707</v>
      </c>
      <c r="AP189" s="3538"/>
      <c r="AQ189" s="3538">
        <f>AQ188/AQ178</f>
        <v>8.8166050968353837E-2</v>
      </c>
      <c r="AR189" s="3538">
        <f>AR188/AR178</f>
        <v>8.4823111357431508E-2</v>
      </c>
      <c r="AS189" s="3538"/>
      <c r="AT189" s="3538"/>
      <c r="AU189" s="3538"/>
      <c r="AV189" s="3441">
        <f t="shared" si="167"/>
        <v>0.48072389913490199</v>
      </c>
      <c r="AW189" s="3441"/>
      <c r="AX189" s="3441"/>
      <c r="AY189" s="3441"/>
      <c r="AZ189" s="3538"/>
      <c r="BA189" s="3538"/>
      <c r="BB189" s="3538"/>
      <c r="BC189" s="3538"/>
      <c r="BD189" s="3538"/>
      <c r="BE189" s="3541"/>
      <c r="BF189" s="3541"/>
      <c r="BG189" s="3541"/>
      <c r="BH189" s="3541"/>
      <c r="BI189" s="3541"/>
      <c r="BJ189" s="3541"/>
      <c r="BK189" s="3541"/>
    </row>
    <row r="190" spans="1:63">
      <c r="A190" s="3563" t="s">
        <v>29</v>
      </c>
      <c r="B190" s="3564" t="s">
        <v>2033</v>
      </c>
      <c r="C190" s="3565" t="e">
        <f>C189/C56</f>
        <v>#DIV/0!</v>
      </c>
      <c r="D190" s="3565" t="e">
        <f>D189/D56</f>
        <v>#DIV/0!</v>
      </c>
      <c r="E190" s="3565" t="e">
        <f>E189/E56</f>
        <v>#DIV/0!</v>
      </c>
      <c r="F190" s="3565" t="e">
        <f>F189/F56</f>
        <v>#DIV/0!</v>
      </c>
      <c r="G190" s="3565" t="e">
        <f>G189/G56</f>
        <v>#DIV/0!</v>
      </c>
      <c r="H190" s="3566"/>
      <c r="I190" s="3567"/>
      <c r="J190" s="3567"/>
      <c r="K190" s="3566">
        <f>K188/K56</f>
        <v>2.039663613329178E-2</v>
      </c>
      <c r="L190" s="3566">
        <f>L188/L56</f>
        <v>1.998839159303761E-2</v>
      </c>
      <c r="M190" s="3566">
        <f>M188/M56</f>
        <v>1.9501115917432466E-2</v>
      </c>
      <c r="N190" s="3566">
        <f>N188/N56</f>
        <v>1.9849321451725521E-2</v>
      </c>
      <c r="O190" s="3566">
        <f>O188/O56</f>
        <v>1.7822786719351516E-2</v>
      </c>
      <c r="P190" s="3566"/>
      <c r="Q190" s="3566"/>
      <c r="R190" s="3566"/>
      <c r="S190" s="3566">
        <f>S188/S56</f>
        <v>1.6263053661712729E-2</v>
      </c>
      <c r="T190" s="3566">
        <f>T188/T56</f>
        <v>1.1454203716622783E-2</v>
      </c>
      <c r="U190" s="3568"/>
      <c r="V190" s="3568">
        <f>V188/V56</f>
        <v>8.4179022254986715E-3</v>
      </c>
      <c r="W190" s="3568"/>
      <c r="X190" s="3568">
        <f>X188/X56</f>
        <v>7.7624264928803045E-3</v>
      </c>
      <c r="Y190" s="3568"/>
      <c r="Z190" s="3568">
        <f>Z188/Z56</f>
        <v>6.1538308647261898E-3</v>
      </c>
      <c r="AA190" s="3568">
        <f t="shared" si="155"/>
        <v>5.0051416961440678E-2</v>
      </c>
      <c r="AB190" s="3568"/>
      <c r="AC190" s="3568"/>
      <c r="AD190" s="3568"/>
      <c r="AE190" s="3569"/>
      <c r="AF190" s="3570">
        <f>AF188/AF56</f>
        <v>6.1813515365702889E-3</v>
      </c>
      <c r="AG190" s="3570"/>
      <c r="AH190" s="3570">
        <f>AH188/AH56</f>
        <v>2.3444326074382247E-3</v>
      </c>
      <c r="AI190" s="3570"/>
      <c r="AJ190" s="3570"/>
      <c r="AK190" s="3570"/>
      <c r="AL190" s="3570"/>
      <c r="AM190" s="3570"/>
      <c r="AN190" s="3570"/>
      <c r="AO190" s="3568">
        <f>AO188/AO56</f>
        <v>1.8478923248131443E-3</v>
      </c>
      <c r="AP190" s="3568"/>
      <c r="AQ190" s="3568">
        <f>AQ188/AQ56</f>
        <v>1.29153371965146E-3</v>
      </c>
      <c r="AR190" s="3568">
        <f>AR188/AR56</f>
        <v>1.3073284269414732E-3</v>
      </c>
      <c r="AS190" s="3568"/>
      <c r="AT190" s="3568"/>
      <c r="AU190" s="3568"/>
      <c r="AV190" s="3566">
        <f t="shared" si="167"/>
        <v>6.7911870788443024E-3</v>
      </c>
      <c r="AW190" s="3566"/>
      <c r="AX190" s="3566"/>
      <c r="AY190" s="3566"/>
      <c r="AZ190" s="3568"/>
      <c r="BA190" s="3568"/>
      <c r="BB190" s="3568"/>
      <c r="BC190" s="3568"/>
      <c r="BD190" s="3568"/>
      <c r="BE190" s="3541"/>
      <c r="BF190" s="3541"/>
      <c r="BG190" s="3541"/>
      <c r="BH190" s="3541"/>
      <c r="BI190" s="3541"/>
      <c r="BJ190" s="3541"/>
      <c r="BK190" s="3541"/>
    </row>
    <row r="191" spans="1:63">
      <c r="A191" s="3079"/>
      <c r="B191" s="3571"/>
      <c r="C191" s="3572"/>
      <c r="D191" s="3572"/>
      <c r="E191" s="3572"/>
      <c r="F191" s="3572"/>
      <c r="G191" s="3572"/>
      <c r="H191" s="3470"/>
      <c r="I191" s="3573"/>
      <c r="J191" s="3573"/>
      <c r="K191" s="3470"/>
      <c r="L191" s="3470"/>
      <c r="M191" s="3470"/>
      <c r="N191" s="3470"/>
      <c r="O191" s="3470"/>
      <c r="P191" s="3470"/>
      <c r="Q191" s="3470"/>
      <c r="R191" s="3470"/>
      <c r="S191" s="3470"/>
      <c r="T191" s="3470"/>
      <c r="U191" s="3541"/>
      <c r="V191" s="3541"/>
      <c r="W191" s="3574"/>
      <c r="X191" s="3574"/>
      <c r="Y191" s="3574"/>
      <c r="Z191" s="3574"/>
      <c r="AA191" s="3541"/>
      <c r="AB191" s="3541"/>
      <c r="AC191" s="3541"/>
      <c r="AD191" s="3541"/>
      <c r="AE191" s="3575"/>
      <c r="AF191" s="3576"/>
      <c r="AG191" s="3576"/>
      <c r="AH191" s="3576"/>
      <c r="AI191" s="3576"/>
      <c r="AJ191" s="3576"/>
      <c r="AK191" s="3576"/>
      <c r="AL191" s="3576"/>
      <c r="AM191" s="3576"/>
      <c r="AN191" s="3576"/>
      <c r="AO191" s="3541"/>
      <c r="AP191" s="3541"/>
      <c r="AQ191" s="3541"/>
      <c r="AR191" s="3541"/>
      <c r="AS191" s="3541"/>
      <c r="AT191" s="3541"/>
      <c r="AU191" s="3541"/>
      <c r="AV191" s="3470"/>
      <c r="AW191" s="3470"/>
      <c r="AX191" s="3470"/>
      <c r="AY191" s="3470"/>
      <c r="AZ191" s="3541"/>
      <c r="BA191" s="3541"/>
      <c r="BB191" s="3541"/>
      <c r="BC191" s="3541"/>
      <c r="BD191" s="3541"/>
      <c r="BE191" s="3541"/>
      <c r="BF191" s="3541"/>
      <c r="BG191" s="3541"/>
      <c r="BH191" s="3541"/>
      <c r="BI191" s="3541"/>
      <c r="BJ191" s="3541"/>
      <c r="BK191" s="3541"/>
    </row>
    <row r="192" spans="1:63">
      <c r="A192" s="3079"/>
      <c r="B192" s="3571"/>
      <c r="C192" s="3572"/>
      <c r="D192" s="3572"/>
      <c r="E192" s="3572"/>
      <c r="F192" s="3572"/>
      <c r="G192" s="3572"/>
      <c r="H192" s="3470"/>
      <c r="I192" s="3573"/>
      <c r="J192" s="3573"/>
      <c r="K192" s="3470"/>
      <c r="L192" s="3470"/>
      <c r="M192" s="3470"/>
      <c r="N192" s="3470"/>
      <c r="O192" s="3470"/>
      <c r="P192" s="3470"/>
      <c r="Q192" s="3470"/>
      <c r="R192" s="3470"/>
      <c r="S192" s="3470"/>
      <c r="T192" s="3470"/>
      <c r="U192" s="3541"/>
      <c r="V192" s="3541"/>
      <c r="W192" s="3541"/>
      <c r="X192" s="3541"/>
      <c r="Y192" s="3541"/>
      <c r="Z192" s="3541"/>
      <c r="AA192" s="3541"/>
      <c r="AB192" s="3541"/>
      <c r="AC192" s="3541"/>
      <c r="AD192" s="3541"/>
      <c r="AE192" s="3575"/>
      <c r="AF192" s="3577"/>
      <c r="AG192" s="3577"/>
      <c r="AH192" s="3576"/>
      <c r="AI192" s="3576"/>
      <c r="AJ192" s="3576"/>
      <c r="AK192" s="3576"/>
      <c r="AL192" s="3576"/>
      <c r="AM192" s="3576"/>
      <c r="AN192" s="3576"/>
      <c r="AO192" s="3541"/>
      <c r="AP192" s="3541"/>
      <c r="AQ192" s="3541"/>
      <c r="AR192" s="3541"/>
      <c r="AS192" s="3541"/>
      <c r="AT192" s="3541"/>
      <c r="AU192" s="3541"/>
      <c r="AV192" s="3470"/>
      <c r="AW192" s="3470"/>
      <c r="AX192" s="3470"/>
      <c r="AY192" s="3470"/>
      <c r="AZ192" s="3541"/>
      <c r="BA192" s="3541"/>
      <c r="BB192" s="3541"/>
      <c r="BC192" s="3541"/>
      <c r="BD192" s="3541"/>
      <c r="BE192" s="3541"/>
      <c r="BF192" s="3541"/>
      <c r="BG192" s="3541"/>
      <c r="BH192" s="3541"/>
      <c r="BI192" s="3541"/>
      <c r="BJ192" s="3541"/>
      <c r="BK192" s="3541"/>
    </row>
    <row r="193" spans="1:63" s="3053" customFormat="1">
      <c r="A193" s="3054"/>
      <c r="B193" s="3053" t="s">
        <v>2034</v>
      </c>
      <c r="C193" s="3508"/>
      <c r="D193" s="3508"/>
      <c r="E193" s="3508"/>
      <c r="F193" s="3508"/>
      <c r="G193" s="3508"/>
      <c r="H193" s="3508"/>
      <c r="I193" s="3508"/>
      <c r="J193" s="3508"/>
      <c r="K193" s="3508"/>
      <c r="L193" s="3508"/>
      <c r="M193" s="3508"/>
      <c r="N193" s="3508"/>
      <c r="O193" s="3508"/>
      <c r="P193" s="3508"/>
      <c r="Q193" s="3508"/>
      <c r="R193" s="3508"/>
      <c r="S193" s="3508"/>
      <c r="T193" s="3508"/>
      <c r="W193" s="3264">
        <f>W177+W165</f>
        <v>12334250</v>
      </c>
      <c r="Y193" s="3264">
        <f>Y177+Y165</f>
        <v>13686689.800000001</v>
      </c>
      <c r="AE193" s="3264">
        <f>AE177+AE165</f>
        <v>14124108.6</v>
      </c>
      <c r="AF193" s="1729"/>
      <c r="AG193" s="3264">
        <f>AG177+AG165</f>
        <v>14054453</v>
      </c>
      <c r="AH193" s="1729"/>
      <c r="AI193" s="1729"/>
      <c r="AJ193" s="1729"/>
      <c r="AK193" s="1729"/>
      <c r="AL193" s="1729"/>
      <c r="AM193" s="1729"/>
      <c r="AN193" s="1729"/>
      <c r="AO193" s="3264">
        <f>AO177+AO165</f>
        <v>15819995</v>
      </c>
      <c r="AP193" s="3264"/>
      <c r="AQ193" s="3264">
        <f>AQ177+AQ165</f>
        <v>17566218</v>
      </c>
      <c r="AR193" s="3264">
        <f>AR177+AR165</f>
        <v>18972524</v>
      </c>
      <c r="AS193" s="3264"/>
      <c r="AT193" s="3264"/>
      <c r="AU193" s="3264"/>
      <c r="AV193" s="3508"/>
      <c r="AW193" s="3508"/>
      <c r="AX193" s="3508"/>
      <c r="AY193" s="3508"/>
      <c r="AZ193" s="3264">
        <f>AZ177+AZ165</f>
        <v>19769524</v>
      </c>
      <c r="BA193" s="3264">
        <f>BA177+BA165</f>
        <v>20562524</v>
      </c>
      <c r="BB193" s="3264">
        <f>BB177+BB165</f>
        <v>21411524</v>
      </c>
      <c r="BC193" s="3264">
        <f>BC177+BC165</f>
        <v>22366524</v>
      </c>
      <c r="BD193" s="3264">
        <f>BD177+BD165</f>
        <v>23498524</v>
      </c>
      <c r="BE193" s="3264"/>
      <c r="BF193" s="3264"/>
      <c r="BG193" s="3264"/>
      <c r="BH193" s="3264"/>
      <c r="BI193" s="3264"/>
      <c r="BJ193" s="3264"/>
      <c r="BK193" s="3264"/>
    </row>
    <row r="194" spans="1:63" s="817" customFormat="1">
      <c r="A194" s="3289"/>
      <c r="B194" s="817" t="s">
        <v>319</v>
      </c>
      <c r="K194" s="3465"/>
      <c r="L194" s="3578"/>
      <c r="M194" s="3578"/>
      <c r="N194" s="3578"/>
      <c r="Q194" s="3465"/>
      <c r="W194" s="818">
        <f>10895260-87254</f>
        <v>10808006</v>
      </c>
      <c r="X194" s="818"/>
      <c r="Y194" s="818">
        <f>12181277</f>
        <v>12181277</v>
      </c>
      <c r="AD194" s="3465"/>
      <c r="AE194" s="818">
        <v>12692115</v>
      </c>
      <c r="AG194" s="818">
        <f>12792680</f>
        <v>12792680</v>
      </c>
      <c r="AO194" s="818"/>
      <c r="AP194" s="818"/>
      <c r="AQ194" s="818"/>
      <c r="AR194" s="818"/>
      <c r="AS194" s="818"/>
      <c r="AT194" s="818"/>
      <c r="AU194" s="818"/>
      <c r="AV194" s="818"/>
    </row>
    <row r="195" spans="1:63" s="817" customFormat="1">
      <c r="A195" s="3289"/>
      <c r="S195" s="3465"/>
      <c r="T195" s="3465"/>
      <c r="U195" s="3465"/>
      <c r="V195" s="3465"/>
      <c r="W195" s="3579">
        <f>W194-W166</f>
        <v>0</v>
      </c>
      <c r="X195" s="3580"/>
      <c r="Y195" s="3579">
        <f>Y194-Y166</f>
        <v>257157.19999999925</v>
      </c>
      <c r="Z195" s="3465"/>
      <c r="AD195" s="3465"/>
      <c r="AE195" s="3579">
        <f>AE194-AE166</f>
        <v>511676.40000000037</v>
      </c>
      <c r="AG195" s="3579">
        <f>AG194-AG166</f>
        <v>0</v>
      </c>
    </row>
    <row r="196" spans="1:63" s="817" customFormat="1">
      <c r="A196" s="3289"/>
      <c r="B196" s="817" t="s">
        <v>2035</v>
      </c>
      <c r="W196" s="818">
        <f>1423990+87254</f>
        <v>1511244</v>
      </c>
      <c r="X196" s="818"/>
      <c r="Y196" s="818">
        <f>1474513</f>
        <v>1474513</v>
      </c>
      <c r="AE196" s="818">
        <v>1370794</v>
      </c>
      <c r="AG196" s="818">
        <v>1213473</v>
      </c>
    </row>
    <row r="197" spans="1:63" s="817" customFormat="1">
      <c r="A197" s="3289"/>
      <c r="R197" s="3581"/>
      <c r="W197" s="818">
        <f>W196-W175</f>
        <v>0</v>
      </c>
      <c r="X197" s="818"/>
      <c r="Y197" s="818">
        <f>Y196-Y175</f>
        <v>-257157</v>
      </c>
      <c r="AE197" s="818">
        <f>AE196-AE175</f>
        <v>-511676</v>
      </c>
      <c r="AG197" s="818">
        <f>AG196-AG175</f>
        <v>0</v>
      </c>
    </row>
    <row r="198" spans="1:63">
      <c r="W198" s="3180"/>
    </row>
    <row r="199" spans="1:63">
      <c r="W199" s="3180">
        <f>W174+W175+94000</f>
        <v>1805597</v>
      </c>
      <c r="X199" s="3180">
        <f>4111683+2864539+120127</f>
        <v>7096349</v>
      </c>
      <c r="Z199" s="3180">
        <f>4477798+2401090+124751</f>
        <v>7003639</v>
      </c>
      <c r="AF199" s="8">
        <f>3353854+2607633+112215</f>
        <v>6073702</v>
      </c>
      <c r="AH199" s="8">
        <f>'[19]SoSanhThucHienThu (2)'!$I$11+'[19]SoSanhThucHienThu (2)'!$J$11</f>
        <v>6866295.2812760007</v>
      </c>
      <c r="AI199" s="8"/>
      <c r="AJ199" s="8"/>
      <c r="AK199" s="8"/>
      <c r="AL199" s="8"/>
      <c r="AM199" s="8"/>
      <c r="AN199" s="8"/>
    </row>
    <row r="200" spans="1:63">
      <c r="V200" s="3072"/>
      <c r="W200" s="3072"/>
      <c r="X200" s="3582">
        <f>X167-X199</f>
        <v>0.43780000042170286</v>
      </c>
      <c r="Y200" s="3072"/>
      <c r="Z200" s="3582">
        <f>Z167-Z199</f>
        <v>-8.3939999341964722E-2</v>
      </c>
      <c r="AF200" s="3582">
        <f>AF167-AF199</f>
        <v>0.13599999994039536</v>
      </c>
      <c r="AH200" s="3582">
        <f>AH167-AH199</f>
        <v>237.22588173486292</v>
      </c>
      <c r="AI200" s="3582"/>
      <c r="AJ200" s="3582"/>
      <c r="AK200" s="3582"/>
      <c r="AL200" s="3582"/>
      <c r="AM200" s="3582"/>
      <c r="AN200" s="3582"/>
    </row>
    <row r="201" spans="1:63">
      <c r="V201" s="3180"/>
      <c r="W201" s="3180"/>
      <c r="X201" s="3180"/>
      <c r="Y201" s="3180"/>
      <c r="Z201" s="3180"/>
      <c r="AB201" s="3180"/>
    </row>
    <row r="202" spans="1:63">
      <c r="V202" s="3180"/>
      <c r="W202" s="3180"/>
      <c r="X202" s="3180"/>
      <c r="Y202" s="3180"/>
      <c r="Z202" s="3180"/>
    </row>
    <row r="203" spans="1:63">
      <c r="B203" s="2428" t="s">
        <v>4</v>
      </c>
      <c r="V203" s="3282"/>
      <c r="W203" s="3282"/>
      <c r="X203" s="3282"/>
      <c r="Y203" s="3282"/>
      <c r="Z203" s="3282">
        <f>Z8/X8</f>
        <v>0.96441093601264061</v>
      </c>
      <c r="AB203" s="3072"/>
      <c r="AF203" s="754">
        <f>AF8/Z8</f>
        <v>0.84159733231791589</v>
      </c>
      <c r="AG203" s="754"/>
      <c r="AH203" s="754">
        <f>AH8/AF8</f>
        <v>1.0671078246281738</v>
      </c>
      <c r="AI203" s="754"/>
      <c r="AJ203" s="754"/>
      <c r="AK203" s="754"/>
      <c r="AM203" s="3418">
        <f>(Z203*AF203*AH203)^(1/3)</f>
        <v>0.95321659303217043</v>
      </c>
      <c r="AN203" s="3583"/>
    </row>
    <row r="204" spans="1:63">
      <c r="W204" s="3180">
        <f>W167-W27-W20</f>
        <v>3636580</v>
      </c>
      <c r="X204" s="3180">
        <f>X167-X27-X20</f>
        <v>4608099.4378000004</v>
      </c>
      <c r="Y204" s="3180">
        <f>Y167-Y27-Y20</f>
        <v>4658699.8</v>
      </c>
      <c r="Z204" s="3180">
        <f>Z167-Z27-Z20</f>
        <v>4192508.1160600004</v>
      </c>
      <c r="AE204" s="3180">
        <f>AE167-AE27-AE20</f>
        <v>4230439.5999999996</v>
      </c>
      <c r="AF204" s="3180">
        <f>AF167-AF27-AF20</f>
        <v>3550750.1359999999</v>
      </c>
      <c r="AG204" s="3180">
        <f>AG167-AG27-AG20</f>
        <v>3509777</v>
      </c>
      <c r="AH204" s="3180">
        <f>AH167-AH27-AH20</f>
        <v>4093628.8935077358</v>
      </c>
      <c r="AI204" s="3180"/>
      <c r="AJ204" s="3180"/>
      <c r="AK204" s="3180"/>
      <c r="AL204" s="3180"/>
      <c r="AM204" s="3418">
        <f t="shared" ref="AM204:AM205" si="171">(Z204*AF204*AH204)^(1/3)</f>
        <v>3935206.2370974347</v>
      </c>
      <c r="AN204" s="3583"/>
    </row>
    <row r="205" spans="1:63">
      <c r="X205" s="3180">
        <f>X204-W204</f>
        <v>971519.43780000042</v>
      </c>
      <c r="Z205" s="3180">
        <f>Z204-Y204</f>
        <v>-466191.68393999944</v>
      </c>
      <c r="AF205" s="6">
        <f>AF204-AE204</f>
        <v>-679689.46399999969</v>
      </c>
      <c r="AH205" s="6">
        <f>AH204-AG204</f>
        <v>583851.8935077358</v>
      </c>
      <c r="AM205" s="3418">
        <f t="shared" si="171"/>
        <v>569804.55637034995</v>
      </c>
      <c r="AN205" s="3583"/>
      <c r="AO205" s="3272"/>
      <c r="AP205" s="3272"/>
    </row>
    <row r="206" spans="1:63">
      <c r="Z206" s="3072">
        <f>Z28/X28</f>
        <v>0.74241032544144425</v>
      </c>
      <c r="AA206" s="3072"/>
      <c r="AB206" s="3072"/>
      <c r="AC206" s="3072"/>
      <c r="AD206" s="3072"/>
      <c r="AE206" s="754"/>
      <c r="AF206" s="754">
        <f>AF28/Z28</f>
        <v>2.0995744408536781</v>
      </c>
      <c r="AG206" s="754"/>
      <c r="AH206" s="754">
        <f>AH28/AE28</f>
        <v>3.7122225738571428</v>
      </c>
      <c r="AI206" s="754"/>
      <c r="AJ206" s="754"/>
      <c r="AK206" s="754"/>
      <c r="AM206" s="3418">
        <f>(Z206*AF206*AH206)^(1/3)-1</f>
        <v>0.79529751329454501</v>
      </c>
      <c r="AN206" s="3583"/>
      <c r="AO206" s="3272"/>
      <c r="AP206" s="3272"/>
    </row>
    <row r="207" spans="1:63">
      <c r="AH207" s="754">
        <f>AH28/X28-1</f>
        <v>2.0864151576134295</v>
      </c>
      <c r="AI207" s="754"/>
      <c r="AJ207" s="754"/>
      <c r="AK207" s="754"/>
      <c r="AO207" s="3272"/>
      <c r="AP207" s="3272"/>
      <c r="AQ207" s="3072">
        <f>AR10/AH10-1</f>
        <v>0.36024410930885709</v>
      </c>
      <c r="AR207" s="3072">
        <f>AR11/AH11-1</f>
        <v>0.20160262452314948</v>
      </c>
      <c r="AS207" s="3072"/>
      <c r="AT207" s="3072"/>
      <c r="AU207" s="3072"/>
    </row>
    <row r="208" spans="1:63">
      <c r="AF208" s="754">
        <f>AF7/AE7</f>
        <v>0.88605756120330681</v>
      </c>
      <c r="AH208" s="6">
        <f>AH8-'[20]5 năm A'!$F$14</f>
        <v>3480.8303279997781</v>
      </c>
      <c r="AO208" s="3272"/>
      <c r="AP208" s="3272"/>
      <c r="AQ208" s="3072">
        <f>AR10/X10-1</f>
        <v>0.38469994416527076</v>
      </c>
      <c r="AR208" s="3072"/>
      <c r="AS208" s="3072"/>
      <c r="AT208" s="3072"/>
      <c r="AU208" s="3072"/>
    </row>
    <row r="209" spans="2:47">
      <c r="AG209" s="754">
        <f>AH9/AF9</f>
        <v>1.0491615036559474</v>
      </c>
      <c r="AH209" s="754">
        <f>AH7/AG7</f>
        <v>1.1552063076095611</v>
      </c>
      <c r="AI209" s="754"/>
      <c r="AJ209" s="754"/>
      <c r="AK209" s="754"/>
      <c r="AO209" s="3272"/>
      <c r="AP209" s="3272"/>
    </row>
    <row r="210" spans="2:47">
      <c r="B210" s="3098" t="str">
        <f>B10</f>
        <v xml:space="preserve">Thu từ DNNN do TW quản lý </v>
      </c>
      <c r="AG210" s="754">
        <f>AH9/AG9</f>
        <v>1.0693231289942766</v>
      </c>
      <c r="AH210" s="754">
        <f>AH10/X10-1</f>
        <v>1.7979004422110645E-2</v>
      </c>
      <c r="AI210" s="754"/>
      <c r="AJ210" s="754"/>
      <c r="AK210" s="754"/>
      <c r="AO210" s="3072">
        <f>AR10/X10-1</f>
        <v>0.38469994416527076</v>
      </c>
      <c r="AP210" s="3072"/>
      <c r="AQ210" s="3072">
        <f>AR10/AH10-1</f>
        <v>0.36024410930885709</v>
      </c>
      <c r="AR210" s="3072">
        <f>AR10/AH10-1</f>
        <v>0.36024410930885709</v>
      </c>
      <c r="AS210" s="3072"/>
      <c r="AT210" s="3072"/>
      <c r="AU210" s="3072"/>
    </row>
    <row r="211" spans="2:47">
      <c r="B211" s="3098" t="str">
        <f t="shared" ref="B211:B228" si="172">B11</f>
        <v>Thu từ DNNN do ĐP quản lý</v>
      </c>
      <c r="AH211" s="754">
        <f>AH11/X11-1</f>
        <v>-0.18451805182133574</v>
      </c>
      <c r="AI211" s="754"/>
      <c r="AJ211" s="754"/>
      <c r="AK211" s="754"/>
      <c r="AO211" s="3072">
        <f t="shared" ref="AO211:AO228" si="173">AR11/X11-1</f>
        <v>-2.0114750817265992E-2</v>
      </c>
      <c r="AP211" s="3072"/>
      <c r="AQ211" s="3072">
        <f t="shared" ref="AQ211:AQ228" si="174">AR11/AH11-1</f>
        <v>0.20160262452314948</v>
      </c>
      <c r="AR211" s="3072">
        <f t="shared" ref="AR211:AR228" si="175">AR11/AH11-1</f>
        <v>0.20160262452314948</v>
      </c>
      <c r="AS211" s="3072"/>
      <c r="AT211" s="3072"/>
      <c r="AU211" s="3072"/>
    </row>
    <row r="212" spans="2:47">
      <c r="B212" s="3098" t="str">
        <f t="shared" si="172"/>
        <v>Thu từ khu vực có vốn ĐTNN</v>
      </c>
      <c r="AH212" s="754">
        <f t="shared" ref="AH212:AH228" si="176">AH12/X12-1</f>
        <v>-2.7533039039625229E-2</v>
      </c>
      <c r="AI212" s="754"/>
      <c r="AJ212" s="754"/>
      <c r="AK212" s="754"/>
      <c r="AO212" s="3072">
        <f t="shared" si="173"/>
        <v>0.30132084065326303</v>
      </c>
      <c r="AP212" s="3072"/>
      <c r="AQ212" s="3072">
        <f t="shared" si="174"/>
        <v>0.33816457822703172</v>
      </c>
      <c r="AR212" s="3072">
        <f t="shared" si="175"/>
        <v>0.33816457822703172</v>
      </c>
      <c r="AS212" s="3072"/>
      <c r="AT212" s="3072"/>
      <c r="AU212" s="3072"/>
    </row>
    <row r="213" spans="2:47">
      <c r="B213" s="3098" t="str">
        <f t="shared" si="172"/>
        <v>Khu vực kinh tế ngoài quốc doanh</v>
      </c>
      <c r="AH213" s="754">
        <f t="shared" si="176"/>
        <v>-0.17237341008066043</v>
      </c>
      <c r="AI213" s="754"/>
      <c r="AJ213" s="754"/>
      <c r="AK213" s="754"/>
      <c r="AO213" s="3072">
        <f t="shared" si="173"/>
        <v>0.13212452251599993</v>
      </c>
      <c r="AP213" s="3072"/>
      <c r="AQ213" s="3072">
        <f t="shared" si="174"/>
        <v>0.36791704895119026</v>
      </c>
      <c r="AR213" s="3072">
        <f t="shared" si="175"/>
        <v>0.36791704895119026</v>
      </c>
      <c r="AS213" s="3072"/>
      <c r="AT213" s="3072"/>
      <c r="AU213" s="3072"/>
    </row>
    <row r="214" spans="2:47">
      <c r="B214" s="3098" t="str">
        <f t="shared" si="172"/>
        <v xml:space="preserve">Lệ phí trước bạ </v>
      </c>
      <c r="AH214" s="754">
        <f>AH14/X14-1</f>
        <v>0.1607219496319221</v>
      </c>
      <c r="AI214" s="754"/>
      <c r="AJ214" s="754"/>
      <c r="AK214" s="754"/>
      <c r="AO214" s="3072">
        <f t="shared" si="173"/>
        <v>0.37398999130226529</v>
      </c>
      <c r="AP214" s="3072"/>
      <c r="AQ214" s="3072">
        <f t="shared" si="174"/>
        <v>0.18373740734201927</v>
      </c>
      <c r="AR214" s="3072">
        <f t="shared" si="175"/>
        <v>0.18373740734201927</v>
      </c>
      <c r="AS214" s="3072"/>
      <c r="AT214" s="3072"/>
      <c r="AU214" s="3072"/>
    </row>
    <row r="215" spans="2:47">
      <c r="B215" s="3098" t="str">
        <f t="shared" si="172"/>
        <v xml:space="preserve">Thuế sd đất nông nghiệp </v>
      </c>
      <c r="AH215" s="754">
        <f t="shared" si="176"/>
        <v>-0.72903916231884058</v>
      </c>
      <c r="AI215" s="754"/>
      <c r="AJ215" s="754"/>
      <c r="AK215" s="754"/>
      <c r="AO215" s="3072">
        <f t="shared" si="173"/>
        <v>-1</v>
      </c>
      <c r="AP215" s="3072"/>
      <c r="AQ215" s="3072">
        <f t="shared" si="174"/>
        <v>-1</v>
      </c>
      <c r="AR215" s="3072">
        <f t="shared" si="175"/>
        <v>-1</v>
      </c>
      <c r="AS215" s="3072"/>
      <c r="AT215" s="3072"/>
      <c r="AU215" s="3072"/>
    </row>
    <row r="216" spans="2:47">
      <c r="B216" s="3098" t="str">
        <f t="shared" si="172"/>
        <v>Thuế sử dụng đất phi nông nghiệp</v>
      </c>
      <c r="AH216" s="754">
        <f t="shared" si="176"/>
        <v>0.58701457025086445</v>
      </c>
      <c r="AI216" s="754"/>
      <c r="AJ216" s="754"/>
      <c r="AK216" s="754"/>
      <c r="AO216" s="3072">
        <f t="shared" si="173"/>
        <v>6.3735484442868584E-2</v>
      </c>
      <c r="AP216" s="3072"/>
      <c r="AQ216" s="3072">
        <f t="shared" si="174"/>
        <v>-0.32972544525869063</v>
      </c>
      <c r="AR216" s="3072">
        <f t="shared" si="175"/>
        <v>-0.32972544525869063</v>
      </c>
      <c r="AS216" s="3072"/>
      <c r="AT216" s="3072"/>
      <c r="AU216" s="3072"/>
    </row>
    <row r="217" spans="2:47">
      <c r="B217" s="3098" t="str">
        <f t="shared" si="172"/>
        <v>Thuế thu nhập cá nhân</v>
      </c>
      <c r="AH217" s="754">
        <f t="shared" si="176"/>
        <v>0.36529771969885827</v>
      </c>
      <c r="AI217" s="754"/>
      <c r="AJ217" s="754"/>
      <c r="AK217" s="754"/>
      <c r="AO217" s="3072">
        <f t="shared" si="173"/>
        <v>0.66832220479326221</v>
      </c>
      <c r="AP217" s="3072"/>
      <c r="AQ217" s="3072">
        <f t="shared" si="174"/>
        <v>0.2219475508691553</v>
      </c>
      <c r="AR217" s="3072">
        <f t="shared" si="175"/>
        <v>0.2219475508691553</v>
      </c>
      <c r="AS217" s="3072"/>
      <c r="AT217" s="3072"/>
      <c r="AU217" s="3072"/>
    </row>
    <row r="218" spans="2:47">
      <c r="B218" s="3098" t="str">
        <f t="shared" si="172"/>
        <v>Thu thuế bảo vệ môi trường (xăng, dầu)</v>
      </c>
      <c r="AH218" s="754">
        <f t="shared" si="176"/>
        <v>-0.59375822657642319</v>
      </c>
      <c r="AI218" s="754"/>
      <c r="AJ218" s="754"/>
      <c r="AK218" s="754"/>
      <c r="AO218" s="3072">
        <f t="shared" si="173"/>
        <v>-0.23277211709738843</v>
      </c>
      <c r="AP218" s="3072"/>
      <c r="AQ218" s="3072">
        <f t="shared" si="174"/>
        <v>0.88859918672776361</v>
      </c>
      <c r="AR218" s="3072">
        <f t="shared" si="175"/>
        <v>0.88859918672776361</v>
      </c>
      <c r="AS218" s="3072"/>
      <c r="AT218" s="3072"/>
      <c r="AU218" s="3072"/>
    </row>
    <row r="219" spans="2:47">
      <c r="B219" s="3098" t="str">
        <f t="shared" si="172"/>
        <v>Thu phí, lệ phí</v>
      </c>
      <c r="AC219" s="2428">
        <v>71856</v>
      </c>
      <c r="AH219" s="754">
        <f t="shared" si="176"/>
        <v>1.1696405698519818E-2</v>
      </c>
      <c r="AI219" s="754"/>
      <c r="AJ219" s="754"/>
      <c r="AK219" s="754"/>
      <c r="AO219" s="3072">
        <f t="shared" si="173"/>
        <v>0.22623447685482434</v>
      </c>
      <c r="AP219" s="3072"/>
      <c r="AQ219" s="3072">
        <f t="shared" si="174"/>
        <v>0.21205775759198997</v>
      </c>
      <c r="AR219" s="3072">
        <f t="shared" si="175"/>
        <v>0.21205775759198997</v>
      </c>
      <c r="AS219" s="3072"/>
      <c r="AT219" s="3072"/>
      <c r="AU219" s="3072"/>
    </row>
    <row r="220" spans="2:47">
      <c r="B220" s="3098" t="str">
        <f t="shared" si="172"/>
        <v>Tiền sử dụng đất</v>
      </c>
      <c r="AC220" s="2428">
        <v>18413</v>
      </c>
      <c r="AH220" s="754">
        <f t="shared" si="176"/>
        <v>6.6528819039032516E-2</v>
      </c>
      <c r="AI220" s="754"/>
      <c r="AJ220" s="754"/>
      <c r="AK220" s="754"/>
      <c r="AO220" s="3072">
        <f t="shared" si="173"/>
        <v>0.24356841957998476</v>
      </c>
      <c r="AP220" s="3072"/>
      <c r="AQ220" s="3072">
        <f t="shared" si="174"/>
        <v>0.16599607753728507</v>
      </c>
      <c r="AR220" s="3072">
        <f t="shared" si="175"/>
        <v>0.16599607753728507</v>
      </c>
      <c r="AS220" s="3072"/>
      <c r="AT220" s="3072"/>
      <c r="AU220" s="3072"/>
    </row>
    <row r="221" spans="2:47">
      <c r="B221" s="3098" t="str">
        <f t="shared" si="172"/>
        <v>Thu tiền thuê đất, thuê mặt nước</v>
      </c>
      <c r="AC221" s="2428">
        <f>+AC219+AC220</f>
        <v>90269</v>
      </c>
      <c r="AD221" s="2428">
        <v>90910</v>
      </c>
      <c r="AH221" s="754">
        <f t="shared" si="176"/>
        <v>0.33421097534379141</v>
      </c>
      <c r="AI221" s="754"/>
      <c r="AJ221" s="754"/>
      <c r="AK221" s="754"/>
      <c r="AO221" s="3072">
        <f t="shared" si="173"/>
        <v>3.5313182237626917E-2</v>
      </c>
      <c r="AP221" s="3072"/>
      <c r="AQ221" s="3072">
        <f t="shared" si="174"/>
        <v>-0.22402588393424538</v>
      </c>
      <c r="AR221" s="3072">
        <f t="shared" si="175"/>
        <v>-0.22402588393424538</v>
      </c>
      <c r="AS221" s="3072"/>
      <c r="AT221" s="3072"/>
      <c r="AU221" s="3072"/>
    </row>
    <row r="222" spans="2:47">
      <c r="B222" s="3098" t="str">
        <f t="shared" si="172"/>
        <v>Thu bán nhà thuộc sở hữu nhà nước</v>
      </c>
      <c r="AD222" s="2428">
        <v>213</v>
      </c>
      <c r="AH222" s="754">
        <f t="shared" si="176"/>
        <v>-0.97998516831181981</v>
      </c>
      <c r="AI222" s="754"/>
      <c r="AJ222" s="754"/>
      <c r="AK222" s="754"/>
      <c r="AO222" s="3072">
        <f t="shared" si="173"/>
        <v>-1</v>
      </c>
      <c r="AP222" s="3072"/>
      <c r="AQ222" s="3072">
        <f t="shared" si="174"/>
        <v>-1</v>
      </c>
      <c r="AR222" s="3072">
        <f t="shared" si="175"/>
        <v>-1</v>
      </c>
      <c r="AS222" s="3072"/>
      <c r="AT222" s="3072"/>
      <c r="AU222" s="3072"/>
    </row>
    <row r="223" spans="2:47">
      <c r="B223" s="3098" t="str">
        <f t="shared" si="172"/>
        <v>Thu khác ngân sách</v>
      </c>
      <c r="AD223" s="3180">
        <f>+AD222*AD221</f>
        <v>19363830</v>
      </c>
      <c r="AE223" s="8"/>
      <c r="AF223" s="8"/>
      <c r="AG223" s="8"/>
      <c r="AH223" s="754">
        <f t="shared" si="176"/>
        <v>-5.1323500779284603E-2</v>
      </c>
      <c r="AI223" s="754"/>
      <c r="AJ223" s="754"/>
      <c r="AK223" s="754"/>
      <c r="AO223" s="3072">
        <f t="shared" si="173"/>
        <v>0.22957493262261686</v>
      </c>
      <c r="AP223" s="3072"/>
      <c r="AQ223" s="3072">
        <f t="shared" si="174"/>
        <v>0.29609506890140502</v>
      </c>
      <c r="AR223" s="3072">
        <f t="shared" si="175"/>
        <v>0.29609506890140502</v>
      </c>
      <c r="AS223" s="3072"/>
      <c r="AT223" s="3072"/>
      <c r="AU223" s="3072"/>
    </row>
    <row r="224" spans="2:47">
      <c r="B224" s="3098" t="str">
        <f t="shared" si="172"/>
        <v>Thu tiền CQ khai thác khoáng sản</v>
      </c>
      <c r="AD224" s="2428">
        <v>7000000</v>
      </c>
      <c r="AH224" s="754">
        <f t="shared" si="176"/>
        <v>0.3899087118391662</v>
      </c>
      <c r="AI224" s="754"/>
      <c r="AJ224" s="754"/>
      <c r="AK224" s="754"/>
      <c r="AO224" s="3072">
        <f t="shared" si="173"/>
        <v>5.811811733354233E-2</v>
      </c>
      <c r="AP224" s="3072"/>
      <c r="AQ224" s="3072">
        <f t="shared" si="174"/>
        <v>-0.23871394695165926</v>
      </c>
      <c r="AR224" s="3072">
        <f t="shared" si="175"/>
        <v>-0.23871394695165926</v>
      </c>
      <c r="AS224" s="3072"/>
      <c r="AT224" s="3072"/>
      <c r="AU224" s="3072"/>
    </row>
    <row r="225" spans="2:47">
      <c r="B225" s="3098" t="str">
        <f t="shared" si="172"/>
        <v>Thu cổ tức, lợi nhuận được chia và lợi nhuận còn lại</v>
      </c>
      <c r="AD225" s="3072">
        <f>+AD224/AD223</f>
        <v>0.36149873243051606</v>
      </c>
      <c r="AE225" s="3584"/>
      <c r="AF225" s="754"/>
      <c r="AG225" s="754"/>
      <c r="AH225" s="754">
        <f t="shared" si="176"/>
        <v>-0.40971484425498927</v>
      </c>
      <c r="AI225" s="754"/>
      <c r="AJ225" s="754"/>
      <c r="AK225" s="754"/>
      <c r="AO225" s="3072">
        <f t="shared" si="173"/>
        <v>-0.11645030032939352</v>
      </c>
      <c r="AP225" s="3072"/>
      <c r="AQ225" s="3072">
        <f t="shared" si="174"/>
        <v>0.49681842931567677</v>
      </c>
      <c r="AR225" s="3072">
        <f t="shared" si="175"/>
        <v>0.49681842931567677</v>
      </c>
      <c r="AS225" s="3072"/>
      <c r="AT225" s="3072"/>
      <c r="AU225" s="3072"/>
    </row>
    <row r="226" spans="2:47">
      <c r="B226" s="3098" t="str">
        <f t="shared" si="172"/>
        <v>Thu tại xã</v>
      </c>
      <c r="AH226" s="754">
        <f t="shared" si="176"/>
        <v>-0.33819528103727714</v>
      </c>
      <c r="AI226" s="754"/>
      <c r="AJ226" s="754"/>
      <c r="AK226" s="754"/>
      <c r="AO226" s="3072">
        <f t="shared" si="173"/>
        <v>-2.7552674230145846E-2</v>
      </c>
      <c r="AP226" s="3072"/>
      <c r="AQ226" s="3072">
        <f t="shared" si="174"/>
        <v>0.4693871136096095</v>
      </c>
      <c r="AR226" s="3072">
        <f t="shared" si="175"/>
        <v>0.4693871136096095</v>
      </c>
      <c r="AS226" s="3072"/>
      <c r="AT226" s="3072"/>
      <c r="AU226" s="3072"/>
    </row>
    <row r="227" spans="2:47">
      <c r="B227" s="3098" t="str">
        <f t="shared" si="172"/>
        <v>Thu xổ số kiến thiết</v>
      </c>
      <c r="AH227" s="754">
        <f t="shared" si="176"/>
        <v>0.14472382501370418</v>
      </c>
      <c r="AI227" s="754"/>
      <c r="AJ227" s="754"/>
      <c r="AK227" s="754"/>
      <c r="AO227" s="3072">
        <f t="shared" si="173"/>
        <v>0.52433720544743756</v>
      </c>
      <c r="AP227" s="3072"/>
      <c r="AQ227" s="3072">
        <f t="shared" si="174"/>
        <v>0.33162005729127642</v>
      </c>
      <c r="AR227" s="3072">
        <f t="shared" si="175"/>
        <v>0.33162005729127642</v>
      </c>
      <c r="AS227" s="3072"/>
      <c r="AT227" s="3072"/>
      <c r="AU227" s="3072"/>
    </row>
    <row r="228" spans="2:47">
      <c r="B228" s="3098" t="str">
        <f t="shared" si="172"/>
        <v xml:space="preserve">Thuế xuất nhập khẩu </v>
      </c>
      <c r="AH228" s="754">
        <f t="shared" si="176"/>
        <v>2.0864151576134295</v>
      </c>
      <c r="AI228" s="754"/>
      <c r="AJ228" s="754"/>
      <c r="AK228" s="754"/>
      <c r="AO228" s="3072">
        <f t="shared" si="173"/>
        <v>0.2867210388787711</v>
      </c>
      <c r="AP228" s="3072"/>
      <c r="AQ228" s="3072">
        <f t="shared" si="174"/>
        <v>-0.58310176266963121</v>
      </c>
      <c r="AR228" s="3072">
        <f t="shared" si="175"/>
        <v>-0.58310176266963121</v>
      </c>
      <c r="AS228" s="3072"/>
      <c r="AT228" s="3072"/>
      <c r="AU228" s="3072"/>
    </row>
    <row r="232" spans="2:47">
      <c r="AL232" s="8">
        <f>AL10+AL11+AL12+AL14+AL15+AL16+AL17+AL19+AL21+AL22+AL23+AL24+AL25+AL26</f>
        <v>6973206.8749209996</v>
      </c>
      <c r="AM232" s="754">
        <f>AL232/$AL$7</f>
        <v>0.29646444831567825</v>
      </c>
    </row>
    <row r="238" spans="2:47">
      <c r="V238" s="2428" t="s">
        <v>117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Danh mục file'!A1" display="SỐ TT"/>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Z188"/>
  <sheetViews>
    <sheetView workbookViewId="0">
      <selection activeCell="A4" sqref="A4:A6"/>
    </sheetView>
  </sheetViews>
  <sheetFormatPr defaultColWidth="10.33203125" defaultRowHeight="15.6"/>
  <cols>
    <col min="1" max="1" width="6.109375" style="3071" customWidth="1"/>
    <col min="2" max="2" width="63.5546875" style="2428" customWidth="1"/>
    <col min="3" max="10" width="9.88671875" style="2428" customWidth="1"/>
    <col min="11" max="11" width="12.33203125" style="2428" customWidth="1"/>
    <col min="12" max="15" width="9.88671875" style="2428" customWidth="1"/>
    <col min="16" max="16" width="9" style="2428" customWidth="1"/>
    <col min="17" max="17" width="8.5546875" style="6" customWidth="1"/>
    <col min="18" max="18" width="8.33203125" style="2428" customWidth="1"/>
    <col min="19" max="19" width="9.109375" style="2428" customWidth="1"/>
    <col min="20" max="22" width="9.88671875" style="817" hidden="1" customWidth="1"/>
    <col min="23" max="23" width="7.109375" style="817" hidden="1" customWidth="1"/>
    <col min="24" max="24" width="8.88671875" style="2428" customWidth="1"/>
    <col min="25" max="25" width="8.44140625" style="2428" customWidth="1"/>
    <col min="26" max="26" width="8.33203125" style="2428" customWidth="1"/>
    <col min="27" max="27" width="8.5546875" style="2428" customWidth="1"/>
    <col min="28" max="31" width="8.5546875" style="2428" hidden="1" customWidth="1"/>
    <col min="32" max="32" width="8.88671875" style="2428" customWidth="1"/>
    <col min="33" max="33" width="8.44140625" style="2428" customWidth="1"/>
    <col min="34" max="36" width="9.88671875" style="2428" customWidth="1"/>
    <col min="37" max="37" width="8.33203125" style="2428" hidden="1" customWidth="1"/>
    <col min="38" max="38" width="7.109375" style="2428" hidden="1" customWidth="1"/>
    <col min="39" max="39" width="8" style="2428" hidden="1" customWidth="1"/>
    <col min="40" max="40" width="7.44140625" style="2428" hidden="1" customWidth="1"/>
    <col min="41" max="41" width="9.88671875" style="2428" customWidth="1"/>
    <col min="42" max="46" width="9.88671875" style="2428" hidden="1" customWidth="1"/>
    <col min="47" max="47" width="8.44140625" style="2428" hidden="1" customWidth="1"/>
    <col min="48" max="48" width="7.88671875" style="2428" hidden="1" customWidth="1"/>
    <col min="49" max="50" width="8.44140625" style="2428" hidden="1" customWidth="1"/>
    <col min="51" max="52" width="10.33203125" style="2428" hidden="1" customWidth="1"/>
    <col min="53" max="57" width="10.33203125" style="2428" customWidth="1"/>
    <col min="58" max="16384" width="10.33203125" style="2428"/>
  </cols>
  <sheetData>
    <row r="1" spans="1:52">
      <c r="A1" s="6371" t="s">
        <v>2036</v>
      </c>
      <c r="B1" s="6371"/>
      <c r="C1" s="6371"/>
      <c r="D1" s="6371"/>
      <c r="E1" s="6371"/>
      <c r="F1" s="6371"/>
      <c r="G1" s="6371"/>
      <c r="H1" s="6371"/>
      <c r="I1" s="6371"/>
      <c r="J1" s="6371"/>
      <c r="K1" s="6371"/>
      <c r="L1" s="6371"/>
      <c r="M1" s="6371"/>
      <c r="N1" s="6371"/>
      <c r="O1" s="6371"/>
      <c r="P1" s="6371"/>
      <c r="Q1" s="6371"/>
      <c r="R1" s="6371"/>
      <c r="S1" s="6371"/>
      <c r="T1" s="6371"/>
      <c r="U1" s="6371"/>
      <c r="V1" s="6371"/>
      <c r="W1" s="6371"/>
      <c r="X1" s="6371"/>
      <c r="Y1" s="6371"/>
      <c r="Z1" s="6371"/>
      <c r="AA1" s="6371"/>
      <c r="AB1" s="6371"/>
      <c r="AC1" s="6371"/>
      <c r="AD1" s="6371"/>
      <c r="AE1" s="6371"/>
      <c r="AF1" s="6371"/>
      <c r="AG1" s="6371"/>
      <c r="AH1" s="6371"/>
      <c r="AI1" s="6371"/>
      <c r="AJ1" s="6371"/>
      <c r="AK1" s="6371"/>
      <c r="AL1" s="6371"/>
      <c r="AM1" s="6371"/>
      <c r="AN1" s="6371"/>
      <c r="AO1" s="6371"/>
      <c r="AP1" s="6371"/>
      <c r="AQ1" s="6371"/>
      <c r="AR1" s="6371"/>
      <c r="AS1" s="6371"/>
      <c r="AT1" s="6371"/>
      <c r="AU1" s="6371"/>
      <c r="AV1" s="6371"/>
      <c r="AW1" s="6371"/>
      <c r="AX1" s="6371"/>
    </row>
    <row r="2" spans="1:52">
      <c r="A2" s="6389" t="s">
        <v>2037</v>
      </c>
      <c r="B2" s="6389"/>
      <c r="C2" s="6389"/>
      <c r="D2" s="6389"/>
      <c r="E2" s="6389"/>
      <c r="F2" s="6389"/>
      <c r="G2" s="6389"/>
      <c r="H2" s="6389"/>
      <c r="I2" s="6389"/>
      <c r="J2" s="6389"/>
      <c r="K2" s="6389"/>
      <c r="L2" s="6389"/>
      <c r="M2" s="6389"/>
      <c r="N2" s="6389"/>
      <c r="O2" s="6389"/>
      <c r="P2" s="6389"/>
      <c r="Q2" s="6389"/>
      <c r="R2" s="6389"/>
      <c r="S2" s="6389"/>
      <c r="T2" s="6389"/>
      <c r="U2" s="6389"/>
      <c r="V2" s="6389"/>
      <c r="W2" s="6389"/>
      <c r="X2" s="6389"/>
      <c r="Y2" s="6389"/>
      <c r="Z2" s="6389"/>
      <c r="AA2" s="6389"/>
      <c r="AB2" s="6389"/>
      <c r="AC2" s="6389"/>
      <c r="AD2" s="6389"/>
      <c r="AE2" s="6389"/>
      <c r="AF2" s="6389"/>
      <c r="AG2" s="6389"/>
      <c r="AH2" s="6389"/>
      <c r="AI2" s="6389"/>
      <c r="AJ2" s="6389"/>
      <c r="AK2" s="6389"/>
      <c r="AL2" s="6389"/>
      <c r="AM2" s="6389"/>
      <c r="AN2" s="6389"/>
      <c r="AO2" s="6389"/>
      <c r="AP2" s="6389"/>
      <c r="AQ2" s="6389"/>
      <c r="AR2" s="6389"/>
      <c r="AS2" s="6389"/>
      <c r="AT2" s="6389"/>
      <c r="AU2" s="6389"/>
      <c r="AV2" s="6389"/>
      <c r="AW2" s="6389"/>
      <c r="AX2" s="6389"/>
    </row>
    <row r="3" spans="1:52" ht="16.2" thickBot="1">
      <c r="A3" s="1193"/>
      <c r="AH3" s="3072"/>
      <c r="AN3" s="3290" t="s">
        <v>638</v>
      </c>
    </row>
    <row r="4" spans="1:52" s="3586" customFormat="1">
      <c r="A4" s="6336" t="s">
        <v>0</v>
      </c>
      <c r="B4" s="6434" t="s">
        <v>1893</v>
      </c>
      <c r="C4" s="6434" t="s">
        <v>1934</v>
      </c>
      <c r="D4" s="6434" t="s">
        <v>1937</v>
      </c>
      <c r="E4" s="6434" t="s">
        <v>1938</v>
      </c>
      <c r="F4" s="6434" t="s">
        <v>1939</v>
      </c>
      <c r="G4" s="6434" t="s">
        <v>1940</v>
      </c>
      <c r="H4" s="6434" t="s">
        <v>1941</v>
      </c>
      <c r="I4" s="6434" t="s">
        <v>2038</v>
      </c>
      <c r="J4" s="6434" t="s">
        <v>2039</v>
      </c>
      <c r="K4" s="6434" t="s">
        <v>2040</v>
      </c>
      <c r="L4" s="6434" t="s">
        <v>1944</v>
      </c>
      <c r="M4" s="6434" t="s">
        <v>1945</v>
      </c>
      <c r="N4" s="6435" t="s">
        <v>2041</v>
      </c>
      <c r="O4" s="6436"/>
      <c r="P4" s="6435" t="s">
        <v>2042</v>
      </c>
      <c r="Q4" s="6436"/>
      <c r="R4" s="6421" t="s">
        <v>2043</v>
      </c>
      <c r="S4" s="6422"/>
      <c r="T4" s="6413" t="s">
        <v>2044</v>
      </c>
      <c r="U4" s="6413" t="s">
        <v>2045</v>
      </c>
      <c r="V4" s="6413" t="s">
        <v>2040</v>
      </c>
      <c r="W4" s="6413" t="s">
        <v>2046</v>
      </c>
      <c r="X4" s="6421" t="s">
        <v>2047</v>
      </c>
      <c r="Y4" s="6422"/>
      <c r="Z4" s="6421" t="s">
        <v>2048</v>
      </c>
      <c r="AA4" s="6422"/>
      <c r="AB4" s="6413" t="s">
        <v>2049</v>
      </c>
      <c r="AC4" s="6413" t="s">
        <v>69</v>
      </c>
      <c r="AD4" s="3585"/>
      <c r="AE4" s="3585"/>
      <c r="AF4" s="6435" t="s">
        <v>1864</v>
      </c>
      <c r="AG4" s="6436"/>
      <c r="AH4" s="6434" t="s">
        <v>50</v>
      </c>
      <c r="AI4" s="6434" t="s">
        <v>121</v>
      </c>
      <c r="AJ4" s="6434" t="s">
        <v>2050</v>
      </c>
      <c r="AK4" s="6434" t="s">
        <v>1959</v>
      </c>
      <c r="AL4" s="6434" t="s">
        <v>2051</v>
      </c>
      <c r="AM4" s="6434" t="s">
        <v>2052</v>
      </c>
      <c r="AN4" s="6434" t="s">
        <v>2053</v>
      </c>
      <c r="AO4" s="6425" t="s">
        <v>2054</v>
      </c>
      <c r="AP4" s="6408" t="s">
        <v>2055</v>
      </c>
      <c r="AQ4" s="6408" t="s">
        <v>2056</v>
      </c>
      <c r="AR4" s="6408" t="s">
        <v>2057</v>
      </c>
      <c r="AS4" s="6408" t="s">
        <v>2058</v>
      </c>
      <c r="AT4" s="6409" t="s">
        <v>2059</v>
      </c>
      <c r="AU4" s="6380" t="s">
        <v>2060</v>
      </c>
      <c r="AV4" s="6386" t="s">
        <v>2051</v>
      </c>
      <c r="AW4" s="6386" t="s">
        <v>2052</v>
      </c>
      <c r="AX4" s="6370" t="s">
        <v>2061</v>
      </c>
    </row>
    <row r="5" spans="1:52" s="3586" customFormat="1">
      <c r="A5" s="6437"/>
      <c r="B5" s="6430"/>
      <c r="C5" s="6430"/>
      <c r="D5" s="6430"/>
      <c r="E5" s="6430"/>
      <c r="F5" s="6430"/>
      <c r="G5" s="6430"/>
      <c r="H5" s="6430"/>
      <c r="I5" s="6430"/>
      <c r="J5" s="6430"/>
      <c r="K5" s="6430"/>
      <c r="L5" s="6430"/>
      <c r="M5" s="6430"/>
      <c r="N5" s="6394" t="s">
        <v>92</v>
      </c>
      <c r="O5" s="6431"/>
      <c r="P5" s="6394" t="s">
        <v>58</v>
      </c>
      <c r="Q5" s="6431"/>
      <c r="R5" s="6432" t="s">
        <v>82</v>
      </c>
      <c r="S5" s="6433"/>
      <c r="T5" s="6414"/>
      <c r="U5" s="6414"/>
      <c r="V5" s="6414"/>
      <c r="W5" s="6414"/>
      <c r="X5" s="6432" t="s">
        <v>85</v>
      </c>
      <c r="Y5" s="6433"/>
      <c r="Z5" s="6432" t="s">
        <v>86</v>
      </c>
      <c r="AA5" s="6433"/>
      <c r="AB5" s="6414"/>
      <c r="AC5" s="6414"/>
      <c r="AD5" s="3587"/>
      <c r="AE5" s="3587"/>
      <c r="AF5" s="6394" t="s">
        <v>324</v>
      </c>
      <c r="AG5" s="6431"/>
      <c r="AH5" s="6430"/>
      <c r="AI5" s="6430"/>
      <c r="AJ5" s="6430"/>
      <c r="AK5" s="6430"/>
      <c r="AL5" s="6430"/>
      <c r="AM5" s="6430"/>
      <c r="AN5" s="6430"/>
      <c r="AO5" s="6061"/>
      <c r="AP5" s="6372"/>
      <c r="AQ5" s="6372"/>
      <c r="AR5" s="6372"/>
      <c r="AS5" s="6372"/>
      <c r="AT5" s="6410"/>
      <c r="AU5" s="6380"/>
      <c r="AV5" s="6430"/>
      <c r="AW5" s="6430"/>
      <c r="AX5" s="6370"/>
    </row>
    <row r="6" spans="1:52" s="3586" customFormat="1" ht="46.8">
      <c r="A6" s="6337"/>
      <c r="B6" s="6388"/>
      <c r="C6" s="6388"/>
      <c r="D6" s="6388"/>
      <c r="E6" s="6388"/>
      <c r="F6" s="6388"/>
      <c r="G6" s="6388"/>
      <c r="H6" s="6388"/>
      <c r="I6" s="6388"/>
      <c r="J6" s="6388"/>
      <c r="K6" s="6388"/>
      <c r="L6" s="6388"/>
      <c r="M6" s="6388"/>
      <c r="N6" s="3038" t="s">
        <v>59</v>
      </c>
      <c r="O6" s="1538" t="s">
        <v>60</v>
      </c>
      <c r="P6" s="3038" t="s">
        <v>59</v>
      </c>
      <c r="Q6" s="1538" t="s">
        <v>60</v>
      </c>
      <c r="R6" s="1538" t="s">
        <v>59</v>
      </c>
      <c r="S6" s="1538" t="s">
        <v>60</v>
      </c>
      <c r="T6" s="6415"/>
      <c r="U6" s="6415"/>
      <c r="V6" s="6415"/>
      <c r="W6" s="6415"/>
      <c r="X6" s="1538" t="s">
        <v>59</v>
      </c>
      <c r="Y6" s="1538" t="s">
        <v>60</v>
      </c>
      <c r="Z6" s="1538" t="s">
        <v>59</v>
      </c>
      <c r="AA6" s="1538" t="s">
        <v>60</v>
      </c>
      <c r="AB6" s="6415"/>
      <c r="AC6" s="6415"/>
      <c r="AD6" s="3588"/>
      <c r="AE6" s="3588"/>
      <c r="AF6" s="1538" t="s">
        <v>59</v>
      </c>
      <c r="AG6" s="1538" t="s">
        <v>2062</v>
      </c>
      <c r="AH6" s="6388"/>
      <c r="AI6" s="6388"/>
      <c r="AJ6" s="6388"/>
      <c r="AK6" s="6388"/>
      <c r="AL6" s="6388"/>
      <c r="AM6" s="6388"/>
      <c r="AN6" s="6388"/>
      <c r="AO6" s="6061"/>
      <c r="AP6" s="6372"/>
      <c r="AQ6" s="6372"/>
      <c r="AR6" s="6372"/>
      <c r="AS6" s="6372"/>
      <c r="AT6" s="6410"/>
      <c r="AU6" s="6380"/>
      <c r="AV6" s="6388"/>
      <c r="AW6" s="6388"/>
      <c r="AX6" s="6370"/>
    </row>
    <row r="7" spans="1:52">
      <c r="A7" s="3589">
        <v>1</v>
      </c>
      <c r="B7" s="3590">
        <v>2</v>
      </c>
      <c r="C7" s="3590"/>
      <c r="D7" s="3590"/>
      <c r="E7" s="3590"/>
      <c r="F7" s="3590"/>
      <c r="G7" s="3590"/>
      <c r="H7" s="3590"/>
      <c r="I7" s="3591"/>
      <c r="J7" s="3591"/>
      <c r="K7" s="3591"/>
      <c r="L7" s="3590"/>
      <c r="M7" s="3590"/>
      <c r="N7" s="3590"/>
      <c r="O7" s="3590"/>
      <c r="P7" s="3590"/>
      <c r="Q7" s="3592"/>
      <c r="R7" s="3592"/>
      <c r="S7" s="3592"/>
      <c r="T7" s="3593"/>
      <c r="U7" s="3593"/>
      <c r="V7" s="3593"/>
      <c r="W7" s="3593"/>
      <c r="X7" s="3592"/>
      <c r="Y7" s="3592"/>
      <c r="Z7" s="3592"/>
      <c r="AA7" s="3592"/>
      <c r="AB7" s="3593"/>
      <c r="AC7" s="3593"/>
      <c r="AD7" s="3593"/>
      <c r="AE7" s="3593"/>
      <c r="AF7" s="3591"/>
      <c r="AG7" s="3591"/>
      <c r="AH7" s="3591"/>
      <c r="AI7" s="3591"/>
      <c r="AJ7" s="3591"/>
      <c r="AK7" s="3591"/>
      <c r="AL7" s="3591"/>
      <c r="AM7" s="3591"/>
      <c r="AN7" s="3591"/>
      <c r="AO7" s="3594"/>
      <c r="AP7" s="3595"/>
      <c r="AQ7" s="3595"/>
      <c r="AR7" s="3595"/>
      <c r="AS7" s="3595"/>
      <c r="AT7" s="3596"/>
    </row>
    <row r="8" spans="1:52" s="3607" customFormat="1">
      <c r="A8" s="3597"/>
      <c r="B8" s="3598" t="s">
        <v>2063</v>
      </c>
      <c r="C8" s="3599">
        <f t="shared" ref="C8:I8" si="0">C10+C139</f>
        <v>4688367.4799180003</v>
      </c>
      <c r="D8" s="3599">
        <f t="shared" si="0"/>
        <v>5517506.8434038907</v>
      </c>
      <c r="E8" s="3599">
        <f t="shared" si="0"/>
        <v>6676915.5707400003</v>
      </c>
      <c r="F8" s="3599">
        <f t="shared" si="0"/>
        <v>7325262.428568</v>
      </c>
      <c r="G8" s="3599">
        <f t="shared" si="0"/>
        <v>8159969.570863001</v>
      </c>
      <c r="H8" s="3599">
        <f t="shared" si="0"/>
        <v>8838259.1655269992</v>
      </c>
      <c r="I8" s="3599">
        <f t="shared" si="0"/>
        <v>36517913.57910189</v>
      </c>
      <c r="J8" s="3600"/>
      <c r="K8" s="3600"/>
      <c r="L8" s="3599">
        <f>L10+L139</f>
        <v>9435659.6461590007</v>
      </c>
      <c r="M8" s="3599">
        <f>M10+M139</f>
        <v>10825318.322280001</v>
      </c>
      <c r="N8" s="3599">
        <f>N10+N36</f>
        <v>11791619</v>
      </c>
      <c r="O8" s="3599">
        <f>O10+O36</f>
        <v>12246088.832636001</v>
      </c>
      <c r="P8" s="3599">
        <f>P10+P139+P41</f>
        <v>12334250</v>
      </c>
      <c r="Q8" s="768">
        <f>Q10+Q139+Q41</f>
        <v>12081349.228876</v>
      </c>
      <c r="R8" s="768">
        <f>R10+R139+R41</f>
        <v>13693690</v>
      </c>
      <c r="S8" s="768">
        <f>S10+S139+S41</f>
        <v>14498998.645962</v>
      </c>
      <c r="T8" s="3213">
        <f>T10+T139</f>
        <v>61940017.675913006</v>
      </c>
      <c r="U8" s="3314"/>
      <c r="V8" s="3314"/>
      <c r="W8" s="3314">
        <f>T8/I8-1</f>
        <v>0.6961543419435503</v>
      </c>
      <c r="X8" s="768">
        <f>X10+X139+X41</f>
        <v>14124109</v>
      </c>
      <c r="Y8" s="768">
        <f>Y10+Y139+Y41</f>
        <v>14701041</v>
      </c>
      <c r="Z8" s="768">
        <f>Z10+Z139+Z41</f>
        <v>14054453</v>
      </c>
      <c r="AA8" s="768">
        <f>AA10+AA139+AA41</f>
        <v>16064574.716484001</v>
      </c>
      <c r="AB8" s="3213">
        <f>AA8+Y8+S8</f>
        <v>45264614.362446003</v>
      </c>
      <c r="AC8" s="3312">
        <f>AB8/$AB$8</f>
        <v>1</v>
      </c>
      <c r="AD8" s="3312"/>
      <c r="AE8" s="3312"/>
      <c r="AF8" s="3599">
        <f>AF10+AF139+AF41</f>
        <v>15819995</v>
      </c>
      <c r="AG8" s="3599">
        <f>AG10+AG139+AG41</f>
        <v>17291694.066666666</v>
      </c>
      <c r="AH8" s="3599">
        <f>AH10+AH139+AH41</f>
        <v>19529468.915999997</v>
      </c>
      <c r="AI8" s="3599">
        <f>AI10+AI139+AI41</f>
        <v>20397890.242349334</v>
      </c>
      <c r="AJ8" s="3599">
        <f>AJ10+AJ139+AJ41</f>
        <v>87831459.221499994</v>
      </c>
      <c r="AK8" s="3599"/>
      <c r="AL8" s="3601">
        <f>AJ8/$AJ$8</f>
        <v>1</v>
      </c>
      <c r="AM8" s="3599"/>
      <c r="AN8" s="3529">
        <f>+AJ8/T8-1</f>
        <v>0.41800830088648078</v>
      </c>
      <c r="AO8" s="768">
        <f>AO10+AO139+AO41</f>
        <v>21358266.203054264</v>
      </c>
      <c r="AP8" s="3213">
        <f>AP10+AP139+AP41</f>
        <v>20562524.468752064</v>
      </c>
      <c r="AQ8" s="3213">
        <f>AQ10+AQ139+AQ41</f>
        <v>21411524.287721697</v>
      </c>
      <c r="AR8" s="3213">
        <f>AR10+AR139+AR41</f>
        <v>22366524.227051318</v>
      </c>
      <c r="AS8" s="3213">
        <f>AS10+AS139+AS41</f>
        <v>23498523.513003781</v>
      </c>
      <c r="AT8" s="3602">
        <f>SUM(AO8:AS8)</f>
        <v>109197362.69958313</v>
      </c>
      <c r="AU8" s="3603"/>
      <c r="AV8" s="3604">
        <f>AT8/$AT$8</f>
        <v>1</v>
      </c>
      <c r="AW8" s="3605"/>
      <c r="AX8" s="3606">
        <f>AT8/AJ8-1</f>
        <v>0.24326025853903888</v>
      </c>
      <c r="AZ8" s="3608">
        <f>AI8/Q8-1</f>
        <v>0.68837849613648427</v>
      </c>
    </row>
    <row r="9" spans="1:52" s="3617" customFormat="1">
      <c r="A9" s="3609" t="s">
        <v>29</v>
      </c>
      <c r="B9" s="3610" t="s">
        <v>1993</v>
      </c>
      <c r="C9" s="3611"/>
      <c r="D9" s="3612">
        <f>D8/C8</f>
        <v>1.1768503358658209</v>
      </c>
      <c r="E9" s="3612">
        <f>E8/D8</f>
        <v>1.2101327212166793</v>
      </c>
      <c r="F9" s="3612">
        <f>F8/E8</f>
        <v>1.0971027491599903</v>
      </c>
      <c r="G9" s="3612">
        <f>G8/F8</f>
        <v>1.1139491110980138</v>
      </c>
      <c r="H9" s="3612">
        <f>H8/G8</f>
        <v>1.0831240348108628</v>
      </c>
      <c r="I9" s="3612"/>
      <c r="J9" s="3612">
        <f>(D9*E9*F9*G9*H9)^(1/5)-1</f>
        <v>0.13519120436932264</v>
      </c>
      <c r="K9" s="3612"/>
      <c r="L9" s="3612">
        <f>L8/H8</f>
        <v>1.0675925506871444</v>
      </c>
      <c r="M9" s="3612">
        <f>M8/L8</f>
        <v>1.147277321166061</v>
      </c>
      <c r="N9" s="3612"/>
      <c r="O9" s="3612">
        <f>O8/M8</f>
        <v>1.1312451484619956</v>
      </c>
      <c r="P9" s="3612">
        <f>P8/M8</f>
        <v>1.1393891276725239</v>
      </c>
      <c r="Q9" s="3613">
        <f>Q8/O8</f>
        <v>0.98654757400412063</v>
      </c>
      <c r="R9" s="3614">
        <f>R8/P8</f>
        <v>1.1102166730851086</v>
      </c>
      <c r="S9" s="3614">
        <f>S8/Q8</f>
        <v>1.2001141901690502</v>
      </c>
      <c r="T9" s="3450"/>
      <c r="U9" s="3450">
        <f>(L9*M9*O9*Q9*S9)^(1/5)-1</f>
        <v>0.10406401588012049</v>
      </c>
      <c r="V9" s="3450"/>
      <c r="W9" s="3450"/>
      <c r="X9" s="3614">
        <f>X8/R8</f>
        <v>1.0314319222941368</v>
      </c>
      <c r="Y9" s="3614">
        <f>Y8/S8</f>
        <v>1.0139349177809787</v>
      </c>
      <c r="Z9" s="3613">
        <f>Z8/X8</f>
        <v>0.99506829067943325</v>
      </c>
      <c r="AA9" s="3613">
        <f>AA8/Y8</f>
        <v>1.0927508274063042</v>
      </c>
      <c r="AB9" s="3450"/>
      <c r="AC9" s="3327">
        <f t="shared" ref="AC9:AC78" si="1">AB9/$AB$8</f>
        <v>0</v>
      </c>
      <c r="AD9" s="3327"/>
      <c r="AE9" s="3327"/>
      <c r="AF9" s="3612">
        <f>AF8/AA8</f>
        <v>0.98477521373578381</v>
      </c>
      <c r="AG9" s="3612">
        <f>AG8/AA8</f>
        <v>1.0763866689183814</v>
      </c>
      <c r="AH9" s="3612">
        <f>AH8/AF8</f>
        <v>1.2344800940834681</v>
      </c>
      <c r="AI9" s="3612">
        <f>AI8/AH8</f>
        <v>1.0444672269422473</v>
      </c>
      <c r="AJ9" s="3612"/>
      <c r="AK9" s="3612">
        <f>(Y9*AA9*AG9*AH9*AI9)^(1/5)-1</f>
        <v>8.9872485053870577E-2</v>
      </c>
      <c r="AL9" s="3612"/>
      <c r="AM9" s="3612"/>
      <c r="AN9" s="3529"/>
      <c r="AO9" s="3613">
        <f>AO8/AI8</f>
        <v>1.0470821221849225</v>
      </c>
      <c r="AP9" s="3450">
        <f t="shared" ref="AP9:AS9" si="2">AP8/AO8</f>
        <v>0.96274314933913463</v>
      </c>
      <c r="AQ9" s="3450">
        <f t="shared" si="2"/>
        <v>1.0412886958631864</v>
      </c>
      <c r="AR9" s="3450">
        <f t="shared" si="2"/>
        <v>1.0446021463253441</v>
      </c>
      <c r="AS9" s="3450">
        <f t="shared" si="2"/>
        <v>1.0506113187038404</v>
      </c>
      <c r="AT9" s="3615"/>
      <c r="AU9" s="3616">
        <f>(AO9*AP9*AQ9*AR9*AS9)^(1/5)-1</f>
        <v>2.8705507295739618E-2</v>
      </c>
      <c r="AV9" s="3612"/>
      <c r="AW9" s="3533"/>
      <c r="AX9" s="3132"/>
      <c r="AZ9" s="3618">
        <f>AI8/AA8-1</f>
        <v>0.26974355700925456</v>
      </c>
    </row>
    <row r="10" spans="1:52" s="3624" customFormat="1">
      <c r="A10" s="3619" t="s">
        <v>1</v>
      </c>
      <c r="B10" s="735" t="s">
        <v>142</v>
      </c>
      <c r="C10" s="3093">
        <f t="shared" ref="C10:H10" si="3">SUM(C11,C16,C30,C31,C32,C33,C35)</f>
        <v>4308494.4799180003</v>
      </c>
      <c r="D10" s="3093">
        <f t="shared" si="3"/>
        <v>5000022.8434038907</v>
      </c>
      <c r="E10" s="3093">
        <f t="shared" si="3"/>
        <v>5990803.5707400003</v>
      </c>
      <c r="F10" s="3093">
        <f t="shared" si="3"/>
        <v>6551207.428568</v>
      </c>
      <c r="G10" s="3093">
        <f t="shared" si="3"/>
        <v>7628457.570863001</v>
      </c>
      <c r="H10" s="3093">
        <f t="shared" si="3"/>
        <v>8304427.1655269992</v>
      </c>
      <c r="I10" s="3093">
        <f>SUM(D10:H10)</f>
        <v>33474918.57910189</v>
      </c>
      <c r="J10" s="3620"/>
      <c r="K10" s="3620">
        <f>I10/$I$10</f>
        <v>1</v>
      </c>
      <c r="L10" s="3093">
        <f t="shared" ref="L10:S10" si="4">SUM(L11,L16,L30,L31,L32,L33,L35)</f>
        <v>8674809.6461590007</v>
      </c>
      <c r="M10" s="3093">
        <f t="shared" si="4"/>
        <v>10083459.322280001</v>
      </c>
      <c r="N10" s="3093">
        <f>SUM(N11,N16,N30,N31,N32,N33,N35)</f>
        <v>9973333</v>
      </c>
      <c r="O10" s="3093">
        <f>SUM(O11,O16,O30,O31,O32,O33,O35)</f>
        <v>10427802.832636001</v>
      </c>
      <c r="P10" s="3093">
        <f t="shared" si="4"/>
        <v>10895260</v>
      </c>
      <c r="Q10" s="173">
        <f t="shared" si="4"/>
        <v>10979098.228876</v>
      </c>
      <c r="R10" s="173">
        <f t="shared" si="4"/>
        <v>12188277</v>
      </c>
      <c r="S10" s="173">
        <f t="shared" si="4"/>
        <v>13102723</v>
      </c>
      <c r="T10" s="186">
        <f>L10+M10+O10+Q10+S10</f>
        <v>53267893.029951006</v>
      </c>
      <c r="U10" s="3321"/>
      <c r="V10" s="3321">
        <f>T10/$T$10</f>
        <v>1</v>
      </c>
      <c r="W10" s="3321">
        <f t="shared" ref="W10:W30" si="5">T10/I10-1</f>
        <v>0.59127774737010719</v>
      </c>
      <c r="X10" s="173">
        <f t="shared" ref="X10:Z10" si="6">SUM(X11,X16,X30,X31,X32,X33,X35)</f>
        <v>12692115</v>
      </c>
      <c r="Y10" s="173">
        <f t="shared" si="6"/>
        <v>14076644</v>
      </c>
      <c r="Z10" s="173">
        <f t="shared" si="6"/>
        <v>12792680</v>
      </c>
      <c r="AA10" s="173">
        <f>SUM(AA11,AA16,AA30,AA31,AA32,AA33,AA35)</f>
        <v>14484679.802034</v>
      </c>
      <c r="AB10" s="185">
        <f>AA10+Y10+S10</f>
        <v>41664046.802033998</v>
      </c>
      <c r="AC10" s="3327">
        <f t="shared" si="1"/>
        <v>0.92045513673039858</v>
      </c>
      <c r="AD10" s="3327">
        <f>AB10/$AB$10</f>
        <v>1</v>
      </c>
      <c r="AE10" s="3327"/>
      <c r="AF10" s="3093">
        <f>SUM(AF11+AF16+AF30+AF31+AF32+AF33+AF35)</f>
        <v>13191488</v>
      </c>
      <c r="AG10" s="3093">
        <f>SUM(AG11+AG16+AG30+AG31+AG32+AG33+AG35)+AG34</f>
        <v>14663187.066666666</v>
      </c>
      <c r="AH10" s="3093">
        <f>SUM(AH11+AH16+AH30+AH31+AH32+AH33+AH35)</f>
        <v>16578432.915999997</v>
      </c>
      <c r="AI10" s="3093">
        <f>SUM(AI11+AI16+AI30+AI31+AI32+AI33+AI35)+AI34</f>
        <v>17040854.242349334</v>
      </c>
      <c r="AJ10" s="3093">
        <f t="shared" ref="AJ10:AT10" si="7">SUM(AJ11+AJ16+AJ30+AJ31+AJ32+AJ33+AJ35)</f>
        <v>76690588.307050005</v>
      </c>
      <c r="AK10" s="3093">
        <f>SUM(AK11+AK16+AK30+AK31+AK32+AK33+AK35)</f>
        <v>0</v>
      </c>
      <c r="AL10" s="3530">
        <f>AJ10/$AJ$8</f>
        <v>0.87315625843862954</v>
      </c>
      <c r="AM10" s="3530">
        <f t="shared" ref="AM10:AM79" si="8">AJ10/$AJ$10</f>
        <v>1</v>
      </c>
      <c r="AN10" s="3529"/>
      <c r="AO10" s="173">
        <f t="shared" si="7"/>
        <v>18001230.203054264</v>
      </c>
      <c r="AP10" s="186">
        <f t="shared" si="7"/>
        <v>17205488.468752064</v>
      </c>
      <c r="AQ10" s="186">
        <f t="shared" si="7"/>
        <v>18054488.287721697</v>
      </c>
      <c r="AR10" s="186">
        <f t="shared" si="7"/>
        <v>19009488.227051318</v>
      </c>
      <c r="AS10" s="186">
        <f t="shared" si="7"/>
        <v>20141487.513003781</v>
      </c>
      <c r="AT10" s="3621">
        <f t="shared" si="7"/>
        <v>92412182.699583128</v>
      </c>
      <c r="AU10" s="3622"/>
      <c r="AV10" s="3623">
        <f t="shared" ref="AV10:AV79" si="9">AT10/$AT$8</f>
        <v>0.84628584807328799</v>
      </c>
      <c r="AW10" s="3623">
        <f t="shared" ref="AW10:AW79" si="10">AT10/$AT$10</f>
        <v>1</v>
      </c>
      <c r="AX10" s="3529">
        <f>AT10/AJ10-1</f>
        <v>0.20500031020218246</v>
      </c>
      <c r="AZ10" s="3625">
        <f>AI10/$AI$10</f>
        <v>1</v>
      </c>
    </row>
    <row r="11" spans="1:52" s="3607" customFormat="1">
      <c r="A11" s="3626" t="s">
        <v>3</v>
      </c>
      <c r="B11" s="2857" t="s">
        <v>1680</v>
      </c>
      <c r="C11" s="39">
        <f>SUM(C12:C15)</f>
        <v>881389.27447200008</v>
      </c>
      <c r="D11" s="39">
        <f>SUM(D12:D15)</f>
        <v>1296865.3711568909</v>
      </c>
      <c r="E11" s="39">
        <f>SUM(E12:E15)</f>
        <v>1283487.4238549999</v>
      </c>
      <c r="F11" s="39">
        <f>SUM(F12:F15)</f>
        <v>1221622.2457999999</v>
      </c>
      <c r="G11" s="39">
        <f>SUM(G12:G15)</f>
        <v>1952654.9714940002</v>
      </c>
      <c r="H11" s="39">
        <f t="shared" ref="H11:O11" si="11">SUM(H12:H15)</f>
        <v>1868861</v>
      </c>
      <c r="I11" s="39">
        <f>SUM(D11:H11)</f>
        <v>7623491.0123058911</v>
      </c>
      <c r="J11" s="3529"/>
      <c r="K11" s="3529">
        <f>I11/$I$10</f>
        <v>0.22773740268528009</v>
      </c>
      <c r="L11" s="39">
        <f t="shared" si="11"/>
        <v>2029265</v>
      </c>
      <c r="M11" s="39">
        <f t="shared" si="11"/>
        <v>1800118</v>
      </c>
      <c r="N11" s="39">
        <f t="shared" si="11"/>
        <v>2556350</v>
      </c>
      <c r="O11" s="39">
        <f t="shared" si="11"/>
        <v>2605155</v>
      </c>
      <c r="P11" s="39">
        <f>SUM(P12:P15)</f>
        <v>2866350</v>
      </c>
      <c r="Q11" s="147">
        <f>SUM(Q12:Q15)</f>
        <v>2582125.2288760003</v>
      </c>
      <c r="R11" s="147">
        <f>SUM(R12:R15)</f>
        <v>3191485</v>
      </c>
      <c r="S11" s="147">
        <f>SUM(S12:S15)</f>
        <v>4460541</v>
      </c>
      <c r="T11" s="185">
        <f t="shared" ref="T11:T52" si="12">L11+M11+O11+Q11+S11</f>
        <v>13477204.228876</v>
      </c>
      <c r="U11" s="3329"/>
      <c r="V11" s="3329">
        <f>T11/$T$10</f>
        <v>0.25300802157311075</v>
      </c>
      <c r="W11" s="3329">
        <f t="shared" si="5"/>
        <v>0.76785205191702932</v>
      </c>
      <c r="X11" s="147">
        <f t="shared" ref="X11:Z11" si="13">SUM(X12:X15)</f>
        <v>3381485</v>
      </c>
      <c r="Y11" s="147">
        <f t="shared" si="13"/>
        <v>4460541</v>
      </c>
      <c r="Z11" s="147">
        <f t="shared" si="13"/>
        <v>3374957</v>
      </c>
      <c r="AA11" s="147">
        <f>SUM(AA12:AA15)</f>
        <v>5399002.1306710001</v>
      </c>
      <c r="AB11" s="185">
        <f>AA11+Y11+S11</f>
        <v>14320084.130671</v>
      </c>
      <c r="AC11" s="3327">
        <f>AB11/$AB$8</f>
        <v>0.31636377184186781</v>
      </c>
      <c r="AD11" s="3327">
        <f>AB11/$AB$10</f>
        <v>0.34370363010373511</v>
      </c>
      <c r="AE11" s="3327"/>
      <c r="AF11" s="39">
        <f>SUM(AF12:AF15)</f>
        <v>3561000</v>
      </c>
      <c r="AG11" s="39">
        <f>SUM(AG12:AG15)</f>
        <v>4091000</v>
      </c>
      <c r="AH11" s="39">
        <f>SUM(AH12:AH15)</f>
        <v>4863186.4089698764</v>
      </c>
      <c r="AI11" s="39">
        <f>SUM(AI12:AI15)</f>
        <v>4735000</v>
      </c>
      <c r="AJ11" s="39">
        <f>Y11+AA11+AG11+AH11+AI11</f>
        <v>23548729.539640877</v>
      </c>
      <c r="AK11" s="3529"/>
      <c r="AL11" s="3530">
        <f t="shared" ref="AL11:AL80" si="14">AJ11/$AJ$8</f>
        <v>0.26811269843819757</v>
      </c>
      <c r="AM11" s="3530">
        <f t="shared" si="8"/>
        <v>0.30706153205342007</v>
      </c>
      <c r="AN11" s="3529">
        <f t="shared" ref="AN11" si="15">+AJ11/T11-1</f>
        <v>0.7473007858102958</v>
      </c>
      <c r="AO11" s="147">
        <f t="shared" ref="AO11:AS11" si="16">SUM(AO12:AO15)</f>
        <v>5025000</v>
      </c>
      <c r="AP11" s="185">
        <f t="shared" si="16"/>
        <v>5099330.4687520657</v>
      </c>
      <c r="AQ11" s="185">
        <f t="shared" si="16"/>
        <v>5267830.2877216972</v>
      </c>
      <c r="AR11" s="185">
        <f t="shared" si="16"/>
        <v>5407402.2270513177</v>
      </c>
      <c r="AS11" s="185">
        <f t="shared" si="16"/>
        <v>5601293.4130037781</v>
      </c>
      <c r="AT11" s="3627">
        <f>SUM(AO11:AS11)</f>
        <v>26400856.396528862</v>
      </c>
      <c r="AU11" s="3628"/>
      <c r="AV11" s="3623">
        <f t="shared" si="9"/>
        <v>0.24177192327585079</v>
      </c>
      <c r="AW11" s="3623">
        <f t="shared" si="10"/>
        <v>0.2856858871340992</v>
      </c>
      <c r="AX11" s="3529">
        <f>AT11/AJ11-1</f>
        <v>0.12111595456081159</v>
      </c>
      <c r="AZ11" s="3625">
        <f t="shared" ref="AZ11:AZ80" si="17">AI11/$AI$10</f>
        <v>0.27786165720687545</v>
      </c>
    </row>
    <row r="12" spans="1:52" s="3607" customFormat="1">
      <c r="A12" s="3629">
        <v>1</v>
      </c>
      <c r="B12" s="3150" t="s">
        <v>2064</v>
      </c>
      <c r="C12" s="37">
        <v>249673.54338399999</v>
      </c>
      <c r="D12" s="37">
        <v>478645.8879538909</v>
      </c>
      <c r="E12" s="37">
        <v>473880.659055</v>
      </c>
      <c r="F12" s="37">
        <v>347996.01699999999</v>
      </c>
      <c r="G12" s="37">
        <v>453930.929489</v>
      </c>
      <c r="H12" s="37">
        <v>494263</v>
      </c>
      <c r="I12" s="37">
        <f>SUM(D12:H12)</f>
        <v>2248716.4934978909</v>
      </c>
      <c r="J12" s="3538"/>
      <c r="K12" s="3538">
        <f>I12/$I$10</f>
        <v>6.7176160210341646E-2</v>
      </c>
      <c r="L12" s="37">
        <v>755259</v>
      </c>
      <c r="M12" s="37">
        <v>553506</v>
      </c>
      <c r="N12" s="37">
        <v>1036350</v>
      </c>
      <c r="O12" s="37">
        <v>1113443</v>
      </c>
      <c r="P12" s="37">
        <v>1036350</v>
      </c>
      <c r="Q12" s="152">
        <f>[21]Sheet1!$C$9</f>
        <v>853859.37400000007</v>
      </c>
      <c r="R12" s="152">
        <v>1131485</v>
      </c>
      <c r="S12" s="152">
        <f>[21]Sheet1!$F$9</f>
        <v>1006681.451</v>
      </c>
      <c r="T12" s="779">
        <f>L12+M12+O12+Q12+S12</f>
        <v>4282748.8250000002</v>
      </c>
      <c r="U12" s="3441"/>
      <c r="V12" s="3441">
        <f t="shared" ref="V12:V35" si="18">T12/$T$10</f>
        <v>8.0400191961636877E-2</v>
      </c>
      <c r="W12" s="3441">
        <f>T12/I12-1</f>
        <v>0.9045303564871181</v>
      </c>
      <c r="X12" s="152">
        <f>'[22]Phụ lục số 2'!$C$10</f>
        <v>1131485</v>
      </c>
      <c r="Y12" s="152">
        <f>[21]Sheet1!$I$9</f>
        <v>839196.836075</v>
      </c>
      <c r="Z12" s="152">
        <v>1036180</v>
      </c>
      <c r="AA12" s="152">
        <f>'[12]Chi (HĐND)'!$F$15</f>
        <v>881544.812041</v>
      </c>
      <c r="AB12" s="779">
        <f t="shared" ref="AB12:AB81" si="19">AA12+Y12+S12</f>
        <v>2727423.0991159999</v>
      </c>
      <c r="AC12" s="3503">
        <f t="shared" si="1"/>
        <v>6.0255083082709729E-2</v>
      </c>
      <c r="AD12" s="3503">
        <f t="shared" ref="AD12:AD81" si="20">AB12/$AB$10</f>
        <v>6.5462270433674002E-2</v>
      </c>
      <c r="AE12" s="3503"/>
      <c r="AF12" s="37">
        <f>[2]PL2.1!K10</f>
        <v>1061000</v>
      </c>
      <c r="AG12" s="37">
        <f>[2]PL2.1!P10</f>
        <v>1061000</v>
      </c>
      <c r="AH12" s="37">
        <f>[2]PL2.1!U10</f>
        <v>1143186.4089698761</v>
      </c>
      <c r="AI12" s="37">
        <f>[2]PL2.1!Z10</f>
        <v>1213000</v>
      </c>
      <c r="AJ12" s="37">
        <f>Y12+AA12+AG12+AH12+AI12</f>
        <v>5137928.0570858764</v>
      </c>
      <c r="AK12" s="3538"/>
      <c r="AL12" s="3630">
        <f t="shared" si="14"/>
        <v>5.849758278669448E-2</v>
      </c>
      <c r="AM12" s="3630">
        <f t="shared" si="8"/>
        <v>6.6995548873805641E-2</v>
      </c>
      <c r="AN12" s="3538">
        <f>+AJ12/T12-1</f>
        <v>0.19967998755702787</v>
      </c>
      <c r="AO12" s="152">
        <f>[2]PL2.1!AE10</f>
        <v>1265000</v>
      </c>
      <c r="AP12" s="779">
        <f>'[16]Phụ lục số 2-1'!AJ10</f>
        <v>1199330.4687520659</v>
      </c>
      <c r="AQ12" s="779">
        <f>'[16]Phụ lục số 2-1'!AO10</f>
        <v>1257830.2877216975</v>
      </c>
      <c r="AR12" s="779">
        <f>'[16]Phụ lục số 2-1'!AT10</f>
        <v>1297402.2270513177</v>
      </c>
      <c r="AS12" s="779">
        <f>'[16]Phụ lục số 2-1'!AY10</f>
        <v>1341293.4130037783</v>
      </c>
      <c r="AT12" s="3631">
        <f>SUM(AO12:AS12)</f>
        <v>6360856.3965288587</v>
      </c>
      <c r="AU12" s="3628"/>
      <c r="AV12" s="3632">
        <f t="shared" si="9"/>
        <v>5.8251007526879971E-2</v>
      </c>
      <c r="AW12" s="3632">
        <f t="shared" si="10"/>
        <v>6.883136195589018E-2</v>
      </c>
      <c r="AX12" s="3538">
        <f>AT12/AJ12-1</f>
        <v>0.23801974762110656</v>
      </c>
      <c r="AZ12" s="3625">
        <f t="shared" si="17"/>
        <v>7.118187754845616E-2</v>
      </c>
    </row>
    <row r="13" spans="1:52" s="3607" customFormat="1">
      <c r="A13" s="3629">
        <v>2</v>
      </c>
      <c r="B13" s="3150" t="s">
        <v>2065</v>
      </c>
      <c r="C13" s="37">
        <v>282628.00725800003</v>
      </c>
      <c r="D13" s="37">
        <v>262379.85220299999</v>
      </c>
      <c r="E13" s="37">
        <v>291839.82780000003</v>
      </c>
      <c r="F13" s="37">
        <v>303789.2758</v>
      </c>
      <c r="G13" s="37">
        <v>355825.039116</v>
      </c>
      <c r="H13" s="37">
        <v>317091</v>
      </c>
      <c r="I13" s="37">
        <f t="shared" ref="I13:I35" si="21">SUM(D13:H13)</f>
        <v>1530924.994919</v>
      </c>
      <c r="J13" s="3538"/>
      <c r="K13" s="3538">
        <f>I13/$I$10</f>
        <v>4.5733494207055178E-2</v>
      </c>
      <c r="L13" s="37">
        <v>333567</v>
      </c>
      <c r="M13" s="37">
        <v>351441</v>
      </c>
      <c r="N13" s="37">
        <v>250000</v>
      </c>
      <c r="O13" s="37">
        <v>281847</v>
      </c>
      <c r="P13" s="37">
        <v>450000</v>
      </c>
      <c r="Q13" s="152">
        <f>[21]Sheet1!$C$10</f>
        <v>306246</v>
      </c>
      <c r="R13" s="152">
        <v>600000</v>
      </c>
      <c r="S13" s="152">
        <f>[21]Sheet1!$F$10</f>
        <v>557722.85500600003</v>
      </c>
      <c r="T13" s="779">
        <f t="shared" si="12"/>
        <v>1830823.855006</v>
      </c>
      <c r="U13" s="3441"/>
      <c r="V13" s="3441">
        <f t="shared" si="18"/>
        <v>3.4370119613640067E-2</v>
      </c>
      <c r="W13" s="3441">
        <f t="shared" si="5"/>
        <v>0.19589389492126452</v>
      </c>
      <c r="X13" s="152">
        <f>'[22]Phụ lục số 2'!$C$11</f>
        <v>750000</v>
      </c>
      <c r="Y13" s="152">
        <f>[21]Sheet1!$I$10</f>
        <v>461660.39653100003</v>
      </c>
      <c r="Z13" s="152">
        <v>800000</v>
      </c>
      <c r="AA13" s="152">
        <f>'[12]Chi (HĐND)'!$F$16</f>
        <v>989715.99300000002</v>
      </c>
      <c r="AB13" s="779">
        <f t="shared" si="19"/>
        <v>2009099.2445370001</v>
      </c>
      <c r="AC13" s="3503">
        <f t="shared" si="1"/>
        <v>4.4385648101397689E-2</v>
      </c>
      <c r="AD13" s="3503">
        <f t="shared" si="20"/>
        <v>4.8221413874729946E-2</v>
      </c>
      <c r="AE13" s="3503"/>
      <c r="AF13" s="37">
        <f>[2]PL2.1!K11</f>
        <v>900000</v>
      </c>
      <c r="AG13" s="37">
        <f>[2]PL2.1!P11</f>
        <v>1080000</v>
      </c>
      <c r="AH13" s="37">
        <f>[2]PL2.1!U11</f>
        <v>1770000</v>
      </c>
      <c r="AI13" s="37">
        <f>[2]PL2.1!Z11</f>
        <v>1200000</v>
      </c>
      <c r="AJ13" s="37">
        <f t="shared" ref="AJ13:AJ14" si="22">Y13+AA13+AG13+AH13+AI13</f>
        <v>5501376.3895309996</v>
      </c>
      <c r="AK13" s="3538"/>
      <c r="AL13" s="3630">
        <f t="shared" si="14"/>
        <v>6.2635602758884079E-2</v>
      </c>
      <c r="AM13" s="3630">
        <f t="shared" si="8"/>
        <v>7.173470058027015E-2</v>
      </c>
      <c r="AN13" s="3538">
        <f>+AJ13/T13-1</f>
        <v>2.0048638346549019</v>
      </c>
      <c r="AO13" s="152">
        <f>[2]PL2.1!AE11</f>
        <v>1260000</v>
      </c>
      <c r="AP13" s="779">
        <f>'[16]Phụ lục số 2-1'!AJ11</f>
        <v>1300000</v>
      </c>
      <c r="AQ13" s="779">
        <f>'[16]Phụ lục số 2-1'!AO11</f>
        <v>1350000</v>
      </c>
      <c r="AR13" s="779">
        <f>'[16]Phụ lục số 2-1'!AT11</f>
        <v>1400000</v>
      </c>
      <c r="AS13" s="779">
        <f>'[16]Phụ lục số 2-1'!AY11</f>
        <v>1450000</v>
      </c>
      <c r="AT13" s="3631">
        <f t="shared" ref="AT13:AT41" si="23">SUM(AO13:AS13)</f>
        <v>6760000</v>
      </c>
      <c r="AU13" s="3628"/>
      <c r="AV13" s="3632">
        <f t="shared" si="9"/>
        <v>6.190625700913386E-2</v>
      </c>
      <c r="AW13" s="3632">
        <f t="shared" si="10"/>
        <v>7.3150528453327993E-2</v>
      </c>
      <c r="AX13" s="3538">
        <f>AT13/AJ13-1</f>
        <v>0.2287834027979132</v>
      </c>
      <c r="AZ13" s="3625">
        <f t="shared" si="17"/>
        <v>7.0419004994350692E-2</v>
      </c>
    </row>
    <row r="14" spans="1:52" s="3607" customFormat="1">
      <c r="A14" s="3629">
        <v>3</v>
      </c>
      <c r="B14" s="3150" t="s">
        <v>1918</v>
      </c>
      <c r="C14" s="37">
        <v>349087.72382999997</v>
      </c>
      <c r="D14" s="37">
        <v>555839.63100000005</v>
      </c>
      <c r="E14" s="37">
        <v>517766.93699999998</v>
      </c>
      <c r="F14" s="37">
        <v>569836.95299999998</v>
      </c>
      <c r="G14" s="37">
        <v>1142899.0028890001</v>
      </c>
      <c r="H14" s="37">
        <v>1057507</v>
      </c>
      <c r="I14" s="37">
        <f t="shared" si="21"/>
        <v>3843849.5238890001</v>
      </c>
      <c r="J14" s="3538"/>
      <c r="K14" s="3538">
        <f>I14/$I$10</f>
        <v>0.11482774826788325</v>
      </c>
      <c r="L14" s="37">
        <v>940439</v>
      </c>
      <c r="M14" s="37">
        <v>895171</v>
      </c>
      <c r="N14" s="37">
        <v>1270000</v>
      </c>
      <c r="O14" s="37">
        <v>1209865</v>
      </c>
      <c r="P14" s="37">
        <v>1380000</v>
      </c>
      <c r="Q14" s="152">
        <f>[21]Sheet1!$C$11</f>
        <v>1422019.854876</v>
      </c>
      <c r="R14" s="152">
        <v>1460000</v>
      </c>
      <c r="S14" s="152">
        <f>[21]Sheet1!$F$11</f>
        <v>1360127.8934820001</v>
      </c>
      <c r="T14" s="779">
        <f t="shared" si="12"/>
        <v>5827622.7483580001</v>
      </c>
      <c r="U14" s="3441"/>
      <c r="V14" s="3441">
        <f t="shared" si="18"/>
        <v>0.10940216360878578</v>
      </c>
      <c r="W14" s="3441">
        <f t="shared" si="5"/>
        <v>0.51609024030210349</v>
      </c>
      <c r="X14" s="3539">
        <f>'[22]Phụ lục số 2'!$C$12</f>
        <v>1500000</v>
      </c>
      <c r="Y14" s="152">
        <f>[21]Sheet1!$I$11</f>
        <v>731759.17074700003</v>
      </c>
      <c r="Z14" s="152">
        <v>1500000</v>
      </c>
      <c r="AA14" s="152">
        <f>'[12]Chi (HĐND)'!$F$17</f>
        <v>1389289.7294949999</v>
      </c>
      <c r="AB14" s="779">
        <f t="shared" si="19"/>
        <v>3481176.793724</v>
      </c>
      <c r="AC14" s="3503">
        <f t="shared" si="1"/>
        <v>7.6907245157315965E-2</v>
      </c>
      <c r="AD14" s="3503">
        <f t="shared" si="20"/>
        <v>8.3553496621793649E-2</v>
      </c>
      <c r="AE14" s="3503"/>
      <c r="AF14" s="37">
        <f>[2]PL2.1!K12</f>
        <v>1600000</v>
      </c>
      <c r="AG14" s="37">
        <f>[2]PL2.1!P12</f>
        <v>1950000</v>
      </c>
      <c r="AH14" s="37">
        <f>[2]PL2.1!U12</f>
        <v>1950000</v>
      </c>
      <c r="AI14" s="37">
        <f>[2]PL2.1!Z12</f>
        <v>2322000</v>
      </c>
      <c r="AJ14" s="37">
        <f t="shared" si="22"/>
        <v>8343048.9002419999</v>
      </c>
      <c r="AK14" s="3538"/>
      <c r="AL14" s="3630">
        <f t="shared" si="14"/>
        <v>9.4989300806239255E-2</v>
      </c>
      <c r="AM14" s="3630">
        <f t="shared" si="8"/>
        <v>0.10878843264102384</v>
      </c>
      <c r="AN14" s="3538">
        <f>+AJ14/T14-1</f>
        <v>0.43163846743386913</v>
      </c>
      <c r="AO14" s="152">
        <f>[2]PL2.1!AE12</f>
        <v>2500000</v>
      </c>
      <c r="AP14" s="779">
        <f>'[16]Phụ lục số 2-1'!AJ12</f>
        <v>2600000</v>
      </c>
      <c r="AQ14" s="779">
        <f>'[16]Phụ lục số 2-1'!AO12</f>
        <v>2660000</v>
      </c>
      <c r="AR14" s="779">
        <f>'[16]Phụ lục số 2-1'!AT12</f>
        <v>2710000</v>
      </c>
      <c r="AS14" s="779">
        <f>'[16]Phụ lục số 2-1'!AY12</f>
        <v>2810000</v>
      </c>
      <c r="AT14" s="3631">
        <f t="shared" si="23"/>
        <v>13280000</v>
      </c>
      <c r="AU14" s="3628"/>
      <c r="AV14" s="3632">
        <f t="shared" si="9"/>
        <v>0.12161465873983693</v>
      </c>
      <c r="AW14" s="3632">
        <f t="shared" si="10"/>
        <v>0.14370399672488102</v>
      </c>
      <c r="AX14" s="3538">
        <f t="shared" ref="AX14:AX15" si="24">AT14/AJ14-1</f>
        <v>0.59174423628450712</v>
      </c>
      <c r="AZ14" s="3625">
        <f t="shared" si="17"/>
        <v>0.13626077466406861</v>
      </c>
    </row>
    <row r="15" spans="1:52" s="3607" customFormat="1" ht="31.2">
      <c r="A15" s="3629">
        <v>4</v>
      </c>
      <c r="B15" s="3150" t="s">
        <v>2066</v>
      </c>
      <c r="C15" s="37"/>
      <c r="D15" s="37"/>
      <c r="E15" s="37"/>
      <c r="F15" s="37"/>
      <c r="G15" s="37"/>
      <c r="H15" s="37"/>
      <c r="I15" s="37"/>
      <c r="J15" s="3538"/>
      <c r="K15" s="3538"/>
      <c r="L15" s="37"/>
      <c r="M15" s="37"/>
      <c r="N15" s="37"/>
      <c r="O15" s="37"/>
      <c r="P15" s="37"/>
      <c r="Q15" s="152">
        <v>0</v>
      </c>
      <c r="R15" s="152"/>
      <c r="S15" s="152">
        <f>4460541-S12-S13-S14</f>
        <v>1536008.800512</v>
      </c>
      <c r="T15" s="779">
        <f>L15+M15+O15+Q15+S15</f>
        <v>1536008.800512</v>
      </c>
      <c r="U15" s="3441"/>
      <c r="V15" s="3441"/>
      <c r="W15" s="3441"/>
      <c r="X15" s="3539"/>
      <c r="Y15" s="152">
        <f>4460541-Y12-Y13-Y14</f>
        <v>2427924.5966469999</v>
      </c>
      <c r="Z15" s="152">
        <v>38777</v>
      </c>
      <c r="AA15" s="152">
        <f>'[12]Chi (HĐND)'!$F$13+'[12]Chi (HĐND)'!$F$19-AA12-AA13-AA14</f>
        <v>2138451.5961350007</v>
      </c>
      <c r="AB15" s="779">
        <f t="shared" si="19"/>
        <v>6102384.9932940006</v>
      </c>
      <c r="AC15" s="3503">
        <f t="shared" si="1"/>
        <v>0.13481579550044445</v>
      </c>
      <c r="AD15" s="3503">
        <f>AB15/$AB$10</f>
        <v>0.14646644917353752</v>
      </c>
      <c r="AE15" s="3503"/>
      <c r="AF15" s="37">
        <f>[2]PL2.1!K13</f>
        <v>0</v>
      </c>
      <c r="AG15" s="37">
        <f>[2]PL2.1!P13</f>
        <v>0</v>
      </c>
      <c r="AH15" s="37">
        <f>[2]PL2.1!U13</f>
        <v>0</v>
      </c>
      <c r="AI15" s="37">
        <f>[2]PL2.1!Z13</f>
        <v>0</v>
      </c>
      <c r="AJ15" s="37">
        <f>Y15+AA15+AG15+AH15+AI15</f>
        <v>4566376.1927820006</v>
      </c>
      <c r="AK15" s="3538" t="s">
        <v>117</v>
      </c>
      <c r="AL15" s="3630">
        <f t="shared" si="14"/>
        <v>5.1990212086379765E-2</v>
      </c>
      <c r="AM15" s="3630">
        <f t="shared" si="8"/>
        <v>5.9542849958320418E-2</v>
      </c>
      <c r="AN15" s="3538">
        <f t="shared" ref="AN15:AN84" si="25">+AJ15/T15-1</f>
        <v>1.9728841340361356</v>
      </c>
      <c r="AO15" s="152">
        <f>[2]PL2.1!AE13</f>
        <v>0</v>
      </c>
      <c r="AP15" s="779">
        <f>'[16]Phụ lục số 2-1'!AJ13</f>
        <v>0</v>
      </c>
      <c r="AQ15" s="779">
        <f>'[16]Phụ lục số 2-1'!AO13</f>
        <v>0</v>
      </c>
      <c r="AR15" s="779">
        <f>'[16]Phụ lục số 2-1'!AT13</f>
        <v>0</v>
      </c>
      <c r="AS15" s="779">
        <f>'[16]Phụ lục số 2-1'!AY13</f>
        <v>0</v>
      </c>
      <c r="AT15" s="3631">
        <f t="shared" si="23"/>
        <v>0</v>
      </c>
      <c r="AU15" s="3628"/>
      <c r="AV15" s="3632">
        <f t="shared" si="9"/>
        <v>0</v>
      </c>
      <c r="AW15" s="3632">
        <f t="shared" si="10"/>
        <v>0</v>
      </c>
      <c r="AX15" s="3538">
        <f t="shared" si="24"/>
        <v>-1</v>
      </c>
      <c r="AZ15" s="3625">
        <f t="shared" si="17"/>
        <v>0</v>
      </c>
    </row>
    <row r="16" spans="1:52" s="2028" customFormat="1">
      <c r="A16" s="3626" t="s">
        <v>33</v>
      </c>
      <c r="B16" s="2857" t="s">
        <v>151</v>
      </c>
      <c r="C16" s="39">
        <f>SUM(C17,C18,C19,C20)</f>
        <v>2567842.2054460002</v>
      </c>
      <c r="D16" s="39">
        <f>SUM(D17,D18,D19,D20)</f>
        <v>3701157.4722469999</v>
      </c>
      <c r="E16" s="39">
        <f>SUM(E17,E18,E19,E20)</f>
        <v>4705316.1468850002</v>
      </c>
      <c r="F16" s="39">
        <f>SUM(F17,F18,F19,F20)</f>
        <v>5327585.1827680003</v>
      </c>
      <c r="G16" s="39">
        <f>SUM(G17,G18,G19,G20)</f>
        <v>5673802.5993690006</v>
      </c>
      <c r="H16" s="39">
        <f t="shared" ref="H16:O16" si="26">SUM(H17,H18,H19,H20)</f>
        <v>5943201.1655269992</v>
      </c>
      <c r="I16" s="39">
        <f t="shared" si="21"/>
        <v>25351062.566796005</v>
      </c>
      <c r="J16" s="3529"/>
      <c r="K16" s="3529">
        <f t="shared" ref="K16:K30" si="27">I16/$I$10</f>
        <v>0.7573151375078313</v>
      </c>
      <c r="L16" s="39">
        <f t="shared" si="26"/>
        <v>6231312.6461589998</v>
      </c>
      <c r="M16" s="39">
        <f t="shared" si="26"/>
        <v>7010541.32228</v>
      </c>
      <c r="N16" s="39">
        <f t="shared" si="26"/>
        <v>7131263</v>
      </c>
      <c r="O16" s="39">
        <f t="shared" si="26"/>
        <v>7541051.8326360006</v>
      </c>
      <c r="P16" s="39">
        <f>SUM(P17,P18,P19,P20)</f>
        <v>7613338</v>
      </c>
      <c r="Q16" s="147">
        <f>SUM(Q17,Q18,Q19,Q20)</f>
        <v>8394673</v>
      </c>
      <c r="R16" s="147">
        <v>8380843</v>
      </c>
      <c r="S16" s="147">
        <f>SUM(S17,S18,S19,S20)</f>
        <v>8639182</v>
      </c>
      <c r="T16" s="185">
        <f t="shared" si="12"/>
        <v>37816760.801074997</v>
      </c>
      <c r="U16" s="3329"/>
      <c r="V16" s="3329">
        <f>T16/$T$10</f>
        <v>0.70993535974497279</v>
      </c>
      <c r="W16" s="3329">
        <f t="shared" si="5"/>
        <v>0.49172290910623051</v>
      </c>
      <c r="X16" s="147">
        <f t="shared" ref="X16:AI16" si="28">SUM(X17,X18,X19,X20)</f>
        <v>8465821</v>
      </c>
      <c r="Y16" s="147">
        <f t="shared" si="28"/>
        <v>9613280</v>
      </c>
      <c r="Z16" s="147">
        <f t="shared" si="28"/>
        <v>9140657</v>
      </c>
      <c r="AA16" s="147">
        <f>'[12]Chi (HĐND)'!$F$23</f>
        <v>9081902.7744820006</v>
      </c>
      <c r="AB16" s="185">
        <f>AA16+Y16+S16</f>
        <v>27334364.774482001</v>
      </c>
      <c r="AC16" s="3327">
        <f t="shared" si="1"/>
        <v>0.60387932515249887</v>
      </c>
      <c r="AD16" s="3327">
        <f t="shared" si="20"/>
        <v>0.65606600588658048</v>
      </c>
      <c r="AE16" s="3327">
        <f>AB16/$AB$16</f>
        <v>1</v>
      </c>
      <c r="AF16" s="39">
        <f>SUM(AF17+AF18+AF19+AF20)</f>
        <v>9353865</v>
      </c>
      <c r="AG16" s="39">
        <f>SUM(AG17+AG18+AG19+AG20)</f>
        <v>9353865</v>
      </c>
      <c r="AH16" s="39">
        <f t="shared" si="28"/>
        <v>10664978.394711081</v>
      </c>
      <c r="AI16" s="39">
        <f t="shared" si="28"/>
        <v>11071000</v>
      </c>
      <c r="AJ16" s="39">
        <f>Y16+AA16+AG16+AH16+AI16</f>
        <v>49785026.169193082</v>
      </c>
      <c r="AK16" s="3529"/>
      <c r="AL16" s="3530">
        <f t="shared" si="14"/>
        <v>0.56682453656657861</v>
      </c>
      <c r="AM16" s="3530">
        <f t="shared" si="8"/>
        <v>0.64916735245094537</v>
      </c>
      <c r="AN16" s="3538">
        <f t="shared" si="25"/>
        <v>0.31648044715077428</v>
      </c>
      <c r="AO16" s="147">
        <f t="shared" ref="AO16:AS16" si="29">SUM(AO17,AO18,AO19,AO20)</f>
        <v>11373000</v>
      </c>
      <c r="AP16" s="185">
        <f t="shared" si="29"/>
        <v>10464000</v>
      </c>
      <c r="AQ16" s="185">
        <f t="shared" si="29"/>
        <v>10767000</v>
      </c>
      <c r="AR16" s="185">
        <f t="shared" si="29"/>
        <v>11101000</v>
      </c>
      <c r="AS16" s="185">
        <f t="shared" si="29"/>
        <v>11476000</v>
      </c>
      <c r="AT16" s="3627">
        <f>SUM(AO16:AS16)</f>
        <v>55181000</v>
      </c>
      <c r="AU16" s="3633"/>
      <c r="AV16" s="3623">
        <f t="shared" si="9"/>
        <v>0.50533271716287209</v>
      </c>
      <c r="AW16" s="3623">
        <f t="shared" si="10"/>
        <v>0.59711824121051649</v>
      </c>
      <c r="AX16" s="3529">
        <f>AT16/AJ16-1</f>
        <v>0.10838547744192883</v>
      </c>
      <c r="AY16" s="3344">
        <f>AI16/$AI$16</f>
        <v>1</v>
      </c>
      <c r="AZ16" s="3625">
        <f t="shared" si="17"/>
        <v>0.64967400357704708</v>
      </c>
    </row>
    <row r="17" spans="1:52" s="2028" customFormat="1">
      <c r="A17" s="3626">
        <v>1</v>
      </c>
      <c r="B17" s="39" t="s">
        <v>738</v>
      </c>
      <c r="C17" s="39">
        <v>1195670.773844</v>
      </c>
      <c r="D17" s="39">
        <v>1428490.927049</v>
      </c>
      <c r="E17" s="39">
        <v>1957330.7359720001</v>
      </c>
      <c r="F17" s="39">
        <v>2188274.0349940001</v>
      </c>
      <c r="G17" s="39">
        <v>2397442.1445920002</v>
      </c>
      <c r="H17" s="39">
        <v>2477605.390437</v>
      </c>
      <c r="I17" s="39">
        <f t="shared" si="21"/>
        <v>10449143.233044</v>
      </c>
      <c r="J17" s="3529"/>
      <c r="K17" s="3529">
        <f t="shared" si="27"/>
        <v>0.31214842863179698</v>
      </c>
      <c r="L17" s="39">
        <v>2573258.7171829999</v>
      </c>
      <c r="M17" s="39">
        <v>2856667.320301</v>
      </c>
      <c r="N17" s="39">
        <v>3098986</v>
      </c>
      <c r="O17" s="39">
        <v>3044195.1281700004</v>
      </c>
      <c r="P17" s="39">
        <v>3322431</v>
      </c>
      <c r="Q17" s="147">
        <v>3320884</v>
      </c>
      <c r="R17" s="147">
        <v>3653123</v>
      </c>
      <c r="S17" s="147">
        <f>3507850</f>
        <v>3507850</v>
      </c>
      <c r="T17" s="185">
        <f t="shared" si="12"/>
        <v>15302855.165654</v>
      </c>
      <c r="U17" s="3329"/>
      <c r="V17" s="3329">
        <f t="shared" si="18"/>
        <v>0.28728102981376874</v>
      </c>
      <c r="W17" s="3329">
        <f t="shared" si="5"/>
        <v>0.46450812515047102</v>
      </c>
      <c r="X17" s="3345">
        <f>'[22]Phụ lục số 2'!$C$19</f>
        <v>3653191</v>
      </c>
      <c r="Y17" s="147">
        <f>3486573</f>
        <v>3486573</v>
      </c>
      <c r="Z17" s="147">
        <v>4090257</v>
      </c>
      <c r="AA17" s="147">
        <f>'[12]Chi (HĐND)'!$F$32</f>
        <v>3506949.6535290005</v>
      </c>
      <c r="AB17" s="185">
        <f t="shared" si="19"/>
        <v>10501372.653529</v>
      </c>
      <c r="AC17" s="3327">
        <f t="shared" si="1"/>
        <v>0.2319996050213014</v>
      </c>
      <c r="AD17" s="3327">
        <f t="shared" si="20"/>
        <v>0.25204879169385758</v>
      </c>
      <c r="AE17" s="3331">
        <f t="shared" ref="AE17:AE29" si="30">AB17/$AB$16</f>
        <v>0.38418206313440861</v>
      </c>
      <c r="AF17" s="39">
        <f>[2]PL2.1!K19</f>
        <v>4179745</v>
      </c>
      <c r="AG17" s="39">
        <f>[2]PL2.1!P19</f>
        <v>4179745</v>
      </c>
      <c r="AH17" s="39">
        <f>[2]PL2.1!U19</f>
        <v>4797945.7831797441</v>
      </c>
      <c r="AI17" s="39">
        <f>[2]PL2.1!Z19</f>
        <v>4916000</v>
      </c>
      <c r="AJ17" s="39">
        <f>Y17+AA17+AG17+AH17+AI17</f>
        <v>20887213.436708745</v>
      </c>
      <c r="AK17" s="3529"/>
      <c r="AL17" s="3530">
        <f t="shared" si="14"/>
        <v>0.23781016075383418</v>
      </c>
      <c r="AM17" s="3530">
        <f t="shared" si="8"/>
        <v>0.27235693320126253</v>
      </c>
      <c r="AN17" s="3538">
        <f t="shared" si="25"/>
        <v>0.36492263767799216</v>
      </c>
      <c r="AO17" s="147">
        <f>[2]PL2.1!AE19</f>
        <v>5004000</v>
      </c>
      <c r="AP17" s="185">
        <f>'[16]Phụ lục số 2-1'!AJ19</f>
        <v>4649000</v>
      </c>
      <c r="AQ17" s="185">
        <f>'[16]Phụ lục số 2-1'!AO19</f>
        <v>4791000</v>
      </c>
      <c r="AR17" s="185">
        <f>'[16]Phụ lục số 2-1'!AT19</f>
        <v>4938000</v>
      </c>
      <c r="AS17" s="185">
        <f>'[16]Phụ lục số 2-1'!AY19</f>
        <v>5104000</v>
      </c>
      <c r="AT17" s="3627">
        <f t="shared" si="23"/>
        <v>24486000</v>
      </c>
      <c r="AU17" s="3633"/>
      <c r="AV17" s="3623">
        <f t="shared" si="9"/>
        <v>0.22423618478190113</v>
      </c>
      <c r="AW17" s="3623">
        <f t="shared" si="10"/>
        <v>0.26496506504559009</v>
      </c>
      <c r="AX17" s="3529">
        <f t="shared" ref="AX17:AX41" si="31">AT17/AJ17-1</f>
        <v>0.17229615497520023</v>
      </c>
      <c r="AY17" s="3344">
        <f t="shared" ref="AY17:AY86" si="32">AI17/$AI$16</f>
        <v>0.44404299521271789</v>
      </c>
      <c r="AZ17" s="3625">
        <f t="shared" si="17"/>
        <v>0.28848319046019</v>
      </c>
    </row>
    <row r="18" spans="1:52" s="2028" customFormat="1">
      <c r="A18" s="3626">
        <v>2</v>
      </c>
      <c r="B18" s="2857" t="s">
        <v>739</v>
      </c>
      <c r="C18" s="39">
        <v>10103.887626</v>
      </c>
      <c r="D18" s="39">
        <v>16708.203065999998</v>
      </c>
      <c r="E18" s="39">
        <v>13732.921410000001</v>
      </c>
      <c r="F18" s="39">
        <v>21991.801834000002</v>
      </c>
      <c r="G18" s="39">
        <v>21685.136095999998</v>
      </c>
      <c r="H18" s="39">
        <v>19615.733521999999</v>
      </c>
      <c r="I18" s="39">
        <f t="shared" si="21"/>
        <v>93733.795927999992</v>
      </c>
      <c r="J18" s="3529"/>
      <c r="K18" s="3529">
        <f t="shared" si="27"/>
        <v>2.8001202066109641E-3</v>
      </c>
      <c r="L18" s="39">
        <v>17427.107277999999</v>
      </c>
      <c r="M18" s="39">
        <v>20608.003771</v>
      </c>
      <c r="N18" s="39">
        <v>28000</v>
      </c>
      <c r="O18" s="39">
        <v>18902.695590000003</v>
      </c>
      <c r="P18" s="39">
        <v>28000</v>
      </c>
      <c r="Q18" s="147">
        <v>21132</v>
      </c>
      <c r="R18" s="147">
        <v>31000</v>
      </c>
      <c r="S18" s="147">
        <v>19238</v>
      </c>
      <c r="T18" s="185">
        <f t="shared" si="12"/>
        <v>97307.806639000002</v>
      </c>
      <c r="U18" s="3329"/>
      <c r="V18" s="3329">
        <f t="shared" si="18"/>
        <v>1.8267628228562864E-3</v>
      </c>
      <c r="W18" s="3329">
        <f t="shared" si="5"/>
        <v>3.8129371328835537E-2</v>
      </c>
      <c r="X18" s="3345">
        <f>'[22]Phụ lục số 2'!$C$18</f>
        <v>31000</v>
      </c>
      <c r="Y18" s="147">
        <v>14227</v>
      </c>
      <c r="Z18" s="147">
        <v>31000</v>
      </c>
      <c r="AA18" s="147">
        <f>'[12]Chi (HĐND)'!$F$31</f>
        <v>17128.735162000001</v>
      </c>
      <c r="AB18" s="185">
        <f t="shared" si="19"/>
        <v>50593.735161999997</v>
      </c>
      <c r="AC18" s="3327">
        <f t="shared" si="1"/>
        <v>1.1177326013844342E-3</v>
      </c>
      <c r="AD18" s="3327">
        <f t="shared" si="20"/>
        <v>1.2143259967615546E-3</v>
      </c>
      <c r="AE18" s="3331">
        <f t="shared" si="30"/>
        <v>1.850920465114733E-3</v>
      </c>
      <c r="AF18" s="39">
        <f>[2]PL2.1!K18</f>
        <v>31000</v>
      </c>
      <c r="AG18" s="39">
        <f>[2]PL2.1!P18</f>
        <v>31000</v>
      </c>
      <c r="AH18" s="39">
        <f>[2]PL2.1!U18</f>
        <v>31218</v>
      </c>
      <c r="AI18" s="39">
        <f>[2]PL2.1!Z18</f>
        <v>35000</v>
      </c>
      <c r="AJ18" s="39">
        <f t="shared" ref="AJ18:AJ87" si="33">Y18+AA18+AG18+AH18+AI18</f>
        <v>128573.735162</v>
      </c>
      <c r="AK18" s="3529"/>
      <c r="AL18" s="3530">
        <f t="shared" si="14"/>
        <v>1.4638688267463833E-3</v>
      </c>
      <c r="AM18" s="3530">
        <f t="shared" si="8"/>
        <v>1.6765256076433108E-3</v>
      </c>
      <c r="AN18" s="3538">
        <f t="shared" si="25"/>
        <v>0.32130955986905296</v>
      </c>
      <c r="AO18" s="147">
        <f>[2]PL2.1!AE18</f>
        <v>38000</v>
      </c>
      <c r="AP18" s="185">
        <f>'[16]Phụ lục số 2-1'!AJ18</f>
        <v>36000</v>
      </c>
      <c r="AQ18" s="185">
        <f>'[16]Phụ lục số 2-1'!AO18</f>
        <v>37000</v>
      </c>
      <c r="AR18" s="185">
        <f>'[16]Phụ lục số 2-1'!AT18</f>
        <v>38000</v>
      </c>
      <c r="AS18" s="185">
        <f>'[16]Phụ lục số 2-1'!AY18</f>
        <v>39000</v>
      </c>
      <c r="AT18" s="3627">
        <f t="shared" si="23"/>
        <v>188000</v>
      </c>
      <c r="AU18" s="3633"/>
      <c r="AV18" s="3623">
        <f t="shared" si="9"/>
        <v>1.7216533014374504E-3</v>
      </c>
      <c r="AW18" s="3623">
        <f t="shared" si="10"/>
        <v>2.0343638090570505E-3</v>
      </c>
      <c r="AX18" s="3529">
        <f t="shared" si="31"/>
        <v>0.46219599020845314</v>
      </c>
      <c r="AY18" s="3634">
        <f t="shared" si="32"/>
        <v>3.1614126998464457E-3</v>
      </c>
      <c r="AZ18" s="3625">
        <f t="shared" si="17"/>
        <v>2.0538876456685619E-3</v>
      </c>
    </row>
    <row r="19" spans="1:52" s="2028" customFormat="1">
      <c r="A19" s="3626">
        <v>3</v>
      </c>
      <c r="B19" s="2857" t="s">
        <v>1681</v>
      </c>
      <c r="C19" s="39">
        <v>34249.1469</v>
      </c>
      <c r="D19" s="39">
        <v>55015.130089999999</v>
      </c>
      <c r="E19" s="39">
        <v>58794.641531000001</v>
      </c>
      <c r="F19" s="39">
        <v>63064.983071000002</v>
      </c>
      <c r="G19" s="39">
        <v>73254.026125999997</v>
      </c>
      <c r="H19" s="39">
        <v>66554.003003000005</v>
      </c>
      <c r="I19" s="39">
        <f t="shared" si="21"/>
        <v>316682.78382099996</v>
      </c>
      <c r="J19" s="3529"/>
      <c r="K19" s="3529">
        <f t="shared" si="27"/>
        <v>9.460300346143407E-3</v>
      </c>
      <c r="L19" s="39">
        <v>69874.356060000006</v>
      </c>
      <c r="M19" s="39">
        <v>114730.499979</v>
      </c>
      <c r="N19" s="39">
        <v>129921</v>
      </c>
      <c r="O19" s="39">
        <v>174534.90139499999</v>
      </c>
      <c r="P19" s="39">
        <v>129921</v>
      </c>
      <c r="Q19" s="147">
        <v>143120</v>
      </c>
      <c r="R19" s="147">
        <v>143469</v>
      </c>
      <c r="S19" s="147">
        <v>118967</v>
      </c>
      <c r="T19" s="185">
        <f t="shared" si="12"/>
        <v>621226.75743400003</v>
      </c>
      <c r="U19" s="3329"/>
      <c r="V19" s="3329">
        <f t="shared" si="18"/>
        <v>1.1662311424345281E-2</v>
      </c>
      <c r="W19" s="3329">
        <f t="shared" si="5"/>
        <v>0.9616688660446373</v>
      </c>
      <c r="X19" s="3345">
        <f>'[22]Phụ lục số 2'!$C$16</f>
        <v>143470</v>
      </c>
      <c r="Y19" s="147">
        <f>131042</f>
        <v>131042</v>
      </c>
      <c r="Z19" s="147">
        <v>133115</v>
      </c>
      <c r="AA19" s="147">
        <f>'[12]Chi (HĐND)'!$F$29</f>
        <v>115422.874604</v>
      </c>
      <c r="AB19" s="185">
        <f t="shared" si="19"/>
        <v>365431.87460400001</v>
      </c>
      <c r="AC19" s="3327">
        <f t="shared" si="1"/>
        <v>8.0732351252987208E-3</v>
      </c>
      <c r="AD19" s="3327">
        <f t="shared" si="20"/>
        <v>8.7709164772289943E-3</v>
      </c>
      <c r="AE19" s="3331">
        <f t="shared" si="30"/>
        <v>1.3368954340769937E-2</v>
      </c>
      <c r="AF19" s="39">
        <f>[2]PL2.1!K16</f>
        <v>136670</v>
      </c>
      <c r="AG19" s="39">
        <f>[2]PL2.1!P16</f>
        <v>136670</v>
      </c>
      <c r="AH19" s="39">
        <f>[2]PL2.1!U16</f>
        <v>151965</v>
      </c>
      <c r="AI19" s="39">
        <f>[2]PL2.1!Z16</f>
        <v>160000</v>
      </c>
      <c r="AJ19" s="39">
        <f t="shared" si="33"/>
        <v>695099.87460400001</v>
      </c>
      <c r="AK19" s="3529"/>
      <c r="AL19" s="3530">
        <f t="shared" si="14"/>
        <v>7.9140194272651759E-3</v>
      </c>
      <c r="AM19" s="3530">
        <f t="shared" si="8"/>
        <v>9.0636920376851639E-3</v>
      </c>
      <c r="AN19" s="3538">
        <f t="shared" si="25"/>
        <v>0.11891489908634267</v>
      </c>
      <c r="AO19" s="147">
        <f>[2]PL2.1!AE16</f>
        <v>166000</v>
      </c>
      <c r="AP19" s="185">
        <f>'[16]Phụ lục số 2-1'!AJ16</f>
        <v>154000</v>
      </c>
      <c r="AQ19" s="185">
        <f>'[16]Phụ lục số 2-1'!AO16</f>
        <v>158000</v>
      </c>
      <c r="AR19" s="185">
        <f>'[16]Phụ lục số 2-1'!AT16</f>
        <v>163000</v>
      </c>
      <c r="AS19" s="185">
        <f>'[16]Phụ lục số 2-1'!AY16</f>
        <v>169000</v>
      </c>
      <c r="AT19" s="3627">
        <f t="shared" si="23"/>
        <v>810000</v>
      </c>
      <c r="AU19" s="3633"/>
      <c r="AV19" s="3623">
        <f t="shared" si="9"/>
        <v>7.4177615647039088E-3</v>
      </c>
      <c r="AW19" s="3623">
        <f t="shared" si="10"/>
        <v>8.7650781134904834E-3</v>
      </c>
      <c r="AX19" s="3529">
        <f t="shared" si="31"/>
        <v>0.1653001670608254</v>
      </c>
      <c r="AY19" s="3634">
        <f t="shared" si="32"/>
        <v>1.445217234215518E-2</v>
      </c>
      <c r="AZ19" s="3625">
        <f t="shared" si="17"/>
        <v>9.3892006659134254E-3</v>
      </c>
    </row>
    <row r="20" spans="1:52" s="2028" customFormat="1">
      <c r="A20" s="3626">
        <v>4</v>
      </c>
      <c r="B20" s="2857" t="s">
        <v>740</v>
      </c>
      <c r="C20" s="39">
        <f>SUM(C21:C29)</f>
        <v>1327818.397076</v>
      </c>
      <c r="D20" s="39">
        <f>SUM(D21:D29)</f>
        <v>2200943.2120419997</v>
      </c>
      <c r="E20" s="39">
        <f>SUM(E21:E29)</f>
        <v>2675457.847972</v>
      </c>
      <c r="F20" s="39">
        <f>SUM(F21:F29)</f>
        <v>3054254.3628690001</v>
      </c>
      <c r="G20" s="39">
        <f>SUM(G21:G29)</f>
        <v>3181421.2925549997</v>
      </c>
      <c r="H20" s="39">
        <f t="shared" ref="H20:O20" si="34">SUM(H21:H29)</f>
        <v>3379426.0385650001</v>
      </c>
      <c r="I20" s="39">
        <f t="shared" si="21"/>
        <v>14491502.754003001</v>
      </c>
      <c r="J20" s="3529"/>
      <c r="K20" s="3529">
        <f t="shared" si="27"/>
        <v>0.43290628832327988</v>
      </c>
      <c r="L20" s="39">
        <f t="shared" si="34"/>
        <v>3570752.4656379996</v>
      </c>
      <c r="M20" s="39">
        <f t="shared" si="34"/>
        <v>4018535.4982289998</v>
      </c>
      <c r="N20" s="39">
        <f t="shared" si="34"/>
        <v>3874356</v>
      </c>
      <c r="O20" s="39">
        <f t="shared" si="34"/>
        <v>4303419.107481</v>
      </c>
      <c r="P20" s="39">
        <f>SUM(P21:P29)</f>
        <v>4132986</v>
      </c>
      <c r="Q20" s="147">
        <f>SUM(Q21:Q29)</f>
        <v>4909537</v>
      </c>
      <c r="R20" s="147">
        <f>SUM(R21:R29)</f>
        <v>4546251</v>
      </c>
      <c r="S20" s="147">
        <f>SUM(S21:S29)</f>
        <v>4993127</v>
      </c>
      <c r="T20" s="185">
        <f t="shared" si="12"/>
        <v>21795371.071348</v>
      </c>
      <c r="U20" s="3329"/>
      <c r="V20" s="3329">
        <f t="shared" si="18"/>
        <v>0.40916525568400253</v>
      </c>
      <c r="W20" s="3329">
        <f t="shared" si="5"/>
        <v>0.50401041502251687</v>
      </c>
      <c r="X20" s="147">
        <f t="shared" ref="X20:AI20" si="35">SUM(X21:X29)</f>
        <v>4638160</v>
      </c>
      <c r="Y20" s="147">
        <f t="shared" si="35"/>
        <v>5981438</v>
      </c>
      <c r="Z20" s="147">
        <f t="shared" si="35"/>
        <v>4886285</v>
      </c>
      <c r="AA20" s="147">
        <f>SUM(AA21:AA29)</f>
        <v>5442401.5111869993</v>
      </c>
      <c r="AB20" s="185">
        <f t="shared" si="19"/>
        <v>16416966.511186998</v>
      </c>
      <c r="AC20" s="3327">
        <f t="shared" si="1"/>
        <v>0.36268875240451426</v>
      </c>
      <c r="AD20" s="3327">
        <f t="shared" si="20"/>
        <v>0.39403197171873228</v>
      </c>
      <c r="AE20" s="3327">
        <f t="shared" si="30"/>
        <v>0.60059806205970656</v>
      </c>
      <c r="AF20" s="39">
        <f>SUM(AF21:AF29)</f>
        <v>5006450</v>
      </c>
      <c r="AG20" s="39">
        <f>SUM(AG21:AG29)</f>
        <v>5006450</v>
      </c>
      <c r="AH20" s="39">
        <f t="shared" si="35"/>
        <v>5683849.6115313377</v>
      </c>
      <c r="AI20" s="39">
        <f t="shared" si="35"/>
        <v>5960000</v>
      </c>
      <c r="AJ20" s="39">
        <f t="shared" si="33"/>
        <v>28074139.122718334</v>
      </c>
      <c r="AK20" s="3529"/>
      <c r="AL20" s="3530">
        <f t="shared" si="14"/>
        <v>0.31963648755873286</v>
      </c>
      <c r="AM20" s="3530">
        <f t="shared" si="8"/>
        <v>0.36607020160435433</v>
      </c>
      <c r="AN20" s="3538">
        <f t="shared" si="25"/>
        <v>0.28807805248263674</v>
      </c>
      <c r="AO20" s="147">
        <f t="shared" ref="AO20:AT20" si="36">SUM(AO21:AO29)</f>
        <v>6165000</v>
      </c>
      <c r="AP20" s="185">
        <f t="shared" si="36"/>
        <v>5625000</v>
      </c>
      <c r="AQ20" s="185">
        <f t="shared" si="36"/>
        <v>5781000</v>
      </c>
      <c r="AR20" s="185">
        <f t="shared" si="36"/>
        <v>5962000</v>
      </c>
      <c r="AS20" s="185">
        <f t="shared" si="36"/>
        <v>6164000</v>
      </c>
      <c r="AT20" s="3627">
        <f t="shared" si="36"/>
        <v>29697000</v>
      </c>
      <c r="AU20" s="3633"/>
      <c r="AV20" s="3623">
        <f t="shared" si="9"/>
        <v>0.27195711751482959</v>
      </c>
      <c r="AW20" s="3623">
        <f t="shared" si="10"/>
        <v>0.3213537342423789</v>
      </c>
      <c r="AX20" s="3529">
        <f t="shared" si="31"/>
        <v>5.7806256148684731E-2</v>
      </c>
      <c r="AY20" s="3344">
        <f t="shared" si="32"/>
        <v>0.53834341974528044</v>
      </c>
      <c r="AZ20" s="3625">
        <f t="shared" si="17"/>
        <v>0.34974772480527511</v>
      </c>
    </row>
    <row r="21" spans="1:52" s="3607" customFormat="1">
      <c r="A21" s="3629" t="s">
        <v>29</v>
      </c>
      <c r="B21" s="3150" t="s">
        <v>2067</v>
      </c>
      <c r="C21" s="37">
        <v>203470.804259</v>
      </c>
      <c r="D21" s="37">
        <v>437527.82894199999</v>
      </c>
      <c r="E21" s="37">
        <v>556462.56830799999</v>
      </c>
      <c r="F21" s="37">
        <v>576982.66837099998</v>
      </c>
      <c r="G21" s="37">
        <v>616646.97566200001</v>
      </c>
      <c r="H21" s="37">
        <v>662261.89618699998</v>
      </c>
      <c r="I21" s="37">
        <f>SUM(D21:H21)</f>
        <v>2849881.9374699998</v>
      </c>
      <c r="J21" s="3538"/>
      <c r="K21" s="3538">
        <f t="shared" si="27"/>
        <v>8.5134842994036647E-2</v>
      </c>
      <c r="L21" s="37">
        <v>698207.90548199997</v>
      </c>
      <c r="M21" s="37">
        <v>712910.13209700002</v>
      </c>
      <c r="N21" s="37">
        <v>715000</v>
      </c>
      <c r="O21" s="37">
        <v>722455.72826600005</v>
      </c>
      <c r="P21" s="37">
        <v>755689</v>
      </c>
      <c r="Q21" s="152">
        <v>780602</v>
      </c>
      <c r="R21" s="152">
        <v>764071</v>
      </c>
      <c r="S21" s="152">
        <v>763943</v>
      </c>
      <c r="T21" s="779">
        <f t="shared" si="12"/>
        <v>3678118.7658449998</v>
      </c>
      <c r="U21" s="3441"/>
      <c r="V21" s="3441">
        <f t="shared" si="18"/>
        <v>6.9049450928665407E-2</v>
      </c>
      <c r="W21" s="3441">
        <f t="shared" si="5"/>
        <v>0.29062145258911065</v>
      </c>
      <c r="X21" s="3539">
        <f>'[22]Phụ lục số 2'!$C$20</f>
        <v>770000</v>
      </c>
      <c r="Y21" s="152">
        <v>1231791</v>
      </c>
      <c r="Z21" s="152">
        <v>770000</v>
      </c>
      <c r="AA21" s="152">
        <f>'[12]Chi (HĐND)'!$F$35</f>
        <v>858963.24846000003</v>
      </c>
      <c r="AB21" s="779">
        <f t="shared" si="19"/>
        <v>2854697.2484599999</v>
      </c>
      <c r="AC21" s="3503">
        <f t="shared" si="1"/>
        <v>6.3066863347198049E-2</v>
      </c>
      <c r="AD21" s="3503">
        <f t="shared" si="20"/>
        <v>6.8517042092047481E-2</v>
      </c>
      <c r="AE21" s="3503">
        <f t="shared" si="30"/>
        <v>0.10443620226817939</v>
      </c>
      <c r="AF21" s="37">
        <f>[2]PL2.1!K20</f>
        <v>750000</v>
      </c>
      <c r="AG21" s="37">
        <f>[2]PL2.1!P20</f>
        <v>750000</v>
      </c>
      <c r="AH21" s="37">
        <f>[2]PL2.1!U20</f>
        <v>828538</v>
      </c>
      <c r="AI21" s="37">
        <f>[2]PL2.1!Z20</f>
        <v>931000</v>
      </c>
      <c r="AJ21" s="37">
        <f t="shared" si="33"/>
        <v>4600292.2484600004</v>
      </c>
      <c r="AK21" s="3538"/>
      <c r="AL21" s="3630">
        <f t="shared" si="14"/>
        <v>5.2376361377062364E-2</v>
      </c>
      <c r="AM21" s="3630">
        <f t="shared" si="8"/>
        <v>5.9985095303240817E-2</v>
      </c>
      <c r="AN21" s="3538">
        <f t="shared" si="25"/>
        <v>0.25071878895763255</v>
      </c>
      <c r="AO21" s="152">
        <f>[2]PL2.1!AE20</f>
        <v>1007000</v>
      </c>
      <c r="AP21" s="779">
        <f>'[16]Phụ lục số 2-1'!AJ20</f>
        <v>872000</v>
      </c>
      <c r="AQ21" s="779">
        <f>'[16]Phụ lục số 2-1'!AO20</f>
        <v>889000</v>
      </c>
      <c r="AR21" s="779">
        <f>'[16]Phụ lục số 2-1'!AT20</f>
        <v>918000</v>
      </c>
      <c r="AS21" s="779">
        <f>'[16]Phụ lục số 2-1'!AY20</f>
        <v>949000</v>
      </c>
      <c r="AT21" s="3631">
        <f t="shared" si="23"/>
        <v>4635000</v>
      </c>
      <c r="AU21" s="3628"/>
      <c r="AV21" s="3632">
        <f t="shared" si="9"/>
        <v>4.2446080064694587E-2</v>
      </c>
      <c r="AW21" s="3632">
        <f t="shared" si="10"/>
        <v>5.0155724760528882E-2</v>
      </c>
      <c r="AX21" s="3538">
        <f t="shared" si="31"/>
        <v>7.5446840473272214E-3</v>
      </c>
      <c r="AY21" s="3608">
        <f t="shared" si="32"/>
        <v>8.4093577815915449E-2</v>
      </c>
      <c r="AZ21" s="3625">
        <f t="shared" si="17"/>
        <v>5.4633411374783745E-2</v>
      </c>
    </row>
    <row r="22" spans="1:52" s="3607" customFormat="1">
      <c r="A22" s="3629" t="s">
        <v>29</v>
      </c>
      <c r="B22" s="3150" t="s">
        <v>1729</v>
      </c>
      <c r="C22" s="37">
        <v>154262.51921500001</v>
      </c>
      <c r="D22" s="37">
        <v>490696.08976399997</v>
      </c>
      <c r="E22" s="37">
        <v>548010.31741000002</v>
      </c>
      <c r="F22" s="37">
        <v>764485.16498500004</v>
      </c>
      <c r="G22" s="37">
        <v>783114.82380200003</v>
      </c>
      <c r="H22" s="37">
        <v>796081.78902999999</v>
      </c>
      <c r="I22" s="37">
        <f t="shared" si="21"/>
        <v>3382388.1849910002</v>
      </c>
      <c r="J22" s="3538"/>
      <c r="K22" s="3538">
        <f t="shared" si="27"/>
        <v>0.10104246189571307</v>
      </c>
      <c r="L22" s="37">
        <v>765575.05895500001</v>
      </c>
      <c r="M22" s="37">
        <v>975931.92331099999</v>
      </c>
      <c r="N22" s="37">
        <v>1275496</v>
      </c>
      <c r="O22" s="37">
        <v>1107514.761126</v>
      </c>
      <c r="P22" s="37">
        <v>1407216</v>
      </c>
      <c r="Q22" s="152">
        <v>1591367</v>
      </c>
      <c r="R22" s="152">
        <v>1582205</v>
      </c>
      <c r="S22" s="152">
        <v>1377909</v>
      </c>
      <c r="T22" s="779">
        <f t="shared" si="12"/>
        <v>5818297.743392</v>
      </c>
      <c r="U22" s="3441"/>
      <c r="V22" s="3441">
        <f t="shared" si="18"/>
        <v>0.10922710496772489</v>
      </c>
      <c r="W22" s="3441">
        <f t="shared" si="5"/>
        <v>0.72017445224356513</v>
      </c>
      <c r="X22" s="3539">
        <f>'[22]Phụ lục số 2'!$C$15</f>
        <v>1604001</v>
      </c>
      <c r="Y22" s="152">
        <v>1359809</v>
      </c>
      <c r="Z22" s="152">
        <v>1680956</v>
      </c>
      <c r="AA22" s="152">
        <f>'[12]Chi (HĐND)'!$F$24</f>
        <v>1631275.6465659998</v>
      </c>
      <c r="AB22" s="779">
        <f t="shared" si="19"/>
        <v>4368993.6465659998</v>
      </c>
      <c r="AC22" s="3503">
        <f t="shared" si="1"/>
        <v>9.652117240152068E-2</v>
      </c>
      <c r="AD22" s="3503">
        <f t="shared" si="20"/>
        <v>0.10486244092719073</v>
      </c>
      <c r="AE22" s="3503">
        <f t="shared" si="30"/>
        <v>0.15983519948649674</v>
      </c>
      <c r="AF22" s="37">
        <f>[2]PL2.1!K15</f>
        <v>1793642</v>
      </c>
      <c r="AG22" s="37">
        <f>[2]PL2.1!P15</f>
        <v>1793642</v>
      </c>
      <c r="AH22" s="37">
        <f>[2]PL2.1!U15</f>
        <v>2068978.6115313373</v>
      </c>
      <c r="AI22" s="37">
        <f>[2]PL2.1!Z15</f>
        <v>2136000</v>
      </c>
      <c r="AJ22" s="37">
        <f t="shared" si="33"/>
        <v>8989705.2580973376</v>
      </c>
      <c r="AK22" s="3538"/>
      <c r="AL22" s="3630">
        <f t="shared" si="14"/>
        <v>0.10235176937487081</v>
      </c>
      <c r="AM22" s="3630">
        <f t="shared" si="8"/>
        <v>0.11722044981719006</v>
      </c>
      <c r="AN22" s="3538">
        <f t="shared" si="25"/>
        <v>0.54507480616769599</v>
      </c>
      <c r="AO22" s="152">
        <f>[2]PL2.1!AE15</f>
        <v>2186000</v>
      </c>
      <c r="AP22" s="779">
        <f>'[16]Phụ lục số 2-1'!AJ15</f>
        <v>2002000</v>
      </c>
      <c r="AQ22" s="779">
        <f>'[16]Phụ lục số 2-1'!AO15</f>
        <v>2061000</v>
      </c>
      <c r="AR22" s="779">
        <f>'[16]Phụ lục số 2-1'!AT15</f>
        <v>2125000</v>
      </c>
      <c r="AS22" s="779">
        <f>'[16]Phụ lục số 2-1'!AY15</f>
        <v>2196000</v>
      </c>
      <c r="AT22" s="3631">
        <f t="shared" si="23"/>
        <v>10570000</v>
      </c>
      <c r="AU22" s="3628"/>
      <c r="AV22" s="3632">
        <f t="shared" si="9"/>
        <v>9.6797209554222607E-2</v>
      </c>
      <c r="AW22" s="3632">
        <f t="shared" si="10"/>
        <v>0.11437885883900545</v>
      </c>
      <c r="AX22" s="3538">
        <f t="shared" si="31"/>
        <v>0.17578938313680936</v>
      </c>
      <c r="AY22" s="3608">
        <f t="shared" si="32"/>
        <v>0.19293650076777166</v>
      </c>
      <c r="AZ22" s="3625">
        <f t="shared" si="17"/>
        <v>0.12534582888994425</v>
      </c>
    </row>
    <row r="23" spans="1:52" s="3607" customFormat="1">
      <c r="A23" s="3629" t="s">
        <v>29</v>
      </c>
      <c r="B23" s="3150" t="s">
        <v>2068</v>
      </c>
      <c r="C23" s="37">
        <v>43533.981120999997</v>
      </c>
      <c r="D23" s="37">
        <v>39757.294290999998</v>
      </c>
      <c r="E23" s="37">
        <v>52360.173611999999</v>
      </c>
      <c r="F23" s="37">
        <v>52303.291445000003</v>
      </c>
      <c r="G23" s="37">
        <v>63059.284599999999</v>
      </c>
      <c r="H23" s="37">
        <v>67830.687684999997</v>
      </c>
      <c r="I23" s="37">
        <f t="shared" si="21"/>
        <v>275310.73163300002</v>
      </c>
      <c r="J23" s="3538"/>
      <c r="K23" s="3538">
        <f t="shared" si="27"/>
        <v>8.2243883874559796E-3</v>
      </c>
      <c r="L23" s="37">
        <v>71963.686795999995</v>
      </c>
      <c r="M23" s="37">
        <v>82277.291335000002</v>
      </c>
      <c r="N23" s="37">
        <v>66139</v>
      </c>
      <c r="O23" s="37">
        <v>83162.060146000003</v>
      </c>
      <c r="P23" s="37">
        <v>69066</v>
      </c>
      <c r="Q23" s="152">
        <v>83133</v>
      </c>
      <c r="R23" s="152">
        <v>77000</v>
      </c>
      <c r="S23" s="152">
        <v>92821</v>
      </c>
      <c r="T23" s="779">
        <f t="shared" si="12"/>
        <v>413357.03827700001</v>
      </c>
      <c r="U23" s="3441"/>
      <c r="V23" s="3441">
        <f t="shared" si="18"/>
        <v>7.759965990105545E-3</v>
      </c>
      <c r="W23" s="3441">
        <f t="shared" si="5"/>
        <v>0.50141999850562002</v>
      </c>
      <c r="X23" s="3539">
        <f>'[22]Phụ lục số 2'!$C$21</f>
        <v>77733</v>
      </c>
      <c r="Y23" s="152">
        <v>86194</v>
      </c>
      <c r="Z23" s="152">
        <v>77843</v>
      </c>
      <c r="AA23" s="152">
        <f>'[12]Chi (HĐND)'!$F$36</f>
        <v>98046.919022000002</v>
      </c>
      <c r="AB23" s="779">
        <f t="shared" si="19"/>
        <v>277061.91902199999</v>
      </c>
      <c r="AC23" s="3503">
        <f t="shared" si="1"/>
        <v>6.1209384620730511E-3</v>
      </c>
      <c r="AD23" s="3503">
        <f t="shared" si="20"/>
        <v>6.6499041808985799E-3</v>
      </c>
      <c r="AE23" s="3503">
        <f t="shared" si="30"/>
        <v>1.0136029181868941E-2</v>
      </c>
      <c r="AF23" s="37">
        <f>[2]PL2.1!K21</f>
        <v>78978</v>
      </c>
      <c r="AG23" s="37">
        <f>[2]PL2.1!P21</f>
        <v>78978</v>
      </c>
      <c r="AH23" s="37">
        <f>[2]PL2.1!U21</f>
        <v>91888</v>
      </c>
      <c r="AI23" s="37">
        <f>[2]PL2.1!Z21</f>
        <v>98000</v>
      </c>
      <c r="AJ23" s="37">
        <f t="shared" si="33"/>
        <v>453106.91902199999</v>
      </c>
      <c r="AK23" s="3538"/>
      <c r="AL23" s="3630">
        <f t="shared" si="14"/>
        <v>5.1588226250382655E-3</v>
      </c>
      <c r="AM23" s="3630">
        <f t="shared" si="8"/>
        <v>5.908246748712799E-3</v>
      </c>
      <c r="AN23" s="3538">
        <f t="shared" si="25"/>
        <v>9.6163551274437653E-2</v>
      </c>
      <c r="AO23" s="152">
        <f>[2]PL2.1!AE21</f>
        <v>102000</v>
      </c>
      <c r="AP23" s="779">
        <f>'[16]Phụ lục số 2-1'!AJ21</f>
        <v>89000</v>
      </c>
      <c r="AQ23" s="779">
        <f>'[16]Phụ lục số 2-1'!AO21</f>
        <v>91000</v>
      </c>
      <c r="AR23" s="779">
        <f>'[16]Phụ lục số 2-1'!AT21</f>
        <v>94000</v>
      </c>
      <c r="AS23" s="779">
        <f>'[16]Phụ lục số 2-1'!AY21</f>
        <v>98000</v>
      </c>
      <c r="AT23" s="3631">
        <f t="shared" si="23"/>
        <v>474000</v>
      </c>
      <c r="AU23" s="3628"/>
      <c r="AV23" s="3632">
        <f t="shared" si="9"/>
        <v>4.3407641749008061E-3</v>
      </c>
      <c r="AW23" s="3632">
        <f t="shared" si="10"/>
        <v>5.1291938590055427E-3</v>
      </c>
      <c r="AX23" s="3538">
        <f t="shared" si="31"/>
        <v>4.6110708313826354E-2</v>
      </c>
      <c r="AY23" s="3608">
        <f t="shared" si="32"/>
        <v>8.8519555595700482E-3</v>
      </c>
      <c r="AZ23" s="3625">
        <f t="shared" si="17"/>
        <v>5.7508854078719739E-3</v>
      </c>
    </row>
    <row r="24" spans="1:52" s="3607" customFormat="1">
      <c r="A24" s="3629" t="s">
        <v>29</v>
      </c>
      <c r="B24" s="3150" t="s">
        <v>2069</v>
      </c>
      <c r="C24" s="37">
        <v>14485.369694999999</v>
      </c>
      <c r="D24" s="37">
        <v>13384.146613999999</v>
      </c>
      <c r="E24" s="37">
        <v>18335.384052000001</v>
      </c>
      <c r="F24" s="37">
        <v>21908.077399999998</v>
      </c>
      <c r="G24" s="37">
        <v>19416.014755</v>
      </c>
      <c r="H24" s="37">
        <v>20078.266750999999</v>
      </c>
      <c r="I24" s="37">
        <f t="shared" si="21"/>
        <v>93121.889572</v>
      </c>
      <c r="J24" s="3538"/>
      <c r="K24" s="3538">
        <f t="shared" si="27"/>
        <v>2.7818406593566806E-3</v>
      </c>
      <c r="L24" s="37">
        <v>20810.145353</v>
      </c>
      <c r="M24" s="37">
        <v>22929.685490999997</v>
      </c>
      <c r="N24" s="37">
        <v>29871</v>
      </c>
      <c r="O24" s="37">
        <v>21712.812980000002</v>
      </c>
      <c r="P24" s="37">
        <v>30602</v>
      </c>
      <c r="Q24" s="152">
        <v>21575</v>
      </c>
      <c r="R24" s="152">
        <v>34956</v>
      </c>
      <c r="S24" s="152">
        <v>27053</v>
      </c>
      <c r="T24" s="779">
        <f t="shared" si="12"/>
        <v>114080.643824</v>
      </c>
      <c r="U24" s="3441"/>
      <c r="V24" s="3441">
        <f t="shared" si="18"/>
        <v>2.141639876010409E-3</v>
      </c>
      <c r="W24" s="3441">
        <f t="shared" si="5"/>
        <v>0.22506796574177224</v>
      </c>
      <c r="X24" s="3539">
        <f>'[22]Phụ lục số 2'!$C$22</f>
        <v>36574</v>
      </c>
      <c r="Y24" s="152">
        <v>27017</v>
      </c>
      <c r="Z24" s="152">
        <v>41920</v>
      </c>
      <c r="AA24" s="152">
        <f>'[12]Chi (HĐND)'!$F$37</f>
        <v>28184.048601999999</v>
      </c>
      <c r="AB24" s="779">
        <f t="shared" si="19"/>
        <v>82254.048601999995</v>
      </c>
      <c r="AC24" s="3503">
        <f t="shared" si="1"/>
        <v>1.8171821357709931E-3</v>
      </c>
      <c r="AD24" s="3503">
        <f t="shared" si="20"/>
        <v>1.9742212990694038E-3</v>
      </c>
      <c r="AE24" s="3503">
        <f t="shared" si="30"/>
        <v>3.0091809076459048E-3</v>
      </c>
      <c r="AF24" s="37">
        <f>[2]PL2.1!K22</f>
        <v>42757</v>
      </c>
      <c r="AG24" s="37">
        <f>[2]PL2.1!P22</f>
        <v>42757</v>
      </c>
      <c r="AH24" s="37">
        <f>[2]PL2.1!U22</f>
        <v>50073</v>
      </c>
      <c r="AI24" s="37">
        <f>[2]PL2.1!Z22</f>
        <v>52000</v>
      </c>
      <c r="AJ24" s="37">
        <f t="shared" si="33"/>
        <v>200031.048602</v>
      </c>
      <c r="AK24" s="3538"/>
      <c r="AL24" s="3630">
        <f t="shared" si="14"/>
        <v>2.2774419368070229E-3</v>
      </c>
      <c r="AM24" s="3630">
        <f t="shared" si="8"/>
        <v>2.6082867926521245E-3</v>
      </c>
      <c r="AN24" s="3538">
        <f t="shared" si="25"/>
        <v>0.75341794976719756</v>
      </c>
      <c r="AO24" s="152">
        <f>[2]PL2.1!AE22</f>
        <v>54000</v>
      </c>
      <c r="AP24" s="779">
        <f>'[16]Phụ lục số 2-1'!AJ22</f>
        <v>49000</v>
      </c>
      <c r="AQ24" s="779">
        <f>'[16]Phụ lục số 2-1'!AO22</f>
        <v>50000</v>
      </c>
      <c r="AR24" s="779">
        <f>'[16]Phụ lục số 2-1'!AT22</f>
        <v>52000</v>
      </c>
      <c r="AS24" s="779">
        <f>'[16]Phụ lục số 2-1'!AY22</f>
        <v>54000</v>
      </c>
      <c r="AT24" s="3631">
        <f t="shared" si="23"/>
        <v>259000</v>
      </c>
      <c r="AU24" s="3628"/>
      <c r="AV24" s="3632">
        <f t="shared" si="9"/>
        <v>2.3718521546398919E-3</v>
      </c>
      <c r="AW24" s="3632">
        <f t="shared" si="10"/>
        <v>2.802660779498809E-3</v>
      </c>
      <c r="AX24" s="3538">
        <f t="shared" si="31"/>
        <v>0.29479899150721356</v>
      </c>
      <c r="AY24" s="3608">
        <f t="shared" si="32"/>
        <v>4.6969560112004333E-3</v>
      </c>
      <c r="AZ24" s="3625">
        <f t="shared" si="17"/>
        <v>3.0514902164218635E-3</v>
      </c>
    </row>
    <row r="25" spans="1:52" s="3607" customFormat="1">
      <c r="A25" s="3629" t="s">
        <v>29</v>
      </c>
      <c r="B25" s="3150" t="s">
        <v>162</v>
      </c>
      <c r="C25" s="37">
        <v>23029.594314000002</v>
      </c>
      <c r="D25" s="37">
        <v>31166.499995999999</v>
      </c>
      <c r="E25" s="37">
        <v>23136.025249999999</v>
      </c>
      <c r="F25" s="37">
        <v>29067.688738000001</v>
      </c>
      <c r="G25" s="37">
        <v>25959.988635000002</v>
      </c>
      <c r="H25" s="37">
        <v>29270.382845</v>
      </c>
      <c r="I25" s="37">
        <f t="shared" si="21"/>
        <v>138600.585464</v>
      </c>
      <c r="J25" s="3538"/>
      <c r="K25" s="3538">
        <f t="shared" si="27"/>
        <v>4.1404308463509508E-3</v>
      </c>
      <c r="L25" s="37">
        <v>25568.900889</v>
      </c>
      <c r="M25" s="37">
        <v>31644.635216999995</v>
      </c>
      <c r="N25" s="37">
        <v>28445</v>
      </c>
      <c r="O25" s="37">
        <v>33093.863715</v>
      </c>
      <c r="P25" s="37">
        <v>32041</v>
      </c>
      <c r="Q25" s="152">
        <v>32699</v>
      </c>
      <c r="R25" s="152">
        <v>34000</v>
      </c>
      <c r="S25" s="152">
        <v>39788</v>
      </c>
      <c r="T25" s="779">
        <f t="shared" si="12"/>
        <v>162794.399821</v>
      </c>
      <c r="U25" s="3441"/>
      <c r="V25" s="3441">
        <f t="shared" si="18"/>
        <v>3.0561449038253754E-3</v>
      </c>
      <c r="W25" s="3441">
        <f t="shared" si="5"/>
        <v>0.17455780778995389</v>
      </c>
      <c r="X25" s="3539">
        <f>'[22]Phụ lục số 2'!$C$23</f>
        <v>34237</v>
      </c>
      <c r="Y25" s="152">
        <v>21505</v>
      </c>
      <c r="Z25" s="152">
        <v>37960</v>
      </c>
      <c r="AA25" s="152">
        <f>'[12]Chi (HĐND)'!$F$38</f>
        <v>50990.684492</v>
      </c>
      <c r="AB25" s="779">
        <f t="shared" si="19"/>
        <v>112283.684492</v>
      </c>
      <c r="AC25" s="3503">
        <f t="shared" si="1"/>
        <v>2.4806062323410997E-3</v>
      </c>
      <c r="AD25" s="3503">
        <f t="shared" si="20"/>
        <v>2.694977879261561E-3</v>
      </c>
      <c r="AE25" s="3503">
        <f t="shared" si="30"/>
        <v>4.1077846666048171E-3</v>
      </c>
      <c r="AF25" s="37">
        <f>[2]PL2.1!K23</f>
        <v>38378</v>
      </c>
      <c r="AG25" s="37">
        <f>[2]PL2.1!P23</f>
        <v>38378</v>
      </c>
      <c r="AH25" s="37">
        <f>[2]PL2.1!U23</f>
        <v>53202</v>
      </c>
      <c r="AI25" s="37">
        <f>[2]PL2.1!Z23</f>
        <v>58000</v>
      </c>
      <c r="AJ25" s="37">
        <f t="shared" si="33"/>
        <v>222075.684492</v>
      </c>
      <c r="AK25" s="3538"/>
      <c r="AL25" s="3630">
        <f t="shared" si="14"/>
        <v>2.528429863973372E-3</v>
      </c>
      <c r="AM25" s="3630">
        <f t="shared" si="8"/>
        <v>2.8957358314016879E-3</v>
      </c>
      <c r="AN25" s="3538">
        <f t="shared" si="25"/>
        <v>0.36414818160933371</v>
      </c>
      <c r="AO25" s="152">
        <f>[2]PL2.1!AE23</f>
        <v>61000</v>
      </c>
      <c r="AP25" s="779">
        <f>'[16]Phụ lục số 2-1'!AJ23</f>
        <v>43000</v>
      </c>
      <c r="AQ25" s="779">
        <f>'[16]Phụ lục số 2-1'!AO23</f>
        <v>45000</v>
      </c>
      <c r="AR25" s="779">
        <f>'[16]Phụ lục số 2-1'!AT23</f>
        <v>46000</v>
      </c>
      <c r="AS25" s="779">
        <f>'[16]Phụ lục số 2-1'!AY23</f>
        <v>48000</v>
      </c>
      <c r="AT25" s="3631">
        <f t="shared" si="23"/>
        <v>243000</v>
      </c>
      <c r="AU25" s="3628"/>
      <c r="AV25" s="3632">
        <f t="shared" si="9"/>
        <v>2.2253284694111726E-3</v>
      </c>
      <c r="AW25" s="3632">
        <f t="shared" si="10"/>
        <v>2.6295234340471449E-3</v>
      </c>
      <c r="AX25" s="3538">
        <f t="shared" si="31"/>
        <v>9.4221551341222121E-2</v>
      </c>
      <c r="AY25" s="3608">
        <f t="shared" si="32"/>
        <v>5.2389124740312527E-3</v>
      </c>
      <c r="AZ25" s="3625">
        <f t="shared" si="17"/>
        <v>3.4035852413936171E-3</v>
      </c>
    </row>
    <row r="26" spans="1:52" s="3607" customFormat="1">
      <c r="A26" s="3629" t="s">
        <v>29</v>
      </c>
      <c r="B26" s="3150" t="s">
        <v>2070</v>
      </c>
      <c r="C26" s="37">
        <v>43901.085969</v>
      </c>
      <c r="D26" s="37">
        <v>218884.160164</v>
      </c>
      <c r="E26" s="37">
        <v>202429.24258699999</v>
      </c>
      <c r="F26" s="37">
        <v>246506.12884799999</v>
      </c>
      <c r="G26" s="37">
        <v>220529.87967299999</v>
      </c>
      <c r="H26" s="37">
        <v>268672.20944100001</v>
      </c>
      <c r="I26" s="37">
        <f t="shared" si="21"/>
        <v>1157021.620713</v>
      </c>
      <c r="J26" s="3538"/>
      <c r="K26" s="3538">
        <f t="shared" si="27"/>
        <v>3.4563836741796257E-2</v>
      </c>
      <c r="L26" s="37">
        <v>429583.572162</v>
      </c>
      <c r="M26" s="37">
        <v>427772.94375599996</v>
      </c>
      <c r="N26" s="37">
        <v>359571</v>
      </c>
      <c r="O26" s="37">
        <v>484349.07345999999</v>
      </c>
      <c r="P26" s="37">
        <v>373408</v>
      </c>
      <c r="Q26" s="152">
        <v>412864</v>
      </c>
      <c r="R26" s="152">
        <v>420000</v>
      </c>
      <c r="S26" s="152">
        <v>630109</v>
      </c>
      <c r="T26" s="779">
        <f t="shared" si="12"/>
        <v>2384678.5893779998</v>
      </c>
      <c r="U26" s="3441"/>
      <c r="V26" s="3441">
        <f t="shared" si="18"/>
        <v>4.4767653716604926E-2</v>
      </c>
      <c r="W26" s="3441">
        <f t="shared" si="5"/>
        <v>1.0610492895616521</v>
      </c>
      <c r="X26" s="3539">
        <f>'[22]Phụ lục số 2'!$C$24</f>
        <v>427859</v>
      </c>
      <c r="Y26" s="152">
        <v>877453</v>
      </c>
      <c r="Z26" s="152">
        <v>517039</v>
      </c>
      <c r="AA26" s="152">
        <f>'[12]Chi (HĐND)'!$F$39</f>
        <v>630626.71309500001</v>
      </c>
      <c r="AB26" s="779">
        <f t="shared" si="19"/>
        <v>2138188.713095</v>
      </c>
      <c r="AC26" s="3503">
        <f t="shared" si="1"/>
        <v>4.7237532965020868E-2</v>
      </c>
      <c r="AD26" s="3503">
        <f t="shared" si="20"/>
        <v>5.1319755933804674E-2</v>
      </c>
      <c r="AE26" s="3503">
        <f t="shared" si="30"/>
        <v>7.8223464519325742E-2</v>
      </c>
      <c r="AF26" s="37">
        <f>[2]PL2.1!K24</f>
        <v>539140</v>
      </c>
      <c r="AG26" s="37">
        <f>[2]PL2.1!P24</f>
        <v>539140</v>
      </c>
      <c r="AH26" s="37">
        <f>[2]PL2.1!U24</f>
        <v>601385</v>
      </c>
      <c r="AI26" s="37">
        <f>[2]PL2.1!Z24</f>
        <v>611000</v>
      </c>
      <c r="AJ26" s="37">
        <f t="shared" si="33"/>
        <v>3259604.713095</v>
      </c>
      <c r="AK26" s="3538"/>
      <c r="AL26" s="3630">
        <f t="shared" si="14"/>
        <v>3.7112040970134437E-2</v>
      </c>
      <c r="AM26" s="3630">
        <f t="shared" si="8"/>
        <v>4.2503321268632793E-2</v>
      </c>
      <c r="AN26" s="3538">
        <f t="shared" si="25"/>
        <v>0.36689477886628263</v>
      </c>
      <c r="AO26" s="152">
        <f>[2]PL2.1!AE24</f>
        <v>618000</v>
      </c>
      <c r="AP26" s="779">
        <f>'[16]Phụ lục số 2-1'!AJ24</f>
        <v>595000</v>
      </c>
      <c r="AQ26" s="779">
        <f>'[16]Phụ lục số 2-1'!AO24</f>
        <v>614000</v>
      </c>
      <c r="AR26" s="779">
        <f>'[16]Phụ lục số 2-1'!AT24</f>
        <v>633000</v>
      </c>
      <c r="AS26" s="779">
        <f>'[16]Phụ lục số 2-1'!AY24</f>
        <v>654000</v>
      </c>
      <c r="AT26" s="3631">
        <f t="shared" si="23"/>
        <v>3114000</v>
      </c>
      <c r="AU26" s="3628"/>
      <c r="AV26" s="3632">
        <f t="shared" si="9"/>
        <v>2.8517172237639471E-2</v>
      </c>
      <c r="AW26" s="3632">
        <f t="shared" si="10"/>
        <v>3.3696855858530085E-2</v>
      </c>
      <c r="AX26" s="3538">
        <f t="shared" si="31"/>
        <v>-4.4669438754353807E-2</v>
      </c>
      <c r="AY26" s="3608">
        <f t="shared" si="32"/>
        <v>5.5189233131605092E-2</v>
      </c>
      <c r="AZ26" s="3625">
        <f t="shared" si="17"/>
        <v>3.5855010042956895E-2</v>
      </c>
    </row>
    <row r="27" spans="1:52" s="3607" customFormat="1">
      <c r="A27" s="3629" t="s">
        <v>29</v>
      </c>
      <c r="B27" s="3150" t="s">
        <v>2071</v>
      </c>
      <c r="C27" s="37">
        <v>622912.42801599996</v>
      </c>
      <c r="D27" s="37">
        <v>717228.87336099998</v>
      </c>
      <c r="E27" s="37">
        <v>908800.16295799997</v>
      </c>
      <c r="F27" s="37">
        <v>916290.82646599994</v>
      </c>
      <c r="G27" s="37">
        <v>1102294.9754869998</v>
      </c>
      <c r="H27" s="37">
        <v>1151725.5044160001</v>
      </c>
      <c r="I27" s="37">
        <f t="shared" si="21"/>
        <v>4796340.3426879998</v>
      </c>
      <c r="J27" s="3538"/>
      <c r="K27" s="3538">
        <f t="shared" si="27"/>
        <v>0.14328161340718884</v>
      </c>
      <c r="L27" s="37">
        <v>1165502.862461</v>
      </c>
      <c r="M27" s="37">
        <v>1339203.8982509999</v>
      </c>
      <c r="N27" s="37">
        <v>1141145</v>
      </c>
      <c r="O27" s="37">
        <v>1385398.590177</v>
      </c>
      <c r="P27" s="37">
        <v>1194942</v>
      </c>
      <c r="Q27" s="152">
        <v>1476156</v>
      </c>
      <c r="R27" s="152">
        <v>1344176</v>
      </c>
      <c r="S27" s="152">
        <f>1560684</f>
        <v>1560684</v>
      </c>
      <c r="T27" s="779">
        <f t="shared" si="12"/>
        <v>6926945.3508889992</v>
      </c>
      <c r="U27" s="3441"/>
      <c r="V27" s="3441">
        <f t="shared" si="18"/>
        <v>0.1300397848849433</v>
      </c>
      <c r="W27" s="3441">
        <f t="shared" si="5"/>
        <v>0.44421472538934759</v>
      </c>
      <c r="X27" s="3539">
        <f>'[22]Phụ lục số 2'!$C$25</f>
        <v>1351525</v>
      </c>
      <c r="Y27" s="152">
        <v>1704379</v>
      </c>
      <c r="Z27" s="152">
        <v>1356350</v>
      </c>
      <c r="AA27" s="152">
        <f>'[12]Chi (HĐND)'!$F$40</f>
        <v>1595782.6105849999</v>
      </c>
      <c r="AB27" s="779">
        <f t="shared" si="19"/>
        <v>4860845.6105850004</v>
      </c>
      <c r="AC27" s="3503">
        <f t="shared" si="1"/>
        <v>0.10738731963256984</v>
      </c>
      <c r="AD27" s="3503">
        <f t="shared" si="20"/>
        <v>0.11666763033560386</v>
      </c>
      <c r="AE27" s="3503">
        <f t="shared" si="30"/>
        <v>0.1778291045242377</v>
      </c>
      <c r="AF27" s="37">
        <f>[2]PL2.1!K25</f>
        <v>1388540</v>
      </c>
      <c r="AG27" s="37">
        <f>[2]PL2.1!P25</f>
        <v>1388540</v>
      </c>
      <c r="AH27" s="37">
        <f>[2]PL2.1!U25</f>
        <v>1570458</v>
      </c>
      <c r="AI27" s="37">
        <f>[2]PL2.1!Z25</f>
        <v>1634000</v>
      </c>
      <c r="AJ27" s="37">
        <f t="shared" si="33"/>
        <v>7893159.6105850004</v>
      </c>
      <c r="AK27" s="3538"/>
      <c r="AL27" s="3630">
        <f t="shared" si="14"/>
        <v>8.9867112314272676E-2</v>
      </c>
      <c r="AM27" s="3630">
        <f t="shared" si="8"/>
        <v>0.10292214187981916</v>
      </c>
      <c r="AN27" s="3538">
        <f t="shared" si="25"/>
        <v>0.13948634076808442</v>
      </c>
      <c r="AO27" s="152">
        <f>[2]PL2.1!AE25</f>
        <v>1681000</v>
      </c>
      <c r="AP27" s="779">
        <f>'[16]Phụ lục số 2-1'!AJ25</f>
        <v>1551000</v>
      </c>
      <c r="AQ27" s="779">
        <f>'[16]Phụ lục số 2-1'!AO25</f>
        <v>1596000</v>
      </c>
      <c r="AR27" s="779">
        <f>'[16]Phụ lục số 2-1'!AT25</f>
        <v>1646000</v>
      </c>
      <c r="AS27" s="779">
        <f>'[16]Phụ lục số 2-1'!AY25</f>
        <v>1702000</v>
      </c>
      <c r="AT27" s="3631">
        <f t="shared" si="23"/>
        <v>8176000</v>
      </c>
      <c r="AU27" s="3628"/>
      <c r="AV27" s="3632">
        <f t="shared" si="9"/>
        <v>7.4873603151875509E-2</v>
      </c>
      <c r="AW27" s="3632">
        <f t="shared" si="10"/>
        <v>8.8473183525800234E-2</v>
      </c>
      <c r="AX27" s="3538">
        <f t="shared" si="31"/>
        <v>3.5833608259447924E-2</v>
      </c>
      <c r="AY27" s="3608">
        <f t="shared" si="32"/>
        <v>0.14759281004425978</v>
      </c>
      <c r="AZ27" s="3625">
        <f t="shared" si="17"/>
        <v>9.5887211800640859E-2</v>
      </c>
    </row>
    <row r="28" spans="1:52" s="3607" customFormat="1">
      <c r="A28" s="3629" t="s">
        <v>29</v>
      </c>
      <c r="B28" s="3150" t="s">
        <v>2072</v>
      </c>
      <c r="C28" s="37">
        <v>94193.786722000004</v>
      </c>
      <c r="D28" s="37">
        <v>152596.82905999999</v>
      </c>
      <c r="E28" s="37">
        <v>178848.46695199999</v>
      </c>
      <c r="F28" s="37">
        <v>238787.16765700001</v>
      </c>
      <c r="G28" s="37">
        <v>225609.581118</v>
      </c>
      <c r="H28" s="37">
        <v>248340.399725</v>
      </c>
      <c r="I28" s="37">
        <f t="shared" si="21"/>
        <v>1044182.444512</v>
      </c>
      <c r="J28" s="3538"/>
      <c r="K28" s="3538">
        <f t="shared" si="27"/>
        <v>3.1192979365866905E-2</v>
      </c>
      <c r="L28" s="37">
        <v>281758.40066300001</v>
      </c>
      <c r="M28" s="37">
        <v>323370.00026400003</v>
      </c>
      <c r="N28" s="37">
        <v>205014</v>
      </c>
      <c r="O28" s="37">
        <v>369167.60954500001</v>
      </c>
      <c r="P28" s="37">
        <v>215487</v>
      </c>
      <c r="Q28" s="152">
        <v>398306</v>
      </c>
      <c r="R28" s="152">
        <v>227688</v>
      </c>
      <c r="S28" s="152">
        <f>(219316+190583)</f>
        <v>409899</v>
      </c>
      <c r="T28" s="779">
        <f t="shared" si="12"/>
        <v>1782501.0104720001</v>
      </c>
      <c r="U28" s="3441"/>
      <c r="V28" s="3441">
        <f t="shared" si="18"/>
        <v>3.3462953180253462E-2</v>
      </c>
      <c r="W28" s="3441">
        <f t="shared" si="5"/>
        <v>0.70707812589691099</v>
      </c>
      <c r="X28" s="3539">
        <f>'[22]Phụ lục số 2'!$C$26</f>
        <v>271557</v>
      </c>
      <c r="Y28" s="152">
        <f>(336887+199032)</f>
        <v>535919</v>
      </c>
      <c r="Z28" s="152">
        <v>317623</v>
      </c>
      <c r="AA28" s="152">
        <f>'[12]Chi (HĐND)'!$F$44</f>
        <v>481069.09012800001</v>
      </c>
      <c r="AB28" s="779">
        <f t="shared" si="19"/>
        <v>1426887.0901279999</v>
      </c>
      <c r="AC28" s="3503">
        <f t="shared" si="1"/>
        <v>3.1523235318046218E-2</v>
      </c>
      <c r="AD28" s="3503">
        <f t="shared" si="20"/>
        <v>3.4247443531057589E-2</v>
      </c>
      <c r="AE28" s="3503">
        <f t="shared" si="30"/>
        <v>5.2201216377271389E-2</v>
      </c>
      <c r="AF28" s="37">
        <f>[2]PL2.1!K26</f>
        <v>326504</v>
      </c>
      <c r="AG28" s="37">
        <f>[2]PL2.1!P26</f>
        <v>326504</v>
      </c>
      <c r="AH28" s="37">
        <f>[2]PL2.1!U26</f>
        <v>367327</v>
      </c>
      <c r="AI28" s="37">
        <f>[2]PL2.1!Z26</f>
        <v>386000</v>
      </c>
      <c r="AJ28" s="37">
        <f t="shared" si="33"/>
        <v>2096819.0901279999</v>
      </c>
      <c r="AK28" s="3538"/>
      <c r="AL28" s="3630">
        <f t="shared" si="14"/>
        <v>2.3873212499408481E-2</v>
      </c>
      <c r="AM28" s="3630">
        <f t="shared" si="8"/>
        <v>2.7341283153714493E-2</v>
      </c>
      <c r="AN28" s="3538">
        <f t="shared" si="25"/>
        <v>0.17633542859690698</v>
      </c>
      <c r="AO28" s="152">
        <f>[2]PL2.1!AE26</f>
        <v>400000</v>
      </c>
      <c r="AP28" s="779">
        <f>'[16]Phụ lục số 2-1'!AJ26</f>
        <v>368000</v>
      </c>
      <c r="AQ28" s="779">
        <f>'[16]Phụ lục số 2-1'!AO26</f>
        <v>378000</v>
      </c>
      <c r="AR28" s="779">
        <f>'[16]Phụ lục số 2-1'!AT26</f>
        <v>389000</v>
      </c>
      <c r="AS28" s="779">
        <f>'[16]Phụ lục số 2-1'!AY26</f>
        <v>402000</v>
      </c>
      <c r="AT28" s="3631">
        <f t="shared" si="23"/>
        <v>1937000</v>
      </c>
      <c r="AU28" s="3628"/>
      <c r="AV28" s="3632">
        <f t="shared" si="9"/>
        <v>1.7738523643001818E-2</v>
      </c>
      <c r="AW28" s="3632">
        <f t="shared" si="10"/>
        <v>2.096043988374206E-2</v>
      </c>
      <c r="AX28" s="3538">
        <f t="shared" si="31"/>
        <v>-7.6219780180579955E-2</v>
      </c>
      <c r="AY28" s="3608">
        <f t="shared" si="32"/>
        <v>3.4865865775449374E-2</v>
      </c>
      <c r="AZ28" s="3625">
        <f t="shared" si="17"/>
        <v>2.2651446606516142E-2</v>
      </c>
    </row>
    <row r="29" spans="1:52" s="3607" customFormat="1">
      <c r="A29" s="3629" t="s">
        <v>29</v>
      </c>
      <c r="B29" s="3150" t="s">
        <v>721</v>
      </c>
      <c r="C29" s="37">
        <v>128028.82776499999</v>
      </c>
      <c r="D29" s="37">
        <v>99701.489849999984</v>
      </c>
      <c r="E29" s="37">
        <v>187075.50684300001</v>
      </c>
      <c r="F29" s="37">
        <v>207923.348959</v>
      </c>
      <c r="G29" s="37">
        <v>124789.76882299999</v>
      </c>
      <c r="H29" s="37">
        <v>135164.902485</v>
      </c>
      <c r="I29" s="37">
        <f t="shared" si="21"/>
        <v>754655.01695999992</v>
      </c>
      <c r="J29" s="3538"/>
      <c r="K29" s="3538">
        <f t="shared" si="27"/>
        <v>2.2543894025514516E-2</v>
      </c>
      <c r="L29" s="37">
        <v>111781.932877</v>
      </c>
      <c r="M29" s="37">
        <v>102494.98850700002</v>
      </c>
      <c r="N29" s="37">
        <v>53675</v>
      </c>
      <c r="O29" s="37">
        <v>96564.608066000015</v>
      </c>
      <c r="P29" s="37">
        <v>54535</v>
      </c>
      <c r="Q29" s="152">
        <v>112835</v>
      </c>
      <c r="R29" s="152">
        <v>62155</v>
      </c>
      <c r="S29" s="152">
        <f>90627+294</f>
        <v>90921</v>
      </c>
      <c r="T29" s="779">
        <f t="shared" si="12"/>
        <v>514597.52945000003</v>
      </c>
      <c r="U29" s="3441"/>
      <c r="V29" s="3441">
        <f t="shared" si="18"/>
        <v>9.6605572358692063E-3</v>
      </c>
      <c r="W29" s="3441">
        <f t="shared" si="5"/>
        <v>-0.31810228795275342</v>
      </c>
      <c r="X29" s="3539">
        <f>'[22]Phụ lục số 2'!$C$27</f>
        <v>64674</v>
      </c>
      <c r="Y29" s="152">
        <f>137141+230</f>
        <v>137371</v>
      </c>
      <c r="Z29" s="152">
        <v>86594</v>
      </c>
      <c r="AA29" s="152">
        <f>'[12]Chi (HĐND)'!$F$47</f>
        <v>67462.550237000003</v>
      </c>
      <c r="AB29" s="779">
        <f t="shared" si="19"/>
        <v>295754.55023699999</v>
      </c>
      <c r="AC29" s="3503">
        <f t="shared" si="1"/>
        <v>6.5339019099735027E-3</v>
      </c>
      <c r="AD29" s="3503">
        <f t="shared" si="20"/>
        <v>7.0985555397984415E-3</v>
      </c>
      <c r="AE29" s="3503">
        <f t="shared" si="30"/>
        <v>1.0819880128076057E-2</v>
      </c>
      <c r="AF29" s="37">
        <f>[2]PL2.1!K27</f>
        <v>48511</v>
      </c>
      <c r="AG29" s="37">
        <f>[2]PL2.1!P27</f>
        <v>48511</v>
      </c>
      <c r="AH29" s="37">
        <f>[2]PL2.1!U27</f>
        <v>52000</v>
      </c>
      <c r="AI29" s="37">
        <f>[2]PL2.1!Z27</f>
        <v>54000</v>
      </c>
      <c r="AJ29" s="37">
        <f t="shared" si="33"/>
        <v>359344.55023699999</v>
      </c>
      <c r="AK29" s="3538"/>
      <c r="AL29" s="3630">
        <f t="shared" si="14"/>
        <v>4.0912965971654624E-3</v>
      </c>
      <c r="AM29" s="3630">
        <f t="shared" si="8"/>
        <v>4.6856408089904584E-3</v>
      </c>
      <c r="AN29" s="3538">
        <f t="shared" si="25"/>
        <v>-0.30169787130329573</v>
      </c>
      <c r="AO29" s="152">
        <f>[2]PL2.1!AE27</f>
        <v>56000</v>
      </c>
      <c r="AP29" s="779">
        <f>'[16]Phụ lục số 2-1'!AJ27</f>
        <v>56000</v>
      </c>
      <c r="AQ29" s="779">
        <f>'[16]Phụ lục số 2-1'!AO27</f>
        <v>57000</v>
      </c>
      <c r="AR29" s="779">
        <f>'[16]Phụ lục số 2-1'!AT27</f>
        <v>59000</v>
      </c>
      <c r="AS29" s="779">
        <f>'[16]Phụ lục số 2-1'!AY27</f>
        <v>61000</v>
      </c>
      <c r="AT29" s="3631">
        <f t="shared" si="23"/>
        <v>289000</v>
      </c>
      <c r="AU29" s="3628"/>
      <c r="AV29" s="3632">
        <f t="shared" si="9"/>
        <v>2.6465840644437403E-3</v>
      </c>
      <c r="AW29" s="3632">
        <f t="shared" si="10"/>
        <v>3.1272933022206788E-3</v>
      </c>
      <c r="AX29" s="3538">
        <f>AT29/AJ29-1</f>
        <v>-0.19575794370780175</v>
      </c>
      <c r="AY29" s="3608">
        <f t="shared" si="32"/>
        <v>4.8776081654773734E-3</v>
      </c>
      <c r="AZ29" s="3625">
        <f t="shared" si="17"/>
        <v>3.1688552247457814E-3</v>
      </c>
    </row>
    <row r="30" spans="1:52" s="2028" customFormat="1">
      <c r="A30" s="3626" t="s">
        <v>182</v>
      </c>
      <c r="B30" s="2857" t="s">
        <v>742</v>
      </c>
      <c r="C30" s="39">
        <v>2000</v>
      </c>
      <c r="D30" s="39">
        <v>2000</v>
      </c>
      <c r="E30" s="39">
        <v>2000</v>
      </c>
      <c r="F30" s="39">
        <v>2000</v>
      </c>
      <c r="G30" s="39">
        <v>2000</v>
      </c>
      <c r="H30" s="39">
        <v>2000</v>
      </c>
      <c r="I30" s="39">
        <f t="shared" si="21"/>
        <v>10000</v>
      </c>
      <c r="J30" s="3529"/>
      <c r="K30" s="3529">
        <f t="shared" si="27"/>
        <v>2.9873112241841015E-4</v>
      </c>
      <c r="L30" s="39">
        <v>2000</v>
      </c>
      <c r="M30" s="39">
        <v>2000</v>
      </c>
      <c r="N30" s="39">
        <v>2000</v>
      </c>
      <c r="O30" s="39">
        <v>2000</v>
      </c>
      <c r="P30" s="39">
        <v>2000</v>
      </c>
      <c r="Q30" s="147">
        <f>'[16]Phụ lục số 2'!F28</f>
        <v>2000</v>
      </c>
      <c r="R30" s="147">
        <v>2000</v>
      </c>
      <c r="S30" s="147">
        <f>'[16]Phụ lục số 2'!F28</f>
        <v>2000</v>
      </c>
      <c r="T30" s="185">
        <f t="shared" si="12"/>
        <v>10000</v>
      </c>
      <c r="U30" s="3329"/>
      <c r="V30" s="3329">
        <f t="shared" si="18"/>
        <v>1.877303462026795E-4</v>
      </c>
      <c r="W30" s="3329">
        <f t="shared" si="5"/>
        <v>0</v>
      </c>
      <c r="X30" s="3345">
        <f>'[22]Phụ lục số 2'!$C$28</f>
        <v>2000</v>
      </c>
      <c r="Y30" s="147">
        <f>2000</f>
        <v>2000</v>
      </c>
      <c r="Z30" s="147">
        <v>2000</v>
      </c>
      <c r="AA30" s="147">
        <f>'[12]Chi (HĐND)'!$F$48</f>
        <v>2000</v>
      </c>
      <c r="AB30" s="185">
        <f t="shared" si="19"/>
        <v>6000</v>
      </c>
      <c r="AC30" s="3327">
        <f t="shared" si="1"/>
        <v>1.3255387424614685E-4</v>
      </c>
      <c r="AD30" s="3327">
        <f t="shared" si="20"/>
        <v>1.4400905482150826E-4</v>
      </c>
      <c r="AE30" s="3327"/>
      <c r="AF30" s="37">
        <f>[2]PL2.1!K28</f>
        <v>2000</v>
      </c>
      <c r="AG30" s="37">
        <f>[2]PL2.1!P28</f>
        <v>2000</v>
      </c>
      <c r="AH30" s="39">
        <f>[2]PL2.1!U28</f>
        <v>2000</v>
      </c>
      <c r="AI30" s="37">
        <f>[2]PL2.1!Z28</f>
        <v>2000</v>
      </c>
      <c r="AJ30" s="39">
        <f t="shared" si="33"/>
        <v>10000</v>
      </c>
      <c r="AK30" s="3529"/>
      <c r="AL30" s="3530">
        <f t="shared" si="14"/>
        <v>1.1385442173721885E-4</v>
      </c>
      <c r="AM30" s="3530">
        <f t="shared" si="8"/>
        <v>1.3039409686052338E-4</v>
      </c>
      <c r="AN30" s="3538">
        <f t="shared" si="25"/>
        <v>0</v>
      </c>
      <c r="AO30" s="152">
        <f>[2]PL2.1!AE28</f>
        <v>2000</v>
      </c>
      <c r="AP30" s="185">
        <f>'[16]Phụ lục số 2-1'!AJ28</f>
        <v>2000</v>
      </c>
      <c r="AQ30" s="185">
        <f>'[16]Phụ lục số 2-1'!AO28</f>
        <v>2000</v>
      </c>
      <c r="AR30" s="185">
        <f>'[16]Phụ lục số 2-1'!AT28</f>
        <v>2000</v>
      </c>
      <c r="AS30" s="185">
        <f>'[16]Phụ lục số 2-1'!AY28</f>
        <v>2000</v>
      </c>
      <c r="AT30" s="3627">
        <f t="shared" si="23"/>
        <v>10000</v>
      </c>
      <c r="AU30" s="3633"/>
      <c r="AV30" s="3623">
        <f t="shared" si="9"/>
        <v>9.1577303267949498E-5</v>
      </c>
      <c r="AW30" s="3623">
        <f t="shared" si="10"/>
        <v>1.0821084090728992E-4</v>
      </c>
      <c r="AX30" s="3529">
        <f t="shared" si="31"/>
        <v>0</v>
      </c>
      <c r="AY30" s="3344">
        <f t="shared" si="32"/>
        <v>1.8065215427693975E-4</v>
      </c>
      <c r="AZ30" s="3635">
        <f t="shared" si="17"/>
        <v>1.1736500832391782E-4</v>
      </c>
    </row>
    <row r="31" spans="1:52" s="2028" customFormat="1">
      <c r="A31" s="3626" t="s">
        <v>215</v>
      </c>
      <c r="B31" s="2857" t="s">
        <v>175</v>
      </c>
      <c r="C31" s="39"/>
      <c r="D31" s="39"/>
      <c r="E31" s="39"/>
      <c r="F31" s="39"/>
      <c r="G31" s="39"/>
      <c r="H31" s="39"/>
      <c r="I31" s="39"/>
      <c r="J31" s="3620"/>
      <c r="K31" s="3620"/>
      <c r="L31" s="39"/>
      <c r="M31" s="39"/>
      <c r="N31" s="39">
        <v>199901</v>
      </c>
      <c r="O31" s="39"/>
      <c r="P31" s="39">
        <v>209077</v>
      </c>
      <c r="Q31" s="147">
        <f>'[16]Phụ lục số 2'!F29</f>
        <v>0</v>
      </c>
      <c r="R31" s="147">
        <v>233960</v>
      </c>
      <c r="S31" s="147">
        <f>'[16]Phụ lục số 2'!F29</f>
        <v>0</v>
      </c>
      <c r="T31" s="185">
        <f t="shared" si="12"/>
        <v>0</v>
      </c>
      <c r="U31" s="3329"/>
      <c r="V31" s="3329"/>
      <c r="W31" s="3329"/>
      <c r="X31" s="3345">
        <f>'[22]Phụ lục số 2'!$C$29</f>
        <v>233960</v>
      </c>
      <c r="Y31" s="147">
        <f>'[16]Phụ lục số 2'!F29</f>
        <v>0</v>
      </c>
      <c r="Z31" s="147">
        <v>273066</v>
      </c>
      <c r="AA31" s="147">
        <f>'[19]Chi (HĐND)'!$F$49</f>
        <v>0</v>
      </c>
      <c r="AB31" s="185">
        <f t="shared" si="19"/>
        <v>0</v>
      </c>
      <c r="AC31" s="3327">
        <f t="shared" si="1"/>
        <v>0</v>
      </c>
      <c r="AD31" s="3327">
        <f t="shared" si="20"/>
        <v>0</v>
      </c>
      <c r="AE31" s="3327"/>
      <c r="AF31" s="37">
        <f>[2]PL2.1!K29</f>
        <v>274623</v>
      </c>
      <c r="AG31" s="37">
        <f>[2]PL2.1!P29</f>
        <v>274623</v>
      </c>
      <c r="AH31" s="39">
        <f>[2]PL2.1!U29</f>
        <v>327868.91231904214</v>
      </c>
      <c r="AI31" s="37">
        <f>[2]PL2.1!Z29</f>
        <v>347000</v>
      </c>
      <c r="AJ31" s="39">
        <f>Y31+AA31+AG31+AH31+AI31</f>
        <v>949491.91231904214</v>
      </c>
      <c r="AK31" s="3529"/>
      <c r="AL31" s="3530">
        <f t="shared" si="14"/>
        <v>1.0810385262125065E-2</v>
      </c>
      <c r="AM31" s="3530">
        <f t="shared" si="8"/>
        <v>1.2380814038321275E-2</v>
      </c>
      <c r="AN31" s="3538" t="e">
        <f t="shared" si="25"/>
        <v>#DIV/0!</v>
      </c>
      <c r="AO31" s="152">
        <f>[2]PL2.1!AE29</f>
        <v>361000</v>
      </c>
      <c r="AP31" s="185">
        <f>'[16]Phụ lục số 2-1'!AJ29</f>
        <v>309000</v>
      </c>
      <c r="AQ31" s="185">
        <f>'[16]Phụ lục số 2-1'!AO29</f>
        <v>317000</v>
      </c>
      <c r="AR31" s="185">
        <f>'[16]Phụ lục số 2-1'!AT29</f>
        <v>327000</v>
      </c>
      <c r="AS31" s="185">
        <f>'[16]Phụ lục số 2-1'!AY29</f>
        <v>338000</v>
      </c>
      <c r="AT31" s="3627">
        <f t="shared" si="23"/>
        <v>1652000</v>
      </c>
      <c r="AU31" s="3633"/>
      <c r="AV31" s="3623">
        <f t="shared" si="9"/>
        <v>1.5128570499865256E-2</v>
      </c>
      <c r="AW31" s="3623">
        <f t="shared" si="10"/>
        <v>1.7876430917884295E-2</v>
      </c>
      <c r="AX31" s="3529">
        <f t="shared" si="31"/>
        <v>0.73987790582138802</v>
      </c>
      <c r="AY31" s="3344">
        <f t="shared" si="32"/>
        <v>3.1343148767049051E-2</v>
      </c>
      <c r="AZ31" s="3635">
        <f t="shared" si="17"/>
        <v>2.0362828944199742E-2</v>
      </c>
    </row>
    <row r="32" spans="1:52" s="2028" customFormat="1">
      <c r="A32" s="3626" t="s">
        <v>718</v>
      </c>
      <c r="B32" s="2857" t="s">
        <v>176</v>
      </c>
      <c r="C32" s="39"/>
      <c r="D32" s="39"/>
      <c r="E32" s="39"/>
      <c r="F32" s="39"/>
      <c r="G32" s="39"/>
      <c r="H32" s="39"/>
      <c r="I32" s="39">
        <f t="shared" si="21"/>
        <v>0</v>
      </c>
      <c r="J32" s="3620"/>
      <c r="K32" s="3620"/>
      <c r="L32" s="261">
        <f>9435660-9023428</f>
        <v>412232</v>
      </c>
      <c r="M32" s="261">
        <f>10825318-9554518</f>
        <v>1270800</v>
      </c>
      <c r="N32" s="261">
        <v>83719</v>
      </c>
      <c r="O32" s="261">
        <f>12245989-11966493</f>
        <v>279496</v>
      </c>
      <c r="P32" s="39">
        <v>204195</v>
      </c>
      <c r="Q32" s="147"/>
      <c r="R32" s="147">
        <v>378989</v>
      </c>
      <c r="S32" s="147"/>
      <c r="T32" s="185">
        <f>L32+M32+O32+Q32+S32</f>
        <v>1962528</v>
      </c>
      <c r="U32" s="3329"/>
      <c r="V32" s="3329">
        <f t="shared" si="18"/>
        <v>3.6842606087245218E-2</v>
      </c>
      <c r="W32" s="3329"/>
      <c r="X32" s="3345">
        <f>'[22]Phụ lục số 2'!$C$30</f>
        <v>606749</v>
      </c>
      <c r="Y32" s="147">
        <v>0</v>
      </c>
      <c r="Z32" s="147"/>
      <c r="AA32" s="147">
        <f>'[19]Chi (HĐND)'!$F$63</f>
        <v>0</v>
      </c>
      <c r="AB32" s="185">
        <f t="shared" si="19"/>
        <v>0</v>
      </c>
      <c r="AC32" s="3327">
        <f t="shared" si="1"/>
        <v>0</v>
      </c>
      <c r="AD32" s="3327">
        <f t="shared" si="20"/>
        <v>0</v>
      </c>
      <c r="AE32" s="3327"/>
      <c r="AF32" s="39">
        <f>[2]PL2.1!K30</f>
        <v>0</v>
      </c>
      <c r="AG32" s="39">
        <f>[2]PL2.1!P30</f>
        <v>431000</v>
      </c>
      <c r="AH32" s="39">
        <f>[2]PL2.1!U30</f>
        <v>0</v>
      </c>
      <c r="AI32" s="37">
        <f>[2]PL2.1!Z30</f>
        <v>0</v>
      </c>
      <c r="AJ32" s="39">
        <f>Y32+AA32+AG32+AH32+AI32</f>
        <v>431000</v>
      </c>
      <c r="AK32" s="3529"/>
      <c r="AL32" s="3530">
        <f t="shared" si="14"/>
        <v>4.9071255768741327E-3</v>
      </c>
      <c r="AM32" s="3530">
        <f t="shared" si="8"/>
        <v>5.6199855746885572E-3</v>
      </c>
      <c r="AN32" s="3529">
        <f>+AJ32/T32-1</f>
        <v>-0.78038529896133968</v>
      </c>
      <c r="AO32" s="152">
        <f>[2]PL2.1!AE30</f>
        <v>0</v>
      </c>
      <c r="AP32" s="185">
        <f>'[16]Phụ lục số 2-1'!AJ30</f>
        <v>1331158</v>
      </c>
      <c r="AQ32" s="185">
        <f>'[16]Phụ lục số 2-1'!AO30</f>
        <v>1700658</v>
      </c>
      <c r="AR32" s="185">
        <f>'[16]Phụ lục số 2-1'!AT30</f>
        <v>2172086</v>
      </c>
      <c r="AS32" s="185">
        <f>'[16]Phụ lục số 2-1'!AY30</f>
        <v>2724194.1</v>
      </c>
      <c r="AT32" s="3627">
        <f t="shared" si="23"/>
        <v>7928096.0999999996</v>
      </c>
      <c r="AU32" s="3633"/>
      <c r="AV32" s="3623">
        <f t="shared" si="9"/>
        <v>7.260336608871476E-2</v>
      </c>
      <c r="AW32" s="3623">
        <f t="shared" si="10"/>
        <v>8.5790594577480561E-2</v>
      </c>
      <c r="AX32" s="3529">
        <f t="shared" si="31"/>
        <v>17.394654524361947</v>
      </c>
      <c r="AY32" s="3344">
        <f t="shared" si="32"/>
        <v>0</v>
      </c>
      <c r="AZ32" s="3635">
        <f t="shared" si="17"/>
        <v>0</v>
      </c>
    </row>
    <row r="33" spans="1:52" s="2028" customFormat="1">
      <c r="A33" s="3626" t="s">
        <v>744</v>
      </c>
      <c r="B33" s="2857" t="s">
        <v>2073</v>
      </c>
      <c r="C33" s="39">
        <f>4688367-3831104</f>
        <v>857263</v>
      </c>
      <c r="D33" s="39"/>
      <c r="E33" s="39"/>
      <c r="F33" s="39"/>
      <c r="G33" s="39"/>
      <c r="H33" s="39">
        <f>8838259-8347894</f>
        <v>490365</v>
      </c>
      <c r="I33" s="39">
        <f t="shared" si="21"/>
        <v>490365</v>
      </c>
      <c r="J33" s="3620"/>
      <c r="K33" s="3620"/>
      <c r="L33" s="261">
        <f>9435660-9023428-(9435660-9023428)</f>
        <v>0</v>
      </c>
      <c r="M33" s="261">
        <f>(10825318-9554518)-(10825318-9554518)</f>
        <v>0</v>
      </c>
      <c r="N33" s="261"/>
      <c r="O33" s="261">
        <f>12245989-11966493-(12245989-11966493)</f>
        <v>0</v>
      </c>
      <c r="P33" s="39"/>
      <c r="Q33" s="147"/>
      <c r="R33" s="147"/>
      <c r="S33" s="147"/>
      <c r="T33" s="185">
        <f>L33+M33+O33+Q33+S33</f>
        <v>0</v>
      </c>
      <c r="U33" s="3329"/>
      <c r="V33" s="3329">
        <f t="shared" si="18"/>
        <v>0</v>
      </c>
      <c r="W33" s="3329"/>
      <c r="X33" s="3345"/>
      <c r="Y33" s="147"/>
      <c r="Z33" s="147"/>
      <c r="AA33" s="147">
        <f>0</f>
        <v>0</v>
      </c>
      <c r="AB33" s="185">
        <f t="shared" si="19"/>
        <v>0</v>
      </c>
      <c r="AC33" s="3327">
        <f t="shared" si="1"/>
        <v>0</v>
      </c>
      <c r="AD33" s="3327">
        <f t="shared" si="20"/>
        <v>0</v>
      </c>
      <c r="AE33" s="3327"/>
      <c r="AF33" s="39">
        <f>[2]PL2.1!K31</f>
        <v>0</v>
      </c>
      <c r="AG33" s="39">
        <f>[2]PL2.1!P31</f>
        <v>357489.34666666656</v>
      </c>
      <c r="AH33" s="39">
        <f>[2]PL2.1!U31</f>
        <v>717399.2</v>
      </c>
      <c r="AI33" s="37">
        <f>[2]PL2.1!Z31</f>
        <v>882854.2423493322</v>
      </c>
      <c r="AJ33" s="39">
        <f t="shared" si="33"/>
        <v>1957742.7890159986</v>
      </c>
      <c r="AK33" s="3529"/>
      <c r="AL33" s="3530">
        <f t="shared" si="14"/>
        <v>2.2289767315362658E-2</v>
      </c>
      <c r="AM33" s="3530">
        <f t="shared" si="8"/>
        <v>2.5527810285894331E-2</v>
      </c>
      <c r="AN33" s="3529" t="e">
        <f t="shared" si="25"/>
        <v>#DIV/0!</v>
      </c>
      <c r="AO33" s="152">
        <f>[2]PL2.1!AE31</f>
        <v>1237230.2030542626</v>
      </c>
      <c r="AP33" s="185"/>
      <c r="AQ33" s="185"/>
      <c r="AR33" s="185"/>
      <c r="AS33" s="185"/>
      <c r="AT33" s="3627">
        <f t="shared" si="23"/>
        <v>1237230.2030542626</v>
      </c>
      <c r="AU33" s="3633"/>
      <c r="AV33" s="3623">
        <f t="shared" si="9"/>
        <v>1.1330220551736693E-2</v>
      </c>
      <c r="AW33" s="3623">
        <f t="shared" si="10"/>
        <v>1.3388172066839881E-2</v>
      </c>
      <c r="AX33" s="3529">
        <f t="shared" si="31"/>
        <v>-0.36803230230457407</v>
      </c>
      <c r="AY33" s="3344">
        <f t="shared" si="32"/>
        <v>7.9744760396471159E-2</v>
      </c>
      <c r="AZ33" s="3635">
        <f t="shared" si="17"/>
        <v>5.1808097751067768E-2</v>
      </c>
    </row>
    <row r="34" spans="1:52" s="2028" customFormat="1">
      <c r="A34" s="3626" t="s">
        <v>745</v>
      </c>
      <c r="B34" s="39" t="s">
        <v>2074</v>
      </c>
      <c r="C34" s="39"/>
      <c r="D34" s="39"/>
      <c r="E34" s="39"/>
      <c r="F34" s="39"/>
      <c r="G34" s="39"/>
      <c r="H34" s="39"/>
      <c r="I34" s="39"/>
      <c r="J34" s="3620"/>
      <c r="K34" s="3620"/>
      <c r="L34" s="261"/>
      <c r="M34" s="261"/>
      <c r="N34" s="261"/>
      <c r="O34" s="261"/>
      <c r="P34" s="39"/>
      <c r="Q34" s="147"/>
      <c r="R34" s="147"/>
      <c r="S34" s="147"/>
      <c r="T34" s="185"/>
      <c r="U34" s="3329"/>
      <c r="V34" s="3329"/>
      <c r="W34" s="3329"/>
      <c r="X34" s="3345"/>
      <c r="Y34" s="147"/>
      <c r="Z34" s="147"/>
      <c r="AA34" s="147">
        <f>0</f>
        <v>0</v>
      </c>
      <c r="AB34" s="185"/>
      <c r="AC34" s="3327"/>
      <c r="AD34" s="3327"/>
      <c r="AE34" s="3327"/>
      <c r="AF34" s="39">
        <f>[2]PL2.1!K32</f>
        <v>0</v>
      </c>
      <c r="AG34" s="39">
        <f>[2]PL2.1!P32</f>
        <v>153209.71999999997</v>
      </c>
      <c r="AH34" s="39">
        <f>[2]PL2.1!U32</f>
        <v>0</v>
      </c>
      <c r="AI34" s="37">
        <f>[2]PL2.1!Z32</f>
        <v>0</v>
      </c>
      <c r="AJ34" s="39"/>
      <c r="AK34" s="3529"/>
      <c r="AL34" s="3530"/>
      <c r="AM34" s="3530"/>
      <c r="AN34" s="3529"/>
      <c r="AO34" s="152">
        <f>[2]PL2.1!AE32</f>
        <v>0</v>
      </c>
      <c r="AP34" s="185"/>
      <c r="AQ34" s="185"/>
      <c r="AR34" s="185"/>
      <c r="AS34" s="185"/>
      <c r="AT34" s="3627"/>
      <c r="AU34" s="3633"/>
      <c r="AV34" s="3623"/>
      <c r="AW34" s="3623"/>
      <c r="AX34" s="3529"/>
      <c r="AY34" s="3344"/>
      <c r="AZ34" s="3635"/>
    </row>
    <row r="35" spans="1:52" s="2028" customFormat="1">
      <c r="A35" s="3626" t="s">
        <v>1716</v>
      </c>
      <c r="B35" s="2857" t="s">
        <v>2075</v>
      </c>
      <c r="C35" s="39"/>
      <c r="D35" s="39"/>
      <c r="E35" s="39"/>
      <c r="F35" s="39"/>
      <c r="G35" s="39"/>
      <c r="H35" s="39"/>
      <c r="I35" s="39">
        <f t="shared" si="21"/>
        <v>0</v>
      </c>
      <c r="J35" s="3620"/>
      <c r="K35" s="3620"/>
      <c r="L35" s="39"/>
      <c r="M35" s="39"/>
      <c r="N35" s="39">
        <v>100</v>
      </c>
      <c r="O35" s="39">
        <f>N35</f>
        <v>100</v>
      </c>
      <c r="P35" s="39">
        <v>300</v>
      </c>
      <c r="Q35" s="147">
        <f>P35</f>
        <v>300</v>
      </c>
      <c r="R35" s="147">
        <v>1000</v>
      </c>
      <c r="S35" s="147">
        <f>R35</f>
        <v>1000</v>
      </c>
      <c r="T35" s="185">
        <f t="shared" si="12"/>
        <v>1400</v>
      </c>
      <c r="U35" s="3329"/>
      <c r="V35" s="3329">
        <f t="shared" si="18"/>
        <v>2.6282248468375127E-5</v>
      </c>
      <c r="W35" s="3329"/>
      <c r="X35" s="3345">
        <f>'[22]Phụ lục số 2'!$C$31</f>
        <v>2100</v>
      </c>
      <c r="Y35" s="147">
        <v>823</v>
      </c>
      <c r="Z35" s="147">
        <v>2000</v>
      </c>
      <c r="AA35" s="147">
        <f>'[12]Chi (HĐND)'!$F$53</f>
        <v>1774.8968809999999</v>
      </c>
      <c r="AB35" s="185">
        <f t="shared" si="19"/>
        <v>3597.8968809999997</v>
      </c>
      <c r="AC35" s="3327">
        <f t="shared" si="1"/>
        <v>7.9485861785779662E-5</v>
      </c>
      <c r="AD35" s="3327">
        <f t="shared" si="20"/>
        <v>8.6354954863010418E-5</v>
      </c>
      <c r="AE35" s="3327"/>
      <c r="AF35" s="39">
        <f>[2]PL2.1!K33</f>
        <v>0</v>
      </c>
      <c r="AG35" s="39">
        <f>[2]PL2.1!P33</f>
        <v>0</v>
      </c>
      <c r="AH35" s="39">
        <f>[2]PL2.1!U33</f>
        <v>3000</v>
      </c>
      <c r="AI35" s="37">
        <f>[2]PL2.1!Z33</f>
        <v>3000</v>
      </c>
      <c r="AJ35" s="39">
        <f>Y35+AA35+AG35+AH35+AI35</f>
        <v>8597.8968810000006</v>
      </c>
      <c r="AK35" s="3529"/>
      <c r="AL35" s="3530">
        <f t="shared" si="14"/>
        <v>9.789085775424926E-5</v>
      </c>
      <c r="AM35" s="3530">
        <f t="shared" si="8"/>
        <v>1.1211149986979059E-4</v>
      </c>
      <c r="AN35" s="3529">
        <f t="shared" si="25"/>
        <v>5.141354915</v>
      </c>
      <c r="AO35" s="152">
        <f>[2]PL2.1!AE33</f>
        <v>3000</v>
      </c>
      <c r="AP35" s="185">
        <f>'[16]Phụ lục số 2-1'!AJ31</f>
        <v>0</v>
      </c>
      <c r="AQ35" s="185">
        <f>'[16]Phụ lục số 2-1'!AO31</f>
        <v>0</v>
      </c>
      <c r="AR35" s="185">
        <f>'[16]Phụ lục số 2-1'!AT31</f>
        <v>0</v>
      </c>
      <c r="AS35" s="185">
        <f>'[16]Phụ lục số 2-1'!AY31</f>
        <v>0</v>
      </c>
      <c r="AT35" s="3627">
        <f t="shared" si="23"/>
        <v>3000</v>
      </c>
      <c r="AU35" s="3633"/>
      <c r="AV35" s="3623">
        <f t="shared" si="9"/>
        <v>2.7473190980384847E-5</v>
      </c>
      <c r="AW35" s="3623">
        <f t="shared" si="10"/>
        <v>3.2463252272186977E-5</v>
      </c>
      <c r="AX35" s="3529">
        <f t="shared" si="31"/>
        <v>-0.65107746213733642</v>
      </c>
      <c r="AY35" s="3344">
        <f t="shared" si="32"/>
        <v>2.7097823141540963E-4</v>
      </c>
      <c r="AZ35" s="3635">
        <f t="shared" si="17"/>
        <v>1.7604751248587674E-4</v>
      </c>
    </row>
    <row r="36" spans="1:52" s="2028" customFormat="1">
      <c r="A36" s="3619" t="s">
        <v>37</v>
      </c>
      <c r="B36" s="735" t="s">
        <v>1921</v>
      </c>
      <c r="C36" s="3093">
        <f t="shared" ref="C36:H36" si="37">SUM(C41,C44)</f>
        <v>0</v>
      </c>
      <c r="D36" s="3093">
        <f t="shared" si="37"/>
        <v>0</v>
      </c>
      <c r="E36" s="3093">
        <f t="shared" si="37"/>
        <v>0</v>
      </c>
      <c r="F36" s="3093">
        <f t="shared" si="37"/>
        <v>0</v>
      </c>
      <c r="G36" s="3093">
        <f t="shared" si="37"/>
        <v>0</v>
      </c>
      <c r="H36" s="3093">
        <f t="shared" si="37"/>
        <v>0</v>
      </c>
      <c r="I36" s="3093">
        <f>SUM(D36:H36)</f>
        <v>0</v>
      </c>
      <c r="J36" s="3620"/>
      <c r="K36" s="3620" t="e">
        <f>I36/#REF!</f>
        <v>#REF!</v>
      </c>
      <c r="L36" s="3093">
        <f>SUM(L41,L44)</f>
        <v>0</v>
      </c>
      <c r="M36" s="3093">
        <f>SUM(M41,M44)</f>
        <v>0</v>
      </c>
      <c r="N36" s="3093">
        <f>SUM(N37:N40)</f>
        <v>1818286</v>
      </c>
      <c r="O36" s="3093">
        <f>SUM(O37:O40)</f>
        <v>1818286</v>
      </c>
      <c r="P36" s="3093">
        <f t="shared" ref="P36:T36" si="38">SUM(P37:P40)</f>
        <v>1511244</v>
      </c>
      <c r="Q36" s="3093">
        <f t="shared" si="38"/>
        <v>1511244</v>
      </c>
      <c r="R36" s="3093">
        <f t="shared" si="38"/>
        <v>1600563</v>
      </c>
      <c r="S36" s="3093">
        <f t="shared" si="38"/>
        <v>1600563</v>
      </c>
      <c r="T36" s="186">
        <f t="shared" si="38"/>
        <v>0</v>
      </c>
      <c r="U36" s="3321"/>
      <c r="V36" s="3321" t="e">
        <f>T36/#REF!</f>
        <v>#REF!</v>
      </c>
      <c r="W36" s="3321" t="e">
        <f>T36/I36-1</f>
        <v>#DIV/0!</v>
      </c>
      <c r="X36" s="3093">
        <f t="shared" ref="X36:AA36" si="39">SUM(X37:X40)</f>
        <v>1370794</v>
      </c>
      <c r="Y36" s="3093">
        <f t="shared" si="39"/>
        <v>545949</v>
      </c>
      <c r="Z36" s="3093">
        <f t="shared" si="39"/>
        <v>1213473</v>
      </c>
      <c r="AA36" s="3093">
        <f t="shared" si="39"/>
        <v>1567740</v>
      </c>
      <c r="AB36" s="186">
        <f t="shared" si="19"/>
        <v>3714252</v>
      </c>
      <c r="AC36" s="3326">
        <f t="shared" si="1"/>
        <v>8.2056415421083231E-2</v>
      </c>
      <c r="AD36" s="3327">
        <f>AB36/$AB$10</f>
        <v>8.9147653314816111E-2</v>
      </c>
      <c r="AE36" s="3327"/>
      <c r="AF36" s="3093">
        <f t="shared" ref="AF36:AT36" si="40">SUM(AF37:AF40)</f>
        <v>2597007</v>
      </c>
      <c r="AG36" s="3093">
        <f t="shared" si="40"/>
        <v>2597007</v>
      </c>
      <c r="AH36" s="3093">
        <f t="shared" si="40"/>
        <v>1988976</v>
      </c>
      <c r="AI36" s="3093">
        <f t="shared" si="40"/>
        <v>2379485.2999999998</v>
      </c>
      <c r="AJ36" s="3093">
        <f t="shared" si="40"/>
        <v>0</v>
      </c>
      <c r="AK36" s="3093">
        <f t="shared" si="40"/>
        <v>0</v>
      </c>
      <c r="AL36" s="3093">
        <f t="shared" si="40"/>
        <v>0</v>
      </c>
      <c r="AM36" s="3093">
        <f t="shared" si="40"/>
        <v>0</v>
      </c>
      <c r="AN36" s="3093">
        <f t="shared" si="40"/>
        <v>0</v>
      </c>
      <c r="AO36" s="173">
        <f t="shared" si="40"/>
        <v>2379485.2999999998</v>
      </c>
      <c r="AP36" s="186">
        <f t="shared" si="40"/>
        <v>0</v>
      </c>
      <c r="AQ36" s="186">
        <f t="shared" si="40"/>
        <v>0</v>
      </c>
      <c r="AR36" s="186">
        <f t="shared" si="40"/>
        <v>0</v>
      </c>
      <c r="AS36" s="186">
        <f t="shared" si="40"/>
        <v>0</v>
      </c>
      <c r="AT36" s="3621">
        <f t="shared" si="40"/>
        <v>0</v>
      </c>
      <c r="AU36" s="3636"/>
      <c r="AV36" s="3637">
        <f t="shared" si="9"/>
        <v>0</v>
      </c>
      <c r="AW36" s="3637">
        <f t="shared" si="10"/>
        <v>0</v>
      </c>
      <c r="AX36" s="3549"/>
      <c r="AY36" s="3344">
        <f t="shared" si="32"/>
        <v>0.21492957275765512</v>
      </c>
      <c r="AZ36" s="3635">
        <f t="shared" si="17"/>
        <v>0.13963415602057005</v>
      </c>
    </row>
    <row r="37" spans="1:52" s="3607" customFormat="1">
      <c r="A37" s="3629"/>
      <c r="B37" s="3150" t="s">
        <v>2076</v>
      </c>
      <c r="C37" s="37"/>
      <c r="D37" s="37"/>
      <c r="E37" s="37"/>
      <c r="F37" s="37"/>
      <c r="G37" s="37"/>
      <c r="H37" s="37"/>
      <c r="I37" s="37"/>
      <c r="J37" s="3638"/>
      <c r="K37" s="3638"/>
      <c r="L37" s="37"/>
      <c r="M37" s="37"/>
      <c r="N37" s="37">
        <v>158489</v>
      </c>
      <c r="O37" s="37">
        <f>N37</f>
        <v>158489</v>
      </c>
      <c r="P37" s="37">
        <f>237567</f>
        <v>237567</v>
      </c>
      <c r="Q37" s="152">
        <f>P37</f>
        <v>237567</v>
      </c>
      <c r="R37" s="152">
        <f>325020+101555</f>
        <v>426575</v>
      </c>
      <c r="S37" s="152">
        <f>R37</f>
        <v>426575</v>
      </c>
      <c r="T37" s="779"/>
      <c r="U37" s="3441"/>
      <c r="V37" s="3441"/>
      <c r="W37" s="3441"/>
      <c r="X37" s="3539">
        <f>0</f>
        <v>0</v>
      </c>
      <c r="Y37" s="152">
        <f>X37</f>
        <v>0</v>
      </c>
      <c r="Z37" s="152">
        <v>0</v>
      </c>
      <c r="AA37" s="152">
        <v>0</v>
      </c>
      <c r="AB37" s="779"/>
      <c r="AC37" s="3503"/>
      <c r="AD37" s="3503"/>
      <c r="AE37" s="3503"/>
      <c r="AF37" s="37"/>
      <c r="AG37" s="37"/>
      <c r="AH37" s="37"/>
      <c r="AI37" s="37"/>
      <c r="AJ37" s="37"/>
      <c r="AK37" s="3538"/>
      <c r="AL37" s="3630"/>
      <c r="AM37" s="3630"/>
      <c r="AN37" s="3538"/>
      <c r="AO37" s="152"/>
      <c r="AP37" s="779"/>
      <c r="AQ37" s="779"/>
      <c r="AR37" s="779"/>
      <c r="AS37" s="779"/>
      <c r="AT37" s="3631"/>
      <c r="AU37" s="3628"/>
      <c r="AV37" s="3632"/>
      <c r="AW37" s="3632"/>
      <c r="AX37" s="3538"/>
      <c r="AY37" s="3608"/>
      <c r="AZ37" s="3625"/>
    </row>
    <row r="38" spans="1:52" s="3607" customFormat="1">
      <c r="A38" s="3629"/>
      <c r="B38" s="3150" t="s">
        <v>2077</v>
      </c>
      <c r="C38" s="37"/>
      <c r="D38" s="37"/>
      <c r="E38" s="37"/>
      <c r="F38" s="37"/>
      <c r="G38" s="37"/>
      <c r="H38" s="37"/>
      <c r="I38" s="37"/>
      <c r="J38" s="3638"/>
      <c r="K38" s="3638"/>
      <c r="L38" s="37"/>
      <c r="M38" s="37"/>
      <c r="N38" s="37">
        <v>1503647</v>
      </c>
      <c r="O38" s="37">
        <f>N38</f>
        <v>1503647</v>
      </c>
      <c r="P38" s="37">
        <f>849684</f>
        <v>849684</v>
      </c>
      <c r="Q38" s="152">
        <f>P38</f>
        <v>849684</v>
      </c>
      <c r="R38" s="152">
        <f>906600</f>
        <v>906600</v>
      </c>
      <c r="S38" s="152">
        <f>R38</f>
        <v>906600</v>
      </c>
      <c r="T38" s="779"/>
      <c r="U38" s="3441"/>
      <c r="V38" s="3441"/>
      <c r="W38" s="3441"/>
      <c r="X38" s="3539">
        <v>1263824</v>
      </c>
      <c r="Y38" s="152">
        <v>545949</v>
      </c>
      <c r="Z38" s="152">
        <v>1127000</v>
      </c>
      <c r="AA38" s="152">
        <f>1567740-AA39</f>
        <v>1481267</v>
      </c>
      <c r="AB38" s="779"/>
      <c r="AC38" s="3503"/>
      <c r="AD38" s="3503"/>
      <c r="AE38" s="3503"/>
      <c r="AF38" s="37">
        <f>[2]PL2.1!K35</f>
        <v>2417971</v>
      </c>
      <c r="AG38" s="37">
        <f>[2]PL2.1!P35</f>
        <v>2417971</v>
      </c>
      <c r="AH38" s="37">
        <f>[2]PL2.1!U35</f>
        <v>1814491</v>
      </c>
      <c r="AI38" s="37">
        <f>[2]PL2.1!Z35</f>
        <v>2205000</v>
      </c>
      <c r="AJ38" s="37"/>
      <c r="AK38" s="3538"/>
      <c r="AL38" s="3630"/>
      <c r="AM38" s="3630"/>
      <c r="AN38" s="3538"/>
      <c r="AO38" s="152">
        <f>[2]PL2.1!AE35</f>
        <v>2205000</v>
      </c>
      <c r="AP38" s="779"/>
      <c r="AQ38" s="779"/>
      <c r="AR38" s="779"/>
      <c r="AS38" s="779"/>
      <c r="AT38" s="3631"/>
      <c r="AU38" s="3628"/>
      <c r="AV38" s="3632"/>
      <c r="AW38" s="3632"/>
      <c r="AX38" s="3538"/>
      <c r="AY38" s="3608"/>
      <c r="AZ38" s="3625"/>
    </row>
    <row r="39" spans="1:52" s="3607" customFormat="1">
      <c r="A39" s="3629"/>
      <c r="B39" s="3150" t="s">
        <v>2078</v>
      </c>
      <c r="C39" s="37"/>
      <c r="D39" s="37"/>
      <c r="E39" s="37"/>
      <c r="F39" s="37"/>
      <c r="G39" s="37"/>
      <c r="H39" s="37"/>
      <c r="I39" s="37"/>
      <c r="J39" s="3638"/>
      <c r="K39" s="3638"/>
      <c r="L39" s="37"/>
      <c r="M39" s="37"/>
      <c r="N39" s="37">
        <f>245237-89087</f>
        <v>156150</v>
      </c>
      <c r="O39" s="37">
        <f>N39</f>
        <v>156150</v>
      </c>
      <c r="P39" s="37">
        <v>423993</v>
      </c>
      <c r="Q39" s="152">
        <f>P39</f>
        <v>423993</v>
      </c>
      <c r="R39" s="152">
        <v>267388</v>
      </c>
      <c r="S39" s="152">
        <f>R39</f>
        <v>267388</v>
      </c>
      <c r="T39" s="779"/>
      <c r="U39" s="3441"/>
      <c r="V39" s="3441"/>
      <c r="W39" s="3441"/>
      <c r="X39" s="3539">
        <v>106970</v>
      </c>
      <c r="Y39" s="152">
        <v>0</v>
      </c>
      <c r="Z39" s="152">
        <v>86473</v>
      </c>
      <c r="AA39" s="152">
        <f>Z39</f>
        <v>86473</v>
      </c>
      <c r="AB39" s="779"/>
      <c r="AC39" s="3503"/>
      <c r="AD39" s="3503"/>
      <c r="AE39" s="3503"/>
      <c r="AF39" s="37">
        <f>[2]PL2.1!K36</f>
        <v>179036</v>
      </c>
      <c r="AG39" s="37">
        <f>[2]PL2.1!P36</f>
        <v>179036</v>
      </c>
      <c r="AH39" s="37">
        <f>[2]PL2.1!U36</f>
        <v>174485</v>
      </c>
      <c r="AI39" s="37">
        <f>[2]PL2.1!Z36</f>
        <v>174485.3</v>
      </c>
      <c r="AJ39" s="37"/>
      <c r="AK39" s="3538"/>
      <c r="AL39" s="3630"/>
      <c r="AM39" s="3630"/>
      <c r="AN39" s="3538"/>
      <c r="AO39" s="152">
        <f>[2]PL2.1!AE36</f>
        <v>174485.3</v>
      </c>
      <c r="AP39" s="779"/>
      <c r="AQ39" s="779"/>
      <c r="AR39" s="779"/>
      <c r="AS39" s="779"/>
      <c r="AT39" s="3631"/>
      <c r="AU39" s="3628"/>
      <c r="AV39" s="3632"/>
      <c r="AW39" s="3632"/>
      <c r="AX39" s="3538"/>
      <c r="AY39" s="3608"/>
      <c r="AZ39" s="3625"/>
    </row>
    <row r="40" spans="1:52" s="3607" customFormat="1">
      <c r="A40" s="3629"/>
      <c r="B40" s="3150" t="s">
        <v>2079</v>
      </c>
      <c r="C40" s="37"/>
      <c r="D40" s="37"/>
      <c r="E40" s="37"/>
      <c r="F40" s="37"/>
      <c r="G40" s="37"/>
      <c r="H40" s="37"/>
      <c r="I40" s="37"/>
      <c r="J40" s="3638"/>
      <c r="K40" s="3638"/>
      <c r="L40" s="37"/>
      <c r="M40" s="37"/>
      <c r="N40" s="37">
        <v>0</v>
      </c>
      <c r="O40" s="37">
        <f>N40</f>
        <v>0</v>
      </c>
      <c r="P40" s="37"/>
      <c r="Q40" s="152"/>
      <c r="R40" s="152"/>
      <c r="S40" s="152"/>
      <c r="T40" s="779"/>
      <c r="U40" s="3441"/>
      <c r="V40" s="3441"/>
      <c r="W40" s="3441"/>
      <c r="X40" s="3539"/>
      <c r="Y40" s="152">
        <f>X40</f>
        <v>0</v>
      </c>
      <c r="Z40" s="152"/>
      <c r="AA40" s="152"/>
      <c r="AB40" s="779"/>
      <c r="AC40" s="3503"/>
      <c r="AD40" s="3503"/>
      <c r="AE40" s="3503"/>
      <c r="AF40" s="37">
        <f>[2]PL2.1!K37</f>
        <v>0</v>
      </c>
      <c r="AG40" s="37">
        <f>[2]PL2.1!P37</f>
        <v>0</v>
      </c>
      <c r="AH40" s="37">
        <f>[2]PL2.1!U37</f>
        <v>0</v>
      </c>
      <c r="AI40" s="37">
        <f>[2]PL2.1!Z37</f>
        <v>0</v>
      </c>
      <c r="AJ40" s="37"/>
      <c r="AK40" s="3538"/>
      <c r="AL40" s="3630"/>
      <c r="AM40" s="3630"/>
      <c r="AN40" s="3538"/>
      <c r="AO40" s="152">
        <f>[2]PL2.1!AE37</f>
        <v>0</v>
      </c>
      <c r="AP40" s="779"/>
      <c r="AQ40" s="779"/>
      <c r="AR40" s="779"/>
      <c r="AS40" s="779"/>
      <c r="AT40" s="3631"/>
      <c r="AU40" s="3628"/>
      <c r="AV40" s="3632"/>
      <c r="AW40" s="3632"/>
      <c r="AX40" s="3538"/>
      <c r="AY40" s="3608"/>
      <c r="AZ40" s="3625"/>
    </row>
    <row r="41" spans="1:52" s="3317" customFormat="1" ht="16.2" thickBot="1">
      <c r="A41" s="3639" t="s">
        <v>46</v>
      </c>
      <c r="B41" s="3376" t="s">
        <v>181</v>
      </c>
      <c r="C41" s="3376"/>
      <c r="D41" s="3376"/>
      <c r="E41" s="3376"/>
      <c r="F41" s="3376"/>
      <c r="G41" s="3376"/>
      <c r="H41" s="3376"/>
      <c r="I41" s="3376"/>
      <c r="J41" s="3640"/>
      <c r="K41" s="3640"/>
      <c r="L41" s="3376"/>
      <c r="M41" s="3376"/>
      <c r="N41" s="3376">
        <v>0</v>
      </c>
      <c r="O41" s="3376">
        <f>N41</f>
        <v>0</v>
      </c>
      <c r="P41" s="3376">
        <v>15000</v>
      </c>
      <c r="Q41" s="3641">
        <f>P41</f>
        <v>15000</v>
      </c>
      <c r="R41" s="3641">
        <v>30900</v>
      </c>
      <c r="S41" s="3641">
        <f>R41</f>
        <v>30900</v>
      </c>
      <c r="T41" s="3642">
        <f t="shared" si="12"/>
        <v>45900</v>
      </c>
      <c r="U41" s="3643"/>
      <c r="V41" s="3643"/>
      <c r="W41" s="3643"/>
      <c r="X41" s="3644">
        <f>'[22]Phụ lục số 2'!$C$35</f>
        <v>61200</v>
      </c>
      <c r="Y41" s="3641">
        <f>78453</f>
        <v>78453</v>
      </c>
      <c r="Z41" s="3641">
        <v>48300</v>
      </c>
      <c r="AA41" s="3642">
        <f>'[11]Chi NSĐP 2021-2030'!$Z$35</f>
        <v>12155.078450000001</v>
      </c>
      <c r="AB41" s="3642">
        <f t="shared" si="19"/>
        <v>121508.07845</v>
      </c>
      <c r="AC41" s="3645">
        <f t="shared" si="1"/>
        <v>2.6843944251253742E-3</v>
      </c>
      <c r="AD41" s="3645">
        <f t="shared" si="20"/>
        <v>2.9163772551270293E-3</v>
      </c>
      <c r="AE41" s="3645"/>
      <c r="AF41" s="3376">
        <f>[2]PL2.1!K38</f>
        <v>31500</v>
      </c>
      <c r="AG41" s="3376">
        <f>[2]PL2.1!P38</f>
        <v>31500</v>
      </c>
      <c r="AH41" s="3376">
        <f>[2]PL2.1!U38</f>
        <v>0</v>
      </c>
      <c r="AI41" s="3376">
        <f>[2]PL2.1!Z38</f>
        <v>0</v>
      </c>
      <c r="AJ41" s="3376">
        <f>Y41+AA41+AG41+AH41+AI41</f>
        <v>122108.07845</v>
      </c>
      <c r="AK41" s="3640"/>
      <c r="AL41" s="3646">
        <f t="shared" si="14"/>
        <v>1.3902544661367705E-3</v>
      </c>
      <c r="AM41" s="3646">
        <f t="shared" si="8"/>
        <v>1.5922172608861687E-3</v>
      </c>
      <c r="AN41" s="3647">
        <f t="shared" si="25"/>
        <v>1.660306720043573</v>
      </c>
      <c r="AO41" s="3641">
        <f>[2]PL2.1!AE38</f>
        <v>0</v>
      </c>
      <c r="AP41" s="3642">
        <f>'[16]Phụ lục số 2-1'!AJ35</f>
        <v>0</v>
      </c>
      <c r="AQ41" s="3642">
        <f>'[16]Phụ lục số 2-1'!AO35</f>
        <v>0</v>
      </c>
      <c r="AR41" s="3642">
        <f>'[16]Phụ lục số 2-1'!AT35</f>
        <v>0</v>
      </c>
      <c r="AS41" s="3642">
        <f>'[16]Phụ lục số 2-1'!AY35</f>
        <v>0</v>
      </c>
      <c r="AT41" s="3648">
        <f t="shared" si="23"/>
        <v>0</v>
      </c>
      <c r="AU41" s="3649"/>
      <c r="AV41" s="3650">
        <f t="shared" si="9"/>
        <v>0</v>
      </c>
      <c r="AW41" s="3650">
        <f t="shared" si="10"/>
        <v>0</v>
      </c>
      <c r="AX41" s="3620">
        <f t="shared" si="31"/>
        <v>-1</v>
      </c>
      <c r="AY41" s="3635">
        <f t="shared" si="32"/>
        <v>0</v>
      </c>
      <c r="AZ41" s="3635">
        <f t="shared" si="17"/>
        <v>0</v>
      </c>
    </row>
    <row r="42" spans="1:52" s="2028" customFormat="1">
      <c r="A42" s="3651"/>
      <c r="B42" s="3558"/>
      <c r="C42" s="3558"/>
      <c r="D42" s="3558"/>
      <c r="E42" s="3558"/>
      <c r="F42" s="3558"/>
      <c r="G42" s="3558"/>
      <c r="H42" s="3558"/>
      <c r="I42" s="3558"/>
      <c r="J42" s="3652"/>
      <c r="K42" s="3652"/>
      <c r="L42" s="3558"/>
      <c r="M42" s="3558"/>
      <c r="N42" s="3558"/>
      <c r="O42" s="3558"/>
      <c r="P42" s="3558"/>
      <c r="Q42" s="3561"/>
      <c r="R42" s="3561"/>
      <c r="S42" s="3561"/>
      <c r="T42" s="3555"/>
      <c r="U42" s="3557"/>
      <c r="V42" s="3557"/>
      <c r="W42" s="3557"/>
      <c r="X42" s="3560"/>
      <c r="Y42" s="3561"/>
      <c r="Z42" s="3558"/>
      <c r="AA42" s="3558"/>
      <c r="AB42" s="3555">
        <f t="shared" si="19"/>
        <v>0</v>
      </c>
      <c r="AC42" s="3653">
        <f t="shared" si="1"/>
        <v>0</v>
      </c>
      <c r="AD42" s="3653">
        <f t="shared" si="20"/>
        <v>0</v>
      </c>
      <c r="AE42" s="3653"/>
      <c r="AF42" s="3558"/>
      <c r="AG42" s="3558"/>
      <c r="AH42" s="3558"/>
      <c r="AI42" s="3558"/>
      <c r="AJ42" s="3558">
        <f t="shared" si="33"/>
        <v>0</v>
      </c>
      <c r="AK42" s="3559"/>
      <c r="AL42" s="3654">
        <f t="shared" si="14"/>
        <v>0</v>
      </c>
      <c r="AM42" s="3654">
        <f t="shared" si="8"/>
        <v>0</v>
      </c>
      <c r="AN42" s="3655" t="e">
        <f t="shared" si="25"/>
        <v>#DIV/0!</v>
      </c>
      <c r="AO42" s="3558"/>
      <c r="AP42" s="3558"/>
      <c r="AQ42" s="3558"/>
      <c r="AR42" s="3558"/>
      <c r="AS42" s="3558"/>
      <c r="AT42" s="3656"/>
      <c r="AU42" s="3633"/>
      <c r="AV42" s="3623">
        <f t="shared" si="9"/>
        <v>0</v>
      </c>
      <c r="AW42" s="3623">
        <f t="shared" si="10"/>
        <v>0</v>
      </c>
      <c r="AX42" s="3529"/>
      <c r="AY42" s="3344">
        <f t="shared" si="32"/>
        <v>0</v>
      </c>
      <c r="AZ42" s="3635">
        <f t="shared" si="17"/>
        <v>0</v>
      </c>
    </row>
    <row r="43" spans="1:52" s="2028" customFormat="1">
      <c r="A43" s="3626"/>
      <c r="B43" s="39"/>
      <c r="C43" s="39"/>
      <c r="D43" s="39"/>
      <c r="E43" s="39"/>
      <c r="F43" s="39"/>
      <c r="G43" s="39"/>
      <c r="H43" s="39"/>
      <c r="I43" s="39"/>
      <c r="J43" s="3620"/>
      <c r="K43" s="3620"/>
      <c r="L43" s="39"/>
      <c r="M43" s="39"/>
      <c r="N43" s="39"/>
      <c r="O43" s="39"/>
      <c r="P43" s="39"/>
      <c r="Q43" s="147"/>
      <c r="R43" s="147"/>
      <c r="S43" s="147"/>
      <c r="T43" s="185"/>
      <c r="U43" s="3329"/>
      <c r="V43" s="3329"/>
      <c r="W43" s="3329"/>
      <c r="X43" s="3345"/>
      <c r="Y43" s="147"/>
      <c r="Z43" s="39"/>
      <c r="AA43" s="39"/>
      <c r="AB43" s="185">
        <f t="shared" si="19"/>
        <v>0</v>
      </c>
      <c r="AC43" s="3327">
        <f t="shared" si="1"/>
        <v>0</v>
      </c>
      <c r="AD43" s="3327">
        <f t="shared" si="20"/>
        <v>0</v>
      </c>
      <c r="AE43" s="3327"/>
      <c r="AF43" s="39"/>
      <c r="AG43" s="39"/>
      <c r="AH43" s="39"/>
      <c r="AI43" s="39"/>
      <c r="AJ43" s="39">
        <f t="shared" si="33"/>
        <v>0</v>
      </c>
      <c r="AK43" s="3529"/>
      <c r="AL43" s="3530">
        <f t="shared" si="14"/>
        <v>0</v>
      </c>
      <c r="AM43" s="3530">
        <f t="shared" si="8"/>
        <v>0</v>
      </c>
      <c r="AN43" s="3538" t="e">
        <f t="shared" si="25"/>
        <v>#DIV/0!</v>
      </c>
      <c r="AO43" s="39"/>
      <c r="AP43" s="39"/>
      <c r="AQ43" s="39"/>
      <c r="AR43" s="39"/>
      <c r="AS43" s="39"/>
      <c r="AT43" s="3657"/>
      <c r="AU43" s="3633"/>
      <c r="AV43" s="3623">
        <f t="shared" si="9"/>
        <v>0</v>
      </c>
      <c r="AW43" s="3623">
        <f t="shared" si="10"/>
        <v>0</v>
      </c>
      <c r="AX43" s="3529"/>
      <c r="AY43" s="3344">
        <f t="shared" si="32"/>
        <v>0</v>
      </c>
      <c r="AZ43" s="3635">
        <f t="shared" si="17"/>
        <v>0</v>
      </c>
    </row>
    <row r="44" spans="1:52" s="2028" customFormat="1">
      <c r="A44" s="3626"/>
      <c r="B44" s="39"/>
      <c r="C44" s="39"/>
      <c r="D44" s="39"/>
      <c r="E44" s="39"/>
      <c r="F44" s="39"/>
      <c r="G44" s="39"/>
      <c r="H44" s="39"/>
      <c r="I44" s="39"/>
      <c r="J44" s="3620"/>
      <c r="K44" s="3620"/>
      <c r="L44" s="39"/>
      <c r="M44" s="39"/>
      <c r="N44" s="39"/>
      <c r="O44" s="39"/>
      <c r="P44" s="39"/>
      <c r="Q44" s="147"/>
      <c r="R44" s="147"/>
      <c r="S44" s="147"/>
      <c r="T44" s="185"/>
      <c r="U44" s="3329"/>
      <c r="V44" s="3329"/>
      <c r="W44" s="3329"/>
      <c r="X44" s="3345"/>
      <c r="Y44" s="147"/>
      <c r="Z44" s="39"/>
      <c r="AA44" s="39"/>
      <c r="AB44" s="185">
        <f t="shared" si="19"/>
        <v>0</v>
      </c>
      <c r="AC44" s="3327">
        <f t="shared" si="1"/>
        <v>0</v>
      </c>
      <c r="AD44" s="3327">
        <f t="shared" si="20"/>
        <v>0</v>
      </c>
      <c r="AE44" s="3327"/>
      <c r="AF44" s="39"/>
      <c r="AG44" s="39"/>
      <c r="AH44" s="39"/>
      <c r="AI44" s="39"/>
      <c r="AJ44" s="39">
        <f t="shared" si="33"/>
        <v>0</v>
      </c>
      <c r="AK44" s="3529"/>
      <c r="AL44" s="3530">
        <f t="shared" si="14"/>
        <v>0</v>
      </c>
      <c r="AM44" s="3530">
        <f t="shared" si="8"/>
        <v>0</v>
      </c>
      <c r="AN44" s="3538" t="e">
        <f t="shared" si="25"/>
        <v>#DIV/0!</v>
      </c>
      <c r="AO44" s="39"/>
      <c r="AP44" s="39"/>
      <c r="AQ44" s="39"/>
      <c r="AR44" s="39"/>
      <c r="AS44" s="39"/>
      <c r="AT44" s="3657"/>
      <c r="AU44" s="3633"/>
      <c r="AV44" s="3623">
        <f t="shared" si="9"/>
        <v>0</v>
      </c>
      <c r="AW44" s="3623">
        <f t="shared" si="10"/>
        <v>0</v>
      </c>
      <c r="AX44" s="3529"/>
      <c r="AY44" s="3344">
        <f t="shared" si="32"/>
        <v>0</v>
      </c>
      <c r="AZ44" s="3635">
        <f t="shared" si="17"/>
        <v>0</v>
      </c>
    </row>
    <row r="45" spans="1:52" s="2028" customFormat="1">
      <c r="A45" s="3626"/>
      <c r="B45" s="39"/>
      <c r="C45" s="39"/>
      <c r="D45" s="39"/>
      <c r="E45" s="39"/>
      <c r="F45" s="39"/>
      <c r="G45" s="39"/>
      <c r="H45" s="39"/>
      <c r="I45" s="39"/>
      <c r="J45" s="3620"/>
      <c r="K45" s="3620"/>
      <c r="L45" s="39"/>
      <c r="M45" s="39"/>
      <c r="N45" s="39"/>
      <c r="O45" s="39"/>
      <c r="P45" s="39"/>
      <c r="Q45" s="147"/>
      <c r="R45" s="147"/>
      <c r="S45" s="147"/>
      <c r="T45" s="185"/>
      <c r="U45" s="3329"/>
      <c r="V45" s="3329"/>
      <c r="W45" s="3329"/>
      <c r="X45" s="3345"/>
      <c r="Y45" s="147"/>
      <c r="Z45" s="39"/>
      <c r="AA45" s="39"/>
      <c r="AB45" s="185">
        <f t="shared" si="19"/>
        <v>0</v>
      </c>
      <c r="AC45" s="3327">
        <f t="shared" si="1"/>
        <v>0</v>
      </c>
      <c r="AD45" s="3327">
        <f t="shared" si="20"/>
        <v>0</v>
      </c>
      <c r="AE45" s="3327"/>
      <c r="AF45" s="39"/>
      <c r="AG45" s="39"/>
      <c r="AH45" s="39"/>
      <c r="AI45" s="39"/>
      <c r="AJ45" s="39">
        <f t="shared" si="33"/>
        <v>0</v>
      </c>
      <c r="AK45" s="3529"/>
      <c r="AL45" s="3530">
        <f t="shared" si="14"/>
        <v>0</v>
      </c>
      <c r="AM45" s="3530">
        <f t="shared" si="8"/>
        <v>0</v>
      </c>
      <c r="AN45" s="3538" t="e">
        <f t="shared" si="25"/>
        <v>#DIV/0!</v>
      </c>
      <c r="AO45" s="39"/>
      <c r="AP45" s="39"/>
      <c r="AQ45" s="39"/>
      <c r="AR45" s="39"/>
      <c r="AS45" s="39"/>
      <c r="AT45" s="3657"/>
      <c r="AU45" s="3633"/>
      <c r="AV45" s="3623">
        <f t="shared" si="9"/>
        <v>0</v>
      </c>
      <c r="AW45" s="3623">
        <f t="shared" si="10"/>
        <v>0</v>
      </c>
      <c r="AX45" s="3529"/>
      <c r="AY45" s="3344">
        <f t="shared" si="32"/>
        <v>0</v>
      </c>
      <c r="AZ45" s="3635">
        <f t="shared" si="17"/>
        <v>0</v>
      </c>
    </row>
    <row r="46" spans="1:52" s="2028" customFormat="1">
      <c r="A46" s="3626"/>
      <c r="B46" s="39"/>
      <c r="C46" s="39"/>
      <c r="D46" s="39"/>
      <c r="E46" s="39"/>
      <c r="F46" s="39"/>
      <c r="G46" s="39"/>
      <c r="H46" s="39"/>
      <c r="I46" s="39"/>
      <c r="J46" s="3620"/>
      <c r="K46" s="3620"/>
      <c r="L46" s="39"/>
      <c r="M46" s="39"/>
      <c r="N46" s="39"/>
      <c r="O46" s="39"/>
      <c r="P46" s="39"/>
      <c r="Q46" s="147"/>
      <c r="R46" s="147"/>
      <c r="S46" s="147"/>
      <c r="T46" s="185"/>
      <c r="U46" s="3329"/>
      <c r="V46" s="3329"/>
      <c r="W46" s="3329"/>
      <c r="X46" s="3345"/>
      <c r="Y46" s="147"/>
      <c r="Z46" s="39"/>
      <c r="AA46" s="39"/>
      <c r="AB46" s="185">
        <f t="shared" si="19"/>
        <v>0</v>
      </c>
      <c r="AC46" s="3327">
        <f t="shared" si="1"/>
        <v>0</v>
      </c>
      <c r="AD46" s="3327">
        <f t="shared" si="20"/>
        <v>0</v>
      </c>
      <c r="AE46" s="3327"/>
      <c r="AF46" s="39"/>
      <c r="AG46" s="39"/>
      <c r="AH46" s="39"/>
      <c r="AI46" s="39"/>
      <c r="AJ46" s="39">
        <f t="shared" si="33"/>
        <v>0</v>
      </c>
      <c r="AK46" s="3529"/>
      <c r="AL46" s="3530">
        <f t="shared" si="14"/>
        <v>0</v>
      </c>
      <c r="AM46" s="3530">
        <f t="shared" si="8"/>
        <v>0</v>
      </c>
      <c r="AN46" s="3538" t="e">
        <f t="shared" si="25"/>
        <v>#DIV/0!</v>
      </c>
      <c r="AO46" s="39"/>
      <c r="AP46" s="39"/>
      <c r="AQ46" s="39"/>
      <c r="AR46" s="39"/>
      <c r="AS46" s="39"/>
      <c r="AT46" s="3657"/>
      <c r="AU46" s="3633"/>
      <c r="AV46" s="3623">
        <f t="shared" si="9"/>
        <v>0</v>
      </c>
      <c r="AW46" s="3623">
        <f t="shared" si="10"/>
        <v>0</v>
      </c>
      <c r="AX46" s="3529"/>
      <c r="AY46" s="3344">
        <f t="shared" si="32"/>
        <v>0</v>
      </c>
      <c r="AZ46" s="3635">
        <f t="shared" si="17"/>
        <v>0</v>
      </c>
    </row>
    <row r="47" spans="1:52" s="3317" customFormat="1">
      <c r="A47" s="3619" t="s">
        <v>725</v>
      </c>
      <c r="B47" s="735" t="s">
        <v>2080</v>
      </c>
      <c r="C47" s="3093"/>
      <c r="D47" s="3093"/>
      <c r="E47" s="3093"/>
      <c r="F47" s="3093"/>
      <c r="G47" s="3093"/>
      <c r="H47" s="3093"/>
      <c r="I47" s="3093"/>
      <c r="J47" s="3620"/>
      <c r="K47" s="3620"/>
      <c r="L47" s="3093"/>
      <c r="M47" s="3093"/>
      <c r="N47" s="3093"/>
      <c r="O47" s="3093"/>
      <c r="P47" s="3093"/>
      <c r="Q47" s="173"/>
      <c r="R47" s="173"/>
      <c r="S47" s="173"/>
      <c r="T47" s="186">
        <f t="shared" si="12"/>
        <v>0</v>
      </c>
      <c r="U47" s="3321"/>
      <c r="V47" s="3321"/>
      <c r="W47" s="3321"/>
      <c r="X47" s="3350"/>
      <c r="Y47" s="173"/>
      <c r="Z47" s="3093"/>
      <c r="AA47" s="3093"/>
      <c r="AB47" s="185">
        <f t="shared" si="19"/>
        <v>0</v>
      </c>
      <c r="AC47" s="3327">
        <f t="shared" si="1"/>
        <v>0</v>
      </c>
      <c r="AD47" s="3327">
        <f t="shared" si="20"/>
        <v>0</v>
      </c>
      <c r="AE47" s="3327"/>
      <c r="AF47" s="3093"/>
      <c r="AG47" s="3093"/>
      <c r="AH47" s="3093"/>
      <c r="AI47" s="3093"/>
      <c r="AJ47" s="39">
        <f t="shared" si="33"/>
        <v>0</v>
      </c>
      <c r="AK47" s="3620"/>
      <c r="AL47" s="3530">
        <f t="shared" si="14"/>
        <v>0</v>
      </c>
      <c r="AM47" s="3530">
        <f t="shared" si="8"/>
        <v>0</v>
      </c>
      <c r="AN47" s="3538" t="e">
        <f t="shared" si="25"/>
        <v>#DIV/0!</v>
      </c>
      <c r="AO47" s="3093"/>
      <c r="AP47" s="3093"/>
      <c r="AQ47" s="3093"/>
      <c r="AR47" s="3093"/>
      <c r="AS47" s="3093"/>
      <c r="AT47" s="3658"/>
      <c r="AU47" s="3649"/>
      <c r="AV47" s="3623">
        <f t="shared" si="9"/>
        <v>0</v>
      </c>
      <c r="AW47" s="3623">
        <f t="shared" si="10"/>
        <v>0</v>
      </c>
      <c r="AX47" s="39"/>
      <c r="AY47" s="3344">
        <f t="shared" si="32"/>
        <v>0</v>
      </c>
      <c r="AZ47" s="3635">
        <f t="shared" si="17"/>
        <v>0</v>
      </c>
    </row>
    <row r="48" spans="1:52" s="2028" customFormat="1" ht="16.2">
      <c r="A48" s="3626" t="s">
        <v>1</v>
      </c>
      <c r="B48" s="2857" t="s">
        <v>2081</v>
      </c>
      <c r="C48" s="39"/>
      <c r="D48" s="39">
        <f>1609847+91395</f>
        <v>1701242</v>
      </c>
      <c r="E48" s="39">
        <v>2568878</v>
      </c>
      <c r="F48" s="39">
        <v>2531523</v>
      </c>
      <c r="G48" s="39">
        <v>2752464</v>
      </c>
      <c r="H48" s="39">
        <v>2928002</v>
      </c>
      <c r="I48" s="39">
        <f>SUM(D48:H48)</f>
        <v>12482109</v>
      </c>
      <c r="J48" s="3529"/>
      <c r="K48" s="3529"/>
      <c r="L48" s="39">
        <v>3063372</v>
      </c>
      <c r="M48" s="39">
        <v>3626119</v>
      </c>
      <c r="N48" s="39"/>
      <c r="O48" s="39">
        <v>3812056</v>
      </c>
      <c r="P48" s="39"/>
      <c r="Q48" s="147">
        <v>4137585</v>
      </c>
      <c r="R48" s="147"/>
      <c r="S48" s="147">
        <v>4277080</v>
      </c>
      <c r="T48" s="185">
        <f t="shared" si="12"/>
        <v>18916212</v>
      </c>
      <c r="U48" s="3518"/>
      <c r="V48" s="3329"/>
      <c r="W48" s="3329">
        <f t="shared" ref="W48:W73" si="41">T48/I48-1</f>
        <v>0.51546601619966625</v>
      </c>
      <c r="X48" s="3345"/>
      <c r="Y48" s="147">
        <f>S48*(1+$U$49)</f>
        <v>4613840.473430654</v>
      </c>
      <c r="Z48" s="39"/>
      <c r="AA48" s="39">
        <f>Y48*(1+$U$49)</f>
        <v>4977116.143318994</v>
      </c>
      <c r="AB48" s="185">
        <f t="shared" si="19"/>
        <v>13868036.616749648</v>
      </c>
      <c r="AC48" s="3327">
        <f t="shared" si="1"/>
        <v>0.30637699695626547</v>
      </c>
      <c r="AD48" s="3327">
        <f t="shared" si="20"/>
        <v>0.33285380756803068</v>
      </c>
      <c r="AE48" s="3327"/>
      <c r="AF48" s="39">
        <f>AA48*(1+$U$49)</f>
        <v>5368994.7120489348</v>
      </c>
      <c r="AG48" s="39"/>
      <c r="AH48" s="39">
        <f>AF48*(1+$U$49)</f>
        <v>5791728.2594869714</v>
      </c>
      <c r="AI48" s="39">
        <f>AH48*(1+$U$49)</f>
        <v>6247746.1854192736</v>
      </c>
      <c r="AJ48" s="39">
        <f t="shared" si="33"/>
        <v>21630431.061655894</v>
      </c>
      <c r="AK48" s="3529"/>
      <c r="AL48" s="3530">
        <f t="shared" si="14"/>
        <v>0.24627202204516085</v>
      </c>
      <c r="AM48" s="3530">
        <f t="shared" si="8"/>
        <v>0.28204805229884322</v>
      </c>
      <c r="AN48" s="3538">
        <f t="shared" si="25"/>
        <v>0.14348639472088243</v>
      </c>
      <c r="AO48" s="3659">
        <f>AI48*(1+$AK$49)</f>
        <v>6739669.1710254252</v>
      </c>
      <c r="AP48" s="3659">
        <f>AO48*AO49</f>
        <v>7270324.2396237459</v>
      </c>
      <c r="AQ48" s="3659">
        <f>AP48*AP49</f>
        <v>7842761.0032405248</v>
      </c>
      <c r="AR48" s="3659">
        <f>AQ48*AQ49</f>
        <v>8460269.1883702744</v>
      </c>
      <c r="AS48" s="3659">
        <f>AR48*AR49</f>
        <v>9126397.5416454878</v>
      </c>
      <c r="AT48" s="3657">
        <f>SUM(AO48:AS48)</f>
        <v>39439421.143905461</v>
      </c>
      <c r="AU48" s="3633"/>
      <c r="AV48" s="3623">
        <f t="shared" si="9"/>
        <v>0.36117558308078096</v>
      </c>
      <c r="AW48" s="3623">
        <f t="shared" si="10"/>
        <v>0.42677729268787601</v>
      </c>
      <c r="AX48" s="39"/>
      <c r="AY48" s="3344">
        <f t="shared" si="32"/>
        <v>0.56433440388576217</v>
      </c>
      <c r="AZ48" s="3635">
        <f t="shared" si="17"/>
        <v>0.36663339152872942</v>
      </c>
    </row>
    <row r="49" spans="1:52" s="2028" customFormat="1" ht="16.2">
      <c r="A49" s="3660" t="s">
        <v>29</v>
      </c>
      <c r="B49" s="3661" t="s">
        <v>1993</v>
      </c>
      <c r="C49" s="3662"/>
      <c r="D49" s="3662"/>
      <c r="E49" s="3662">
        <f>E48/D48</f>
        <v>1.5100015165390932</v>
      </c>
      <c r="F49" s="3662">
        <f>F48/E48</f>
        <v>0.98545863213434037</v>
      </c>
      <c r="G49" s="3662">
        <f>G48/F48</f>
        <v>1.0872759204636893</v>
      </c>
      <c r="H49" s="3662">
        <f>H48/G48</f>
        <v>1.0637748577274762</v>
      </c>
      <c r="I49" s="3662"/>
      <c r="J49" s="3662">
        <f>(E49*F49*G49*H49)^(1/4)-1</f>
        <v>0.14538454370462239</v>
      </c>
      <c r="K49" s="3662"/>
      <c r="L49" s="3662">
        <f>L48/H48</f>
        <v>1.0462328919174235</v>
      </c>
      <c r="M49" s="3662">
        <f>M48/L48</f>
        <v>1.1837018161685882</v>
      </c>
      <c r="N49" s="3662"/>
      <c r="O49" s="3662">
        <f>O48/M48</f>
        <v>1.0512771367955658</v>
      </c>
      <c r="P49" s="3662"/>
      <c r="Q49" s="3663">
        <f>Q48/O48</f>
        <v>1.0853946007089088</v>
      </c>
      <c r="R49" s="3663"/>
      <c r="S49" s="3663">
        <f>S48/Q48</f>
        <v>1.0337141110091999</v>
      </c>
      <c r="T49" s="3518"/>
      <c r="U49" s="3518">
        <f>(L49*M49*O49*Q49*S49)^(1/5)-1</f>
        <v>7.873607073766542E-2</v>
      </c>
      <c r="V49" s="3518"/>
      <c r="W49" s="3518"/>
      <c r="X49" s="3664"/>
      <c r="Y49" s="3663">
        <f>Y48/S48</f>
        <v>1.0787360707376654</v>
      </c>
      <c r="Z49" s="3665"/>
      <c r="AA49" s="3662">
        <f>AA48/Y48</f>
        <v>1.0787360707376654</v>
      </c>
      <c r="AB49" s="185">
        <f t="shared" si="19"/>
        <v>3.1911862524845307</v>
      </c>
      <c r="AC49" s="3327">
        <f t="shared" si="1"/>
        <v>7.0500683534644515E-8</v>
      </c>
      <c r="AD49" s="3327">
        <f t="shared" si="20"/>
        <v>7.6593285996614709E-8</v>
      </c>
      <c r="AE49" s="3327"/>
      <c r="AF49" s="3662">
        <f>AF48/AA48</f>
        <v>1.0787360707376654</v>
      </c>
      <c r="AG49" s="3662"/>
      <c r="AH49" s="3662">
        <f>AH48/AF48</f>
        <v>1.0787360707376654</v>
      </c>
      <c r="AI49" s="3662">
        <f>AI48/AH48</f>
        <v>1.0787360707376654</v>
      </c>
      <c r="AJ49" s="39">
        <f t="shared" si="33"/>
        <v>4.3149442829506617</v>
      </c>
      <c r="AK49" s="3662">
        <f>(Y49*AA49*AF49*AH49*AI49)^(1/5)-1</f>
        <v>7.873607073766542E-2</v>
      </c>
      <c r="AL49" s="3530">
        <f t="shared" si="14"/>
        <v>4.9127548616366602E-8</v>
      </c>
      <c r="AM49" s="3530">
        <f t="shared" si="8"/>
        <v>5.626432627788302E-8</v>
      </c>
      <c r="AN49" s="3538" t="e">
        <f t="shared" si="25"/>
        <v>#DIV/0!</v>
      </c>
      <c r="AO49" s="3662">
        <f>AO48/AI48</f>
        <v>1.0787360707376654</v>
      </c>
      <c r="AP49" s="3662">
        <f>AP48/AO48</f>
        <v>1.0787360707376654</v>
      </c>
      <c r="AQ49" s="3662">
        <f>AQ48/AP48</f>
        <v>1.0787360707376654</v>
      </c>
      <c r="AR49" s="3662">
        <f>AR48/AQ48</f>
        <v>1.0787360707376654</v>
      </c>
      <c r="AS49" s="3662">
        <f>AS48/AR48</f>
        <v>1.0787360707376654</v>
      </c>
      <c r="AT49" s="3657"/>
      <c r="AU49" s="3666">
        <f>(AO49*AP49*AQ49*AR49*AS49)^(1/5)-1</f>
        <v>7.873607073766542E-2</v>
      </c>
      <c r="AV49" s="3623">
        <f t="shared" si="9"/>
        <v>0</v>
      </c>
      <c r="AW49" s="3623">
        <f t="shared" si="10"/>
        <v>0</v>
      </c>
      <c r="AX49" s="39"/>
      <c r="AY49" s="3344">
        <f t="shared" si="32"/>
        <v>9.7437997537500259E-8</v>
      </c>
      <c r="AZ49" s="3635">
        <f t="shared" si="17"/>
        <v>6.3302933960718258E-8</v>
      </c>
    </row>
    <row r="50" spans="1:52" s="2028" customFormat="1">
      <c r="A50" s="3626">
        <v>1</v>
      </c>
      <c r="B50" s="2857" t="s">
        <v>2082</v>
      </c>
      <c r="C50" s="39"/>
      <c r="D50" s="39">
        <f>996120+91395</f>
        <v>1087515</v>
      </c>
      <c r="E50" s="39">
        <v>1294679</v>
      </c>
      <c r="F50" s="39">
        <v>1467800</v>
      </c>
      <c r="G50" s="39">
        <v>1577166</v>
      </c>
      <c r="H50" s="39">
        <v>1674236</v>
      </c>
      <c r="I50" s="39">
        <f>SUM(D50:H50)</f>
        <v>7101396</v>
      </c>
      <c r="J50" s="3529"/>
      <c r="K50" s="3529"/>
      <c r="L50" s="39">
        <v>1718923</v>
      </c>
      <c r="M50" s="39">
        <v>2269384</v>
      </c>
      <c r="N50" s="39"/>
      <c r="O50" s="39">
        <v>2435846</v>
      </c>
      <c r="P50" s="39"/>
      <c r="Q50" s="147">
        <v>2618473</v>
      </c>
      <c r="R50" s="147"/>
      <c r="S50" s="147">
        <v>2723364</v>
      </c>
      <c r="T50" s="185">
        <f>L50+M50+O50+Q50+S50</f>
        <v>11765990</v>
      </c>
      <c r="U50" s="3329"/>
      <c r="V50" s="3329"/>
      <c r="W50" s="3329">
        <f t="shared" si="41"/>
        <v>0.6568559195966539</v>
      </c>
      <c r="X50" s="3345"/>
      <c r="Y50" s="147">
        <f>S50*(1+U50)</f>
        <v>2723364</v>
      </c>
      <c r="Z50" s="39"/>
      <c r="AA50" s="39">
        <f>Y50*(1+$U$48)</f>
        <v>2723364</v>
      </c>
      <c r="AB50" s="185">
        <f t="shared" si="19"/>
        <v>8170092</v>
      </c>
      <c r="AC50" s="3327">
        <f t="shared" si="1"/>
        <v>0.18049622459124173</v>
      </c>
      <c r="AD50" s="3327">
        <f t="shared" si="20"/>
        <v>0.19609453778746103</v>
      </c>
      <c r="AE50" s="3327"/>
      <c r="AF50" s="39">
        <f>AA50*(1+$U$48)</f>
        <v>2723364</v>
      </c>
      <c r="AG50" s="39"/>
      <c r="AH50" s="39">
        <f>AF50*(1+$U$48)</f>
        <v>2723364</v>
      </c>
      <c r="AI50" s="39">
        <f t="shared" ref="AI50:AI52" si="42">AH50*(1+$U$48)</f>
        <v>2723364</v>
      </c>
      <c r="AJ50" s="39">
        <f t="shared" si="33"/>
        <v>10893456</v>
      </c>
      <c r="AK50" s="3529"/>
      <c r="AL50" s="3530">
        <f t="shared" si="14"/>
        <v>0.12402681335998371</v>
      </c>
      <c r="AM50" s="3530">
        <f t="shared" si="8"/>
        <v>0.14204423568098495</v>
      </c>
      <c r="AN50" s="3538">
        <f t="shared" si="25"/>
        <v>-7.4157295731170914E-2</v>
      </c>
      <c r="AO50" s="39"/>
      <c r="AP50" s="39"/>
      <c r="AQ50" s="39"/>
      <c r="AR50" s="39"/>
      <c r="AS50" s="39"/>
      <c r="AT50" s="3657"/>
      <c r="AU50" s="3633"/>
      <c r="AV50" s="3623">
        <f t="shared" si="9"/>
        <v>0</v>
      </c>
      <c r="AW50" s="3623">
        <f t="shared" si="10"/>
        <v>0</v>
      </c>
      <c r="AX50" s="39"/>
      <c r="AY50" s="3344">
        <f t="shared" si="32"/>
        <v>0.24599078674013189</v>
      </c>
      <c r="AZ50" s="3635">
        <f t="shared" si="17"/>
        <v>0.15981381926452906</v>
      </c>
    </row>
    <row r="51" spans="1:52" s="2028" customFormat="1" ht="16.2">
      <c r="A51" s="3660" t="s">
        <v>29</v>
      </c>
      <c r="B51" s="3661" t="s">
        <v>1993</v>
      </c>
      <c r="C51" s="3662"/>
      <c r="D51" s="3662"/>
      <c r="E51" s="3662">
        <f>E50/D50</f>
        <v>1.1904930046941882</v>
      </c>
      <c r="F51" s="3662">
        <f>F50/E50</f>
        <v>1.1337173152572955</v>
      </c>
      <c r="G51" s="3662">
        <f>G50/F50</f>
        <v>1.0745101512467639</v>
      </c>
      <c r="H51" s="3662">
        <f>H50/G50</f>
        <v>1.061547104109523</v>
      </c>
      <c r="I51" s="3662"/>
      <c r="J51" s="3662">
        <f>(E51*F51*G51*H51)^(1/4)-1</f>
        <v>0.11389782270493187</v>
      </c>
      <c r="K51" s="3662"/>
      <c r="L51" s="3662">
        <f>L50/H50</f>
        <v>1.0266909802441233</v>
      </c>
      <c r="M51" s="3662">
        <f>M50/L50</f>
        <v>1.3202359849743124</v>
      </c>
      <c r="N51" s="3662"/>
      <c r="O51" s="3662">
        <f>O50/M50</f>
        <v>1.0733511825235393</v>
      </c>
      <c r="P51" s="3662"/>
      <c r="Q51" s="3663">
        <f>Q50/O50</f>
        <v>1.0749747726251988</v>
      </c>
      <c r="R51" s="3663"/>
      <c r="S51" s="3663">
        <f>S50/Q50</f>
        <v>1.0400580796517664</v>
      </c>
      <c r="T51" s="3518"/>
      <c r="U51" s="3518">
        <f>(L51*M51*O51*Q51*S51)^(1/5)-1</f>
        <v>0.10219339270453331</v>
      </c>
      <c r="V51" s="3518"/>
      <c r="W51" s="3518"/>
      <c r="X51" s="3664"/>
      <c r="Y51" s="3663">
        <f>Y50/S50</f>
        <v>1</v>
      </c>
      <c r="Z51" s="3665"/>
      <c r="AA51" s="3662">
        <f>AA50/Y50</f>
        <v>1</v>
      </c>
      <c r="AB51" s="185">
        <f t="shared" si="19"/>
        <v>3.0400580796517662</v>
      </c>
      <c r="AC51" s="3327">
        <f t="shared" si="1"/>
        <v>6.7161912731857154E-8</v>
      </c>
      <c r="AD51" s="3327">
        <f t="shared" si="20"/>
        <v>7.2965981775523385E-8</v>
      </c>
      <c r="AE51" s="3327"/>
      <c r="AF51" s="3662">
        <f>AF50/AA50</f>
        <v>1</v>
      </c>
      <c r="AG51" s="3662"/>
      <c r="AH51" s="3662">
        <f>AH50/AF50</f>
        <v>1</v>
      </c>
      <c r="AI51" s="3662">
        <f>AI50/AH50</f>
        <v>1</v>
      </c>
      <c r="AJ51" s="39">
        <f t="shared" si="33"/>
        <v>4</v>
      </c>
      <c r="AK51" s="3662">
        <f>(Y51*AA51*AF51*AH51*AI51)^(1/5)-1</f>
        <v>0</v>
      </c>
      <c r="AL51" s="3530">
        <f t="shared" si="14"/>
        <v>4.5541768694887543E-8</v>
      </c>
      <c r="AM51" s="3530">
        <f t="shared" si="8"/>
        <v>5.2157638744209355E-8</v>
      </c>
      <c r="AN51" s="3538" t="e">
        <f t="shared" si="25"/>
        <v>#DIV/0!</v>
      </c>
      <c r="AO51" s="39"/>
      <c r="AP51" s="39"/>
      <c r="AQ51" s="39"/>
      <c r="AR51" s="39"/>
      <c r="AS51" s="39"/>
      <c r="AT51" s="3657"/>
      <c r="AU51" s="3633"/>
      <c r="AV51" s="3623">
        <f t="shared" si="9"/>
        <v>0</v>
      </c>
      <c r="AW51" s="3623">
        <f t="shared" si="10"/>
        <v>0</v>
      </c>
      <c r="AX51" s="39"/>
      <c r="AY51" s="3344">
        <f t="shared" si="32"/>
        <v>9.0326077138469875E-8</v>
      </c>
      <c r="AZ51" s="3635">
        <f t="shared" si="17"/>
        <v>5.8682504161958911E-8</v>
      </c>
    </row>
    <row r="52" spans="1:52" s="2028" customFormat="1">
      <c r="A52" s="3626">
        <v>2</v>
      </c>
      <c r="B52" s="2857" t="s">
        <v>2083</v>
      </c>
      <c r="C52" s="39"/>
      <c r="D52" s="39">
        <f t="shared" ref="D52:I52" si="43">D48-D50</f>
        <v>613727</v>
      </c>
      <c r="E52" s="39">
        <f t="shared" si="43"/>
        <v>1274199</v>
      </c>
      <c r="F52" s="39">
        <f t="shared" si="43"/>
        <v>1063723</v>
      </c>
      <c r="G52" s="39">
        <f t="shared" si="43"/>
        <v>1175298</v>
      </c>
      <c r="H52" s="39">
        <f t="shared" si="43"/>
        <v>1253766</v>
      </c>
      <c r="I52" s="39">
        <f t="shared" si="43"/>
        <v>5380713</v>
      </c>
      <c r="J52" s="3529"/>
      <c r="K52" s="3529"/>
      <c r="L52" s="39">
        <f>L48-L50</f>
        <v>1344449</v>
      </c>
      <c r="M52" s="39">
        <f>M48-M50</f>
        <v>1356735</v>
      </c>
      <c r="N52" s="39"/>
      <c r="O52" s="39">
        <f>O48-O50</f>
        <v>1376210</v>
      </c>
      <c r="P52" s="39"/>
      <c r="Q52" s="147">
        <f>Q48-Q50</f>
        <v>1519112</v>
      </c>
      <c r="R52" s="147"/>
      <c r="S52" s="147">
        <f>S48-S50</f>
        <v>1553716</v>
      </c>
      <c r="T52" s="185">
        <f t="shared" si="12"/>
        <v>7150222</v>
      </c>
      <c r="U52" s="3329"/>
      <c r="V52" s="3329"/>
      <c r="W52" s="3329">
        <f t="shared" si="41"/>
        <v>0.32886143527818712</v>
      </c>
      <c r="X52" s="3345"/>
      <c r="Y52" s="147">
        <f>S52*(1+U52)</f>
        <v>1553716</v>
      </c>
      <c r="Z52" s="39"/>
      <c r="AA52" s="39">
        <f>Y52*(1+$U$48)</f>
        <v>1553716</v>
      </c>
      <c r="AB52" s="185">
        <f t="shared" si="19"/>
        <v>4661148</v>
      </c>
      <c r="AC52" s="3327">
        <f t="shared" si="1"/>
        <v>0.10297553763911314</v>
      </c>
      <c r="AD52" s="3327">
        <f t="shared" si="20"/>
        <v>0.11187458631052727</v>
      </c>
      <c r="AE52" s="3327"/>
      <c r="AF52" s="39">
        <f>AA52*(1+$U$48)</f>
        <v>1553716</v>
      </c>
      <c r="AG52" s="39"/>
      <c r="AH52" s="39">
        <f>AF52*(1+$U$48)</f>
        <v>1553716</v>
      </c>
      <c r="AI52" s="39">
        <f t="shared" si="42"/>
        <v>1553716</v>
      </c>
      <c r="AJ52" s="39">
        <f t="shared" si="33"/>
        <v>6214864</v>
      </c>
      <c r="AK52" s="3529"/>
      <c r="AL52" s="3530">
        <f t="shared" si="14"/>
        <v>7.0758974689545895E-2</v>
      </c>
      <c r="AM52" s="3530">
        <f t="shared" si="8"/>
        <v>8.1038157839097971E-2</v>
      </c>
      <c r="AN52" s="3538">
        <f t="shared" si="25"/>
        <v>-0.1308152390233478</v>
      </c>
      <c r="AO52" s="39"/>
      <c r="AP52" s="39"/>
      <c r="AQ52" s="39"/>
      <c r="AR52" s="39"/>
      <c r="AS52" s="39"/>
      <c r="AT52" s="3657"/>
      <c r="AU52" s="3633"/>
      <c r="AV52" s="3623">
        <f t="shared" si="9"/>
        <v>0</v>
      </c>
      <c r="AW52" s="3623">
        <f t="shared" si="10"/>
        <v>0</v>
      </c>
      <c r="AX52" s="39"/>
      <c r="AY52" s="3344">
        <f t="shared" si="32"/>
        <v>0.14034107126727485</v>
      </c>
      <c r="AZ52" s="3635">
        <f t="shared" si="17"/>
        <v>9.1175945636502151E-2</v>
      </c>
    </row>
    <row r="53" spans="1:52" s="2028" customFormat="1" ht="16.2">
      <c r="A53" s="3660" t="s">
        <v>29</v>
      </c>
      <c r="B53" s="3661" t="s">
        <v>1993</v>
      </c>
      <c r="C53" s="3662"/>
      <c r="D53" s="3662"/>
      <c r="E53" s="3662">
        <f>E52/D52</f>
        <v>2.0761657870681915</v>
      </c>
      <c r="F53" s="3662">
        <f>F52/E52</f>
        <v>0.83481701052975243</v>
      </c>
      <c r="G53" s="3662">
        <f>G52/F52</f>
        <v>1.1048910289614871</v>
      </c>
      <c r="H53" s="3662">
        <f>H52/G52</f>
        <v>1.0667643440216865</v>
      </c>
      <c r="I53" s="3662"/>
      <c r="J53" s="3662">
        <f>(E53*F53*G53*H53)^(1/4)-1</f>
        <v>0.19552954875555795</v>
      </c>
      <c r="K53" s="3662"/>
      <c r="L53" s="3662">
        <f>L52/H52</f>
        <v>1.0723284887291569</v>
      </c>
      <c r="M53" s="3662">
        <f>M52/L52</f>
        <v>1.0091383161428957</v>
      </c>
      <c r="N53" s="3662"/>
      <c r="O53" s="3662">
        <f>O52/M52</f>
        <v>1.0143543138490567</v>
      </c>
      <c r="P53" s="3662"/>
      <c r="Q53" s="3663">
        <f>Q52/O52</f>
        <v>1.1038373504043715</v>
      </c>
      <c r="R53" s="3663"/>
      <c r="S53" s="3663">
        <f>S52/Q52</f>
        <v>1.0227790972620847</v>
      </c>
      <c r="T53" s="3518"/>
      <c r="U53" s="3518">
        <f>(L53*M53*O53*Q53*S53)^(1/5)-1</f>
        <v>4.3833017585819256E-2</v>
      </c>
      <c r="V53" s="3518"/>
      <c r="W53" s="3518"/>
      <c r="X53" s="3664"/>
      <c r="Y53" s="3663">
        <f>Y52/S52</f>
        <v>1</v>
      </c>
      <c r="Z53" s="3665"/>
      <c r="AA53" s="3662">
        <f>AA52/Y52</f>
        <v>1</v>
      </c>
      <c r="AB53" s="185">
        <f t="shared" si="19"/>
        <v>3.0227790972620845</v>
      </c>
      <c r="AC53" s="3327">
        <f t="shared" si="1"/>
        <v>6.6780180055393279E-8</v>
      </c>
      <c r="AD53" s="3327">
        <f t="shared" si="20"/>
        <v>7.2551260121820797E-8</v>
      </c>
      <c r="AE53" s="3327"/>
      <c r="AF53" s="3662">
        <f>AF52/AA52</f>
        <v>1</v>
      </c>
      <c r="AG53" s="3662"/>
      <c r="AH53" s="3662">
        <f>AH52/AF52</f>
        <v>1</v>
      </c>
      <c r="AI53" s="3662">
        <f>AI52/AH52</f>
        <v>1</v>
      </c>
      <c r="AJ53" s="39">
        <f t="shared" si="33"/>
        <v>4</v>
      </c>
      <c r="AK53" s="3662">
        <f>(Y53*AA53*AF53*AH53*AI53)^(1/5)-1</f>
        <v>0</v>
      </c>
      <c r="AL53" s="3530">
        <f t="shared" si="14"/>
        <v>4.5541768694887543E-8</v>
      </c>
      <c r="AM53" s="3530">
        <f t="shared" si="8"/>
        <v>5.2157638744209355E-8</v>
      </c>
      <c r="AN53" s="3538" t="e">
        <f t="shared" si="25"/>
        <v>#DIV/0!</v>
      </c>
      <c r="AO53" s="39"/>
      <c r="AP53" s="39"/>
      <c r="AQ53" s="39"/>
      <c r="AR53" s="39"/>
      <c r="AS53" s="39"/>
      <c r="AT53" s="3657"/>
      <c r="AU53" s="3633"/>
      <c r="AV53" s="3623">
        <f t="shared" si="9"/>
        <v>0</v>
      </c>
      <c r="AW53" s="3623">
        <f t="shared" si="10"/>
        <v>0</v>
      </c>
      <c r="AX53" s="39"/>
      <c r="AY53" s="3344">
        <f t="shared" si="32"/>
        <v>9.0326077138469875E-8</v>
      </c>
      <c r="AZ53" s="3635">
        <f t="shared" si="17"/>
        <v>5.8682504161958911E-8</v>
      </c>
    </row>
    <row r="54" spans="1:52" s="2028" customFormat="1">
      <c r="A54" s="3626">
        <v>3</v>
      </c>
      <c r="B54" s="2857" t="s">
        <v>2084</v>
      </c>
      <c r="C54" s="3529"/>
      <c r="D54" s="3529">
        <f t="shared" ref="D54:I54" si="44">D48/D16</f>
        <v>0.45965134225082388</v>
      </c>
      <c r="E54" s="3529">
        <f t="shared" si="44"/>
        <v>0.54595226331404767</v>
      </c>
      <c r="F54" s="3529">
        <f t="shared" si="44"/>
        <v>0.47517269328478795</v>
      </c>
      <c r="G54" s="3529">
        <f t="shared" si="44"/>
        <v>0.48511804064281494</v>
      </c>
      <c r="H54" s="3529">
        <f t="shared" si="44"/>
        <v>0.49266412467806253</v>
      </c>
      <c r="I54" s="3529">
        <f t="shared" si="44"/>
        <v>0.49237024945647284</v>
      </c>
      <c r="J54" s="3529"/>
      <c r="K54" s="3529"/>
      <c r="L54" s="3529">
        <f>L48/L16</f>
        <v>0.49160942067130459</v>
      </c>
      <c r="M54" s="3529">
        <f>M48/M16</f>
        <v>0.51723808951470485</v>
      </c>
      <c r="N54" s="3529"/>
      <c r="O54" s="3529">
        <f>O48/O16</f>
        <v>0.50550720040170882</v>
      </c>
      <c r="P54" s="3529"/>
      <c r="Q54" s="3349">
        <f>Q48/Q16</f>
        <v>0.49288221232679341</v>
      </c>
      <c r="R54" s="3349"/>
      <c r="S54" s="3349">
        <f>S48/S16</f>
        <v>0.49507927949660047</v>
      </c>
      <c r="T54" s="3329">
        <f>(L54*M54*O54*Q54*S54)^(1/5)</f>
        <v>0.50036991242545181</v>
      </c>
      <c r="U54" s="3329"/>
      <c r="V54" s="3329"/>
      <c r="W54" s="3329">
        <f t="shared" si="41"/>
        <v>1.6247250880429442E-2</v>
      </c>
      <c r="X54" s="3345"/>
      <c r="Y54" s="3349">
        <f>Y48/Y16</f>
        <v>0.47994445948007902</v>
      </c>
      <c r="Z54" s="3667"/>
      <c r="AA54" s="3529">
        <f>AA48/AA16</f>
        <v>0.54802570198213452</v>
      </c>
      <c r="AB54" s="185">
        <f t="shared" si="19"/>
        <v>1.5230494409588142</v>
      </c>
      <c r="AC54" s="3327">
        <f t="shared" si="1"/>
        <v>3.3647684011253153E-8</v>
      </c>
      <c r="AD54" s="3327">
        <f t="shared" si="20"/>
        <v>3.6555485073150895E-8</v>
      </c>
      <c r="AE54" s="3327"/>
      <c r="AF54" s="3529">
        <f>AF48/AF16</f>
        <v>0.57398676504834467</v>
      </c>
      <c r="AG54" s="3529"/>
      <c r="AH54" s="3529">
        <f>AH48/AH16</f>
        <v>0.54306047749324782</v>
      </c>
      <c r="AI54" s="3529">
        <f>AI48/AI16</f>
        <v>0.56433440388576217</v>
      </c>
      <c r="AJ54" s="39">
        <f t="shared" si="33"/>
        <v>2.1353650428412236</v>
      </c>
      <c r="AK54" s="3529"/>
      <c r="AL54" s="3530">
        <f t="shared" si="14"/>
        <v>2.4312075215055908E-8</v>
      </c>
      <c r="AM54" s="3530">
        <f t="shared" si="8"/>
        <v>2.7843899622881416E-8</v>
      </c>
      <c r="AN54" s="3538">
        <f t="shared" si="25"/>
        <v>3.2675728292503265</v>
      </c>
      <c r="AO54" s="39"/>
      <c r="AP54" s="39"/>
      <c r="AQ54" s="39"/>
      <c r="AR54" s="39"/>
      <c r="AS54" s="39"/>
      <c r="AT54" s="3657"/>
      <c r="AU54" s="3633"/>
      <c r="AV54" s="3623">
        <f t="shared" si="9"/>
        <v>0</v>
      </c>
      <c r="AW54" s="3623">
        <f t="shared" si="10"/>
        <v>0</v>
      </c>
      <c r="AX54" s="39"/>
      <c r="AY54" s="3344">
        <f t="shared" si="32"/>
        <v>5.097411289727777E-8</v>
      </c>
      <c r="AZ54" s="3635">
        <f t="shared" si="17"/>
        <v>3.3116556004762842E-8</v>
      </c>
    </row>
    <row r="55" spans="1:52" s="2028" customFormat="1">
      <c r="A55" s="3626">
        <v>4</v>
      </c>
      <c r="B55" s="2857" t="s">
        <v>2085</v>
      </c>
      <c r="C55" s="3529"/>
      <c r="D55" s="3529">
        <f t="shared" ref="D55:I55" si="45">D50/D48</f>
        <v>0.63924767904860091</v>
      </c>
      <c r="E55" s="3529">
        <f t="shared" si="45"/>
        <v>0.50398617606597118</v>
      </c>
      <c r="F55" s="3529">
        <f t="shared" si="45"/>
        <v>0.57980907145619454</v>
      </c>
      <c r="G55" s="3529">
        <f t="shared" si="45"/>
        <v>0.57300149974713566</v>
      </c>
      <c r="H55" s="3529">
        <f t="shared" si="45"/>
        <v>0.57180152199349588</v>
      </c>
      <c r="I55" s="3529">
        <f t="shared" si="45"/>
        <v>0.56892597236572762</v>
      </c>
      <c r="J55" s="3529"/>
      <c r="K55" s="3529"/>
      <c r="L55" s="3529">
        <f>L50/L48</f>
        <v>0.56112120891618777</v>
      </c>
      <c r="M55" s="3529">
        <f>M50/M48</f>
        <v>0.62584377401844782</v>
      </c>
      <c r="N55" s="3529"/>
      <c r="O55" s="3529">
        <f>O50/O48</f>
        <v>0.63898484177567172</v>
      </c>
      <c r="P55" s="3529"/>
      <c r="Q55" s="3349">
        <f>Q50/Q48</f>
        <v>0.63285056379506399</v>
      </c>
      <c r="R55" s="3349"/>
      <c r="S55" s="3349">
        <f>S50/S48</f>
        <v>0.63673440758648425</v>
      </c>
      <c r="T55" s="3329">
        <f>(L55*M55*O55*Q55*S55)^(1/5)</f>
        <v>0.61837871611008355</v>
      </c>
      <c r="U55" s="3329"/>
      <c r="V55" s="3329"/>
      <c r="W55" s="3329">
        <f t="shared" si="41"/>
        <v>8.6922984968887729E-2</v>
      </c>
      <c r="X55" s="3345"/>
      <c r="Y55" s="3349">
        <f t="shared" ref="Y55:AH55" si="46">Y50/Y48</f>
        <v>0.59025967969261484</v>
      </c>
      <c r="Z55" s="3667"/>
      <c r="AA55" s="3529">
        <f t="shared" si="46"/>
        <v>0.54717710448764467</v>
      </c>
      <c r="AB55" s="185">
        <f t="shared" si="19"/>
        <v>1.7741711917667438</v>
      </c>
      <c r="AC55" s="3327">
        <f t="shared" si="1"/>
        <v>3.9195544174097573E-8</v>
      </c>
      <c r="AD55" s="3327">
        <f t="shared" si="20"/>
        <v>4.2582786069646274E-8</v>
      </c>
      <c r="AE55" s="3327"/>
      <c r="AF55" s="3529">
        <f t="shared" si="46"/>
        <v>0.50723909149850888</v>
      </c>
      <c r="AG55" s="3529"/>
      <c r="AH55" s="3529">
        <f t="shared" si="46"/>
        <v>0.47021612167992743</v>
      </c>
      <c r="AI55" s="3529">
        <f>AI50/AI48</f>
        <v>0.4358954283955504</v>
      </c>
      <c r="AJ55" s="39">
        <f t="shared" si="33"/>
        <v>2.0435483342557372</v>
      </c>
      <c r="AK55" s="3529"/>
      <c r="AL55" s="3530">
        <f t="shared" si="14"/>
        <v>2.3266701388874378E-8</v>
      </c>
      <c r="AM55" s="3530">
        <f t="shared" si="8"/>
        <v>2.6646663943610382E-8</v>
      </c>
      <c r="AN55" s="3538">
        <f t="shared" si="25"/>
        <v>2.3046873720212995</v>
      </c>
      <c r="AO55" s="39"/>
      <c r="AP55" s="39"/>
      <c r="AQ55" s="39"/>
      <c r="AR55" s="39"/>
      <c r="AS55" s="39"/>
      <c r="AT55" s="3657"/>
      <c r="AU55" s="3633"/>
      <c r="AV55" s="3623">
        <f t="shared" si="9"/>
        <v>0</v>
      </c>
      <c r="AW55" s="3623">
        <f t="shared" si="10"/>
        <v>0</v>
      </c>
      <c r="AX55" s="39"/>
      <c r="AY55" s="3344">
        <f t="shared" si="32"/>
        <v>3.9372724089562858E-8</v>
      </c>
      <c r="AZ55" s="3635">
        <f t="shared" si="17"/>
        <v>2.557943529100075E-8</v>
      </c>
    </row>
    <row r="56" spans="1:52" s="2028" customFormat="1">
      <c r="A56" s="3626">
        <v>5</v>
      </c>
      <c r="B56" s="2857" t="s">
        <v>2086</v>
      </c>
      <c r="C56" s="3529"/>
      <c r="D56" s="3529">
        <f t="shared" ref="D56:I56" si="47">D17/D16</f>
        <v>0.38595788959548177</v>
      </c>
      <c r="E56" s="3529">
        <f t="shared" si="47"/>
        <v>0.41598283194377628</v>
      </c>
      <c r="F56" s="3529">
        <f t="shared" si="47"/>
        <v>0.4107440725813154</v>
      </c>
      <c r="G56" s="3529">
        <f t="shared" si="47"/>
        <v>0.42254592094173782</v>
      </c>
      <c r="H56" s="3529">
        <f t="shared" si="47"/>
        <v>0.41688062063389775</v>
      </c>
      <c r="I56" s="3529">
        <f t="shared" si="47"/>
        <v>0.41217772255155677</v>
      </c>
      <c r="J56" s="3529"/>
      <c r="K56" s="3529"/>
      <c r="L56" s="3529">
        <f>L17/L16</f>
        <v>0.41295612390258807</v>
      </c>
      <c r="M56" s="3529">
        <f>M17/M16</f>
        <v>0.40748170347734886</v>
      </c>
      <c r="N56" s="3529"/>
      <c r="O56" s="3529">
        <f>O17/O16</f>
        <v>0.40368309298649807</v>
      </c>
      <c r="P56" s="3529"/>
      <c r="Q56" s="3349">
        <f>Q17/Q16</f>
        <v>0.39559420599230011</v>
      </c>
      <c r="R56" s="3349"/>
      <c r="S56" s="3349">
        <f>S17/S16</f>
        <v>0.40603959958246044</v>
      </c>
      <c r="T56" s="3329">
        <f>T17/T16</f>
        <v>0.4046580098742617</v>
      </c>
      <c r="U56" s="3329"/>
      <c r="V56" s="3329"/>
      <c r="W56" s="3329">
        <f t="shared" si="41"/>
        <v>-1.8243860028981707E-2</v>
      </c>
      <c r="X56" s="3345"/>
      <c r="Y56" s="3349">
        <f>Y17/Y16</f>
        <v>0.36268297604979777</v>
      </c>
      <c r="Z56" s="3667"/>
      <c r="AA56" s="3529">
        <f>AA17/AA16</f>
        <v>0.38614701573140597</v>
      </c>
      <c r="AB56" s="185">
        <f t="shared" si="19"/>
        <v>1.1548695913636642</v>
      </c>
      <c r="AC56" s="3327">
        <f t="shared" si="1"/>
        <v>2.5513739764053023E-8</v>
      </c>
      <c r="AD56" s="3327">
        <f t="shared" si="20"/>
        <v>2.7718613049063792E-8</v>
      </c>
      <c r="AE56" s="3327"/>
      <c r="AF56" s="3529">
        <f>AF17/AF16</f>
        <v>0.44684683817865661</v>
      </c>
      <c r="AG56" s="3529"/>
      <c r="AH56" s="3529">
        <f>AH17/AH16</f>
        <v>0.44987862193505385</v>
      </c>
      <c r="AI56" s="3529">
        <f>AI17/AI16</f>
        <v>0.44404299521271789</v>
      </c>
      <c r="AJ56" s="39">
        <f t="shared" si="33"/>
        <v>1.6427516089289755</v>
      </c>
      <c r="AK56" s="3529"/>
      <c r="AL56" s="3530">
        <f t="shared" si="14"/>
        <v>1.8703453449249438E-8</v>
      </c>
      <c r="AM56" s="3530">
        <f t="shared" si="8"/>
        <v>2.1420511241246547E-8</v>
      </c>
      <c r="AN56" s="3538">
        <f t="shared" si="25"/>
        <v>3.0596048239337295</v>
      </c>
      <c r="AO56" s="39"/>
      <c r="AP56" s="39"/>
      <c r="AQ56" s="39"/>
      <c r="AR56" s="39"/>
      <c r="AS56" s="39"/>
      <c r="AT56" s="3657"/>
      <c r="AU56" s="3633"/>
      <c r="AV56" s="3623">
        <f t="shared" si="9"/>
        <v>0</v>
      </c>
      <c r="AW56" s="3623">
        <f t="shared" si="10"/>
        <v>0</v>
      </c>
      <c r="AX56" s="39"/>
      <c r="AY56" s="3344">
        <f t="shared" si="32"/>
        <v>4.0108661838381167E-8</v>
      </c>
      <c r="AZ56" s="3635">
        <f t="shared" si="17"/>
        <v>2.605755491465902E-8</v>
      </c>
    </row>
    <row r="57" spans="1:52" s="2028" customFormat="1">
      <c r="A57" s="3626">
        <v>6</v>
      </c>
      <c r="B57" s="2857" t="s">
        <v>2087</v>
      </c>
      <c r="C57" s="3529"/>
      <c r="D57" s="3529">
        <f t="shared" ref="D57:I57" si="48">D17/D10</f>
        <v>0.28569688015195527</v>
      </c>
      <c r="E57" s="3529">
        <f t="shared" si="48"/>
        <v>0.326722569495001</v>
      </c>
      <c r="F57" s="3529">
        <f t="shared" si="48"/>
        <v>0.33402606448569211</v>
      </c>
      <c r="G57" s="3529">
        <f t="shared" si="48"/>
        <v>0.31427613279898986</v>
      </c>
      <c r="H57" s="3529">
        <f t="shared" si="48"/>
        <v>0.29834753692848737</v>
      </c>
      <c r="I57" s="3529">
        <f t="shared" si="48"/>
        <v>0.31214842863179698</v>
      </c>
      <c r="J57" s="3529"/>
      <c r="K57" s="3529"/>
      <c r="L57" s="3529">
        <f>L17/L10</f>
        <v>0.29663575595833136</v>
      </c>
      <c r="M57" s="3529">
        <f>M17/M10</f>
        <v>0.28330231014955592</v>
      </c>
      <c r="N57" s="3529"/>
      <c r="O57" s="3529">
        <f>O17/O10</f>
        <v>0.29193063745341941</v>
      </c>
      <c r="P57" s="3529"/>
      <c r="Q57" s="3349">
        <f>Q17/Q10</f>
        <v>0.30247329341364132</v>
      </c>
      <c r="R57" s="3349"/>
      <c r="S57" s="3349">
        <f>S17/S10</f>
        <v>0.26771916036078913</v>
      </c>
      <c r="T57" s="3329">
        <f>T17/T10</f>
        <v>0.28728102981376874</v>
      </c>
      <c r="U57" s="3329"/>
      <c r="V57" s="3329"/>
      <c r="W57" s="3329">
        <f t="shared" si="41"/>
        <v>-7.9665301943138256E-2</v>
      </c>
      <c r="X57" s="3345"/>
      <c r="Y57" s="3349">
        <f>Y17/Y10</f>
        <v>0.24768495956848804</v>
      </c>
      <c r="Z57" s="3667"/>
      <c r="AA57" s="3529">
        <f>AA17/AA10</f>
        <v>0.24211440649426988</v>
      </c>
      <c r="AB57" s="185">
        <f t="shared" si="19"/>
        <v>0.75751852642354711</v>
      </c>
      <c r="AC57" s="3327">
        <f t="shared" si="1"/>
        <v>1.6735335915112223E-8</v>
      </c>
      <c r="AD57" s="3327">
        <f t="shared" si="20"/>
        <v>1.818158783333946E-8</v>
      </c>
      <c r="AE57" s="3327"/>
      <c r="AF57" s="3529">
        <f>AF17/AF10</f>
        <v>0.31685166980404333</v>
      </c>
      <c r="AG57" s="3529"/>
      <c r="AH57" s="3529">
        <f>AH17/AH10</f>
        <v>0.28940888487410671</v>
      </c>
      <c r="AI57" s="3529">
        <f>AI17/AI10</f>
        <v>0.28848319046019</v>
      </c>
      <c r="AJ57" s="39">
        <f t="shared" si="33"/>
        <v>1.0676914413970546</v>
      </c>
      <c r="AK57" s="3529"/>
      <c r="AL57" s="3530">
        <f t="shared" si="14"/>
        <v>1.2156139165403935E-8</v>
      </c>
      <c r="AM57" s="3530">
        <f t="shared" si="8"/>
        <v>1.3922066122667937E-8</v>
      </c>
      <c r="AN57" s="3538">
        <f t="shared" si="25"/>
        <v>2.7165400099310091</v>
      </c>
      <c r="AO57" s="39"/>
      <c r="AP57" s="39"/>
      <c r="AQ57" s="39"/>
      <c r="AR57" s="39"/>
      <c r="AS57" s="39"/>
      <c r="AT57" s="3657"/>
      <c r="AU57" s="3633"/>
      <c r="AV57" s="3623">
        <f t="shared" si="9"/>
        <v>0</v>
      </c>
      <c r="AW57" s="3623">
        <f t="shared" si="10"/>
        <v>0</v>
      </c>
      <c r="AX57" s="39"/>
      <c r="AY57" s="3344">
        <f t="shared" si="32"/>
        <v>2.605755491465902E-8</v>
      </c>
      <c r="AZ57" s="3635">
        <f t="shared" si="17"/>
        <v>1.6928916024835286E-8</v>
      </c>
    </row>
    <row r="58" spans="1:52" s="2028" customFormat="1">
      <c r="A58" s="3626">
        <v>7</v>
      </c>
      <c r="B58" s="2857" t="s">
        <v>2088</v>
      </c>
      <c r="C58" s="3529"/>
      <c r="D58" s="3529">
        <f t="shared" ref="D58:I58" si="49">D22/D16</f>
        <v>0.13257909003966123</v>
      </c>
      <c r="E58" s="3529">
        <f t="shared" si="49"/>
        <v>0.11646620552219264</v>
      </c>
      <c r="F58" s="3529">
        <f t="shared" si="49"/>
        <v>0.14349562489544354</v>
      </c>
      <c r="G58" s="3529">
        <f t="shared" si="49"/>
        <v>0.13802292379525019</v>
      </c>
      <c r="H58" s="3529">
        <f t="shared" si="49"/>
        <v>0.1339483162117413</v>
      </c>
      <c r="I58" s="3529">
        <f t="shared" si="49"/>
        <v>0.13342194931983412</v>
      </c>
      <c r="J58" s="3529"/>
      <c r="K58" s="3529"/>
      <c r="L58" s="3529">
        <f>L22/L16</f>
        <v>0.12285935603422224</v>
      </c>
      <c r="M58" s="3529">
        <f>M22/M16</f>
        <v>0.13920921059396923</v>
      </c>
      <c r="N58" s="3529"/>
      <c r="O58" s="3529">
        <f>O22/O16</f>
        <v>0.14686475914844155</v>
      </c>
      <c r="P58" s="3529"/>
      <c r="Q58" s="3349">
        <f>Q22/Q16</f>
        <v>0.18956867051283594</v>
      </c>
      <c r="R58" s="3349"/>
      <c r="S58" s="3349">
        <f>S22/S16</f>
        <v>0.15949530869936529</v>
      </c>
      <c r="T58" s="3329">
        <f>T22/T16</f>
        <v>0.15385500027349266</v>
      </c>
      <c r="U58" s="3329"/>
      <c r="V58" s="3329"/>
      <c r="W58" s="3329">
        <f t="shared" si="41"/>
        <v>0.15314609820815317</v>
      </c>
      <c r="X58" s="3345"/>
      <c r="Y58" s="3349">
        <f>Y22/Y16</f>
        <v>0.1414510968160711</v>
      </c>
      <c r="Z58" s="3667"/>
      <c r="AA58" s="3529">
        <f>AA22/AA16</f>
        <v>0.17961826800761385</v>
      </c>
      <c r="AB58" s="185">
        <f t="shared" si="19"/>
        <v>0.48056467352305027</v>
      </c>
      <c r="AC58" s="3327">
        <f t="shared" si="1"/>
        <v>1.0616784883552504E-8</v>
      </c>
      <c r="AD58" s="3327">
        <f t="shared" si="20"/>
        <v>1.1534277402443528E-8</v>
      </c>
      <c r="AE58" s="3327"/>
      <c r="AF58" s="3529">
        <f>AF22/AF16</f>
        <v>0.19175410378490604</v>
      </c>
      <c r="AG58" s="3529"/>
      <c r="AH58" s="3529">
        <f>AH22/AH16</f>
        <v>0.19399744987363257</v>
      </c>
      <c r="AI58" s="3529">
        <f>AI22/AI16</f>
        <v>0.19293650076777166</v>
      </c>
      <c r="AJ58" s="39">
        <f t="shared" si="33"/>
        <v>0.70800331546508921</v>
      </c>
      <c r="AK58" s="3529"/>
      <c r="AL58" s="3530">
        <f t="shared" si="14"/>
        <v>8.0609308070311473E-9</v>
      </c>
      <c r="AM58" s="3530">
        <f t="shared" si="8"/>
        <v>9.2319452894326538E-9</v>
      </c>
      <c r="AN58" s="3538">
        <f t="shared" si="25"/>
        <v>3.6017569413184001</v>
      </c>
      <c r="AO58" s="39"/>
      <c r="AP58" s="39"/>
      <c r="AQ58" s="39"/>
      <c r="AR58" s="39"/>
      <c r="AS58" s="39"/>
      <c r="AT58" s="3657"/>
      <c r="AU58" s="3633"/>
      <c r="AV58" s="3623">
        <f t="shared" si="9"/>
        <v>0</v>
      </c>
      <c r="AW58" s="3623">
        <f t="shared" si="10"/>
        <v>0</v>
      </c>
      <c r="AX58" s="39"/>
      <c r="AY58" s="3344">
        <f t="shared" si="32"/>
        <v>1.7427197251176197E-8</v>
      </c>
      <c r="AZ58" s="3635">
        <f t="shared" si="17"/>
        <v>1.132199700929855E-8</v>
      </c>
    </row>
    <row r="59" spans="1:52" s="2028" customFormat="1">
      <c r="A59" s="3626">
        <v>8</v>
      </c>
      <c r="B59" s="2857" t="s">
        <v>2089</v>
      </c>
      <c r="C59" s="39"/>
      <c r="D59" s="39"/>
      <c r="E59" s="39"/>
      <c r="F59" s="39"/>
      <c r="G59" s="39"/>
      <c r="H59" s="39"/>
      <c r="I59" s="39">
        <f>AVERAGE(D11:H11)</f>
        <v>1524698.2024611782</v>
      </c>
      <c r="J59" s="3529"/>
      <c r="K59" s="3529"/>
      <c r="L59" s="39"/>
      <c r="M59" s="39"/>
      <c r="N59" s="39"/>
      <c r="O59" s="39"/>
      <c r="P59" s="39"/>
      <c r="Q59" s="147"/>
      <c r="R59" s="147"/>
      <c r="S59" s="147"/>
      <c r="T59" s="185">
        <f>AVERAGE(L11:S11)</f>
        <v>2761423.6536095003</v>
      </c>
      <c r="U59" s="3329"/>
      <c r="V59" s="3329"/>
      <c r="W59" s="3329">
        <f t="shared" si="41"/>
        <v>0.81112803120774424</v>
      </c>
      <c r="X59" s="3345"/>
      <c r="Y59" s="147"/>
      <c r="Z59" s="39"/>
      <c r="AA59" s="39"/>
      <c r="AB59" s="185">
        <f t="shared" si="19"/>
        <v>0</v>
      </c>
      <c r="AC59" s="3327">
        <f t="shared" si="1"/>
        <v>0</v>
      </c>
      <c r="AD59" s="3327">
        <f t="shared" si="20"/>
        <v>0</v>
      </c>
      <c r="AE59" s="3327"/>
      <c r="AF59" s="39"/>
      <c r="AG59" s="39"/>
      <c r="AH59" s="39"/>
      <c r="AI59" s="39"/>
      <c r="AJ59" s="39">
        <f t="shared" si="33"/>
        <v>0</v>
      </c>
      <c r="AK59" s="3529"/>
      <c r="AL59" s="3530">
        <f t="shared" si="14"/>
        <v>0</v>
      </c>
      <c r="AM59" s="3530">
        <f t="shared" si="8"/>
        <v>0</v>
      </c>
      <c r="AN59" s="3538">
        <f t="shared" si="25"/>
        <v>-1</v>
      </c>
      <c r="AO59" s="39"/>
      <c r="AP59" s="39"/>
      <c r="AQ59" s="39"/>
      <c r="AR59" s="39"/>
      <c r="AS59" s="39"/>
      <c r="AT59" s="3657"/>
      <c r="AU59" s="3633"/>
      <c r="AV59" s="3623">
        <f t="shared" si="9"/>
        <v>0</v>
      </c>
      <c r="AW59" s="3623">
        <f t="shared" si="10"/>
        <v>0</v>
      </c>
      <c r="AX59" s="39"/>
      <c r="AY59" s="3344">
        <f t="shared" si="32"/>
        <v>0</v>
      </c>
      <c r="AZ59" s="3635">
        <f t="shared" si="17"/>
        <v>0</v>
      </c>
    </row>
    <row r="60" spans="1:52" s="2028" customFormat="1" ht="31.2">
      <c r="A60" s="3626">
        <v>9</v>
      </c>
      <c r="B60" s="2857" t="s">
        <v>2090</v>
      </c>
      <c r="C60" s="39"/>
      <c r="D60" s="39"/>
      <c r="E60" s="39"/>
      <c r="F60" s="39"/>
      <c r="G60" s="39"/>
      <c r="H60" s="39"/>
      <c r="I60" s="39">
        <f>AVERAGE(D12:H12)</f>
        <v>449743.29869957815</v>
      </c>
      <c r="J60" s="3529"/>
      <c r="K60" s="3529"/>
      <c r="L60" s="39"/>
      <c r="M60" s="39"/>
      <c r="N60" s="39"/>
      <c r="O60" s="39"/>
      <c r="P60" s="39"/>
      <c r="Q60" s="147"/>
      <c r="R60" s="147"/>
      <c r="S60" s="147"/>
      <c r="T60" s="185">
        <f>AVERAGE(L12:S12)</f>
        <v>935866.72812500002</v>
      </c>
      <c r="U60" s="3329"/>
      <c r="V60" s="3329"/>
      <c r="W60" s="3329">
        <f t="shared" si="41"/>
        <v>1.0808908789325731</v>
      </c>
      <c r="X60" s="3345"/>
      <c r="Y60" s="147"/>
      <c r="Z60" s="39"/>
      <c r="AA60" s="39"/>
      <c r="AB60" s="185">
        <f t="shared" si="19"/>
        <v>0</v>
      </c>
      <c r="AC60" s="3327">
        <f t="shared" si="1"/>
        <v>0</v>
      </c>
      <c r="AD60" s="3327">
        <f t="shared" si="20"/>
        <v>0</v>
      </c>
      <c r="AE60" s="3327"/>
      <c r="AF60" s="39"/>
      <c r="AG60" s="39"/>
      <c r="AH60" s="39"/>
      <c r="AI60" s="39"/>
      <c r="AJ60" s="39">
        <f t="shared" si="33"/>
        <v>0</v>
      </c>
      <c r="AK60" s="3529"/>
      <c r="AL60" s="3530">
        <f t="shared" si="14"/>
        <v>0</v>
      </c>
      <c r="AM60" s="3530">
        <f t="shared" si="8"/>
        <v>0</v>
      </c>
      <c r="AN60" s="3538">
        <f t="shared" si="25"/>
        <v>-1</v>
      </c>
      <c r="AO60" s="39"/>
      <c r="AP60" s="39"/>
      <c r="AQ60" s="39"/>
      <c r="AR60" s="39"/>
      <c r="AS60" s="39"/>
      <c r="AT60" s="3657"/>
      <c r="AU60" s="3633"/>
      <c r="AV60" s="3623">
        <f t="shared" si="9"/>
        <v>0</v>
      </c>
      <c r="AW60" s="3623">
        <f t="shared" si="10"/>
        <v>0</v>
      </c>
      <c r="AX60" s="39"/>
      <c r="AY60" s="3344">
        <f t="shared" si="32"/>
        <v>0</v>
      </c>
      <c r="AZ60" s="3635">
        <f t="shared" si="17"/>
        <v>0</v>
      </c>
    </row>
    <row r="61" spans="1:52" s="2028" customFormat="1">
      <c r="A61" s="3626">
        <v>10</v>
      </c>
      <c r="B61" s="1606" t="s">
        <v>2091</v>
      </c>
      <c r="C61" s="39">
        <f t="shared" ref="C61:I61" si="50">C16</f>
        <v>2567842.2054460002</v>
      </c>
      <c r="D61" s="39">
        <f t="shared" si="50"/>
        <v>3701157.4722469999</v>
      </c>
      <c r="E61" s="39">
        <f t="shared" si="50"/>
        <v>4705316.1468850002</v>
      </c>
      <c r="F61" s="39">
        <f t="shared" si="50"/>
        <v>5327585.1827680003</v>
      </c>
      <c r="G61" s="39">
        <f t="shared" si="50"/>
        <v>5673802.5993690006</v>
      </c>
      <c r="H61" s="39">
        <f t="shared" si="50"/>
        <v>5943201.1655269992</v>
      </c>
      <c r="I61" s="39">
        <f t="shared" si="50"/>
        <v>25351062.566796005</v>
      </c>
      <c r="J61" s="3529"/>
      <c r="K61" s="3529">
        <f>I61/$I$61</f>
        <v>1</v>
      </c>
      <c r="L61" s="39">
        <f>L16</f>
        <v>6231312.6461589998</v>
      </c>
      <c r="M61" s="39">
        <f>M16</f>
        <v>7010541.32228</v>
      </c>
      <c r="N61" s="39"/>
      <c r="O61" s="39">
        <f>O16</f>
        <v>7541051.8326360006</v>
      </c>
      <c r="P61" s="39"/>
      <c r="Q61" s="147">
        <f>Q16</f>
        <v>8394673</v>
      </c>
      <c r="R61" s="147"/>
      <c r="S61" s="147">
        <f>S16</f>
        <v>8639182</v>
      </c>
      <c r="T61" s="185">
        <f>L61+M61+O61+Q61+S61</f>
        <v>37816760.801074997</v>
      </c>
      <c r="U61" s="3329"/>
      <c r="V61" s="3329">
        <f>T61/$T$61</f>
        <v>1</v>
      </c>
      <c r="W61" s="3329">
        <f t="shared" si="41"/>
        <v>0.49172290910623051</v>
      </c>
      <c r="X61" s="3345"/>
      <c r="Y61" s="147">
        <f>Y16</f>
        <v>9613280</v>
      </c>
      <c r="Z61" s="39"/>
      <c r="AA61" s="39">
        <f>AA16</f>
        <v>9081902.7744820006</v>
      </c>
      <c r="AB61" s="185">
        <f t="shared" si="19"/>
        <v>27334364.774482001</v>
      </c>
      <c r="AC61" s="3327">
        <f t="shared" si="1"/>
        <v>0.60387932515249887</v>
      </c>
      <c r="AD61" s="3327">
        <f t="shared" si="20"/>
        <v>0.65606600588658048</v>
      </c>
      <c r="AE61" s="3327"/>
      <c r="AF61" s="39">
        <f>AF16</f>
        <v>9353865</v>
      </c>
      <c r="AG61" s="39"/>
      <c r="AH61" s="39">
        <f>AH16</f>
        <v>10664978.394711081</v>
      </c>
      <c r="AI61" s="39">
        <f>AI16</f>
        <v>11071000</v>
      </c>
      <c r="AJ61" s="39">
        <f t="shared" si="33"/>
        <v>40431161.169193082</v>
      </c>
      <c r="AK61" s="3529"/>
      <c r="AL61" s="3530">
        <f t="shared" si="14"/>
        <v>0.46032664750827756</v>
      </c>
      <c r="AM61" s="3530">
        <f t="shared" si="8"/>
        <v>0.52719847456791946</v>
      </c>
      <c r="AN61" s="3538">
        <f t="shared" si="25"/>
        <v>6.9133376649323397E-2</v>
      </c>
      <c r="AO61" s="39"/>
      <c r="AP61" s="39"/>
      <c r="AQ61" s="39"/>
      <c r="AR61" s="39"/>
      <c r="AS61" s="39"/>
      <c r="AT61" s="3657"/>
      <c r="AU61" s="3633"/>
      <c r="AV61" s="3623">
        <f t="shared" si="9"/>
        <v>0</v>
      </c>
      <c r="AW61" s="3623">
        <f t="shared" si="10"/>
        <v>0</v>
      </c>
      <c r="AX61" s="39"/>
      <c r="AY61" s="3344">
        <f t="shared" si="32"/>
        <v>1</v>
      </c>
      <c r="AZ61" s="3635">
        <f t="shared" si="17"/>
        <v>0.64967400357704708</v>
      </c>
    </row>
    <row r="62" spans="1:52" s="2028" customFormat="1" ht="16.2">
      <c r="A62" s="3660" t="s">
        <v>29</v>
      </c>
      <c r="B62" s="3661" t="s">
        <v>1993</v>
      </c>
      <c r="C62" s="3662"/>
      <c r="D62" s="3662">
        <f>D61/C61</f>
        <v>1.4413492637504794</v>
      </c>
      <c r="E62" s="3662">
        <f>E61/D61</f>
        <v>1.2713093625893113</v>
      </c>
      <c r="F62" s="3662">
        <f>F61/E61</f>
        <v>1.1322480820539451</v>
      </c>
      <c r="G62" s="3662">
        <f>G61/F61</f>
        <v>1.0649858058996102</v>
      </c>
      <c r="H62" s="3662">
        <f>H61/G61</f>
        <v>1.0474811312941974</v>
      </c>
      <c r="I62" s="3662"/>
      <c r="J62" s="3662">
        <f>(D62*E62*F62*G62*H62)^(1/5)-1</f>
        <v>0.18274309036120373</v>
      </c>
      <c r="K62" s="3662"/>
      <c r="L62" s="3662">
        <f>L61/H61</f>
        <v>1.0484774909358892</v>
      </c>
      <c r="M62" s="3662">
        <f>M61/L61</f>
        <v>1.1250504862087636</v>
      </c>
      <c r="N62" s="3662"/>
      <c r="O62" s="3662">
        <f>O61/M61</f>
        <v>1.0756732591633118</v>
      </c>
      <c r="P62" s="3662"/>
      <c r="Q62" s="3663">
        <f>Q61/O61</f>
        <v>1.1131965654538689</v>
      </c>
      <c r="R62" s="3663"/>
      <c r="S62" s="3663">
        <f>S61/Q61</f>
        <v>1.0291266854587426</v>
      </c>
      <c r="T62" s="3518"/>
      <c r="U62" s="3518">
        <f>(L62*M62*O62*Q62*S62)^(1/5)-1</f>
        <v>7.7681527159997543E-2</v>
      </c>
      <c r="V62" s="3518"/>
      <c r="W62" s="3518"/>
      <c r="X62" s="3664"/>
      <c r="Y62" s="3663">
        <f>Y61/S61</f>
        <v>1.1127534991160042</v>
      </c>
      <c r="Z62" s="3665"/>
      <c r="AA62" s="3662">
        <f>AA61/Y61</f>
        <v>0.94472466988187176</v>
      </c>
      <c r="AB62" s="185">
        <f t="shared" si="19"/>
        <v>3.0866048544566187</v>
      </c>
      <c r="AC62" s="3327">
        <f t="shared" si="1"/>
        <v>6.8190238620864834E-8</v>
      </c>
      <c r="AD62" s="3327">
        <f t="shared" si="20"/>
        <v>7.4083174616296128E-8</v>
      </c>
      <c r="AE62" s="3327"/>
      <c r="AF62" s="3662">
        <f>AF61/AA61</f>
        <v>1.0299455116698837</v>
      </c>
      <c r="AG62" s="3662"/>
      <c r="AH62" s="3662">
        <f>AH61/AF61</f>
        <v>1.1401680903787985</v>
      </c>
      <c r="AI62" s="3662">
        <f>AI61/AH61</f>
        <v>1.0380705511311932</v>
      </c>
      <c r="AJ62" s="39">
        <f t="shared" si="33"/>
        <v>4.235716810507868</v>
      </c>
      <c r="AK62" s="3662">
        <f>(Y62*AA62*AF62*AH62*AI62)^(1/5)-1</f>
        <v>5.0855122278439024E-2</v>
      </c>
      <c r="AL62" s="3530">
        <f t="shared" si="14"/>
        <v>4.8225508810299027E-8</v>
      </c>
      <c r="AM62" s="3530">
        <f t="shared" si="8"/>
        <v>5.523124680631101E-8</v>
      </c>
      <c r="AN62" s="3538" t="e">
        <f t="shared" si="25"/>
        <v>#DIV/0!</v>
      </c>
      <c r="AO62" s="39"/>
      <c r="AP62" s="39"/>
      <c r="AQ62" s="39"/>
      <c r="AR62" s="39"/>
      <c r="AS62" s="39"/>
      <c r="AT62" s="3657"/>
      <c r="AU62" s="3633"/>
      <c r="AV62" s="3623">
        <f t="shared" si="9"/>
        <v>0</v>
      </c>
      <c r="AW62" s="3623">
        <f t="shared" si="10"/>
        <v>0</v>
      </c>
      <c r="AX62" s="39"/>
      <c r="AY62" s="3344">
        <f t="shared" si="32"/>
        <v>9.3764840676650094E-8</v>
      </c>
      <c r="AZ62" s="3635">
        <f t="shared" si="17"/>
        <v>6.091657943716323E-8</v>
      </c>
    </row>
    <row r="63" spans="1:52" s="2028" customFormat="1" ht="16.2">
      <c r="A63" s="3660" t="s">
        <v>29</v>
      </c>
      <c r="B63" s="3661" t="s">
        <v>2092</v>
      </c>
      <c r="C63" s="3662"/>
      <c r="D63" s="3662">
        <f>D61/D10</f>
        <v>0.74022811258345056</v>
      </c>
      <c r="E63" s="3662">
        <f>E61/E10</f>
        <v>0.7854232059729821</v>
      </c>
      <c r="F63" s="3662">
        <f>F61/F10</f>
        <v>0.81322187411375157</v>
      </c>
      <c r="G63" s="3662">
        <f>G61/G10</f>
        <v>0.74376799591049281</v>
      </c>
      <c r="H63" s="3662">
        <f>H61/H10</f>
        <v>0.71566660132780435</v>
      </c>
      <c r="I63" s="3662"/>
      <c r="J63" s="3662"/>
      <c r="K63" s="3662">
        <f>I61/I10</f>
        <v>0.7573151375078313</v>
      </c>
      <c r="L63" s="3662">
        <f>L61/L10</f>
        <v>0.71832269529027382</v>
      </c>
      <c r="M63" s="3662">
        <f>M61/M10</f>
        <v>0.69525160941441921</v>
      </c>
      <c r="N63" s="3662"/>
      <c r="O63" s="3662">
        <f>O61/O10</f>
        <v>0.72316785747374257</v>
      </c>
      <c r="P63" s="3662"/>
      <c r="Q63" s="3663">
        <f>Q61/Q10</f>
        <v>0.76460496344966355</v>
      </c>
      <c r="R63" s="3663"/>
      <c r="S63" s="3663">
        <f>S61/S10</f>
        <v>0.65934248934362727</v>
      </c>
      <c r="T63" s="3518"/>
      <c r="U63" s="3518"/>
      <c r="V63" s="3518">
        <f>T61/T10</f>
        <v>0.70993535974497279</v>
      </c>
      <c r="W63" s="3518"/>
      <c r="X63" s="3664"/>
      <c r="Y63" s="3663">
        <f>Y61/Y10</f>
        <v>0.68292414015727043</v>
      </c>
      <c r="Z63" s="3665"/>
      <c r="AA63" s="3662">
        <f>AA61/AA10</f>
        <v>0.62700058949226356</v>
      </c>
      <c r="AB63" s="185">
        <f t="shared" si="19"/>
        <v>1.9692672189931613</v>
      </c>
      <c r="AC63" s="3327">
        <f t="shared" si="1"/>
        <v>4.3505666550579805E-8</v>
      </c>
      <c r="AD63" s="3327">
        <f t="shared" si="20"/>
        <v>4.7265385149697543E-8</v>
      </c>
      <c r="AE63" s="3327"/>
      <c r="AF63" s="3662">
        <f>AF61/AF10</f>
        <v>0.70908338771183355</v>
      </c>
      <c r="AG63" s="3662"/>
      <c r="AH63" s="3662">
        <f>AH61/AH10</f>
        <v>0.64330437314242239</v>
      </c>
      <c r="AI63" s="3662">
        <f>AI61/AI10</f>
        <v>0.64967400357704708</v>
      </c>
      <c r="AJ63" s="39">
        <f t="shared" si="33"/>
        <v>2.6029031063690033</v>
      </c>
      <c r="AK63" s="3662"/>
      <c r="AL63" s="3530">
        <f t="shared" si="14"/>
        <v>2.9635202801365353E-8</v>
      </c>
      <c r="AM63" s="3530">
        <f t="shared" si="8"/>
        <v>3.3940319977043701E-8</v>
      </c>
      <c r="AN63" s="3538" t="e">
        <f t="shared" si="25"/>
        <v>#DIV/0!</v>
      </c>
      <c r="AO63" s="39"/>
      <c r="AP63" s="39"/>
      <c r="AQ63" s="39"/>
      <c r="AR63" s="39"/>
      <c r="AS63" s="39"/>
      <c r="AT63" s="3657"/>
      <c r="AU63" s="3633"/>
      <c r="AV63" s="3623">
        <f t="shared" si="9"/>
        <v>0</v>
      </c>
      <c r="AW63" s="3623">
        <f t="shared" si="10"/>
        <v>0</v>
      </c>
      <c r="AX63" s="39"/>
      <c r="AY63" s="3344">
        <f t="shared" si="32"/>
        <v>5.8682504161958911E-8</v>
      </c>
      <c r="AZ63" s="3635">
        <f t="shared" si="17"/>
        <v>3.8124497418826572E-8</v>
      </c>
    </row>
    <row r="64" spans="1:52" s="2028" customFormat="1">
      <c r="A64" s="3626" t="s">
        <v>99</v>
      </c>
      <c r="B64" s="1606" t="s">
        <v>2093</v>
      </c>
      <c r="C64" s="39">
        <f t="shared" ref="C64:I64" si="51">C17</f>
        <v>1195670.773844</v>
      </c>
      <c r="D64" s="39">
        <f t="shared" si="51"/>
        <v>1428490.927049</v>
      </c>
      <c r="E64" s="39">
        <f t="shared" si="51"/>
        <v>1957330.7359720001</v>
      </c>
      <c r="F64" s="39">
        <f t="shared" si="51"/>
        <v>2188274.0349940001</v>
      </c>
      <c r="G64" s="39">
        <f t="shared" si="51"/>
        <v>2397442.1445920002</v>
      </c>
      <c r="H64" s="39">
        <f t="shared" si="51"/>
        <v>2477605.390437</v>
      </c>
      <c r="I64" s="39">
        <f t="shared" si="51"/>
        <v>10449143.233044</v>
      </c>
      <c r="J64" s="3529"/>
      <c r="K64" s="3529">
        <f>I64/$I$61</f>
        <v>0.41217772255155677</v>
      </c>
      <c r="L64" s="39">
        <f>L17</f>
        <v>2573258.7171829999</v>
      </c>
      <c r="M64" s="39">
        <f>M17</f>
        <v>2856667.320301</v>
      </c>
      <c r="N64" s="39"/>
      <c r="O64" s="39">
        <f>O17</f>
        <v>3044195.1281700004</v>
      </c>
      <c r="P64" s="39"/>
      <c r="Q64" s="147">
        <f>Q17</f>
        <v>3320884</v>
      </c>
      <c r="R64" s="147"/>
      <c r="S64" s="147">
        <f>S17</f>
        <v>3507850</v>
      </c>
      <c r="T64" s="185">
        <f>L64+M64+O64+Q64+S64</f>
        <v>15302855.165654</v>
      </c>
      <c r="U64" s="3329"/>
      <c r="V64" s="3329">
        <f>T64/$T$61</f>
        <v>0.4046580098742617</v>
      </c>
      <c r="W64" s="3329">
        <f t="shared" si="41"/>
        <v>0.46450812515047102</v>
      </c>
      <c r="X64" s="3345"/>
      <c r="Y64" s="147">
        <f>Y17</f>
        <v>3486573</v>
      </c>
      <c r="Z64" s="39"/>
      <c r="AA64" s="39">
        <f>AA17</f>
        <v>3506949.6535290005</v>
      </c>
      <c r="AB64" s="185">
        <f t="shared" si="19"/>
        <v>10501372.653529</v>
      </c>
      <c r="AC64" s="3327">
        <f t="shared" si="1"/>
        <v>0.2319996050213014</v>
      </c>
      <c r="AD64" s="3327">
        <f t="shared" si="20"/>
        <v>0.25204879169385758</v>
      </c>
      <c r="AE64" s="3327"/>
      <c r="AF64" s="39">
        <f>AF17</f>
        <v>4179745</v>
      </c>
      <c r="AG64" s="39"/>
      <c r="AH64" s="39">
        <f>AH17</f>
        <v>4797945.7831797441</v>
      </c>
      <c r="AI64" s="39">
        <f>AI17</f>
        <v>4916000</v>
      </c>
      <c r="AJ64" s="39">
        <f t="shared" si="33"/>
        <v>16707468.436708745</v>
      </c>
      <c r="AK64" s="3529"/>
      <c r="AL64" s="3530">
        <f t="shared" si="14"/>
        <v>0.19022191575543099</v>
      </c>
      <c r="AM64" s="3530">
        <f t="shared" si="8"/>
        <v>0.21785552576303371</v>
      </c>
      <c r="AN64" s="3538">
        <f t="shared" si="25"/>
        <v>9.1787660266646531E-2</v>
      </c>
      <c r="AO64" s="39"/>
      <c r="AP64" s="39"/>
      <c r="AQ64" s="39"/>
      <c r="AR64" s="39"/>
      <c r="AS64" s="39"/>
      <c r="AT64" s="3657"/>
      <c r="AU64" s="3633"/>
      <c r="AV64" s="3623">
        <f t="shared" si="9"/>
        <v>0</v>
      </c>
      <c r="AW64" s="3623">
        <f t="shared" si="10"/>
        <v>0</v>
      </c>
      <c r="AX64" s="39"/>
      <c r="AY64" s="3344">
        <f t="shared" si="32"/>
        <v>0.44404299521271789</v>
      </c>
      <c r="AZ64" s="3635">
        <f t="shared" si="17"/>
        <v>0.28848319046019</v>
      </c>
    </row>
    <row r="65" spans="1:52" s="3671" customFormat="1" ht="16.2">
      <c r="A65" s="3660" t="s">
        <v>29</v>
      </c>
      <c r="B65" s="3661" t="s">
        <v>1993</v>
      </c>
      <c r="C65" s="3662"/>
      <c r="D65" s="3662">
        <f>D64/C64</f>
        <v>1.1947192808405771</v>
      </c>
      <c r="E65" s="3662">
        <f>E64/D64</f>
        <v>1.3702087279024486</v>
      </c>
      <c r="F65" s="3662">
        <f>F64/E64</f>
        <v>1.1179888992584153</v>
      </c>
      <c r="G65" s="3662">
        <f>G64/F64</f>
        <v>1.0955858846986564</v>
      </c>
      <c r="H65" s="3662">
        <f>H64/G64</f>
        <v>1.0334369886780488</v>
      </c>
      <c r="I65" s="3662"/>
      <c r="J65" s="3662">
        <f>(D65*E65*F65*G65*H65)^(1/5)-1</f>
        <v>0.15686878960784822</v>
      </c>
      <c r="K65" s="3662"/>
      <c r="L65" s="3662">
        <f>L64/H64</f>
        <v>1.0386071676769837</v>
      </c>
      <c r="M65" s="3662">
        <f>M64/L64</f>
        <v>1.1101360703552783</v>
      </c>
      <c r="N65" s="3662"/>
      <c r="O65" s="3662">
        <f>O64/M64</f>
        <v>1.0656456586793737</v>
      </c>
      <c r="P65" s="3662"/>
      <c r="Q65" s="3663">
        <f>Q64/O64</f>
        <v>1.090890649311409</v>
      </c>
      <c r="R65" s="3663"/>
      <c r="S65" s="3663">
        <f>S64/Q64</f>
        <v>1.056300069499567</v>
      </c>
      <c r="T65" s="3518"/>
      <c r="U65" s="3518">
        <f>(L65*M65*O65*Q65*S65)^(1/5)-1</f>
        <v>7.2017254107991535E-2</v>
      </c>
      <c r="V65" s="3518"/>
      <c r="W65" s="3518"/>
      <c r="X65" s="3664"/>
      <c r="Y65" s="3663">
        <f>Y64/S64</f>
        <v>0.9939344612797012</v>
      </c>
      <c r="Z65" s="3665"/>
      <c r="AA65" s="3662">
        <f>AA64/Y64</f>
        <v>1.0058443214953481</v>
      </c>
      <c r="AB65" s="185">
        <f t="shared" si="19"/>
        <v>3.0560788522746165</v>
      </c>
      <c r="AC65" s="3327">
        <f t="shared" si="1"/>
        <v>6.751584864511972E-8</v>
      </c>
      <c r="AD65" s="3327">
        <f t="shared" si="20"/>
        <v>7.3350504496011211E-8</v>
      </c>
      <c r="AE65" s="3327"/>
      <c r="AF65" s="3662">
        <f>AF64/AA64</f>
        <v>1.1918463088838398</v>
      </c>
      <c r="AG65" s="3662"/>
      <c r="AH65" s="3662">
        <f>AH64/AF64</f>
        <v>1.147903947054125</v>
      </c>
      <c r="AI65" s="3662">
        <f>AI64/AH64</f>
        <v>1.0246051585730962</v>
      </c>
      <c r="AJ65" s="39">
        <f t="shared" si="33"/>
        <v>4.1722878884022707</v>
      </c>
      <c r="AK65" s="3662">
        <f>(Y65*AA65*AF65*AH65*AI65)^(1/5)-1</f>
        <v>6.9828521663294341E-2</v>
      </c>
      <c r="AL65" s="3530">
        <f t="shared" si="14"/>
        <v>4.7503342485524244E-8</v>
      </c>
      <c r="AM65" s="3530">
        <f t="shared" si="8"/>
        <v>5.4404171105031424E-8</v>
      </c>
      <c r="AN65" s="3538" t="e">
        <f t="shared" si="25"/>
        <v>#DIV/0!</v>
      </c>
      <c r="AO65" s="3668"/>
      <c r="AP65" s="3668"/>
      <c r="AQ65" s="3668"/>
      <c r="AR65" s="3668"/>
      <c r="AS65" s="3668"/>
      <c r="AT65" s="3669"/>
      <c r="AU65" s="3670"/>
      <c r="AV65" s="3623">
        <f t="shared" si="9"/>
        <v>0</v>
      </c>
      <c r="AW65" s="3623">
        <f t="shared" si="10"/>
        <v>0</v>
      </c>
      <c r="AX65" s="3668"/>
      <c r="AY65" s="3344">
        <f t="shared" si="32"/>
        <v>9.2548564589747653E-8</v>
      </c>
      <c r="AZ65" s="3635">
        <f t="shared" si="17"/>
        <v>6.0126396482330285E-8</v>
      </c>
    </row>
    <row r="66" spans="1:52" s="3671" customFormat="1" ht="16.2">
      <c r="A66" s="3672" t="s">
        <v>29</v>
      </c>
      <c r="B66" s="3673" t="s">
        <v>69</v>
      </c>
      <c r="C66" s="3662">
        <f t="shared" ref="C66:I66" si="52">C64/C61</f>
        <v>0.46563249537224882</v>
      </c>
      <c r="D66" s="3662">
        <f t="shared" si="52"/>
        <v>0.38595788959548177</v>
      </c>
      <c r="E66" s="3662">
        <f t="shared" si="52"/>
        <v>0.41598283194377628</v>
      </c>
      <c r="F66" s="3662">
        <f t="shared" si="52"/>
        <v>0.4107440725813154</v>
      </c>
      <c r="G66" s="3662">
        <f t="shared" si="52"/>
        <v>0.42254592094173782</v>
      </c>
      <c r="H66" s="3662">
        <f t="shared" si="52"/>
        <v>0.41688062063389775</v>
      </c>
      <c r="I66" s="3662">
        <f t="shared" si="52"/>
        <v>0.41217772255155677</v>
      </c>
      <c r="J66" s="3662"/>
      <c r="K66" s="3662"/>
      <c r="L66" s="3662">
        <f>L64/L61</f>
        <v>0.41295612390258807</v>
      </c>
      <c r="M66" s="3662">
        <f>M64/M61</f>
        <v>0.40748170347734886</v>
      </c>
      <c r="N66" s="3662"/>
      <c r="O66" s="3662">
        <f>O64/O61</f>
        <v>0.40368309298649807</v>
      </c>
      <c r="P66" s="3662"/>
      <c r="Q66" s="3663">
        <f>Q64/Q61</f>
        <v>0.39559420599230011</v>
      </c>
      <c r="R66" s="3663"/>
      <c r="S66" s="3663">
        <f>S64/S61</f>
        <v>0.40603959958246044</v>
      </c>
      <c r="T66" s="3518">
        <f>(L66*M66*O66*Q66*S66)^(1/5)</f>
        <v>0.40511113409138183</v>
      </c>
      <c r="U66" s="3518"/>
      <c r="V66" s="3518"/>
      <c r="W66" s="3518"/>
      <c r="X66" s="3664"/>
      <c r="Y66" s="3663">
        <f t="shared" ref="Y66:AH66" si="53">Y64/Y61</f>
        <v>0.36268297604979777</v>
      </c>
      <c r="Z66" s="3665"/>
      <c r="AA66" s="3662">
        <f t="shared" si="53"/>
        <v>0.38614701573140597</v>
      </c>
      <c r="AB66" s="185">
        <f t="shared" si="19"/>
        <v>1.1548695913636642</v>
      </c>
      <c r="AC66" s="3327">
        <f t="shared" si="1"/>
        <v>2.5513739764053023E-8</v>
      </c>
      <c r="AD66" s="3327">
        <f t="shared" si="20"/>
        <v>2.7718613049063792E-8</v>
      </c>
      <c r="AE66" s="3327"/>
      <c r="AF66" s="3662">
        <f t="shared" si="53"/>
        <v>0.44684683817865661</v>
      </c>
      <c r="AG66" s="3662"/>
      <c r="AH66" s="3662">
        <f t="shared" si="53"/>
        <v>0.44987862193505385</v>
      </c>
      <c r="AI66" s="3662">
        <f>AI64/AI61</f>
        <v>0.44404299521271789</v>
      </c>
      <c r="AJ66" s="39">
        <f t="shared" si="33"/>
        <v>1.6427516089289755</v>
      </c>
      <c r="AK66" s="3662"/>
      <c r="AL66" s="3530">
        <f t="shared" si="14"/>
        <v>1.8703453449249438E-8</v>
      </c>
      <c r="AM66" s="3530">
        <f t="shared" si="8"/>
        <v>2.1420511241246547E-8</v>
      </c>
      <c r="AN66" s="3538">
        <f t="shared" si="25"/>
        <v>3.0550640816463375</v>
      </c>
      <c r="AO66" s="3668"/>
      <c r="AP66" s="3668"/>
      <c r="AQ66" s="3668"/>
      <c r="AR66" s="3668"/>
      <c r="AS66" s="3668"/>
      <c r="AT66" s="3669"/>
      <c r="AU66" s="3670"/>
      <c r="AV66" s="3623">
        <f t="shared" si="9"/>
        <v>0</v>
      </c>
      <c r="AW66" s="3623">
        <f t="shared" si="10"/>
        <v>0</v>
      </c>
      <c r="AX66" s="3668"/>
      <c r="AY66" s="3344">
        <f t="shared" si="32"/>
        <v>4.0108661838381167E-8</v>
      </c>
      <c r="AZ66" s="3635">
        <f t="shared" si="17"/>
        <v>2.605755491465902E-8</v>
      </c>
    </row>
    <row r="67" spans="1:52" s="2028" customFormat="1">
      <c r="A67" s="3626" t="s">
        <v>101</v>
      </c>
      <c r="B67" s="1606" t="s">
        <v>1683</v>
      </c>
      <c r="C67" s="39">
        <f t="shared" ref="C67:H67" si="54">C18</f>
        <v>10103.887626</v>
      </c>
      <c r="D67" s="39">
        <f t="shared" si="54"/>
        <v>16708.203065999998</v>
      </c>
      <c r="E67" s="39">
        <f t="shared" si="54"/>
        <v>13732.921410000001</v>
      </c>
      <c r="F67" s="39">
        <f t="shared" si="54"/>
        <v>21991.801834000002</v>
      </c>
      <c r="G67" s="39">
        <f t="shared" si="54"/>
        <v>21685.136095999998</v>
      </c>
      <c r="H67" s="39">
        <f t="shared" si="54"/>
        <v>19615.733521999999</v>
      </c>
      <c r="I67" s="39">
        <f>SUM(D67:H67)</f>
        <v>93733.795927999992</v>
      </c>
      <c r="J67" s="3529"/>
      <c r="K67" s="3529">
        <f>I67/$I$61</f>
        <v>3.6974306572368082E-3</v>
      </c>
      <c r="L67" s="39">
        <f>L18</f>
        <v>17427.107277999999</v>
      </c>
      <c r="M67" s="39">
        <f>M18</f>
        <v>20608.003771</v>
      </c>
      <c r="N67" s="39"/>
      <c r="O67" s="39">
        <f>O18</f>
        <v>18902.695590000003</v>
      </c>
      <c r="P67" s="39"/>
      <c r="Q67" s="147">
        <f>Q18</f>
        <v>21132</v>
      </c>
      <c r="R67" s="147"/>
      <c r="S67" s="147">
        <f>S18</f>
        <v>19238</v>
      </c>
      <c r="T67" s="185">
        <f>L67+M67+O67+Q67+S67</f>
        <v>97307.806639000002</v>
      </c>
      <c r="U67" s="3329"/>
      <c r="V67" s="3329">
        <f>T67/$T$61</f>
        <v>2.5731396496612127E-3</v>
      </c>
      <c r="W67" s="3329">
        <f t="shared" si="41"/>
        <v>3.8129371328835537E-2</v>
      </c>
      <c r="X67" s="3345"/>
      <c r="Y67" s="147">
        <f>Y18</f>
        <v>14227</v>
      </c>
      <c r="Z67" s="39"/>
      <c r="AA67" s="39">
        <f>AA18</f>
        <v>17128.735162000001</v>
      </c>
      <c r="AB67" s="185">
        <f t="shared" si="19"/>
        <v>50593.735161999997</v>
      </c>
      <c r="AC67" s="3327">
        <f t="shared" si="1"/>
        <v>1.1177326013844342E-3</v>
      </c>
      <c r="AD67" s="3327">
        <f t="shared" si="20"/>
        <v>1.2143259967615546E-3</v>
      </c>
      <c r="AE67" s="3327"/>
      <c r="AF67" s="39">
        <f>AF18</f>
        <v>31000</v>
      </c>
      <c r="AG67" s="39"/>
      <c r="AH67" s="39">
        <f>AH18</f>
        <v>31218</v>
      </c>
      <c r="AI67" s="39">
        <f>AI18</f>
        <v>35000</v>
      </c>
      <c r="AJ67" s="39">
        <f t="shared" si="33"/>
        <v>97573.735161999997</v>
      </c>
      <c r="AK67" s="3529"/>
      <c r="AL67" s="3530">
        <f t="shared" si="14"/>
        <v>1.1109201193610049E-3</v>
      </c>
      <c r="AM67" s="3530">
        <f t="shared" si="8"/>
        <v>1.2723039073756883E-3</v>
      </c>
      <c r="AN67" s="3538">
        <f t="shared" si="25"/>
        <v>2.7328590807369491E-3</v>
      </c>
      <c r="AO67" s="39"/>
      <c r="AP67" s="39"/>
      <c r="AQ67" s="39"/>
      <c r="AR67" s="39"/>
      <c r="AS67" s="39"/>
      <c r="AT67" s="3657"/>
      <c r="AU67" s="3633"/>
      <c r="AV67" s="3623">
        <f t="shared" si="9"/>
        <v>0</v>
      </c>
      <c r="AW67" s="3623">
        <f t="shared" si="10"/>
        <v>0</v>
      </c>
      <c r="AX67" s="39"/>
      <c r="AY67" s="3344">
        <f t="shared" si="32"/>
        <v>3.1614126998464457E-3</v>
      </c>
      <c r="AZ67" s="3635">
        <f t="shared" si="17"/>
        <v>2.0538876456685619E-3</v>
      </c>
    </row>
    <row r="68" spans="1:52" s="3671" customFormat="1" ht="16.2">
      <c r="A68" s="3660" t="s">
        <v>29</v>
      </c>
      <c r="B68" s="3661" t="s">
        <v>1993</v>
      </c>
      <c r="C68" s="3662"/>
      <c r="D68" s="3662">
        <f>D67/C67</f>
        <v>1.6536410225906839</v>
      </c>
      <c r="E68" s="3662">
        <f>E67/D67</f>
        <v>0.82192689158450061</v>
      </c>
      <c r="F68" s="3662">
        <f>F67/E67</f>
        <v>1.6013928265828472</v>
      </c>
      <c r="G68" s="3662">
        <f>G67/F67</f>
        <v>0.98605545192182076</v>
      </c>
      <c r="H68" s="3662">
        <f>H67/G67</f>
        <v>0.90457045946869952</v>
      </c>
      <c r="I68" s="3662"/>
      <c r="J68" s="3662">
        <f>(D68*E68*F68*G68*H68)^(1/5)-1</f>
        <v>0.14188721148932903</v>
      </c>
      <c r="K68" s="3662"/>
      <c r="L68" s="3662">
        <f>L67/H67</f>
        <v>0.8884249604254999</v>
      </c>
      <c r="M68" s="3662">
        <f>M67/L67</f>
        <v>1.1825257882595104</v>
      </c>
      <c r="N68" s="3662"/>
      <c r="O68" s="3662">
        <f>O67/M67</f>
        <v>0.91725020045853534</v>
      </c>
      <c r="P68" s="3662"/>
      <c r="Q68" s="3663">
        <f>Q67/O67</f>
        <v>1.1179357938335184</v>
      </c>
      <c r="R68" s="3663"/>
      <c r="S68" s="3663">
        <f>S67/Q67</f>
        <v>0.91037289418890777</v>
      </c>
      <c r="T68" s="3518"/>
      <c r="U68" s="3518">
        <f>(L68*M68*O68*Q68*S68)^(1/5)-1</f>
        <v>-3.8813450735523114E-3</v>
      </c>
      <c r="V68" s="3518"/>
      <c r="W68" s="3518"/>
      <c r="X68" s="3664"/>
      <c r="Y68" s="3663">
        <f>Y67/S67</f>
        <v>0.73952593824721902</v>
      </c>
      <c r="Z68" s="3665"/>
      <c r="AA68" s="3662">
        <f>AA67/Y67</f>
        <v>1.2039597358543614</v>
      </c>
      <c r="AB68" s="185">
        <f t="shared" si="19"/>
        <v>2.8538585682904882</v>
      </c>
      <c r="AC68" s="3327">
        <f t="shared" si="1"/>
        <v>6.3048334962911015E-8</v>
      </c>
      <c r="AD68" s="3327">
        <f t="shared" si="20"/>
        <v>6.8496912502295997E-8</v>
      </c>
      <c r="AE68" s="3327"/>
      <c r="AF68" s="3662">
        <f>AF67/AA67</f>
        <v>1.8098242343528854</v>
      </c>
      <c r="AG68" s="3662"/>
      <c r="AH68" s="3662">
        <f>AH67/AF67</f>
        <v>1.0070322580645161</v>
      </c>
      <c r="AI68" s="3662">
        <f>AI67/AH67</f>
        <v>1.1211480556089435</v>
      </c>
      <c r="AJ68" s="39">
        <f t="shared" si="33"/>
        <v>4.0716659877750399</v>
      </c>
      <c r="AK68" s="3662">
        <f>(Y68*AA68*AF68*AH68*AI68)^(1/5)-1</f>
        <v>0.12714976491462449</v>
      </c>
      <c r="AL68" s="3530">
        <f t="shared" si="14"/>
        <v>4.6357717654522915E-8</v>
      </c>
      <c r="AM68" s="3530">
        <f t="shared" si="8"/>
        <v>5.3092120919363713E-8</v>
      </c>
      <c r="AN68" s="3538" t="e">
        <f t="shared" si="25"/>
        <v>#DIV/0!</v>
      </c>
      <c r="AO68" s="3668"/>
      <c r="AP68" s="3668"/>
      <c r="AQ68" s="3668"/>
      <c r="AR68" s="3668"/>
      <c r="AS68" s="3668"/>
      <c r="AT68" s="3669"/>
      <c r="AU68" s="3670"/>
      <c r="AV68" s="3623">
        <f t="shared" si="9"/>
        <v>0</v>
      </c>
      <c r="AW68" s="3623">
        <f t="shared" si="10"/>
        <v>0</v>
      </c>
      <c r="AX68" s="3668"/>
      <c r="AY68" s="3344">
        <f t="shared" si="32"/>
        <v>1.0126890575457895E-7</v>
      </c>
      <c r="AZ68" s="3635">
        <f t="shared" si="17"/>
        <v>6.5791775439443964E-8</v>
      </c>
    </row>
    <row r="69" spans="1:52" s="3671" customFormat="1" ht="16.2">
      <c r="A69" s="3672" t="s">
        <v>29</v>
      </c>
      <c r="B69" s="3673" t="s">
        <v>69</v>
      </c>
      <c r="C69" s="3662"/>
      <c r="D69" s="3662">
        <f t="shared" ref="D69:I69" si="55">D67/D61</f>
        <v>4.5143183426497998E-3</v>
      </c>
      <c r="E69" s="3662">
        <f t="shared" si="55"/>
        <v>2.9185969616709879E-3</v>
      </c>
      <c r="F69" s="3662">
        <f t="shared" si="55"/>
        <v>4.1279118173712503E-3</v>
      </c>
      <c r="G69" s="3662">
        <f t="shared" si="55"/>
        <v>3.8219757766002754E-3</v>
      </c>
      <c r="H69" s="3662">
        <f t="shared" si="55"/>
        <v>3.3005333280285527E-3</v>
      </c>
      <c r="I69" s="3662">
        <f t="shared" si="55"/>
        <v>3.6974306572368082E-3</v>
      </c>
      <c r="J69" s="3662"/>
      <c r="K69" s="3662"/>
      <c r="L69" s="3662">
        <f>L67/L61</f>
        <v>2.7966992297749852E-3</v>
      </c>
      <c r="M69" s="3662">
        <f>M67/M61</f>
        <v>2.9395738251347717E-3</v>
      </c>
      <c r="N69" s="3662"/>
      <c r="O69" s="3662">
        <f>O67/O61</f>
        <v>2.506639128005105E-3</v>
      </c>
      <c r="P69" s="3662"/>
      <c r="Q69" s="3663">
        <f>Q67/Q61</f>
        <v>2.5173106802373361E-3</v>
      </c>
      <c r="R69" s="3663"/>
      <c r="S69" s="3663">
        <f>S67/S61</f>
        <v>2.2268311976758911E-3</v>
      </c>
      <c r="T69" s="3518">
        <f>(L69*M69*O69*Q69*S69)^(1/5)</f>
        <v>2.5854087417844685E-3</v>
      </c>
      <c r="U69" s="3518"/>
      <c r="V69" s="3518"/>
      <c r="W69" s="3518"/>
      <c r="X69" s="3664"/>
      <c r="Y69" s="3663">
        <f t="shared" ref="Y69:AH69" si="56">Y67/Y61</f>
        <v>1.4799319275002913E-3</v>
      </c>
      <c r="Z69" s="3665"/>
      <c r="AA69" s="3662">
        <f t="shared" si="56"/>
        <v>1.8860293473001821E-3</v>
      </c>
      <c r="AB69" s="185">
        <f t="shared" si="19"/>
        <v>5.5927924724763645E-3</v>
      </c>
      <c r="AC69" s="3327">
        <f t="shared" si="1"/>
        <v>1.2355771834690479E-10</v>
      </c>
      <c r="AD69" s="3327">
        <f t="shared" si="20"/>
        <v>1.3423545962902791E-10</v>
      </c>
      <c r="AE69" s="3327"/>
      <c r="AF69" s="3662">
        <f t="shared" si="56"/>
        <v>3.3141380595080217E-3</v>
      </c>
      <c r="AG69" s="3662"/>
      <c r="AH69" s="3662">
        <f t="shared" si="56"/>
        <v>2.9271507962436625E-3</v>
      </c>
      <c r="AI69" s="3662">
        <f>AI67/AI61</f>
        <v>3.1614126998464457E-3</v>
      </c>
      <c r="AJ69" s="39">
        <f t="shared" si="33"/>
        <v>9.4545247708905811E-3</v>
      </c>
      <c r="AK69" s="3662"/>
      <c r="AL69" s="3530">
        <f t="shared" si="14"/>
        <v>1.0764394505899586E-10</v>
      </c>
      <c r="AM69" s="3530">
        <f t="shared" si="8"/>
        <v>1.232814218745724E-10</v>
      </c>
      <c r="AN69" s="3538">
        <f t="shared" si="25"/>
        <v>2.6568781632435408</v>
      </c>
      <c r="AO69" s="3668"/>
      <c r="AP69" s="3668"/>
      <c r="AQ69" s="3668"/>
      <c r="AR69" s="3668"/>
      <c r="AS69" s="3668"/>
      <c r="AT69" s="3669"/>
      <c r="AU69" s="3670"/>
      <c r="AV69" s="3623">
        <f t="shared" si="9"/>
        <v>0</v>
      </c>
      <c r="AW69" s="3623">
        <f t="shared" si="10"/>
        <v>0</v>
      </c>
      <c r="AX69" s="3668"/>
      <c r="AY69" s="3344">
        <f t="shared" si="32"/>
        <v>2.8555800739286839E-10</v>
      </c>
      <c r="AZ69" s="3635">
        <f t="shared" si="17"/>
        <v>1.8551961391640882E-10</v>
      </c>
    </row>
    <row r="70" spans="1:52" s="2028" customFormat="1">
      <c r="A70" s="3626" t="s">
        <v>147</v>
      </c>
      <c r="B70" s="1606" t="s">
        <v>2094</v>
      </c>
      <c r="C70" s="39">
        <f t="shared" ref="C70:H70" si="57">C19</f>
        <v>34249.1469</v>
      </c>
      <c r="D70" s="39">
        <f t="shared" si="57"/>
        <v>55015.130089999999</v>
      </c>
      <c r="E70" s="39">
        <f t="shared" si="57"/>
        <v>58794.641531000001</v>
      </c>
      <c r="F70" s="39">
        <f t="shared" si="57"/>
        <v>63064.983071000002</v>
      </c>
      <c r="G70" s="39">
        <f t="shared" si="57"/>
        <v>73254.026125999997</v>
      </c>
      <c r="H70" s="39">
        <f t="shared" si="57"/>
        <v>66554.003003000005</v>
      </c>
      <c r="I70" s="39">
        <f>SUM(D70:H70)</f>
        <v>316682.78382099996</v>
      </c>
      <c r="J70" s="3529"/>
      <c r="K70" s="3529">
        <f>I70/$I$61</f>
        <v>1.2491893899381589E-2</v>
      </c>
      <c r="L70" s="39">
        <f>L19</f>
        <v>69874.356060000006</v>
      </c>
      <c r="M70" s="39">
        <f>M19</f>
        <v>114730.499979</v>
      </c>
      <c r="N70" s="39"/>
      <c r="O70" s="39">
        <f>O19</f>
        <v>174534.90139499999</v>
      </c>
      <c r="P70" s="39"/>
      <c r="Q70" s="147">
        <f>Q19</f>
        <v>143120</v>
      </c>
      <c r="R70" s="147"/>
      <c r="S70" s="147">
        <f>S19</f>
        <v>118967</v>
      </c>
      <c r="T70" s="185">
        <f>L70+M70+O70+Q70+S70</f>
        <v>621226.75743400003</v>
      </c>
      <c r="U70" s="3329"/>
      <c r="V70" s="3329">
        <f>T70/$T$61</f>
        <v>1.6427286321581004E-2</v>
      </c>
      <c r="W70" s="3329">
        <f t="shared" si="41"/>
        <v>0.9616688660446373</v>
      </c>
      <c r="X70" s="3345"/>
      <c r="Y70" s="147">
        <f>Y19</f>
        <v>131042</v>
      </c>
      <c r="Z70" s="39"/>
      <c r="AA70" s="39">
        <f>AA19</f>
        <v>115422.874604</v>
      </c>
      <c r="AB70" s="185">
        <f t="shared" si="19"/>
        <v>365431.87460400001</v>
      </c>
      <c r="AC70" s="3327">
        <f t="shared" si="1"/>
        <v>8.0732351252987208E-3</v>
      </c>
      <c r="AD70" s="3327">
        <f t="shared" si="20"/>
        <v>8.7709164772289943E-3</v>
      </c>
      <c r="AE70" s="3327"/>
      <c r="AF70" s="39">
        <f>AF19</f>
        <v>136670</v>
      </c>
      <c r="AG70" s="39"/>
      <c r="AH70" s="39">
        <f>AH19</f>
        <v>151965</v>
      </c>
      <c r="AI70" s="39">
        <f>AI19</f>
        <v>160000</v>
      </c>
      <c r="AJ70" s="39">
        <f t="shared" si="33"/>
        <v>558429.87460400001</v>
      </c>
      <c r="AK70" s="3529"/>
      <c r="AL70" s="3530">
        <f t="shared" si="14"/>
        <v>6.3579710453826052E-3</v>
      </c>
      <c r="AM70" s="3530">
        <f t="shared" si="8"/>
        <v>7.2815959158923907E-3</v>
      </c>
      <c r="AN70" s="3538">
        <f t="shared" si="25"/>
        <v>-0.10108528339858514</v>
      </c>
      <c r="AO70" s="39"/>
      <c r="AP70" s="39"/>
      <c r="AQ70" s="39"/>
      <c r="AR70" s="39"/>
      <c r="AS70" s="39"/>
      <c r="AT70" s="3657"/>
      <c r="AU70" s="3633"/>
      <c r="AV70" s="3623">
        <f t="shared" si="9"/>
        <v>0</v>
      </c>
      <c r="AW70" s="3623">
        <f t="shared" si="10"/>
        <v>0</v>
      </c>
      <c r="AX70" s="39"/>
      <c r="AY70" s="3344">
        <f t="shared" si="32"/>
        <v>1.445217234215518E-2</v>
      </c>
      <c r="AZ70" s="3635">
        <f t="shared" si="17"/>
        <v>9.3892006659134254E-3</v>
      </c>
    </row>
    <row r="71" spans="1:52" s="3671" customFormat="1" ht="16.2">
      <c r="A71" s="3660" t="s">
        <v>29</v>
      </c>
      <c r="B71" s="3661" t="s">
        <v>1993</v>
      </c>
      <c r="C71" s="3662"/>
      <c r="D71" s="3662">
        <f>D70/C70</f>
        <v>1.6063211808058202</v>
      </c>
      <c r="E71" s="3662">
        <f>E70/D70</f>
        <v>1.0686994911184804</v>
      </c>
      <c r="F71" s="3662">
        <f>F70/E70</f>
        <v>1.072631475059652</v>
      </c>
      <c r="G71" s="3662">
        <f>G70/F70</f>
        <v>1.1615641923431412</v>
      </c>
      <c r="H71" s="3662">
        <f>H70/G70</f>
        <v>0.90853713471699604</v>
      </c>
      <c r="I71" s="3662"/>
      <c r="J71" s="3662">
        <f>(D71*E71*F71*G71*H71)^(1/5)-1</f>
        <v>0.14210198076841918</v>
      </c>
      <c r="K71" s="3662"/>
      <c r="L71" s="3662">
        <f>L70/H70</f>
        <v>1.0498896070436263</v>
      </c>
      <c r="M71" s="3662">
        <f>M70/L70</f>
        <v>1.6419543083943806</v>
      </c>
      <c r="N71" s="3662"/>
      <c r="O71" s="3662">
        <f>O70/M70</f>
        <v>1.5212598343679009</v>
      </c>
      <c r="P71" s="3662"/>
      <c r="Q71" s="3663">
        <f>Q70/O70</f>
        <v>0.82000791163308295</v>
      </c>
      <c r="R71" s="3663"/>
      <c r="S71" s="3663">
        <f>S70/Q70</f>
        <v>0.83123951928451645</v>
      </c>
      <c r="T71" s="3518"/>
      <c r="U71" s="3518">
        <f>(L71*M71*O71*Q71*S71)^(1/5)-1</f>
        <v>0.12318285536840889</v>
      </c>
      <c r="V71" s="3518"/>
      <c r="W71" s="3518"/>
      <c r="X71" s="3664"/>
      <c r="Y71" s="3663">
        <f>Y70/S70</f>
        <v>1.1014987349433036</v>
      </c>
      <c r="Z71" s="3665"/>
      <c r="AA71" s="3662">
        <f>AA70/Y70</f>
        <v>0.88080824929411938</v>
      </c>
      <c r="AB71" s="185">
        <f t="shared" si="19"/>
        <v>2.8135465035219394</v>
      </c>
      <c r="AC71" s="3327">
        <f t="shared" si="1"/>
        <v>6.2157748235588892E-8</v>
      </c>
      <c r="AD71" s="3327">
        <f t="shared" si="20"/>
        <v>6.7529362111425647E-8</v>
      </c>
      <c r="AE71" s="3327"/>
      <c r="AF71" s="3662">
        <f>AF70/AA70</f>
        <v>1.1840807159663624</v>
      </c>
      <c r="AG71" s="3662"/>
      <c r="AH71" s="3662">
        <f>AH70/AF70</f>
        <v>1.1119119045876931</v>
      </c>
      <c r="AI71" s="3662">
        <f>AI70/AH70</f>
        <v>1.0528740170433981</v>
      </c>
      <c r="AJ71" s="39">
        <f t="shared" si="33"/>
        <v>4.1470929058685142</v>
      </c>
      <c r="AK71" s="3662">
        <f>(Y71*AA71*AF71*AH71*AI71)^(1/5)-1</f>
        <v>6.1056950352238015E-2</v>
      </c>
      <c r="AL71" s="3530">
        <f t="shared" si="14"/>
        <v>4.7216486468818224E-8</v>
      </c>
      <c r="AM71" s="3530">
        <f t="shared" si="8"/>
        <v>5.4075643405740841E-8</v>
      </c>
      <c r="AN71" s="3538" t="e">
        <f t="shared" si="25"/>
        <v>#DIV/0!</v>
      </c>
      <c r="AO71" s="3668"/>
      <c r="AP71" s="3668"/>
      <c r="AQ71" s="3668"/>
      <c r="AR71" s="3668"/>
      <c r="AS71" s="3668"/>
      <c r="AT71" s="3669"/>
      <c r="AU71" s="3670"/>
      <c r="AV71" s="3623">
        <f t="shared" si="9"/>
        <v>0</v>
      </c>
      <c r="AW71" s="3623">
        <f t="shared" si="10"/>
        <v>0</v>
      </c>
      <c r="AX71" s="3668"/>
      <c r="AY71" s="3344">
        <f t="shared" si="32"/>
        <v>9.5101979680552622E-8</v>
      </c>
      <c r="AZ71" s="3635">
        <f t="shared" si="17"/>
        <v>6.1785283887167606E-8</v>
      </c>
    </row>
    <row r="72" spans="1:52" s="3671" customFormat="1" ht="16.2">
      <c r="A72" s="3672" t="s">
        <v>29</v>
      </c>
      <c r="B72" s="3673" t="s">
        <v>69</v>
      </c>
      <c r="C72" s="3662"/>
      <c r="D72" s="3662">
        <f t="shared" ref="D72:I72" si="58">D70/D61</f>
        <v>1.4864304073125511E-2</v>
      </c>
      <c r="E72" s="3662">
        <f t="shared" si="58"/>
        <v>1.2495364752466858E-2</v>
      </c>
      <c r="F72" s="3662">
        <f t="shared" si="58"/>
        <v>1.1837442463610494E-2</v>
      </c>
      <c r="G72" s="3662">
        <f t="shared" si="58"/>
        <v>1.291092258552435E-2</v>
      </c>
      <c r="H72" s="3662">
        <f t="shared" si="58"/>
        <v>1.1198342635453849E-2</v>
      </c>
      <c r="I72" s="3662">
        <f t="shared" si="58"/>
        <v>1.2491893899381589E-2</v>
      </c>
      <c r="J72" s="3662"/>
      <c r="K72" s="3662"/>
      <c r="L72" s="3662">
        <f>L70/L61</f>
        <v>1.1213424847663642E-2</v>
      </c>
      <c r="M72" s="3662">
        <f>M70/M61</f>
        <v>1.6365426677449044E-2</v>
      </c>
      <c r="N72" s="3662"/>
      <c r="O72" s="3662">
        <f>O70/O61</f>
        <v>2.3144636221654337E-2</v>
      </c>
      <c r="P72" s="3662"/>
      <c r="Q72" s="3663">
        <f>Q70/Q61</f>
        <v>1.7048907086672702E-2</v>
      </c>
      <c r="R72" s="3663"/>
      <c r="S72" s="3663">
        <f>S70/S61</f>
        <v>1.3770632451081595E-2</v>
      </c>
      <c r="T72" s="3518">
        <f>(L72*M72*O72*Q72*S72)^(1/5)</f>
        <v>1.5839930796324397E-2</v>
      </c>
      <c r="U72" s="3518"/>
      <c r="V72" s="3518"/>
      <c r="W72" s="3518"/>
      <c r="X72" s="3664"/>
      <c r="Y72" s="3663">
        <f t="shared" ref="Y72:AH72" si="59">Y70/Y61</f>
        <v>1.3631351630244828E-2</v>
      </c>
      <c r="Z72" s="3665"/>
      <c r="AA72" s="3662">
        <f t="shared" si="59"/>
        <v>1.270910705279856E-2</v>
      </c>
      <c r="AB72" s="185">
        <f t="shared" si="19"/>
        <v>4.0111091134124983E-2</v>
      </c>
      <c r="AC72" s="3327">
        <f t="shared" si="1"/>
        <v>8.8614675501142316E-10</v>
      </c>
      <c r="AD72" s="3327">
        <f t="shared" si="20"/>
        <v>9.627267203474532E-10</v>
      </c>
      <c r="AE72" s="3327"/>
      <c r="AF72" s="3662">
        <f t="shared" si="59"/>
        <v>1.4611072535256816E-2</v>
      </c>
      <c r="AG72" s="3662"/>
      <c r="AH72" s="3662">
        <f t="shared" si="59"/>
        <v>1.4248974013427132E-2</v>
      </c>
      <c r="AI72" s="3662">
        <f>AI70/AI61</f>
        <v>1.445217234215518E-2</v>
      </c>
      <c r="AJ72" s="39">
        <f t="shared" si="33"/>
        <v>5.50416050386257E-2</v>
      </c>
      <c r="AK72" s="3662"/>
      <c r="AL72" s="3530">
        <f t="shared" si="14"/>
        <v>6.2667301131611201E-10</v>
      </c>
      <c r="AM72" s="3530">
        <f t="shared" si="8"/>
        <v>7.1771003787652311E-10</v>
      </c>
      <c r="AN72" s="3538">
        <f t="shared" si="25"/>
        <v>2.4748639843425275</v>
      </c>
      <c r="AO72" s="3668"/>
      <c r="AP72" s="3668"/>
      <c r="AQ72" s="3668"/>
      <c r="AR72" s="3668"/>
      <c r="AS72" s="3668"/>
      <c r="AT72" s="3669"/>
      <c r="AU72" s="3670"/>
      <c r="AV72" s="3623">
        <f t="shared" si="9"/>
        <v>0</v>
      </c>
      <c r="AW72" s="3623">
        <f t="shared" si="10"/>
        <v>0</v>
      </c>
      <c r="AX72" s="3668"/>
      <c r="AY72" s="3344">
        <f t="shared" si="32"/>
        <v>1.3054080337959697E-9</v>
      </c>
      <c r="AZ72" s="3635">
        <f t="shared" si="17"/>
        <v>8.4808966361786885E-10</v>
      </c>
    </row>
    <row r="73" spans="1:52" s="2028" customFormat="1">
      <c r="A73" s="3674" t="s">
        <v>148</v>
      </c>
      <c r="B73" s="2857" t="s">
        <v>740</v>
      </c>
      <c r="C73" s="39">
        <f t="shared" ref="C73:H73" si="60">C20</f>
        <v>1327818.397076</v>
      </c>
      <c r="D73" s="39">
        <f t="shared" si="60"/>
        <v>2200943.2120419997</v>
      </c>
      <c r="E73" s="39">
        <f t="shared" si="60"/>
        <v>2675457.847972</v>
      </c>
      <c r="F73" s="39">
        <f t="shared" si="60"/>
        <v>3054254.3628690001</v>
      </c>
      <c r="G73" s="39">
        <f t="shared" si="60"/>
        <v>3181421.2925549997</v>
      </c>
      <c r="H73" s="39">
        <f t="shared" si="60"/>
        <v>3379426.0385650001</v>
      </c>
      <c r="I73" s="39">
        <f>SUM(D73:H73)</f>
        <v>14491502.754003001</v>
      </c>
      <c r="J73" s="3529"/>
      <c r="K73" s="3529">
        <f>I73/$I$61</f>
        <v>0.5716329528918247</v>
      </c>
      <c r="L73" s="39">
        <f>L20</f>
        <v>3570752.4656379996</v>
      </c>
      <c r="M73" s="39">
        <f>M20</f>
        <v>4018535.4982289998</v>
      </c>
      <c r="N73" s="39"/>
      <c r="O73" s="39">
        <f>O20</f>
        <v>4303419.107481</v>
      </c>
      <c r="P73" s="39"/>
      <c r="Q73" s="147">
        <f>Q20</f>
        <v>4909537</v>
      </c>
      <c r="R73" s="147"/>
      <c r="S73" s="147">
        <f>S20</f>
        <v>4993127</v>
      </c>
      <c r="T73" s="185">
        <f>SUM(L73:S73)</f>
        <v>21795371.071348</v>
      </c>
      <c r="U73" s="3329"/>
      <c r="V73" s="3329">
        <f>T73/$T$61</f>
        <v>0.57634156415449611</v>
      </c>
      <c r="W73" s="3329">
        <f t="shared" si="41"/>
        <v>0.50401041502251687</v>
      </c>
      <c r="X73" s="3345"/>
      <c r="Y73" s="147">
        <f>Y20</f>
        <v>5981438</v>
      </c>
      <c r="Z73" s="39"/>
      <c r="AA73" s="39">
        <f>AA20</f>
        <v>5442401.5111869993</v>
      </c>
      <c r="AB73" s="185">
        <f t="shared" si="19"/>
        <v>16416966.511186998</v>
      </c>
      <c r="AC73" s="3327">
        <f t="shared" si="1"/>
        <v>0.36268875240451426</v>
      </c>
      <c r="AD73" s="3327">
        <f t="shared" si="20"/>
        <v>0.39403197171873228</v>
      </c>
      <c r="AE73" s="3327"/>
      <c r="AF73" s="39">
        <f>AF20</f>
        <v>5006450</v>
      </c>
      <c r="AG73" s="39"/>
      <c r="AH73" s="39">
        <f>AH20</f>
        <v>5683849.6115313377</v>
      </c>
      <c r="AI73" s="39">
        <f>AI20</f>
        <v>5960000</v>
      </c>
      <c r="AJ73" s="39">
        <f t="shared" si="33"/>
        <v>23067689.122718334</v>
      </c>
      <c r="AK73" s="3529"/>
      <c r="AL73" s="3530">
        <f t="shared" si="14"/>
        <v>0.26263584058810291</v>
      </c>
      <c r="AM73" s="3530">
        <f t="shared" si="8"/>
        <v>0.30078904898161762</v>
      </c>
      <c r="AN73" s="3538">
        <f t="shared" si="25"/>
        <v>5.8375608619158248E-2</v>
      </c>
      <c r="AO73" s="39"/>
      <c r="AP73" s="39"/>
      <c r="AQ73" s="39"/>
      <c r="AR73" s="39"/>
      <c r="AS73" s="39"/>
      <c r="AT73" s="3657"/>
      <c r="AU73" s="3633"/>
      <c r="AV73" s="3623">
        <f t="shared" si="9"/>
        <v>0</v>
      </c>
      <c r="AW73" s="3623">
        <f t="shared" si="10"/>
        <v>0</v>
      </c>
      <c r="AX73" s="39"/>
      <c r="AY73" s="3344">
        <f t="shared" si="32"/>
        <v>0.53834341974528044</v>
      </c>
      <c r="AZ73" s="3635">
        <f t="shared" si="17"/>
        <v>0.34974772480527511</v>
      </c>
    </row>
    <row r="74" spans="1:52" s="3671" customFormat="1" ht="16.2">
      <c r="A74" s="3660" t="s">
        <v>29</v>
      </c>
      <c r="B74" s="3661" t="s">
        <v>1993</v>
      </c>
      <c r="C74" s="3662"/>
      <c r="D74" s="3662">
        <f>D73/C73</f>
        <v>1.6575634265112722</v>
      </c>
      <c r="E74" s="3662">
        <f>E73/D73</f>
        <v>1.2155960377958837</v>
      </c>
      <c r="F74" s="3662">
        <f>F73/E73</f>
        <v>1.1415819408943886</v>
      </c>
      <c r="G74" s="3662">
        <f>G73/F73</f>
        <v>1.0416359983739356</v>
      </c>
      <c r="H74" s="3662">
        <f>H73/G73</f>
        <v>1.0622378263681584</v>
      </c>
      <c r="I74" s="3662"/>
      <c r="J74" s="3662">
        <f>(D74*E74*F74*G74*H74)^(1/5)-1</f>
        <v>0.20542682795877787</v>
      </c>
      <c r="K74" s="3662"/>
      <c r="L74" s="3662">
        <f>L73/H73</f>
        <v>1.0566150656619318</v>
      </c>
      <c r="M74" s="3662">
        <f>M73/L73</f>
        <v>1.1254029891178674</v>
      </c>
      <c r="N74" s="3662"/>
      <c r="O74" s="3662">
        <f>O73/M73</f>
        <v>1.0708923958435979</v>
      </c>
      <c r="P74" s="3662"/>
      <c r="Q74" s="3663">
        <f>Q73/O73</f>
        <v>1.1408456572276062</v>
      </c>
      <c r="R74" s="3663"/>
      <c r="S74" s="3663">
        <f>S73/Q73</f>
        <v>1.0170260454295386</v>
      </c>
      <c r="T74" s="3518"/>
      <c r="U74" s="3518">
        <f>(L74*M74*O74*Q74*S74)^(1/5)-1</f>
        <v>8.1199741745489495E-2</v>
      </c>
      <c r="V74" s="3518"/>
      <c r="W74" s="3518"/>
      <c r="X74" s="3664"/>
      <c r="Y74" s="3663">
        <f>Y73/S73</f>
        <v>1.1979342804619229</v>
      </c>
      <c r="Z74" s="3665"/>
      <c r="AA74" s="3662">
        <f>AA73/Y73</f>
        <v>0.90988178949393095</v>
      </c>
      <c r="AB74" s="185">
        <f t="shared" si="19"/>
        <v>3.124842115385392</v>
      </c>
      <c r="AC74" s="3327">
        <f t="shared" si="1"/>
        <v>6.903498813364313E-8</v>
      </c>
      <c r="AD74" s="3327">
        <f t="shared" si="20"/>
        <v>7.5000926583848793E-8</v>
      </c>
      <c r="AE74" s="3327"/>
      <c r="AF74" s="3662">
        <f>AF73/AA73</f>
        <v>0.91989721627651144</v>
      </c>
      <c r="AG74" s="3662"/>
      <c r="AH74" s="3662">
        <f>AH73/AF73</f>
        <v>1.1353053783681726</v>
      </c>
      <c r="AI74" s="3662">
        <f>AI73/AH73</f>
        <v>1.0485850976613476</v>
      </c>
      <c r="AJ74" s="39">
        <f t="shared" si="33"/>
        <v>4.2917065459853738</v>
      </c>
      <c r="AK74" s="3662">
        <f>(Y74*AA74*AF74*AH74*AI74)^(1/5)-1</f>
        <v>3.603572087761675E-2</v>
      </c>
      <c r="AL74" s="3530">
        <f t="shared" si="14"/>
        <v>4.8862976705900157E-8</v>
      </c>
      <c r="AM74" s="3530">
        <f t="shared" si="8"/>
        <v>5.5961319905415904E-8</v>
      </c>
      <c r="AN74" s="3538" t="e">
        <f t="shared" si="25"/>
        <v>#DIV/0!</v>
      </c>
      <c r="AO74" s="3668"/>
      <c r="AP74" s="3668"/>
      <c r="AQ74" s="3668"/>
      <c r="AR74" s="3668"/>
      <c r="AS74" s="3668"/>
      <c r="AT74" s="3669"/>
      <c r="AU74" s="3670"/>
      <c r="AV74" s="3623">
        <f t="shared" si="9"/>
        <v>0</v>
      </c>
      <c r="AW74" s="3623">
        <f t="shared" si="10"/>
        <v>0</v>
      </c>
      <c r="AX74" s="3668"/>
      <c r="AY74" s="3344">
        <f t="shared" si="32"/>
        <v>9.4714578417608845E-8</v>
      </c>
      <c r="AZ74" s="3635">
        <f t="shared" si="17"/>
        <v>6.1533599357680125E-8</v>
      </c>
    </row>
    <row r="75" spans="1:52" s="3671" customFormat="1" ht="16.2">
      <c r="A75" s="3672" t="s">
        <v>29</v>
      </c>
      <c r="B75" s="3673" t="s">
        <v>69</v>
      </c>
      <c r="C75" s="3662"/>
      <c r="D75" s="3662">
        <f t="shared" ref="D75:I75" si="61">D73/D61</f>
        <v>0.59466348798874291</v>
      </c>
      <c r="E75" s="3662">
        <f t="shared" si="61"/>
        <v>0.56860320634208583</v>
      </c>
      <c r="F75" s="3662">
        <f t="shared" si="61"/>
        <v>0.57329057313770282</v>
      </c>
      <c r="G75" s="3662">
        <f t="shared" si="61"/>
        <v>0.56072118069613741</v>
      </c>
      <c r="H75" s="3662">
        <f t="shared" si="61"/>
        <v>0.56862050340261994</v>
      </c>
      <c r="I75" s="3662">
        <f t="shared" si="61"/>
        <v>0.5716329528918247</v>
      </c>
      <c r="J75" s="3662"/>
      <c r="K75" s="3662"/>
      <c r="L75" s="3662">
        <f>L73/L61</f>
        <v>0.5730337520199732</v>
      </c>
      <c r="M75" s="3662">
        <f>M73/M61</f>
        <v>0.57321329602006732</v>
      </c>
      <c r="N75" s="3662"/>
      <c r="O75" s="3662">
        <f>O73/O61</f>
        <v>0.57066563166384243</v>
      </c>
      <c r="P75" s="3662"/>
      <c r="Q75" s="3663">
        <f>Q73/Q61</f>
        <v>0.58483957624078986</v>
      </c>
      <c r="R75" s="3663"/>
      <c r="S75" s="3663">
        <f>S73/S61</f>
        <v>0.57796293676878208</v>
      </c>
      <c r="T75" s="3518">
        <f>(L75*M75*O75*Q75*S75)^(1/5)</f>
        <v>0.57592109180131679</v>
      </c>
      <c r="U75" s="3518"/>
      <c r="V75" s="3518"/>
      <c r="W75" s="3518"/>
      <c r="X75" s="3664"/>
      <c r="Y75" s="3663">
        <f t="shared" ref="Y75:AH75" si="62">Y73/Y61</f>
        <v>0.62220574039245713</v>
      </c>
      <c r="Z75" s="3665"/>
      <c r="AA75" s="3662">
        <f t="shared" si="62"/>
        <v>0.59925784786849523</v>
      </c>
      <c r="AB75" s="185">
        <f t="shared" si="19"/>
        <v>1.7994265250297343</v>
      </c>
      <c r="AC75" s="3327">
        <f t="shared" si="1"/>
        <v>3.9753492885662067E-8</v>
      </c>
      <c r="AD75" s="3327">
        <f t="shared" si="20"/>
        <v>4.3188952181713854E-8</v>
      </c>
      <c r="AE75" s="3327"/>
      <c r="AF75" s="3662">
        <f t="shared" si="62"/>
        <v>0.53522795122657851</v>
      </c>
      <c r="AG75" s="3662"/>
      <c r="AH75" s="3662">
        <f t="shared" si="62"/>
        <v>0.53294525325527542</v>
      </c>
      <c r="AI75" s="3662">
        <f>AI73/AI61</f>
        <v>0.53834341974528044</v>
      </c>
      <c r="AJ75" s="39">
        <f t="shared" si="33"/>
        <v>2.2927522612615081</v>
      </c>
      <c r="AK75" s="3662"/>
      <c r="AL75" s="3530">
        <f t="shared" si="14"/>
        <v>2.6103998289262992E-8</v>
      </c>
      <c r="AM75" s="3530">
        <f t="shared" si="8"/>
        <v>2.9896136043211712E-8</v>
      </c>
      <c r="AN75" s="3538">
        <f t="shared" si="25"/>
        <v>2.9810180490011806</v>
      </c>
      <c r="AO75" s="3668"/>
      <c r="AP75" s="3668"/>
      <c r="AQ75" s="3668"/>
      <c r="AR75" s="3668"/>
      <c r="AS75" s="3668"/>
      <c r="AT75" s="3669"/>
      <c r="AU75" s="3670"/>
      <c r="AV75" s="3623">
        <f t="shared" si="9"/>
        <v>0</v>
      </c>
      <c r="AW75" s="3623">
        <f t="shared" si="10"/>
        <v>0</v>
      </c>
      <c r="AX75" s="3668"/>
      <c r="AY75" s="3344">
        <f t="shared" si="32"/>
        <v>4.8626449258899871E-8</v>
      </c>
      <c r="AZ75" s="3635">
        <f t="shared" si="17"/>
        <v>3.1591339969765613E-8</v>
      </c>
    </row>
    <row r="76" spans="1:52" s="3671" customFormat="1" ht="16.2">
      <c r="A76" s="3672"/>
      <c r="B76" s="3673" t="s">
        <v>186</v>
      </c>
      <c r="C76" s="3675"/>
      <c r="D76" s="3675"/>
      <c r="E76" s="3675"/>
      <c r="F76" s="3675"/>
      <c r="G76" s="3675"/>
      <c r="H76" s="3675"/>
      <c r="I76" s="3675"/>
      <c r="J76" s="3662"/>
      <c r="K76" s="3662"/>
      <c r="L76" s="3675"/>
      <c r="M76" s="3675"/>
      <c r="N76" s="3675"/>
      <c r="O76" s="3675"/>
      <c r="P76" s="3675"/>
      <c r="Q76" s="3676"/>
      <c r="R76" s="3676"/>
      <c r="S76" s="3676"/>
      <c r="T76" s="3515"/>
      <c r="U76" s="3518"/>
      <c r="V76" s="3518"/>
      <c r="W76" s="3518"/>
      <c r="X76" s="3664"/>
      <c r="Y76" s="3676"/>
      <c r="Z76" s="3665"/>
      <c r="AA76" s="3675"/>
      <c r="AB76" s="185">
        <f t="shared" si="19"/>
        <v>0</v>
      </c>
      <c r="AC76" s="3327">
        <f t="shared" si="1"/>
        <v>0</v>
      </c>
      <c r="AD76" s="3327">
        <f t="shared" si="20"/>
        <v>0</v>
      </c>
      <c r="AE76" s="3327"/>
      <c r="AF76" s="3675"/>
      <c r="AG76" s="3675"/>
      <c r="AH76" s="3675"/>
      <c r="AI76" s="3675"/>
      <c r="AJ76" s="39">
        <f t="shared" si="33"/>
        <v>0</v>
      </c>
      <c r="AK76" s="3662"/>
      <c r="AL76" s="3530">
        <f t="shared" si="14"/>
        <v>0</v>
      </c>
      <c r="AM76" s="3530">
        <f t="shared" si="8"/>
        <v>0</v>
      </c>
      <c r="AN76" s="3538" t="e">
        <f t="shared" si="25"/>
        <v>#DIV/0!</v>
      </c>
      <c r="AO76" s="3668"/>
      <c r="AP76" s="3668"/>
      <c r="AQ76" s="3668"/>
      <c r="AR76" s="3668"/>
      <c r="AS76" s="3668"/>
      <c r="AT76" s="3669"/>
      <c r="AU76" s="3670"/>
      <c r="AV76" s="3623">
        <f t="shared" si="9"/>
        <v>0</v>
      </c>
      <c r="AW76" s="3623">
        <f t="shared" si="10"/>
        <v>0</v>
      </c>
      <c r="AX76" s="3668"/>
      <c r="AY76" s="3344">
        <f t="shared" si="32"/>
        <v>0</v>
      </c>
      <c r="AZ76" s="3635">
        <f t="shared" si="17"/>
        <v>0</v>
      </c>
    </row>
    <row r="77" spans="1:52" s="3671" customFormat="1" ht="16.2">
      <c r="A77" s="3672" t="s">
        <v>1797</v>
      </c>
      <c r="B77" s="3673" t="s">
        <v>1729</v>
      </c>
      <c r="C77" s="39">
        <f t="shared" ref="C77:H77" si="63">C22</f>
        <v>154262.51921500001</v>
      </c>
      <c r="D77" s="39">
        <f t="shared" si="63"/>
        <v>490696.08976399997</v>
      </c>
      <c r="E77" s="39">
        <f t="shared" si="63"/>
        <v>548010.31741000002</v>
      </c>
      <c r="F77" s="39">
        <f t="shared" si="63"/>
        <v>764485.16498500004</v>
      </c>
      <c r="G77" s="39">
        <f t="shared" si="63"/>
        <v>783114.82380200003</v>
      </c>
      <c r="H77" s="39">
        <f t="shared" si="63"/>
        <v>796081.78902999999</v>
      </c>
      <c r="I77" s="39">
        <f>SUM(D77:H77)</f>
        <v>3382388.1849910002</v>
      </c>
      <c r="J77" s="3529"/>
      <c r="K77" s="3529">
        <f>I77/$I$61</f>
        <v>0.13342194931983412</v>
      </c>
      <c r="L77" s="39">
        <f>L22</f>
        <v>765575.05895500001</v>
      </c>
      <c r="M77" s="39">
        <f>M22</f>
        <v>975931.92331099999</v>
      </c>
      <c r="N77" s="39"/>
      <c r="O77" s="39">
        <f>O22</f>
        <v>1107514.761126</v>
      </c>
      <c r="P77" s="39"/>
      <c r="Q77" s="147">
        <f>Q22</f>
        <v>1591367</v>
      </c>
      <c r="R77" s="147"/>
      <c r="S77" s="147">
        <f>S22</f>
        <v>1377909</v>
      </c>
      <c r="T77" s="185">
        <f>SUM(L77:S77)</f>
        <v>5818297.743392</v>
      </c>
      <c r="U77" s="3329"/>
      <c r="V77" s="3329"/>
      <c r="W77" s="3329"/>
      <c r="X77" s="3345"/>
      <c r="Y77" s="147">
        <f>Y22</f>
        <v>1359809</v>
      </c>
      <c r="Z77" s="39"/>
      <c r="AA77" s="39">
        <f>AA22</f>
        <v>1631275.6465659998</v>
      </c>
      <c r="AB77" s="185">
        <f t="shared" si="19"/>
        <v>4368993.6465659998</v>
      </c>
      <c r="AC77" s="3327">
        <f t="shared" si="1"/>
        <v>9.652117240152068E-2</v>
      </c>
      <c r="AD77" s="3327">
        <f t="shared" si="20"/>
        <v>0.10486244092719073</v>
      </c>
      <c r="AE77" s="3327"/>
      <c r="AF77" s="39">
        <f>AF22</f>
        <v>1793642</v>
      </c>
      <c r="AG77" s="39"/>
      <c r="AH77" s="39">
        <f>AH22</f>
        <v>2068978.6115313373</v>
      </c>
      <c r="AI77" s="39">
        <f>AI22</f>
        <v>2136000</v>
      </c>
      <c r="AJ77" s="39">
        <f t="shared" si="33"/>
        <v>7196063.2580973376</v>
      </c>
      <c r="AK77" s="3529"/>
      <c r="AL77" s="3530">
        <f t="shared" si="14"/>
        <v>8.1930362103511942E-2</v>
      </c>
      <c r="AM77" s="3530">
        <f t="shared" si="8"/>
        <v>9.3832416949079775E-2</v>
      </c>
      <c r="AN77" s="3538">
        <f t="shared" si="25"/>
        <v>0.23679872970923554</v>
      </c>
      <c r="AO77" s="3668"/>
      <c r="AP77" s="3668"/>
      <c r="AQ77" s="3668"/>
      <c r="AR77" s="3668"/>
      <c r="AS77" s="3668"/>
      <c r="AT77" s="3669"/>
      <c r="AU77" s="3670"/>
      <c r="AV77" s="3623">
        <f t="shared" si="9"/>
        <v>0</v>
      </c>
      <c r="AW77" s="3623">
        <f t="shared" si="10"/>
        <v>0</v>
      </c>
      <c r="AX77" s="3668"/>
      <c r="AY77" s="3344">
        <f t="shared" si="32"/>
        <v>0.19293650076777166</v>
      </c>
      <c r="AZ77" s="3635">
        <f t="shared" si="17"/>
        <v>0.12534582888994425</v>
      </c>
    </row>
    <row r="78" spans="1:52" s="3671" customFormat="1" ht="16.2">
      <c r="A78" s="3672"/>
      <c r="B78" s="3661" t="s">
        <v>1993</v>
      </c>
      <c r="C78" s="3662"/>
      <c r="D78" s="3662">
        <f>D77/C77</f>
        <v>3.1809158327053058</v>
      </c>
      <c r="E78" s="3662">
        <f>E77/D77</f>
        <v>1.1168018837760971</v>
      </c>
      <c r="F78" s="3662">
        <f>F77/E77</f>
        <v>1.395019656925623</v>
      </c>
      <c r="G78" s="3662">
        <f>G77/F77</f>
        <v>1.0243688951339762</v>
      </c>
      <c r="H78" s="3662">
        <f>H77/G77</f>
        <v>1.0165581915114896</v>
      </c>
      <c r="I78" s="3662"/>
      <c r="J78" s="3662">
        <f>(D78*E78*F78*G78*H78)^(1/5)-1</f>
        <v>0.38847944214347718</v>
      </c>
      <c r="K78" s="3662"/>
      <c r="L78" s="3662">
        <f>L77/H77</f>
        <v>0.96167889971183562</v>
      </c>
      <c r="M78" s="3662">
        <f>M77/L77</f>
        <v>1.274769745821049</v>
      </c>
      <c r="N78" s="3662"/>
      <c r="O78" s="3662">
        <f>O77/M77</f>
        <v>1.1348278857080367</v>
      </c>
      <c r="P78" s="3662"/>
      <c r="Q78" s="3663">
        <f>Q77/O77</f>
        <v>1.4368810745078213</v>
      </c>
      <c r="R78" s="3663"/>
      <c r="S78" s="3663">
        <f>S77/Q77</f>
        <v>0.86586500788315957</v>
      </c>
      <c r="T78" s="3518"/>
      <c r="U78" s="3518">
        <f>(L78*M78*O78*Q78*S78)^(1/5)-1</f>
        <v>0.11597012759257885</v>
      </c>
      <c r="V78" s="3518"/>
      <c r="W78" s="3518"/>
      <c r="X78" s="3664"/>
      <c r="Y78" s="3663">
        <f>Y77/S77</f>
        <v>0.98686415430917429</v>
      </c>
      <c r="Z78" s="3665"/>
      <c r="AA78" s="3662">
        <f>AA77/Y77</f>
        <v>1.1996358654531627</v>
      </c>
      <c r="AB78" s="185">
        <f t="shared" si="19"/>
        <v>3.0523650276454966</v>
      </c>
      <c r="AC78" s="3327">
        <f t="shared" si="1"/>
        <v>6.7433801671309622E-8</v>
      </c>
      <c r="AD78" s="3327">
        <f t="shared" si="20"/>
        <v>7.3261367100242476E-8</v>
      </c>
      <c r="AE78" s="3327"/>
      <c r="AF78" s="3662">
        <f>AF77/AA77</f>
        <v>1.0995333644413792</v>
      </c>
      <c r="AG78" s="3662"/>
      <c r="AH78" s="3662">
        <f>AH77/AF77</f>
        <v>1.1535070050385401</v>
      </c>
      <c r="AI78" s="3662">
        <f>AI77/AH77</f>
        <v>1.0323934660779588</v>
      </c>
      <c r="AJ78" s="39">
        <f t="shared" si="33"/>
        <v>4.3724004908788361</v>
      </c>
      <c r="AK78" s="3662">
        <f>(Y78*AA78*AF78*AH78*AI78)^(1/5)-1</f>
        <v>9.1631709074535328E-2</v>
      </c>
      <c r="AL78" s="3530">
        <f t="shared" si="14"/>
        <v>4.978171294925417E-8</v>
      </c>
      <c r="AM78" s="3530">
        <f t="shared" si="8"/>
        <v>5.7013521312065493E-8</v>
      </c>
      <c r="AN78" s="3538" t="e">
        <f t="shared" si="25"/>
        <v>#DIV/0!</v>
      </c>
      <c r="AO78" s="3668"/>
      <c r="AP78" s="3668"/>
      <c r="AQ78" s="3668"/>
      <c r="AR78" s="3668"/>
      <c r="AS78" s="3668"/>
      <c r="AT78" s="3669"/>
      <c r="AU78" s="3670"/>
      <c r="AV78" s="3623">
        <f t="shared" si="9"/>
        <v>0</v>
      </c>
      <c r="AW78" s="3623">
        <f t="shared" si="10"/>
        <v>0</v>
      </c>
      <c r="AX78" s="3668"/>
      <c r="AY78" s="3344">
        <f t="shared" si="32"/>
        <v>9.3252051854209983E-8</v>
      </c>
      <c r="AZ78" s="3635">
        <f t="shared" si="17"/>
        <v>6.0583433869899002E-8</v>
      </c>
    </row>
    <row r="79" spans="1:52" s="3671" customFormat="1" ht="16.2">
      <c r="A79" s="3672"/>
      <c r="B79" s="3673" t="s">
        <v>69</v>
      </c>
      <c r="C79" s="3662"/>
      <c r="D79" s="3662">
        <f>D77/D61</f>
        <v>0.13257909003966123</v>
      </c>
      <c r="E79" s="3662">
        <f>E77/E61</f>
        <v>0.11646620552219264</v>
      </c>
      <c r="F79" s="3662">
        <f>F77/F61</f>
        <v>0.14349562489544354</v>
      </c>
      <c r="G79" s="3662">
        <f>G77/G61</f>
        <v>0.13802292379525019</v>
      </c>
      <c r="H79" s="3662">
        <f>H77/H61</f>
        <v>0.1339483162117413</v>
      </c>
      <c r="I79" s="3662"/>
      <c r="J79" s="3662"/>
      <c r="K79" s="3662"/>
      <c r="L79" s="3662">
        <f>L77/L61</f>
        <v>0.12285935603422224</v>
      </c>
      <c r="M79" s="3662">
        <f>M77/M61</f>
        <v>0.13920921059396923</v>
      </c>
      <c r="N79" s="3662"/>
      <c r="O79" s="3662">
        <f>O77/O61</f>
        <v>0.14686475914844155</v>
      </c>
      <c r="P79" s="3662"/>
      <c r="Q79" s="3663">
        <f>Q77/Q61</f>
        <v>0.18956867051283594</v>
      </c>
      <c r="R79" s="3663"/>
      <c r="S79" s="3663">
        <f>S77/S61</f>
        <v>0.15949530869936529</v>
      </c>
      <c r="T79" s="3518">
        <f>(L79*M79*O79*Q79*S79)^(1/5)</f>
        <v>0.15000359106033118</v>
      </c>
      <c r="U79" s="3518"/>
      <c r="V79" s="3518"/>
      <c r="W79" s="3518"/>
      <c r="X79" s="3664"/>
      <c r="Y79" s="3663">
        <f>Y77/Y61</f>
        <v>0.1414510968160711</v>
      </c>
      <c r="Z79" s="3665"/>
      <c r="AA79" s="3662">
        <f>AA77/AA61</f>
        <v>0.17961826800761385</v>
      </c>
      <c r="AB79" s="185">
        <f t="shared" si="19"/>
        <v>0.48056467352305027</v>
      </c>
      <c r="AC79" s="3327">
        <f t="shared" ref="AC79:AC147" si="64">AB79/$AB$8</f>
        <v>1.0616784883552504E-8</v>
      </c>
      <c r="AD79" s="3327">
        <f t="shared" si="20"/>
        <v>1.1534277402443528E-8</v>
      </c>
      <c r="AE79" s="3327"/>
      <c r="AF79" s="3662">
        <f>AF77/AF61</f>
        <v>0.19175410378490604</v>
      </c>
      <c r="AG79" s="3662"/>
      <c r="AH79" s="3662">
        <f>AH77/AH61</f>
        <v>0.19399744987363257</v>
      </c>
      <c r="AI79" s="3662">
        <f>AI77/AI61</f>
        <v>0.19293650076777166</v>
      </c>
      <c r="AJ79" s="39">
        <f t="shared" si="33"/>
        <v>0.70800331546508921</v>
      </c>
      <c r="AK79" s="3662"/>
      <c r="AL79" s="3530">
        <f t="shared" si="14"/>
        <v>8.0609308070311473E-9</v>
      </c>
      <c r="AM79" s="3530">
        <f t="shared" si="8"/>
        <v>9.2319452894326538E-9</v>
      </c>
      <c r="AN79" s="3538">
        <f t="shared" si="25"/>
        <v>3.7199091065781991</v>
      </c>
      <c r="AO79" s="3668"/>
      <c r="AP79" s="3668"/>
      <c r="AQ79" s="3668"/>
      <c r="AR79" s="3668"/>
      <c r="AS79" s="3668"/>
      <c r="AT79" s="3669"/>
      <c r="AU79" s="3670"/>
      <c r="AV79" s="3623">
        <f t="shared" si="9"/>
        <v>0</v>
      </c>
      <c r="AW79" s="3623">
        <f t="shared" si="10"/>
        <v>0</v>
      </c>
      <c r="AX79" s="3668"/>
      <c r="AY79" s="3344">
        <f t="shared" si="32"/>
        <v>1.7427197251176197E-8</v>
      </c>
      <c r="AZ79" s="3635">
        <f t="shared" si="17"/>
        <v>1.132199700929855E-8</v>
      </c>
    </row>
    <row r="80" spans="1:52" s="3671" customFormat="1" ht="16.2">
      <c r="A80" s="3672" t="s">
        <v>1797</v>
      </c>
      <c r="B80" s="3673" t="s">
        <v>2071</v>
      </c>
      <c r="C80" s="39">
        <f t="shared" ref="C80:H80" si="65">C27</f>
        <v>622912.42801599996</v>
      </c>
      <c r="D80" s="39">
        <f t="shared" si="65"/>
        <v>717228.87336099998</v>
      </c>
      <c r="E80" s="39">
        <f t="shared" si="65"/>
        <v>908800.16295799997</v>
      </c>
      <c r="F80" s="39">
        <f t="shared" si="65"/>
        <v>916290.82646599994</v>
      </c>
      <c r="G80" s="39">
        <f t="shared" si="65"/>
        <v>1102294.9754869998</v>
      </c>
      <c r="H80" s="39">
        <f t="shared" si="65"/>
        <v>1151725.5044160001</v>
      </c>
      <c r="I80" s="39">
        <f>SUM(D80:H80)</f>
        <v>4796340.3426879998</v>
      </c>
      <c r="J80" s="3529"/>
      <c r="K80" s="3529">
        <f>I80/$I$61</f>
        <v>0.18919681690068843</v>
      </c>
      <c r="L80" s="39">
        <f>L27</f>
        <v>1165502.862461</v>
      </c>
      <c r="M80" s="39">
        <f>M27</f>
        <v>1339203.8982509999</v>
      </c>
      <c r="N80" s="39"/>
      <c r="O80" s="39">
        <f>O27</f>
        <v>1385398.590177</v>
      </c>
      <c r="P80" s="39"/>
      <c r="Q80" s="147">
        <f>Q27</f>
        <v>1476156</v>
      </c>
      <c r="R80" s="147"/>
      <c r="S80" s="147">
        <f>S27</f>
        <v>1560684</v>
      </c>
      <c r="T80" s="185">
        <f>SUM(L80:S80)</f>
        <v>6926945.3508889992</v>
      </c>
      <c r="U80" s="3329"/>
      <c r="V80" s="3329"/>
      <c r="W80" s="3329"/>
      <c r="X80" s="3345"/>
      <c r="Y80" s="147">
        <f>Y27</f>
        <v>1704379</v>
      </c>
      <c r="Z80" s="39"/>
      <c r="AA80" s="39">
        <f>AA27</f>
        <v>1595782.6105849999</v>
      </c>
      <c r="AB80" s="185">
        <f t="shared" si="19"/>
        <v>4860845.6105850004</v>
      </c>
      <c r="AC80" s="3327">
        <f t="shared" si="64"/>
        <v>0.10738731963256984</v>
      </c>
      <c r="AD80" s="3327">
        <f t="shared" si="20"/>
        <v>0.11666763033560386</v>
      </c>
      <c r="AE80" s="3327"/>
      <c r="AF80" s="39">
        <f>AF27</f>
        <v>1388540</v>
      </c>
      <c r="AG80" s="39"/>
      <c r="AH80" s="39">
        <f>AH27</f>
        <v>1570458</v>
      </c>
      <c r="AI80" s="39">
        <f>AI27</f>
        <v>1634000</v>
      </c>
      <c r="AJ80" s="39">
        <f t="shared" si="33"/>
        <v>6504619.6105850004</v>
      </c>
      <c r="AK80" s="3529"/>
      <c r="AL80" s="3530">
        <f t="shared" si="14"/>
        <v>7.4057970438372894E-2</v>
      </c>
      <c r="AM80" s="3530">
        <f t="shared" ref="AM80:AM139" si="66">AJ80/$AJ$10</f>
        <v>8.4816399954348046E-2</v>
      </c>
      <c r="AN80" s="3538">
        <f t="shared" si="25"/>
        <v>-6.0968539364872787E-2</v>
      </c>
      <c r="AO80" s="3668"/>
      <c r="AP80" s="3668"/>
      <c r="AQ80" s="3668"/>
      <c r="AR80" s="3668"/>
      <c r="AS80" s="3668"/>
      <c r="AT80" s="3669"/>
      <c r="AU80" s="3670"/>
      <c r="AV80" s="3623">
        <f t="shared" ref="AV80:AV139" si="67">AT80/$AT$8</f>
        <v>0</v>
      </c>
      <c r="AW80" s="3623">
        <f t="shared" ref="AW80:AW139" si="68">AT80/$AT$10</f>
        <v>0</v>
      </c>
      <c r="AX80" s="3668"/>
      <c r="AY80" s="3344">
        <f t="shared" si="32"/>
        <v>0.14759281004425978</v>
      </c>
      <c r="AZ80" s="3635">
        <f t="shared" si="17"/>
        <v>9.5887211800640859E-2</v>
      </c>
    </row>
    <row r="81" spans="1:52" s="3671" customFormat="1" ht="16.2">
      <c r="A81" s="3672"/>
      <c r="B81" s="3661" t="s">
        <v>1993</v>
      </c>
      <c r="C81" s="3662"/>
      <c r="D81" s="3662">
        <f>D80/C80</f>
        <v>1.1514120462251838</v>
      </c>
      <c r="E81" s="3662">
        <f>E80/D80</f>
        <v>1.2670992436476789</v>
      </c>
      <c r="F81" s="3662">
        <f>F80/E80</f>
        <v>1.0082423659384248</v>
      </c>
      <c r="G81" s="3662">
        <f>G80/F80</f>
        <v>1.202996847342007</v>
      </c>
      <c r="H81" s="3662">
        <f>H80/G80</f>
        <v>1.0448432860788117</v>
      </c>
      <c r="I81" s="3662"/>
      <c r="J81" s="3662">
        <f>(D81*E81*F81*G81*H81)^(1/5)-1</f>
        <v>0.13079634918081728</v>
      </c>
      <c r="K81" s="3662"/>
      <c r="L81" s="3662">
        <f>L80/H80</f>
        <v>1.0119623625526866</v>
      </c>
      <c r="M81" s="3662">
        <f>M80/L80</f>
        <v>1.1490352717137253</v>
      </c>
      <c r="N81" s="3662"/>
      <c r="O81" s="3662">
        <f>O80/M80</f>
        <v>1.0344941438613868</v>
      </c>
      <c r="P81" s="3662"/>
      <c r="Q81" s="3663">
        <f>Q80/O80</f>
        <v>1.0655099625959665</v>
      </c>
      <c r="R81" s="3663"/>
      <c r="S81" s="3663">
        <f>S80/Q80</f>
        <v>1.0572622405761993</v>
      </c>
      <c r="T81" s="3518"/>
      <c r="U81" s="3518">
        <f>(L81*M81*O81*Q81*S81)^(1/5)-1</f>
        <v>6.2657223627333947E-2</v>
      </c>
      <c r="V81" s="3518"/>
      <c r="W81" s="3518"/>
      <c r="X81" s="3664"/>
      <c r="Y81" s="3663">
        <f>Y80/S80</f>
        <v>1.0920718095399198</v>
      </c>
      <c r="Z81" s="3665"/>
      <c r="AA81" s="3662">
        <f>AA80/Y80</f>
        <v>0.93628389611993568</v>
      </c>
      <c r="AB81" s="185">
        <f t="shared" si="19"/>
        <v>3.0856179462360549</v>
      </c>
      <c r="AC81" s="3327">
        <f t="shared" si="64"/>
        <v>6.8168435536171321E-8</v>
      </c>
      <c r="AD81" s="3327">
        <f t="shared" si="20"/>
        <v>7.4059487329622959E-8</v>
      </c>
      <c r="AE81" s="3327"/>
      <c r="AF81" s="3662">
        <f>AF80/AA80</f>
        <v>0.87013105092740262</v>
      </c>
      <c r="AG81" s="3662"/>
      <c r="AH81" s="3662">
        <f>AH80/AF80</f>
        <v>1.1310138706843158</v>
      </c>
      <c r="AI81" s="3662">
        <f>AI80/AH80</f>
        <v>1.0404608082482945</v>
      </c>
      <c r="AJ81" s="39">
        <f t="shared" si="33"/>
        <v>4.1998303845924658</v>
      </c>
      <c r="AK81" s="3662">
        <f>(Y81*AA81*AF81*AH81*AI81)^(1/5)-1</f>
        <v>9.223639941212225E-3</v>
      </c>
      <c r="AL81" s="3530">
        <f t="shared" ref="AL81:AL139" si="69">AJ81/$AJ$8</f>
        <v>4.7816925983217664E-8</v>
      </c>
      <c r="AM81" s="3530">
        <f t="shared" si="66"/>
        <v>5.4763308996631914E-8</v>
      </c>
      <c r="AN81" s="3538" t="e">
        <f t="shared" si="25"/>
        <v>#DIV/0!</v>
      </c>
      <c r="AO81" s="3668"/>
      <c r="AP81" s="3668"/>
      <c r="AQ81" s="3668"/>
      <c r="AR81" s="3668"/>
      <c r="AS81" s="3668"/>
      <c r="AT81" s="3669"/>
      <c r="AU81" s="3670"/>
      <c r="AV81" s="3623">
        <f t="shared" si="67"/>
        <v>0</v>
      </c>
      <c r="AW81" s="3623">
        <f t="shared" si="68"/>
        <v>0</v>
      </c>
      <c r="AX81" s="3668"/>
      <c r="AY81" s="3344">
        <f t="shared" si="32"/>
        <v>9.3980743225390154E-8</v>
      </c>
      <c r="AZ81" s="3635">
        <f t="shared" ref="AZ81:AZ139" si="70">AI81/$AI$10</f>
        <v>6.105684571038567E-8</v>
      </c>
    </row>
    <row r="82" spans="1:52" s="3671" customFormat="1" ht="16.2">
      <c r="A82" s="3672"/>
      <c r="B82" s="3673" t="s">
        <v>69</v>
      </c>
      <c r="C82" s="3662"/>
      <c r="D82" s="3662">
        <f>D80/D61</f>
        <v>0.19378501961592168</v>
      </c>
      <c r="E82" s="3662">
        <f>E80/E61</f>
        <v>0.19314327339293477</v>
      </c>
      <c r="F82" s="3662">
        <f>F80/F61</f>
        <v>0.17198989692923725</v>
      </c>
      <c r="G82" s="3662">
        <f>G80/G61</f>
        <v>0.19427799190785897</v>
      </c>
      <c r="H82" s="3662">
        <f>H80/H61</f>
        <v>0.19378874655909004</v>
      </c>
      <c r="I82" s="3662"/>
      <c r="J82" s="3662"/>
      <c r="K82" s="3662"/>
      <c r="L82" s="3662">
        <f>L80/L61</f>
        <v>0.18703970232972014</v>
      </c>
      <c r="M82" s="3662">
        <f>M80/M61</f>
        <v>0.19102717417767931</v>
      </c>
      <c r="N82" s="3662"/>
      <c r="O82" s="3662">
        <f>O80/O61</f>
        <v>0.18371423787081029</v>
      </c>
      <c r="P82" s="3662"/>
      <c r="Q82" s="3663">
        <f>Q80/Q61</f>
        <v>0.17584437178196222</v>
      </c>
      <c r="R82" s="3663"/>
      <c r="S82" s="3663">
        <f>S80/S61</f>
        <v>0.1806518256010812</v>
      </c>
      <c r="T82" s="3518">
        <f>(L82*M82*O82*Q82*S82)^(1/5)</f>
        <v>0.18358133314856298</v>
      </c>
      <c r="U82" s="3518"/>
      <c r="V82" s="3518"/>
      <c r="W82" s="3518"/>
      <c r="X82" s="3664"/>
      <c r="Y82" s="3663">
        <f>Y80/Y61</f>
        <v>0.17729422215934623</v>
      </c>
      <c r="Z82" s="3665"/>
      <c r="AA82" s="3662">
        <f>AA80/AA61</f>
        <v>0.17571016230968378</v>
      </c>
      <c r="AB82" s="185">
        <f t="shared" ref="AB82:AB139" si="71">AA82+Y82+S82</f>
        <v>0.53365621007011121</v>
      </c>
      <c r="AC82" s="3327">
        <f t="shared" si="64"/>
        <v>1.1789699693384809E-8</v>
      </c>
      <c r="AD82" s="3327">
        <f t="shared" ref="AD82:AD138" si="72">AB82/$AB$10</f>
        <v>1.280855440197083E-8</v>
      </c>
      <c r="AE82" s="3327"/>
      <c r="AF82" s="3662">
        <f>AF80/AF61</f>
        <v>0.14844558906933122</v>
      </c>
      <c r="AG82" s="3662"/>
      <c r="AH82" s="3662">
        <f>AH80/AH61</f>
        <v>0.14725374415937056</v>
      </c>
      <c r="AI82" s="3662">
        <f>AI80/AI61</f>
        <v>0.14759281004425978</v>
      </c>
      <c r="AJ82" s="39">
        <f t="shared" si="33"/>
        <v>0.6478509386726603</v>
      </c>
      <c r="AK82" s="3662"/>
      <c r="AL82" s="3530">
        <f t="shared" si="69"/>
        <v>7.3760693994490174E-9</v>
      </c>
      <c r="AM82" s="3530">
        <f t="shared" si="66"/>
        <v>8.4475938048463852E-9</v>
      </c>
      <c r="AN82" s="3538">
        <f t="shared" si="25"/>
        <v>2.5289586776689745</v>
      </c>
      <c r="AO82" s="3668"/>
      <c r="AP82" s="3668"/>
      <c r="AQ82" s="3668"/>
      <c r="AR82" s="3668"/>
      <c r="AS82" s="3668"/>
      <c r="AT82" s="3669"/>
      <c r="AU82" s="3670"/>
      <c r="AV82" s="3623">
        <f t="shared" si="67"/>
        <v>0</v>
      </c>
      <c r="AW82" s="3623">
        <f t="shared" si="68"/>
        <v>0</v>
      </c>
      <c r="AX82" s="3668"/>
      <c r="AY82" s="3344">
        <f t="shared" si="32"/>
        <v>1.333147954514134E-8</v>
      </c>
      <c r="AZ82" s="3635">
        <f t="shared" si="70"/>
        <v>8.6611156896974864E-9</v>
      </c>
    </row>
    <row r="83" spans="1:52" s="3671" customFormat="1" ht="16.2">
      <c r="A83" s="3672" t="s">
        <v>1797</v>
      </c>
      <c r="B83" s="3673" t="s">
        <v>2067</v>
      </c>
      <c r="C83" s="39">
        <f t="shared" ref="C83:H83" si="73">C21</f>
        <v>203470.804259</v>
      </c>
      <c r="D83" s="39">
        <f t="shared" si="73"/>
        <v>437527.82894199999</v>
      </c>
      <c r="E83" s="39">
        <f t="shared" si="73"/>
        <v>556462.56830799999</v>
      </c>
      <c r="F83" s="39">
        <f t="shared" si="73"/>
        <v>576982.66837099998</v>
      </c>
      <c r="G83" s="39">
        <f t="shared" si="73"/>
        <v>616646.97566200001</v>
      </c>
      <c r="H83" s="39">
        <f t="shared" si="73"/>
        <v>662261.89618699998</v>
      </c>
      <c r="I83" s="39">
        <f>SUM(D83:H83)</f>
        <v>2849881.9374699998</v>
      </c>
      <c r="J83" s="3529"/>
      <c r="K83" s="3529">
        <f>I83/$I$61</f>
        <v>0.11241666616383497</v>
      </c>
      <c r="L83" s="39">
        <f>L21</f>
        <v>698207.90548199997</v>
      </c>
      <c r="M83" s="39">
        <f>M21</f>
        <v>712910.13209700002</v>
      </c>
      <c r="N83" s="39"/>
      <c r="O83" s="39">
        <f>O21</f>
        <v>722455.72826600005</v>
      </c>
      <c r="P83" s="39"/>
      <c r="Q83" s="147">
        <f>Q21</f>
        <v>780602</v>
      </c>
      <c r="R83" s="147"/>
      <c r="S83" s="147">
        <f>S21</f>
        <v>763943</v>
      </c>
      <c r="T83" s="185">
        <f>SUM(L83:S83)</f>
        <v>3678118.7658449998</v>
      </c>
      <c r="U83" s="3329"/>
      <c r="V83" s="3329">
        <f>T83/$T$61</f>
        <v>9.7261602737282668E-2</v>
      </c>
      <c r="W83" s="3329"/>
      <c r="X83" s="3345"/>
      <c r="Y83" s="147">
        <f>Y21</f>
        <v>1231791</v>
      </c>
      <c r="Z83" s="39"/>
      <c r="AA83" s="39">
        <f>AA21</f>
        <v>858963.24846000003</v>
      </c>
      <c r="AB83" s="185">
        <f t="shared" si="71"/>
        <v>2854697.2484599999</v>
      </c>
      <c r="AC83" s="3327">
        <f t="shared" si="64"/>
        <v>6.3066863347198049E-2</v>
      </c>
      <c r="AD83" s="3327">
        <f t="shared" si="72"/>
        <v>6.8517042092047481E-2</v>
      </c>
      <c r="AE83" s="3327"/>
      <c r="AF83" s="39">
        <f>AF21</f>
        <v>750000</v>
      </c>
      <c r="AG83" s="39"/>
      <c r="AH83" s="39">
        <f>AH21</f>
        <v>828538</v>
      </c>
      <c r="AI83" s="39">
        <f>AI21</f>
        <v>931000</v>
      </c>
      <c r="AJ83" s="39">
        <f t="shared" si="33"/>
        <v>3850292.2484599999</v>
      </c>
      <c r="AK83" s="3529"/>
      <c r="AL83" s="3530">
        <f t="shared" si="69"/>
        <v>4.3837279746770944E-2</v>
      </c>
      <c r="AM83" s="3530">
        <f t="shared" si="66"/>
        <v>5.0205538038701557E-2</v>
      </c>
      <c r="AN83" s="3538">
        <f t="shared" si="25"/>
        <v>4.6810202055953765E-2</v>
      </c>
      <c r="AO83" s="3668"/>
      <c r="AP83" s="3668"/>
      <c r="AQ83" s="3668"/>
      <c r="AR83" s="3668"/>
      <c r="AS83" s="3668"/>
      <c r="AT83" s="3669"/>
      <c r="AU83" s="3670"/>
      <c r="AV83" s="3623">
        <f t="shared" si="67"/>
        <v>0</v>
      </c>
      <c r="AW83" s="3623">
        <f t="shared" si="68"/>
        <v>0</v>
      </c>
      <c r="AX83" s="3668"/>
      <c r="AY83" s="3344">
        <f t="shared" si="32"/>
        <v>8.4093577815915449E-2</v>
      </c>
      <c r="AZ83" s="3635">
        <f t="shared" si="70"/>
        <v>5.4633411374783745E-2</v>
      </c>
    </row>
    <row r="84" spans="1:52" s="3671" customFormat="1" ht="16.2">
      <c r="A84" s="3672"/>
      <c r="B84" s="3661" t="s">
        <v>1993</v>
      </c>
      <c r="C84" s="3662"/>
      <c r="D84" s="3662">
        <f>D83/C83</f>
        <v>2.1503224039212352</v>
      </c>
      <c r="E84" s="3662">
        <f>E83/D83</f>
        <v>1.2718335417740168</v>
      </c>
      <c r="F84" s="3662">
        <f>F83/E83</f>
        <v>1.0368759755492525</v>
      </c>
      <c r="G84" s="3662">
        <f>G83/F83</f>
        <v>1.0687443652388808</v>
      </c>
      <c r="H84" s="3662">
        <f>H83/G83</f>
        <v>1.0739725034344492</v>
      </c>
      <c r="I84" s="3662"/>
      <c r="J84" s="3662">
        <f>(D84*E84*F84*G84*H84)^(1/5)-1</f>
        <v>0.26620940006647875</v>
      </c>
      <c r="K84" s="3662"/>
      <c r="L84" s="3662">
        <f>L83/H83</f>
        <v>1.0542776347272289</v>
      </c>
      <c r="M84" s="3662">
        <f>M83/L83</f>
        <v>1.0210570898718923</v>
      </c>
      <c r="N84" s="3662"/>
      <c r="O84" s="3662">
        <f>O83/M83</f>
        <v>1.0133896205695969</v>
      </c>
      <c r="P84" s="3662"/>
      <c r="Q84" s="3663">
        <f>Q83/O83</f>
        <v>1.080484200566254</v>
      </c>
      <c r="R84" s="3663"/>
      <c r="S84" s="3663">
        <f>S83/Q83</f>
        <v>0.97865877873743601</v>
      </c>
      <c r="T84" s="3518"/>
      <c r="U84" s="3518">
        <f>(L84*M84*O84*Q84*S84)^(1/5)-1</f>
        <v>2.8978350791280194E-2</v>
      </c>
      <c r="V84" s="3518"/>
      <c r="W84" s="3518"/>
      <c r="X84" s="3664"/>
      <c r="Y84" s="3663">
        <f>Y83/S83</f>
        <v>1.6124121825843027</v>
      </c>
      <c r="Z84" s="3665"/>
      <c r="AA84" s="3662">
        <f>AA83/Y83</f>
        <v>0.69732872578221472</v>
      </c>
      <c r="AB84" s="185">
        <f t="shared" si="71"/>
        <v>3.2883996871039538</v>
      </c>
      <c r="AC84" s="3327">
        <f t="shared" si="64"/>
        <v>7.2648353099241027E-8</v>
      </c>
      <c r="AD84" s="3327">
        <f t="shared" si="72"/>
        <v>7.8926555135863982E-8</v>
      </c>
      <c r="AE84" s="3327"/>
      <c r="AF84" s="3662">
        <f>AF83/AA83</f>
        <v>0.87314562217259495</v>
      </c>
      <c r="AG84" s="3662"/>
      <c r="AH84" s="3662">
        <f>AH83/AF83</f>
        <v>1.1047173333333333</v>
      </c>
      <c r="AI84" s="3662">
        <f>AI83/AH83</f>
        <v>1.1236660237671658</v>
      </c>
      <c r="AJ84" s="39">
        <f t="shared" si="33"/>
        <v>4.5381242654670171</v>
      </c>
      <c r="AK84" s="3662">
        <f>(Y84*AA84*AF84*AH84*AI84)^(1/5)-1</f>
        <v>4.0345864248975127E-2</v>
      </c>
      <c r="AL84" s="3530">
        <f t="shared" si="69"/>
        <v>5.1668551401638827E-8</v>
      </c>
      <c r="AM84" s="3530">
        <f t="shared" si="66"/>
        <v>5.9174461503639771E-8</v>
      </c>
      <c r="AN84" s="3538" t="e">
        <f t="shared" si="25"/>
        <v>#DIV/0!</v>
      </c>
      <c r="AO84" s="3668"/>
      <c r="AP84" s="3668"/>
      <c r="AQ84" s="3668"/>
      <c r="AR84" s="3668"/>
      <c r="AS84" s="3668"/>
      <c r="AT84" s="3669"/>
      <c r="AU84" s="3670"/>
      <c r="AV84" s="3623">
        <f t="shared" si="67"/>
        <v>0</v>
      </c>
      <c r="AW84" s="3623">
        <f t="shared" si="68"/>
        <v>0</v>
      </c>
      <c r="AX84" s="3668"/>
      <c r="AY84" s="3344">
        <f t="shared" si="32"/>
        <v>1.0149634394067074E-7</v>
      </c>
      <c r="AZ84" s="3635">
        <f t="shared" si="70"/>
        <v>6.5939536116368527E-8</v>
      </c>
    </row>
    <row r="85" spans="1:52" s="3671" customFormat="1" ht="16.2">
      <c r="A85" s="3672"/>
      <c r="B85" s="3673" t="s">
        <v>69</v>
      </c>
      <c r="C85" s="3662"/>
      <c r="D85" s="3662">
        <f>D83/D61</f>
        <v>0.11821378372111621</v>
      </c>
      <c r="E85" s="3662">
        <f>E83/E61</f>
        <v>0.11826252496899443</v>
      </c>
      <c r="F85" s="3662">
        <f>F83/F61</f>
        <v>0.10830097475254687</v>
      </c>
      <c r="G85" s="3662">
        <f>G83/G61</f>
        <v>0.10868319171530201</v>
      </c>
      <c r="H85" s="3662">
        <f>H83/H61</f>
        <v>0.1114318492243524</v>
      </c>
      <c r="I85" s="3662"/>
      <c r="J85" s="3662"/>
      <c r="K85" s="3662"/>
      <c r="L85" s="3662">
        <f>L83/L61</f>
        <v>0.11204828663385674</v>
      </c>
      <c r="M85" s="3662">
        <f>M83/M61</f>
        <v>0.10169116753243017</v>
      </c>
      <c r="N85" s="3662"/>
      <c r="O85" s="3662">
        <f>O83/O61</f>
        <v>9.5803045026076047E-2</v>
      </c>
      <c r="P85" s="3662"/>
      <c r="Q85" s="3663">
        <f>Q83/Q61</f>
        <v>9.2987779273832352E-2</v>
      </c>
      <c r="R85" s="3663"/>
      <c r="S85" s="3663">
        <f>S83/S61</f>
        <v>8.8427700678142901E-2</v>
      </c>
      <c r="T85" s="3518">
        <f>(L85*M85*O85*Q85*S85)^(1/5)</f>
        <v>9.7862520044608575E-2</v>
      </c>
      <c r="U85" s="3518"/>
      <c r="V85" s="3518"/>
      <c r="W85" s="3518"/>
      <c r="X85" s="3664"/>
      <c r="Y85" s="3663">
        <f>Y83/Y61</f>
        <v>0.12813431003778106</v>
      </c>
      <c r="Z85" s="3665"/>
      <c r="AA85" s="3662">
        <f>AA83/AA61</f>
        <v>9.4579656905542264E-2</v>
      </c>
      <c r="AB85" s="185">
        <f t="shared" si="71"/>
        <v>0.31114166762146622</v>
      </c>
      <c r="AC85" s="3327">
        <f t="shared" si="64"/>
        <v>6.8738389137720427E-9</v>
      </c>
      <c r="AD85" s="3327">
        <f t="shared" si="72"/>
        <v>7.4678695782925383E-9</v>
      </c>
      <c r="AE85" s="3327"/>
      <c r="AF85" s="3662">
        <f>AF83/AF61</f>
        <v>8.0180759504226332E-2</v>
      </c>
      <c r="AG85" s="3662"/>
      <c r="AH85" s="3662">
        <f>AH83/AH61</f>
        <v>7.7687733564550318E-2</v>
      </c>
      <c r="AI85" s="3662">
        <f>AI83/AI61</f>
        <v>8.4093577815915449E-2</v>
      </c>
      <c r="AJ85" s="39">
        <f t="shared" si="33"/>
        <v>0.38449527832378905</v>
      </c>
      <c r="AK85" s="3662"/>
      <c r="AL85" s="3530">
        <f t="shared" si="69"/>
        <v>4.377648757424602E-9</v>
      </c>
      <c r="AM85" s="3530">
        <f t="shared" si="66"/>
        <v>5.0135914564166045E-9</v>
      </c>
      <c r="AN85" s="3538">
        <f t="shared" ref="AN85:AN139" si="74">+AJ85/T85-1</f>
        <v>2.9289329372319961</v>
      </c>
      <c r="AO85" s="3668"/>
      <c r="AP85" s="3668"/>
      <c r="AQ85" s="3668"/>
      <c r="AR85" s="3668"/>
      <c r="AS85" s="3668"/>
      <c r="AT85" s="3669"/>
      <c r="AU85" s="3670"/>
      <c r="AV85" s="3623">
        <f t="shared" si="67"/>
        <v>0</v>
      </c>
      <c r="AW85" s="3623">
        <f t="shared" si="68"/>
        <v>0</v>
      </c>
      <c r="AX85" s="3668"/>
      <c r="AY85" s="3344">
        <f t="shared" si="32"/>
        <v>7.5958429966502976E-9</v>
      </c>
      <c r="AZ85" s="3635">
        <f t="shared" si="70"/>
        <v>4.9348217301764738E-9</v>
      </c>
    </row>
    <row r="86" spans="1:52" s="3671" customFormat="1" ht="16.2">
      <c r="A86" s="3672" t="s">
        <v>1797</v>
      </c>
      <c r="B86" s="3673" t="s">
        <v>2095</v>
      </c>
      <c r="C86" s="39">
        <f t="shared" ref="C86:H86" si="75">C23</f>
        <v>43533.981120999997</v>
      </c>
      <c r="D86" s="39">
        <f t="shared" si="75"/>
        <v>39757.294290999998</v>
      </c>
      <c r="E86" s="39">
        <f t="shared" si="75"/>
        <v>52360.173611999999</v>
      </c>
      <c r="F86" s="39">
        <f t="shared" si="75"/>
        <v>52303.291445000003</v>
      </c>
      <c r="G86" s="39">
        <f t="shared" si="75"/>
        <v>63059.284599999999</v>
      </c>
      <c r="H86" s="39">
        <f t="shared" si="75"/>
        <v>67830.687684999997</v>
      </c>
      <c r="I86" s="39">
        <f>SUM(D86:H86)</f>
        <v>275310.73163300002</v>
      </c>
      <c r="J86" s="3529"/>
      <c r="K86" s="3529">
        <f>I86/$I$61</f>
        <v>1.0859928687706882E-2</v>
      </c>
      <c r="L86" s="39">
        <f>L23</f>
        <v>71963.686795999995</v>
      </c>
      <c r="M86" s="39">
        <f>M23</f>
        <v>82277.291335000002</v>
      </c>
      <c r="N86" s="39"/>
      <c r="O86" s="39">
        <f>O23</f>
        <v>83162.060146000003</v>
      </c>
      <c r="P86" s="39"/>
      <c r="Q86" s="147">
        <f>Q23</f>
        <v>83133</v>
      </c>
      <c r="R86" s="147"/>
      <c r="S86" s="147">
        <f>S23</f>
        <v>92821</v>
      </c>
      <c r="T86" s="185">
        <f>SUM(L86:S86)</f>
        <v>413357.03827700001</v>
      </c>
      <c r="U86" s="3329"/>
      <c r="V86" s="3329">
        <f>T86/$T$61</f>
        <v>1.0930524707056606E-2</v>
      </c>
      <c r="W86" s="3329"/>
      <c r="X86" s="3345"/>
      <c r="Y86" s="147">
        <f>Y23</f>
        <v>86194</v>
      </c>
      <c r="Z86" s="39"/>
      <c r="AA86" s="39">
        <f>AA23</f>
        <v>98046.919022000002</v>
      </c>
      <c r="AB86" s="185">
        <f t="shared" si="71"/>
        <v>277061.91902199999</v>
      </c>
      <c r="AC86" s="3327">
        <f t="shared" si="64"/>
        <v>6.1209384620730511E-3</v>
      </c>
      <c r="AD86" s="3327">
        <f t="shared" si="72"/>
        <v>6.6499041808985799E-3</v>
      </c>
      <c r="AE86" s="3327"/>
      <c r="AF86" s="39">
        <f>AF23</f>
        <v>78978</v>
      </c>
      <c r="AG86" s="39"/>
      <c r="AH86" s="39">
        <f>AH23</f>
        <v>91888</v>
      </c>
      <c r="AI86" s="39">
        <f>AI23</f>
        <v>98000</v>
      </c>
      <c r="AJ86" s="39">
        <f t="shared" si="33"/>
        <v>374128.91902199999</v>
      </c>
      <c r="AK86" s="3529"/>
      <c r="AL86" s="3530">
        <f t="shared" si="69"/>
        <v>4.2596231730420587E-3</v>
      </c>
      <c r="AM86" s="3530">
        <f t="shared" si="66"/>
        <v>4.878420250527757E-3</v>
      </c>
      <c r="AN86" s="3538">
        <f t="shared" si="74"/>
        <v>-9.4901297480054936E-2</v>
      </c>
      <c r="AO86" s="3668"/>
      <c r="AP86" s="3668"/>
      <c r="AQ86" s="3668"/>
      <c r="AR86" s="3668"/>
      <c r="AS86" s="3668"/>
      <c r="AT86" s="3669"/>
      <c r="AU86" s="3670"/>
      <c r="AV86" s="3623">
        <f t="shared" si="67"/>
        <v>0</v>
      </c>
      <c r="AW86" s="3623">
        <f t="shared" si="68"/>
        <v>0</v>
      </c>
      <c r="AX86" s="3668"/>
      <c r="AY86" s="3344">
        <f t="shared" si="32"/>
        <v>8.8519555595700482E-3</v>
      </c>
      <c r="AZ86" s="3635">
        <f t="shared" si="70"/>
        <v>5.7508854078719739E-3</v>
      </c>
    </row>
    <row r="87" spans="1:52" s="3671" customFormat="1" ht="16.2">
      <c r="A87" s="3672"/>
      <c r="B87" s="3661" t="s">
        <v>1993</v>
      </c>
      <c r="C87" s="3662"/>
      <c r="D87" s="3662">
        <f>D86/C86</f>
        <v>0.91324738209669054</v>
      </c>
      <c r="E87" s="3662">
        <f>E86/D86</f>
        <v>1.3169953978445903</v>
      </c>
      <c r="F87" s="3662">
        <f>F86/E86</f>
        <v>0.99891363677627376</v>
      </c>
      <c r="G87" s="3662">
        <f>G86/F86</f>
        <v>1.2056465828027392</v>
      </c>
      <c r="H87" s="3662">
        <f>H86/G86</f>
        <v>1.0756653538850962</v>
      </c>
      <c r="I87" s="3662"/>
      <c r="J87" s="3662">
        <f>(D87*E87*F87*G87*H87)^(1/5)-1</f>
        <v>9.2746859687812933E-2</v>
      </c>
      <c r="K87" s="3662"/>
      <c r="L87" s="3662">
        <f>L86/H86</f>
        <v>1.0609311102696364</v>
      </c>
      <c r="M87" s="3662">
        <f>M86/L86</f>
        <v>1.1433167893167653</v>
      </c>
      <c r="N87" s="3662"/>
      <c r="O87" s="3662">
        <f>O86/M86</f>
        <v>1.010753499497177</v>
      </c>
      <c r="P87" s="3662"/>
      <c r="Q87" s="3663">
        <f>Q86/O86</f>
        <v>0.99965056005167519</v>
      </c>
      <c r="R87" s="3663"/>
      <c r="S87" s="3663">
        <f>S86/Q86</f>
        <v>1.1165361529115996</v>
      </c>
      <c r="T87" s="3518"/>
      <c r="U87" s="3518">
        <f>(L87*M87*O87*Q87*S87)^(1/5)-1</f>
        <v>6.4741065703634471E-2</v>
      </c>
      <c r="V87" s="3518"/>
      <c r="W87" s="3518"/>
      <c r="X87" s="3664"/>
      <c r="Y87" s="3663">
        <f>Y86/S86</f>
        <v>0.92860451837407487</v>
      </c>
      <c r="Z87" s="3665"/>
      <c r="AA87" s="3662">
        <f>AA86/Y86</f>
        <v>1.1375144328143489</v>
      </c>
      <c r="AB87" s="185">
        <f t="shared" si="71"/>
        <v>3.1826551041000233</v>
      </c>
      <c r="AC87" s="3327">
        <f t="shared" si="64"/>
        <v>7.0312210739621978E-8</v>
      </c>
      <c r="AD87" s="3327">
        <f t="shared" si="72"/>
        <v>7.6388525560715556E-8</v>
      </c>
      <c r="AE87" s="3327"/>
      <c r="AF87" s="3662">
        <f>AF86/AA86</f>
        <v>0.80551230765628368</v>
      </c>
      <c r="AG87" s="3662"/>
      <c r="AH87" s="3662">
        <f>AH86/AF86</f>
        <v>1.1634632429284104</v>
      </c>
      <c r="AI87" s="3662">
        <f>AI86/AH86</f>
        <v>1.0665157583144698</v>
      </c>
      <c r="AJ87" s="39">
        <f t="shared" si="33"/>
        <v>4.2960979524313041</v>
      </c>
      <c r="AK87" s="3662">
        <f>(Y87*AA87*AF87*AH87*AI87)^(1/5)-1</f>
        <v>1.0918086271954008E-2</v>
      </c>
      <c r="AL87" s="3530">
        <f t="shared" si="69"/>
        <v>4.8912974810051609E-8</v>
      </c>
      <c r="AM87" s="3530">
        <f t="shared" si="66"/>
        <v>5.6018581253162361E-8</v>
      </c>
      <c r="AN87" s="3538" t="e">
        <f t="shared" si="74"/>
        <v>#DIV/0!</v>
      </c>
      <c r="AO87" s="3668"/>
      <c r="AP87" s="3668"/>
      <c r="AQ87" s="3668"/>
      <c r="AR87" s="3668"/>
      <c r="AS87" s="3668"/>
      <c r="AT87" s="3669"/>
      <c r="AU87" s="3670"/>
      <c r="AV87" s="3623">
        <f t="shared" si="67"/>
        <v>0</v>
      </c>
      <c r="AW87" s="3623">
        <f t="shared" si="68"/>
        <v>0</v>
      </c>
      <c r="AX87" s="3668"/>
      <c r="AY87" s="3344">
        <f t="shared" ref="AY87:AY155" si="76">AI87/$AI$16</f>
        <v>9.6334184654906486E-8</v>
      </c>
      <c r="AZ87" s="3635">
        <f t="shared" si="70"/>
        <v>6.2585815426083638E-8</v>
      </c>
    </row>
    <row r="88" spans="1:52" s="3671" customFormat="1" ht="16.2">
      <c r="A88" s="3672"/>
      <c r="B88" s="3673" t="s">
        <v>69</v>
      </c>
      <c r="C88" s="3662"/>
      <c r="D88" s="3662">
        <f>D86/D61</f>
        <v>1.0741854295343736E-2</v>
      </c>
      <c r="E88" s="3662">
        <f>E86/E61</f>
        <v>1.112787578506565E-2</v>
      </c>
      <c r="F88" s="3662">
        <f>F86/F61</f>
        <v>9.817448177867576E-3</v>
      </c>
      <c r="G88" s="3662">
        <f>G86/G61</f>
        <v>1.1114113241622646E-2</v>
      </c>
      <c r="H88" s="3662">
        <f>H86/H61</f>
        <v>1.1413156949565458E-2</v>
      </c>
      <c r="I88" s="3662"/>
      <c r="J88" s="3662"/>
      <c r="K88" s="3662"/>
      <c r="L88" s="3662">
        <f>L86/L61</f>
        <v>1.1548720290958058E-2</v>
      </c>
      <c r="M88" s="3662">
        <f>M86/M61</f>
        <v>1.1736225143344766E-2</v>
      </c>
      <c r="N88" s="3662"/>
      <c r="O88" s="3662">
        <f>O86/O61</f>
        <v>1.1027912550089239E-2</v>
      </c>
      <c r="P88" s="3662"/>
      <c r="Q88" s="3663">
        <f>Q86/Q61</f>
        <v>9.9030659085827411E-3</v>
      </c>
      <c r="R88" s="3663"/>
      <c r="S88" s="3663">
        <f>S86/S61</f>
        <v>1.074418851229202E-2</v>
      </c>
      <c r="T88" s="3518">
        <f>(L88*M88*O88*Q88*S88)^(1/5)</f>
        <v>1.0972353211758032E-2</v>
      </c>
      <c r="U88" s="3518"/>
      <c r="V88" s="3518"/>
      <c r="W88" s="3518"/>
      <c r="X88" s="3664"/>
      <c r="Y88" s="3663">
        <f>Y86/Y61</f>
        <v>8.9661385083967173E-3</v>
      </c>
      <c r="Z88" s="3665"/>
      <c r="AA88" s="3662">
        <f>AA86/AA61</f>
        <v>1.0795856491382913E-2</v>
      </c>
      <c r="AB88" s="185">
        <f t="shared" si="71"/>
        <v>3.0506183512071652E-2</v>
      </c>
      <c r="AC88" s="3327">
        <f t="shared" si="64"/>
        <v>6.7395213549817069E-10</v>
      </c>
      <c r="AD88" s="3327">
        <f t="shared" si="72"/>
        <v>7.3219444229748636E-10</v>
      </c>
      <c r="AE88" s="3327"/>
      <c r="AF88" s="3662">
        <f>AF86/AF61</f>
        <v>8.4433546988330489E-3</v>
      </c>
      <c r="AG88" s="3662"/>
      <c r="AH88" s="3662">
        <f>AH86/AH61</f>
        <v>8.6158636800960243E-3</v>
      </c>
      <c r="AI88" s="3662">
        <f>AI86/AI61</f>
        <v>8.8519555595700482E-3</v>
      </c>
      <c r="AJ88" s="39">
        <f t="shared" ref="AJ88:AJ139" si="77">Y88+AA88+AG88+AH88+AI88</f>
        <v>3.7229814239445699E-2</v>
      </c>
      <c r="AK88" s="3662"/>
      <c r="AL88" s="3530">
        <f t="shared" si="69"/>
        <v>4.2387789716161662E-10</v>
      </c>
      <c r="AM88" s="3530">
        <f t="shared" si="66"/>
        <v>4.854548004037575E-10</v>
      </c>
      <c r="AN88" s="3538">
        <f t="shared" si="74"/>
        <v>2.393056486693304</v>
      </c>
      <c r="AO88" s="3668"/>
      <c r="AP88" s="3668"/>
      <c r="AQ88" s="3668"/>
      <c r="AR88" s="3668"/>
      <c r="AS88" s="3668"/>
      <c r="AT88" s="3669"/>
      <c r="AU88" s="3670"/>
      <c r="AV88" s="3623">
        <f t="shared" si="67"/>
        <v>0</v>
      </c>
      <c r="AW88" s="3623">
        <f t="shared" si="68"/>
        <v>0</v>
      </c>
      <c r="AX88" s="3668"/>
      <c r="AY88" s="3344">
        <f t="shared" si="76"/>
        <v>7.9956242070003148E-10</v>
      </c>
      <c r="AZ88" s="3635">
        <f t="shared" si="70"/>
        <v>5.1945491896594472E-10</v>
      </c>
    </row>
    <row r="89" spans="1:52" s="3671" customFormat="1" ht="16.2">
      <c r="A89" s="3672" t="s">
        <v>1797</v>
      </c>
      <c r="B89" s="3673" t="s">
        <v>2096</v>
      </c>
      <c r="C89" s="39">
        <f t="shared" ref="C89:H89" si="78">C24</f>
        <v>14485.369694999999</v>
      </c>
      <c r="D89" s="39">
        <f t="shared" si="78"/>
        <v>13384.146613999999</v>
      </c>
      <c r="E89" s="39">
        <f t="shared" si="78"/>
        <v>18335.384052000001</v>
      </c>
      <c r="F89" s="39">
        <f t="shared" si="78"/>
        <v>21908.077399999998</v>
      </c>
      <c r="G89" s="39">
        <f t="shared" si="78"/>
        <v>19416.014755</v>
      </c>
      <c r="H89" s="39">
        <f t="shared" si="78"/>
        <v>20078.266750999999</v>
      </c>
      <c r="I89" s="39">
        <f>SUM(D89:H89)</f>
        <v>93121.889572</v>
      </c>
      <c r="J89" s="3529"/>
      <c r="K89" s="3529">
        <f>I89/$I$61</f>
        <v>3.6732933511815797E-3</v>
      </c>
      <c r="L89" s="39">
        <f>L24</f>
        <v>20810.145353</v>
      </c>
      <c r="M89" s="39">
        <f>M24</f>
        <v>22929.685490999997</v>
      </c>
      <c r="N89" s="39"/>
      <c r="O89" s="39">
        <f>O24</f>
        <v>21712.812980000002</v>
      </c>
      <c r="P89" s="39"/>
      <c r="Q89" s="147">
        <f>Q24</f>
        <v>21575</v>
      </c>
      <c r="R89" s="147"/>
      <c r="S89" s="147">
        <f>S24</f>
        <v>27053</v>
      </c>
      <c r="T89" s="185">
        <f>SUM(L89:S89)</f>
        <v>114080.643824</v>
      </c>
      <c r="U89" s="3329"/>
      <c r="V89" s="3329">
        <f>T89/$T$61</f>
        <v>3.0166688369765685E-3</v>
      </c>
      <c r="W89" s="3329"/>
      <c r="X89" s="3345"/>
      <c r="Y89" s="147">
        <f>Y24</f>
        <v>27017</v>
      </c>
      <c r="Z89" s="39"/>
      <c r="AA89" s="39">
        <f>AA24</f>
        <v>28184.048601999999</v>
      </c>
      <c r="AB89" s="185">
        <f t="shared" si="71"/>
        <v>82254.048601999995</v>
      </c>
      <c r="AC89" s="3327">
        <f t="shared" si="64"/>
        <v>1.8171821357709931E-3</v>
      </c>
      <c r="AD89" s="3327">
        <f t="shared" si="72"/>
        <v>1.9742212990694038E-3</v>
      </c>
      <c r="AE89" s="3327"/>
      <c r="AF89" s="39">
        <f>AF24</f>
        <v>42757</v>
      </c>
      <c r="AG89" s="39"/>
      <c r="AH89" s="39">
        <f>AH24</f>
        <v>50073</v>
      </c>
      <c r="AI89" s="39">
        <f>AI24</f>
        <v>52000</v>
      </c>
      <c r="AJ89" s="39">
        <f t="shared" si="77"/>
        <v>157274.048602</v>
      </c>
      <c r="AK89" s="3529"/>
      <c r="AL89" s="3530">
        <f t="shared" si="69"/>
        <v>1.7906345857851963E-3</v>
      </c>
      <c r="AM89" s="3530">
        <f t="shared" si="66"/>
        <v>2.0507607527055849E-3</v>
      </c>
      <c r="AN89" s="3538">
        <f t="shared" si="74"/>
        <v>0.37862167787760215</v>
      </c>
      <c r="AO89" s="3668"/>
      <c r="AP89" s="3668"/>
      <c r="AQ89" s="3668"/>
      <c r="AR89" s="3668"/>
      <c r="AS89" s="3668"/>
      <c r="AT89" s="3669"/>
      <c r="AU89" s="3670"/>
      <c r="AV89" s="3623">
        <f t="shared" si="67"/>
        <v>0</v>
      </c>
      <c r="AW89" s="3623">
        <f t="shared" si="68"/>
        <v>0</v>
      </c>
      <c r="AX89" s="3668"/>
      <c r="AY89" s="3344">
        <f t="shared" si="76"/>
        <v>4.6969560112004333E-3</v>
      </c>
      <c r="AZ89" s="3635">
        <f t="shared" si="70"/>
        <v>3.0514902164218635E-3</v>
      </c>
    </row>
    <row r="90" spans="1:52" s="3671" customFormat="1" ht="16.2">
      <c r="A90" s="3672"/>
      <c r="B90" s="3661" t="s">
        <v>1993</v>
      </c>
      <c r="C90" s="3662"/>
      <c r="D90" s="3662">
        <f>D89/C89</f>
        <v>0.92397687430924769</v>
      </c>
      <c r="E90" s="3662">
        <f>E89/D89</f>
        <v>1.3699329946685537</v>
      </c>
      <c r="F90" s="3662">
        <f>F89/E89</f>
        <v>1.1948523869403376</v>
      </c>
      <c r="G90" s="3662">
        <f>G89/F89</f>
        <v>0.88624914000897226</v>
      </c>
      <c r="H90" s="3662">
        <f>H89/G89</f>
        <v>1.0341085441248676</v>
      </c>
      <c r="I90" s="3662"/>
      <c r="J90" s="3662">
        <f>(D90*E90*F90*G90*H90)^(1/5)-1</f>
        <v>6.7478968281253326E-2</v>
      </c>
      <c r="K90" s="3662"/>
      <c r="L90" s="3662">
        <f>L89/H89</f>
        <v>1.0364512839218829</v>
      </c>
      <c r="M90" s="3662">
        <f>M89/L89</f>
        <v>1.1018512894574493</v>
      </c>
      <c r="N90" s="3662"/>
      <c r="O90" s="3662">
        <f>O89/M89</f>
        <v>0.94693025722146862</v>
      </c>
      <c r="P90" s="3662"/>
      <c r="Q90" s="3663">
        <f>Q89/O89</f>
        <v>0.99365291912535958</v>
      </c>
      <c r="R90" s="3663"/>
      <c r="S90" s="3663">
        <f>S89/Q89</f>
        <v>1.2539049826187718</v>
      </c>
      <c r="T90" s="3518"/>
      <c r="U90" s="3518">
        <f>(L90*M90*O90*Q90*S90)^(1/5)-1</f>
        <v>6.1445847929263442E-2</v>
      </c>
      <c r="V90" s="3518"/>
      <c r="W90" s="3518"/>
      <c r="X90" s="3664"/>
      <c r="Y90" s="3663">
        <f>Y89/S89</f>
        <v>0.99866927882305101</v>
      </c>
      <c r="Z90" s="3665"/>
      <c r="AA90" s="3662">
        <f>AA89/Y89</f>
        <v>1.0431968242958136</v>
      </c>
      <c r="AB90" s="185">
        <f t="shared" si="71"/>
        <v>3.2957710857376368</v>
      </c>
      <c r="AC90" s="3327">
        <f t="shared" si="64"/>
        <v>7.2811204340492264E-8</v>
      </c>
      <c r="AD90" s="3327">
        <f t="shared" si="72"/>
        <v>7.9103479827522186E-8</v>
      </c>
      <c r="AE90" s="3327"/>
      <c r="AF90" s="3662">
        <f>AF89/AA89</f>
        <v>1.5170638045580815</v>
      </c>
      <c r="AG90" s="3662"/>
      <c r="AH90" s="3662">
        <f>AH89/AF89</f>
        <v>1.1711064854877564</v>
      </c>
      <c r="AI90" s="3662">
        <f>AI89/AH89</f>
        <v>1.0384838136320971</v>
      </c>
      <c r="AJ90" s="39">
        <f t="shared" si="77"/>
        <v>4.251456402238718</v>
      </c>
      <c r="AK90" s="3662">
        <f>(Y90*AA90*AF90*AH90*AI90)^(1/5)-1</f>
        <v>0.13961349191829697</v>
      </c>
      <c r="AL90" s="3530">
        <f t="shared" si="69"/>
        <v>4.8404711021788612E-8</v>
      </c>
      <c r="AM90" s="3530">
        <f t="shared" si="66"/>
        <v>5.5436481791180765E-8</v>
      </c>
      <c r="AN90" s="3538" t="e">
        <f t="shared" si="74"/>
        <v>#DIV/0!</v>
      </c>
      <c r="AO90" s="3668"/>
      <c r="AP90" s="3668"/>
      <c r="AQ90" s="3668"/>
      <c r="AR90" s="3668"/>
      <c r="AS90" s="3668"/>
      <c r="AT90" s="3669"/>
      <c r="AU90" s="3670"/>
      <c r="AV90" s="3623">
        <f t="shared" si="67"/>
        <v>0</v>
      </c>
      <c r="AW90" s="3623">
        <f t="shared" si="68"/>
        <v>0</v>
      </c>
      <c r="AX90" s="3668"/>
      <c r="AY90" s="3344">
        <f t="shared" si="76"/>
        <v>9.3802169057185179E-8</v>
      </c>
      <c r="AZ90" s="3635">
        <f t="shared" si="70"/>
        <v>6.09408307155925E-8</v>
      </c>
    </row>
    <row r="91" spans="1:52" s="3671" customFormat="1" ht="16.2">
      <c r="A91" s="3672"/>
      <c r="B91" s="3673" t="s">
        <v>69</v>
      </c>
      <c r="C91" s="3662"/>
      <c r="D91" s="3662">
        <f>D89/D61</f>
        <v>3.6162056638661165E-3</v>
      </c>
      <c r="E91" s="3662">
        <f>E89/E61</f>
        <v>3.8967379618345815E-3</v>
      </c>
      <c r="F91" s="3662">
        <f>F89/F61</f>
        <v>4.1121965484214812E-3</v>
      </c>
      <c r="G91" s="3662">
        <f>G89/G61</f>
        <v>3.4220462229615301E-3</v>
      </c>
      <c r="H91" s="3662">
        <f>H89/H61</f>
        <v>3.3783589334754759E-3</v>
      </c>
      <c r="I91" s="3662"/>
      <c r="J91" s="3662"/>
      <c r="K91" s="3662"/>
      <c r="L91" s="3662">
        <f>L89/L61</f>
        <v>3.3396086081200625E-3</v>
      </c>
      <c r="M91" s="3662">
        <f>M89/M61</f>
        <v>3.2707439321593931E-3</v>
      </c>
      <c r="N91" s="3662"/>
      <c r="O91" s="3662">
        <f>O89/O61</f>
        <v>2.8792817582862593E-3</v>
      </c>
      <c r="P91" s="3662"/>
      <c r="Q91" s="3663">
        <f>Q89/Q61</f>
        <v>2.5700822414404943E-3</v>
      </c>
      <c r="R91" s="3663"/>
      <c r="S91" s="3663">
        <f>S89/S61</f>
        <v>3.1314307303631295E-3</v>
      </c>
      <c r="T91" s="3518">
        <f>(L91*M91*O91*Q91*S91)^(1/5)</f>
        <v>3.0245670903882652E-3</v>
      </c>
      <c r="U91" s="3518"/>
      <c r="V91" s="3518"/>
      <c r="W91" s="3518"/>
      <c r="X91" s="3664"/>
      <c r="Y91" s="3663">
        <f>Y89/Y61</f>
        <v>2.8103831366609522E-3</v>
      </c>
      <c r="Z91" s="3665"/>
      <c r="AA91" s="3662">
        <f>AA89/AA61</f>
        <v>3.1033197890193796E-3</v>
      </c>
      <c r="AB91" s="185">
        <f t="shared" si="71"/>
        <v>9.0451336560434612E-3</v>
      </c>
      <c r="AC91" s="3327">
        <f t="shared" si="64"/>
        <v>1.9982791819712923E-10</v>
      </c>
      <c r="AD91" s="3327">
        <f t="shared" si="72"/>
        <v>2.1709685809017203E-10</v>
      </c>
      <c r="AE91" s="3327"/>
      <c r="AF91" s="3662">
        <f>AF89/AF61</f>
        <v>4.5710516454962732E-3</v>
      </c>
      <c r="AG91" s="3662"/>
      <c r="AH91" s="3662">
        <f>AH89/AH61</f>
        <v>4.6950868672018999E-3</v>
      </c>
      <c r="AI91" s="3662">
        <f>AI89/AI61</f>
        <v>4.6969560112004333E-3</v>
      </c>
      <c r="AJ91" s="39">
        <f t="shared" si="77"/>
        <v>1.5305745804082666E-2</v>
      </c>
      <c r="AK91" s="3662"/>
      <c r="AL91" s="3530">
        <f t="shared" si="69"/>
        <v>1.7426268377806956E-10</v>
      </c>
      <c r="AM91" s="3530">
        <f t="shared" si="66"/>
        <v>1.9957789009001044E-10</v>
      </c>
      <c r="AN91" s="3538">
        <f t="shared" si="74"/>
        <v>4.0604748867110958</v>
      </c>
      <c r="AO91" s="3668"/>
      <c r="AP91" s="3668"/>
      <c r="AQ91" s="3668"/>
      <c r="AR91" s="3668"/>
      <c r="AS91" s="3668"/>
      <c r="AT91" s="3669"/>
      <c r="AU91" s="3670"/>
      <c r="AV91" s="3623">
        <f t="shared" si="67"/>
        <v>0</v>
      </c>
      <c r="AW91" s="3623">
        <f t="shared" si="68"/>
        <v>0</v>
      </c>
      <c r="AX91" s="3668"/>
      <c r="AY91" s="3344">
        <f t="shared" si="76"/>
        <v>4.2425761098369011E-10</v>
      </c>
      <c r="AZ91" s="3635">
        <f t="shared" si="70"/>
        <v>2.7562914067580739E-10</v>
      </c>
    </row>
    <row r="92" spans="1:52" s="3671" customFormat="1" ht="16.2">
      <c r="A92" s="3672" t="s">
        <v>1797</v>
      </c>
      <c r="B92" s="3673" t="s">
        <v>162</v>
      </c>
      <c r="C92" s="39">
        <f t="shared" ref="C92:H92" si="79">C25</f>
        <v>23029.594314000002</v>
      </c>
      <c r="D92" s="39">
        <f t="shared" si="79"/>
        <v>31166.499995999999</v>
      </c>
      <c r="E92" s="39">
        <f t="shared" si="79"/>
        <v>23136.025249999999</v>
      </c>
      <c r="F92" s="39">
        <f t="shared" si="79"/>
        <v>29067.688738000001</v>
      </c>
      <c r="G92" s="39">
        <f t="shared" si="79"/>
        <v>25959.988635000002</v>
      </c>
      <c r="H92" s="39">
        <f t="shared" si="79"/>
        <v>29270.382845</v>
      </c>
      <c r="I92" s="39">
        <f>SUM(D92:H92)</f>
        <v>138600.585464</v>
      </c>
      <c r="J92" s="3529"/>
      <c r="K92" s="3529">
        <f>I92/$I$61</f>
        <v>5.4672495521167833E-3</v>
      </c>
      <c r="L92" s="39">
        <f>L25</f>
        <v>25568.900889</v>
      </c>
      <c r="M92" s="39">
        <f>M25</f>
        <v>31644.635216999995</v>
      </c>
      <c r="N92" s="39"/>
      <c r="O92" s="39">
        <f>O25</f>
        <v>33093.863715</v>
      </c>
      <c r="P92" s="39"/>
      <c r="Q92" s="147">
        <f>Q25</f>
        <v>32699</v>
      </c>
      <c r="R92" s="147"/>
      <c r="S92" s="147">
        <f>S25</f>
        <v>39788</v>
      </c>
      <c r="T92" s="185">
        <f>SUM(L92:S92)</f>
        <v>162794.399821</v>
      </c>
      <c r="U92" s="3329"/>
      <c r="V92" s="3329">
        <f>T92/$T$61</f>
        <v>4.3048213641918359E-3</v>
      </c>
      <c r="W92" s="3329"/>
      <c r="X92" s="3345"/>
      <c r="Y92" s="147">
        <f>Y25</f>
        <v>21505</v>
      </c>
      <c r="Z92" s="39"/>
      <c r="AA92" s="39">
        <f>AA25</f>
        <v>50990.684492</v>
      </c>
      <c r="AB92" s="185">
        <f t="shared" si="71"/>
        <v>112283.684492</v>
      </c>
      <c r="AC92" s="3327">
        <f t="shared" si="64"/>
        <v>2.4806062323410997E-3</v>
      </c>
      <c r="AD92" s="3327">
        <f t="shared" si="72"/>
        <v>2.694977879261561E-3</v>
      </c>
      <c r="AE92" s="3327"/>
      <c r="AF92" s="39">
        <f>AF25</f>
        <v>38378</v>
      </c>
      <c r="AG92" s="39"/>
      <c r="AH92" s="39">
        <f>AH25</f>
        <v>53202</v>
      </c>
      <c r="AI92" s="39">
        <f>AI25</f>
        <v>58000</v>
      </c>
      <c r="AJ92" s="39">
        <f t="shared" si="77"/>
        <v>183697.684492</v>
      </c>
      <c r="AK92" s="3529"/>
      <c r="AL92" s="3530">
        <f t="shared" si="69"/>
        <v>2.0914793642302734E-3</v>
      </c>
      <c r="AM92" s="3530">
        <f t="shared" si="66"/>
        <v>2.395309366470371E-3</v>
      </c>
      <c r="AN92" s="3538">
        <f t="shared" si="74"/>
        <v>0.12840297144118051</v>
      </c>
      <c r="AO92" s="3668"/>
      <c r="AP92" s="3668"/>
      <c r="AQ92" s="3668"/>
      <c r="AR92" s="3668"/>
      <c r="AS92" s="3668"/>
      <c r="AT92" s="3669"/>
      <c r="AU92" s="3670"/>
      <c r="AV92" s="3623">
        <f t="shared" si="67"/>
        <v>0</v>
      </c>
      <c r="AW92" s="3623">
        <f t="shared" si="68"/>
        <v>0</v>
      </c>
      <c r="AX92" s="3668"/>
      <c r="AY92" s="3344">
        <f t="shared" si="76"/>
        <v>5.2389124740312527E-3</v>
      </c>
      <c r="AZ92" s="3635">
        <f t="shared" si="70"/>
        <v>3.4035852413936171E-3</v>
      </c>
    </row>
    <row r="93" spans="1:52" s="3671" customFormat="1" ht="16.2">
      <c r="A93" s="3672"/>
      <c r="B93" s="3661" t="s">
        <v>1993</v>
      </c>
      <c r="C93" s="3662"/>
      <c r="D93" s="3662">
        <f>D92/C92</f>
        <v>1.3533238827856147</v>
      </c>
      <c r="E93" s="3662">
        <f>E92/D92</f>
        <v>0.74233633077083871</v>
      </c>
      <c r="F93" s="3662">
        <f>F92/E92</f>
        <v>1.2563821323630342</v>
      </c>
      <c r="G93" s="3662">
        <f>G92/F92</f>
        <v>0.89308747141848521</v>
      </c>
      <c r="H93" s="3662">
        <f>H92/G92</f>
        <v>1.1275190931916215</v>
      </c>
      <c r="I93" s="3662"/>
      <c r="J93" s="3662">
        <f>(D93*E93*F93*G93*H93)^(1/5)-1</f>
        <v>4.9127867295275518E-2</v>
      </c>
      <c r="K93" s="3662"/>
      <c r="L93" s="3662">
        <f>L92/H92</f>
        <v>0.87354173071117547</v>
      </c>
      <c r="M93" s="3662">
        <f>M92/L92</f>
        <v>1.2376220375829232</v>
      </c>
      <c r="N93" s="3662"/>
      <c r="O93" s="3662">
        <f>O92/M92</f>
        <v>1.0457969727905556</v>
      </c>
      <c r="P93" s="3662"/>
      <c r="Q93" s="3663">
        <f>Q92/O92</f>
        <v>0.98806837066833553</v>
      </c>
      <c r="R93" s="3663"/>
      <c r="S93" s="3663">
        <f>S92/Q92</f>
        <v>1.2167956206611823</v>
      </c>
      <c r="T93" s="3518"/>
      <c r="U93" s="3518">
        <f>(L93*M93*O93*Q93*S93)^(1/5)-1</f>
        <v>6.3321857530648229E-2</v>
      </c>
      <c r="V93" s="3518"/>
      <c r="W93" s="3518"/>
      <c r="X93" s="3664"/>
      <c r="Y93" s="3663">
        <f>Y92/S92</f>
        <v>0.54048959485271941</v>
      </c>
      <c r="Z93" s="3665"/>
      <c r="AA93" s="3662">
        <f>AA92/Y92</f>
        <v>2.3711083232736572</v>
      </c>
      <c r="AB93" s="185">
        <f t="shared" si="71"/>
        <v>4.1283935387875594</v>
      </c>
      <c r="AC93" s="3327">
        <f t="shared" si="64"/>
        <v>9.1205759663175223E-8</v>
      </c>
      <c r="AD93" s="3327">
        <f t="shared" si="72"/>
        <v>9.9087675242003023E-8</v>
      </c>
      <c r="AE93" s="3327"/>
      <c r="AF93" s="3662">
        <f>AF92/AA92</f>
        <v>0.75264728023059146</v>
      </c>
      <c r="AG93" s="3662"/>
      <c r="AH93" s="3662">
        <f>AH92/AF92</f>
        <v>1.3862629631559749</v>
      </c>
      <c r="AI93" s="3662">
        <f>AI92/AH92</f>
        <v>1.0901845795270855</v>
      </c>
      <c r="AJ93" s="39">
        <f t="shared" si="77"/>
        <v>5.3880454608094377</v>
      </c>
      <c r="AK93" s="3662">
        <f>(Y93*AA93*AF93*AH93*AI93)^(1/5)-1</f>
        <v>7.8289005003358669E-2</v>
      </c>
      <c r="AL93" s="3530">
        <f t="shared" si="69"/>
        <v>6.134528002343054E-8</v>
      </c>
      <c r="AM93" s="3530">
        <f t="shared" si="66"/>
        <v>7.0256932170568914E-8</v>
      </c>
      <c r="AN93" s="3538" t="e">
        <f t="shared" si="74"/>
        <v>#DIV/0!</v>
      </c>
      <c r="AO93" s="3668"/>
      <c r="AP93" s="3668"/>
      <c r="AQ93" s="3668"/>
      <c r="AR93" s="3668"/>
      <c r="AS93" s="3668"/>
      <c r="AT93" s="3669"/>
      <c r="AU93" s="3670"/>
      <c r="AV93" s="3623">
        <f t="shared" si="67"/>
        <v>0</v>
      </c>
      <c r="AW93" s="3623">
        <f t="shared" si="68"/>
        <v>0</v>
      </c>
      <c r="AX93" s="3668"/>
      <c r="AY93" s="3344">
        <f t="shared" si="76"/>
        <v>9.8472096425533869E-8</v>
      </c>
      <c r="AZ93" s="3635">
        <f t="shared" si="70"/>
        <v>6.3974761125401622E-8</v>
      </c>
    </row>
    <row r="94" spans="1:52" s="3671" customFormat="1" ht="16.2">
      <c r="A94" s="3672"/>
      <c r="B94" s="3673" t="s">
        <v>69</v>
      </c>
      <c r="C94" s="3662"/>
      <c r="D94" s="3662">
        <f>D92/D61</f>
        <v>8.4207441130783843E-3</v>
      </c>
      <c r="E94" s="3662">
        <f>E92/E61</f>
        <v>4.9169969727361346E-3</v>
      </c>
      <c r="F94" s="3662">
        <f>F92/F61</f>
        <v>5.4560720740832137E-3</v>
      </c>
      <c r="G94" s="3662">
        <f>G92/G61</f>
        <v>4.5754127290024305E-3</v>
      </c>
      <c r="H94" s="3662">
        <f>H92/H61</f>
        <v>4.9250197039905378E-3</v>
      </c>
      <c r="I94" s="3662"/>
      <c r="J94" s="3662"/>
      <c r="K94" s="3662"/>
      <c r="L94" s="3662">
        <f>L92/L61</f>
        <v>4.1032928920298594E-3</v>
      </c>
      <c r="M94" s="3662">
        <f>M92/M61</f>
        <v>4.5138647305923568E-3</v>
      </c>
      <c r="N94" s="3662"/>
      <c r="O94" s="3662">
        <f>O92/O61</f>
        <v>4.3884943969987175E-3</v>
      </c>
      <c r="P94" s="3662"/>
      <c r="Q94" s="3663">
        <f>Q92/Q61</f>
        <v>3.8952083065058045E-3</v>
      </c>
      <c r="R94" s="3663"/>
      <c r="S94" s="3663">
        <f>S92/S61</f>
        <v>4.6055286252795697E-3</v>
      </c>
      <c r="T94" s="3518">
        <f>(L94*M94*O94*Q94*S94)^(1/5)</f>
        <v>4.2930046213503137E-3</v>
      </c>
      <c r="U94" s="3518"/>
      <c r="V94" s="3518"/>
      <c r="W94" s="3518"/>
      <c r="X94" s="3664"/>
      <c r="Y94" s="3663">
        <f>Y92/Y61</f>
        <v>2.237009636669274E-3</v>
      </c>
      <c r="Z94" s="3665"/>
      <c r="AA94" s="3662">
        <f>AA92/AA61</f>
        <v>5.614537587351383E-3</v>
      </c>
      <c r="AB94" s="185">
        <f t="shared" si="71"/>
        <v>1.2457075849300225E-2</v>
      </c>
      <c r="AC94" s="3327">
        <f t="shared" si="64"/>
        <v>2.7520561093380917E-10</v>
      </c>
      <c r="AD94" s="3327">
        <f t="shared" si="72"/>
        <v>2.9898861981626046E-10</v>
      </c>
      <c r="AE94" s="3327"/>
      <c r="AF94" s="3662">
        <f>AF92/AF61</f>
        <v>4.1029029176709308E-3</v>
      </c>
      <c r="AG94" s="3662"/>
      <c r="AH94" s="3662">
        <f>AH92/AH61</f>
        <v>4.9884770536791382E-3</v>
      </c>
      <c r="AI94" s="3662">
        <f>AI92/AI61</f>
        <v>5.2389124740312527E-3</v>
      </c>
      <c r="AJ94" s="39">
        <f t="shared" si="77"/>
        <v>1.8078936751731049E-2</v>
      </c>
      <c r="AK94" s="3662"/>
      <c r="AL94" s="3530">
        <f t="shared" si="69"/>
        <v>2.0583668894920923E-10</v>
      </c>
      <c r="AM94" s="3530">
        <f t="shared" si="66"/>
        <v>2.3573866299404943E-10</v>
      </c>
      <c r="AN94" s="3538">
        <f t="shared" si="74"/>
        <v>3.2112549010125537</v>
      </c>
      <c r="AO94" s="3668"/>
      <c r="AP94" s="3668"/>
      <c r="AQ94" s="3668"/>
      <c r="AR94" s="3668"/>
      <c r="AS94" s="3668"/>
      <c r="AT94" s="3669"/>
      <c r="AU94" s="3670"/>
      <c r="AV94" s="3623">
        <f t="shared" si="67"/>
        <v>0</v>
      </c>
      <c r="AW94" s="3623">
        <f t="shared" si="68"/>
        <v>0</v>
      </c>
      <c r="AX94" s="3668"/>
      <c r="AY94" s="3344">
        <f t="shared" si="76"/>
        <v>4.7321041225103899E-10</v>
      </c>
      <c r="AZ94" s="3635">
        <f t="shared" si="70"/>
        <v>3.0743250306147745E-10</v>
      </c>
    </row>
    <row r="95" spans="1:52" s="3671" customFormat="1" ht="16.2">
      <c r="A95" s="3672" t="s">
        <v>1797</v>
      </c>
      <c r="B95" s="3673" t="s">
        <v>2097</v>
      </c>
      <c r="C95" s="39">
        <f t="shared" ref="C95:H95" si="80">C26</f>
        <v>43901.085969</v>
      </c>
      <c r="D95" s="39">
        <f t="shared" si="80"/>
        <v>218884.160164</v>
      </c>
      <c r="E95" s="39">
        <f t="shared" si="80"/>
        <v>202429.24258699999</v>
      </c>
      <c r="F95" s="39">
        <f t="shared" si="80"/>
        <v>246506.12884799999</v>
      </c>
      <c r="G95" s="39">
        <f t="shared" si="80"/>
        <v>220529.87967299999</v>
      </c>
      <c r="H95" s="39">
        <f t="shared" si="80"/>
        <v>268672.20944100001</v>
      </c>
      <c r="I95" s="39">
        <f>SUM(D95:H95)</f>
        <v>1157021.620713</v>
      </c>
      <c r="J95" s="3529"/>
      <c r="K95" s="3529">
        <f>I95/$I$61</f>
        <v>4.5639965491167583E-2</v>
      </c>
      <c r="L95" s="39">
        <f>L26</f>
        <v>429583.572162</v>
      </c>
      <c r="M95" s="39">
        <f>M26</f>
        <v>427772.94375599996</v>
      </c>
      <c r="N95" s="39"/>
      <c r="O95" s="39">
        <f>O26</f>
        <v>484349.07345999999</v>
      </c>
      <c r="P95" s="39"/>
      <c r="Q95" s="147">
        <f>Q26</f>
        <v>412864</v>
      </c>
      <c r="R95" s="147"/>
      <c r="S95" s="147">
        <f>S26</f>
        <v>630109</v>
      </c>
      <c r="T95" s="185">
        <f>SUM(L95:S95)</f>
        <v>2384678.5893779998</v>
      </c>
      <c r="U95" s="3329"/>
      <c r="V95" s="3329">
        <f>T95/$T$61</f>
        <v>6.3058774439248427E-2</v>
      </c>
      <c r="W95" s="3329"/>
      <c r="X95" s="3345"/>
      <c r="Y95" s="147">
        <f>Y26</f>
        <v>877453</v>
      </c>
      <c r="Z95" s="39"/>
      <c r="AA95" s="39">
        <f>AA26</f>
        <v>630626.71309500001</v>
      </c>
      <c r="AB95" s="185">
        <f t="shared" si="71"/>
        <v>2138188.713095</v>
      </c>
      <c r="AC95" s="3327">
        <f t="shared" si="64"/>
        <v>4.7237532965020868E-2</v>
      </c>
      <c r="AD95" s="3327">
        <f t="shared" si="72"/>
        <v>5.1319755933804674E-2</v>
      </c>
      <c r="AE95" s="3327"/>
      <c r="AF95" s="39">
        <f>AF26</f>
        <v>539140</v>
      </c>
      <c r="AG95" s="39"/>
      <c r="AH95" s="39">
        <f>AH26</f>
        <v>601385</v>
      </c>
      <c r="AI95" s="39">
        <f>AI26</f>
        <v>611000</v>
      </c>
      <c r="AJ95" s="39">
        <f t="shared" si="77"/>
        <v>2720464.713095</v>
      </c>
      <c r="AK95" s="3529"/>
      <c r="AL95" s="3530">
        <f t="shared" si="69"/>
        <v>3.097369367659402E-2</v>
      </c>
      <c r="AM95" s="3530">
        <f t="shared" si="66"/>
        <v>3.5473253930494539E-2</v>
      </c>
      <c r="AN95" s="3538">
        <f t="shared" si="74"/>
        <v>0.14080980355704198</v>
      </c>
      <c r="AO95" s="3668"/>
      <c r="AP95" s="3668"/>
      <c r="AQ95" s="3668"/>
      <c r="AR95" s="3668"/>
      <c r="AS95" s="3668"/>
      <c r="AT95" s="3669"/>
      <c r="AU95" s="3670"/>
      <c r="AV95" s="3623">
        <f t="shared" si="67"/>
        <v>0</v>
      </c>
      <c r="AW95" s="3623">
        <f t="shared" si="68"/>
        <v>0</v>
      </c>
      <c r="AX95" s="3668"/>
      <c r="AY95" s="3344">
        <f t="shared" si="76"/>
        <v>5.5189233131605092E-2</v>
      </c>
      <c r="AZ95" s="3635">
        <f t="shared" si="70"/>
        <v>3.5855010042956895E-2</v>
      </c>
    </row>
    <row r="96" spans="1:52" s="3671" customFormat="1" ht="16.2">
      <c r="A96" s="3672"/>
      <c r="B96" s="3661" t="s">
        <v>1993</v>
      </c>
      <c r="C96" s="3662"/>
      <c r="D96" s="3662">
        <f>D95/C95</f>
        <v>4.9858484211201812</v>
      </c>
      <c r="E96" s="3662">
        <f>E95/D95</f>
        <v>0.92482362558957631</v>
      </c>
      <c r="F96" s="3662">
        <f>F95/E95</f>
        <v>1.2177397183218559</v>
      </c>
      <c r="G96" s="3662">
        <f>G95/F95</f>
        <v>0.89462229885968714</v>
      </c>
      <c r="H96" s="3662">
        <f>H95/G95</f>
        <v>1.2183029793485813</v>
      </c>
      <c r="I96" s="3662"/>
      <c r="J96" s="3662">
        <f>(D96*E96*F96*G96*H96)^(1/5)-1</f>
        <v>0.43664510244794985</v>
      </c>
      <c r="K96" s="3662"/>
      <c r="L96" s="3662">
        <f>L95/H95</f>
        <v>1.5989133117109229</v>
      </c>
      <c r="M96" s="3662">
        <f>M95/L95</f>
        <v>0.9957851544534454</v>
      </c>
      <c r="N96" s="3662"/>
      <c r="O96" s="3662">
        <f>O95/M95</f>
        <v>1.1322573821692445</v>
      </c>
      <c r="P96" s="3662"/>
      <c r="Q96" s="3663">
        <f>Q95/O95</f>
        <v>0.85241001299055119</v>
      </c>
      <c r="R96" s="3663"/>
      <c r="S96" s="3663">
        <f>S95/Q95</f>
        <v>1.5261902224461323</v>
      </c>
      <c r="T96" s="3518"/>
      <c r="U96" s="3518">
        <f>(L96*M96*O96*Q96*S96)^(1/5)-1</f>
        <v>0.18587410877712252</v>
      </c>
      <c r="V96" s="3518"/>
      <c r="W96" s="3518"/>
      <c r="X96" s="3664"/>
      <c r="Y96" s="3663">
        <f>Y95/S95</f>
        <v>1.3925416078805413</v>
      </c>
      <c r="Z96" s="3665"/>
      <c r="AA96" s="3662">
        <f>AA95/Y95</f>
        <v>0.71870141545473087</v>
      </c>
      <c r="AB96" s="185">
        <f t="shared" si="71"/>
        <v>3.6374332457814047</v>
      </c>
      <c r="AC96" s="3327">
        <f t="shared" si="64"/>
        <v>8.0359311506677019E-8</v>
      </c>
      <c r="AD96" s="3327">
        <f t="shared" si="72"/>
        <v>8.7303887283551835E-8</v>
      </c>
      <c r="AE96" s="3327"/>
      <c r="AF96" s="3662">
        <f>AF95/AA95</f>
        <v>0.85492731088729168</v>
      </c>
      <c r="AG96" s="3662"/>
      <c r="AH96" s="3662">
        <f>AH95/AF95</f>
        <v>1.115452387135067</v>
      </c>
      <c r="AI96" s="3662">
        <f>AI95/AH95</f>
        <v>1.0159880941493387</v>
      </c>
      <c r="AJ96" s="39">
        <f t="shared" si="77"/>
        <v>4.242683504619678</v>
      </c>
      <c r="AK96" s="3662">
        <f>(Y96*AA96*AF96*AH96*AI96)^(1/5)-1</f>
        <v>-6.1402434049425691E-3</v>
      </c>
      <c r="AL96" s="3530">
        <f t="shared" si="69"/>
        <v>4.8304827703251053E-8</v>
      </c>
      <c r="AM96" s="3530">
        <f t="shared" si="66"/>
        <v>5.5322088384992309E-8</v>
      </c>
      <c r="AN96" s="3538" t="e">
        <f t="shared" si="74"/>
        <v>#DIV/0!</v>
      </c>
      <c r="AO96" s="3668"/>
      <c r="AP96" s="3668"/>
      <c r="AQ96" s="3668"/>
      <c r="AR96" s="3668"/>
      <c r="AS96" s="3668"/>
      <c r="AT96" s="3669"/>
      <c r="AU96" s="3670"/>
      <c r="AV96" s="3623">
        <f t="shared" si="67"/>
        <v>0</v>
      </c>
      <c r="AW96" s="3623">
        <f t="shared" si="68"/>
        <v>0</v>
      </c>
      <c r="AX96" s="3668"/>
      <c r="AY96" s="3344">
        <f t="shared" si="76"/>
        <v>9.1770218963900165E-8</v>
      </c>
      <c r="AZ96" s="3635">
        <f t="shared" si="70"/>
        <v>5.9620725563419274E-8</v>
      </c>
    </row>
    <row r="97" spans="1:52" s="3671" customFormat="1" ht="16.2">
      <c r="A97" s="3672"/>
      <c r="B97" s="3673" t="s">
        <v>69</v>
      </c>
      <c r="C97" s="3662"/>
      <c r="D97" s="3662">
        <f>D95/D61</f>
        <v>5.9139380533061683E-2</v>
      </c>
      <c r="E97" s="3662">
        <f>E95/E61</f>
        <v>4.3021390331234512E-2</v>
      </c>
      <c r="F97" s="3662">
        <f>F95/F61</f>
        <v>4.6269767707388443E-2</v>
      </c>
      <c r="G97" s="3662">
        <f>G95/G61</f>
        <v>3.8868091691721125E-2</v>
      </c>
      <c r="H97" s="3662">
        <f>H95/H61</f>
        <v>4.5206649069765445E-2</v>
      </c>
      <c r="I97" s="3662"/>
      <c r="J97" s="3662"/>
      <c r="K97" s="3662"/>
      <c r="L97" s="3662">
        <f>L95/L61</f>
        <v>6.8939499035856694E-2</v>
      </c>
      <c r="M97" s="3662">
        <f>M95/M61</f>
        <v>6.1018532534214874E-2</v>
      </c>
      <c r="N97" s="3662"/>
      <c r="O97" s="3662">
        <f>O95/O61</f>
        <v>6.4228317774430957E-2</v>
      </c>
      <c r="P97" s="3662"/>
      <c r="Q97" s="3663">
        <f>Q95/Q61</f>
        <v>4.9181665563387642E-2</v>
      </c>
      <c r="R97" s="3663"/>
      <c r="S97" s="3663">
        <f>S95/S61</f>
        <v>7.2936187708512221E-2</v>
      </c>
      <c r="T97" s="3518">
        <f>(L97*M97*O97*Q97*S97)^(1/5)</f>
        <v>6.2701877357937419E-2</v>
      </c>
      <c r="U97" s="3518"/>
      <c r="V97" s="3518"/>
      <c r="W97" s="3518"/>
      <c r="X97" s="3664"/>
      <c r="Y97" s="3663">
        <f>Y95/Y61</f>
        <v>9.1275090291763061E-2</v>
      </c>
      <c r="Z97" s="3665"/>
      <c r="AA97" s="3662">
        <f>AA95/AA61</f>
        <v>6.9437730039008119E-2</v>
      </c>
      <c r="AB97" s="185">
        <f t="shared" si="71"/>
        <v>0.2336490080392834</v>
      </c>
      <c r="AC97" s="3327">
        <f t="shared" si="64"/>
        <v>5.1618468715626879E-9</v>
      </c>
      <c r="AD97" s="3327">
        <f t="shared" si="72"/>
        <v>5.6079288012866978E-9</v>
      </c>
      <c r="AE97" s="3327"/>
      <c r="AF97" s="3662">
        <f>AF95/AF61</f>
        <v>5.763820623881144E-2</v>
      </c>
      <c r="AG97" s="3662"/>
      <c r="AH97" s="3662">
        <f>AH95/AH61</f>
        <v>5.6388768710327219E-2</v>
      </c>
      <c r="AI97" s="3662">
        <f>AI95/AI61</f>
        <v>5.5189233131605092E-2</v>
      </c>
      <c r="AJ97" s="39">
        <f t="shared" si="77"/>
        <v>0.27229082217270351</v>
      </c>
      <c r="AK97" s="3662"/>
      <c r="AL97" s="3530">
        <f t="shared" si="69"/>
        <v>3.1001514102825047E-9</v>
      </c>
      <c r="AM97" s="3530">
        <f t="shared" si="66"/>
        <v>3.5505115840619047E-9</v>
      </c>
      <c r="AN97" s="3538">
        <f t="shared" si="74"/>
        <v>3.3426263079543066</v>
      </c>
      <c r="AO97" s="3668"/>
      <c r="AP97" s="3668"/>
      <c r="AQ97" s="3668"/>
      <c r="AR97" s="3668"/>
      <c r="AS97" s="3668"/>
      <c r="AT97" s="3669"/>
      <c r="AU97" s="3670"/>
      <c r="AV97" s="3623">
        <f t="shared" si="67"/>
        <v>0</v>
      </c>
      <c r="AW97" s="3623">
        <f t="shared" si="68"/>
        <v>0</v>
      </c>
      <c r="AX97" s="3668"/>
      <c r="AY97" s="3344">
        <f t="shared" si="76"/>
        <v>4.9850269290583594E-9</v>
      </c>
      <c r="AZ97" s="3635">
        <f t="shared" si="70"/>
        <v>3.2386424029407365E-9</v>
      </c>
    </row>
    <row r="98" spans="1:52" s="3671" customFormat="1" ht="16.2">
      <c r="A98" s="3672" t="s">
        <v>1797</v>
      </c>
      <c r="B98" s="3673" t="s">
        <v>2098</v>
      </c>
      <c r="C98" s="39">
        <f t="shared" ref="C98:H98" si="81">C28</f>
        <v>94193.786722000004</v>
      </c>
      <c r="D98" s="39">
        <f t="shared" si="81"/>
        <v>152596.82905999999</v>
      </c>
      <c r="E98" s="39">
        <f t="shared" si="81"/>
        <v>178848.46695199999</v>
      </c>
      <c r="F98" s="39">
        <f t="shared" si="81"/>
        <v>238787.16765700001</v>
      </c>
      <c r="G98" s="39">
        <f t="shared" si="81"/>
        <v>225609.581118</v>
      </c>
      <c r="H98" s="39">
        <f t="shared" si="81"/>
        <v>248340.399725</v>
      </c>
      <c r="I98" s="39">
        <f>SUM(D98:H98)</f>
        <v>1044182.444512</v>
      </c>
      <c r="J98" s="3529"/>
      <c r="K98" s="3529">
        <f>I98/$I$61</f>
        <v>4.1188902506975628E-2</v>
      </c>
      <c r="L98" s="39">
        <f>L28</f>
        <v>281758.40066300001</v>
      </c>
      <c r="M98" s="39">
        <f>M28</f>
        <v>323370.00026400003</v>
      </c>
      <c r="N98" s="39"/>
      <c r="O98" s="39">
        <f>O28</f>
        <v>369167.60954500001</v>
      </c>
      <c r="P98" s="39"/>
      <c r="Q98" s="147">
        <f>Q28</f>
        <v>398306</v>
      </c>
      <c r="R98" s="147"/>
      <c r="S98" s="147">
        <f>S28</f>
        <v>409899</v>
      </c>
      <c r="T98" s="185">
        <f>SUM(L98:S98)</f>
        <v>1782501.0104720001</v>
      </c>
      <c r="U98" s="3329"/>
      <c r="V98" s="3329">
        <f>T98/$T$61</f>
        <v>4.71352112849742E-2</v>
      </c>
      <c r="W98" s="3329"/>
      <c r="X98" s="3345"/>
      <c r="Y98" s="147">
        <f>Y28</f>
        <v>535919</v>
      </c>
      <c r="Z98" s="39"/>
      <c r="AA98" s="39">
        <f>AA28</f>
        <v>481069.09012800001</v>
      </c>
      <c r="AB98" s="185">
        <f t="shared" si="71"/>
        <v>1426887.0901279999</v>
      </c>
      <c r="AC98" s="3327">
        <f t="shared" si="64"/>
        <v>3.1523235318046218E-2</v>
      </c>
      <c r="AD98" s="3327">
        <f t="shared" si="72"/>
        <v>3.4247443531057589E-2</v>
      </c>
      <c r="AE98" s="3327"/>
      <c r="AF98" s="39">
        <f>AF28</f>
        <v>326504</v>
      </c>
      <c r="AG98" s="39"/>
      <c r="AH98" s="39">
        <f>AH28</f>
        <v>367327</v>
      </c>
      <c r="AI98" s="39">
        <f>AI28</f>
        <v>386000</v>
      </c>
      <c r="AJ98" s="39">
        <f t="shared" si="77"/>
        <v>1770315.0901279999</v>
      </c>
      <c r="AK98" s="3529"/>
      <c r="AL98" s="3530">
        <f t="shared" si="69"/>
        <v>2.015582008791959E-2</v>
      </c>
      <c r="AM98" s="3530">
        <f t="shared" si="66"/>
        <v>2.3083863733579658E-2</v>
      </c>
      <c r="AN98" s="3538">
        <f t="shared" si="74"/>
        <v>-6.8364170748904662E-3</v>
      </c>
      <c r="AO98" s="3668"/>
      <c r="AP98" s="3668"/>
      <c r="AQ98" s="3668"/>
      <c r="AR98" s="3668"/>
      <c r="AS98" s="3668"/>
      <c r="AT98" s="3669"/>
      <c r="AU98" s="3670"/>
      <c r="AV98" s="3623">
        <f t="shared" si="67"/>
        <v>0</v>
      </c>
      <c r="AW98" s="3623">
        <f t="shared" si="68"/>
        <v>0</v>
      </c>
      <c r="AX98" s="3668"/>
      <c r="AY98" s="3344">
        <f t="shared" si="76"/>
        <v>3.4865865775449374E-2</v>
      </c>
      <c r="AZ98" s="3635">
        <f t="shared" si="70"/>
        <v>2.2651446606516142E-2</v>
      </c>
    </row>
    <row r="99" spans="1:52" s="3671" customFormat="1" ht="16.2">
      <c r="A99" s="3672"/>
      <c r="B99" s="3661" t="s">
        <v>1993</v>
      </c>
      <c r="C99" s="3662"/>
      <c r="D99" s="3662">
        <f>D98/C98</f>
        <v>1.6200307299500394</v>
      </c>
      <c r="E99" s="3662">
        <f>E98/D98</f>
        <v>1.1720326566004726</v>
      </c>
      <c r="F99" s="3662">
        <f>F98/E98</f>
        <v>1.335136787731519</v>
      </c>
      <c r="G99" s="3662">
        <f>G98/F98</f>
        <v>0.94481451131440763</v>
      </c>
      <c r="H99" s="3662">
        <f>H98/G98</f>
        <v>1.1007528957518482</v>
      </c>
      <c r="I99" s="3662"/>
      <c r="J99" s="3662">
        <f>(D99*E99*F99*G99*H99)^(1/5)-1</f>
        <v>0.21396180824494704</v>
      </c>
      <c r="K99" s="3662"/>
      <c r="L99" s="3662">
        <f>L98/H98</f>
        <v>1.1345653022021607</v>
      </c>
      <c r="M99" s="3662">
        <f>M98/L98</f>
        <v>1.1476853911119762</v>
      </c>
      <c r="N99" s="3662"/>
      <c r="O99" s="3662">
        <f>O98/M98</f>
        <v>1.1416260297603695</v>
      </c>
      <c r="P99" s="3662"/>
      <c r="Q99" s="3663">
        <f>Q98/O98</f>
        <v>1.0789299757118809</v>
      </c>
      <c r="R99" s="3663"/>
      <c r="S99" s="3663">
        <f>S98/Q98</f>
        <v>1.0291057629059066</v>
      </c>
      <c r="T99" s="3518"/>
      <c r="U99" s="3518">
        <f>(L99*M99*O99*Q99*S99)^(1/5)-1</f>
        <v>0.10541638242081675</v>
      </c>
      <c r="V99" s="3518"/>
      <c r="W99" s="3518"/>
      <c r="X99" s="3664"/>
      <c r="Y99" s="3663">
        <f>Y98/S98</f>
        <v>1.3074415892695517</v>
      </c>
      <c r="Z99" s="3665"/>
      <c r="AA99" s="3662">
        <f>AA98/Y98</f>
        <v>0.89765261192083134</v>
      </c>
      <c r="AB99" s="185">
        <f t="shared" si="71"/>
        <v>3.2341999640962893</v>
      </c>
      <c r="AC99" s="3327">
        <f t="shared" si="64"/>
        <v>7.1450955887952028E-8</v>
      </c>
      <c r="AD99" s="3327">
        <f t="shared" si="72"/>
        <v>7.7625679988877095E-8</v>
      </c>
      <c r="AE99" s="3327"/>
      <c r="AF99" s="3662">
        <f>AF98/AA98</f>
        <v>0.67870500661999666</v>
      </c>
      <c r="AG99" s="3662"/>
      <c r="AH99" s="3662">
        <f>AH98/AF98</f>
        <v>1.125030627496141</v>
      </c>
      <c r="AI99" s="3662">
        <f>AI98/AH98</f>
        <v>1.0508348147563342</v>
      </c>
      <c r="AJ99" s="39">
        <f t="shared" si="77"/>
        <v>4.3809596434428579</v>
      </c>
      <c r="AK99" s="3662">
        <f>(Y99*AA99*AF99*AH99*AI99)^(1/5)-1</f>
        <v>-1.1942795564957476E-2</v>
      </c>
      <c r="AL99" s="3530">
        <f t="shared" si="69"/>
        <v>4.9879162685827905E-8</v>
      </c>
      <c r="AM99" s="3530">
        <f t="shared" si="66"/>
        <v>5.71251276089132E-8</v>
      </c>
      <c r="AN99" s="3538" t="e">
        <f t="shared" si="74"/>
        <v>#DIV/0!</v>
      </c>
      <c r="AO99" s="3668"/>
      <c r="AP99" s="3668"/>
      <c r="AQ99" s="3668"/>
      <c r="AR99" s="3668"/>
      <c r="AS99" s="3668"/>
      <c r="AT99" s="3669"/>
      <c r="AU99" s="3670"/>
      <c r="AV99" s="3623">
        <f t="shared" si="67"/>
        <v>0</v>
      </c>
      <c r="AW99" s="3623">
        <f t="shared" si="68"/>
        <v>0</v>
      </c>
      <c r="AX99" s="3668"/>
      <c r="AY99" s="3344">
        <f t="shared" si="76"/>
        <v>9.4917786537470352E-8</v>
      </c>
      <c r="AZ99" s="3635">
        <f t="shared" si="70"/>
        <v>6.1665618390469902E-8</v>
      </c>
    </row>
    <row r="100" spans="1:52" s="3671" customFormat="1" ht="16.2">
      <c r="A100" s="3672"/>
      <c r="B100" s="3673" t="s">
        <v>69</v>
      </c>
      <c r="C100" s="3662"/>
      <c r="D100" s="3662">
        <f>D98/D61</f>
        <v>4.1229488397681535E-2</v>
      </c>
      <c r="E100" s="3662">
        <f>E98/E61</f>
        <v>3.8009872529054342E-2</v>
      </c>
      <c r="F100" s="3662">
        <f>F98/F61</f>
        <v>4.4820900927000432E-2</v>
      </c>
      <c r="G100" s="3662">
        <f>G98/G61</f>
        <v>3.9763382170379113E-2</v>
      </c>
      <c r="H100" s="3662">
        <f>H98/H61</f>
        <v>4.1785629126181362E-2</v>
      </c>
      <c r="I100" s="3662"/>
      <c r="J100" s="3662"/>
      <c r="K100" s="3662"/>
      <c r="L100" s="3662">
        <f>L98/L61</f>
        <v>4.5216540504780599E-2</v>
      </c>
      <c r="M100" s="3662">
        <f>M98/M61</f>
        <v>4.6126252652745531E-2</v>
      </c>
      <c r="N100" s="3662"/>
      <c r="O100" s="3662">
        <f>O98/O61</f>
        <v>4.8954392270230053E-2</v>
      </c>
      <c r="P100" s="3662"/>
      <c r="Q100" s="3663">
        <f>Q98/Q61</f>
        <v>4.7447470556625612E-2</v>
      </c>
      <c r="R100" s="3663"/>
      <c r="S100" s="3663">
        <f>S98/S61</f>
        <v>4.7446505930769836E-2</v>
      </c>
      <c r="T100" s="3518">
        <f>(L100*M100*O100*Q100*S100)^(1/5)</f>
        <v>4.7020895276161899E-2</v>
      </c>
      <c r="U100" s="3518"/>
      <c r="V100" s="3518"/>
      <c r="W100" s="3518"/>
      <c r="X100" s="3664"/>
      <c r="Y100" s="3663">
        <f>Y98/Y61</f>
        <v>5.5747778073664767E-2</v>
      </c>
      <c r="Z100" s="3665"/>
      <c r="AA100" s="3662">
        <f>AA98/AA61</f>
        <v>5.2970077094382735E-2</v>
      </c>
      <c r="AB100" s="185">
        <f t="shared" si="71"/>
        <v>0.15616436109881732</v>
      </c>
      <c r="AC100" s="3327">
        <f t="shared" si="64"/>
        <v>3.4500318471370829E-9</v>
      </c>
      <c r="AD100" s="3327">
        <f t="shared" si="72"/>
        <v>3.7481803397742323E-9</v>
      </c>
      <c r="AE100" s="3327"/>
      <c r="AF100" s="3662">
        <f>AF98/AF61</f>
        <v>3.4905784934890549E-2</v>
      </c>
      <c r="AG100" s="3662"/>
      <c r="AH100" s="3662">
        <f>AH98/AH61</f>
        <v>3.4442357631231851E-2</v>
      </c>
      <c r="AI100" s="3662">
        <f>AI98/AI61</f>
        <v>3.4865865775449374E-2</v>
      </c>
      <c r="AJ100" s="39">
        <f t="shared" si="77"/>
        <v>0.17802607857472871</v>
      </c>
      <c r="AK100" s="3662"/>
      <c r="AL100" s="3530">
        <f t="shared" si="69"/>
        <v>2.0269056230270425E-9</v>
      </c>
      <c r="AM100" s="3530">
        <f t="shared" si="66"/>
        <v>2.3213549733372321E-9</v>
      </c>
      <c r="AN100" s="3538">
        <f t="shared" si="74"/>
        <v>2.7861056776811792</v>
      </c>
      <c r="AO100" s="3668"/>
      <c r="AP100" s="3668"/>
      <c r="AQ100" s="3668"/>
      <c r="AR100" s="3668"/>
      <c r="AS100" s="3668"/>
      <c r="AT100" s="3669"/>
      <c r="AU100" s="3670"/>
      <c r="AV100" s="3623">
        <f t="shared" si="67"/>
        <v>0</v>
      </c>
      <c r="AW100" s="3623">
        <f t="shared" si="68"/>
        <v>0</v>
      </c>
      <c r="AX100" s="3668"/>
      <c r="AY100" s="3344">
        <f t="shared" si="76"/>
        <v>3.1492968815327769E-9</v>
      </c>
      <c r="AZ100" s="3635">
        <f t="shared" si="70"/>
        <v>2.0460163134781086E-9</v>
      </c>
    </row>
    <row r="101" spans="1:52" s="3671" customFormat="1" ht="16.2">
      <c r="A101" s="3672" t="s">
        <v>1797</v>
      </c>
      <c r="B101" s="3673" t="s">
        <v>721</v>
      </c>
      <c r="C101" s="39">
        <f t="shared" ref="C101:H101" si="82">C29</f>
        <v>128028.82776499999</v>
      </c>
      <c r="D101" s="39">
        <f t="shared" si="82"/>
        <v>99701.489849999984</v>
      </c>
      <c r="E101" s="39">
        <f t="shared" si="82"/>
        <v>187075.50684300001</v>
      </c>
      <c r="F101" s="39">
        <f t="shared" si="82"/>
        <v>207923.348959</v>
      </c>
      <c r="G101" s="39">
        <f t="shared" si="82"/>
        <v>124789.76882299999</v>
      </c>
      <c r="H101" s="39">
        <f t="shared" si="82"/>
        <v>135164.902485</v>
      </c>
      <c r="I101" s="39">
        <f>SUM(D101:H101)</f>
        <v>754655.01695999992</v>
      </c>
      <c r="J101" s="3529"/>
      <c r="K101" s="3529">
        <f>I101/$I$61</f>
        <v>2.9768180918318683E-2</v>
      </c>
      <c r="L101" s="39">
        <f>L29</f>
        <v>111781.932877</v>
      </c>
      <c r="M101" s="39">
        <f>M29</f>
        <v>102494.98850700002</v>
      </c>
      <c r="N101" s="39"/>
      <c r="O101" s="39">
        <f>O29</f>
        <v>96564.608066000015</v>
      </c>
      <c r="P101" s="39"/>
      <c r="Q101" s="147">
        <f>Q29</f>
        <v>112835</v>
      </c>
      <c r="R101" s="147"/>
      <c r="S101" s="147">
        <f>S29</f>
        <v>90921</v>
      </c>
      <c r="T101" s="185">
        <f>SUM(L101:S101)</f>
        <v>514597.52945000003</v>
      </c>
      <c r="U101" s="3329"/>
      <c r="V101" s="3329">
        <f>T101/$T$61</f>
        <v>1.3607657518762735E-2</v>
      </c>
      <c r="W101" s="3329"/>
      <c r="X101" s="3345"/>
      <c r="Y101" s="147">
        <f>Y29</f>
        <v>137371</v>
      </c>
      <c r="Z101" s="39"/>
      <c r="AA101" s="39">
        <f>AA29</f>
        <v>67462.550237000003</v>
      </c>
      <c r="AB101" s="185">
        <f t="shared" si="71"/>
        <v>295754.55023699999</v>
      </c>
      <c r="AC101" s="3327">
        <f t="shared" si="64"/>
        <v>6.5339019099735027E-3</v>
      </c>
      <c r="AD101" s="3327">
        <f t="shared" si="72"/>
        <v>7.0985555397984415E-3</v>
      </c>
      <c r="AE101" s="3327"/>
      <c r="AF101" s="39">
        <f>AF29</f>
        <v>48511</v>
      </c>
      <c r="AG101" s="39"/>
      <c r="AH101" s="39">
        <f>AH29</f>
        <v>52000</v>
      </c>
      <c r="AI101" s="39">
        <f>AI29</f>
        <v>54000</v>
      </c>
      <c r="AJ101" s="39">
        <f t="shared" si="77"/>
        <v>310833.55023699999</v>
      </c>
      <c r="AK101" s="3529"/>
      <c r="AL101" s="3530">
        <f t="shared" si="69"/>
        <v>3.5389774118760398E-3</v>
      </c>
      <c r="AM101" s="3530">
        <f t="shared" si="66"/>
        <v>4.053086005710374E-3</v>
      </c>
      <c r="AN101" s="3538">
        <f t="shared" si="74"/>
        <v>-0.39596765929051825</v>
      </c>
      <c r="AO101" s="3668"/>
      <c r="AP101" s="3668"/>
      <c r="AQ101" s="3668"/>
      <c r="AR101" s="3668"/>
      <c r="AS101" s="3668"/>
      <c r="AT101" s="3669"/>
      <c r="AU101" s="3670"/>
      <c r="AV101" s="3623">
        <f t="shared" si="67"/>
        <v>0</v>
      </c>
      <c r="AW101" s="3623">
        <f t="shared" si="68"/>
        <v>0</v>
      </c>
      <c r="AX101" s="3668"/>
      <c r="AY101" s="3344">
        <f t="shared" si="76"/>
        <v>4.8776081654773734E-3</v>
      </c>
      <c r="AZ101" s="3635">
        <f t="shared" si="70"/>
        <v>3.1688552247457814E-3</v>
      </c>
    </row>
    <row r="102" spans="1:52" s="3671" customFormat="1" ht="16.2">
      <c r="A102" s="3672"/>
      <c r="B102" s="3661" t="s">
        <v>1993</v>
      </c>
      <c r="C102" s="3662"/>
      <c r="D102" s="3662">
        <f>D101/C101</f>
        <v>0.77874250346964413</v>
      </c>
      <c r="E102" s="3662">
        <f>E101/D101</f>
        <v>1.8763561820836727</v>
      </c>
      <c r="F102" s="3662">
        <f>F101/E101</f>
        <v>1.1114407891648594</v>
      </c>
      <c r="G102" s="3662">
        <f>G101/F101</f>
        <v>0.60017198379969849</v>
      </c>
      <c r="H102" s="3662">
        <f>H101/G101</f>
        <v>1.0831408997697234</v>
      </c>
      <c r="I102" s="3662"/>
      <c r="J102" s="3662">
        <f>(D102*E102*F102*G102*H102)^(1/5)-1</f>
        <v>1.0907068548416721E-2</v>
      </c>
      <c r="K102" s="3662"/>
      <c r="L102" s="3662">
        <f>L101/H101</f>
        <v>0.82700413215187329</v>
      </c>
      <c r="M102" s="3662">
        <f>M101/L101</f>
        <v>0.91691909299672847</v>
      </c>
      <c r="N102" s="3662"/>
      <c r="O102" s="3662">
        <f>O101/M101</f>
        <v>0.9421398009074855</v>
      </c>
      <c r="P102" s="3662"/>
      <c r="Q102" s="3663">
        <f>Q101/O101</f>
        <v>1.1684922898758052</v>
      </c>
      <c r="R102" s="3663"/>
      <c r="S102" s="3663">
        <f>S101/Q101</f>
        <v>0.80578721141489784</v>
      </c>
      <c r="T102" s="3518"/>
      <c r="U102" s="3518">
        <f>(L102*M102*O102*Q102*S102)^(1/5)-1</f>
        <v>-7.6238083862337658E-2</v>
      </c>
      <c r="V102" s="3518"/>
      <c r="W102" s="3518"/>
      <c r="X102" s="3664"/>
      <c r="Y102" s="3663">
        <f>Y101/S101</f>
        <v>1.5108830743172645</v>
      </c>
      <c r="Z102" s="3665"/>
      <c r="AA102" s="3662">
        <f>AA101/Y101</f>
        <v>0.49109746771152574</v>
      </c>
      <c r="AB102" s="185">
        <f t="shared" si="71"/>
        <v>2.807767753443688</v>
      </c>
      <c r="AC102" s="3327">
        <f t="shared" si="64"/>
        <v>6.2030082283726815E-8</v>
      </c>
      <c r="AD102" s="3327">
        <f t="shared" si="72"/>
        <v>6.7390663388622521E-8</v>
      </c>
      <c r="AE102" s="3327"/>
      <c r="AF102" s="3662">
        <f>AF101/AA101</f>
        <v>0.71908043543533318</v>
      </c>
      <c r="AG102" s="3662"/>
      <c r="AH102" s="3662">
        <f>AH101/AF101</f>
        <v>1.0719218321617778</v>
      </c>
      <c r="AI102" s="3662">
        <f>AI101/AH101</f>
        <v>1.0384615384615385</v>
      </c>
      <c r="AJ102" s="39">
        <f t="shared" si="77"/>
        <v>4.112363912652107</v>
      </c>
      <c r="AK102" s="3662">
        <f>(Y102*AA102*AF102*AH102*AI102)^(1/5)-1</f>
        <v>-9.8956182254122949E-2</v>
      </c>
      <c r="AL102" s="3530">
        <f t="shared" si="69"/>
        <v>4.6821081524801241E-8</v>
      </c>
      <c r="AM102" s="3530">
        <f t="shared" si="66"/>
        <v>5.3622797835207972E-8</v>
      </c>
      <c r="AN102" s="3538" t="e">
        <f t="shared" si="74"/>
        <v>#DIV/0!</v>
      </c>
      <c r="AO102" s="3668"/>
      <c r="AP102" s="3668"/>
      <c r="AQ102" s="3668"/>
      <c r="AR102" s="3668"/>
      <c r="AS102" s="3668"/>
      <c r="AT102" s="3669"/>
      <c r="AU102" s="3670"/>
      <c r="AV102" s="3623">
        <f t="shared" si="67"/>
        <v>0</v>
      </c>
      <c r="AW102" s="3623">
        <f t="shared" si="68"/>
        <v>0</v>
      </c>
      <c r="AX102" s="3668"/>
      <c r="AY102" s="3344">
        <f t="shared" si="76"/>
        <v>9.3800157028411027E-8</v>
      </c>
      <c r="AZ102" s="3635">
        <f t="shared" si="70"/>
        <v>6.0939523552803498E-8</v>
      </c>
    </row>
    <row r="103" spans="1:52" s="3671" customFormat="1" ht="16.2">
      <c r="A103" s="3672"/>
      <c r="B103" s="3673" t="s">
        <v>69</v>
      </c>
      <c r="C103" s="3662"/>
      <c r="D103" s="3662">
        <f>D101/D61</f>
        <v>2.6937921609012351E-2</v>
      </c>
      <c r="E103" s="3662">
        <f>E101/E61</f>
        <v>3.9758328878038769E-2</v>
      </c>
      <c r="F103" s="3662">
        <f>F101/F61</f>
        <v>3.9027691125713984E-2</v>
      </c>
      <c r="G103" s="3662">
        <f>G101/G61</f>
        <v>2.1994027222039449E-2</v>
      </c>
      <c r="H103" s="3662">
        <f>H101/H61</f>
        <v>2.2742777624457977E-2</v>
      </c>
      <c r="I103" s="3662"/>
      <c r="J103" s="3662"/>
      <c r="K103" s="3662"/>
      <c r="L103" s="3662">
        <f>L101/L61</f>
        <v>1.7938745690428921E-2</v>
      </c>
      <c r="M103" s="3662">
        <f>M101/M61</f>
        <v>1.4620124722931685E-2</v>
      </c>
      <c r="N103" s="3662"/>
      <c r="O103" s="3662">
        <f>O101/O61</f>
        <v>1.2805190868479354E-2</v>
      </c>
      <c r="P103" s="3662"/>
      <c r="Q103" s="3663">
        <f>Q101/Q61</f>
        <v>1.3441262095617065E-2</v>
      </c>
      <c r="R103" s="3663"/>
      <c r="S103" s="3663">
        <f>S101/S61</f>
        <v>1.0524260282975866E-2</v>
      </c>
      <c r="T103" s="3518">
        <f>(L103*M103*O103*Q103*S103)^(1/5)</f>
        <v>1.3656901195165744E-2</v>
      </c>
      <c r="U103" s="3518"/>
      <c r="V103" s="3518"/>
      <c r="W103" s="3518"/>
      <c r="X103" s="3664"/>
      <c r="Y103" s="3663">
        <f>Y101/Y61</f>
        <v>1.4289711732103923E-2</v>
      </c>
      <c r="Z103" s="3665"/>
      <c r="AA103" s="3662">
        <f>AA101/AA61</f>
        <v>7.4282396445108194E-3</v>
      </c>
      <c r="AB103" s="185">
        <f t="shared" si="71"/>
        <v>3.2242211659590611E-2</v>
      </c>
      <c r="AC103" s="3327">
        <f t="shared" si="64"/>
        <v>7.1230501162383722E-10</v>
      </c>
      <c r="AD103" s="3327">
        <f t="shared" si="72"/>
        <v>7.7386173774210955E-10</v>
      </c>
      <c r="AE103" s="3327"/>
      <c r="AF103" s="3662">
        <f>AF101/AF61</f>
        <v>5.186198432412698E-3</v>
      </c>
      <c r="AG103" s="3662"/>
      <c r="AH103" s="3662">
        <f>AH101/AH61</f>
        <v>4.8757717151858048E-3</v>
      </c>
      <c r="AI103" s="3662">
        <f>AI101/AI61</f>
        <v>4.8776081654773734E-3</v>
      </c>
      <c r="AJ103" s="39">
        <f t="shared" si="77"/>
        <v>3.1471331257277919E-2</v>
      </c>
      <c r="AK103" s="3662"/>
      <c r="AL103" s="3530">
        <f t="shared" si="69"/>
        <v>3.5831502215978383E-10</v>
      </c>
      <c r="AM103" s="3530">
        <f t="shared" si="66"/>
        <v>4.1036758162911141E-10</v>
      </c>
      <c r="AN103" s="3538">
        <f t="shared" si="74"/>
        <v>1.304426956564503</v>
      </c>
      <c r="AO103" s="3668"/>
      <c r="AP103" s="3668"/>
      <c r="AQ103" s="3668"/>
      <c r="AR103" s="3668"/>
      <c r="AS103" s="3668"/>
      <c r="AT103" s="3669"/>
      <c r="AU103" s="3670"/>
      <c r="AV103" s="3623">
        <f t="shared" si="67"/>
        <v>0</v>
      </c>
      <c r="AW103" s="3623">
        <f t="shared" si="68"/>
        <v>0</v>
      </c>
      <c r="AX103" s="3668"/>
      <c r="AY103" s="3344">
        <f t="shared" si="76"/>
        <v>4.4057521140613979E-10</v>
      </c>
      <c r="AZ103" s="3635">
        <f t="shared" si="70"/>
        <v>2.8623026147103073E-10</v>
      </c>
    </row>
    <row r="104" spans="1:52" s="2028" customFormat="1" ht="16.2">
      <c r="A104" s="3674">
        <v>11</v>
      </c>
      <c r="B104" s="2857" t="s">
        <v>2099</v>
      </c>
      <c r="C104" s="3529"/>
      <c r="D104" s="3529">
        <f>D10/'[16]Thu NSNN 2010-2025'!H31</f>
        <v>0.11989599893062587</v>
      </c>
      <c r="E104" s="3529">
        <f>E10/'[16]Thu NSNN 2010-2025'!I31</f>
        <v>0.13607112841529062</v>
      </c>
      <c r="F104" s="3529">
        <f>F10/'[16]Thu NSNN 2010-2025'!J31</f>
        <v>0.13559084834357149</v>
      </c>
      <c r="G104" s="3529">
        <f>G10/'[16]Thu NSNN 2010-2025'!K31</f>
        <v>0.14266265654665997</v>
      </c>
      <c r="H104" s="3529">
        <f>H10/'[16]Thu NSNN 2010-2025'!L31</f>
        <v>0.1451610747164562</v>
      </c>
      <c r="I104" s="3529"/>
      <c r="J104" s="3662">
        <f>AVERAGE(D104:H104)</f>
        <v>0.13587634139052082</v>
      </c>
      <c r="K104" s="3529"/>
      <c r="L104" s="3529">
        <f>L10/'[16]Thu NSNN 2010-2025'!P31</f>
        <v>0.13941914517681381</v>
      </c>
      <c r="M104" s="3529">
        <f>M10/'[16]Thu NSNN 2010-2025'!Q31</f>
        <v>0.14765953850903374</v>
      </c>
      <c r="N104" s="3529"/>
      <c r="O104" s="3529">
        <f>O10/'[16]Thu NSNN 2010-2025'!R31</f>
        <v>0.13743238078604164</v>
      </c>
      <c r="P104" s="3529"/>
      <c r="Q104" s="3349">
        <f>Q10/'[16]Thu NSNN 2010-2025'!S31</f>
        <v>0.13343094234381342</v>
      </c>
      <c r="R104" s="3349"/>
      <c r="S104" s="3349" t="e">
        <f>S10/'[16]Thu NSNN 2010-2025'!#REF!</f>
        <v>#REF!</v>
      </c>
      <c r="T104" s="3329"/>
      <c r="U104" s="3329" t="e">
        <f>AVERAGE(L104,M104,O104,Q104,S104)</f>
        <v>#REF!</v>
      </c>
      <c r="V104" s="3329"/>
      <c r="W104" s="3329"/>
      <c r="X104" s="3345"/>
      <c r="Y104" s="3349">
        <f>Y10/'[16]Thu NSNN 2010-2025'!Z31</f>
        <v>0.14555267566295688</v>
      </c>
      <c r="Z104" s="3667"/>
      <c r="AA104" s="3529">
        <f>AA10/'[16]Thu NSNN 2010-2025'!AA31</f>
        <v>0.1399736177364751</v>
      </c>
      <c r="AB104" s="185" t="e">
        <f t="shared" si="71"/>
        <v>#REF!</v>
      </c>
      <c r="AC104" s="3327" t="e">
        <f t="shared" si="64"/>
        <v>#REF!</v>
      </c>
      <c r="AD104" s="3327" t="e">
        <f t="shared" si="72"/>
        <v>#REF!</v>
      </c>
      <c r="AE104" s="3327"/>
      <c r="AF104" s="3529">
        <f>AF10/'[16]Thu NSNN 2010-2025'!AB31</f>
        <v>0.11913717487262315</v>
      </c>
      <c r="AG104" s="3529"/>
      <c r="AH104" s="3529">
        <f>AH10/'[16]Thu NSNN 2010-2025'!AC31</f>
        <v>0.13993076525407497</v>
      </c>
      <c r="AI104" s="3529">
        <f>AI10/'[16]Thu NSNN 2010-2025'!AD31</f>
        <v>3.2784800653441665E-2</v>
      </c>
      <c r="AJ104" s="39">
        <f t="shared" si="77"/>
        <v>0.45824185930694861</v>
      </c>
      <c r="AK104" s="3529" t="e">
        <f>AVERAGE(Y104:AI104)</f>
        <v>#REF!</v>
      </c>
      <c r="AL104" s="3530">
        <f t="shared" si="69"/>
        <v>5.2172861907180632E-9</v>
      </c>
      <c r="AM104" s="3530">
        <f t="shared" si="66"/>
        <v>5.9752033388016587E-9</v>
      </c>
      <c r="AN104" s="3538" t="e">
        <f t="shared" si="74"/>
        <v>#DIV/0!</v>
      </c>
      <c r="AO104" s="39"/>
      <c r="AP104" s="39"/>
      <c r="AQ104" s="39"/>
      <c r="AR104" s="39"/>
      <c r="AS104" s="39"/>
      <c r="AT104" s="3657"/>
      <c r="AU104" s="3633"/>
      <c r="AV104" s="3623">
        <f t="shared" si="67"/>
        <v>0</v>
      </c>
      <c r="AW104" s="3623">
        <f t="shared" si="68"/>
        <v>0</v>
      </c>
      <c r="AX104" s="39"/>
      <c r="AY104" s="3344">
        <f t="shared" si="76"/>
        <v>2.9613224327921293E-9</v>
      </c>
      <c r="AZ104" s="3635">
        <f t="shared" si="70"/>
        <v>1.9238942007945837E-9</v>
      </c>
    </row>
    <row r="105" spans="1:52" s="3317" customFormat="1">
      <c r="A105" s="3619">
        <v>12</v>
      </c>
      <c r="B105" s="3677" t="s">
        <v>2100</v>
      </c>
      <c r="C105" s="3093">
        <f t="shared" ref="C105:H105" si="83">C10</f>
        <v>4308494.4799180003</v>
      </c>
      <c r="D105" s="3093">
        <f t="shared" si="83"/>
        <v>5000022.8434038907</v>
      </c>
      <c r="E105" s="3093">
        <f t="shared" si="83"/>
        <v>5990803.5707400003</v>
      </c>
      <c r="F105" s="3093">
        <f t="shared" si="83"/>
        <v>6551207.428568</v>
      </c>
      <c r="G105" s="3093">
        <f t="shared" si="83"/>
        <v>7628457.570863001</v>
      </c>
      <c r="H105" s="3093">
        <f t="shared" si="83"/>
        <v>8304427.1655269992</v>
      </c>
      <c r="I105" s="3093">
        <f>SUM(D105:H105)</f>
        <v>33474918.57910189</v>
      </c>
      <c r="J105" s="3620"/>
      <c r="K105" s="3620">
        <f>I105/I8</f>
        <v>0.91667117034469858</v>
      </c>
      <c r="L105" s="3093">
        <f>L10</f>
        <v>8674809.6461590007</v>
      </c>
      <c r="M105" s="3093">
        <f>M10</f>
        <v>10083459.322280001</v>
      </c>
      <c r="N105" s="3093"/>
      <c r="O105" s="3093">
        <f>O10</f>
        <v>10427802.832636001</v>
      </c>
      <c r="P105" s="3093"/>
      <c r="Q105" s="173">
        <f>Q10</f>
        <v>10979098.228876</v>
      </c>
      <c r="R105" s="173"/>
      <c r="S105" s="173">
        <f>S10</f>
        <v>13102723</v>
      </c>
      <c r="T105" s="186">
        <f>SUM(L105:S105)</f>
        <v>53267893.029951006</v>
      </c>
      <c r="U105" s="3321"/>
      <c r="V105" s="3321">
        <f>T105/T8</f>
        <v>0.85999156972578028</v>
      </c>
      <c r="W105" s="3321"/>
      <c r="X105" s="3350"/>
      <c r="Y105" s="173">
        <f>Y10</f>
        <v>14076644</v>
      </c>
      <c r="Z105" s="3093"/>
      <c r="AA105" s="3093">
        <f>AA10</f>
        <v>14484679.802034</v>
      </c>
      <c r="AB105" s="185">
        <f t="shared" si="71"/>
        <v>41664046.802033998</v>
      </c>
      <c r="AC105" s="3327">
        <f t="shared" si="64"/>
        <v>0.92045513673039858</v>
      </c>
      <c r="AD105" s="3327">
        <f t="shared" si="72"/>
        <v>1</v>
      </c>
      <c r="AE105" s="3327"/>
      <c r="AF105" s="3093">
        <f>AF10</f>
        <v>13191488</v>
      </c>
      <c r="AG105" s="3093"/>
      <c r="AH105" s="3093">
        <f>AH10</f>
        <v>16578432.915999997</v>
      </c>
      <c r="AI105" s="3093">
        <f>AI10</f>
        <v>17040854.242349334</v>
      </c>
      <c r="AJ105" s="39">
        <f t="shared" si="77"/>
        <v>62180610.960383333</v>
      </c>
      <c r="AK105" s="3620"/>
      <c r="AL105" s="3530">
        <f t="shared" si="69"/>
        <v>0.70795375041614172</v>
      </c>
      <c r="AM105" s="3530">
        <f t="shared" si="66"/>
        <v>0.81079846084147456</v>
      </c>
      <c r="AN105" s="3538">
        <f t="shared" si="74"/>
        <v>0.16731876226868891</v>
      </c>
      <c r="AO105" s="3093"/>
      <c r="AP105" s="3093"/>
      <c r="AQ105" s="3093"/>
      <c r="AR105" s="3093"/>
      <c r="AS105" s="3093"/>
      <c r="AT105" s="3658"/>
      <c r="AU105" s="3649"/>
      <c r="AV105" s="3623">
        <f t="shared" si="67"/>
        <v>0</v>
      </c>
      <c r="AW105" s="3623">
        <f t="shared" si="68"/>
        <v>0</v>
      </c>
      <c r="AX105" s="39"/>
      <c r="AY105" s="3344">
        <f t="shared" si="76"/>
        <v>1.5392335147998677</v>
      </c>
      <c r="AZ105" s="3635">
        <f t="shared" si="70"/>
        <v>1</v>
      </c>
    </row>
    <row r="106" spans="1:52" s="3317" customFormat="1" ht="16.2">
      <c r="A106" s="3660" t="s">
        <v>29</v>
      </c>
      <c r="B106" s="3661" t="s">
        <v>1993</v>
      </c>
      <c r="C106" s="3662"/>
      <c r="D106" s="3662">
        <f>D105/C105</f>
        <v>1.1605034813689843</v>
      </c>
      <c r="E106" s="3662">
        <f>E105/D105</f>
        <v>1.1981552401591851</v>
      </c>
      <c r="F106" s="3662">
        <f>F105/E105</f>
        <v>1.0935440214673533</v>
      </c>
      <c r="G106" s="3662">
        <f>G105/F105</f>
        <v>1.1644353585260347</v>
      </c>
      <c r="H106" s="3662">
        <f>H105/G105</f>
        <v>1.0886115690340696</v>
      </c>
      <c r="I106" s="3662"/>
      <c r="J106" s="3662">
        <f>(D106*E106*F106*G106*H106)^(1/5)-1</f>
        <v>0.14024145921695053</v>
      </c>
      <c r="K106" s="3662"/>
      <c r="L106" s="3662">
        <f>L105/H105</f>
        <v>1.0446006055865622</v>
      </c>
      <c r="M106" s="3662">
        <f>M105/L105</f>
        <v>1.1623839292824962</v>
      </c>
      <c r="N106" s="3662"/>
      <c r="O106" s="3662">
        <f>O105/M105</f>
        <v>1.0341493429338433</v>
      </c>
      <c r="P106" s="3662"/>
      <c r="Q106" s="3663">
        <f>Q105/O105</f>
        <v>1.0528678385167205</v>
      </c>
      <c r="R106" s="3663"/>
      <c r="S106" s="3663">
        <f>S105/Q105</f>
        <v>1.1934243347544409</v>
      </c>
      <c r="T106" s="3518"/>
      <c r="U106" s="3518">
        <f>(L106*M106*O106*Q106*S106)^(1/5)-1</f>
        <v>9.5494939875132578E-2</v>
      </c>
      <c r="V106" s="3518"/>
      <c r="W106" s="3518"/>
      <c r="X106" s="3664"/>
      <c r="Y106" s="3663">
        <f>Y105/S105</f>
        <v>1.0743296641469104</v>
      </c>
      <c r="Z106" s="3665"/>
      <c r="AA106" s="3662">
        <f>AA105/Y105</f>
        <v>1.0289867245370417</v>
      </c>
      <c r="AB106" s="185">
        <f t="shared" si="71"/>
        <v>3.296740723438393</v>
      </c>
      <c r="AC106" s="3327">
        <f t="shared" si="64"/>
        <v>7.2832625879467325E-8</v>
      </c>
      <c r="AD106" s="3327">
        <f t="shared" si="72"/>
        <v>7.912675259565639E-8</v>
      </c>
      <c r="AE106" s="3327"/>
      <c r="AF106" s="3662">
        <f>AF105/AA105</f>
        <v>0.91072002835351562</v>
      </c>
      <c r="AG106" s="3662"/>
      <c r="AH106" s="3662">
        <f>AH105/AF105</f>
        <v>1.2567523023937859</v>
      </c>
      <c r="AI106" s="3662">
        <f>AI105/AH105</f>
        <v>1.0278929455330514</v>
      </c>
      <c r="AJ106" s="39">
        <f t="shared" si="77"/>
        <v>4.3879616366107896</v>
      </c>
      <c r="AK106" s="3662">
        <f>(Y106*AA106*AF106*AH106*AI106)^(1/5)-1</f>
        <v>5.3964444951052348E-2</v>
      </c>
      <c r="AL106" s="3530">
        <f t="shared" si="69"/>
        <v>4.9958883474142187E-8</v>
      </c>
      <c r="AM106" s="3530">
        <f t="shared" si="66"/>
        <v>5.7216429466448797E-8</v>
      </c>
      <c r="AN106" s="3538" t="e">
        <f t="shared" si="74"/>
        <v>#DIV/0!</v>
      </c>
      <c r="AO106" s="3093"/>
      <c r="AP106" s="3093"/>
      <c r="AQ106" s="3093"/>
      <c r="AR106" s="3093"/>
      <c r="AS106" s="3093"/>
      <c r="AT106" s="3658"/>
      <c r="AU106" s="3649"/>
      <c r="AV106" s="3623">
        <f t="shared" si="67"/>
        <v>0</v>
      </c>
      <c r="AW106" s="3623">
        <f t="shared" si="68"/>
        <v>0</v>
      </c>
      <c r="AX106" s="39"/>
      <c r="AY106" s="3344">
        <f t="shared" si="76"/>
        <v>9.2845537488307424E-8</v>
      </c>
      <c r="AZ106" s="3635">
        <f t="shared" si="70"/>
        <v>6.0319332054291502E-8</v>
      </c>
    </row>
    <row r="107" spans="1:52" s="3317" customFormat="1" ht="16.2">
      <c r="A107" s="3660" t="s">
        <v>29</v>
      </c>
      <c r="B107" s="3661" t="s">
        <v>2101</v>
      </c>
      <c r="C107" s="3662"/>
      <c r="D107" s="3662">
        <f>D105/D8</f>
        <v>0.90621053771439442</v>
      </c>
      <c r="E107" s="3662">
        <f>E105/E8</f>
        <v>0.89724117480132248</v>
      </c>
      <c r="F107" s="3662">
        <f>F105/F8</f>
        <v>0.89433074820893232</v>
      </c>
      <c r="G107" s="3662">
        <f>G105/G8</f>
        <v>0.93486348259215546</v>
      </c>
      <c r="H107" s="3662">
        <f>H105/H8</f>
        <v>0.93959987029095349</v>
      </c>
      <c r="I107" s="3662"/>
      <c r="J107" s="3662"/>
      <c r="K107" s="3662">
        <f>AVERAGE(D107:H107)</f>
        <v>0.91444916272155174</v>
      </c>
      <c r="L107" s="3662">
        <f>L105/L8</f>
        <v>0.91936440815669718</v>
      </c>
      <c r="M107" s="3662">
        <f>M105/M8</f>
        <v>0.93147000596987972</v>
      </c>
      <c r="N107" s="3662"/>
      <c r="O107" s="3662">
        <f>O105/O8</f>
        <v>0.85152108360064793</v>
      </c>
      <c r="P107" s="3662"/>
      <c r="Q107" s="3663">
        <f>Q105/Q8</f>
        <v>0.90876424651598708</v>
      </c>
      <c r="R107" s="3663"/>
      <c r="S107" s="3663">
        <f>S105/S8</f>
        <v>0.90369847738754938</v>
      </c>
      <c r="T107" s="3518"/>
      <c r="U107" s="3518"/>
      <c r="V107" s="3518">
        <f>AVERAGE(L107:S107)</f>
        <v>0.90296364432615217</v>
      </c>
      <c r="W107" s="3518"/>
      <c r="X107" s="3664"/>
      <c r="Y107" s="3663">
        <f>Y105/Y8</f>
        <v>0.9575270213857644</v>
      </c>
      <c r="Z107" s="3665"/>
      <c r="AA107" s="3662">
        <f>AA105/AA8</f>
        <v>0.90165348648608434</v>
      </c>
      <c r="AB107" s="185">
        <f t="shared" si="71"/>
        <v>2.7628789852593982</v>
      </c>
      <c r="AC107" s="3327">
        <f t="shared" si="64"/>
        <v>6.103838559489935E-8</v>
      </c>
      <c r="AD107" s="3327">
        <f t="shared" si="72"/>
        <v>6.6313265208902295E-8</v>
      </c>
      <c r="AE107" s="3327"/>
      <c r="AF107" s="3662">
        <f>AF105/AF8</f>
        <v>0.8338490625313093</v>
      </c>
      <c r="AG107" s="3662"/>
      <c r="AH107" s="3662">
        <f>AH105/AH8</f>
        <v>0.84889317714204249</v>
      </c>
      <c r="AI107" s="3662">
        <f>AI105/AI8</f>
        <v>0.83542239123190065</v>
      </c>
      <c r="AJ107" s="39">
        <f t="shared" si="77"/>
        <v>3.5434960762457921</v>
      </c>
      <c r="AK107" s="3662"/>
      <c r="AL107" s="3530">
        <f t="shared" si="69"/>
        <v>4.0344269668906859E-8</v>
      </c>
      <c r="AM107" s="3530">
        <f t="shared" si="66"/>
        <v>4.6205097059087837E-8</v>
      </c>
      <c r="AN107" s="3538" t="e">
        <f t="shared" si="74"/>
        <v>#DIV/0!</v>
      </c>
      <c r="AO107" s="3093"/>
      <c r="AP107" s="3093"/>
      <c r="AQ107" s="3093"/>
      <c r="AR107" s="3093"/>
      <c r="AS107" s="3093"/>
      <c r="AT107" s="3658"/>
      <c r="AU107" s="3649"/>
      <c r="AV107" s="3623">
        <f t="shared" si="67"/>
        <v>0</v>
      </c>
      <c r="AW107" s="3623">
        <f t="shared" si="68"/>
        <v>0</v>
      </c>
      <c r="AX107" s="39"/>
      <c r="AY107" s="3344">
        <f t="shared" si="76"/>
        <v>7.5460427353617623E-8</v>
      </c>
      <c r="AZ107" s="3635">
        <f t="shared" si="70"/>
        <v>4.9024677950459677E-8</v>
      </c>
    </row>
    <row r="108" spans="1:52" s="2028" customFormat="1">
      <c r="A108" s="3626" t="s">
        <v>99</v>
      </c>
      <c r="B108" s="1606" t="s">
        <v>1680</v>
      </c>
      <c r="C108" s="39">
        <f t="shared" ref="C108:H108" si="84">C11</f>
        <v>881389.27447200008</v>
      </c>
      <c r="D108" s="39">
        <f t="shared" si="84"/>
        <v>1296865.3711568909</v>
      </c>
      <c r="E108" s="39">
        <f t="shared" si="84"/>
        <v>1283487.4238549999</v>
      </c>
      <c r="F108" s="39">
        <f t="shared" si="84"/>
        <v>1221622.2457999999</v>
      </c>
      <c r="G108" s="39">
        <f t="shared" si="84"/>
        <v>1952654.9714940002</v>
      </c>
      <c r="H108" s="39">
        <f t="shared" si="84"/>
        <v>1868861</v>
      </c>
      <c r="I108" s="39">
        <f>SUM(D108:H108)</f>
        <v>7623491.0123058911</v>
      </c>
      <c r="J108" s="3529"/>
      <c r="K108" s="3529"/>
      <c r="L108" s="39">
        <f>L11</f>
        <v>2029265</v>
      </c>
      <c r="M108" s="39">
        <f>M11</f>
        <v>1800118</v>
      </c>
      <c r="N108" s="39"/>
      <c r="O108" s="39">
        <f>O11</f>
        <v>2605155</v>
      </c>
      <c r="P108" s="39"/>
      <c r="Q108" s="147">
        <f>Q11</f>
        <v>2582125.2288760003</v>
      </c>
      <c r="R108" s="147"/>
      <c r="S108" s="147">
        <f>S11</f>
        <v>4460541</v>
      </c>
      <c r="T108" s="185">
        <f>SUM(L108:S108)</f>
        <v>13477204.228876</v>
      </c>
      <c r="U108" s="3329"/>
      <c r="V108" s="3329"/>
      <c r="W108" s="3329"/>
      <c r="X108" s="3345"/>
      <c r="Y108" s="147">
        <f>Y11</f>
        <v>4460541</v>
      </c>
      <c r="Z108" s="39"/>
      <c r="AA108" s="39">
        <f>AA11</f>
        <v>5399002.1306710001</v>
      </c>
      <c r="AB108" s="185">
        <f t="shared" si="71"/>
        <v>14320084.130671</v>
      </c>
      <c r="AC108" s="3327">
        <f t="shared" si="64"/>
        <v>0.31636377184186781</v>
      </c>
      <c r="AD108" s="3327">
        <f t="shared" si="72"/>
        <v>0.34370363010373511</v>
      </c>
      <c r="AE108" s="3327"/>
      <c r="AF108" s="39">
        <f>AF11</f>
        <v>3561000</v>
      </c>
      <c r="AG108" s="39"/>
      <c r="AH108" s="39">
        <f>AH11</f>
        <v>4863186.4089698764</v>
      </c>
      <c r="AI108" s="39">
        <f>AI11</f>
        <v>4735000</v>
      </c>
      <c r="AJ108" s="39">
        <f t="shared" si="77"/>
        <v>19457729.539640877</v>
      </c>
      <c r="AK108" s="3529"/>
      <c r="AL108" s="3530">
        <f t="shared" si="69"/>
        <v>0.22153485450550137</v>
      </c>
      <c r="AM108" s="3530">
        <f t="shared" si="66"/>
        <v>0.25371730702777995</v>
      </c>
      <c r="AN108" s="3538">
        <f t="shared" si="74"/>
        <v>0.44375118230761235</v>
      </c>
      <c r="AO108" s="39"/>
      <c r="AP108" s="39"/>
      <c r="AQ108" s="39"/>
      <c r="AR108" s="39"/>
      <c r="AS108" s="39"/>
      <c r="AT108" s="3657"/>
      <c r="AU108" s="3633"/>
      <c r="AV108" s="3623">
        <f t="shared" si="67"/>
        <v>0</v>
      </c>
      <c r="AW108" s="3623">
        <f t="shared" si="68"/>
        <v>0</v>
      </c>
      <c r="AX108" s="39"/>
      <c r="AY108" s="3344">
        <f t="shared" si="76"/>
        <v>0.42769397525065489</v>
      </c>
      <c r="AZ108" s="3635">
        <f t="shared" si="70"/>
        <v>0.27786165720687545</v>
      </c>
    </row>
    <row r="109" spans="1:52" s="3680" customFormat="1" ht="16.2">
      <c r="A109" s="3660" t="s">
        <v>29</v>
      </c>
      <c r="B109" s="3661" t="s">
        <v>1993</v>
      </c>
      <c r="C109" s="3662"/>
      <c r="D109" s="3662">
        <f>D108/C108</f>
        <v>1.4713877383336478</v>
      </c>
      <c r="E109" s="3662">
        <f>E108/D108</f>
        <v>0.98968439777988915</v>
      </c>
      <c r="F109" s="3662">
        <f>F108/E108</f>
        <v>0.95179915525063286</v>
      </c>
      <c r="G109" s="3662">
        <f>G108/F108</f>
        <v>1.5984114387302035</v>
      </c>
      <c r="H109" s="3662">
        <f>H108/G108</f>
        <v>0.95708715942279943</v>
      </c>
      <c r="I109" s="3662"/>
      <c r="J109" s="3662">
        <f>(D109*E109*F109*G109*H109)^(1/5)-1</f>
        <v>0.16220261413492998</v>
      </c>
      <c r="K109" s="3662"/>
      <c r="L109" s="3662">
        <f>L108/H108</f>
        <v>1.0858298182689885</v>
      </c>
      <c r="M109" s="3662">
        <f>M108/L108</f>
        <v>0.8870788191783725</v>
      </c>
      <c r="N109" s="3662"/>
      <c r="O109" s="3662">
        <f>O108/M108</f>
        <v>1.4472134604509259</v>
      </c>
      <c r="P109" s="3662"/>
      <c r="Q109" s="3663">
        <f>Q108/O108</f>
        <v>0.99115992287445476</v>
      </c>
      <c r="R109" s="3663"/>
      <c r="S109" s="3663">
        <f>S108/Q108</f>
        <v>1.7274688888507839</v>
      </c>
      <c r="T109" s="3518"/>
      <c r="U109" s="3518">
        <f>(L109*M109*O109*Q109*S109)^(1/5)-1</f>
        <v>0.19004150057437119</v>
      </c>
      <c r="V109" s="3518"/>
      <c r="W109" s="3518"/>
      <c r="X109" s="3664"/>
      <c r="Y109" s="3663">
        <f>Y108/S108</f>
        <v>1</v>
      </c>
      <c r="Z109" s="3665"/>
      <c r="AA109" s="3662">
        <f>AA108/Y108</f>
        <v>1.2103917732559795</v>
      </c>
      <c r="AB109" s="185">
        <f t="shared" si="71"/>
        <v>3.9378606621067638</v>
      </c>
      <c r="AC109" s="3327">
        <f t="shared" si="64"/>
        <v>8.6996447833958094E-8</v>
      </c>
      <c r="AD109" s="3327">
        <f t="shared" si="72"/>
        <v>9.4514598661465625E-8</v>
      </c>
      <c r="AE109" s="3327"/>
      <c r="AF109" s="3662">
        <f>AF108/AA108</f>
        <v>0.65956632611245714</v>
      </c>
      <c r="AG109" s="3662"/>
      <c r="AH109" s="3662">
        <f>AH108/AF108</f>
        <v>1.365679980053321</v>
      </c>
      <c r="AI109" s="3662">
        <f>AI108/AH108</f>
        <v>0.97364147737922535</v>
      </c>
      <c r="AJ109" s="39">
        <f t="shared" si="77"/>
        <v>4.5497132306885266</v>
      </c>
      <c r="AK109" s="3662">
        <f>(Y109*AA109*AF109*AH109*AI109)^(1/5)-1</f>
        <v>1.2013927885006881E-2</v>
      </c>
      <c r="AL109" s="3530">
        <f t="shared" si="69"/>
        <v>5.1800496895021599E-8</v>
      </c>
      <c r="AM109" s="3530">
        <f t="shared" si="66"/>
        <v>5.9325574769000448E-8</v>
      </c>
      <c r="AN109" s="3538" t="e">
        <f t="shared" si="74"/>
        <v>#DIV/0!</v>
      </c>
      <c r="AO109" s="3675"/>
      <c r="AP109" s="3675"/>
      <c r="AQ109" s="3675"/>
      <c r="AR109" s="3675"/>
      <c r="AS109" s="3675"/>
      <c r="AT109" s="3678"/>
      <c r="AU109" s="3679"/>
      <c r="AV109" s="3623">
        <f t="shared" si="67"/>
        <v>0</v>
      </c>
      <c r="AW109" s="3623">
        <f t="shared" si="68"/>
        <v>0</v>
      </c>
      <c r="AX109" s="3675"/>
      <c r="AY109" s="3344">
        <f t="shared" si="76"/>
        <v>8.7945215190969676E-8</v>
      </c>
      <c r="AZ109" s="3635">
        <f t="shared" si="70"/>
        <v>5.7135720048562218E-8</v>
      </c>
    </row>
    <row r="110" spans="1:52" s="3671" customFormat="1" ht="16.2">
      <c r="A110" s="3672" t="s">
        <v>29</v>
      </c>
      <c r="B110" s="3673" t="s">
        <v>69</v>
      </c>
      <c r="C110" s="3662">
        <f t="shared" ref="C110:H110" si="85">C108/C105</f>
        <v>0.20457012967758861</v>
      </c>
      <c r="D110" s="3662">
        <f t="shared" si="85"/>
        <v>0.25937188924401339</v>
      </c>
      <c r="E110" s="3662">
        <f t="shared" si="85"/>
        <v>0.21424294899665022</v>
      </c>
      <c r="F110" s="3662">
        <f t="shared" si="85"/>
        <v>0.18647283865152001</v>
      </c>
      <c r="G110" s="3662">
        <f t="shared" si="85"/>
        <v>0.2559698278918392</v>
      </c>
      <c r="H110" s="3662">
        <f t="shared" si="85"/>
        <v>0.22504393894354807</v>
      </c>
      <c r="I110" s="3662">
        <f>(D110*E110*F110*G110*H110)^(1/5)</f>
        <v>0.22655842895540435</v>
      </c>
      <c r="J110" s="3662"/>
      <c r="K110" s="3662"/>
      <c r="L110" s="3662">
        <f>L108/L105</f>
        <v>0.23392617046052536</v>
      </c>
      <c r="M110" s="3662">
        <f>M108/M105</f>
        <v>0.17852186858358546</v>
      </c>
      <c r="N110" s="3662"/>
      <c r="O110" s="3662">
        <f>O108/O105</f>
        <v>0.24982779611507613</v>
      </c>
      <c r="P110" s="3662"/>
      <c r="Q110" s="3663">
        <f>Q108/Q105</f>
        <v>0.23518554757846891</v>
      </c>
      <c r="R110" s="3663"/>
      <c r="S110" s="3663">
        <f>S108/S105</f>
        <v>0.34042855061501337</v>
      </c>
      <c r="T110" s="3518">
        <f>(L110*M110*O110*Q110*S110)^(1/5)</f>
        <v>0.24230898567060016</v>
      </c>
      <c r="U110" s="3518"/>
      <c r="V110" s="3518"/>
      <c r="W110" s="3518">
        <f>T110-I110</f>
        <v>1.5750556715195818E-2</v>
      </c>
      <c r="X110" s="3664"/>
      <c r="Y110" s="3663">
        <f>Y108/Y105</f>
        <v>0.31687531488329179</v>
      </c>
      <c r="Z110" s="3665"/>
      <c r="AA110" s="3662">
        <f>AA108/AA105</f>
        <v>0.37273879743705823</v>
      </c>
      <c r="AB110" s="185">
        <f t="shared" si="71"/>
        <v>1.0300426629353634</v>
      </c>
      <c r="AC110" s="3327">
        <f t="shared" si="64"/>
        <v>2.2756024268483398E-8</v>
      </c>
      <c r="AD110" s="3327">
        <f t="shared" si="72"/>
        <v>2.4722578385858517E-8</v>
      </c>
      <c r="AE110" s="3327"/>
      <c r="AF110" s="3662">
        <f>AF108/AF105</f>
        <v>0.26994680205902472</v>
      </c>
      <c r="AG110" s="3662"/>
      <c r="AH110" s="3662">
        <f>AH108/AH105</f>
        <v>0.29334415584457146</v>
      </c>
      <c r="AI110" s="3662">
        <f>AI108/AI105</f>
        <v>0.27786165720687545</v>
      </c>
      <c r="AJ110" s="39">
        <f t="shared" si="77"/>
        <v>1.2608199253717971</v>
      </c>
      <c r="AK110" s="3662"/>
      <c r="AL110" s="3530">
        <f t="shared" si="69"/>
        <v>1.4354992351796939E-8</v>
      </c>
      <c r="AM110" s="3530">
        <f t="shared" si="66"/>
        <v>1.6440347547260796E-8</v>
      </c>
      <c r="AN110" s="3538">
        <f t="shared" si="74"/>
        <v>4.203356045102602</v>
      </c>
      <c r="AO110" s="3668"/>
      <c r="AP110" s="3668"/>
      <c r="AQ110" s="3668"/>
      <c r="AR110" s="3668"/>
      <c r="AS110" s="3668"/>
      <c r="AT110" s="3669"/>
      <c r="AU110" s="3670"/>
      <c r="AV110" s="3623">
        <f t="shared" si="67"/>
        <v>0</v>
      </c>
      <c r="AW110" s="3623">
        <f t="shared" si="68"/>
        <v>0</v>
      </c>
      <c r="AX110" s="3668"/>
      <c r="AY110" s="3344">
        <f t="shared" si="76"/>
        <v>2.5098153482691307E-8</v>
      </c>
      <c r="AZ110" s="3635">
        <f t="shared" si="70"/>
        <v>1.630561785549127E-8</v>
      </c>
    </row>
    <row r="111" spans="1:52" s="2028" customFormat="1">
      <c r="A111" s="3626" t="s">
        <v>101</v>
      </c>
      <c r="B111" s="1606" t="s">
        <v>209</v>
      </c>
      <c r="C111" s="39">
        <f t="shared" ref="C111:H111" si="86">C16</f>
        <v>2567842.2054460002</v>
      </c>
      <c r="D111" s="39">
        <f t="shared" si="86"/>
        <v>3701157.4722469999</v>
      </c>
      <c r="E111" s="39">
        <f t="shared" si="86"/>
        <v>4705316.1468850002</v>
      </c>
      <c r="F111" s="39">
        <f t="shared" si="86"/>
        <v>5327585.1827680003</v>
      </c>
      <c r="G111" s="39">
        <f t="shared" si="86"/>
        <v>5673802.5993690006</v>
      </c>
      <c r="H111" s="39">
        <f t="shared" si="86"/>
        <v>5943201.1655269992</v>
      </c>
      <c r="I111" s="39">
        <f>SUM(D111:H111)</f>
        <v>25351062.566796005</v>
      </c>
      <c r="J111" s="3529"/>
      <c r="K111" s="3529"/>
      <c r="L111" s="39">
        <f>L16</f>
        <v>6231312.6461589998</v>
      </c>
      <c r="M111" s="39">
        <f>M16</f>
        <v>7010541.32228</v>
      </c>
      <c r="N111" s="39"/>
      <c r="O111" s="39">
        <f>O16</f>
        <v>7541051.8326360006</v>
      </c>
      <c r="P111" s="39"/>
      <c r="Q111" s="147">
        <f>Q16</f>
        <v>8394673</v>
      </c>
      <c r="R111" s="147"/>
      <c r="S111" s="147">
        <f>S16</f>
        <v>8639182</v>
      </c>
      <c r="T111" s="185">
        <f>SUM(L111:S111)</f>
        <v>37816760.801074997</v>
      </c>
      <c r="U111" s="3329"/>
      <c r="V111" s="3329"/>
      <c r="W111" s="3329"/>
      <c r="X111" s="3345"/>
      <c r="Y111" s="147">
        <f>Y16</f>
        <v>9613280</v>
      </c>
      <c r="Z111" s="39"/>
      <c r="AA111" s="39">
        <f>AA16</f>
        <v>9081902.7744820006</v>
      </c>
      <c r="AB111" s="185">
        <f t="shared" si="71"/>
        <v>27334364.774482001</v>
      </c>
      <c r="AC111" s="3327">
        <f t="shared" si="64"/>
        <v>0.60387932515249887</v>
      </c>
      <c r="AD111" s="3327">
        <f t="shared" si="72"/>
        <v>0.65606600588658048</v>
      </c>
      <c r="AE111" s="3327"/>
      <c r="AF111" s="39">
        <f>AF16</f>
        <v>9353865</v>
      </c>
      <c r="AG111" s="39"/>
      <c r="AH111" s="39">
        <f>AH16</f>
        <v>10664978.394711081</v>
      </c>
      <c r="AI111" s="39">
        <f>AI16</f>
        <v>11071000</v>
      </c>
      <c r="AJ111" s="39">
        <f t="shared" si="77"/>
        <v>40431161.169193082</v>
      </c>
      <c r="AK111" s="3529"/>
      <c r="AL111" s="3530">
        <f t="shared" si="69"/>
        <v>0.46032664750827756</v>
      </c>
      <c r="AM111" s="3530">
        <f t="shared" si="66"/>
        <v>0.52719847456791946</v>
      </c>
      <c r="AN111" s="3538">
        <f t="shared" si="74"/>
        <v>6.9133376649323397E-2</v>
      </c>
      <c r="AO111" s="39"/>
      <c r="AP111" s="39"/>
      <c r="AQ111" s="39"/>
      <c r="AR111" s="39"/>
      <c r="AS111" s="39"/>
      <c r="AT111" s="3657"/>
      <c r="AU111" s="3633"/>
      <c r="AV111" s="3623">
        <f t="shared" si="67"/>
        <v>0</v>
      </c>
      <c r="AW111" s="3623">
        <f t="shared" si="68"/>
        <v>0</v>
      </c>
      <c r="AX111" s="39"/>
      <c r="AY111" s="3344">
        <f t="shared" si="76"/>
        <v>1</v>
      </c>
      <c r="AZ111" s="3635">
        <f t="shared" si="70"/>
        <v>0.64967400357704708</v>
      </c>
    </row>
    <row r="112" spans="1:52" s="2028" customFormat="1" ht="16.2">
      <c r="A112" s="3660" t="s">
        <v>29</v>
      </c>
      <c r="B112" s="3661" t="s">
        <v>1993</v>
      </c>
      <c r="C112" s="3662"/>
      <c r="D112" s="3662">
        <f>D111/C111</f>
        <v>1.4413492637504794</v>
      </c>
      <c r="E112" s="3662">
        <f>E111/D111</f>
        <v>1.2713093625893113</v>
      </c>
      <c r="F112" s="3662">
        <f>F111/E111</f>
        <v>1.1322480820539451</v>
      </c>
      <c r="G112" s="3662">
        <f>G111/F111</f>
        <v>1.0649858058996102</v>
      </c>
      <c r="H112" s="3662">
        <f>H111/G111</f>
        <v>1.0474811312941974</v>
      </c>
      <c r="I112" s="3662"/>
      <c r="J112" s="3662">
        <f>(D112*E112*F112*G112*H112)^(1/5)-1</f>
        <v>0.18274309036120373</v>
      </c>
      <c r="K112" s="3662"/>
      <c r="L112" s="3662">
        <f>L111/H111</f>
        <v>1.0484774909358892</v>
      </c>
      <c r="M112" s="3662">
        <f>M111/L111</f>
        <v>1.1250504862087636</v>
      </c>
      <c r="N112" s="3662"/>
      <c r="O112" s="3662">
        <f>O111/M111</f>
        <v>1.0756732591633118</v>
      </c>
      <c r="P112" s="3662"/>
      <c r="Q112" s="3663">
        <f>Q111/O111</f>
        <v>1.1131965654538689</v>
      </c>
      <c r="R112" s="3663"/>
      <c r="S112" s="3663">
        <f>S111/Q111</f>
        <v>1.0291266854587426</v>
      </c>
      <c r="T112" s="3518"/>
      <c r="U112" s="3518">
        <f>(L112*M112*O112*Q112*S112)^(1/5)-1</f>
        <v>7.7681527159997543E-2</v>
      </c>
      <c r="V112" s="3518"/>
      <c r="W112" s="3518"/>
      <c r="X112" s="3664"/>
      <c r="Y112" s="3663">
        <f>Y111/S111</f>
        <v>1.1127534991160042</v>
      </c>
      <c r="Z112" s="3665"/>
      <c r="AA112" s="3662">
        <f>AA111/Y111</f>
        <v>0.94472466988187176</v>
      </c>
      <c r="AB112" s="185">
        <f t="shared" si="71"/>
        <v>3.0866048544566187</v>
      </c>
      <c r="AC112" s="3327">
        <f t="shared" si="64"/>
        <v>6.8190238620864834E-8</v>
      </c>
      <c r="AD112" s="3327">
        <f t="shared" si="72"/>
        <v>7.4083174616296128E-8</v>
      </c>
      <c r="AE112" s="3327"/>
      <c r="AF112" s="3662">
        <f>AF111/AA111</f>
        <v>1.0299455116698837</v>
      </c>
      <c r="AG112" s="3662"/>
      <c r="AH112" s="3662">
        <f>AH111/AF111</f>
        <v>1.1401680903787985</v>
      </c>
      <c r="AI112" s="3662">
        <f>AI111/AH111</f>
        <v>1.0380705511311932</v>
      </c>
      <c r="AJ112" s="39">
        <f t="shared" si="77"/>
        <v>4.235716810507868</v>
      </c>
      <c r="AK112" s="3662">
        <f>(Y112*AA112*AF112*AH112*AI112)^(1/5)-1</f>
        <v>5.0855122278439024E-2</v>
      </c>
      <c r="AL112" s="3530">
        <f t="shared" si="69"/>
        <v>4.8225508810299027E-8</v>
      </c>
      <c r="AM112" s="3530">
        <f t="shared" si="66"/>
        <v>5.523124680631101E-8</v>
      </c>
      <c r="AN112" s="3538" t="e">
        <f t="shared" si="74"/>
        <v>#DIV/0!</v>
      </c>
      <c r="AO112" s="39"/>
      <c r="AP112" s="39"/>
      <c r="AQ112" s="39"/>
      <c r="AR112" s="39"/>
      <c r="AS112" s="39"/>
      <c r="AT112" s="3657"/>
      <c r="AU112" s="3633"/>
      <c r="AV112" s="3623">
        <f t="shared" si="67"/>
        <v>0</v>
      </c>
      <c r="AW112" s="3623">
        <f t="shared" si="68"/>
        <v>0</v>
      </c>
      <c r="AX112" s="39"/>
      <c r="AY112" s="3344">
        <f t="shared" si="76"/>
        <v>9.3764840676650094E-8</v>
      </c>
      <c r="AZ112" s="3635">
        <f t="shared" si="70"/>
        <v>6.091657943716323E-8</v>
      </c>
    </row>
    <row r="113" spans="1:52" s="3671" customFormat="1" ht="16.2">
      <c r="A113" s="3672" t="s">
        <v>29</v>
      </c>
      <c r="B113" s="3673" t="s">
        <v>69</v>
      </c>
      <c r="C113" s="3662">
        <f>C111/C105</f>
        <v>0.59599524089325784</v>
      </c>
      <c r="D113" s="3662">
        <f t="shared" ref="D113:I113" si="87">D111/D105</f>
        <v>0.74022811258345056</v>
      </c>
      <c r="E113" s="3662">
        <f t="shared" si="87"/>
        <v>0.7854232059729821</v>
      </c>
      <c r="F113" s="3662">
        <f t="shared" si="87"/>
        <v>0.81322187411375157</v>
      </c>
      <c r="G113" s="3662">
        <f t="shared" si="87"/>
        <v>0.74376799591049281</v>
      </c>
      <c r="H113" s="3662">
        <f t="shared" si="87"/>
        <v>0.71566660132780435</v>
      </c>
      <c r="I113" s="3662">
        <f t="shared" si="87"/>
        <v>0.7573151375078313</v>
      </c>
      <c r="J113" s="3662"/>
      <c r="K113" s="3662"/>
      <c r="L113" s="3662">
        <f>L111/L105</f>
        <v>0.71832269529027382</v>
      </c>
      <c r="M113" s="3662">
        <f>M111/M105</f>
        <v>0.69525160941441921</v>
      </c>
      <c r="N113" s="3662"/>
      <c r="O113" s="3662">
        <f>O111/O105</f>
        <v>0.72316785747374257</v>
      </c>
      <c r="P113" s="3662"/>
      <c r="Q113" s="3663">
        <f>Q111/Q105</f>
        <v>0.76460496344966355</v>
      </c>
      <c r="R113" s="3663"/>
      <c r="S113" s="3663">
        <f>S111/S105</f>
        <v>0.65934248934362727</v>
      </c>
      <c r="T113" s="3518">
        <f>(L113*M113*O113*Q113*S113)^(1/5)</f>
        <v>0.71129503370984404</v>
      </c>
      <c r="U113" s="3518"/>
      <c r="V113" s="3518"/>
      <c r="W113" s="3518"/>
      <c r="X113" s="3664"/>
      <c r="Y113" s="3663">
        <f>Y111/Y105</f>
        <v>0.68292414015727043</v>
      </c>
      <c r="Z113" s="3665"/>
      <c r="AA113" s="3662">
        <f>AA111/AA105</f>
        <v>0.62700058949226356</v>
      </c>
      <c r="AB113" s="185">
        <f t="shared" si="71"/>
        <v>1.9692672189931613</v>
      </c>
      <c r="AC113" s="3327">
        <f t="shared" si="64"/>
        <v>4.3505666550579805E-8</v>
      </c>
      <c r="AD113" s="3327">
        <f t="shared" si="72"/>
        <v>4.7265385149697543E-8</v>
      </c>
      <c r="AE113" s="3327"/>
      <c r="AF113" s="3662">
        <f>AF111/AF105</f>
        <v>0.70908338771183355</v>
      </c>
      <c r="AG113" s="3662"/>
      <c r="AH113" s="3662">
        <f>AH111/AH105</f>
        <v>0.64330437314242239</v>
      </c>
      <c r="AI113" s="3662">
        <f>AI111/AI105</f>
        <v>0.64967400357704708</v>
      </c>
      <c r="AJ113" s="39">
        <f t="shared" si="77"/>
        <v>2.6029031063690033</v>
      </c>
      <c r="AK113" s="3662"/>
      <c r="AL113" s="3530">
        <f t="shared" si="69"/>
        <v>2.9635202801365353E-8</v>
      </c>
      <c r="AM113" s="3530">
        <f t="shared" si="66"/>
        <v>3.3940319977043701E-8</v>
      </c>
      <c r="AN113" s="3538">
        <f t="shared" si="74"/>
        <v>2.6593860255051296</v>
      </c>
      <c r="AO113" s="3668"/>
      <c r="AP113" s="3668"/>
      <c r="AQ113" s="3668"/>
      <c r="AR113" s="3668"/>
      <c r="AS113" s="3668"/>
      <c r="AT113" s="3669"/>
      <c r="AU113" s="3670"/>
      <c r="AV113" s="3623">
        <f t="shared" si="67"/>
        <v>0</v>
      </c>
      <c r="AW113" s="3623">
        <f t="shared" si="68"/>
        <v>0</v>
      </c>
      <c r="AX113" s="3668"/>
      <c r="AY113" s="3344">
        <f t="shared" si="76"/>
        <v>5.8682504161958911E-8</v>
      </c>
      <c r="AZ113" s="3635">
        <f t="shared" si="70"/>
        <v>3.8124497418826572E-8</v>
      </c>
    </row>
    <row r="114" spans="1:52" s="2028" customFormat="1">
      <c r="A114" s="3626" t="s">
        <v>147</v>
      </c>
      <c r="B114" s="1606" t="s">
        <v>176</v>
      </c>
      <c r="C114" s="39">
        <f t="shared" ref="C114:H114" si="88">C32</f>
        <v>0</v>
      </c>
      <c r="D114" s="39">
        <f t="shared" si="88"/>
        <v>0</v>
      </c>
      <c r="E114" s="39">
        <f t="shared" si="88"/>
        <v>0</v>
      </c>
      <c r="F114" s="39">
        <f t="shared" si="88"/>
        <v>0</v>
      </c>
      <c r="G114" s="39">
        <f t="shared" si="88"/>
        <v>0</v>
      </c>
      <c r="H114" s="39">
        <f t="shared" si="88"/>
        <v>0</v>
      </c>
      <c r="I114" s="39">
        <f>SUM(D114:H114)</f>
        <v>0</v>
      </c>
      <c r="J114" s="3529"/>
      <c r="K114" s="3529"/>
      <c r="L114" s="39">
        <f>L32</f>
        <v>412232</v>
      </c>
      <c r="M114" s="39">
        <f>M32</f>
        <v>1270800</v>
      </c>
      <c r="N114" s="39"/>
      <c r="O114" s="39">
        <f>O32</f>
        <v>279496</v>
      </c>
      <c r="P114" s="39"/>
      <c r="Q114" s="147">
        <f>Q32</f>
        <v>0</v>
      </c>
      <c r="R114" s="147"/>
      <c r="S114" s="147">
        <f>S32</f>
        <v>0</v>
      </c>
      <c r="T114" s="185">
        <f>SUM(L114:S114)</f>
        <v>1962528</v>
      </c>
      <c r="U114" s="3329"/>
      <c r="V114" s="3329"/>
      <c r="W114" s="3329"/>
      <c r="X114" s="3345"/>
      <c r="Y114" s="147">
        <f>Y32</f>
        <v>0</v>
      </c>
      <c r="Z114" s="39"/>
      <c r="AA114" s="39">
        <f>AA32</f>
        <v>0</v>
      </c>
      <c r="AB114" s="185">
        <f t="shared" si="71"/>
        <v>0</v>
      </c>
      <c r="AC114" s="3327">
        <f t="shared" si="64"/>
        <v>0</v>
      </c>
      <c r="AD114" s="3327">
        <f t="shared" si="72"/>
        <v>0</v>
      </c>
      <c r="AE114" s="3327"/>
      <c r="AF114" s="39">
        <f>AF32</f>
        <v>0</v>
      </c>
      <c r="AG114" s="39"/>
      <c r="AH114" s="39">
        <f>AH32</f>
        <v>0</v>
      </c>
      <c r="AI114" s="39">
        <f>AI32</f>
        <v>0</v>
      </c>
      <c r="AJ114" s="39">
        <f t="shared" si="77"/>
        <v>0</v>
      </c>
      <c r="AK114" s="3529"/>
      <c r="AL114" s="3530">
        <f t="shared" si="69"/>
        <v>0</v>
      </c>
      <c r="AM114" s="3530">
        <f t="shared" si="66"/>
        <v>0</v>
      </c>
      <c r="AN114" s="3538">
        <f t="shared" si="74"/>
        <v>-1</v>
      </c>
      <c r="AO114" s="39"/>
      <c r="AP114" s="39"/>
      <c r="AQ114" s="39"/>
      <c r="AR114" s="39"/>
      <c r="AS114" s="39"/>
      <c r="AT114" s="3657"/>
      <c r="AU114" s="3633"/>
      <c r="AV114" s="3623">
        <f t="shared" si="67"/>
        <v>0</v>
      </c>
      <c r="AW114" s="3623">
        <f t="shared" si="68"/>
        <v>0</v>
      </c>
      <c r="AX114" s="39"/>
      <c r="AY114" s="3344">
        <f t="shared" si="76"/>
        <v>0</v>
      </c>
      <c r="AZ114" s="3635">
        <f t="shared" si="70"/>
        <v>0</v>
      </c>
    </row>
    <row r="115" spans="1:52" s="2028" customFormat="1" ht="16.2">
      <c r="A115" s="3660" t="s">
        <v>29</v>
      </c>
      <c r="B115" s="3661" t="s">
        <v>1993</v>
      </c>
      <c r="C115" s="3662"/>
      <c r="D115" s="3662"/>
      <c r="E115" s="3662"/>
      <c r="F115" s="3662"/>
      <c r="G115" s="3662"/>
      <c r="H115" s="3662"/>
      <c r="I115" s="3662"/>
      <c r="J115" s="3662"/>
      <c r="K115" s="3662"/>
      <c r="L115" s="3662"/>
      <c r="M115" s="3662"/>
      <c r="N115" s="3662"/>
      <c r="O115" s="3662"/>
      <c r="P115" s="3662"/>
      <c r="Q115" s="3663"/>
      <c r="R115" s="3663"/>
      <c r="S115" s="3663"/>
      <c r="T115" s="3518"/>
      <c r="U115" s="3518"/>
      <c r="V115" s="3518"/>
      <c r="W115" s="3518"/>
      <c r="X115" s="3664"/>
      <c r="Y115" s="3663"/>
      <c r="Z115" s="3665"/>
      <c r="AA115" s="3662"/>
      <c r="AB115" s="185">
        <f t="shared" si="71"/>
        <v>0</v>
      </c>
      <c r="AC115" s="3327">
        <f t="shared" si="64"/>
        <v>0</v>
      </c>
      <c r="AD115" s="3327">
        <f t="shared" si="72"/>
        <v>0</v>
      </c>
      <c r="AE115" s="3327"/>
      <c r="AF115" s="3662"/>
      <c r="AG115" s="3662"/>
      <c r="AH115" s="3662"/>
      <c r="AI115" s="3662"/>
      <c r="AJ115" s="39">
        <f t="shared" si="77"/>
        <v>0</v>
      </c>
      <c r="AK115" s="3662"/>
      <c r="AL115" s="3530">
        <f t="shared" si="69"/>
        <v>0</v>
      </c>
      <c r="AM115" s="3530">
        <f t="shared" si="66"/>
        <v>0</v>
      </c>
      <c r="AN115" s="3538" t="e">
        <f t="shared" si="74"/>
        <v>#DIV/0!</v>
      </c>
      <c r="AO115" s="39"/>
      <c r="AP115" s="39"/>
      <c r="AQ115" s="39"/>
      <c r="AR115" s="39"/>
      <c r="AS115" s="39"/>
      <c r="AT115" s="3657"/>
      <c r="AU115" s="3633"/>
      <c r="AV115" s="3623">
        <f t="shared" si="67"/>
        <v>0</v>
      </c>
      <c r="AW115" s="3623">
        <f t="shared" si="68"/>
        <v>0</v>
      </c>
      <c r="AX115" s="39"/>
      <c r="AY115" s="3344">
        <f t="shared" si="76"/>
        <v>0</v>
      </c>
      <c r="AZ115" s="3635">
        <f t="shared" si="70"/>
        <v>0</v>
      </c>
    </row>
    <row r="116" spans="1:52" s="3671" customFormat="1" ht="16.2">
      <c r="A116" s="3672" t="s">
        <v>29</v>
      </c>
      <c r="B116" s="3673" t="s">
        <v>69</v>
      </c>
      <c r="C116" s="3662">
        <f>C114/C105</f>
        <v>0</v>
      </c>
      <c r="D116" s="3662">
        <f t="shared" ref="D116:I116" si="89">D114/D105</f>
        <v>0</v>
      </c>
      <c r="E116" s="3662">
        <f t="shared" si="89"/>
        <v>0</v>
      </c>
      <c r="F116" s="3662">
        <f t="shared" si="89"/>
        <v>0</v>
      </c>
      <c r="G116" s="3662">
        <f t="shared" si="89"/>
        <v>0</v>
      </c>
      <c r="H116" s="3662">
        <f t="shared" si="89"/>
        <v>0</v>
      </c>
      <c r="I116" s="3662">
        <f t="shared" si="89"/>
        <v>0</v>
      </c>
      <c r="J116" s="3662"/>
      <c r="K116" s="3662"/>
      <c r="L116" s="3662">
        <f t="shared" ref="L116:T116" si="90">L114/L105</f>
        <v>4.7520581639797312E-2</v>
      </c>
      <c r="M116" s="3662">
        <f t="shared" si="90"/>
        <v>0.12602817737282801</v>
      </c>
      <c r="N116" s="3662"/>
      <c r="O116" s="3662">
        <f t="shared" si="90"/>
        <v>2.6802961705917429E-2</v>
      </c>
      <c r="P116" s="3662"/>
      <c r="Q116" s="3663">
        <f t="shared" si="90"/>
        <v>0</v>
      </c>
      <c r="R116" s="3663"/>
      <c r="S116" s="3663">
        <f t="shared" si="90"/>
        <v>0</v>
      </c>
      <c r="T116" s="3518">
        <f t="shared" si="90"/>
        <v>3.6842606087245218E-2</v>
      </c>
      <c r="U116" s="3518"/>
      <c r="V116" s="3518"/>
      <c r="W116" s="3518"/>
      <c r="X116" s="3664"/>
      <c r="Y116" s="3663">
        <f t="shared" ref="Y116:AH116" si="91">Y114/Y105</f>
        <v>0</v>
      </c>
      <c r="Z116" s="3665"/>
      <c r="AA116" s="3662">
        <f t="shared" si="91"/>
        <v>0</v>
      </c>
      <c r="AB116" s="185">
        <f t="shared" si="71"/>
        <v>0</v>
      </c>
      <c r="AC116" s="3327">
        <f t="shared" si="64"/>
        <v>0</v>
      </c>
      <c r="AD116" s="3327">
        <f t="shared" si="72"/>
        <v>0</v>
      </c>
      <c r="AE116" s="3327"/>
      <c r="AF116" s="3662">
        <f t="shared" si="91"/>
        <v>0</v>
      </c>
      <c r="AG116" s="3662"/>
      <c r="AH116" s="3662">
        <f t="shared" si="91"/>
        <v>0</v>
      </c>
      <c r="AI116" s="3662">
        <f>AI114/AI105</f>
        <v>0</v>
      </c>
      <c r="AJ116" s="39">
        <f t="shared" si="77"/>
        <v>0</v>
      </c>
      <c r="AK116" s="3662"/>
      <c r="AL116" s="3530">
        <f t="shared" si="69"/>
        <v>0</v>
      </c>
      <c r="AM116" s="3530">
        <f t="shared" si="66"/>
        <v>0</v>
      </c>
      <c r="AN116" s="3538">
        <f t="shared" si="74"/>
        <v>-1</v>
      </c>
      <c r="AO116" s="3668"/>
      <c r="AP116" s="3668"/>
      <c r="AQ116" s="3668"/>
      <c r="AR116" s="3668"/>
      <c r="AS116" s="3668"/>
      <c r="AT116" s="3669"/>
      <c r="AU116" s="3670"/>
      <c r="AV116" s="3623">
        <f t="shared" si="67"/>
        <v>0</v>
      </c>
      <c r="AW116" s="3623">
        <f t="shared" si="68"/>
        <v>0</v>
      </c>
      <c r="AX116" s="3668"/>
      <c r="AY116" s="3344">
        <f t="shared" si="76"/>
        <v>0</v>
      </c>
      <c r="AZ116" s="3635">
        <f t="shared" si="70"/>
        <v>0</v>
      </c>
    </row>
    <row r="117" spans="1:52" s="2028" customFormat="1">
      <c r="A117" s="3626" t="s">
        <v>148</v>
      </c>
      <c r="B117" s="1606" t="s">
        <v>2102</v>
      </c>
      <c r="C117" s="39">
        <f t="shared" ref="C117:H117" si="92">C105-C108-C111-C114</f>
        <v>859263</v>
      </c>
      <c r="D117" s="39">
        <f t="shared" si="92"/>
        <v>2000</v>
      </c>
      <c r="E117" s="39">
        <f t="shared" si="92"/>
        <v>2000</v>
      </c>
      <c r="F117" s="39">
        <f t="shared" si="92"/>
        <v>2000</v>
      </c>
      <c r="G117" s="39">
        <f t="shared" si="92"/>
        <v>2000</v>
      </c>
      <c r="H117" s="39">
        <f t="shared" si="92"/>
        <v>492365</v>
      </c>
      <c r="I117" s="39">
        <f>SUM(D117:H117)</f>
        <v>500365</v>
      </c>
      <c r="J117" s="3529"/>
      <c r="K117" s="3529"/>
      <c r="L117" s="39">
        <f>L105-L108-L111-L114</f>
        <v>2000.0000000009313</v>
      </c>
      <c r="M117" s="39">
        <f>M105-M108-M111-M114</f>
        <v>2000.0000000009313</v>
      </c>
      <c r="N117" s="39"/>
      <c r="O117" s="39">
        <f>O105-O108-O111-O114</f>
        <v>2100</v>
      </c>
      <c r="P117" s="39"/>
      <c r="Q117" s="147">
        <f>Q105-Q108-Q111-Q114</f>
        <v>2300</v>
      </c>
      <c r="R117" s="147"/>
      <c r="S117" s="147">
        <f>S105-S108-S111-S114</f>
        <v>3000</v>
      </c>
      <c r="T117" s="185">
        <f>SUM(L117:S117)</f>
        <v>11400.000000001863</v>
      </c>
      <c r="U117" s="3329"/>
      <c r="V117" s="3329"/>
      <c r="W117" s="3329"/>
      <c r="X117" s="3345"/>
      <c r="Y117" s="147">
        <f>Y105-Y108-Y111-Y114</f>
        <v>2823</v>
      </c>
      <c r="Z117" s="39"/>
      <c r="AA117" s="39">
        <f>AA105-AA108-AA111-AA114</f>
        <v>3774.8968809992075</v>
      </c>
      <c r="AB117" s="185">
        <f t="shared" si="71"/>
        <v>9597.8968809992075</v>
      </c>
      <c r="AC117" s="3327">
        <f t="shared" si="64"/>
        <v>2.12039736031909E-4</v>
      </c>
      <c r="AD117" s="3327">
        <f t="shared" si="72"/>
        <v>2.3036400968449967E-4</v>
      </c>
      <c r="AE117" s="3327"/>
      <c r="AF117" s="39">
        <f>AF105-AF108-AF111-AF114</f>
        <v>276623</v>
      </c>
      <c r="AG117" s="39"/>
      <c r="AH117" s="39">
        <f>AH105-AH108-AH111-AH114</f>
        <v>1050268.112319041</v>
      </c>
      <c r="AI117" s="39">
        <f>AI105-AI108-AI111-AI114</f>
        <v>1234854.2423493341</v>
      </c>
      <c r="AJ117" s="39">
        <f t="shared" si="77"/>
        <v>2291720.2515493743</v>
      </c>
      <c r="AK117" s="3529"/>
      <c r="AL117" s="3530">
        <f t="shared" si="69"/>
        <v>2.6092248402362773E-2</v>
      </c>
      <c r="AM117" s="3530">
        <f t="shared" si="66"/>
        <v>2.9882679245775211E-2</v>
      </c>
      <c r="AN117" s="3538">
        <f t="shared" si="74"/>
        <v>200.02809224114034</v>
      </c>
      <c r="AO117" s="39"/>
      <c r="AP117" s="39"/>
      <c r="AQ117" s="39"/>
      <c r="AR117" s="39"/>
      <c r="AS117" s="39"/>
      <c r="AT117" s="3657"/>
      <c r="AU117" s="3633"/>
      <c r="AV117" s="3623">
        <f t="shared" si="67"/>
        <v>0</v>
      </c>
      <c r="AW117" s="3623">
        <f t="shared" si="68"/>
        <v>0</v>
      </c>
      <c r="AX117" s="39"/>
      <c r="AY117" s="3344">
        <f t="shared" si="76"/>
        <v>0.11153953954921272</v>
      </c>
      <c r="AZ117" s="3635">
        <f t="shared" si="70"/>
        <v>7.2464339216077422E-2</v>
      </c>
    </row>
    <row r="118" spans="1:52" s="2028" customFormat="1" ht="16.2">
      <c r="A118" s="3660" t="s">
        <v>29</v>
      </c>
      <c r="B118" s="3661" t="s">
        <v>1993</v>
      </c>
      <c r="C118" s="3662"/>
      <c r="D118" s="3662">
        <f>D117/C117</f>
        <v>2.3275760739145056E-3</v>
      </c>
      <c r="E118" s="3662">
        <f>E117/D117</f>
        <v>1</v>
      </c>
      <c r="F118" s="3662">
        <f>F117/E117</f>
        <v>1</v>
      </c>
      <c r="G118" s="3662">
        <f>G117/F117</f>
        <v>1</v>
      </c>
      <c r="H118" s="3662">
        <f>H117/G117</f>
        <v>246.1825</v>
      </c>
      <c r="I118" s="3662"/>
      <c r="J118" s="3662">
        <f>(D118*E118*F118*G118*H118)^(1/5)-1</f>
        <v>-0.10539316412243604</v>
      </c>
      <c r="K118" s="3662"/>
      <c r="L118" s="3662">
        <f>L117/H117</f>
        <v>4.0620271546534205E-3</v>
      </c>
      <c r="M118" s="3662">
        <f>M117/L117</f>
        <v>1</v>
      </c>
      <c r="N118" s="3662"/>
      <c r="O118" s="3662">
        <f>O117/M117</f>
        <v>1.0499999999995111</v>
      </c>
      <c r="P118" s="3662"/>
      <c r="Q118" s="3663">
        <f>Q117/O117</f>
        <v>1.0952380952380953</v>
      </c>
      <c r="R118" s="3663"/>
      <c r="S118" s="3663">
        <f>S117/Q117</f>
        <v>1.3043478260869565</v>
      </c>
      <c r="T118" s="3518"/>
      <c r="U118" s="3518">
        <f>(L118*M118*O118*Q118*S118)^(1/5)-1</f>
        <v>-0.63944890714220404</v>
      </c>
      <c r="V118" s="3518"/>
      <c r="W118" s="3518"/>
      <c r="X118" s="3664"/>
      <c r="Y118" s="3663">
        <f>Y117/S117</f>
        <v>0.94099999999999995</v>
      </c>
      <c r="Z118" s="3665"/>
      <c r="AA118" s="3662">
        <f>AA117/Y117</f>
        <v>1.3371933691105942</v>
      </c>
      <c r="AB118" s="185">
        <f t="shared" si="71"/>
        <v>3.5825411951975505</v>
      </c>
      <c r="AC118" s="3327">
        <f t="shared" si="64"/>
        <v>7.9146619178309457E-8</v>
      </c>
      <c r="AD118" s="3327">
        <f t="shared" si="72"/>
        <v>8.5986395229919301E-8</v>
      </c>
      <c r="AE118" s="3327"/>
      <c r="AF118" s="3662">
        <f>AF117/AA117</f>
        <v>73.279617621443066</v>
      </c>
      <c r="AG118" s="3662"/>
      <c r="AH118" s="3662">
        <f>AH117/AF117</f>
        <v>3.7967490494971172</v>
      </c>
      <c r="AI118" s="3662">
        <f>AI117/AH117</f>
        <v>1.1757514370523143</v>
      </c>
      <c r="AJ118" s="39">
        <f t="shared" si="77"/>
        <v>7.2506938556600256</v>
      </c>
      <c r="AK118" s="3662">
        <f>(Y118*AA118*AF118*AH118*AI118)^(1/5)-1</f>
        <v>2.3334879431921172</v>
      </c>
      <c r="AL118" s="3530">
        <f t="shared" si="69"/>
        <v>8.25523556129778E-8</v>
      </c>
      <c r="AM118" s="3530">
        <f t="shared" si="66"/>
        <v>9.4544767692093514E-8</v>
      </c>
      <c r="AN118" s="3538" t="e">
        <f t="shared" si="74"/>
        <v>#DIV/0!</v>
      </c>
      <c r="AO118" s="39"/>
      <c r="AP118" s="39"/>
      <c r="AQ118" s="39"/>
      <c r="AR118" s="39"/>
      <c r="AS118" s="39"/>
      <c r="AT118" s="3657"/>
      <c r="AU118" s="3633"/>
      <c r="AV118" s="3623">
        <f t="shared" si="67"/>
        <v>0</v>
      </c>
      <c r="AW118" s="3623">
        <f t="shared" si="68"/>
        <v>0</v>
      </c>
      <c r="AX118" s="39"/>
      <c r="AY118" s="3344">
        <f t="shared" si="76"/>
        <v>1.0620101499885415E-7</v>
      </c>
      <c r="AZ118" s="3635">
        <f t="shared" si="70"/>
        <v>6.8996038598251612E-8</v>
      </c>
    </row>
    <row r="119" spans="1:52" s="3671" customFormat="1" ht="16.2">
      <c r="A119" s="3672" t="s">
        <v>29</v>
      </c>
      <c r="B119" s="3673" t="s">
        <v>69</v>
      </c>
      <c r="C119" s="3662">
        <f>C117/C105</f>
        <v>0.19943462942915355</v>
      </c>
      <c r="D119" s="3662">
        <f t="shared" ref="D119:I119" si="93">D117/D105</f>
        <v>3.9999817253603785E-4</v>
      </c>
      <c r="E119" s="3662">
        <f t="shared" si="93"/>
        <v>3.3384503036759634E-4</v>
      </c>
      <c r="F119" s="3662">
        <f t="shared" si="93"/>
        <v>3.0528723472844936E-4</v>
      </c>
      <c r="G119" s="3662">
        <f t="shared" si="93"/>
        <v>2.6217619766793061E-4</v>
      </c>
      <c r="H119" s="3662">
        <f t="shared" si="93"/>
        <v>5.9289459728647582E-2</v>
      </c>
      <c r="I119" s="3662">
        <f t="shared" si="93"/>
        <v>1.4947459806888781E-2</v>
      </c>
      <c r="J119" s="3662"/>
      <c r="K119" s="3662"/>
      <c r="L119" s="3662">
        <f t="shared" ref="L119:T119" si="94">L117/L105</f>
        <v>2.3055260940353702E-4</v>
      </c>
      <c r="M119" s="3662">
        <f t="shared" si="94"/>
        <v>1.9834462916727526E-4</v>
      </c>
      <c r="N119" s="3662"/>
      <c r="O119" s="3662">
        <f t="shared" si="94"/>
        <v>2.0138470526385565E-4</v>
      </c>
      <c r="P119" s="3662"/>
      <c r="Q119" s="3663">
        <f t="shared" si="94"/>
        <v>2.0948897186754339E-4</v>
      </c>
      <c r="R119" s="3663"/>
      <c r="S119" s="3663">
        <f t="shared" si="94"/>
        <v>2.2896004135934187E-4</v>
      </c>
      <c r="T119" s="3518">
        <f t="shared" si="94"/>
        <v>2.1401259467108958E-4</v>
      </c>
      <c r="U119" s="3518"/>
      <c r="V119" s="3518"/>
      <c r="W119" s="3518"/>
      <c r="X119" s="3664"/>
      <c r="Y119" s="3663">
        <f t="shared" ref="Y119:AH119" si="95">Y117/Y105</f>
        <v>2.0054495943777509E-4</v>
      </c>
      <c r="Z119" s="3665"/>
      <c r="AA119" s="3662">
        <f t="shared" si="95"/>
        <v>2.6061307067824313E-4</v>
      </c>
      <c r="AB119" s="185">
        <f t="shared" si="71"/>
        <v>6.9011807147536012E-4</v>
      </c>
      <c r="AC119" s="3327">
        <f t="shared" si="64"/>
        <v>1.5246304010223046E-11</v>
      </c>
      <c r="AD119" s="3327">
        <f t="shared" si="72"/>
        <v>1.6563875198068116E-11</v>
      </c>
      <c r="AE119" s="3327"/>
      <c r="AF119" s="3662">
        <f t="shared" si="95"/>
        <v>2.0969810229141701E-2</v>
      </c>
      <c r="AG119" s="3662"/>
      <c r="AH119" s="3662">
        <f t="shared" si="95"/>
        <v>6.3351471013006158E-2</v>
      </c>
      <c r="AI119" s="3662">
        <f>AI117/AI105</f>
        <v>7.2464339216077422E-2</v>
      </c>
      <c r="AJ119" s="39">
        <f t="shared" si="77"/>
        <v>0.1362769682591996</v>
      </c>
      <c r="AK119" s="3662"/>
      <c r="AL119" s="3530">
        <f t="shared" si="69"/>
        <v>1.5515735417252499E-9</v>
      </c>
      <c r="AM119" s="3530">
        <f t="shared" si="66"/>
        <v>1.7769712199048543E-9</v>
      </c>
      <c r="AN119" s="3538">
        <f t="shared" si="74"/>
        <v>635.77078663823568</v>
      </c>
      <c r="AO119" s="3668"/>
      <c r="AP119" s="3668"/>
      <c r="AQ119" s="3668"/>
      <c r="AR119" s="3668"/>
      <c r="AS119" s="3668"/>
      <c r="AT119" s="3669"/>
      <c r="AU119" s="3670"/>
      <c r="AV119" s="3623">
        <f t="shared" si="67"/>
        <v>0</v>
      </c>
      <c r="AW119" s="3623">
        <f t="shared" si="68"/>
        <v>0</v>
      </c>
      <c r="AX119" s="3668"/>
      <c r="AY119" s="3344">
        <f t="shared" si="76"/>
        <v>6.545419493819657E-9</v>
      </c>
      <c r="AZ119" s="3635">
        <f t="shared" si="70"/>
        <v>4.252388887641066E-9</v>
      </c>
    </row>
    <row r="120" spans="1:52" s="3317" customFormat="1">
      <c r="A120" s="3619">
        <v>13</v>
      </c>
      <c r="B120" s="735" t="s">
        <v>2103</v>
      </c>
      <c r="C120" s="3093">
        <f t="shared" ref="C120:H121" si="96">C11</f>
        <v>881389.27447200008</v>
      </c>
      <c r="D120" s="3093">
        <f t="shared" si="96"/>
        <v>1296865.3711568909</v>
      </c>
      <c r="E120" s="3093">
        <f t="shared" si="96"/>
        <v>1283487.4238549999</v>
      </c>
      <c r="F120" s="3093">
        <f t="shared" si="96"/>
        <v>1221622.2457999999</v>
      </c>
      <c r="G120" s="3093">
        <f t="shared" si="96"/>
        <v>1952654.9714940002</v>
      </c>
      <c r="H120" s="3093">
        <f t="shared" si="96"/>
        <v>1868861</v>
      </c>
      <c r="I120" s="3093">
        <f>SUM(D120:H120)</f>
        <v>7623491.0123058911</v>
      </c>
      <c r="J120" s="3620"/>
      <c r="K120" s="3620"/>
      <c r="L120" s="3093">
        <f t="shared" ref="L120:O121" si="97">L11</f>
        <v>2029265</v>
      </c>
      <c r="M120" s="3093">
        <f t="shared" si="97"/>
        <v>1800118</v>
      </c>
      <c r="N120" s="3093"/>
      <c r="O120" s="3093">
        <f t="shared" si="97"/>
        <v>2605155</v>
      </c>
      <c r="P120" s="3093"/>
      <c r="Q120" s="173">
        <f>Q11</f>
        <v>2582125.2288760003</v>
      </c>
      <c r="R120" s="173"/>
      <c r="S120" s="173">
        <f>S11</f>
        <v>4460541</v>
      </c>
      <c r="T120" s="186">
        <f>SUM(L120:S120)</f>
        <v>13477204.228876</v>
      </c>
      <c r="U120" s="3321"/>
      <c r="V120" s="3321"/>
      <c r="W120" s="3321"/>
      <c r="X120" s="3350"/>
      <c r="Y120" s="173">
        <f>Y11</f>
        <v>4460541</v>
      </c>
      <c r="Z120" s="3093"/>
      <c r="AA120" s="3093">
        <f>AA11</f>
        <v>5399002.1306710001</v>
      </c>
      <c r="AB120" s="185">
        <f t="shared" si="71"/>
        <v>14320084.130671</v>
      </c>
      <c r="AC120" s="3327">
        <f t="shared" si="64"/>
        <v>0.31636377184186781</v>
      </c>
      <c r="AD120" s="3327">
        <f t="shared" si="72"/>
        <v>0.34370363010373511</v>
      </c>
      <c r="AE120" s="3327"/>
      <c r="AF120" s="3093">
        <f>AF11</f>
        <v>3561000</v>
      </c>
      <c r="AG120" s="3093"/>
      <c r="AH120" s="3093">
        <f>AH11</f>
        <v>4863186.4089698764</v>
      </c>
      <c r="AI120" s="3093">
        <f>AI11</f>
        <v>4735000</v>
      </c>
      <c r="AJ120" s="39">
        <f t="shared" si="77"/>
        <v>19457729.539640877</v>
      </c>
      <c r="AK120" s="3620"/>
      <c r="AL120" s="3530">
        <f t="shared" si="69"/>
        <v>0.22153485450550137</v>
      </c>
      <c r="AM120" s="3530">
        <f t="shared" si="66"/>
        <v>0.25371730702777995</v>
      </c>
      <c r="AN120" s="3538">
        <f t="shared" si="74"/>
        <v>0.44375118230761235</v>
      </c>
      <c r="AO120" s="3093"/>
      <c r="AP120" s="3093"/>
      <c r="AQ120" s="3093"/>
      <c r="AR120" s="3093"/>
      <c r="AS120" s="3093"/>
      <c r="AT120" s="3658"/>
      <c r="AU120" s="3649"/>
      <c r="AV120" s="3623">
        <f t="shared" si="67"/>
        <v>0</v>
      </c>
      <c r="AW120" s="3623">
        <f t="shared" si="68"/>
        <v>0</v>
      </c>
      <c r="AX120" s="39"/>
      <c r="AY120" s="3344">
        <f t="shared" si="76"/>
        <v>0.42769397525065489</v>
      </c>
      <c r="AZ120" s="3635">
        <f t="shared" si="70"/>
        <v>0.27786165720687545</v>
      </c>
    </row>
    <row r="121" spans="1:52" s="2028" customFormat="1">
      <c r="A121" s="3626" t="s">
        <v>99</v>
      </c>
      <c r="B121" s="2857" t="s">
        <v>2064</v>
      </c>
      <c r="C121" s="39">
        <f t="shared" si="96"/>
        <v>249673.54338399999</v>
      </c>
      <c r="D121" s="39">
        <f t="shared" si="96"/>
        <v>478645.8879538909</v>
      </c>
      <c r="E121" s="39">
        <f t="shared" si="96"/>
        <v>473880.659055</v>
      </c>
      <c r="F121" s="39">
        <f t="shared" si="96"/>
        <v>347996.01699999999</v>
      </c>
      <c r="G121" s="39">
        <f t="shared" si="96"/>
        <v>453930.929489</v>
      </c>
      <c r="H121" s="39">
        <f t="shared" si="96"/>
        <v>494263</v>
      </c>
      <c r="I121" s="39">
        <f>SUM(D121:H121)</f>
        <v>2248716.4934978909</v>
      </c>
      <c r="J121" s="3529"/>
      <c r="K121" s="3529"/>
      <c r="L121" s="39">
        <f t="shared" si="97"/>
        <v>755259</v>
      </c>
      <c r="M121" s="39">
        <f t="shared" si="97"/>
        <v>553506</v>
      </c>
      <c r="N121" s="39"/>
      <c r="O121" s="39">
        <f t="shared" si="97"/>
        <v>1113443</v>
      </c>
      <c r="P121" s="39"/>
      <c r="Q121" s="147">
        <f>Q12</f>
        <v>853859.37400000007</v>
      </c>
      <c r="R121" s="147"/>
      <c r="S121" s="147">
        <f>S12</f>
        <v>1006681.451</v>
      </c>
      <c r="T121" s="185">
        <f>SUM(L121:S121)</f>
        <v>4282748.8250000002</v>
      </c>
      <c r="U121" s="3329"/>
      <c r="V121" s="3329"/>
      <c r="W121" s="3329"/>
      <c r="X121" s="3345"/>
      <c r="Y121" s="147">
        <f>Y12</f>
        <v>839196.836075</v>
      </c>
      <c r="Z121" s="39"/>
      <c r="AA121" s="39">
        <f>AA12</f>
        <v>881544.812041</v>
      </c>
      <c r="AB121" s="185">
        <f t="shared" si="71"/>
        <v>2727423.0991159999</v>
      </c>
      <c r="AC121" s="3327">
        <f t="shared" si="64"/>
        <v>6.0255083082709729E-2</v>
      </c>
      <c r="AD121" s="3327">
        <f t="shared" si="72"/>
        <v>6.5462270433674002E-2</v>
      </c>
      <c r="AE121" s="3327"/>
      <c r="AF121" s="39">
        <f>AF12</f>
        <v>1061000</v>
      </c>
      <c r="AG121" s="39"/>
      <c r="AH121" s="39">
        <f>AH12</f>
        <v>1143186.4089698761</v>
      </c>
      <c r="AI121" s="39">
        <f>AI12</f>
        <v>1213000</v>
      </c>
      <c r="AJ121" s="39">
        <f t="shared" si="77"/>
        <v>4076928.0570858764</v>
      </c>
      <c r="AK121" s="3529"/>
      <c r="AL121" s="3530">
        <f t="shared" si="69"/>
        <v>4.6417628640375561E-2</v>
      </c>
      <c r="AM121" s="3530">
        <f t="shared" si="66"/>
        <v>5.3160735196904112E-2</v>
      </c>
      <c r="AN121" s="3538">
        <f t="shared" si="74"/>
        <v>-4.8058099207843208E-2</v>
      </c>
      <c r="AO121" s="39"/>
      <c r="AP121" s="39"/>
      <c r="AQ121" s="39"/>
      <c r="AR121" s="39"/>
      <c r="AS121" s="39"/>
      <c r="AT121" s="3657"/>
      <c r="AU121" s="3633"/>
      <c r="AV121" s="3623">
        <f t="shared" si="67"/>
        <v>0</v>
      </c>
      <c r="AW121" s="3623">
        <f t="shared" si="68"/>
        <v>0</v>
      </c>
      <c r="AX121" s="39"/>
      <c r="AY121" s="3344">
        <f t="shared" si="76"/>
        <v>0.10956553156896395</v>
      </c>
      <c r="AZ121" s="3635">
        <f t="shared" si="70"/>
        <v>7.118187754845616E-2</v>
      </c>
    </row>
    <row r="122" spans="1:52" s="3671" customFormat="1" ht="16.2">
      <c r="A122" s="3672" t="s">
        <v>29</v>
      </c>
      <c r="B122" s="3681" t="s">
        <v>1993</v>
      </c>
      <c r="C122" s="3662"/>
      <c r="D122" s="3662">
        <f>D121/C121</f>
        <v>1.9170869346686426</v>
      </c>
      <c r="E122" s="3662">
        <f>E121/D121</f>
        <v>0.99004435425265802</v>
      </c>
      <c r="F122" s="3662">
        <f>F121/E121</f>
        <v>0.73435370351253471</v>
      </c>
      <c r="G122" s="3662">
        <f>G121/F121</f>
        <v>1.3044141522142767</v>
      </c>
      <c r="H122" s="3662">
        <f>H121/G121</f>
        <v>1.0888506772526003</v>
      </c>
      <c r="I122" s="3662"/>
      <c r="J122" s="3662">
        <f>(D122*E122*F122*G122*H122)^(1/5)-1</f>
        <v>0.1463496829624471</v>
      </c>
      <c r="K122" s="3662"/>
      <c r="L122" s="3662">
        <f>L121/H121</f>
        <v>1.5280508555161927</v>
      </c>
      <c r="M122" s="3662">
        <f>M121/L121</f>
        <v>0.73286912171850982</v>
      </c>
      <c r="N122" s="3662"/>
      <c r="O122" s="3662">
        <f>O121/M121</f>
        <v>2.0116186635736559</v>
      </c>
      <c r="P122" s="3662"/>
      <c r="Q122" s="3663">
        <f>Q121/O121</f>
        <v>0.76686401908315027</v>
      </c>
      <c r="R122" s="3663"/>
      <c r="S122" s="3663">
        <f>S121/Q121</f>
        <v>1.1789780397726242</v>
      </c>
      <c r="T122" s="3518"/>
      <c r="U122" s="3518">
        <f>(L122*M122*O122*Q122*S122)^(1/5)-1</f>
        <v>0.15288713544856658</v>
      </c>
      <c r="V122" s="3518"/>
      <c r="W122" s="3518"/>
      <c r="X122" s="3664"/>
      <c r="Y122" s="3663">
        <f>Y121/S121</f>
        <v>0.83362699813468599</v>
      </c>
      <c r="Z122" s="3665"/>
      <c r="AA122" s="3662">
        <f>AA121/Y121</f>
        <v>1.0504625067035112</v>
      </c>
      <c r="AB122" s="185">
        <f t="shared" si="71"/>
        <v>3.0630675446108215</v>
      </c>
      <c r="AC122" s="3327">
        <f t="shared" si="64"/>
        <v>6.7670245019299446E-8</v>
      </c>
      <c r="AD122" s="3327">
        <f t="shared" si="72"/>
        <v>7.3518243658973744E-8</v>
      </c>
      <c r="AE122" s="3327"/>
      <c r="AF122" s="3662">
        <f>AF121/AA121</f>
        <v>1.2035689910573186</v>
      </c>
      <c r="AG122" s="3662"/>
      <c r="AH122" s="3662">
        <f>AH121/AF121</f>
        <v>1.0774612714136438</v>
      </c>
      <c r="AI122" s="3662">
        <f>AI121/AH121</f>
        <v>1.0610692976074068</v>
      </c>
      <c r="AJ122" s="39">
        <f t="shared" si="77"/>
        <v>4.0226200738592475</v>
      </c>
      <c r="AK122" s="3662">
        <f>(Y122*AA122*AF122*AH122*AI122)^(1/5)-1</f>
        <v>3.7991379904332323E-2</v>
      </c>
      <c r="AL122" s="3530">
        <f t="shared" si="69"/>
        <v>4.579930823777732E-8</v>
      </c>
      <c r="AM122" s="3530">
        <f t="shared" si="66"/>
        <v>5.2452591154388839E-8</v>
      </c>
      <c r="AN122" s="3538" t="e">
        <f t="shared" si="74"/>
        <v>#DIV/0!</v>
      </c>
      <c r="AO122" s="3668"/>
      <c r="AP122" s="3668"/>
      <c r="AQ122" s="3668"/>
      <c r="AR122" s="3668"/>
      <c r="AS122" s="3668"/>
      <c r="AT122" s="3669"/>
      <c r="AU122" s="3670"/>
      <c r="AV122" s="3623">
        <f t="shared" si="67"/>
        <v>0</v>
      </c>
      <c r="AW122" s="3623">
        <f t="shared" si="68"/>
        <v>0</v>
      </c>
      <c r="AX122" s="3668"/>
      <c r="AY122" s="3344">
        <f t="shared" si="76"/>
        <v>9.5842227224948679E-8</v>
      </c>
      <c r="AZ122" s="3635">
        <f t="shared" si="70"/>
        <v>6.2266203472973462E-8</v>
      </c>
    </row>
    <row r="123" spans="1:52" s="3671" customFormat="1" ht="16.2">
      <c r="A123" s="3672" t="s">
        <v>29</v>
      </c>
      <c r="B123" s="3681" t="s">
        <v>69</v>
      </c>
      <c r="C123" s="3662">
        <f>C121/C120</f>
        <v>0.2832727270632695</v>
      </c>
      <c r="D123" s="3662">
        <f t="shared" ref="D123:I123" si="98">D121/D120</f>
        <v>0.36907908762102781</v>
      </c>
      <c r="E123" s="3662">
        <f t="shared" si="98"/>
        <v>0.36921332476455643</v>
      </c>
      <c r="F123" s="3662">
        <f t="shared" si="98"/>
        <v>0.28486385066777248</v>
      </c>
      <c r="G123" s="3662">
        <f t="shared" si="98"/>
        <v>0.2324685805304825</v>
      </c>
      <c r="H123" s="3662">
        <f t="shared" si="98"/>
        <v>0.2644728527161731</v>
      </c>
      <c r="I123" s="3662">
        <f t="shared" si="98"/>
        <v>0.29497201346049956</v>
      </c>
      <c r="J123" s="3662"/>
      <c r="K123" s="3662"/>
      <c r="L123" s="3662">
        <f>L121/L120</f>
        <v>0.37218352457663245</v>
      </c>
      <c r="M123" s="3662">
        <f>M121/M120</f>
        <v>0.30748317610289994</v>
      </c>
      <c r="N123" s="3662"/>
      <c r="O123" s="3662">
        <f>O121/O120</f>
        <v>0.42739990518798304</v>
      </c>
      <c r="P123" s="3662"/>
      <c r="Q123" s="3663">
        <f>Q121/Q120</f>
        <v>0.33068085329528546</v>
      </c>
      <c r="R123" s="3663"/>
      <c r="S123" s="3663">
        <f>S121/S120</f>
        <v>0.22568595401320155</v>
      </c>
      <c r="T123" s="3518">
        <f>(L123*M123*O123*Q123*S123)^(1/5)</f>
        <v>0.32543578093162284</v>
      </c>
      <c r="U123" s="3518"/>
      <c r="V123" s="3518"/>
      <c r="W123" s="3518"/>
      <c r="X123" s="3664"/>
      <c r="Y123" s="3663">
        <f t="shared" ref="Y123:AH123" si="99">Y121/Y120</f>
        <v>0.18813790436518799</v>
      </c>
      <c r="Z123" s="3665"/>
      <c r="AA123" s="3662">
        <f t="shared" si="99"/>
        <v>0.1632792117330466</v>
      </c>
      <c r="AB123" s="185">
        <f t="shared" si="71"/>
        <v>0.57710307011143613</v>
      </c>
      <c r="AC123" s="3327">
        <f t="shared" si="64"/>
        <v>1.2749541297102763E-8</v>
      </c>
      <c r="AD123" s="3327">
        <f t="shared" si="72"/>
        <v>1.3851344610223089E-8</v>
      </c>
      <c r="AE123" s="3327"/>
      <c r="AF123" s="3662">
        <f t="shared" si="99"/>
        <v>0.29795001404099974</v>
      </c>
      <c r="AG123" s="3662"/>
      <c r="AH123" s="3662">
        <f t="shared" si="99"/>
        <v>0.23506942009488521</v>
      </c>
      <c r="AI123" s="3662">
        <f>AI121/AI120</f>
        <v>0.25617740232312564</v>
      </c>
      <c r="AJ123" s="39">
        <f t="shared" si="77"/>
        <v>0.84266393851624533</v>
      </c>
      <c r="AK123" s="3662"/>
      <c r="AL123" s="3530">
        <f t="shared" si="69"/>
        <v>9.5941015438574443E-9</v>
      </c>
      <c r="AM123" s="3530">
        <f t="shared" si="66"/>
        <v>1.0987840321975741E-8</v>
      </c>
      <c r="AN123" s="3538">
        <f t="shared" si="74"/>
        <v>1.5893401644525897</v>
      </c>
      <c r="AO123" s="3668"/>
      <c r="AP123" s="3668"/>
      <c r="AQ123" s="3668"/>
      <c r="AR123" s="3668"/>
      <c r="AS123" s="3668"/>
      <c r="AT123" s="3669"/>
      <c r="AU123" s="3670"/>
      <c r="AV123" s="3623">
        <f t="shared" si="67"/>
        <v>0</v>
      </c>
      <c r="AW123" s="3623">
        <f t="shared" si="68"/>
        <v>0</v>
      </c>
      <c r="AX123" s="3668"/>
      <c r="AY123" s="3344">
        <f t="shared" si="76"/>
        <v>2.3139499803371479E-8</v>
      </c>
      <c r="AZ123" s="3635">
        <f t="shared" si="70"/>
        <v>1.5033131478026642E-8</v>
      </c>
    </row>
    <row r="124" spans="1:52" s="2028" customFormat="1">
      <c r="A124" s="3626" t="s">
        <v>101</v>
      </c>
      <c r="B124" s="2857" t="s">
        <v>2065</v>
      </c>
      <c r="C124" s="39">
        <f t="shared" ref="C124:H124" si="100">C13</f>
        <v>282628.00725800003</v>
      </c>
      <c r="D124" s="39">
        <f t="shared" si="100"/>
        <v>262379.85220299999</v>
      </c>
      <c r="E124" s="39">
        <f t="shared" si="100"/>
        <v>291839.82780000003</v>
      </c>
      <c r="F124" s="39">
        <f t="shared" si="100"/>
        <v>303789.2758</v>
      </c>
      <c r="G124" s="39">
        <f t="shared" si="100"/>
        <v>355825.039116</v>
      </c>
      <c r="H124" s="39">
        <f t="shared" si="100"/>
        <v>317091</v>
      </c>
      <c r="I124" s="39">
        <f>SUM(D124:H124)</f>
        <v>1530924.994919</v>
      </c>
      <c r="J124" s="3529"/>
      <c r="K124" s="3529"/>
      <c r="L124" s="39">
        <f>L13</f>
        <v>333567</v>
      </c>
      <c r="M124" s="39">
        <f>M13</f>
        <v>351441</v>
      </c>
      <c r="N124" s="39"/>
      <c r="O124" s="39">
        <f>O13</f>
        <v>281847</v>
      </c>
      <c r="P124" s="39"/>
      <c r="Q124" s="147">
        <f>Q13</f>
        <v>306246</v>
      </c>
      <c r="R124" s="147"/>
      <c r="S124" s="147">
        <f>S13</f>
        <v>557722.85500600003</v>
      </c>
      <c r="T124" s="185">
        <f>SUM(L124:S124)</f>
        <v>1830823.855006</v>
      </c>
      <c r="U124" s="3329"/>
      <c r="V124" s="3329"/>
      <c r="W124" s="3329"/>
      <c r="X124" s="3345"/>
      <c r="Y124" s="147">
        <f>Y13</f>
        <v>461660.39653100003</v>
      </c>
      <c r="Z124" s="39"/>
      <c r="AA124" s="39">
        <f>AA13</f>
        <v>989715.99300000002</v>
      </c>
      <c r="AB124" s="185">
        <f t="shared" si="71"/>
        <v>2009099.2445370001</v>
      </c>
      <c r="AC124" s="3327">
        <f t="shared" si="64"/>
        <v>4.4385648101397689E-2</v>
      </c>
      <c r="AD124" s="3327">
        <f t="shared" si="72"/>
        <v>4.8221413874729946E-2</v>
      </c>
      <c r="AE124" s="3327"/>
      <c r="AF124" s="39">
        <f>AF13</f>
        <v>900000</v>
      </c>
      <c r="AG124" s="39"/>
      <c r="AH124" s="39">
        <f>AH13</f>
        <v>1770000</v>
      </c>
      <c r="AI124" s="39">
        <f>AI13</f>
        <v>1200000</v>
      </c>
      <c r="AJ124" s="39">
        <f t="shared" si="77"/>
        <v>4421376.3895309996</v>
      </c>
      <c r="AK124" s="3529"/>
      <c r="AL124" s="3530">
        <f t="shared" si="69"/>
        <v>5.0339325211264441E-2</v>
      </c>
      <c r="AM124" s="3530">
        <f t="shared" si="66"/>
        <v>5.7652138119333632E-2</v>
      </c>
      <c r="AN124" s="3538">
        <f t="shared" si="74"/>
        <v>1.4149654689290192</v>
      </c>
      <c r="AO124" s="39"/>
      <c r="AP124" s="39"/>
      <c r="AQ124" s="39"/>
      <c r="AR124" s="39"/>
      <c r="AS124" s="39"/>
      <c r="AT124" s="3657"/>
      <c r="AU124" s="3633"/>
      <c r="AV124" s="3623">
        <f t="shared" si="67"/>
        <v>0</v>
      </c>
      <c r="AW124" s="3623">
        <f t="shared" si="68"/>
        <v>0</v>
      </c>
      <c r="AX124" s="39"/>
      <c r="AY124" s="3344">
        <f t="shared" si="76"/>
        <v>0.10839129256616385</v>
      </c>
      <c r="AZ124" s="3635">
        <f t="shared" si="70"/>
        <v>7.0419004994350692E-2</v>
      </c>
    </row>
    <row r="125" spans="1:52" s="3671" customFormat="1" ht="16.2">
      <c r="A125" s="3672" t="s">
        <v>29</v>
      </c>
      <c r="B125" s="3681" t="s">
        <v>1993</v>
      </c>
      <c r="C125" s="3662"/>
      <c r="D125" s="3662">
        <f>D124/C124</f>
        <v>0.92835757768154836</v>
      </c>
      <c r="E125" s="3662">
        <f>E124/D124</f>
        <v>1.1122798696227911</v>
      </c>
      <c r="F125" s="3662">
        <f>F124/E124</f>
        <v>1.0409452270105815</v>
      </c>
      <c r="G125" s="3662">
        <f>G124/F124</f>
        <v>1.1712890067595993</v>
      </c>
      <c r="H125" s="3662">
        <f>H124/G124</f>
        <v>0.89114302014206315</v>
      </c>
      <c r="I125" s="3662"/>
      <c r="J125" s="3662">
        <f>(D125*E125*F125*G125*H125)^(1/5)-1</f>
        <v>2.3278251500093994E-2</v>
      </c>
      <c r="K125" s="3662"/>
      <c r="L125" s="3662">
        <f>L124/H124</f>
        <v>1.0519598474885758</v>
      </c>
      <c r="M125" s="3662">
        <f>M124/L124</f>
        <v>1.0535844373094461</v>
      </c>
      <c r="N125" s="3662"/>
      <c r="O125" s="3662">
        <f>O124/M124</f>
        <v>0.80197529599562944</v>
      </c>
      <c r="P125" s="3662"/>
      <c r="Q125" s="3663">
        <f>Q124/O124</f>
        <v>1.0865682444730651</v>
      </c>
      <c r="R125" s="3663"/>
      <c r="S125" s="3663">
        <f>S124/Q124</f>
        <v>1.8211596396557017</v>
      </c>
      <c r="T125" s="3518"/>
      <c r="U125" s="3518">
        <f>(L125*M125*O125*Q125*S125)^(1/5)-1</f>
        <v>0.1195587930198343</v>
      </c>
      <c r="V125" s="3518"/>
      <c r="W125" s="3518"/>
      <c r="X125" s="3664"/>
      <c r="Y125" s="3663">
        <f>Y124/S124</f>
        <v>0.82775950884428695</v>
      </c>
      <c r="Z125" s="3665"/>
      <c r="AA125" s="3662">
        <f>AA124/Y124</f>
        <v>2.1438182708261428</v>
      </c>
      <c r="AB125" s="185">
        <f t="shared" si="71"/>
        <v>4.7927374193261318</v>
      </c>
      <c r="AC125" s="3327">
        <f t="shared" si="64"/>
        <v>1.058826521960264E-7</v>
      </c>
      <c r="AD125" s="3327">
        <f t="shared" si="72"/>
        <v>1.1503293096080516E-7</v>
      </c>
      <c r="AE125" s="3327"/>
      <c r="AF125" s="3662">
        <f>AF124/AA124</f>
        <v>0.90935178007172002</v>
      </c>
      <c r="AG125" s="3662"/>
      <c r="AH125" s="3662">
        <f>AH124/AF124</f>
        <v>1.9666666666666666</v>
      </c>
      <c r="AI125" s="3662">
        <f>AI124/AH124</f>
        <v>0.67796610169491522</v>
      </c>
      <c r="AJ125" s="39">
        <f t="shared" si="77"/>
        <v>5.6162105480320115</v>
      </c>
      <c r="AK125" s="3662">
        <f>(Y125*AA125*AF125*AH125*AI125)^(1/5)-1</f>
        <v>0.16560811094934058</v>
      </c>
      <c r="AL125" s="3530">
        <f t="shared" si="69"/>
        <v>6.3943040430065367E-8</v>
      </c>
      <c r="AM125" s="3530">
        <f t="shared" si="66"/>
        <v>7.3232070218917921E-8</v>
      </c>
      <c r="AN125" s="3538" t="e">
        <f t="shared" si="74"/>
        <v>#DIV/0!</v>
      </c>
      <c r="AO125" s="3668"/>
      <c r="AP125" s="3668"/>
      <c r="AQ125" s="3668"/>
      <c r="AR125" s="3668"/>
      <c r="AS125" s="3668"/>
      <c r="AT125" s="3669"/>
      <c r="AU125" s="3670"/>
      <c r="AV125" s="3623">
        <f t="shared" si="67"/>
        <v>0</v>
      </c>
      <c r="AW125" s="3623">
        <f t="shared" si="68"/>
        <v>0</v>
      </c>
      <c r="AX125" s="3668"/>
      <c r="AY125" s="3344">
        <f t="shared" si="76"/>
        <v>6.1238018398962624E-8</v>
      </c>
      <c r="AZ125" s="3635">
        <f t="shared" si="70"/>
        <v>3.9784748584378924E-8</v>
      </c>
    </row>
    <row r="126" spans="1:52" s="3671" customFormat="1" ht="16.2">
      <c r="A126" s="3672" t="s">
        <v>29</v>
      </c>
      <c r="B126" s="3681" t="s">
        <v>69</v>
      </c>
      <c r="C126" s="3662">
        <f>C124/C120</f>
        <v>0.32066195430765765</v>
      </c>
      <c r="D126" s="3662">
        <f t="shared" ref="D126:I126" si="101">D124/D120</f>
        <v>0.20231849661383092</v>
      </c>
      <c r="E126" s="3662">
        <f t="shared" si="101"/>
        <v>0.22738035634462919</v>
      </c>
      <c r="F126" s="3662">
        <f t="shared" si="101"/>
        <v>0.24867693498906324</v>
      </c>
      <c r="G126" s="3662">
        <f t="shared" si="101"/>
        <v>0.18222627361748087</v>
      </c>
      <c r="H126" s="3662">
        <f t="shared" si="101"/>
        <v>0.16967072457502189</v>
      </c>
      <c r="I126" s="3662">
        <f t="shared" si="101"/>
        <v>0.20081679016185242</v>
      </c>
      <c r="J126" s="3662"/>
      <c r="K126" s="3662"/>
      <c r="L126" s="3662">
        <f>L124/L120</f>
        <v>0.16437823546949265</v>
      </c>
      <c r="M126" s="3662">
        <f>M124/M120</f>
        <v>0.19523220144457196</v>
      </c>
      <c r="N126" s="3662"/>
      <c r="O126" s="3662">
        <f>O124/O120</f>
        <v>0.10818818841873132</v>
      </c>
      <c r="P126" s="3662"/>
      <c r="Q126" s="3663">
        <f>Q124/Q120</f>
        <v>0.11860230347282923</v>
      </c>
      <c r="R126" s="3663"/>
      <c r="S126" s="3663">
        <f>S124/S120</f>
        <v>0.12503480071273868</v>
      </c>
      <c r="T126" s="3518">
        <f>(L126*M126*O126*Q126*S126)^(1/5)</f>
        <v>0.13878416886347458</v>
      </c>
      <c r="U126" s="3518"/>
      <c r="V126" s="3518"/>
      <c r="W126" s="3518"/>
      <c r="X126" s="3664"/>
      <c r="Y126" s="3663">
        <f t="shared" ref="Y126:AH126" si="102">Y124/Y120</f>
        <v>0.10349874522641986</v>
      </c>
      <c r="Z126" s="3665"/>
      <c r="AA126" s="3662">
        <f t="shared" si="102"/>
        <v>0.18331461426502454</v>
      </c>
      <c r="AB126" s="185">
        <f t="shared" si="71"/>
        <v>0.41184816020418302</v>
      </c>
      <c r="AC126" s="3327">
        <f t="shared" si="64"/>
        <v>9.0986782060353704E-9</v>
      </c>
      <c r="AD126" s="3327">
        <f t="shared" si="72"/>
        <v>9.8849773801635851E-9</v>
      </c>
      <c r="AE126" s="3327"/>
      <c r="AF126" s="3662">
        <f t="shared" si="102"/>
        <v>0.25273799494524007</v>
      </c>
      <c r="AG126" s="3662"/>
      <c r="AH126" s="3662">
        <f t="shared" si="102"/>
        <v>0.363958904954853</v>
      </c>
      <c r="AI126" s="3662">
        <f>AI124/AI120</f>
        <v>0.25343189017951423</v>
      </c>
      <c r="AJ126" s="39">
        <f t="shared" si="77"/>
        <v>0.90420415462581172</v>
      </c>
      <c r="AK126" s="3662"/>
      <c r="AL126" s="3530">
        <f t="shared" si="69"/>
        <v>1.0294764115731261E-8</v>
      </c>
      <c r="AM126" s="3530">
        <f t="shared" si="66"/>
        <v>1.1790288411996575E-8</v>
      </c>
      <c r="AN126" s="3538">
        <f t="shared" si="74"/>
        <v>5.5151822576773846</v>
      </c>
      <c r="AO126" s="3668"/>
      <c r="AP126" s="3668"/>
      <c r="AQ126" s="3668"/>
      <c r="AR126" s="3668"/>
      <c r="AS126" s="3668"/>
      <c r="AT126" s="3669"/>
      <c r="AU126" s="3670"/>
      <c r="AV126" s="3623">
        <f t="shared" si="67"/>
        <v>0</v>
      </c>
      <c r="AW126" s="3623">
        <f t="shared" si="68"/>
        <v>0</v>
      </c>
      <c r="AX126" s="3668"/>
      <c r="AY126" s="3344">
        <f t="shared" si="76"/>
        <v>2.2891508461703028E-8</v>
      </c>
      <c r="AZ126" s="3635">
        <f t="shared" si="70"/>
        <v>1.4872017950232458E-8</v>
      </c>
    </row>
    <row r="127" spans="1:52" s="2028" customFormat="1">
      <c r="A127" s="3626" t="s">
        <v>147</v>
      </c>
      <c r="B127" s="2857" t="s">
        <v>1918</v>
      </c>
      <c r="C127" s="39">
        <f t="shared" ref="C127:H127" si="103">C14</f>
        <v>349087.72382999997</v>
      </c>
      <c r="D127" s="39">
        <f t="shared" si="103"/>
        <v>555839.63100000005</v>
      </c>
      <c r="E127" s="39">
        <f t="shared" si="103"/>
        <v>517766.93699999998</v>
      </c>
      <c r="F127" s="39">
        <f t="shared" si="103"/>
        <v>569836.95299999998</v>
      </c>
      <c r="G127" s="39">
        <f t="shared" si="103"/>
        <v>1142899.0028890001</v>
      </c>
      <c r="H127" s="39">
        <f t="shared" si="103"/>
        <v>1057507</v>
      </c>
      <c r="I127" s="39">
        <f>SUM(D127:H127)</f>
        <v>3843849.5238890001</v>
      </c>
      <c r="J127" s="3529"/>
      <c r="K127" s="3529"/>
      <c r="L127" s="39">
        <f>L14</f>
        <v>940439</v>
      </c>
      <c r="M127" s="39">
        <f>M14</f>
        <v>895171</v>
      </c>
      <c r="N127" s="39"/>
      <c r="O127" s="39">
        <f>O14</f>
        <v>1209865</v>
      </c>
      <c r="P127" s="39"/>
      <c r="Q127" s="147">
        <f>Q14</f>
        <v>1422019.854876</v>
      </c>
      <c r="R127" s="147"/>
      <c r="S127" s="147">
        <f>S14</f>
        <v>1360127.8934820001</v>
      </c>
      <c r="T127" s="185">
        <f>SUM(L127:S127)</f>
        <v>5827622.7483580001</v>
      </c>
      <c r="U127" s="3329"/>
      <c r="V127" s="3329"/>
      <c r="W127" s="3329"/>
      <c r="X127" s="3345"/>
      <c r="Y127" s="147">
        <f>Y14</f>
        <v>731759.17074700003</v>
      </c>
      <c r="Z127" s="39"/>
      <c r="AA127" s="39">
        <f>AA14</f>
        <v>1389289.7294949999</v>
      </c>
      <c r="AB127" s="185">
        <f t="shared" si="71"/>
        <v>3481176.793724</v>
      </c>
      <c r="AC127" s="3327">
        <f t="shared" si="64"/>
        <v>7.6907245157315965E-2</v>
      </c>
      <c r="AD127" s="3327">
        <f t="shared" si="72"/>
        <v>8.3553496621793649E-2</v>
      </c>
      <c r="AE127" s="3327"/>
      <c r="AF127" s="39">
        <f>AF14</f>
        <v>1600000</v>
      </c>
      <c r="AG127" s="39"/>
      <c r="AH127" s="39">
        <f>AH14</f>
        <v>1950000</v>
      </c>
      <c r="AI127" s="39">
        <f>AI14</f>
        <v>2322000</v>
      </c>
      <c r="AJ127" s="39">
        <f t="shared" si="77"/>
        <v>6393048.9002419999</v>
      </c>
      <c r="AK127" s="3529"/>
      <c r="AL127" s="3530">
        <f t="shared" si="69"/>
        <v>7.2787688567481579E-2</v>
      </c>
      <c r="AM127" s="3530">
        <f t="shared" si="66"/>
        <v>8.336158375322178E-2</v>
      </c>
      <c r="AN127" s="3538">
        <f t="shared" si="74"/>
        <v>9.7025180987104109E-2</v>
      </c>
      <c r="AO127" s="39"/>
      <c r="AP127" s="39"/>
      <c r="AQ127" s="39"/>
      <c r="AR127" s="39"/>
      <c r="AS127" s="39"/>
      <c r="AT127" s="3657"/>
      <c r="AU127" s="3633"/>
      <c r="AV127" s="3623">
        <f t="shared" si="67"/>
        <v>0</v>
      </c>
      <c r="AW127" s="3623">
        <f t="shared" si="68"/>
        <v>0</v>
      </c>
      <c r="AX127" s="39"/>
      <c r="AY127" s="3344">
        <f t="shared" si="76"/>
        <v>0.20973715111552704</v>
      </c>
      <c r="AZ127" s="3635">
        <f t="shared" si="70"/>
        <v>0.13626077466406861</v>
      </c>
    </row>
    <row r="128" spans="1:52" s="3671" customFormat="1" ht="16.2">
      <c r="A128" s="3672" t="s">
        <v>29</v>
      </c>
      <c r="B128" s="3681" t="s">
        <v>1993</v>
      </c>
      <c r="C128" s="3662"/>
      <c r="D128" s="3662">
        <f>D127/C127</f>
        <v>1.592263471489719</v>
      </c>
      <c r="E128" s="3662">
        <f>E127/D127</f>
        <v>0.93150417516738726</v>
      </c>
      <c r="F128" s="3662">
        <f>F127/E127</f>
        <v>1.1005665141573149</v>
      </c>
      <c r="G128" s="3662">
        <f>G127/F127</f>
        <v>2.0056596836551597</v>
      </c>
      <c r="H128" s="3662">
        <f>H127/G127</f>
        <v>0.92528473410760903</v>
      </c>
      <c r="I128" s="3662"/>
      <c r="J128" s="3662">
        <f>(D128*E128*F128*G128*H128)^(1/5)-1</f>
        <v>0.24815848915268068</v>
      </c>
      <c r="K128" s="3662"/>
      <c r="L128" s="3662">
        <f>L127/H127</f>
        <v>0.88929813230550725</v>
      </c>
      <c r="M128" s="3662">
        <f>M127/L127</f>
        <v>0.95186503324511207</v>
      </c>
      <c r="N128" s="3662"/>
      <c r="O128" s="3662">
        <f>O127/M127</f>
        <v>1.3515462408858196</v>
      </c>
      <c r="P128" s="3662"/>
      <c r="Q128" s="3663">
        <f>Q127/O127</f>
        <v>1.1753541551131736</v>
      </c>
      <c r="R128" s="3663"/>
      <c r="S128" s="3663">
        <f>S127/Q127</f>
        <v>0.95647602163797019</v>
      </c>
      <c r="T128" s="3518"/>
      <c r="U128" s="3518">
        <f>(L128*M128*O128*Q128*S128)^(1/5)-1</f>
        <v>5.1621119280732097E-2</v>
      </c>
      <c r="V128" s="3518"/>
      <c r="W128" s="3518"/>
      <c r="X128" s="3664"/>
      <c r="Y128" s="3663">
        <f>Y127/S127</f>
        <v>0.53800761991113755</v>
      </c>
      <c r="Z128" s="3665"/>
      <c r="AA128" s="3662">
        <f>AA127/Y127</f>
        <v>1.8985614188842681</v>
      </c>
      <c r="AB128" s="185">
        <f t="shared" si="71"/>
        <v>3.3930450604333755</v>
      </c>
      <c r="AC128" s="3327">
        <f t="shared" si="64"/>
        <v>7.4960211375365895E-8</v>
      </c>
      <c r="AD128" s="3327">
        <f t="shared" si="72"/>
        <v>8.1438202019966296E-8</v>
      </c>
      <c r="AE128" s="3327"/>
      <c r="AF128" s="3662">
        <f>AF127/AA127</f>
        <v>1.1516676226934985</v>
      </c>
      <c r="AG128" s="3662"/>
      <c r="AH128" s="3662">
        <f>AH127/AF127</f>
        <v>1.21875</v>
      </c>
      <c r="AI128" s="3662">
        <f>AI127/AH127</f>
        <v>1.1907692307692308</v>
      </c>
      <c r="AJ128" s="39">
        <f t="shared" si="77"/>
        <v>4.8460882695646363</v>
      </c>
      <c r="AK128" s="3662">
        <f>(Y128*AA128*AF128*AH128*AI128)^(1/5)-1</f>
        <v>0.11290090003329833</v>
      </c>
      <c r="AL128" s="3530">
        <f t="shared" si="69"/>
        <v>5.5174857761880123E-8</v>
      </c>
      <c r="AM128" s="3530">
        <f t="shared" si="66"/>
        <v>6.3190130321625736E-8</v>
      </c>
      <c r="AN128" s="3538" t="e">
        <f t="shared" si="74"/>
        <v>#DIV/0!</v>
      </c>
      <c r="AO128" s="3668"/>
      <c r="AP128" s="3668"/>
      <c r="AQ128" s="3668"/>
      <c r="AR128" s="3668"/>
      <c r="AS128" s="3668"/>
      <c r="AT128" s="3669"/>
      <c r="AU128" s="3670"/>
      <c r="AV128" s="3623">
        <f t="shared" si="67"/>
        <v>0</v>
      </c>
      <c r="AW128" s="3623">
        <f t="shared" si="68"/>
        <v>0</v>
      </c>
      <c r="AX128" s="3668"/>
      <c r="AY128" s="3344">
        <f t="shared" si="76"/>
        <v>1.0755751339257798E-7</v>
      </c>
      <c r="AZ128" s="3635">
        <f t="shared" si="70"/>
        <v>6.9877320340548002E-8</v>
      </c>
    </row>
    <row r="129" spans="1:52" s="3671" customFormat="1" ht="16.2">
      <c r="A129" s="3672" t="s">
        <v>29</v>
      </c>
      <c r="B129" s="3681" t="s">
        <v>69</v>
      </c>
      <c r="C129" s="3662">
        <f>C127/C120</f>
        <v>0.39606531862907274</v>
      </c>
      <c r="D129" s="3662">
        <f t="shared" ref="D129:I129" si="104">D127/D120</f>
        <v>0.4286024157651413</v>
      </c>
      <c r="E129" s="3662">
        <f t="shared" si="104"/>
        <v>0.40340631889081441</v>
      </c>
      <c r="F129" s="3662">
        <f t="shared" si="104"/>
        <v>0.46645921434316434</v>
      </c>
      <c r="G129" s="3662">
        <f t="shared" si="104"/>
        <v>0.58530514585203663</v>
      </c>
      <c r="H129" s="3662">
        <f t="shared" si="104"/>
        <v>0.56585642270880498</v>
      </c>
      <c r="I129" s="3662">
        <f t="shared" si="104"/>
        <v>0.504211196377648</v>
      </c>
      <c r="J129" s="3662"/>
      <c r="K129" s="3662"/>
      <c r="L129" s="3662">
        <f>L127/L120</f>
        <v>0.4634382399538749</v>
      </c>
      <c r="M129" s="3662">
        <f>M127/M120</f>
        <v>0.49728462245252814</v>
      </c>
      <c r="N129" s="3662"/>
      <c r="O129" s="3662">
        <f>O127/O120</f>
        <v>0.46441190639328561</v>
      </c>
      <c r="P129" s="3662"/>
      <c r="Q129" s="3663">
        <f>Q127/Q120</f>
        <v>0.55071684323188519</v>
      </c>
      <c r="R129" s="3663"/>
      <c r="S129" s="3663">
        <f>S127/S120</f>
        <v>0.3049244236252957</v>
      </c>
      <c r="T129" s="3518">
        <f>(L129*M129*O129*Q129*S129)^(1/5)</f>
        <v>0.44763513020279661</v>
      </c>
      <c r="U129" s="3518"/>
      <c r="V129" s="3518"/>
      <c r="W129" s="3518"/>
      <c r="X129" s="3664"/>
      <c r="Y129" s="3663">
        <f t="shared" ref="Y129:AH129" si="105">Y127/Y120</f>
        <v>0.16405166340742078</v>
      </c>
      <c r="Z129" s="3665"/>
      <c r="AA129" s="3662">
        <f t="shared" si="105"/>
        <v>0.25732342678707848</v>
      </c>
      <c r="AB129" s="185">
        <f t="shared" si="71"/>
        <v>0.72629951381979496</v>
      </c>
      <c r="AC129" s="3327">
        <f t="shared" si="64"/>
        <v>1.6045635736651117E-8</v>
      </c>
      <c r="AD129" s="3327">
        <f t="shared" si="72"/>
        <v>1.7432284417084941E-8</v>
      </c>
      <c r="AE129" s="3327"/>
      <c r="AF129" s="3662">
        <f t="shared" si="105"/>
        <v>0.44931199101376018</v>
      </c>
      <c r="AG129" s="3662"/>
      <c r="AH129" s="3662">
        <f t="shared" si="105"/>
        <v>0.40097167495026176</v>
      </c>
      <c r="AI129" s="3662">
        <f>AI127/AI120</f>
        <v>0.49039070749736008</v>
      </c>
      <c r="AJ129" s="39">
        <f t="shared" si="77"/>
        <v>1.312737472642121</v>
      </c>
      <c r="AK129" s="3662"/>
      <c r="AL129" s="3530">
        <f t="shared" si="69"/>
        <v>1.4946096584044683E-8</v>
      </c>
      <c r="AM129" s="3530">
        <f t="shared" si="66"/>
        <v>1.711732171601354E-8</v>
      </c>
      <c r="AN129" s="3538">
        <f t="shared" si="74"/>
        <v>1.9326060089327628</v>
      </c>
      <c r="AO129" s="3668"/>
      <c r="AP129" s="3668"/>
      <c r="AQ129" s="3668"/>
      <c r="AR129" s="3668"/>
      <c r="AS129" s="3668"/>
      <c r="AT129" s="3669"/>
      <c r="AU129" s="3670"/>
      <c r="AV129" s="3623">
        <f t="shared" si="67"/>
        <v>0</v>
      </c>
      <c r="AW129" s="3623">
        <f t="shared" si="68"/>
        <v>0</v>
      </c>
      <c r="AX129" s="3668"/>
      <c r="AY129" s="3344">
        <f t="shared" si="76"/>
        <v>4.4295068873395361E-8</v>
      </c>
      <c r="AZ129" s="3635">
        <f t="shared" si="70"/>
        <v>2.877735473369981E-8</v>
      </c>
    </row>
    <row r="130" spans="1:52" s="3695" customFormat="1" ht="19.2">
      <c r="A130" s="3682">
        <v>14</v>
      </c>
      <c r="B130" s="3683" t="s">
        <v>1981</v>
      </c>
      <c r="C130" s="3684">
        <v>30287000</v>
      </c>
      <c r="D130" s="3684">
        <v>41703000</v>
      </c>
      <c r="E130" s="3684">
        <v>44027000</v>
      </c>
      <c r="F130" s="3684">
        <v>48316000</v>
      </c>
      <c r="G130" s="3684">
        <v>53472000</v>
      </c>
      <c r="H130" s="3684">
        <v>57208361</v>
      </c>
      <c r="I130" s="3684">
        <f>SUM(D130:H130)</f>
        <v>244726361</v>
      </c>
      <c r="J130" s="3685"/>
      <c r="K130" s="3685">
        <f t="shared" ref="K130:K137" si="106">H130/$H$130</f>
        <v>1</v>
      </c>
      <c r="L130" s="3684">
        <v>62221079</v>
      </c>
      <c r="M130" s="3684">
        <v>68288574</v>
      </c>
      <c r="N130" s="3684"/>
      <c r="O130" s="3684">
        <v>75875880</v>
      </c>
      <c r="P130" s="3684"/>
      <c r="Q130" s="3686">
        <f>SUM(Q131,Q132,Q135)</f>
        <v>82283000</v>
      </c>
      <c r="R130" s="3686"/>
      <c r="S130" s="3686">
        <f>SUM(S131,S132,S135)</f>
        <v>86575000</v>
      </c>
      <c r="T130" s="3687">
        <f>SUM(L130:S130)</f>
        <v>375243533</v>
      </c>
      <c r="U130" s="3432"/>
      <c r="V130" s="3432">
        <f t="shared" ref="V130:V137" si="107">S130/$S$130</f>
        <v>1</v>
      </c>
      <c r="W130" s="3432"/>
      <c r="X130" s="3688"/>
      <c r="Y130" s="3689">
        <f>S130*1.07</f>
        <v>92635250</v>
      </c>
      <c r="Z130" s="3690"/>
      <c r="AA130" s="3691">
        <f>Y130*1.07</f>
        <v>99119717.5</v>
      </c>
      <c r="AB130" s="185">
        <f t="shared" si="71"/>
        <v>278329967.5</v>
      </c>
      <c r="AC130" s="3327">
        <f t="shared" si="64"/>
        <v>6.1489525851548565</v>
      </c>
      <c r="AD130" s="3327">
        <f t="shared" si="72"/>
        <v>6.6803392580293517</v>
      </c>
      <c r="AE130" s="3327"/>
      <c r="AF130" s="3691">
        <f>AA130*1.07</f>
        <v>106058097.72500001</v>
      </c>
      <c r="AG130" s="3691"/>
      <c r="AH130" s="3691">
        <f>AF130*1.07</f>
        <v>113482164.56575002</v>
      </c>
      <c r="AI130" s="3691">
        <f>AH130*1.07</f>
        <v>121425916.08535253</v>
      </c>
      <c r="AJ130" s="39">
        <f t="shared" si="77"/>
        <v>426663048.15110254</v>
      </c>
      <c r="AK130" s="3685"/>
      <c r="AL130" s="3530">
        <f t="shared" si="69"/>
        <v>4.8577474623882946</v>
      </c>
      <c r="AM130" s="3530">
        <f t="shared" si="66"/>
        <v>5.5634342827421017</v>
      </c>
      <c r="AN130" s="3538">
        <f t="shared" si="74"/>
        <v>0.13702971704805522</v>
      </c>
      <c r="AO130" s="3692"/>
      <c r="AP130" s="3692"/>
      <c r="AQ130" s="3692"/>
      <c r="AR130" s="3692"/>
      <c r="AS130" s="3692"/>
      <c r="AT130" s="3693"/>
      <c r="AU130" s="3694"/>
      <c r="AV130" s="3623">
        <f t="shared" si="67"/>
        <v>0</v>
      </c>
      <c r="AW130" s="3623">
        <f t="shared" si="68"/>
        <v>0</v>
      </c>
      <c r="AX130" s="39"/>
      <c r="AY130" s="3344">
        <f t="shared" si="76"/>
        <v>10.967926662934921</v>
      </c>
      <c r="AZ130" s="3635">
        <f t="shared" si="70"/>
        <v>7.1255768260483734</v>
      </c>
    </row>
    <row r="131" spans="1:52" s="2028" customFormat="1">
      <c r="A131" s="3626" t="s">
        <v>99</v>
      </c>
      <c r="B131" s="3696" t="s">
        <v>1982</v>
      </c>
      <c r="C131" s="3697">
        <v>12433000</v>
      </c>
      <c r="D131" s="3697">
        <v>18357000</v>
      </c>
      <c r="E131" s="3697">
        <v>18479000</v>
      </c>
      <c r="F131" s="3697">
        <v>19829000</v>
      </c>
      <c r="G131" s="3697">
        <v>21568000</v>
      </c>
      <c r="H131" s="3697">
        <v>22812751</v>
      </c>
      <c r="I131" s="3697">
        <f t="shared" ref="I131:I137" si="108">SUM(D131:H131)</f>
        <v>101045751</v>
      </c>
      <c r="J131" s="3529"/>
      <c r="K131" s="3529">
        <f t="shared" si="106"/>
        <v>0.39876603002138095</v>
      </c>
      <c r="L131" s="3697">
        <v>24048745</v>
      </c>
      <c r="M131" s="3697">
        <v>25053517</v>
      </c>
      <c r="N131" s="3697"/>
      <c r="O131" s="3698">
        <v>27636696</v>
      </c>
      <c r="P131" s="3698"/>
      <c r="Q131" s="3699">
        <v>29135000</v>
      </c>
      <c r="R131" s="3699"/>
      <c r="S131" s="3699">
        <v>28219000</v>
      </c>
      <c r="T131" s="3700">
        <f t="shared" ref="T131:T137" si="109">SUM(L131:S131)</f>
        <v>134092958</v>
      </c>
      <c r="U131" s="3329"/>
      <c r="V131" s="3329">
        <f t="shared" si="107"/>
        <v>0.32594859948021948</v>
      </c>
      <c r="W131" s="3329"/>
      <c r="X131" s="3345"/>
      <c r="Y131" s="3701">
        <v>33516948.789955687</v>
      </c>
      <c r="Z131" s="3702"/>
      <c r="AA131" s="3703">
        <v>35695516.944354013</v>
      </c>
      <c r="AB131" s="185">
        <f t="shared" si="71"/>
        <v>97431465.734309703</v>
      </c>
      <c r="AC131" s="3327">
        <f t="shared" si="64"/>
        <v>2.152486376093909</v>
      </c>
      <c r="AD131" s="3327">
        <f t="shared" si="72"/>
        <v>2.3385022150453518</v>
      </c>
      <c r="AE131" s="3327"/>
      <c r="AF131" s="3703">
        <v>37942371.25841637</v>
      </c>
      <c r="AG131" s="3703"/>
      <c r="AH131" s="3704">
        <v>40155819.530657232</v>
      </c>
      <c r="AI131" s="3704">
        <v>40155819.530657232</v>
      </c>
      <c r="AJ131" s="39">
        <f t="shared" si="77"/>
        <v>149524104.79562417</v>
      </c>
      <c r="AK131" s="3529"/>
      <c r="AL131" s="3530">
        <f t="shared" si="69"/>
        <v>1.7023980487281101</v>
      </c>
      <c r="AM131" s="3530">
        <f t="shared" si="66"/>
        <v>1.9497060603703666</v>
      </c>
      <c r="AN131" s="3538">
        <f t="shared" si="74"/>
        <v>0.11507798042328332</v>
      </c>
      <c r="AO131" s="39"/>
      <c r="AP131" s="39"/>
      <c r="AQ131" s="39"/>
      <c r="AR131" s="39"/>
      <c r="AS131" s="39"/>
      <c r="AT131" s="3657"/>
      <c r="AU131" s="3633"/>
      <c r="AV131" s="3623">
        <f t="shared" si="67"/>
        <v>0</v>
      </c>
      <c r="AW131" s="3623">
        <f t="shared" si="68"/>
        <v>0</v>
      </c>
      <c r="AX131" s="39"/>
      <c r="AY131" s="3344">
        <f t="shared" si="76"/>
        <v>3.6271176524846203</v>
      </c>
      <c r="AZ131" s="3635">
        <f t="shared" si="70"/>
        <v>2.3564440467346639</v>
      </c>
    </row>
    <row r="132" spans="1:52" s="2028" customFormat="1">
      <c r="A132" s="3626" t="s">
        <v>101</v>
      </c>
      <c r="B132" s="3696" t="s">
        <v>1983</v>
      </c>
      <c r="C132" s="3697">
        <v>5537000</v>
      </c>
      <c r="D132" s="3697">
        <v>7684000</v>
      </c>
      <c r="E132" s="3697">
        <v>7550000</v>
      </c>
      <c r="F132" s="3697">
        <v>8222000</v>
      </c>
      <c r="G132" s="3697">
        <v>9344000</v>
      </c>
      <c r="H132" s="3697">
        <v>9956179</v>
      </c>
      <c r="I132" s="3697">
        <f t="shared" si="108"/>
        <v>42756179</v>
      </c>
      <c r="J132" s="3529"/>
      <c r="K132" s="3529">
        <f t="shared" si="106"/>
        <v>0.17403363469895597</v>
      </c>
      <c r="L132" s="3697">
        <v>10918344</v>
      </c>
      <c r="M132" s="3697">
        <v>12602909</v>
      </c>
      <c r="N132" s="3697"/>
      <c r="O132" s="3698">
        <v>14241397</v>
      </c>
      <c r="P132" s="3698"/>
      <c r="Q132" s="3699">
        <v>15934000</v>
      </c>
      <c r="R132" s="3699"/>
      <c r="S132" s="3699">
        <v>17300000</v>
      </c>
      <c r="T132" s="3700">
        <f t="shared" si="109"/>
        <v>70996650</v>
      </c>
      <c r="U132" s="3329"/>
      <c r="V132" s="3329">
        <f t="shared" si="107"/>
        <v>0.19982673982096449</v>
      </c>
      <c r="W132" s="3329"/>
      <c r="X132" s="3345"/>
      <c r="Y132" s="3701">
        <v>21870181.051513352</v>
      </c>
      <c r="Z132" s="3702"/>
      <c r="AA132" s="3703">
        <v>24733621.047940463</v>
      </c>
      <c r="AB132" s="185">
        <f t="shared" si="71"/>
        <v>63903802.099453814</v>
      </c>
      <c r="AC132" s="3327">
        <f t="shared" si="64"/>
        <v>1.411782757890276</v>
      </c>
      <c r="AD132" s="3327">
        <f t="shared" si="72"/>
        <v>1.5337876899738432</v>
      </c>
      <c r="AE132" s="3327"/>
      <c r="AF132" s="3703">
        <v>27968987.070854526</v>
      </c>
      <c r="AG132" s="3703"/>
      <c r="AH132" s="3703">
        <v>31565712.958486915</v>
      </c>
      <c r="AI132" s="3703">
        <v>31565712.958486915</v>
      </c>
      <c r="AJ132" s="39">
        <f t="shared" si="77"/>
        <v>109735228.01642764</v>
      </c>
      <c r="AK132" s="3529"/>
      <c r="AL132" s="3530">
        <f t="shared" si="69"/>
        <v>1.2493840930012226</v>
      </c>
      <c r="AM132" s="3530">
        <f t="shared" si="66"/>
        <v>1.4308825950985684</v>
      </c>
      <c r="AN132" s="3538">
        <f t="shared" si="74"/>
        <v>0.54563951984252257</v>
      </c>
      <c r="AO132" s="39"/>
      <c r="AP132" s="39"/>
      <c r="AQ132" s="39"/>
      <c r="AR132" s="39"/>
      <c r="AS132" s="39"/>
      <c r="AT132" s="3657"/>
      <c r="AU132" s="3633"/>
      <c r="AV132" s="3623">
        <f t="shared" si="67"/>
        <v>0</v>
      </c>
      <c r="AW132" s="3623">
        <f t="shared" si="68"/>
        <v>0</v>
      </c>
      <c r="AX132" s="39"/>
      <c r="AY132" s="3344">
        <f t="shared" si="76"/>
        <v>2.8512070236190872</v>
      </c>
      <c r="AZ132" s="3635">
        <f t="shared" si="70"/>
        <v>1.8523550820616088</v>
      </c>
    </row>
    <row r="133" spans="1:52" s="3671" customFormat="1" ht="16.2">
      <c r="A133" s="3672"/>
      <c r="B133" s="3705" t="s">
        <v>1984</v>
      </c>
      <c r="C133" s="3706">
        <v>4504000</v>
      </c>
      <c r="D133" s="3706">
        <v>6402000</v>
      </c>
      <c r="E133" s="3706">
        <v>5954000</v>
      </c>
      <c r="F133" s="3706">
        <v>6517000</v>
      </c>
      <c r="G133" s="3706">
        <v>7470000</v>
      </c>
      <c r="H133" s="3706">
        <v>7929072</v>
      </c>
      <c r="I133" s="3706">
        <f t="shared" si="108"/>
        <v>34272072</v>
      </c>
      <c r="J133" s="3662"/>
      <c r="K133" s="3662">
        <f t="shared" si="106"/>
        <v>0.13859988053144889</v>
      </c>
      <c r="L133" s="3706">
        <v>8682916</v>
      </c>
      <c r="M133" s="3706">
        <v>9979782</v>
      </c>
      <c r="N133" s="3706"/>
      <c r="O133" s="3707">
        <v>11226790</v>
      </c>
      <c r="P133" s="3707"/>
      <c r="Q133" s="3708">
        <v>12407642</v>
      </c>
      <c r="R133" s="3708"/>
      <c r="S133" s="3708">
        <v>13619869</v>
      </c>
      <c r="T133" s="3709">
        <f t="shared" si="109"/>
        <v>55916999</v>
      </c>
      <c r="U133" s="3518"/>
      <c r="V133" s="3518">
        <f t="shared" si="107"/>
        <v>0.15731872942535374</v>
      </c>
      <c r="W133" s="3518"/>
      <c r="X133" s="3664"/>
      <c r="Y133" s="3710">
        <v>17183562.06968103</v>
      </c>
      <c r="Z133" s="3711"/>
      <c r="AA133" s="3712">
        <v>19323388.095313232</v>
      </c>
      <c r="AB133" s="185">
        <f t="shared" si="71"/>
        <v>50126819.164994262</v>
      </c>
      <c r="AC133" s="3327">
        <f t="shared" si="64"/>
        <v>1.1074173473259989</v>
      </c>
      <c r="AD133" s="3327">
        <f t="shared" si="72"/>
        <v>1.2031193081932483</v>
      </c>
      <c r="AE133" s="3327"/>
      <c r="AF133" s="3712">
        <v>21779680.573048972</v>
      </c>
      <c r="AG133" s="3712"/>
      <c r="AH133" s="3712">
        <v>24548355.266670678</v>
      </c>
      <c r="AI133" s="3712">
        <v>24548355.266670678</v>
      </c>
      <c r="AJ133" s="39">
        <f t="shared" si="77"/>
        <v>85603660.698335618</v>
      </c>
      <c r="AK133" s="3662"/>
      <c r="AL133" s="3530">
        <f t="shared" si="69"/>
        <v>0.97463552873980897</v>
      </c>
      <c r="AM133" s="3530">
        <f t="shared" si="66"/>
        <v>1.1162212024714153</v>
      </c>
      <c r="AN133" s="3538">
        <f t="shared" si="74"/>
        <v>0.53090584668779561</v>
      </c>
      <c r="AO133" s="3668"/>
      <c r="AP133" s="3668"/>
      <c r="AQ133" s="3668"/>
      <c r="AR133" s="3668"/>
      <c r="AS133" s="3668"/>
      <c r="AT133" s="3669"/>
      <c r="AU133" s="3670"/>
      <c r="AV133" s="3623">
        <f t="shared" si="67"/>
        <v>0</v>
      </c>
      <c r="AW133" s="3623">
        <f t="shared" si="68"/>
        <v>0</v>
      </c>
      <c r="AX133" s="3668"/>
      <c r="AY133" s="3344">
        <f t="shared" si="76"/>
        <v>2.2173566314398587</v>
      </c>
      <c r="AZ133" s="3635">
        <f t="shared" si="70"/>
        <v>1.4405589601056481</v>
      </c>
    </row>
    <row r="134" spans="1:52" s="3671" customFormat="1" ht="16.2">
      <c r="A134" s="3672"/>
      <c r="B134" s="3705" t="s">
        <v>1985</v>
      </c>
      <c r="C134" s="3706">
        <v>1033000</v>
      </c>
      <c r="D134" s="3706">
        <v>1282000</v>
      </c>
      <c r="E134" s="3706">
        <v>1596000</v>
      </c>
      <c r="F134" s="3706">
        <v>1705000</v>
      </c>
      <c r="G134" s="3706">
        <v>1874000</v>
      </c>
      <c r="H134" s="3706">
        <v>2027108</v>
      </c>
      <c r="I134" s="3706">
        <f t="shared" si="108"/>
        <v>8484108</v>
      </c>
      <c r="J134" s="3662"/>
      <c r="K134" s="3662"/>
      <c r="L134" s="3706">
        <v>2235428</v>
      </c>
      <c r="M134" s="3706">
        <v>2632127</v>
      </c>
      <c r="N134" s="3706"/>
      <c r="O134" s="3706">
        <v>3014608</v>
      </c>
      <c r="P134" s="3706"/>
      <c r="Q134" s="3713">
        <v>3231658</v>
      </c>
      <c r="R134" s="3713"/>
      <c r="S134" s="3708">
        <v>3581323</v>
      </c>
      <c r="T134" s="3709">
        <f t="shared" si="109"/>
        <v>14695144</v>
      </c>
      <c r="U134" s="3518"/>
      <c r="V134" s="3518"/>
      <c r="W134" s="3518"/>
      <c r="X134" s="3664"/>
      <c r="Y134" s="3710">
        <v>4686618.9818323208</v>
      </c>
      <c r="Z134" s="3711"/>
      <c r="AA134" s="3712">
        <v>5410232.9526272314</v>
      </c>
      <c r="AB134" s="185">
        <f t="shared" si="71"/>
        <v>13678174.934459552</v>
      </c>
      <c r="AC134" s="3327">
        <f t="shared" si="64"/>
        <v>0.30218251336319157</v>
      </c>
      <c r="AD134" s="3327">
        <f t="shared" si="72"/>
        <v>0.32829684066579429</v>
      </c>
      <c r="AE134" s="3327"/>
      <c r="AF134" s="3712">
        <v>6189306.4978055544</v>
      </c>
      <c r="AG134" s="3712"/>
      <c r="AH134" s="3712">
        <v>7017357.6918162387</v>
      </c>
      <c r="AI134" s="3712">
        <v>7017357.6918162387</v>
      </c>
      <c r="AJ134" s="39">
        <f t="shared" si="77"/>
        <v>24131567.318092033</v>
      </c>
      <c r="AK134" s="3662"/>
      <c r="AL134" s="3530">
        <f t="shared" si="69"/>
        <v>0.27474856426141375</v>
      </c>
      <c r="AM134" s="3530">
        <f t="shared" si="66"/>
        <v>0.31466139262715331</v>
      </c>
      <c r="AN134" s="3538">
        <f t="shared" si="74"/>
        <v>0.64214568554701024</v>
      </c>
      <c r="AO134" s="3668"/>
      <c r="AP134" s="3668"/>
      <c r="AQ134" s="3668"/>
      <c r="AR134" s="3668"/>
      <c r="AS134" s="3668"/>
      <c r="AT134" s="3669"/>
      <c r="AU134" s="3670"/>
      <c r="AV134" s="3623">
        <f t="shared" si="67"/>
        <v>0</v>
      </c>
      <c r="AW134" s="3623">
        <f t="shared" si="68"/>
        <v>0</v>
      </c>
      <c r="AX134" s="3668"/>
      <c r="AY134" s="3344">
        <f t="shared" si="76"/>
        <v>0.63385039217922845</v>
      </c>
      <c r="AZ134" s="3635">
        <f t="shared" si="70"/>
        <v>0.41179612195596083</v>
      </c>
    </row>
    <row r="135" spans="1:52" s="2028" customFormat="1" ht="16.2">
      <c r="A135" s="3626" t="s">
        <v>147</v>
      </c>
      <c r="B135" s="3696" t="s">
        <v>1986</v>
      </c>
      <c r="C135" s="3697">
        <v>12318000</v>
      </c>
      <c r="D135" s="3697">
        <v>15662000</v>
      </c>
      <c r="E135" s="3697">
        <v>17997000</v>
      </c>
      <c r="F135" s="3697">
        <v>20265000</v>
      </c>
      <c r="G135" s="3697">
        <v>22560000</v>
      </c>
      <c r="H135" s="3697">
        <v>24439431</v>
      </c>
      <c r="I135" s="3697">
        <f t="shared" si="108"/>
        <v>100923431</v>
      </c>
      <c r="J135" s="3662"/>
      <c r="K135" s="3662">
        <f t="shared" si="106"/>
        <v>0.42720033527966306</v>
      </c>
      <c r="L135" s="3697">
        <v>27253990</v>
      </c>
      <c r="M135" s="3697">
        <v>30632149</v>
      </c>
      <c r="N135" s="3697"/>
      <c r="O135" s="3698">
        <v>33997786</v>
      </c>
      <c r="P135" s="3698"/>
      <c r="Q135" s="3699">
        <v>37214000</v>
      </c>
      <c r="R135" s="3699"/>
      <c r="S135" s="3699">
        <v>41056000</v>
      </c>
      <c r="T135" s="3700">
        <f t="shared" si="109"/>
        <v>170153925</v>
      </c>
      <c r="U135" s="3518"/>
      <c r="V135" s="3518">
        <f t="shared" si="107"/>
        <v>0.47422466069881608</v>
      </c>
      <c r="W135" s="3518"/>
      <c r="X135" s="3664"/>
      <c r="Y135" s="3710">
        <v>51150752.386760205</v>
      </c>
      <c r="Z135" s="3711"/>
      <c r="AA135" s="3712">
        <v>57584424.718697324</v>
      </c>
      <c r="AB135" s="185">
        <f t="shared" si="71"/>
        <v>149791177.10545754</v>
      </c>
      <c r="AC135" s="3327">
        <f t="shared" si="64"/>
        <v>3.3092334755365216</v>
      </c>
      <c r="AD135" s="3327">
        <f t="shared" si="72"/>
        <v>3.5952143059263482</v>
      </c>
      <c r="AE135" s="3327"/>
      <c r="AF135" s="3712">
        <v>64879104.399336763</v>
      </c>
      <c r="AG135" s="3712"/>
      <c r="AH135" s="3712">
        <v>73002529.284254506</v>
      </c>
      <c r="AI135" s="3712">
        <v>73002529.284254506</v>
      </c>
      <c r="AJ135" s="39">
        <f t="shared" si="77"/>
        <v>254740235.67396653</v>
      </c>
      <c r="AK135" s="3662"/>
      <c r="AL135" s="3530">
        <f t="shared" si="69"/>
        <v>2.9003302225862306</v>
      </c>
      <c r="AM135" s="3530">
        <f t="shared" si="66"/>
        <v>3.3216622964743743</v>
      </c>
      <c r="AN135" s="3538">
        <f t="shared" si="74"/>
        <v>0.4971164236967589</v>
      </c>
      <c r="AO135" s="39"/>
      <c r="AP135" s="39"/>
      <c r="AQ135" s="39"/>
      <c r="AR135" s="39"/>
      <c r="AS135" s="39"/>
      <c r="AT135" s="3657"/>
      <c r="AU135" s="3633"/>
      <c r="AV135" s="3623">
        <f t="shared" si="67"/>
        <v>0</v>
      </c>
      <c r="AW135" s="3623">
        <f t="shared" si="68"/>
        <v>0</v>
      </c>
      <c r="AX135" s="39"/>
      <c r="AY135" s="3344">
        <f t="shared" si="76"/>
        <v>6.5940320914329789</v>
      </c>
      <c r="AZ135" s="3635">
        <f t="shared" si="70"/>
        <v>4.2839712285567924</v>
      </c>
    </row>
    <row r="136" spans="1:52" s="2028" customFormat="1" ht="16.2">
      <c r="A136" s="3626"/>
      <c r="B136" s="3696" t="s">
        <v>1987</v>
      </c>
      <c r="C136" s="3697">
        <v>10250000</v>
      </c>
      <c r="D136" s="3697">
        <v>13064000</v>
      </c>
      <c r="E136" s="3697">
        <v>15397000</v>
      </c>
      <c r="F136" s="3697">
        <v>17597000</v>
      </c>
      <c r="G136" s="3697">
        <v>19550000</v>
      </c>
      <c r="H136" s="3697">
        <v>21355327</v>
      </c>
      <c r="I136" s="3697">
        <f t="shared" si="108"/>
        <v>86963327</v>
      </c>
      <c r="J136" s="3662"/>
      <c r="K136" s="3662"/>
      <c r="L136" s="3697">
        <v>23812618</v>
      </c>
      <c r="M136" s="3697">
        <v>26587715</v>
      </c>
      <c r="N136" s="3697"/>
      <c r="O136" s="3697">
        <v>29244625</v>
      </c>
      <c r="P136" s="3697"/>
      <c r="Q136" s="3699">
        <v>31342234</v>
      </c>
      <c r="R136" s="3699"/>
      <c r="S136" s="3699">
        <v>34916571.696000002</v>
      </c>
      <c r="T136" s="3700">
        <f t="shared" si="109"/>
        <v>145903763.69600001</v>
      </c>
      <c r="U136" s="3518"/>
      <c r="V136" s="3518"/>
      <c r="W136" s="3518"/>
      <c r="X136" s="3664"/>
      <c r="Y136" s="3710">
        <v>44131561.117197707</v>
      </c>
      <c r="Z136" s="3711"/>
      <c r="AA136" s="3712">
        <v>49706259.917522117</v>
      </c>
      <c r="AB136" s="185">
        <f t="shared" si="71"/>
        <v>128754392.73071983</v>
      </c>
      <c r="AC136" s="3327">
        <f t="shared" si="64"/>
        <v>2.8444822637778069</v>
      </c>
      <c r="AD136" s="3327">
        <f t="shared" si="72"/>
        <v>3.0902997335447062</v>
      </c>
      <c r="AE136" s="3327"/>
      <c r="AF136" s="3712">
        <v>56036849.180617742</v>
      </c>
      <c r="AG136" s="3712"/>
      <c r="AH136" s="3712">
        <v>63078203.083144747</v>
      </c>
      <c r="AI136" s="3712">
        <v>63078203.083144747</v>
      </c>
      <c r="AJ136" s="39">
        <f t="shared" si="77"/>
        <v>219994227.20100933</v>
      </c>
      <c r="AK136" s="3662"/>
      <c r="AL136" s="3530">
        <f t="shared" si="69"/>
        <v>2.504731552349726</v>
      </c>
      <c r="AM136" s="3530">
        <f t="shared" si="66"/>
        <v>2.8685948570404398</v>
      </c>
      <c r="AN136" s="3538">
        <f t="shared" si="74"/>
        <v>0.5078036482964321</v>
      </c>
      <c r="AO136" s="39"/>
      <c r="AP136" s="39"/>
      <c r="AQ136" s="39"/>
      <c r="AR136" s="39"/>
      <c r="AS136" s="39"/>
      <c r="AT136" s="3657"/>
      <c r="AU136" s="3633"/>
      <c r="AV136" s="3623">
        <f t="shared" si="67"/>
        <v>0</v>
      </c>
      <c r="AW136" s="3623">
        <f t="shared" si="68"/>
        <v>0</v>
      </c>
      <c r="AX136" s="39"/>
      <c r="AY136" s="3344">
        <f t="shared" si="76"/>
        <v>5.6976066374442009</v>
      </c>
      <c r="AZ136" s="3635">
        <f t="shared" si="70"/>
        <v>3.7015869149555312</v>
      </c>
    </row>
    <row r="137" spans="1:52" s="2028" customFormat="1">
      <c r="A137" s="3714"/>
      <c r="B137" s="3696" t="s">
        <v>1988</v>
      </c>
      <c r="C137" s="3697">
        <v>2068000</v>
      </c>
      <c r="D137" s="3697">
        <v>2598000</v>
      </c>
      <c r="E137" s="3697">
        <v>2600000</v>
      </c>
      <c r="F137" s="3697">
        <v>2668000</v>
      </c>
      <c r="G137" s="3697">
        <v>3010000</v>
      </c>
      <c r="H137" s="3697">
        <v>3084104</v>
      </c>
      <c r="I137" s="3697">
        <f t="shared" si="108"/>
        <v>13960104</v>
      </c>
      <c r="J137" s="3529"/>
      <c r="K137" s="3529">
        <f t="shared" si="106"/>
        <v>5.3910021998357899E-2</v>
      </c>
      <c r="L137" s="3697">
        <v>3441372</v>
      </c>
      <c r="M137" s="3697">
        <v>4044434</v>
      </c>
      <c r="N137" s="3697"/>
      <c r="O137" s="3698">
        <v>4753161</v>
      </c>
      <c r="P137" s="3698"/>
      <c r="Q137" s="3699">
        <v>5215166</v>
      </c>
      <c r="R137" s="3699"/>
      <c r="S137" s="3699">
        <v>5572000</v>
      </c>
      <c r="T137" s="3700">
        <f t="shared" si="109"/>
        <v>23026133</v>
      </c>
      <c r="U137" s="3329"/>
      <c r="V137" s="3329">
        <f t="shared" si="107"/>
        <v>6.4360381172393871E-2</v>
      </c>
      <c r="W137" s="3329"/>
      <c r="X137" s="3345"/>
      <c r="Y137" s="3710">
        <v>7019191.2695624987</v>
      </c>
      <c r="Z137" s="3711"/>
      <c r="AA137" s="3712">
        <v>7878164.8011752078</v>
      </c>
      <c r="AB137" s="185">
        <f t="shared" si="71"/>
        <v>20469356.070737705</v>
      </c>
      <c r="AC137" s="3327">
        <f t="shared" si="64"/>
        <v>0.45221540841669472</v>
      </c>
      <c r="AD137" s="3327">
        <f t="shared" si="72"/>
        <v>0.49129543675863985</v>
      </c>
      <c r="AE137" s="3327"/>
      <c r="AF137" s="3712">
        <v>8842255.2187190223</v>
      </c>
      <c r="AG137" s="3712"/>
      <c r="AH137" s="3712">
        <v>9924326.2011097651</v>
      </c>
      <c r="AI137" s="3712">
        <v>9924326.2011097651</v>
      </c>
      <c r="AJ137" s="39">
        <f t="shared" si="77"/>
        <v>34746008.472957239</v>
      </c>
      <c r="AK137" s="3529"/>
      <c r="AL137" s="3530">
        <f t="shared" si="69"/>
        <v>0.3955986702365053</v>
      </c>
      <c r="AM137" s="3530">
        <f t="shared" si="66"/>
        <v>0.45306743943393524</v>
      </c>
      <c r="AN137" s="3538">
        <f t="shared" si="74"/>
        <v>0.50898148955177303</v>
      </c>
      <c r="AO137" s="39"/>
      <c r="AP137" s="39"/>
      <c r="AQ137" s="39"/>
      <c r="AR137" s="39"/>
      <c r="AS137" s="39"/>
      <c r="AT137" s="3657"/>
      <c r="AU137" s="3633"/>
      <c r="AV137" s="3623">
        <f t="shared" si="67"/>
        <v>0</v>
      </c>
      <c r="AW137" s="3623">
        <f t="shared" si="68"/>
        <v>0</v>
      </c>
      <c r="AX137" s="39"/>
      <c r="AY137" s="3344">
        <f t="shared" si="76"/>
        <v>0.89642545398877838</v>
      </c>
      <c r="AZ137" s="3635">
        <f t="shared" si="70"/>
        <v>0.58238431360126164</v>
      </c>
    </row>
    <row r="138" spans="1:52" s="2028" customFormat="1">
      <c r="A138" s="3619">
        <v>15</v>
      </c>
      <c r="B138" s="2855" t="s">
        <v>2104</v>
      </c>
      <c r="C138" s="3620">
        <f t="shared" ref="C138:I138" si="110">C8/C130</f>
        <v>0.15479801498722226</v>
      </c>
      <c r="D138" s="3620">
        <f t="shared" si="110"/>
        <v>0.13230479446092344</v>
      </c>
      <c r="E138" s="3620">
        <f t="shared" si="110"/>
        <v>0.15165502011810936</v>
      </c>
      <c r="F138" s="3620">
        <f t="shared" si="110"/>
        <v>0.15161152472406655</v>
      </c>
      <c r="G138" s="3620">
        <f t="shared" si="110"/>
        <v>0.15260266253110041</v>
      </c>
      <c r="H138" s="3620">
        <f t="shared" si="110"/>
        <v>0.15449243801141233</v>
      </c>
      <c r="I138" s="3620">
        <f t="shared" si="110"/>
        <v>0.14921937068766322</v>
      </c>
      <c r="J138" s="3620"/>
      <c r="K138" s="3620"/>
      <c r="L138" s="3620">
        <f>L8/L130</f>
        <v>0.15164731627619316</v>
      </c>
      <c r="M138" s="3620">
        <f>M8/M130</f>
        <v>0.15852312748952704</v>
      </c>
      <c r="N138" s="3620"/>
      <c r="O138" s="3620">
        <f>O8/O130</f>
        <v>0.16139633349406954</v>
      </c>
      <c r="P138" s="3620"/>
      <c r="Q138" s="3715">
        <f>Q8/Q130</f>
        <v>0.1468267956792533</v>
      </c>
      <c r="R138" s="3715"/>
      <c r="S138" s="3715">
        <f>S8/S130</f>
        <v>0.16747327341567428</v>
      </c>
      <c r="T138" s="3321">
        <f>(L138*M138*O138*Q138*S138)^(1/5)</f>
        <v>0.15700532096982237</v>
      </c>
      <c r="U138" s="3321"/>
      <c r="V138" s="3321"/>
      <c r="W138" s="3321">
        <f>T138-I138</f>
        <v>7.7859502821591431E-3</v>
      </c>
      <c r="X138" s="3350"/>
      <c r="Y138" s="3715">
        <f>Y8/Y130</f>
        <v>0.15869813057124582</v>
      </c>
      <c r="Z138" s="3716"/>
      <c r="AA138" s="3620">
        <f>AA8/AA130</f>
        <v>0.16207244251360989</v>
      </c>
      <c r="AB138" s="185">
        <f t="shared" si="71"/>
        <v>0.48824384650052999</v>
      </c>
      <c r="AC138" s="3327">
        <f t="shared" si="64"/>
        <v>1.0786435571747714E-8</v>
      </c>
      <c r="AD138" s="3327">
        <f t="shared" si="72"/>
        <v>1.1718589142826481E-8</v>
      </c>
      <c r="AE138" s="3327"/>
      <c r="AF138" s="3620">
        <f>AF8/AF130</f>
        <v>0.14916348057665485</v>
      </c>
      <c r="AG138" s="3620"/>
      <c r="AH138" s="3620">
        <f>AH8/AH130</f>
        <v>0.17209284816456677</v>
      </c>
      <c r="AI138" s="3620">
        <f>AI8/AI130</f>
        <v>0.16798629897106379</v>
      </c>
      <c r="AJ138" s="39">
        <f t="shared" si="77"/>
        <v>0.66084972022048627</v>
      </c>
      <c r="AK138" s="3620"/>
      <c r="AL138" s="3530">
        <f t="shared" si="69"/>
        <v>7.5240662750906335E-9</v>
      </c>
      <c r="AM138" s="3530">
        <f t="shared" si="66"/>
        <v>8.617090242867986E-9</v>
      </c>
      <c r="AN138" s="3538">
        <f t="shared" si="74"/>
        <v>3.2090912342232443</v>
      </c>
      <c r="AO138" s="39"/>
      <c r="AP138" s="39"/>
      <c r="AQ138" s="39"/>
      <c r="AR138" s="39"/>
      <c r="AS138" s="39"/>
      <c r="AT138" s="3657"/>
      <c r="AU138" s="3633"/>
      <c r="AV138" s="3623">
        <f t="shared" si="67"/>
        <v>0</v>
      </c>
      <c r="AW138" s="3623">
        <f t="shared" si="68"/>
        <v>0</v>
      </c>
      <c r="AX138" s="39"/>
      <c r="AY138" s="3344">
        <f t="shared" si="76"/>
        <v>1.5173543399066372E-8</v>
      </c>
      <c r="AZ138" s="3635">
        <f t="shared" si="70"/>
        <v>9.857856688521526E-9</v>
      </c>
    </row>
    <row r="139" spans="1:52" s="2028" customFormat="1" ht="16.2" thickBot="1">
      <c r="A139" s="3639" t="s">
        <v>37</v>
      </c>
      <c r="B139" s="3717" t="s">
        <v>1921</v>
      </c>
      <c r="C139" s="3376">
        <f t="shared" ref="C139:H139" si="111">SUM(C147,C150)</f>
        <v>379873</v>
      </c>
      <c r="D139" s="3376">
        <f t="shared" si="111"/>
        <v>517484</v>
      </c>
      <c r="E139" s="3376">
        <f t="shared" si="111"/>
        <v>686112</v>
      </c>
      <c r="F139" s="3376">
        <f t="shared" si="111"/>
        <v>774055</v>
      </c>
      <c r="G139" s="3376">
        <f t="shared" si="111"/>
        <v>531512</v>
      </c>
      <c r="H139" s="3376">
        <f t="shared" si="111"/>
        <v>533832</v>
      </c>
      <c r="I139" s="3376">
        <f>SUM(D139:H139)</f>
        <v>3042995</v>
      </c>
      <c r="J139" s="3640"/>
      <c r="K139" s="3640">
        <f>I139/I8</f>
        <v>8.3328829655301417E-2</v>
      </c>
      <c r="L139" s="3376">
        <f t="shared" ref="L139:Q139" si="112">SUM(L147,L150)</f>
        <v>760850</v>
      </c>
      <c r="M139" s="3376">
        <f t="shared" si="112"/>
        <v>741859</v>
      </c>
      <c r="N139" s="3376"/>
      <c r="O139" s="3376">
        <f t="shared" si="112"/>
        <v>1818286</v>
      </c>
      <c r="P139" s="3376">
        <f t="shared" si="112"/>
        <v>1423990</v>
      </c>
      <c r="Q139" s="3641">
        <f t="shared" si="112"/>
        <v>1087251</v>
      </c>
      <c r="R139" s="3641">
        <f>SUM(R147,R150)</f>
        <v>1474513</v>
      </c>
      <c r="S139" s="3641">
        <f>SUM(S147,S150)</f>
        <v>1365375.6459619999</v>
      </c>
      <c r="T139" s="3642">
        <f>SUM(L139:S139)</f>
        <v>8672124.6459619999</v>
      </c>
      <c r="U139" s="3643"/>
      <c r="V139" s="3643">
        <f>T139/T8</f>
        <v>0.14000843027421966</v>
      </c>
      <c r="W139" s="3643">
        <f>T139/I139-1</f>
        <v>1.8498649015072322</v>
      </c>
      <c r="X139" s="3641">
        <f t="shared" ref="X139:AF139" si="113">SUM(X147,X150)</f>
        <v>1370794</v>
      </c>
      <c r="Y139" s="3641">
        <f t="shared" si="113"/>
        <v>545944</v>
      </c>
      <c r="Z139" s="3376">
        <f t="shared" si="113"/>
        <v>1213473</v>
      </c>
      <c r="AA139" s="3376">
        <f>SUM(AA147,AA150)</f>
        <v>1567739.8360000001</v>
      </c>
      <c r="AB139" s="3642">
        <f t="shared" si="71"/>
        <v>3479059.481962</v>
      </c>
      <c r="AC139" s="3645">
        <f t="shared" si="64"/>
        <v>7.6860468844475963E-2</v>
      </c>
      <c r="AD139" s="3718">
        <f>AB139/$AB$10</f>
        <v>8.3502677944192305E-2</v>
      </c>
      <c r="AE139" s="3718"/>
      <c r="AF139" s="3376">
        <f t="shared" si="113"/>
        <v>2597007</v>
      </c>
      <c r="AG139" s="3376">
        <f>'[16]Phụ lục số 2-1'!P32</f>
        <v>2597007</v>
      </c>
      <c r="AH139" s="3376">
        <f>'[16]Phụ lục số 2-1'!U32</f>
        <v>2951036</v>
      </c>
      <c r="AI139" s="3376">
        <f>'[16]Phụ lục số 2-1'!Z32</f>
        <v>3357036</v>
      </c>
      <c r="AJ139" s="3376">
        <f t="shared" si="77"/>
        <v>11018762.835999999</v>
      </c>
      <c r="AK139" s="3640"/>
      <c r="AL139" s="3646">
        <f t="shared" si="69"/>
        <v>0.12545348709523374</v>
      </c>
      <c r="AM139" s="3719">
        <f t="shared" si="66"/>
        <v>0.14367816285205193</v>
      </c>
      <c r="AN139" s="3647">
        <f t="shared" si="74"/>
        <v>0.27059553291022675</v>
      </c>
      <c r="AO139" s="3376">
        <f t="shared" ref="AO139:AS139" si="114">SUM(AO147,AO150)</f>
        <v>3357036</v>
      </c>
      <c r="AP139" s="3376">
        <f t="shared" si="114"/>
        <v>3357036</v>
      </c>
      <c r="AQ139" s="3376">
        <f t="shared" si="114"/>
        <v>3357036</v>
      </c>
      <c r="AR139" s="3376">
        <f t="shared" si="114"/>
        <v>3357036</v>
      </c>
      <c r="AS139" s="3376">
        <f t="shared" si="114"/>
        <v>3357036</v>
      </c>
      <c r="AT139" s="3720">
        <f>SUM(AO139:AS139)</f>
        <v>16785180</v>
      </c>
      <c r="AU139" s="3636"/>
      <c r="AV139" s="3637">
        <f t="shared" si="67"/>
        <v>0.15371415192671203</v>
      </c>
      <c r="AW139" s="3637">
        <f t="shared" si="68"/>
        <v>0.18163384425802245</v>
      </c>
      <c r="AX139" s="3549"/>
      <c r="AY139" s="3344">
        <f t="shared" si="76"/>
        <v>0.30322789269262035</v>
      </c>
      <c r="AZ139" s="3635">
        <f t="shared" si="70"/>
        <v>0.19699927904184591</v>
      </c>
    </row>
    <row r="140" spans="1:52" s="2028" customFormat="1">
      <c r="A140" s="3721"/>
      <c r="B140" s="3722"/>
      <c r="C140" s="3723"/>
      <c r="D140" s="3723"/>
      <c r="E140" s="3723"/>
      <c r="F140" s="3723"/>
      <c r="G140" s="3723"/>
      <c r="H140" s="3723"/>
      <c r="I140" s="3723"/>
      <c r="J140" s="3414"/>
      <c r="K140" s="3414"/>
      <c r="L140" s="3723"/>
      <c r="M140" s="3723"/>
      <c r="N140" s="3723"/>
      <c r="O140" s="3723"/>
      <c r="P140" s="3723"/>
      <c r="Q140" s="3724"/>
      <c r="R140" s="3724"/>
      <c r="S140" s="3724"/>
      <c r="T140" s="3725"/>
      <c r="U140" s="3403"/>
      <c r="V140" s="3403"/>
      <c r="W140" s="3403"/>
      <c r="X140" s="3724"/>
      <c r="Y140" s="3724"/>
      <c r="Z140" s="3723"/>
      <c r="AA140" s="3723"/>
      <c r="AB140" s="3725"/>
      <c r="AC140" s="3410"/>
      <c r="AD140" s="3726"/>
      <c r="AE140" s="3726"/>
      <c r="AF140" s="3723"/>
      <c r="AG140" s="3723"/>
      <c r="AH140" s="3723"/>
      <c r="AI140" s="3723"/>
      <c r="AJ140" s="3723"/>
      <c r="AK140" s="3414"/>
      <c r="AL140" s="3420"/>
      <c r="AM140" s="3727"/>
      <c r="AN140" s="3728"/>
      <c r="AO140" s="3723"/>
      <c r="AP140" s="3723"/>
      <c r="AQ140" s="3723"/>
      <c r="AR140" s="3723"/>
      <c r="AS140" s="3723"/>
      <c r="AT140" s="3729"/>
      <c r="AV140" s="3730"/>
      <c r="AW140" s="3730"/>
      <c r="AX140" s="3531"/>
      <c r="AY140" s="3344"/>
      <c r="AZ140" s="3635"/>
    </row>
    <row r="141" spans="1:52" s="2028" customFormat="1">
      <c r="A141" s="3721"/>
      <c r="B141" s="3722"/>
      <c r="C141" s="3723"/>
      <c r="D141" s="3723"/>
      <c r="E141" s="3723"/>
      <c r="F141" s="3723"/>
      <c r="G141" s="3723"/>
      <c r="H141" s="3723"/>
      <c r="I141" s="3723"/>
      <c r="J141" s="3414"/>
      <c r="K141" s="3414"/>
      <c r="L141" s="3723"/>
      <c r="M141" s="3723"/>
      <c r="N141" s="3723"/>
      <c r="O141" s="3723"/>
      <c r="P141" s="3723"/>
      <c r="Q141" s="3724"/>
      <c r="R141" s="3724"/>
      <c r="S141" s="3724"/>
      <c r="T141" s="3725"/>
      <c r="U141" s="3403"/>
      <c r="V141" s="3403"/>
      <c r="W141" s="3403"/>
      <c r="X141" s="3724"/>
      <c r="Y141" s="3724"/>
      <c r="Z141" s="3723"/>
      <c r="AA141" s="3723"/>
      <c r="AB141" s="3725"/>
      <c r="AC141" s="3410"/>
      <c r="AD141" s="3726"/>
      <c r="AE141" s="3726"/>
      <c r="AF141" s="3723"/>
      <c r="AG141" s="3723"/>
      <c r="AH141" s="3723"/>
      <c r="AI141" s="3723"/>
      <c r="AJ141" s="3723"/>
      <c r="AK141" s="3414"/>
      <c r="AL141" s="3420"/>
      <c r="AM141" s="3727"/>
      <c r="AN141" s="3728"/>
      <c r="AO141" s="3723"/>
      <c r="AP141" s="3723"/>
      <c r="AQ141" s="3723"/>
      <c r="AR141" s="3723"/>
      <c r="AS141" s="3723"/>
      <c r="AT141" s="3729"/>
      <c r="AV141" s="3730"/>
      <c r="AW141" s="3730"/>
      <c r="AX141" s="3531"/>
      <c r="AY141" s="3344"/>
      <c r="AZ141" s="3635"/>
    </row>
    <row r="142" spans="1:52" s="2028" customFormat="1">
      <c r="A142" s="3721"/>
      <c r="B142" s="3722"/>
      <c r="C142" s="3723"/>
      <c r="D142" s="3723"/>
      <c r="E142" s="3723"/>
      <c r="F142" s="3723"/>
      <c r="G142" s="3723"/>
      <c r="H142" s="3723"/>
      <c r="I142" s="3723"/>
      <c r="J142" s="3414"/>
      <c r="K142" s="3414"/>
      <c r="L142" s="3723"/>
      <c r="M142" s="3723"/>
      <c r="N142" s="3723"/>
      <c r="O142" s="3723"/>
      <c r="P142" s="3723"/>
      <c r="Q142" s="3724"/>
      <c r="R142" s="3724"/>
      <c r="S142" s="3724"/>
      <c r="T142" s="3725"/>
      <c r="U142" s="3403"/>
      <c r="V142" s="3403"/>
      <c r="W142" s="3403"/>
      <c r="X142" s="3724"/>
      <c r="Y142" s="3724"/>
      <c r="Z142" s="3723"/>
      <c r="AA142" s="3723"/>
      <c r="AB142" s="3725"/>
      <c r="AC142" s="3410"/>
      <c r="AD142" s="3726"/>
      <c r="AE142" s="3726"/>
      <c r="AF142" s="3723"/>
      <c r="AG142" s="3723"/>
      <c r="AH142" s="3723"/>
      <c r="AI142" s="3723"/>
      <c r="AJ142" s="3723"/>
      <c r="AK142" s="3414"/>
      <c r="AL142" s="3420"/>
      <c r="AM142" s="3727"/>
      <c r="AN142" s="3728"/>
      <c r="AO142" s="3723"/>
      <c r="AP142" s="3723"/>
      <c r="AQ142" s="3723"/>
      <c r="AR142" s="3723"/>
      <c r="AS142" s="3723"/>
      <c r="AT142" s="3729"/>
      <c r="AV142" s="3730"/>
      <c r="AW142" s="3730"/>
      <c r="AX142" s="3531"/>
      <c r="AY142" s="3344"/>
      <c r="AZ142" s="3635"/>
    </row>
    <row r="143" spans="1:52" s="2028" customFormat="1">
      <c r="A143" s="3721"/>
      <c r="B143" s="3722"/>
      <c r="C143" s="3723"/>
      <c r="D143" s="3723"/>
      <c r="E143" s="3723"/>
      <c r="F143" s="3723"/>
      <c r="G143" s="3723"/>
      <c r="H143" s="3723"/>
      <c r="I143" s="3723"/>
      <c r="J143" s="3414"/>
      <c r="K143" s="3414"/>
      <c r="L143" s="3723"/>
      <c r="M143" s="3723"/>
      <c r="N143" s="3723"/>
      <c r="O143" s="3723"/>
      <c r="P143" s="3723"/>
      <c r="Q143" s="3724"/>
      <c r="R143" s="3724"/>
      <c r="S143" s="3724"/>
      <c r="T143" s="3725"/>
      <c r="U143" s="3403"/>
      <c r="V143" s="3403"/>
      <c r="W143" s="3403"/>
      <c r="X143" s="3724"/>
      <c r="Y143" s="3724"/>
      <c r="Z143" s="3723"/>
      <c r="AA143" s="3723"/>
      <c r="AB143" s="3725"/>
      <c r="AC143" s="3410"/>
      <c r="AD143" s="3726"/>
      <c r="AE143" s="3726"/>
      <c r="AF143" s="3723"/>
      <c r="AG143" s="3723"/>
      <c r="AH143" s="3723"/>
      <c r="AI143" s="3723"/>
      <c r="AJ143" s="3723"/>
      <c r="AK143" s="3414"/>
      <c r="AL143" s="3420"/>
      <c r="AM143" s="3727"/>
      <c r="AN143" s="3728"/>
      <c r="AO143" s="3723"/>
      <c r="AP143" s="3723"/>
      <c r="AQ143" s="3723"/>
      <c r="AR143" s="3723"/>
      <c r="AS143" s="3723"/>
      <c r="AT143" s="3729"/>
      <c r="AV143" s="3730"/>
      <c r="AW143" s="3730"/>
      <c r="AX143" s="3531"/>
      <c r="AY143" s="3344"/>
      <c r="AZ143" s="3635"/>
    </row>
    <row r="144" spans="1:52" s="2028" customFormat="1">
      <c r="A144" s="3721"/>
      <c r="B144" s="3722"/>
      <c r="C144" s="3723"/>
      <c r="D144" s="3723"/>
      <c r="E144" s="3723"/>
      <c r="F144" s="3723"/>
      <c r="G144" s="3723"/>
      <c r="H144" s="3723"/>
      <c r="I144" s="3723"/>
      <c r="J144" s="3414"/>
      <c r="K144" s="3414"/>
      <c r="L144" s="3723"/>
      <c r="M144" s="3723"/>
      <c r="N144" s="3723"/>
      <c r="O144" s="3723"/>
      <c r="P144" s="3723"/>
      <c r="Q144" s="3724"/>
      <c r="R144" s="3724"/>
      <c r="S144" s="3724"/>
      <c r="T144" s="3725"/>
      <c r="U144" s="3403"/>
      <c r="V144" s="3403"/>
      <c r="W144" s="3403"/>
      <c r="X144" s="3724"/>
      <c r="Y144" s="3724"/>
      <c r="Z144" s="3723"/>
      <c r="AA144" s="3723"/>
      <c r="AB144" s="3725"/>
      <c r="AC144" s="3410"/>
      <c r="AD144" s="3726"/>
      <c r="AE144" s="3726"/>
      <c r="AF144" s="3723"/>
      <c r="AG144" s="3723"/>
      <c r="AH144" s="3723"/>
      <c r="AI144" s="3723"/>
      <c r="AJ144" s="3723"/>
      <c r="AK144" s="3414"/>
      <c r="AL144" s="3420"/>
      <c r="AM144" s="3727"/>
      <c r="AN144" s="3728"/>
      <c r="AO144" s="3723"/>
      <c r="AP144" s="3723"/>
      <c r="AQ144" s="3723"/>
      <c r="AR144" s="3723"/>
      <c r="AS144" s="3723"/>
      <c r="AT144" s="3729"/>
      <c r="AV144" s="3730"/>
      <c r="AW144" s="3730"/>
      <c r="AX144" s="3531"/>
      <c r="AY144" s="3344"/>
      <c r="AZ144" s="3635"/>
    </row>
    <row r="145" spans="1:51">
      <c r="A145" s="3731" t="s">
        <v>29</v>
      </c>
      <c r="B145" s="3732" t="s">
        <v>1993</v>
      </c>
      <c r="C145" s="3733"/>
      <c r="D145" s="3733">
        <f>D139/C139</f>
        <v>1.3622552800541234</v>
      </c>
      <c r="E145" s="3733">
        <f>E139/D139</f>
        <v>1.3258612826676768</v>
      </c>
      <c r="F145" s="3733">
        <f>F139/E139</f>
        <v>1.1281758663308614</v>
      </c>
      <c r="G145" s="3733">
        <f>G139/F139</f>
        <v>0.68665921672232588</v>
      </c>
      <c r="H145" s="3733">
        <f>H139/G139</f>
        <v>1.0043649061545177</v>
      </c>
      <c r="I145" s="3733"/>
      <c r="J145" s="3733">
        <f>(D145*E145*F145*G145*H145)^(1/5)-1</f>
        <v>7.04175856234035E-2</v>
      </c>
      <c r="K145" s="3733"/>
      <c r="L145" s="3733">
        <f>L139/H139</f>
        <v>1.4252611308426621</v>
      </c>
      <c r="M145" s="3733">
        <f>M139/L139</f>
        <v>0.97503975816520994</v>
      </c>
      <c r="N145" s="3733"/>
      <c r="O145" s="3733">
        <f>O139/M139</f>
        <v>2.450985969031851</v>
      </c>
      <c r="P145" s="3733"/>
      <c r="Q145" s="3734">
        <f>Q139/O139</f>
        <v>0.59795378724799064</v>
      </c>
      <c r="R145" s="3733"/>
      <c r="S145" s="3733">
        <f>S139/Q139</f>
        <v>1.2558053714937949</v>
      </c>
      <c r="T145" s="3735"/>
      <c r="U145" s="3735">
        <f>(L145*M145*O145*Q145*S145)^(1/5)-1</f>
        <v>0.20661719427475589</v>
      </c>
      <c r="V145" s="3735"/>
      <c r="W145" s="3735"/>
      <c r="X145" s="3736"/>
      <c r="Y145" s="3733">
        <f>Y139/S139</f>
        <v>0.39984893652863229</v>
      </c>
      <c r="Z145" s="3737"/>
      <c r="AA145" s="3733">
        <f>AA139/Y139</f>
        <v>2.8716129053529302</v>
      </c>
      <c r="AB145" s="3733"/>
      <c r="AC145" s="3738">
        <f t="shared" si="64"/>
        <v>0</v>
      </c>
      <c r="AD145" s="3738"/>
      <c r="AE145" s="3738"/>
      <c r="AF145" s="3733">
        <f>AF139/AA139</f>
        <v>1.6565293171513182</v>
      </c>
      <c r="AG145" s="3733"/>
      <c r="AH145" s="3733">
        <f>AH139/AF139</f>
        <v>1.1363219275111696</v>
      </c>
      <c r="AI145" s="3733">
        <f>AI139/AH139</f>
        <v>1.1375788028339877</v>
      </c>
      <c r="AJ145" s="3733"/>
      <c r="AK145" s="3733">
        <f>(Y145*AA145*AF145*AH145*AI145)^(1/5)-1</f>
        <v>0.19712849757795214</v>
      </c>
      <c r="AL145" s="3733"/>
      <c r="AM145" s="3733"/>
      <c r="AN145" s="3733"/>
      <c r="AO145" s="3739"/>
      <c r="AP145" s="3739"/>
      <c r="AQ145" s="3739"/>
      <c r="AR145" s="3739"/>
      <c r="AS145" s="3739"/>
      <c r="AT145" s="3739"/>
      <c r="AY145" s="3061">
        <f t="shared" si="76"/>
        <v>1.0275303069587099E-7</v>
      </c>
    </row>
    <row r="146" spans="1:51">
      <c r="A146" s="3532" t="s">
        <v>29</v>
      </c>
      <c r="B146" s="3740" t="s">
        <v>2105</v>
      </c>
      <c r="C146" s="3612"/>
      <c r="D146" s="3612">
        <f t="shared" ref="D146:I146" si="115">D139/D8</f>
        <v>9.3789462285605599E-2</v>
      </c>
      <c r="E146" s="3612">
        <f t="shared" si="115"/>
        <v>0.10275882519867754</v>
      </c>
      <c r="F146" s="3612">
        <f t="shared" si="115"/>
        <v>0.10566925179106769</v>
      </c>
      <c r="G146" s="3612">
        <f t="shared" si="115"/>
        <v>6.5136517407844582E-2</v>
      </c>
      <c r="H146" s="3612">
        <f t="shared" si="115"/>
        <v>6.040012970904652E-2</v>
      </c>
      <c r="I146" s="3612">
        <f t="shared" si="115"/>
        <v>8.3328829655301417E-2</v>
      </c>
      <c r="J146" s="3612"/>
      <c r="K146" s="3612"/>
      <c r="L146" s="3612">
        <f>L139/L8</f>
        <v>8.0635591843302795E-2</v>
      </c>
      <c r="M146" s="3612">
        <f>M139/M8</f>
        <v>6.8529994030120264E-2</v>
      </c>
      <c r="N146" s="3612"/>
      <c r="O146" s="3612">
        <f>O139/O8</f>
        <v>0.1484789163993521</v>
      </c>
      <c r="P146" s="3612"/>
      <c r="Q146" s="3613">
        <f>Q139/Q8</f>
        <v>8.9994170303539303E-2</v>
      </c>
      <c r="R146" s="3612"/>
      <c r="S146" s="3612">
        <f>S139/S8</f>
        <v>9.4170340952632603E-2</v>
      </c>
      <c r="T146" s="3450">
        <f>(L146*M146*O146*Q146*S146)^(1/5)</f>
        <v>9.2990836899367615E-2</v>
      </c>
      <c r="U146" s="3450"/>
      <c r="V146" s="3450"/>
      <c r="W146" s="3450"/>
      <c r="X146" s="3741"/>
      <c r="Y146" s="3612">
        <f>Y139/Y8</f>
        <v>3.7136417754361752E-2</v>
      </c>
      <c r="Z146" s="3742"/>
      <c r="AA146" s="3612">
        <f>AA139/AA8</f>
        <v>9.7589874843765925E-2</v>
      </c>
      <c r="AB146" s="3612"/>
      <c r="AC146" s="3743">
        <f t="shared" si="64"/>
        <v>0</v>
      </c>
      <c r="AD146" s="3743"/>
      <c r="AE146" s="3743"/>
      <c r="AF146" s="3612">
        <f>AF139/AF8</f>
        <v>0.16415978639689835</v>
      </c>
      <c r="AG146" s="3612"/>
      <c r="AH146" s="3612">
        <f>AH139/AH8</f>
        <v>0.15110682285795757</v>
      </c>
      <c r="AI146" s="3612">
        <f>AI139/AI8</f>
        <v>0.16457760876809935</v>
      </c>
      <c r="AJ146" s="3612">
        <f>AVERAGE(Y146:AI146)</f>
        <v>0.10242841843684718</v>
      </c>
      <c r="AK146" s="3612"/>
      <c r="AL146" s="3612"/>
      <c r="AM146" s="3612"/>
      <c r="AN146" s="3612"/>
      <c r="AO146" s="2759"/>
      <c r="AP146" s="2759"/>
      <c r="AQ146" s="2759"/>
      <c r="AR146" s="2759"/>
      <c r="AS146" s="2759"/>
      <c r="AT146" s="2759"/>
      <c r="AY146" s="3061">
        <f t="shared" si="76"/>
        <v>1.4865649784852258E-8</v>
      </c>
    </row>
    <row r="147" spans="1:51">
      <c r="A147" s="3234">
        <v>1</v>
      </c>
      <c r="B147" s="3150" t="s">
        <v>2076</v>
      </c>
      <c r="C147" s="37">
        <v>88679</v>
      </c>
      <c r="D147" s="37">
        <v>148144</v>
      </c>
      <c r="E147" s="37">
        <v>167267</v>
      </c>
      <c r="F147" s="37">
        <v>155140</v>
      </c>
      <c r="G147" s="37">
        <f>65206+17050</f>
        <v>82256</v>
      </c>
      <c r="H147" s="37">
        <v>76245</v>
      </c>
      <c r="I147" s="37">
        <f>SUM(D147:H147)</f>
        <v>629052</v>
      </c>
      <c r="J147" s="3538"/>
      <c r="K147" s="3538">
        <f>I147/$I$10</f>
        <v>1.8791741001954576E-2</v>
      </c>
      <c r="L147" s="37">
        <f>'[16]Chi từ NSTW bổ sung 2010-2025'!L9</f>
        <v>53674</v>
      </c>
      <c r="M147" s="37">
        <f>'[16]Chi từ NSTW bổ sung 2010-2025'!M9</f>
        <v>158319</v>
      </c>
      <c r="N147" s="37"/>
      <c r="O147" s="37">
        <f>'[16]Chi từ NSTW bổ sung 2010-2025'!N9</f>
        <v>158489</v>
      </c>
      <c r="P147" s="37"/>
      <c r="Q147" s="152">
        <f>'[16]Chi từ NSTW bổ sung 2010-2025'!O9</f>
        <v>237567</v>
      </c>
      <c r="R147" s="37">
        <v>426575</v>
      </c>
      <c r="S147" s="37">
        <f>[23]Chi!$F$74</f>
        <v>578053.55000000005</v>
      </c>
      <c r="T147" s="779">
        <f>SUM(L147:S147)</f>
        <v>1612677.55</v>
      </c>
      <c r="U147" s="3441"/>
      <c r="V147" s="3441">
        <f>T147/$T$10</f>
        <v>3.0274851477478895E-2</v>
      </c>
      <c r="W147" s="3441">
        <f>T147/I147-1</f>
        <v>1.5636633378480633</v>
      </c>
      <c r="X147" s="3744">
        <v>0</v>
      </c>
      <c r="Y147" s="37">
        <f>'[16]Chi từ NSTW bổ sung 2010-2025'!U9</f>
        <v>0</v>
      </c>
      <c r="Z147" s="37"/>
      <c r="AA147" s="37">
        <f>'[16]Chi từ NSTW bổ sung 2010-2025'!V9</f>
        <v>0</v>
      </c>
      <c r="AB147" s="37"/>
      <c r="AC147" s="3743">
        <f t="shared" si="64"/>
        <v>0</v>
      </c>
      <c r="AD147" s="3743"/>
      <c r="AE147" s="3743"/>
      <c r="AF147" s="37">
        <f>'[16]Chi từ NSTW bổ sung 2010-2025'!W9</f>
        <v>0</v>
      </c>
      <c r="AG147" s="37"/>
      <c r="AH147" s="37">
        <f>'[16]Chi từ NSTW bổ sung 2010-2025'!X9</f>
        <v>0</v>
      </c>
      <c r="AI147" s="37">
        <f>'[16]Chi từ NSTW bổ sung 2010-2025'!Y9</f>
        <v>0</v>
      </c>
      <c r="AJ147" s="39">
        <f>AI147+AH147+AF147+AA147+Y147</f>
        <v>0</v>
      </c>
      <c r="AK147" s="3538"/>
      <c r="AL147" s="3538"/>
      <c r="AM147" s="3538"/>
      <c r="AN147" s="3538">
        <f>+AJ147/T147-1</f>
        <v>-1</v>
      </c>
      <c r="AO147" s="2759"/>
      <c r="AP147" s="2759"/>
      <c r="AQ147" s="2759"/>
      <c r="AR147" s="2759"/>
      <c r="AS147" s="2759"/>
      <c r="AT147" s="2759"/>
      <c r="AY147" s="3061">
        <f t="shared" si="76"/>
        <v>0</v>
      </c>
    </row>
    <row r="148" spans="1:51">
      <c r="A148" s="3532" t="s">
        <v>29</v>
      </c>
      <c r="B148" s="3740" t="s">
        <v>1993</v>
      </c>
      <c r="C148" s="3612"/>
      <c r="D148" s="3612">
        <f>D147/C147</f>
        <v>1.670564620710653</v>
      </c>
      <c r="E148" s="3612">
        <f>E147/D147</f>
        <v>1.1290838643482017</v>
      </c>
      <c r="F148" s="3612">
        <f>F147/E147</f>
        <v>0.92749914806865674</v>
      </c>
      <c r="G148" s="3612">
        <f>G147/F147</f>
        <v>0.53020497615057371</v>
      </c>
      <c r="H148" s="3612">
        <f>H147/G147</f>
        <v>0.92692326395642866</v>
      </c>
      <c r="I148" s="3612"/>
      <c r="J148" s="3612">
        <f>(D148*E148*F148*G148*H148)^(1/5)-1</f>
        <v>-2.9762365748168484E-2</v>
      </c>
      <c r="K148" s="3612"/>
      <c r="L148" s="3612">
        <f>L147/H147</f>
        <v>0.70396747327693621</v>
      </c>
      <c r="M148" s="3612">
        <f>M147/L147</f>
        <v>2.9496404218057162</v>
      </c>
      <c r="N148" s="3612"/>
      <c r="O148" s="3612">
        <f>O147/M147</f>
        <v>1.0010737814160018</v>
      </c>
      <c r="P148" s="3612"/>
      <c r="Q148" s="3613">
        <f>Q147/O147</f>
        <v>1.4989494539053183</v>
      </c>
      <c r="R148" s="3612"/>
      <c r="S148" s="3612">
        <f>S147/Q147</f>
        <v>2.4332232591226899</v>
      </c>
      <c r="T148" s="3450"/>
      <c r="U148" s="3450">
        <f>(L148*M148*O148*Q148*S148)^(1/5)-1</f>
        <v>0.49951681723815566</v>
      </c>
      <c r="V148" s="3450"/>
      <c r="W148" s="3450"/>
      <c r="X148" s="3741"/>
      <c r="Y148" s="3612"/>
      <c r="Z148" s="3742"/>
      <c r="AA148" s="3612"/>
      <c r="AB148" s="3612"/>
      <c r="AC148" s="3743">
        <f t="shared" ref="AC148:AC179" si="116">AB148/$AB$8</f>
        <v>0</v>
      </c>
      <c r="AD148" s="3743"/>
      <c r="AE148" s="3743"/>
      <c r="AF148" s="3612"/>
      <c r="AG148" s="3612"/>
      <c r="AH148" s="3612"/>
      <c r="AI148" s="3612"/>
      <c r="AJ148" s="3612"/>
      <c r="AK148" s="3612">
        <f>(Y148*AA148*AF148*AH148*AI148)^(1/5)-1</f>
        <v>-1</v>
      </c>
      <c r="AL148" s="3612"/>
      <c r="AM148" s="3612"/>
      <c r="AN148" s="3612"/>
      <c r="AO148" s="2759"/>
      <c r="AP148" s="2759"/>
      <c r="AQ148" s="2759"/>
      <c r="AR148" s="2759"/>
      <c r="AS148" s="2759"/>
      <c r="AT148" s="2759"/>
      <c r="AY148" s="3061">
        <f t="shared" si="76"/>
        <v>0</v>
      </c>
    </row>
    <row r="149" spans="1:51">
      <c r="A149" s="3532" t="s">
        <v>29</v>
      </c>
      <c r="B149" s="3740" t="s">
        <v>2105</v>
      </c>
      <c r="C149" s="3612"/>
      <c r="D149" s="3612">
        <f t="shared" ref="D149:I149" si="117">D147/D8</f>
        <v>2.6849808111630031E-2</v>
      </c>
      <c r="E149" s="3612">
        <f t="shared" si="117"/>
        <v>2.5051537379476234E-2</v>
      </c>
      <c r="F149" s="3612">
        <f t="shared" si="117"/>
        <v>2.1178763424906811E-2</v>
      </c>
      <c r="G149" s="3612">
        <f t="shared" si="117"/>
        <v>1.008042974739924E-2</v>
      </c>
      <c r="H149" s="3612">
        <f t="shared" si="117"/>
        <v>8.6266988297184349E-3</v>
      </c>
      <c r="I149" s="3612">
        <f t="shared" si="117"/>
        <v>1.7225847217076158E-2</v>
      </c>
      <c r="J149" s="3612"/>
      <c r="K149" s="3612"/>
      <c r="L149" s="3612">
        <f>L147/L8</f>
        <v>5.6884205251987036E-3</v>
      </c>
      <c r="M149" s="3612">
        <f>M147/M8</f>
        <v>1.462488171587136E-2</v>
      </c>
      <c r="N149" s="3612"/>
      <c r="O149" s="3612">
        <f>O147/O8</f>
        <v>1.294200966251564E-2</v>
      </c>
      <c r="P149" s="3612"/>
      <c r="Q149" s="3613">
        <f>Q147/Q8</f>
        <v>1.9663946095704599E-2</v>
      </c>
      <c r="R149" s="3612"/>
      <c r="S149" s="3612">
        <f>S147/S8</f>
        <v>3.986851534474687E-2</v>
      </c>
      <c r="T149" s="3450">
        <f>(L149*M149*O149*Q149*S149)^(1/5)</f>
        <v>1.5320653943773537E-2</v>
      </c>
      <c r="U149" s="3450"/>
      <c r="V149" s="3450"/>
      <c r="W149" s="3450"/>
      <c r="X149" s="3741"/>
      <c r="Y149" s="3612">
        <f>Y147/Y8</f>
        <v>0</v>
      </c>
      <c r="Z149" s="3742"/>
      <c r="AA149" s="3612">
        <f>AA147/AA8</f>
        <v>0</v>
      </c>
      <c r="AB149" s="3612"/>
      <c r="AC149" s="3743">
        <f t="shared" si="116"/>
        <v>0</v>
      </c>
      <c r="AD149" s="3743"/>
      <c r="AE149" s="3743"/>
      <c r="AF149" s="3612">
        <f>AF147/AF8</f>
        <v>0</v>
      </c>
      <c r="AG149" s="3612"/>
      <c r="AH149" s="3612">
        <f>AH147/AH8</f>
        <v>0</v>
      </c>
      <c r="AI149" s="3612">
        <f>AI147/AI8</f>
        <v>0</v>
      </c>
      <c r="AJ149" s="3612">
        <f>(Y149*AA149*AF149*AH149*AI149)^(1/5)</f>
        <v>0</v>
      </c>
      <c r="AK149" s="3612"/>
      <c r="AL149" s="3612"/>
      <c r="AM149" s="3612"/>
      <c r="AN149" s="3612"/>
      <c r="AO149" s="2759"/>
      <c r="AP149" s="2759"/>
      <c r="AQ149" s="2759"/>
      <c r="AR149" s="2759"/>
      <c r="AS149" s="2759"/>
      <c r="AT149" s="2759"/>
      <c r="AY149" s="3061">
        <f t="shared" si="76"/>
        <v>0</v>
      </c>
    </row>
    <row r="150" spans="1:51">
      <c r="A150" s="3234">
        <v>2</v>
      </c>
      <c r="B150" s="3150" t="s">
        <v>2106</v>
      </c>
      <c r="C150" s="37">
        <v>291194</v>
      </c>
      <c r="D150" s="37">
        <v>369340</v>
      </c>
      <c r="E150" s="37">
        <v>518845</v>
      </c>
      <c r="F150" s="37">
        <v>618915</v>
      </c>
      <c r="G150" s="37">
        <f>336800+112456</f>
        <v>449256</v>
      </c>
      <c r="H150" s="37">
        <f>372200+85387</f>
        <v>457587</v>
      </c>
      <c r="I150" s="37">
        <f>SUM(D150:H150)</f>
        <v>2413943</v>
      </c>
      <c r="J150" s="3538"/>
      <c r="K150" s="3538">
        <f>I150/$I$10</f>
        <v>7.2111990184406435E-2</v>
      </c>
      <c r="L150" s="37">
        <f>'[16]Chi từ NSTW bổ sung 2010-2025'!L10</f>
        <v>707176</v>
      </c>
      <c r="M150" s="37">
        <f>'[16]Chi từ NSTW bổ sung 2010-2025'!M10</f>
        <v>583540</v>
      </c>
      <c r="N150" s="37"/>
      <c r="O150" s="37">
        <f>'[16]Chi từ NSTW bổ sung 2010-2025'!N10</f>
        <v>1659797</v>
      </c>
      <c r="P150" s="37">
        <v>1423990</v>
      </c>
      <c r="Q150" s="152">
        <f>'[16]Chi từ NSTW bổ sung 2010-2025'!O10</f>
        <v>849684</v>
      </c>
      <c r="R150" s="37">
        <f>906600+141338</f>
        <v>1047938</v>
      </c>
      <c r="S150" s="37">
        <f>[23]Chi!$F$75</f>
        <v>787322.09596199996</v>
      </c>
      <c r="T150" s="779">
        <f>SUM(L150:S150)</f>
        <v>7059447.0959620001</v>
      </c>
      <c r="U150" s="3441"/>
      <c r="V150" s="3441">
        <f>T150/$T$10</f>
        <v>0.13252724473244465</v>
      </c>
      <c r="W150" s="3441">
        <f>T150/I150-1</f>
        <v>1.9244464744867629</v>
      </c>
      <c r="X150" s="3744">
        <f>'[22]Phụ lục số 2'!$C$33+'[22]Phụ lục số 2'!$C$34</f>
        <v>1370794</v>
      </c>
      <c r="Y150" s="37">
        <f>'[24]Bao cao'!$J$67</f>
        <v>545944</v>
      </c>
      <c r="Z150" s="37">
        <v>1213473</v>
      </c>
      <c r="AA150" s="37">
        <f>'[19]Chi (HĐND)'!$F$56</f>
        <v>1567739.8360000001</v>
      </c>
      <c r="AB150" s="37"/>
      <c r="AC150" s="3743">
        <f t="shared" si="116"/>
        <v>0</v>
      </c>
      <c r="AD150" s="3743"/>
      <c r="AE150" s="3743"/>
      <c r="AF150" s="37">
        <f>'[16]Chi từ NSTW bổ sung 2010-2025'!W10</f>
        <v>2597007</v>
      </c>
      <c r="AG150" s="37"/>
      <c r="AH150" s="37">
        <f>'[16]Chi từ NSTW bổ sung 2010-2025'!X10</f>
        <v>2951036</v>
      </c>
      <c r="AI150" s="37">
        <f>'[16]Chi từ NSTW bổ sung 2010-2025'!Y10</f>
        <v>3357036</v>
      </c>
      <c r="AJ150" s="37">
        <f>AI150+AH150+AF150+AA150+Y150</f>
        <v>11018762.835999999</v>
      </c>
      <c r="AK150" s="3538"/>
      <c r="AL150" s="3538"/>
      <c r="AM150" s="3538"/>
      <c r="AN150" s="3538">
        <f>+AJ150/T150-1</f>
        <v>0.56085351816046969</v>
      </c>
      <c r="AO150" s="2759">
        <f>'[16]Phụ lục số 2-1'!AE32</f>
        <v>3357036</v>
      </c>
      <c r="AP150" s="2759">
        <f>'[16]Phụ lục số 2-1'!AJ32</f>
        <v>3357036</v>
      </c>
      <c r="AQ150" s="2759">
        <f>'[16]Phụ lục số 2-1'!AO32</f>
        <v>3357036</v>
      </c>
      <c r="AR150" s="2759">
        <f>'[16]Phụ lục số 2-1'!AT32</f>
        <v>3357036</v>
      </c>
      <c r="AS150" s="2759">
        <f>'[16]Phụ lục số 2-1'!AY32</f>
        <v>3357036</v>
      </c>
      <c r="AT150" s="37">
        <f>SUM(AO150:AS150)</f>
        <v>16785180</v>
      </c>
      <c r="AY150" s="3061">
        <f t="shared" si="76"/>
        <v>0.30322789269262035</v>
      </c>
    </row>
    <row r="151" spans="1:51">
      <c r="A151" s="3532" t="s">
        <v>29</v>
      </c>
      <c r="B151" s="3740" t="s">
        <v>1993</v>
      </c>
      <c r="C151" s="3612"/>
      <c r="D151" s="3612">
        <f>D150/C150</f>
        <v>1.2683640459624854</v>
      </c>
      <c r="E151" s="3612">
        <f>E150/D150</f>
        <v>1.4047896247360157</v>
      </c>
      <c r="F151" s="3612">
        <f>F150/E150</f>
        <v>1.1928707031965231</v>
      </c>
      <c r="G151" s="3612">
        <f>G150/F150</f>
        <v>0.72587673590072954</v>
      </c>
      <c r="H151" s="3612">
        <f>H150/G150</f>
        <v>1.0185439927346547</v>
      </c>
      <c r="I151" s="3612"/>
      <c r="J151" s="3612">
        <f>(D151*E151*F151*G151*H151)^(1/5)-1</f>
        <v>9.4607075565009691E-2</v>
      </c>
      <c r="K151" s="3612"/>
      <c r="L151" s="3612">
        <f>L150/H150</f>
        <v>1.5454460026180814</v>
      </c>
      <c r="M151" s="3612">
        <f>M150/L150</f>
        <v>0.82516940620156798</v>
      </c>
      <c r="N151" s="3612"/>
      <c r="O151" s="3612">
        <f>O150/M150</f>
        <v>2.844358570106591</v>
      </c>
      <c r="P151" s="3612"/>
      <c r="Q151" s="3613">
        <f>Q150/O150</f>
        <v>0.51192043364339135</v>
      </c>
      <c r="R151" s="3612"/>
      <c r="S151" s="3612">
        <f>S150/Q150</f>
        <v>0.92660576868812405</v>
      </c>
      <c r="T151" s="3450"/>
      <c r="U151" s="3450">
        <f>(L151*M151*O151*Q151*S151)^(1/5)-1</f>
        <v>0.11464289597260713</v>
      </c>
      <c r="V151" s="3450"/>
      <c r="W151" s="3450"/>
      <c r="X151" s="3741"/>
      <c r="Y151" s="3612">
        <f>Y150/S150</f>
        <v>0.69341887240308053</v>
      </c>
      <c r="Z151" s="3742"/>
      <c r="AA151" s="3612">
        <f>AA150/Y150</f>
        <v>2.8716129053529302</v>
      </c>
      <c r="AB151" s="3612"/>
      <c r="AC151" s="3743">
        <f t="shared" si="116"/>
        <v>0</v>
      </c>
      <c r="AD151" s="3743"/>
      <c r="AE151" s="3743"/>
      <c r="AF151" s="3612">
        <f>AF150/AA150</f>
        <v>1.6565293171513182</v>
      </c>
      <c r="AG151" s="3612"/>
      <c r="AH151" s="3612">
        <f>AH150/AF150</f>
        <v>1.1363219275111696</v>
      </c>
      <c r="AI151" s="3612">
        <f>AI150/AH150</f>
        <v>1.1375788028339877</v>
      </c>
      <c r="AJ151" s="3612"/>
      <c r="AK151" s="3612">
        <f>(Y151*AA151*AF151*AH151*AI151)^(1/5)-1</f>
        <v>0.33647460741218982</v>
      </c>
      <c r="AL151" s="3612"/>
      <c r="AM151" s="3612"/>
      <c r="AN151" s="3612"/>
      <c r="AO151" s="2759"/>
      <c r="AP151" s="2759"/>
      <c r="AQ151" s="2759"/>
      <c r="AR151" s="2759"/>
      <c r="AS151" s="2759"/>
      <c r="AT151" s="2759"/>
      <c r="AY151" s="3061">
        <f t="shared" si="76"/>
        <v>1.0275303069587099E-7</v>
      </c>
    </row>
    <row r="152" spans="1:51">
      <c r="A152" s="3532" t="s">
        <v>29</v>
      </c>
      <c r="B152" s="3740" t="s">
        <v>2105</v>
      </c>
      <c r="C152" s="3612"/>
      <c r="D152" s="3612">
        <f t="shared" ref="D152:I152" si="118">D150/D8</f>
        <v>6.6939654173975571E-2</v>
      </c>
      <c r="E152" s="3612">
        <f t="shared" si="118"/>
        <v>7.7707287819201318E-2</v>
      </c>
      <c r="F152" s="3612">
        <f t="shared" si="118"/>
        <v>8.4490488366160882E-2</v>
      </c>
      <c r="G152" s="3612">
        <f t="shared" si="118"/>
        <v>5.5056087660445348E-2</v>
      </c>
      <c r="H152" s="3612">
        <f t="shared" si="118"/>
        <v>5.1773430879328085E-2</v>
      </c>
      <c r="I152" s="3612">
        <f t="shared" si="118"/>
        <v>6.6102982438225266E-2</v>
      </c>
      <c r="J152" s="3612"/>
      <c r="K152" s="3612"/>
      <c r="L152" s="3612">
        <f>L150/L8</f>
        <v>7.4947171318104092E-2</v>
      </c>
      <c r="M152" s="3612">
        <f>M150/M8</f>
        <v>5.390511231424891E-2</v>
      </c>
      <c r="N152" s="3612"/>
      <c r="O152" s="3612">
        <f>O150/O8</f>
        <v>0.13553690673683647</v>
      </c>
      <c r="P152" s="3612"/>
      <c r="Q152" s="3613">
        <f>Q150/Q8</f>
        <v>7.0330224207834705E-2</v>
      </c>
      <c r="R152" s="3612"/>
      <c r="S152" s="3612">
        <f>S150/S8</f>
        <v>5.430182560788574E-2</v>
      </c>
      <c r="T152" s="3450">
        <f>(L152*M152*O152*Q152*S152)^(1/5)</f>
        <v>7.3127350857074641E-2</v>
      </c>
      <c r="U152" s="3450"/>
      <c r="V152" s="3450"/>
      <c r="W152" s="3450"/>
      <c r="X152" s="3741"/>
      <c r="Y152" s="3612">
        <f>Y150/Y8</f>
        <v>3.7136417754361752E-2</v>
      </c>
      <c r="Z152" s="3742"/>
      <c r="AA152" s="3612">
        <f>AA150/AA8</f>
        <v>9.7589874843765925E-2</v>
      </c>
      <c r="AB152" s="3612"/>
      <c r="AC152" s="3743">
        <f t="shared" si="116"/>
        <v>0</v>
      </c>
      <c r="AD152" s="3743"/>
      <c r="AE152" s="3743"/>
      <c r="AF152" s="3612">
        <f>AF150/AF8</f>
        <v>0.16415978639689835</v>
      </c>
      <c r="AG152" s="3612"/>
      <c r="AH152" s="3612">
        <f>AH150/AH8</f>
        <v>0.15110682285795757</v>
      </c>
      <c r="AI152" s="3612">
        <f>AI150/AI8</f>
        <v>0.16457760876809935</v>
      </c>
      <c r="AJ152" s="3612">
        <f>(Y152*AA152*AF152*AH152*AI152)^(1/5)</f>
        <v>0.10814968878536843</v>
      </c>
      <c r="AK152" s="3612"/>
      <c r="AL152" s="3612"/>
      <c r="AM152" s="3612"/>
      <c r="AN152" s="3612"/>
      <c r="AO152" s="2759"/>
      <c r="AP152" s="2759"/>
      <c r="AQ152" s="2759"/>
      <c r="AR152" s="2759"/>
      <c r="AS152" s="2759"/>
      <c r="AT152" s="2759"/>
      <c r="AY152" s="3061">
        <f t="shared" si="76"/>
        <v>1.4865649784852258E-8</v>
      </c>
    </row>
    <row r="153" spans="1:51" s="3053" customFormat="1" ht="31.2">
      <c r="A153" s="3527" t="s">
        <v>44</v>
      </c>
      <c r="B153" s="2857" t="s">
        <v>2107</v>
      </c>
      <c r="C153" s="3529">
        <f>'[16]Thu NSNN 2010-2025'!G139/'[16]Chi NSĐP 2021-2030'!C10</f>
        <v>0.84720640893834231</v>
      </c>
      <c r="D153" s="3529">
        <f>'[16]Thu NSNN 2010-2025'!H139/'[16]Chi NSĐP 2021-2030'!D10</f>
        <v>0.75395017943570752</v>
      </c>
      <c r="E153" s="3529">
        <f>'[16]Thu NSNN 2010-2025'!I139/'[16]Chi NSĐP 2021-2030'!E10</f>
        <v>0.68173446106187663</v>
      </c>
      <c r="F153" s="3529">
        <f>'[16]Thu NSNN 2010-2025'!J139/'[16]Chi NSĐP 2021-2030'!F10</f>
        <v>0.62175112300288549</v>
      </c>
      <c r="G153" s="3529">
        <f>'[16]Thu NSNN 2010-2025'!K139/'[16]Chi NSĐP 2021-2030'!G10</f>
        <v>0.50809387640147996</v>
      </c>
      <c r="H153" s="3529">
        <f>'[16]Thu NSNN 2010-2025'!L139/'[16]Chi NSĐP 2021-2030'!H10</f>
        <v>0.58364310593534119</v>
      </c>
      <c r="I153" s="3529">
        <f>(D153*E153*F153*G153*H153)^(1/5)</f>
        <v>0.62421350307285772</v>
      </c>
      <c r="J153" s="3529"/>
      <c r="K153" s="3529"/>
      <c r="L153" s="3529">
        <f>'[16]Thu NSNN 2010-2025'!P139/'[16]Chi NSĐP 2021-2030'!L10</f>
        <v>0.70951621945517296</v>
      </c>
      <c r="M153" s="3529">
        <f>'[16]Thu NSNN 2010-2025'!Q139/'[16]Chi NSĐP 2021-2030'!M10</f>
        <v>0.53457177707542691</v>
      </c>
      <c r="N153" s="3529"/>
      <c r="O153" s="3529">
        <f>'[16]Thu NSNN 2010-2025'!R139/'[16]Chi NSĐP 2021-2030'!N10</f>
        <v>0.54993672798003645</v>
      </c>
      <c r="P153" s="3529"/>
      <c r="Q153" s="3349">
        <f>'[16]Thu NSNN 2010-2025'!S139/'[16]Chi NSĐP 2021-2030'!P10</f>
        <v>0.64636850863471229</v>
      </c>
      <c r="R153" s="3529"/>
      <c r="S153" s="3529">
        <f>'[16]Thu NSNN 2010-2025'!T139/'[16]Chi NSĐP 2021-2030'!R10</f>
        <v>0.53455547451953167</v>
      </c>
      <c r="T153" s="3329">
        <f>(L153*M153*O153*Q153*S153)^(1/5)</f>
        <v>0.59095009945014565</v>
      </c>
      <c r="U153" s="3329"/>
      <c r="V153" s="3329"/>
      <c r="W153" s="3329"/>
      <c r="X153" s="3659"/>
      <c r="Y153" s="3529">
        <f>'[16]Thu NSNN 2010-2025'!Z139/'[16]Chi NSĐP 2021-2030'!X10</f>
        <v>0.48759208295318934</v>
      </c>
      <c r="Z153" s="3667"/>
      <c r="AA153" s="3529">
        <f>'[16]Thu NSNN 2010-2025'!AA139/'[16]Chi NSĐP 2021-2030'!Z10</f>
        <v>0.51269251639949642</v>
      </c>
      <c r="AB153" s="3529"/>
      <c r="AC153" s="3743">
        <f t="shared" si="116"/>
        <v>0</v>
      </c>
      <c r="AD153" s="3743"/>
      <c r="AE153" s="3743"/>
      <c r="AF153" s="3529">
        <f>'[16]Thu NSNN 2010-2025'!AB139/'[16]Chi NSĐP 2021-2030'!AE10</f>
        <v>0.61463877312400239</v>
      </c>
      <c r="AG153" s="3529"/>
      <c r="AH153" s="3529">
        <f>'[16]Thu NSNN 2010-2025'!AC139/'[16]Chi NSĐP 2021-2030'!AG10</f>
        <v>0.6253987533681642</v>
      </c>
      <c r="AI153" s="3529">
        <f>'[16]Thu NSNN 2010-2025'!AD139/'[16]Chi NSĐP 2021-2030'!AH10</f>
        <v>2.3615888472361872</v>
      </c>
      <c r="AJ153" s="3529">
        <f>(Y153*AA153*AF153*AH153*AI153)^(1/5)</f>
        <v>0.7433254037953585</v>
      </c>
      <c r="AK153" s="3529"/>
      <c r="AL153" s="3529"/>
      <c r="AM153" s="3529"/>
      <c r="AN153" s="3529"/>
      <c r="AO153" s="3114"/>
      <c r="AP153" s="3114"/>
      <c r="AQ153" s="3114"/>
      <c r="AR153" s="3114"/>
      <c r="AS153" s="3114"/>
      <c r="AT153" s="3114"/>
      <c r="AY153" s="3061">
        <f t="shared" si="76"/>
        <v>2.13313056384806E-7</v>
      </c>
    </row>
    <row r="154" spans="1:51">
      <c r="A154" s="3527" t="s">
        <v>46</v>
      </c>
      <c r="B154" s="2857" t="s">
        <v>2108</v>
      </c>
      <c r="C154" s="3529">
        <f>C8/'[16]Thu NSNN 2010-2025'!G139-1</f>
        <v>0.28441944430758492</v>
      </c>
      <c r="D154" s="3529">
        <f>D8/'[16]Thu NSNN 2010-2025'!H139-1</f>
        <v>0.4636196890147688</v>
      </c>
      <c r="E154" s="3529">
        <f>E8/'[16]Thu NSNN 2010-2025'!I139-1</f>
        <v>0.63484113594871894</v>
      </c>
      <c r="F154" s="3529">
        <f>F8/'[16]Thu NSNN 2010-2025'!J139-1</f>
        <v>0.79839571473307291</v>
      </c>
      <c r="G154" s="3529">
        <f>G8/'[16]Thu NSNN 2010-2025'!K139-1</f>
        <v>1.1052702015684495</v>
      </c>
      <c r="H154" s="3529">
        <f>H8/'[16]Thu NSNN 2010-2025'!L139-1</f>
        <v>0.8235164770662593</v>
      </c>
      <c r="I154" s="3529">
        <f>(D154*E154*F154*G154*H154)^(1/5)</f>
        <v>0.73457674696982012</v>
      </c>
      <c r="J154" s="3529"/>
      <c r="K154" s="3529"/>
      <c r="L154" s="3529">
        <f>L10/'[16]Thu NSNN 2010-2025'!P139-1</f>
        <v>0.40941105020528679</v>
      </c>
      <c r="M154" s="3529">
        <f>M10/'[16]Thu NSNN 2010-2025'!Q139-1</f>
        <v>0.87065618291872937</v>
      </c>
      <c r="N154" s="3529"/>
      <c r="O154" s="3529">
        <f>O10/'[16]Thu NSNN 2010-2025'!R139-1</f>
        <v>0.81840844402764779</v>
      </c>
      <c r="P154" s="3529"/>
      <c r="Q154" s="3349">
        <f>Q10/'[16]Thu NSNN 2010-2025'!S139-1</f>
        <v>0.54714735021274885</v>
      </c>
      <c r="R154" s="3529"/>
      <c r="S154" s="3529">
        <f>S10/'[16]Thu NSNN 2010-2025'!T139-1</f>
        <v>0.87084502171495837</v>
      </c>
      <c r="T154" s="3329">
        <f>(L154*M154*O154*Q154*S154)^(1/5)</f>
        <v>0.67391373041742719</v>
      </c>
      <c r="U154" s="3329"/>
      <c r="V154" s="3329"/>
      <c r="W154" s="3329"/>
      <c r="X154" s="3659"/>
      <c r="Y154" s="3529">
        <f>Y10/'[16]Thu NSNN 2010-2025'!Z139-1</f>
        <v>1.0508946616674328</v>
      </c>
      <c r="Z154" s="3667"/>
      <c r="AA154" s="3529">
        <f>AA10/'[16]Thu NSNN 2010-2025'!AA139-1</f>
        <v>1.1606025957687947</v>
      </c>
      <c r="AB154" s="3529"/>
      <c r="AC154" s="3743">
        <f t="shared" si="116"/>
        <v>0</v>
      </c>
      <c r="AD154" s="3743"/>
      <c r="AE154" s="3743"/>
      <c r="AF154" s="3529">
        <f>AF10/'[16]Thu NSNN 2010-2025'!AB139-1</f>
        <v>0.62697187962506162</v>
      </c>
      <c r="AG154" s="3529"/>
      <c r="AH154" s="3529">
        <f>AH10/'[16]Thu NSNN 2010-2025'!AC139-1</f>
        <v>0.81621745354951769</v>
      </c>
      <c r="AI154" s="3529">
        <f>AI10/'[16]Thu NSNN 2010-2025'!AD139-1</f>
        <v>-0.53790474217127704</v>
      </c>
      <c r="AJ154" s="3529">
        <f>(Y154*AA154*AF154*AH154*AI154)^(1/5)</f>
        <v>-0.80389699876869247</v>
      </c>
      <c r="AK154" s="3529"/>
      <c r="AL154" s="3529"/>
      <c r="AM154" s="3529"/>
      <c r="AN154" s="3529"/>
      <c r="AO154" s="2759"/>
      <c r="AP154" s="2759"/>
      <c r="AQ154" s="2759"/>
      <c r="AR154" s="2759"/>
      <c r="AS154" s="2759"/>
      <c r="AT154" s="2759"/>
      <c r="AY154" s="3061">
        <f t="shared" si="76"/>
        <v>-4.8586825234511518E-8</v>
      </c>
    </row>
    <row r="155" spans="1:51">
      <c r="A155" s="3040" t="s">
        <v>725</v>
      </c>
      <c r="B155" s="3745" t="s">
        <v>2109</v>
      </c>
      <c r="C155" s="3746">
        <f>D48/'[16]Thu NSNN 2010-2025'!H137</f>
        <v>0.30833526137981221</v>
      </c>
      <c r="D155" s="3746">
        <f>E48/'[16]Thu NSNN 2010-2025'!I137</f>
        <v>0.38474018637755625</v>
      </c>
      <c r="E155" s="3746">
        <f>F48/'[16]Thu NSNN 2010-2025'!J137</f>
        <v>0.34558806860699737</v>
      </c>
      <c r="F155" s="3746">
        <f>G48/'[16]Thu NSNN 2010-2025'!K137</f>
        <v>0.33731302226570958</v>
      </c>
      <c r="G155" s="3746">
        <f>H48/'[16]Thu NSNN 2010-2025'!L137</f>
        <v>0.33128720388766236</v>
      </c>
      <c r="H155" s="3746">
        <f>I48/'[16]Thu NSNN 2010-2025'!M137</f>
        <v>0.34180783929257574</v>
      </c>
      <c r="I155" s="3746">
        <f>(D155*E155*F155*G155*H155)^(1/5)</f>
        <v>0.34765558920372519</v>
      </c>
      <c r="J155" s="3746"/>
      <c r="K155" s="3746"/>
      <c r="L155" s="3746">
        <f>L48/'[16]Thu NSNN 2010-2025'!P137</f>
        <v>0.32465900138862785</v>
      </c>
      <c r="M155" s="3746">
        <f>M48/'[16]Thu NSNN 2010-2025'!Q137</f>
        <v>0.33496651806296129</v>
      </c>
      <c r="N155" s="3746"/>
      <c r="O155" s="3746">
        <f>O48/'[16]Thu NSNN 2010-2025'!R137</f>
        <v>0.31129017588445934</v>
      </c>
      <c r="P155" s="3746"/>
      <c r="Q155" s="3747">
        <f>Q48/'[16]Thu NSNN 2010-2025'!S137</f>
        <v>0.31107978928126123</v>
      </c>
      <c r="R155" s="3746"/>
      <c r="S155" s="3746">
        <f>S48/'[16]Thu NSNN 2010-2025'!T137</f>
        <v>0.32828614868346739</v>
      </c>
      <c r="T155" s="3748">
        <f>(L155*M155*O155*Q155*S155)^(1/5)</f>
        <v>0.32191686039587591</v>
      </c>
      <c r="U155" s="3748"/>
      <c r="V155" s="3748"/>
      <c r="W155" s="3748"/>
      <c r="X155" s="3749"/>
      <c r="Y155" s="3746">
        <f>Y48/'[16]Thu NSNN 2010-2025'!Z137</f>
        <v>0.30794010520676479</v>
      </c>
      <c r="Z155" s="3750"/>
      <c r="AA155" s="3746">
        <f>AA48/'[16]Thu NSNN 2010-2025'!AA137</f>
        <v>0.31523689517708903</v>
      </c>
      <c r="AB155" s="3746"/>
      <c r="AC155" s="3743">
        <f t="shared" si="116"/>
        <v>0</v>
      </c>
      <c r="AD155" s="3751"/>
      <c r="AE155" s="3751"/>
      <c r="AF155" s="3746">
        <f>AF48/'[16]Thu NSNN 2010-2025'!AB137</f>
        <v>0.30598622907015288</v>
      </c>
      <c r="AG155" s="3746"/>
      <c r="AH155" s="3746">
        <f>AH48/'[16]Thu NSNN 2010-2025'!AC137</f>
        <v>0.30526925460666021</v>
      </c>
      <c r="AI155" s="3746">
        <f>AI48/'[16]Thu NSNN 2010-2025'!AD137</f>
        <v>7.7432939263302233E-2</v>
      </c>
      <c r="AJ155" s="3746">
        <f>(Y155*AA155*AF155*AH155*AI155)^(1/5)</f>
        <v>0.23403607046435163</v>
      </c>
      <c r="AK155" s="3746"/>
      <c r="AL155" s="3746"/>
      <c r="AM155" s="3746"/>
      <c r="AN155" s="3746"/>
      <c r="AO155" s="2760"/>
      <c r="AP155" s="2760"/>
      <c r="AQ155" s="2760"/>
      <c r="AR155" s="2760"/>
      <c r="AS155" s="2760"/>
      <c r="AT155" s="2760"/>
      <c r="AY155" s="3061">
        <f t="shared" si="76"/>
        <v>6.9942136449554902E-9</v>
      </c>
    </row>
    <row r="156" spans="1:51">
      <c r="A156" s="3288"/>
      <c r="B156" s="3752"/>
      <c r="C156" s="3398"/>
      <c r="D156" s="3398"/>
      <c r="E156" s="3398"/>
      <c r="F156" s="3398"/>
      <c r="G156" s="3398"/>
      <c r="H156" s="3398"/>
      <c r="I156" s="3398"/>
      <c r="J156" s="3398"/>
      <c r="K156" s="3398"/>
      <c r="L156" s="3398"/>
      <c r="M156" s="3398"/>
      <c r="N156" s="3398"/>
      <c r="O156" s="3398"/>
      <c r="P156" s="3398"/>
      <c r="Q156" s="3753"/>
      <c r="R156" s="3398"/>
      <c r="S156" s="3398"/>
      <c r="T156" s="3507"/>
      <c r="U156" s="3507"/>
      <c r="V156" s="3507"/>
      <c r="W156" s="3507"/>
      <c r="X156" s="3754"/>
      <c r="Y156" s="3398"/>
      <c r="Z156" s="3755"/>
      <c r="AA156" s="3398"/>
      <c r="AB156" s="3398"/>
      <c r="AC156" s="3743">
        <f t="shared" si="116"/>
        <v>0</v>
      </c>
      <c r="AD156" s="3756"/>
      <c r="AE156" s="3756"/>
      <c r="AF156" s="3398"/>
      <c r="AG156" s="3398"/>
      <c r="AH156" s="3398"/>
      <c r="AI156" s="3398"/>
      <c r="AJ156" s="3398"/>
      <c r="AK156" s="3398"/>
      <c r="AL156" s="3398"/>
      <c r="AM156" s="3398"/>
      <c r="AN156" s="3398"/>
      <c r="AY156" s="3061">
        <f t="shared" ref="AY156:AY179" si="119">AI156/$AI$16</f>
        <v>0</v>
      </c>
    </row>
    <row r="157" spans="1:51">
      <c r="A157" s="3288"/>
      <c r="B157" s="3752"/>
      <c r="C157" s="3398"/>
      <c r="D157" s="3398"/>
      <c r="E157" s="3398"/>
      <c r="F157" s="3398"/>
      <c r="G157" s="3398"/>
      <c r="H157" s="3398"/>
      <c r="I157" s="3398"/>
      <c r="J157" s="3398"/>
      <c r="K157" s="3398"/>
      <c r="L157" s="3398"/>
      <c r="M157" s="3398"/>
      <c r="N157" s="3398"/>
      <c r="O157" s="3398"/>
      <c r="P157" s="3398"/>
      <c r="Q157" s="3753"/>
      <c r="R157" s="3398"/>
      <c r="S157" s="3398"/>
      <c r="T157" s="3507"/>
      <c r="U157" s="3507"/>
      <c r="V157" s="3507"/>
      <c r="W157" s="3507"/>
      <c r="X157" s="3754"/>
      <c r="Y157" s="3398"/>
      <c r="Z157" s="3755"/>
      <c r="AA157" s="3398"/>
      <c r="AB157" s="3398"/>
      <c r="AC157" s="3743">
        <f t="shared" si="116"/>
        <v>0</v>
      </c>
      <c r="AD157" s="3756"/>
      <c r="AE157" s="3756"/>
      <c r="AF157" s="3398"/>
      <c r="AG157" s="3398"/>
      <c r="AH157" s="3398"/>
      <c r="AI157" s="3398"/>
      <c r="AJ157" s="3398"/>
      <c r="AK157" s="3398"/>
      <c r="AL157" s="3398"/>
      <c r="AM157" s="3398"/>
      <c r="AN157" s="3398"/>
      <c r="AY157" s="3061">
        <f t="shared" si="119"/>
        <v>0</v>
      </c>
    </row>
    <row r="158" spans="1:51">
      <c r="A158" s="3288"/>
      <c r="B158" s="3752"/>
      <c r="C158" s="3398"/>
      <c r="D158" s="3398"/>
      <c r="E158" s="3398"/>
      <c r="F158" s="3398"/>
      <c r="G158" s="3398"/>
      <c r="H158" s="3398"/>
      <c r="I158" s="3398"/>
      <c r="J158" s="3398"/>
      <c r="K158" s="3398"/>
      <c r="L158" s="3398"/>
      <c r="M158" s="3398"/>
      <c r="N158" s="3398"/>
      <c r="O158" s="3398"/>
      <c r="P158" s="3398"/>
      <c r="Q158" s="3753"/>
      <c r="R158" s="3398"/>
      <c r="S158" s="3398"/>
      <c r="T158" s="3507"/>
      <c r="U158" s="3507"/>
      <c r="V158" s="3507"/>
      <c r="W158" s="3507"/>
      <c r="X158" s="3754"/>
      <c r="Y158" s="3398"/>
      <c r="Z158" s="3755"/>
      <c r="AA158" s="3398"/>
      <c r="AB158" s="3398"/>
      <c r="AC158" s="3743">
        <f t="shared" si="116"/>
        <v>0</v>
      </c>
      <c r="AD158" s="3756"/>
      <c r="AE158" s="3756"/>
      <c r="AF158" s="3398"/>
      <c r="AG158" s="3398"/>
      <c r="AH158" s="3398"/>
      <c r="AI158" s="3398"/>
      <c r="AJ158" s="3398"/>
      <c r="AK158" s="3398"/>
      <c r="AL158" s="3398"/>
      <c r="AM158" s="3398"/>
      <c r="AN158" s="3398"/>
      <c r="AY158" s="3061">
        <f t="shared" si="119"/>
        <v>0</v>
      </c>
    </row>
    <row r="159" spans="1:51">
      <c r="Q159" s="6" t="s">
        <v>2110</v>
      </c>
      <c r="S159" s="2428" t="s">
        <v>2111</v>
      </c>
      <c r="T159" s="817" t="s">
        <v>2112</v>
      </c>
      <c r="V159" s="817" t="s">
        <v>2113</v>
      </c>
      <c r="AA159" s="2428" t="s">
        <v>2114</v>
      </c>
      <c r="AC159" s="3743">
        <f t="shared" si="116"/>
        <v>0</v>
      </c>
      <c r="AD159" s="3756"/>
      <c r="AE159" s="3756"/>
      <c r="AF159" s="2428" t="s">
        <v>2115</v>
      </c>
      <c r="AY159" s="3061">
        <f t="shared" si="119"/>
        <v>0</v>
      </c>
    </row>
    <row r="160" spans="1:51">
      <c r="Q160" s="6" t="s">
        <v>2116</v>
      </c>
      <c r="S160" s="2428">
        <v>1131.7059999999999</v>
      </c>
      <c r="T160" s="817">
        <f>RANK(S160,$S$160:$S$172,0)</f>
        <v>4</v>
      </c>
      <c r="U160" s="3757">
        <f>S160/$S$173</f>
        <v>0.10104789423358611</v>
      </c>
      <c r="V160" s="817">
        <v>1200</v>
      </c>
      <c r="W160" s="817">
        <f>RANK(V160,$V$160:$V$172,0)</f>
        <v>1</v>
      </c>
      <c r="Y160" s="3758">
        <f>V160/$V$173</f>
        <v>0.20294266869609334</v>
      </c>
      <c r="Z160" s="3759"/>
      <c r="AC160" s="3743">
        <f t="shared" si="116"/>
        <v>0</v>
      </c>
      <c r="AD160" s="3756"/>
      <c r="AE160" s="3756"/>
      <c r="AF160" s="2428">
        <v>1688547</v>
      </c>
      <c r="AH160" s="2428">
        <f>RANK(AF160,$AF$160:$AF$172,0)</f>
        <v>4</v>
      </c>
      <c r="AI160" s="3758">
        <f>AF160/$AF$173</f>
        <v>9.7752875336567943E-2</v>
      </c>
      <c r="AY160" s="3061">
        <f t="shared" si="119"/>
        <v>8.8296337581580657E-9</v>
      </c>
    </row>
    <row r="161" spans="1:51">
      <c r="Q161" s="6" t="s">
        <v>2117</v>
      </c>
      <c r="S161" s="2428">
        <v>798.99099999999999</v>
      </c>
      <c r="T161" s="817">
        <f t="shared" ref="T161:T172" si="120">RANK(S161,$S$160:$S$172,0)</f>
        <v>7</v>
      </c>
      <c r="U161" s="3757">
        <f t="shared" ref="U161:U172" si="121">S161/$S$173</f>
        <v>7.1340399416091452E-2</v>
      </c>
      <c r="V161" s="817">
        <v>500</v>
      </c>
      <c r="W161" s="817">
        <f t="shared" ref="W161:W172" si="122">RANK(V161,$V$160:$V$172,0)</f>
        <v>5</v>
      </c>
      <c r="Y161" s="3758">
        <f t="shared" ref="Y161:Y172" si="123">V161/$V$173</f>
        <v>8.4559445290038893E-2</v>
      </c>
      <c r="Z161" s="3759"/>
      <c r="AA161" s="3180"/>
      <c r="AB161" s="3180"/>
      <c r="AC161" s="3743">
        <f t="shared" si="116"/>
        <v>0</v>
      </c>
      <c r="AD161" s="3756"/>
      <c r="AE161" s="3756"/>
      <c r="AF161" s="2428">
        <v>1764185</v>
      </c>
      <c r="AH161" s="2428">
        <f t="shared" ref="AH161:AH172" si="124">RANK(AF161,$AF$160:$AF$172,0)</f>
        <v>2</v>
      </c>
      <c r="AI161" s="3758">
        <f t="shared" ref="AI161:AI172" si="125">AF161/$AF$173</f>
        <v>0.10213168859122257</v>
      </c>
      <c r="AY161" s="3061">
        <f t="shared" si="119"/>
        <v>9.2251547819729531E-9</v>
      </c>
    </row>
    <row r="162" spans="1:51">
      <c r="L162" s="2428">
        <v>39781</v>
      </c>
      <c r="Q162" s="6" t="s">
        <v>2118</v>
      </c>
      <c r="S162" s="2428">
        <v>454.64800000000002</v>
      </c>
      <c r="T162" s="817">
        <f t="shared" si="120"/>
        <v>13</v>
      </c>
      <c r="U162" s="3757">
        <f t="shared" si="121"/>
        <v>4.0594662410123709E-2</v>
      </c>
      <c r="V162" s="817">
        <v>150</v>
      </c>
      <c r="W162" s="817">
        <f t="shared" si="122"/>
        <v>12</v>
      </c>
      <c r="Y162" s="3758">
        <f t="shared" si="123"/>
        <v>2.5367833587011668E-2</v>
      </c>
      <c r="Z162" s="3759"/>
      <c r="AC162" s="3743">
        <f t="shared" si="116"/>
        <v>0</v>
      </c>
      <c r="AD162" s="3756"/>
      <c r="AE162" s="3756"/>
      <c r="AF162" s="2428">
        <v>1288463</v>
      </c>
      <c r="AH162" s="2428">
        <f t="shared" si="124"/>
        <v>6</v>
      </c>
      <c r="AI162" s="3758">
        <f t="shared" si="125"/>
        <v>7.4591327937439902E-2</v>
      </c>
      <c r="AY162" s="3061">
        <f t="shared" si="119"/>
        <v>6.7375420411380999E-9</v>
      </c>
    </row>
    <row r="163" spans="1:51">
      <c r="L163" s="2428">
        <v>37123</v>
      </c>
      <c r="Q163" s="6" t="s">
        <v>2119</v>
      </c>
      <c r="S163" s="2428">
        <v>720.31399999999996</v>
      </c>
      <c r="T163" s="817">
        <f t="shared" si="120"/>
        <v>8</v>
      </c>
      <c r="U163" s="3757">
        <f t="shared" si="121"/>
        <v>6.4315478478484109E-2</v>
      </c>
      <c r="V163" s="817">
        <v>190</v>
      </c>
      <c r="W163" s="817">
        <f t="shared" si="122"/>
        <v>11</v>
      </c>
      <c r="Y163" s="3758">
        <f t="shared" si="123"/>
        <v>3.2132589210214779E-2</v>
      </c>
      <c r="Z163" s="3759"/>
      <c r="AC163" s="3743">
        <f t="shared" si="116"/>
        <v>0</v>
      </c>
      <c r="AD163" s="3756"/>
      <c r="AE163" s="3756"/>
      <c r="AF163" s="2428">
        <v>1009168</v>
      </c>
      <c r="AH163" s="2428">
        <f t="shared" si="124"/>
        <v>11</v>
      </c>
      <c r="AI163" s="3758">
        <f t="shared" si="125"/>
        <v>5.842246244709421E-2</v>
      </c>
      <c r="AY163" s="3061">
        <f t="shared" si="119"/>
        <v>5.2770718496155914E-9</v>
      </c>
    </row>
    <row r="164" spans="1:51">
      <c r="L164" s="2428">
        <f>+L162-L163</f>
        <v>2658</v>
      </c>
      <c r="Q164" s="6" t="s">
        <v>2120</v>
      </c>
      <c r="S164" s="2428">
        <v>572.27599999999995</v>
      </c>
      <c r="T164" s="817">
        <f t="shared" si="120"/>
        <v>10</v>
      </c>
      <c r="U164" s="3757">
        <f t="shared" si="121"/>
        <v>5.1097444672396998E-2</v>
      </c>
      <c r="V164" s="817">
        <v>400</v>
      </c>
      <c r="W164" s="817">
        <f t="shared" si="122"/>
        <v>6</v>
      </c>
      <c r="Y164" s="3758">
        <f t="shared" si="123"/>
        <v>6.7647556232031114E-2</v>
      </c>
      <c r="Z164" s="3759"/>
      <c r="AC164" s="3743">
        <f t="shared" si="116"/>
        <v>0</v>
      </c>
      <c r="AD164" s="3756"/>
      <c r="AE164" s="3756"/>
      <c r="AF164" s="2428">
        <v>1022791</v>
      </c>
      <c r="AH164" s="2428">
        <f t="shared" si="124"/>
        <v>10</v>
      </c>
      <c r="AI164" s="3758">
        <f t="shared" si="125"/>
        <v>5.9211121229295754E-2</v>
      </c>
      <c r="AY164" s="3061">
        <f t="shared" si="119"/>
        <v>5.3483083036126592E-9</v>
      </c>
    </row>
    <row r="165" spans="1:51">
      <c r="A165" s="2428"/>
      <c r="Q165" s="6" t="s">
        <v>2121</v>
      </c>
      <c r="S165" s="2428">
        <v>1464.8</v>
      </c>
      <c r="T165" s="817">
        <f t="shared" si="120"/>
        <v>1</v>
      </c>
      <c r="U165" s="3757">
        <f t="shared" si="121"/>
        <v>0.13078922924625028</v>
      </c>
      <c r="V165" s="817">
        <v>700</v>
      </c>
      <c r="W165" s="817">
        <f t="shared" si="122"/>
        <v>3</v>
      </c>
      <c r="Y165" s="3758">
        <f t="shared" si="123"/>
        <v>0.11838322340605445</v>
      </c>
      <c r="Z165" s="3759"/>
      <c r="AC165" s="3743">
        <f t="shared" si="116"/>
        <v>0</v>
      </c>
      <c r="AD165" s="3756"/>
      <c r="AE165" s="3756"/>
      <c r="AF165" s="2428">
        <v>1235171</v>
      </c>
      <c r="AH165" s="2428">
        <f t="shared" si="124"/>
        <v>7</v>
      </c>
      <c r="AI165" s="3758">
        <f t="shared" si="125"/>
        <v>7.1506162862119887E-2</v>
      </c>
      <c r="AY165" s="3061">
        <f t="shared" si="119"/>
        <v>6.4588711825598311E-9</v>
      </c>
    </row>
    <row r="166" spans="1:51">
      <c r="Q166" s="6" t="s">
        <v>2122</v>
      </c>
      <c r="S166" s="2428">
        <v>571.46699999999998</v>
      </c>
      <c r="T166" s="817">
        <f t="shared" si="120"/>
        <v>11</v>
      </c>
      <c r="U166" s="3757">
        <f t="shared" si="121"/>
        <v>5.1025210588248847E-2</v>
      </c>
      <c r="V166" s="817">
        <v>200</v>
      </c>
      <c r="W166" s="817">
        <f t="shared" si="122"/>
        <v>9</v>
      </c>
      <c r="Y166" s="3758">
        <f t="shared" si="123"/>
        <v>3.3823778116015557E-2</v>
      </c>
      <c r="Z166" s="3759"/>
      <c r="AC166" s="3743">
        <f t="shared" si="116"/>
        <v>0</v>
      </c>
      <c r="AD166" s="3756"/>
      <c r="AE166" s="3756"/>
      <c r="AF166" s="2428">
        <v>733017</v>
      </c>
      <c r="AH166" s="2428">
        <f t="shared" si="124"/>
        <v>13</v>
      </c>
      <c r="AI166" s="3758">
        <f t="shared" si="125"/>
        <v>4.2435608496882243E-2</v>
      </c>
      <c r="AY166" s="3061">
        <f t="shared" si="119"/>
        <v>3.8330420465072932E-9</v>
      </c>
    </row>
    <row r="167" spans="1:51">
      <c r="Q167" s="6" t="s">
        <v>2123</v>
      </c>
      <c r="S167" s="2428">
        <v>813.48599999999999</v>
      </c>
      <c r="T167" s="817">
        <f t="shared" si="120"/>
        <v>6</v>
      </c>
      <c r="U167" s="3757">
        <f t="shared" si="121"/>
        <v>7.2634630627126689E-2</v>
      </c>
      <c r="V167" s="817">
        <v>200</v>
      </c>
      <c r="W167" s="817">
        <f t="shared" si="122"/>
        <v>9</v>
      </c>
      <c r="Y167" s="3758">
        <f t="shared" si="123"/>
        <v>3.3823778116015557E-2</v>
      </c>
      <c r="Z167" s="3759"/>
      <c r="AC167" s="3743">
        <f t="shared" si="116"/>
        <v>0</v>
      </c>
      <c r="AD167" s="3756"/>
      <c r="AE167" s="3756"/>
      <c r="AF167" s="2428">
        <v>1199653</v>
      </c>
      <c r="AH167" s="2428">
        <f t="shared" si="124"/>
        <v>8</v>
      </c>
      <c r="AI167" s="3758">
        <f t="shared" si="125"/>
        <v>6.9449965062352265E-2</v>
      </c>
      <c r="AY167" s="3061">
        <f t="shared" si="119"/>
        <v>6.2731429014860682E-9</v>
      </c>
    </row>
    <row r="168" spans="1:51">
      <c r="Q168" s="6" t="s">
        <v>2124</v>
      </c>
      <c r="S168" s="2428">
        <v>1300.9960000000001</v>
      </c>
      <c r="T168" s="817">
        <f t="shared" si="120"/>
        <v>2</v>
      </c>
      <c r="U168" s="3757">
        <f t="shared" si="121"/>
        <v>0.11616347903635627</v>
      </c>
      <c r="V168" s="817">
        <v>300</v>
      </c>
      <c r="W168" s="817">
        <f t="shared" si="122"/>
        <v>8</v>
      </c>
      <c r="Y168" s="3758">
        <f t="shared" si="123"/>
        <v>5.0735667174023336E-2</v>
      </c>
      <c r="Z168" s="3759"/>
      <c r="AC168" s="3743">
        <f t="shared" si="116"/>
        <v>0</v>
      </c>
      <c r="AD168" s="3756"/>
      <c r="AE168" s="3756"/>
      <c r="AF168" s="2428">
        <v>1908352</v>
      </c>
      <c r="AH168" s="2428">
        <f t="shared" si="124"/>
        <v>1</v>
      </c>
      <c r="AI168" s="3758">
        <f t="shared" si="125"/>
        <v>0.11047776292533763</v>
      </c>
      <c r="AY168" s="3061">
        <f t="shared" si="119"/>
        <v>9.979022936079635E-9</v>
      </c>
    </row>
    <row r="169" spans="1:51">
      <c r="Q169" s="6" t="s">
        <v>2125</v>
      </c>
      <c r="S169" s="2428">
        <v>1067.085</v>
      </c>
      <c r="T169" s="817">
        <f t="shared" si="120"/>
        <v>5</v>
      </c>
      <c r="U169" s="3757">
        <f t="shared" si="121"/>
        <v>9.5278007025010242E-2</v>
      </c>
      <c r="V169" s="817">
        <v>573</v>
      </c>
      <c r="W169" s="817">
        <f t="shared" si="122"/>
        <v>4</v>
      </c>
      <c r="Y169" s="3758">
        <f t="shared" si="123"/>
        <v>9.6905124302384571E-2</v>
      </c>
      <c r="Z169" s="3759"/>
      <c r="AC169" s="3743">
        <f t="shared" si="116"/>
        <v>0</v>
      </c>
      <c r="AD169" s="3756"/>
      <c r="AE169" s="3756"/>
      <c r="AF169" s="2428">
        <v>1599504</v>
      </c>
      <c r="AH169" s="2428">
        <f t="shared" si="124"/>
        <v>5</v>
      </c>
      <c r="AI169" s="3758">
        <f t="shared" si="125"/>
        <v>9.2598023692761738E-2</v>
      </c>
      <c r="AY169" s="3061">
        <f t="shared" si="119"/>
        <v>8.3640162309422573E-9</v>
      </c>
    </row>
    <row r="170" spans="1:51">
      <c r="Q170" s="6" t="s">
        <v>2126</v>
      </c>
      <c r="S170" s="2428">
        <v>1211.692</v>
      </c>
      <c r="T170" s="817">
        <f t="shared" si="120"/>
        <v>3</v>
      </c>
      <c r="U170" s="3757">
        <f t="shared" si="121"/>
        <v>0.1081896933122935</v>
      </c>
      <c r="V170" s="817">
        <v>1000</v>
      </c>
      <c r="W170" s="817">
        <f t="shared" si="122"/>
        <v>2</v>
      </c>
      <c r="Y170" s="3758">
        <f t="shared" si="123"/>
        <v>0.16911889058007779</v>
      </c>
      <c r="Z170" s="3759"/>
      <c r="AC170" s="3743">
        <f t="shared" si="116"/>
        <v>0</v>
      </c>
      <c r="AD170" s="3756"/>
      <c r="AE170" s="3756"/>
      <c r="AF170" s="2428">
        <v>1723067</v>
      </c>
      <c r="AH170" s="2428">
        <f t="shared" si="124"/>
        <v>3</v>
      </c>
      <c r="AI170" s="3758">
        <f t="shared" si="125"/>
        <v>9.9751297208519579E-2</v>
      </c>
      <c r="AY170" s="3061">
        <f t="shared" si="119"/>
        <v>9.0101433663191745E-9</v>
      </c>
    </row>
    <row r="171" spans="1:51">
      <c r="Q171" s="6" t="s">
        <v>2127</v>
      </c>
      <c r="S171" s="2428">
        <v>456.42</v>
      </c>
      <c r="T171" s="817">
        <f t="shared" si="120"/>
        <v>12</v>
      </c>
      <c r="U171" s="3757">
        <f t="shared" si="121"/>
        <v>4.0752880947961194E-2</v>
      </c>
      <c r="V171" s="817">
        <v>140</v>
      </c>
      <c r="W171" s="817">
        <f t="shared" si="122"/>
        <v>13</v>
      </c>
      <c r="Y171" s="3758">
        <f t="shared" si="123"/>
        <v>2.367664468121089E-2</v>
      </c>
      <c r="Z171" s="3759"/>
      <c r="AC171" s="3743">
        <f t="shared" si="116"/>
        <v>0</v>
      </c>
      <c r="AD171" s="3756"/>
      <c r="AE171" s="3756"/>
      <c r="AF171" s="2428">
        <v>907236</v>
      </c>
      <c r="AH171" s="2428">
        <f t="shared" si="124"/>
        <v>12</v>
      </c>
      <c r="AI171" s="3758">
        <f t="shared" si="125"/>
        <v>5.2521444537135503E-2</v>
      </c>
      <c r="AY171" s="3061">
        <f t="shared" si="119"/>
        <v>4.7440560506851684E-9</v>
      </c>
    </row>
    <row r="172" spans="1:51">
      <c r="Q172" s="6" t="s">
        <v>2128</v>
      </c>
      <c r="S172" s="2428">
        <v>635.81799999999998</v>
      </c>
      <c r="T172" s="817">
        <f t="shared" si="120"/>
        <v>9</v>
      </c>
      <c r="U172" s="3757">
        <f t="shared" si="121"/>
        <v>5.6770990006070707E-2</v>
      </c>
      <c r="V172" s="817">
        <v>360</v>
      </c>
      <c r="W172" s="817">
        <f t="shared" si="122"/>
        <v>7</v>
      </c>
      <c r="Y172" s="3758">
        <f t="shared" si="123"/>
        <v>6.0882800608828003E-2</v>
      </c>
      <c r="Z172" s="3759"/>
      <c r="AC172" s="3743">
        <f t="shared" si="116"/>
        <v>0</v>
      </c>
      <c r="AD172" s="3756"/>
      <c r="AE172" s="3756"/>
      <c r="AF172" s="2428">
        <v>1194476</v>
      </c>
      <c r="AH172" s="2428">
        <f t="shared" si="124"/>
        <v>9</v>
      </c>
      <c r="AI172" s="3758">
        <f t="shared" si="125"/>
        <v>6.9150259673270764E-2</v>
      </c>
      <c r="AY172" s="3061">
        <f t="shared" si="119"/>
        <v>6.2460716893930777E-9</v>
      </c>
    </row>
    <row r="173" spans="1:51">
      <c r="S173" s="2428">
        <f>SUM(S160:S172)</f>
        <v>11199.698999999999</v>
      </c>
      <c r="U173" s="3757">
        <f>SUM(U160:U172)</f>
        <v>1</v>
      </c>
      <c r="V173" s="817">
        <f>SUM(V160:V172)</f>
        <v>5913</v>
      </c>
      <c r="Y173" s="3758">
        <f>SUM(Y160:Y172)</f>
        <v>1</v>
      </c>
      <c r="Z173" s="3759"/>
      <c r="AC173" s="3743">
        <f t="shared" si="116"/>
        <v>0</v>
      </c>
      <c r="AD173" s="3756"/>
      <c r="AE173" s="3756"/>
      <c r="AF173" s="2428">
        <f>SUM(AF160:AF172)</f>
        <v>17273630</v>
      </c>
      <c r="AI173" s="3758">
        <f>SUM(AI160:AI172)</f>
        <v>0.99999999999999978</v>
      </c>
      <c r="AY173" s="3061">
        <f t="shared" si="119"/>
        <v>9.0326077138469862E-8</v>
      </c>
    </row>
    <row r="174" spans="1:51">
      <c r="AC174" s="3743">
        <f t="shared" si="116"/>
        <v>0</v>
      </c>
      <c r="AD174" s="3756"/>
      <c r="AE174" s="3756"/>
      <c r="AY174" s="3061">
        <f t="shared" si="119"/>
        <v>0</v>
      </c>
    </row>
    <row r="175" spans="1:51" ht="16.8">
      <c r="AA175" s="3760">
        <v>61239</v>
      </c>
      <c r="AB175" s="3760"/>
      <c r="AC175" s="3743">
        <f t="shared" si="116"/>
        <v>0</v>
      </c>
      <c r="AD175" s="3743"/>
      <c r="AE175" s="3743"/>
      <c r="AF175" s="3760">
        <v>65552</v>
      </c>
      <c r="AG175" s="3761"/>
      <c r="AY175" s="3061">
        <f t="shared" si="119"/>
        <v>0</v>
      </c>
    </row>
    <row r="176" spans="1:51">
      <c r="AC176" s="3743">
        <f t="shared" si="116"/>
        <v>0</v>
      </c>
      <c r="AD176" s="3756"/>
      <c r="AE176" s="3756"/>
      <c r="AF176" s="3758">
        <f>+AF175/AA175</f>
        <v>1.0704289749995917</v>
      </c>
      <c r="AG176" s="3758"/>
      <c r="AY176" s="3061">
        <f t="shared" si="119"/>
        <v>0</v>
      </c>
    </row>
    <row r="177" spans="9:51">
      <c r="I177" s="2428">
        <f>I11/5</f>
        <v>1524698.2024611782</v>
      </c>
      <c r="Q177" s="6">
        <v>18916</v>
      </c>
      <c r="T177" s="817">
        <f>T11/5</f>
        <v>2695440.8457752001</v>
      </c>
      <c r="AC177" s="3743">
        <f t="shared" si="116"/>
        <v>0</v>
      </c>
      <c r="AD177" s="3756"/>
      <c r="AE177" s="3756"/>
      <c r="AY177" s="3061">
        <f t="shared" si="119"/>
        <v>0</v>
      </c>
    </row>
    <row r="178" spans="9:51">
      <c r="Q178" s="6">
        <v>37999</v>
      </c>
      <c r="T178" s="817">
        <f>T12/5</f>
        <v>856549.76500000001</v>
      </c>
      <c r="AC178" s="3743">
        <f t="shared" si="116"/>
        <v>0</v>
      </c>
      <c r="AD178" s="3756"/>
      <c r="AE178" s="3756"/>
      <c r="AH178" s="2428">
        <v>213</v>
      </c>
      <c r="AY178" s="3061">
        <f t="shared" si="119"/>
        <v>0</v>
      </c>
    </row>
    <row r="179" spans="9:51">
      <c r="Q179" s="3762">
        <f>+Q177/Q178</f>
        <v>0.49780257375194081</v>
      </c>
      <c r="R179" s="3758"/>
      <c r="AC179" s="3743">
        <f t="shared" si="116"/>
        <v>0</v>
      </c>
      <c r="AD179" s="3756"/>
      <c r="AE179" s="3756"/>
      <c r="AH179" s="2428">
        <v>2300</v>
      </c>
      <c r="AY179" s="3061">
        <f t="shared" si="119"/>
        <v>0</v>
      </c>
    </row>
    <row r="180" spans="9:51">
      <c r="AH180" s="3189">
        <f>+AH178*AH179</f>
        <v>489900</v>
      </c>
    </row>
    <row r="183" spans="9:51">
      <c r="S183" s="3072">
        <f>S8/Q8</f>
        <v>1.2001141901690502</v>
      </c>
      <c r="T183" s="3465"/>
      <c r="U183" s="3465"/>
      <c r="V183" s="3465"/>
      <c r="W183" s="3465"/>
      <c r="X183" s="3072"/>
      <c r="Y183" s="3072">
        <f>Y8/S8</f>
        <v>1.0139349177809787</v>
      </c>
      <c r="Z183" s="3181"/>
      <c r="AA183" s="3072">
        <f>AA8/Y8</f>
        <v>1.0927508274063042</v>
      </c>
      <c r="AH183" s="3072">
        <f>AI8/Q8-1</f>
        <v>0.68837849613648427</v>
      </c>
      <c r="AI183" s="3072">
        <f>AI8/AA8-1</f>
        <v>0.26974355700925456</v>
      </c>
    </row>
    <row r="184" spans="9:51">
      <c r="AA184" s="3072">
        <f>(S183*Y183*AA183)^(1/3)-1</f>
        <v>9.9641862647380286E-2</v>
      </c>
      <c r="AI184" s="3072">
        <f>AI11/AA11-1</f>
        <v>-0.12298608420598578</v>
      </c>
    </row>
    <row r="185" spans="9:51">
      <c r="S185" s="3072">
        <f>S10/Q10</f>
        <v>1.1934243347544409</v>
      </c>
      <c r="T185" s="3465"/>
      <c r="U185" s="3465"/>
      <c r="V185" s="3465"/>
      <c r="W185" s="3465"/>
      <c r="X185" s="3072"/>
      <c r="Y185" s="3072">
        <f>Y10/S10</f>
        <v>1.0743296641469104</v>
      </c>
      <c r="Z185" s="3181"/>
      <c r="AA185" s="3072">
        <f>AA10/Y10</f>
        <v>1.0289867245370417</v>
      </c>
    </row>
    <row r="186" spans="9:51">
      <c r="AA186" s="3072">
        <f>(S185*Y185*AA185)^(1/3)-1</f>
        <v>9.676624595173533E-2</v>
      </c>
    </row>
    <row r="187" spans="9:51">
      <c r="S187" s="3072">
        <f>S139/Q139</f>
        <v>1.2558053714937949</v>
      </c>
      <c r="T187" s="3465"/>
      <c r="U187" s="3465"/>
      <c r="V187" s="3465"/>
      <c r="W187" s="3465"/>
      <c r="X187" s="3072"/>
      <c r="Y187" s="3072">
        <f>Y139/S139</f>
        <v>0.39984893652863229</v>
      </c>
      <c r="Z187" s="3181"/>
      <c r="AA187" s="3072">
        <f>AA139/Y139</f>
        <v>2.8716129053529302</v>
      </c>
    </row>
    <row r="188" spans="9:51">
      <c r="AA188" s="3072">
        <f>AA13/Y13-1</f>
        <v>1.1438182708261428</v>
      </c>
    </row>
  </sheetData>
  <mergeCells count="50">
    <mergeCell ref="A1:AX1"/>
    <mergeCell ref="A2:AX2"/>
    <mergeCell ref="A4:A6"/>
    <mergeCell ref="B4:B6"/>
    <mergeCell ref="C4:C6"/>
    <mergeCell ref="D4:D6"/>
    <mergeCell ref="E4:E6"/>
    <mergeCell ref="F4:F6"/>
    <mergeCell ref="G4:G6"/>
    <mergeCell ref="H4:H6"/>
    <mergeCell ref="W4:W6"/>
    <mergeCell ref="I4:I6"/>
    <mergeCell ref="J4:J6"/>
    <mergeCell ref="K4:K6"/>
    <mergeCell ref="L4:L6"/>
    <mergeCell ref="M4:M6"/>
    <mergeCell ref="N4:O4"/>
    <mergeCell ref="P4:Q4"/>
    <mergeCell ref="R4:S4"/>
    <mergeCell ref="T4:T6"/>
    <mergeCell ref="U4:U6"/>
    <mergeCell ref="V4:V6"/>
    <mergeCell ref="AN4:AN6"/>
    <mergeCell ref="X4:Y4"/>
    <mergeCell ref="Z4:AA4"/>
    <mergeCell ref="AB4:AB6"/>
    <mergeCell ref="AC4:AC6"/>
    <mergeCell ref="AF4:AG4"/>
    <mergeCell ref="AH4:AH6"/>
    <mergeCell ref="AI4:AI6"/>
    <mergeCell ref="AJ4:AJ6"/>
    <mergeCell ref="AK4:AK6"/>
    <mergeCell ref="AL4:AL6"/>
    <mergeCell ref="AM4:AM6"/>
    <mergeCell ref="AU4:AU6"/>
    <mergeCell ref="AV4:AV6"/>
    <mergeCell ref="AW4:AW6"/>
    <mergeCell ref="AX4:AX6"/>
    <mergeCell ref="N5:O5"/>
    <mergeCell ref="P5:Q5"/>
    <mergeCell ref="R5:S5"/>
    <mergeCell ref="X5:Y5"/>
    <mergeCell ref="Z5:AA5"/>
    <mergeCell ref="AF5:AG5"/>
    <mergeCell ref="AO4:AO6"/>
    <mergeCell ref="AP4:AP6"/>
    <mergeCell ref="AQ4:AQ6"/>
    <mergeCell ref="AR4:AR6"/>
    <mergeCell ref="AS4:AS6"/>
    <mergeCell ref="AT4:AT6"/>
  </mergeCells>
  <hyperlinks>
    <hyperlink ref="A4:A6" location="'Danh mục file'!A1" display="SỐ T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DA57"/>
  <sheetViews>
    <sheetView workbookViewId="0">
      <selection activeCell="A4" sqref="A4"/>
    </sheetView>
  </sheetViews>
  <sheetFormatPr defaultColWidth="10.33203125" defaultRowHeight="15.6"/>
  <cols>
    <col min="1" max="1" width="4.6640625" style="1192" customWidth="1"/>
    <col min="2" max="2" width="36.109375" style="1192" customWidth="1"/>
    <col min="3" max="6" width="9.88671875" style="1192" hidden="1" customWidth="1"/>
    <col min="7" max="10" width="8.6640625" style="1192" customWidth="1"/>
    <col min="11" max="11" width="9.88671875" style="1192" hidden="1" customWidth="1"/>
    <col min="12" max="22" width="8.6640625" style="1192" customWidth="1"/>
    <col min="23" max="16384" width="10.33203125" style="1192"/>
  </cols>
  <sheetData>
    <row r="1" spans="1:105">
      <c r="A1" s="6133" t="s">
        <v>2129</v>
      </c>
      <c r="B1" s="6133"/>
      <c r="C1" s="6133"/>
      <c r="D1" s="6133"/>
      <c r="E1" s="6133"/>
      <c r="F1" s="6133"/>
      <c r="G1" s="6133"/>
      <c r="H1" s="6133"/>
      <c r="I1" s="6133"/>
      <c r="J1" s="6133"/>
      <c r="K1" s="6133"/>
      <c r="L1" s="6133"/>
      <c r="M1" s="6133"/>
      <c r="N1" s="6133"/>
      <c r="O1" s="6133"/>
      <c r="P1" s="6133"/>
      <c r="Q1" s="6133"/>
      <c r="R1" s="6133"/>
      <c r="S1" s="6133"/>
      <c r="T1" s="6133"/>
      <c r="U1" s="6133"/>
      <c r="V1" s="6133"/>
      <c r="AJ1" s="1192" t="s">
        <v>2130</v>
      </c>
      <c r="AO1" s="1382"/>
      <c r="AW1" s="1382"/>
      <c r="BE1" s="1382"/>
      <c r="BM1" s="1382"/>
      <c r="BU1" s="1382"/>
      <c r="CC1" s="1382"/>
      <c r="CK1" s="1382"/>
      <c r="CS1" s="1382"/>
      <c r="DA1" s="1382"/>
    </row>
    <row r="2" spans="1:105">
      <c r="A2" s="1193"/>
      <c r="B2" s="1193"/>
      <c r="C2" s="1193"/>
      <c r="D2" s="1193"/>
      <c r="E2" s="1193"/>
      <c r="F2" s="1193"/>
      <c r="G2" s="1193"/>
      <c r="H2" s="1193"/>
      <c r="I2" s="1193"/>
      <c r="J2" s="6438"/>
      <c r="K2" s="6438"/>
      <c r="L2" s="6438"/>
      <c r="M2" s="1193"/>
    </row>
    <row r="3" spans="1:105" ht="16.2" thickBot="1">
      <c r="A3" s="1193"/>
      <c r="H3" s="3763"/>
      <c r="P3" s="2431"/>
      <c r="V3" s="1409" t="s">
        <v>638</v>
      </c>
    </row>
    <row r="4" spans="1:105" ht="77.7" customHeight="1">
      <c r="A4" s="3049" t="s">
        <v>200</v>
      </c>
      <c r="B4" s="3764" t="s">
        <v>1123</v>
      </c>
      <c r="C4" s="3764" t="s">
        <v>2131</v>
      </c>
      <c r="D4" s="3764" t="s">
        <v>2132</v>
      </c>
      <c r="E4" s="3765" t="s">
        <v>2133</v>
      </c>
      <c r="F4" s="3765" t="s">
        <v>2134</v>
      </c>
      <c r="G4" s="3765" t="s">
        <v>2135</v>
      </c>
      <c r="H4" s="3765" t="s">
        <v>2136</v>
      </c>
      <c r="I4" s="3765" t="s">
        <v>2137</v>
      </c>
      <c r="J4" s="3765" t="s">
        <v>2138</v>
      </c>
      <c r="K4" s="3766" t="s">
        <v>2049</v>
      </c>
      <c r="L4" s="3765" t="s">
        <v>1954</v>
      </c>
      <c r="M4" s="3765" t="s">
        <v>2139</v>
      </c>
      <c r="N4" s="3765" t="s">
        <v>1955</v>
      </c>
      <c r="O4" s="3765" t="s">
        <v>1785</v>
      </c>
      <c r="P4" s="3764" t="s">
        <v>2140</v>
      </c>
      <c r="Q4" s="3767" t="s">
        <v>2141</v>
      </c>
      <c r="R4" s="3768" t="s">
        <v>2142</v>
      </c>
      <c r="S4" s="3766" t="s">
        <v>2143</v>
      </c>
      <c r="T4" s="3766" t="s">
        <v>2144</v>
      </c>
      <c r="U4" s="3766" t="s">
        <v>2145</v>
      </c>
      <c r="V4" s="3769" t="s">
        <v>2146</v>
      </c>
    </row>
    <row r="5" spans="1:105" s="3780" customFormat="1">
      <c r="A5" s="3770" t="s">
        <v>1</v>
      </c>
      <c r="B5" s="3771" t="s">
        <v>827</v>
      </c>
      <c r="C5" s="3772">
        <f t="shared" ref="C5:H5" si="0">SUM(C6:C7)</f>
        <v>7085000</v>
      </c>
      <c r="D5" s="3772">
        <f t="shared" si="0"/>
        <v>8771013</v>
      </c>
      <c r="E5" s="3772">
        <f t="shared" si="0"/>
        <v>8495000</v>
      </c>
      <c r="F5" s="3772">
        <f t="shared" si="0"/>
        <v>8430824.4000000022</v>
      </c>
      <c r="G5" s="3773">
        <f t="shared" si="0"/>
        <v>8140900</v>
      </c>
      <c r="H5" s="3773">
        <f t="shared" si="0"/>
        <v>7213306</v>
      </c>
      <c r="I5" s="3773">
        <f>SUM(I6:I7)</f>
        <v>6818777</v>
      </c>
      <c r="J5" s="3773">
        <f>SUM(J6:J7)</f>
        <v>7877094.2005829997</v>
      </c>
      <c r="K5" s="3774">
        <f>J5+H5+F5</f>
        <v>23521224.600583002</v>
      </c>
      <c r="L5" s="3773">
        <f>SUM(L6:L7)</f>
        <v>7590000</v>
      </c>
      <c r="M5" s="3773">
        <f>SUM(M6:M7)</f>
        <v>8340698.4079149999</v>
      </c>
      <c r="N5" s="3773">
        <f>SUM(N6:N7)</f>
        <v>9266000</v>
      </c>
      <c r="O5" s="3773">
        <f>SUM(O6:O7)</f>
        <v>10162499.699999999</v>
      </c>
      <c r="P5" s="3775">
        <f t="shared" ref="P5:P9" si="1">O5+N5+M5+J5+H5</f>
        <v>42859598.308497995</v>
      </c>
      <c r="Q5" s="3776">
        <f>SUM(Q6:Q7)</f>
        <v>11039000</v>
      </c>
      <c r="R5" s="3777">
        <f t="shared" ref="R5:U5" si="2">SUM(R6:R7)</f>
        <v>11935999.816611201</v>
      </c>
      <c r="S5" s="3778">
        <f t="shared" si="2"/>
        <v>12893500.408798838</v>
      </c>
      <c r="T5" s="3778">
        <f t="shared" si="2"/>
        <v>13961500.026622467</v>
      </c>
      <c r="U5" s="3778">
        <f t="shared" si="2"/>
        <v>15200000.027793854</v>
      </c>
      <c r="V5" s="3779">
        <f>SUM(Q5:U5)</f>
        <v>65030000.279826358</v>
      </c>
    </row>
    <row r="6" spans="1:105" s="3787" customFormat="1">
      <c r="A6" s="3781" t="s">
        <v>3</v>
      </c>
      <c r="B6" s="730" t="s">
        <v>4</v>
      </c>
      <c r="C6" s="3101">
        <f>'[11]Thu NSNN 2021-2030'!W8</f>
        <v>7007000</v>
      </c>
      <c r="D6" s="3101">
        <f>'[11]Thu NSNN 2021-2030'!X8</f>
        <v>8644723</v>
      </c>
      <c r="E6" s="3101">
        <f>'[11]Thu NSNN 2021-2030'!Y8</f>
        <v>8425000</v>
      </c>
      <c r="F6" s="3101">
        <f>'[11]Thu NSNN 2021-2030'!Z8</f>
        <v>8337065.4000000022</v>
      </c>
      <c r="G6" s="3782">
        <f>'[2]PL-TổngThu21-25'!AE8</f>
        <v>8035900</v>
      </c>
      <c r="H6" s="3782">
        <f>'[2]PL-TổngThu21-25'!AF8</f>
        <v>7016452</v>
      </c>
      <c r="I6" s="3782">
        <f>'[2]PL-TổngThu21-25'!AG8</f>
        <v>6708777</v>
      </c>
      <c r="J6" s="3782">
        <f>'[2]PL-TổngThu21-25'!AH8</f>
        <v>7487310.8303279998</v>
      </c>
      <c r="K6" s="3783">
        <f t="shared" ref="K6:K35" si="3">J6+H6+F6</f>
        <v>22840828.230328001</v>
      </c>
      <c r="L6" s="3782">
        <f>'[2]PL-TổngThu21-25'!AO8</f>
        <v>7440000</v>
      </c>
      <c r="M6" s="3782">
        <f>'[2]PL-TổngThu21-25'!AP8</f>
        <v>8058810.7366289999</v>
      </c>
      <c r="N6" s="3782">
        <f>[2]PL1.1!Z9</f>
        <v>9066000</v>
      </c>
      <c r="O6" s="3782">
        <f>[2]PL1.1!AF9</f>
        <v>9999999.6999999993</v>
      </c>
      <c r="P6" s="3784">
        <f>O6+N6+M6+J6+H6</f>
        <v>41628573.266957</v>
      </c>
      <c r="Q6" s="3785">
        <f>[2]PL1.1!AL9</f>
        <v>10870000</v>
      </c>
      <c r="R6" s="3786">
        <f>'[11]Phụ lục số 1-1'!AR9</f>
        <v>11760000</v>
      </c>
      <c r="S6" s="185">
        <f>'[11]Phụ lục số 1-1'!AX9</f>
        <v>12710000</v>
      </c>
      <c r="T6" s="185">
        <f>'[11]Phụ lục số 1-1'!BD9</f>
        <v>13770000</v>
      </c>
      <c r="U6" s="185">
        <f>'[11]Phụ lục số 1-1'!BJ9</f>
        <v>15000000</v>
      </c>
      <c r="V6" s="3627">
        <f t="shared" ref="V6:V35" si="4">SUM(Q6:U6)</f>
        <v>64110000</v>
      </c>
    </row>
    <row r="7" spans="1:105" s="3787" customFormat="1">
      <c r="A7" s="3781" t="s">
        <v>33</v>
      </c>
      <c r="B7" s="730" t="s">
        <v>828</v>
      </c>
      <c r="C7" s="3101">
        <f>'[11]Thu NSNN 2021-2030'!W28</f>
        <v>78000</v>
      </c>
      <c r="D7" s="3101">
        <f>'[11]Thu NSNN 2021-2030'!X28</f>
        <v>126290</v>
      </c>
      <c r="E7" s="3101">
        <f>'[11]Thu NSNN 2021-2030'!Y28</f>
        <v>70000</v>
      </c>
      <c r="F7" s="39">
        <f>'[11]Thu NSNN 2021-2030'!Z28</f>
        <v>93759</v>
      </c>
      <c r="G7" s="3782">
        <f>'[2]PL-TổngThu21-25'!AE28</f>
        <v>105000</v>
      </c>
      <c r="H7" s="3782">
        <f>'[2]PL-TổngThu21-25'!AF28</f>
        <v>196854</v>
      </c>
      <c r="I7" s="3782">
        <f>'[2]PL-TổngThu21-25'!AG28</f>
        <v>110000</v>
      </c>
      <c r="J7" s="3782">
        <f>'[2]PL-TổngThu21-25'!AH28</f>
        <v>389783.37025500002</v>
      </c>
      <c r="K7" s="3783">
        <f t="shared" si="3"/>
        <v>680396.37025499996</v>
      </c>
      <c r="L7" s="3782">
        <f>'[2]PL-TổngThu21-25'!AO28</f>
        <v>150000</v>
      </c>
      <c r="M7" s="3782">
        <f>'[2]PL-TổngThu21-25'!AP28</f>
        <v>281887.67128599994</v>
      </c>
      <c r="N7" s="3782">
        <f>[2]PL1.1!Z49</f>
        <v>200000</v>
      </c>
      <c r="O7" s="3782">
        <f>[2]PL1.1!AF49</f>
        <v>162500</v>
      </c>
      <c r="P7" s="3784">
        <f>O7+N7+M7+J7+H7</f>
        <v>1231025.0415409999</v>
      </c>
      <c r="Q7" s="3785">
        <f>[2]PL1.1!AL49</f>
        <v>169000</v>
      </c>
      <c r="R7" s="3786">
        <f>'[11]Phụ lục số 1-1'!AR49</f>
        <v>175999.81661120002</v>
      </c>
      <c r="S7" s="185">
        <f>'[11]Phụ lục số 1-1'!AX49</f>
        <v>183500.40879883713</v>
      </c>
      <c r="T7" s="185">
        <f>'[11]Phụ lục số 1-1'!BD49</f>
        <v>191500.02662246645</v>
      </c>
      <c r="U7" s="185">
        <f>'[11]Phụ lục số 1-1'!BJ49</f>
        <v>200000.027793855</v>
      </c>
      <c r="V7" s="3627">
        <f t="shared" si="4"/>
        <v>920000.27982635843</v>
      </c>
    </row>
    <row r="8" spans="1:105" s="3792" customFormat="1">
      <c r="A8" s="3788" t="s">
        <v>37</v>
      </c>
      <c r="B8" s="731" t="s">
        <v>829</v>
      </c>
      <c r="C8" s="3149">
        <f t="shared" ref="C8:G8" si="5">SUM(C9+C15+C20)</f>
        <v>12334250</v>
      </c>
      <c r="D8" s="3149">
        <f t="shared" si="5"/>
        <v>14329390.437800001</v>
      </c>
      <c r="E8" s="3149">
        <f t="shared" si="5"/>
        <v>13693689.800000001</v>
      </c>
      <c r="F8" s="3149">
        <f t="shared" si="5"/>
        <v>13695184.916060001</v>
      </c>
      <c r="G8" s="3789">
        <f t="shared" si="5"/>
        <v>14635784.6</v>
      </c>
      <c r="H8" s="3789">
        <f>SUM(H9+H15+H20)</f>
        <v>14431241.136</v>
      </c>
      <c r="I8" s="3789">
        <f t="shared" ref="I8:J8" si="6">SUM(I9+I15+I20)</f>
        <v>14054453</v>
      </c>
      <c r="J8" s="3789">
        <f t="shared" si="6"/>
        <v>15110637.709816001</v>
      </c>
      <c r="K8" s="3774">
        <f t="shared" si="3"/>
        <v>43237063.761876002</v>
      </c>
      <c r="L8" s="3789">
        <f t="shared" ref="L8:N8" si="7">SUM(L9,L15,L20)</f>
        <v>15819995</v>
      </c>
      <c r="M8" s="3789">
        <f t="shared" si="7"/>
        <v>16997394.799999997</v>
      </c>
      <c r="N8" s="3789">
        <f t="shared" si="7"/>
        <v>18497779</v>
      </c>
      <c r="O8" s="3789">
        <f>SUM(O9+O15+O20)</f>
        <v>19548741.870588236</v>
      </c>
      <c r="P8" s="3775">
        <f t="shared" si="1"/>
        <v>84585794.516404241</v>
      </c>
      <c r="Q8" s="3790">
        <f>SUM(Q9+Q15+Q20)</f>
        <v>20443694.24845786</v>
      </c>
      <c r="R8" s="3791" t="e">
        <f t="shared" ref="R8:U8" si="8">SUM(R9+R15+R20)</f>
        <v>#REF!</v>
      </c>
      <c r="S8" s="3320" t="e">
        <f t="shared" si="8"/>
        <v>#REF!</v>
      </c>
      <c r="T8" s="3320" t="e">
        <f t="shared" si="8"/>
        <v>#REF!</v>
      </c>
      <c r="U8" s="3320" t="e">
        <f t="shared" si="8"/>
        <v>#REF!</v>
      </c>
      <c r="V8" s="3621" t="e">
        <f t="shared" si="4"/>
        <v>#REF!</v>
      </c>
    </row>
    <row r="9" spans="1:105" s="3780" customFormat="1">
      <c r="A9" s="3781" t="s">
        <v>3</v>
      </c>
      <c r="B9" s="732" t="s">
        <v>830</v>
      </c>
      <c r="C9" s="3101">
        <f>SUM(C10+C14+C19)+87254</f>
        <v>10895260</v>
      </c>
      <c r="D9" s="3101">
        <f>SUM(D10+D14+D19)+8725</f>
        <v>12092553.437800001</v>
      </c>
      <c r="E9" s="3101">
        <f>SUM(E10+E14+E19)+257157</f>
        <v>12188276.800000001</v>
      </c>
      <c r="F9" s="3101">
        <f>SUM(F10+F14+F19)+257157</f>
        <v>12170871.916060001</v>
      </c>
      <c r="G9" s="3782">
        <f>SUM(G10+G14+G19)+511676</f>
        <v>12692114.6</v>
      </c>
      <c r="H9" s="3782">
        <f>SUM(H10+H14+H19)+511676</f>
        <v>12487571.136</v>
      </c>
      <c r="I9" s="3782">
        <f t="shared" ref="I9" si="9">SUM(I10+I14+I19)</f>
        <v>12792680</v>
      </c>
      <c r="J9" s="3782">
        <f t="shared" ref="J9:N9" si="10">SUM(J10,J14,J19)</f>
        <v>13848864.709816001</v>
      </c>
      <c r="K9" s="3783">
        <f>J9+H9+F9</f>
        <v>38507307.761876002</v>
      </c>
      <c r="L9" s="3782">
        <f t="shared" si="10"/>
        <v>13191488</v>
      </c>
      <c r="M9" s="3782">
        <f t="shared" si="10"/>
        <v>14368887.799999999</v>
      </c>
      <c r="N9" s="3782">
        <f t="shared" si="10"/>
        <v>15858488</v>
      </c>
      <c r="O9" s="3782">
        <f>SUM(O10+O14+O19)</f>
        <v>16451857.370588236</v>
      </c>
      <c r="P9" s="3784">
        <f t="shared" si="1"/>
        <v>73015669.016404241</v>
      </c>
      <c r="Q9" s="3785">
        <f>SUM(Q10+Q14+Q19)</f>
        <v>17413893.948457859</v>
      </c>
      <c r="R9" s="3786" t="e">
        <f t="shared" ref="R9:U9" si="11">SUM(R10+R14+R19)</f>
        <v>#REF!</v>
      </c>
      <c r="S9" s="185" t="e">
        <f t="shared" si="11"/>
        <v>#REF!</v>
      </c>
      <c r="T9" s="185" t="e">
        <f t="shared" si="11"/>
        <v>#REF!</v>
      </c>
      <c r="U9" s="185" t="e">
        <f t="shared" si="11"/>
        <v>#REF!</v>
      </c>
      <c r="V9" s="3621" t="e">
        <f t="shared" si="4"/>
        <v>#REF!</v>
      </c>
    </row>
    <row r="10" spans="1:105" s="3780" customFormat="1">
      <c r="A10" s="3793">
        <v>1</v>
      </c>
      <c r="B10" s="733" t="s">
        <v>831</v>
      </c>
      <c r="C10" s="37">
        <f>'[11]Thu NSNN 2021-2030'!W148</f>
        <v>5466580</v>
      </c>
      <c r="D10" s="37">
        <f>'[11]Thu NSNN 2021-2030'!X148</f>
        <v>7096349.4378000004</v>
      </c>
      <c r="E10" s="37">
        <f>'[11]Thu NSNN 2021-2030'!Y148</f>
        <v>6718699.7999999998</v>
      </c>
      <c r="F10" s="37">
        <f>'[11]Thu NSNN 2021-2030'!Z148</f>
        <v>7003638.9160600007</v>
      </c>
      <c r="G10" s="3794">
        <f>'[11]Thu NSNN 2021-2030'!AE148</f>
        <v>6480439.5999999996</v>
      </c>
      <c r="H10" s="3794">
        <f>'[11]Thu NSNN 2021-2030'!AF148</f>
        <v>6073702.1359999999</v>
      </c>
      <c r="I10" s="3794">
        <f>'[12]thu noi dia(HĐND)(btc)'!$F$12</f>
        <v>5809777</v>
      </c>
      <c r="J10" s="3794">
        <f>'[12]thu noi dia(HĐND)(btc)'!$I$10</f>
        <v>6865961.7098160004</v>
      </c>
      <c r="K10" s="3795">
        <f t="shared" si="3"/>
        <v>19943302.761876002</v>
      </c>
      <c r="L10" s="3794">
        <f>[2]PL1.1!Q8</f>
        <v>6704000</v>
      </c>
      <c r="M10" s="3794">
        <f>[2]PL1.1!W8</f>
        <v>7450399.7999999989</v>
      </c>
      <c r="N10" s="3794">
        <f>[2]PL1.1!AC8</f>
        <v>8485000</v>
      </c>
      <c r="O10" s="3794">
        <f>[2]PL1.1!AI8</f>
        <v>9117270.1705882363</v>
      </c>
      <c r="P10" s="3796">
        <f>O10+N10+M10+J10+H10</f>
        <v>37992333.816404238</v>
      </c>
      <c r="Q10" s="3797">
        <f>[2]PL1.1!AO8</f>
        <v>9913851.7061085254</v>
      </c>
      <c r="R10" s="3798">
        <f>'[11]Phụ lục số 1-1'!AU8</f>
        <v>10718000</v>
      </c>
      <c r="S10" s="779">
        <f>'[11]Phụ lục số 1-1'!BA8</f>
        <v>11567000</v>
      </c>
      <c r="T10" s="779">
        <f>'[11]Phụ lục số 1-1'!BG8</f>
        <v>12522000</v>
      </c>
      <c r="U10" s="779">
        <f>'[11]Phụ lục số 1-1'!BM8</f>
        <v>13654000</v>
      </c>
      <c r="V10" s="3631">
        <f t="shared" si="4"/>
        <v>58374851.706108525</v>
      </c>
    </row>
    <row r="11" spans="1:105" s="3804" customFormat="1">
      <c r="A11" s="3799" t="s">
        <v>99</v>
      </c>
      <c r="B11" s="734" t="s">
        <v>832</v>
      </c>
      <c r="C11" s="3800">
        <f t="shared" ref="C11:O11" si="12">C10-C12</f>
        <v>2563830</v>
      </c>
      <c r="D11" s="3800">
        <f t="shared" si="12"/>
        <v>3733449.4378000004</v>
      </c>
      <c r="E11" s="3800">
        <f t="shared" si="12"/>
        <v>3093524.8</v>
      </c>
      <c r="F11" s="3800">
        <f t="shared" si="12"/>
        <v>3831721.9160600007</v>
      </c>
      <c r="G11" s="3801">
        <f t="shared" si="12"/>
        <v>3144039.5999999996</v>
      </c>
      <c r="H11" s="3801">
        <f t="shared" si="12"/>
        <v>3482860.1359999999</v>
      </c>
      <c r="I11" s="3801">
        <f t="shared" si="12"/>
        <v>3155697</v>
      </c>
      <c r="J11" s="3801">
        <f t="shared" si="12"/>
        <v>4027718.471506001</v>
      </c>
      <c r="K11" s="3795">
        <f t="shared" si="3"/>
        <v>11342300.523566002</v>
      </c>
      <c r="L11" s="3801">
        <f t="shared" si="12"/>
        <v>3374730</v>
      </c>
      <c r="M11" s="3801">
        <f>M10-M12</f>
        <v>4077519.6999999993</v>
      </c>
      <c r="N11" s="3801">
        <f t="shared" si="12"/>
        <v>5004920</v>
      </c>
      <c r="O11" s="3801">
        <f t="shared" si="12"/>
        <v>4993270.1705882363</v>
      </c>
      <c r="P11" s="3796">
        <f>O11+N11+M11+J11+H11</f>
        <v>21586288.478094235</v>
      </c>
      <c r="Q11" s="3802">
        <f>Q10-Q12</f>
        <v>5406851.7061085254</v>
      </c>
      <c r="R11" s="3803">
        <f t="shared" ref="R11:U11" si="13">R10-R12</f>
        <v>5544000</v>
      </c>
      <c r="S11" s="3534">
        <f t="shared" si="13"/>
        <v>5856000</v>
      </c>
      <c r="T11" s="3534">
        <f t="shared" si="13"/>
        <v>6224000</v>
      </c>
      <c r="U11" s="3534">
        <f t="shared" si="13"/>
        <v>6677000</v>
      </c>
      <c r="V11" s="3631">
        <f t="shared" si="4"/>
        <v>29707851.706108525</v>
      </c>
    </row>
    <row r="12" spans="1:105" s="3804" customFormat="1" ht="31.2">
      <c r="A12" s="3805" t="s">
        <v>101</v>
      </c>
      <c r="B12" s="3806" t="s">
        <v>833</v>
      </c>
      <c r="C12" s="3136">
        <v>2902750</v>
      </c>
      <c r="D12" s="3448">
        <v>3362900</v>
      </c>
      <c r="E12" s="3800">
        <v>3625175</v>
      </c>
      <c r="F12" s="3807">
        <f>(135850+31432+15811+282007+94101+6507+103618+570548+123964+552201+534261+721617)</f>
        <v>3171917</v>
      </c>
      <c r="G12" s="3801">
        <f>'[22]CĐ NSĐP 2021-2025'!$C$12</f>
        <v>3336400</v>
      </c>
      <c r="H12" s="3801">
        <f>(186155+40520+18307+148040+61372+12269+58187+565671+81326+476960+453602+488433)</f>
        <v>2590842</v>
      </c>
      <c r="I12" s="3801">
        <f>'[11]Phụ lục số 1-1'!E12+'[11]Phụ lục số 1-1'!E13+'[11]Phụ lục số 1-1'!E14+'[11]Phụ lục số 1-1'!E18+'[11]Phụ lục số 1-1'!E19+'[11]Phụ lục số 1-1'!E20+'[11]Phụ lục số 1-1'!E24+'[11]Phụ lục số 1-1'!E25+'[11]Phụ lục số 1-1'!E29+'[11]Phụ lục số 1-1'!E30+'[11]Phụ lục số 1-1'!E31+'[11]Phụ lục số 1-1'!E37+'[11]Phụ lục số 1-1'!E38</f>
        <v>2654080</v>
      </c>
      <c r="J12" s="3801">
        <f>[12]thu!$I$12+[12]thu!$I$13+[12]thu!$I$18+[12]thu!$I$19+[12]thu!$I$24+[12]thu!$I$25+[12]thu!$I$29+[12]thu!$I$30+[12]thu!$I$37+[12]thu!$I$38</f>
        <v>2838243.2383099995</v>
      </c>
      <c r="K12" s="3795">
        <f t="shared" si="3"/>
        <v>8601002.2383099999</v>
      </c>
      <c r="L12" s="3801">
        <f>[2]PL1.1!Q12+[2]PL1.1!Q13+[2]PL1.1!Q14+[2]PL1.1!Q18+[2]PL1.1!Q19+[2]PL1.1!Q20+[2]PL1.1!Q24+[2]PL1.1!Q25+[2]PL1.1!Q29+[2]PL1.1!Q30+[2]PL1.1!Q31+[2]PL1.1!Q37+[2]PL1.1!Q38</f>
        <v>3329270</v>
      </c>
      <c r="M12" s="3801">
        <f>[2]PL1.1!W12+[2]PL1.1!W13+[2]PL1.1!W14+[2]PL1.1!W18+[2]PL1.1!W19+[2]PL1.1!W20+[2]PL1.1!W24+[2]PL1.1!W25+[2]PL1.1!W29+[2]PL1.1!W30+[2]PL1.1!W31+[2]PL1.1!W37+[2]PL1.1!W38</f>
        <v>3372880.0999999996</v>
      </c>
      <c r="N12" s="3801">
        <f>[2]PL1.1!AC12+[2]PL1.1!AC13+[2]PL1.1!AC18+[2]PL1.1!AC19+[2]PL1.1!AC24+[2]PL1.1!AC25+[2]PL1.1!AC29+[2]PL1.1!AC30+[2]PL1.1!AC37+[2]PL1.1!AC38</f>
        <v>3480080</v>
      </c>
      <c r="O12" s="3801">
        <f>[2]PL1.1!AI12+[2]PL1.1!AI13+[2]PL1.1!AI18+[2]PL1.1!AI19+[2]PL1.1!AI24+[2]PL1.1!AI25+[2]PL1.1!AI29+[2]PL1.1!AI30+[2]PL1.1!AI37+[2]PL1.1!AI38</f>
        <v>4124000</v>
      </c>
      <c r="P12" s="3796">
        <f>O12+N12+M12+J12+H12</f>
        <v>16406045.33831</v>
      </c>
      <c r="Q12" s="3802">
        <f>[2]PL1.1!AO12+[2]PL1.1!AO13+[2]PL1.1!AO18+[2]PL1.1!AO19+[2]PL1.1!AO24+[2]PL1.1!AO25+[2]PL1.1!AO29+[2]PL1.1!AO30+[2]PL1.1!AO37+[2]PL1.1!AO38</f>
        <v>4507000</v>
      </c>
      <c r="R12" s="3803">
        <f>'[11]Phụ lục số 1-1'!AU12+'[11]Phụ lục số 1-1'!AU13+'[11]Phụ lục số 1-1'!AU14+'[11]Phụ lục số 1-1'!AU18+'[11]Phụ lục số 1-1'!AU19+'[11]Phụ lục số 1-1'!AU24+'[11]Phụ lục số 1-1'!AU25+'[11]Phụ lục số 1-1'!AU29+'[11]Phụ lục số 1-1'!AU30+'[11]Phụ lục số 1-1'!AU37+'[11]Phụ lục số 1-1'!AU38+'[11]Phụ lục số 1-1'!AU31</f>
        <v>5174000</v>
      </c>
      <c r="S12" s="3534">
        <f>'[11]Phụ lục số 1-1'!BA12+'[11]Phụ lục số 1-1'!BA13+'[11]Phụ lục số 1-1'!BA14+'[11]Phụ lục số 1-1'!BA18+'[11]Phụ lục số 1-1'!BA19+'[11]Phụ lục số 1-1'!BA24+'[11]Phụ lục số 1-1'!BA25+'[11]Phụ lục số 1-1'!BA29+'[11]Phụ lục số 1-1'!BA30+'[11]Phụ lục số 1-1'!BA31+'[11]Phụ lục số 1-1'!BA37+'[11]Phụ lục số 1-1'!BA38</f>
        <v>5711000</v>
      </c>
      <c r="T12" s="3534">
        <f>'[11]Phụ lục số 1-1'!BG12+'[11]Phụ lục số 1-1'!BG13+'[11]Phụ lục số 1-1'!BG14+'[11]Phụ lục số 1-1'!BG18+'[11]Phụ lục số 1-1'!BG19+'[11]Phụ lục số 1-1'!BG24+'[11]Phụ lục số 1-1'!BG25+'[11]Phụ lục số 1-1'!BG29+'[11]Phụ lục số 1-1'!BG30+'[11]Phụ lục số 1-1'!BG31+'[11]Phụ lục số 1-1'!BG37+'[11]Phụ lục số 1-1'!BG38</f>
        <v>6298000</v>
      </c>
      <c r="U12" s="3534">
        <f>'[11]Phụ lục số 1-1'!BM12+'[11]Phụ lục số 1-1'!BM13+'[11]Phụ lục số 1-1'!BM14+'[11]Phụ lục số 1-1'!BM18+'[11]Phụ lục số 1-1'!BM19+'[11]Phụ lục số 1-1'!BM24+'[11]Phụ lục số 1-1'!BM25+'[11]Phụ lục số 1-1'!BM29+'[11]Phụ lục số 1-1'!BM30+'[11]Phụ lục số 1-1'!BM31+'[11]Phụ lục số 1-1'!BM37+'[11]Phụ lục số 1-1'!BM38</f>
        <v>6977000</v>
      </c>
      <c r="V12" s="3631">
        <f t="shared" si="4"/>
        <v>28667000</v>
      </c>
    </row>
    <row r="13" spans="1:105" s="3780" customFormat="1">
      <c r="A13" s="3793">
        <v>2</v>
      </c>
      <c r="B13" s="733" t="s">
        <v>834</v>
      </c>
      <c r="C13" s="3110">
        <f t="shared" ref="C13:H13" si="14">SUM(C14:C15)</f>
        <v>6411469</v>
      </c>
      <c r="D13" s="3110">
        <f t="shared" si="14"/>
        <v>7218316</v>
      </c>
      <c r="E13" s="3110">
        <f t="shared" si="14"/>
        <v>6261639</v>
      </c>
      <c r="F13" s="3110">
        <f t="shared" si="14"/>
        <v>6413821</v>
      </c>
      <c r="G13" s="3794">
        <f t="shared" si="14"/>
        <v>6765596</v>
      </c>
      <c r="H13" s="3794">
        <f t="shared" si="14"/>
        <v>6967790</v>
      </c>
      <c r="I13" s="3794">
        <f>SUM(I14:I15)</f>
        <v>8016985</v>
      </c>
      <c r="J13" s="3794">
        <f t="shared" ref="J13:U13" si="15">SUM(J14:J15)</f>
        <v>8016985</v>
      </c>
      <c r="K13" s="3795">
        <f t="shared" si="3"/>
        <v>21398596</v>
      </c>
      <c r="L13" s="3794">
        <f>SUM(L14:L15)</f>
        <v>9084495</v>
      </c>
      <c r="M13" s="3794">
        <f t="shared" si="15"/>
        <v>9084495</v>
      </c>
      <c r="N13" s="3794">
        <f t="shared" si="15"/>
        <v>9126779</v>
      </c>
      <c r="O13" s="3794">
        <f t="shared" si="15"/>
        <v>9714072.5</v>
      </c>
      <c r="P13" s="3808">
        <f>SUM(P14:P15)</f>
        <v>42910121.5</v>
      </c>
      <c r="Q13" s="3797">
        <f t="shared" si="15"/>
        <v>9646988.3000000007</v>
      </c>
      <c r="R13" s="3798">
        <f t="shared" si="15"/>
        <v>9844524</v>
      </c>
      <c r="S13" s="779">
        <f t="shared" si="15"/>
        <v>9844524</v>
      </c>
      <c r="T13" s="779">
        <f t="shared" si="15"/>
        <v>9844524</v>
      </c>
      <c r="U13" s="779">
        <f t="shared" si="15"/>
        <v>9844524</v>
      </c>
      <c r="V13" s="3631">
        <f t="shared" si="4"/>
        <v>49025084.299999997</v>
      </c>
    </row>
    <row r="14" spans="1:105" s="3804" customFormat="1">
      <c r="A14" s="3799" t="s">
        <v>99</v>
      </c>
      <c r="B14" s="734" t="s">
        <v>835</v>
      </c>
      <c r="C14" s="3132">
        <f>'[11]Thu NSNN 2021-2030'!W153</f>
        <v>4987479</v>
      </c>
      <c r="D14" s="3132">
        <f>'[11]Thu NSNN 2021-2030'!X153</f>
        <v>4987479</v>
      </c>
      <c r="E14" s="3132">
        <v>4787126</v>
      </c>
      <c r="F14" s="3132">
        <f>'[11]Thu NSNN 2021-2030'!Z153</f>
        <v>4910076</v>
      </c>
      <c r="G14" s="3801">
        <f>'[22]CĐ NSĐP 2021-2025'!$C$14</f>
        <v>4883126</v>
      </c>
      <c r="H14" s="3801">
        <f>'[11]Thu NSNN 2021-2030'!AF153</f>
        <v>5085320</v>
      </c>
      <c r="I14" s="3801">
        <f>'[2]PL-TổngThu21-25'!AG32</f>
        <v>6803512</v>
      </c>
      <c r="J14" s="3801">
        <f>'[11]Phụ lục số 1-1'!H53</f>
        <v>6803512</v>
      </c>
      <c r="K14" s="3795">
        <f t="shared" si="3"/>
        <v>16798908</v>
      </c>
      <c r="L14" s="3801">
        <f>'[2]PL-TổngThu21-25'!AO32</f>
        <v>6487488</v>
      </c>
      <c r="M14" s="3801">
        <f>'[2]PL-TổngThu21-25'!AP32</f>
        <v>6487488</v>
      </c>
      <c r="N14" s="3801">
        <f>[2]PL1.1!AC53</f>
        <v>6487488</v>
      </c>
      <c r="O14" s="3801">
        <f>[2]PL1.1!AI53</f>
        <v>6617188</v>
      </c>
      <c r="P14" s="3796">
        <f>O14+N14+M14+J14+H14</f>
        <v>31480996</v>
      </c>
      <c r="Q14" s="3802">
        <f>[2]PL1.1!AO53</f>
        <v>6617188</v>
      </c>
      <c r="R14" s="3803">
        <f>'[11]Phụ lục số 1-1'!AR53</f>
        <v>6487488</v>
      </c>
      <c r="S14" s="3534">
        <f>'[11]Phụ lục số 1-1'!AX53</f>
        <v>6487488</v>
      </c>
      <c r="T14" s="3809">
        <f>'[11]Phụ lục số 1-1'!BD53</f>
        <v>6487488</v>
      </c>
      <c r="U14" s="3534">
        <f>'[11]Phụ lục số 1-1'!BJ53</f>
        <v>6487488</v>
      </c>
      <c r="V14" s="3631">
        <f t="shared" si="4"/>
        <v>32567140</v>
      </c>
    </row>
    <row r="15" spans="1:105" s="3804" customFormat="1">
      <c r="A15" s="3799" t="s">
        <v>101</v>
      </c>
      <c r="B15" s="734" t="s">
        <v>207</v>
      </c>
      <c r="C15" s="3132">
        <f>'[11]Thu NSNN 2021-2030'!W156-87254</f>
        <v>1423990</v>
      </c>
      <c r="D15" s="3132">
        <f>'[11]Thu NSNN 2021-2030'!X156-8725</f>
        <v>2230837</v>
      </c>
      <c r="E15" s="3132">
        <v>1474513</v>
      </c>
      <c r="F15" s="3132">
        <f>'[11]Thu NSNN 2021-2030'!Z156-257157</f>
        <v>1503745</v>
      </c>
      <c r="G15" s="3801">
        <f>SUM(G16:G18)</f>
        <v>1882470</v>
      </c>
      <c r="H15" s="3801">
        <f>SUM(H16:H18)</f>
        <v>1882470</v>
      </c>
      <c r="I15" s="3801">
        <f>SUM(I16:I18)</f>
        <v>1213473</v>
      </c>
      <c r="J15" s="3801">
        <f>SUM(J16:J18)</f>
        <v>1213473</v>
      </c>
      <c r="K15" s="3795">
        <f t="shared" si="3"/>
        <v>4599688</v>
      </c>
      <c r="L15" s="3801">
        <f>SUM(L16:L18)</f>
        <v>2597007</v>
      </c>
      <c r="M15" s="3801">
        <f t="shared" ref="M15:Q15" si="16">SUM(M16:M18)</f>
        <v>2597007</v>
      </c>
      <c r="N15" s="3801">
        <f t="shared" si="16"/>
        <v>2639291</v>
      </c>
      <c r="O15" s="3801">
        <f t="shared" si="16"/>
        <v>3096884.5</v>
      </c>
      <c r="P15" s="3801">
        <f t="shared" si="16"/>
        <v>11429125.5</v>
      </c>
      <c r="Q15" s="3802">
        <f t="shared" si="16"/>
        <v>3029800.3</v>
      </c>
      <c r="R15" s="3803">
        <f>'[11]Phụ lục số 1-1'!AR54</f>
        <v>3357036</v>
      </c>
      <c r="S15" s="3534">
        <f>'[11]Phụ lục số 1-1'!AX54</f>
        <v>3357036</v>
      </c>
      <c r="T15" s="3534">
        <f>'[11]Phụ lục số 1-1'!BD54</f>
        <v>3357036</v>
      </c>
      <c r="U15" s="3534">
        <f>'[11]Phụ lục số 1-1'!BJ54</f>
        <v>3357036</v>
      </c>
      <c r="V15" s="3631">
        <f t="shared" si="4"/>
        <v>16457944.300000001</v>
      </c>
    </row>
    <row r="16" spans="1:105" s="3804" customFormat="1" ht="18">
      <c r="A16" s="3810">
        <v>1</v>
      </c>
      <c r="B16" s="44" t="s">
        <v>2147</v>
      </c>
      <c r="C16" s="3132"/>
      <c r="D16" s="3132"/>
      <c r="E16" s="3132"/>
      <c r="F16" s="3132"/>
      <c r="G16" s="3801">
        <f>'[2]PL-TổngThu21-25'!AE34</f>
        <v>1263824</v>
      </c>
      <c r="H16" s="3801">
        <f>G16</f>
        <v>1263824</v>
      </c>
      <c r="I16" s="3801">
        <f>'[2]PL-TổngThu21-25'!AG34</f>
        <v>1127000</v>
      </c>
      <c r="J16" s="3801">
        <f>I16</f>
        <v>1127000</v>
      </c>
      <c r="K16" s="3795"/>
      <c r="L16" s="3801">
        <f>'[2]PL-TổngThu21-25'!AO34</f>
        <v>2417971</v>
      </c>
      <c r="M16" s="3801">
        <f>L16</f>
        <v>2417971</v>
      </c>
      <c r="N16" s="3801">
        <f>[2]PL1.1!AC55</f>
        <v>1814491</v>
      </c>
      <c r="O16" s="3801">
        <f>[2]PL1.1!AI55</f>
        <v>2205000</v>
      </c>
      <c r="P16" s="3796">
        <f>O16+N16+M16+J16+H16</f>
        <v>8828286</v>
      </c>
      <c r="Q16" s="3802">
        <f>[2]PL1.1!AO55</f>
        <v>2205000</v>
      </c>
      <c r="R16" s="3803"/>
      <c r="S16" s="3534"/>
      <c r="T16" s="3534"/>
      <c r="U16" s="3534"/>
      <c r="V16" s="3631"/>
    </row>
    <row r="17" spans="1:24" s="3804" customFormat="1" ht="18">
      <c r="A17" s="3810">
        <v>2</v>
      </c>
      <c r="B17" s="44" t="s">
        <v>2148</v>
      </c>
      <c r="C17" s="3132"/>
      <c r="D17" s="3132"/>
      <c r="E17" s="3132"/>
      <c r="F17" s="3132"/>
      <c r="G17" s="3801">
        <f>'[2]PL-TổngThu21-25'!AE35</f>
        <v>416452</v>
      </c>
      <c r="H17" s="3801">
        <f>G17</f>
        <v>416452</v>
      </c>
      <c r="I17" s="3801">
        <f>'[2]PL-TổngThu21-25'!AG35</f>
        <v>86473</v>
      </c>
      <c r="J17" s="3801">
        <f>I17</f>
        <v>86473</v>
      </c>
      <c r="K17" s="3795"/>
      <c r="L17" s="3801">
        <f>'[2]PL-TổngThu21-25'!AO35</f>
        <v>179036</v>
      </c>
      <c r="M17" s="3801">
        <f>L17</f>
        <v>179036</v>
      </c>
      <c r="N17" s="3801">
        <f>[2]PL1.1!AC56</f>
        <v>174485</v>
      </c>
      <c r="O17" s="3801">
        <f>[2]PL1.1!AF56</f>
        <v>174485.3</v>
      </c>
      <c r="P17" s="3796">
        <f>O17+N17+M17+J17+H17</f>
        <v>1030931.3</v>
      </c>
      <c r="Q17" s="3802">
        <f>[2]PL1.1!AO56</f>
        <v>174485.3</v>
      </c>
      <c r="R17" s="3803"/>
      <c r="S17" s="3534"/>
      <c r="T17" s="3534"/>
      <c r="U17" s="3534"/>
      <c r="V17" s="3631"/>
    </row>
    <row r="18" spans="1:24" s="3804" customFormat="1" ht="18">
      <c r="A18" s="3810">
        <v>3</v>
      </c>
      <c r="B18" s="44" t="s">
        <v>2149</v>
      </c>
      <c r="C18" s="3132"/>
      <c r="D18" s="3132"/>
      <c r="E18" s="3132"/>
      <c r="F18" s="3132"/>
      <c r="G18" s="3801">
        <f>'[2]PL-TổngThu21-25'!AE36</f>
        <v>202194</v>
      </c>
      <c r="H18" s="3801">
        <f>G18</f>
        <v>202194</v>
      </c>
      <c r="I18" s="3801">
        <f>'[2]PL-TổngThu21-25'!AG36</f>
        <v>0</v>
      </c>
      <c r="J18" s="3801">
        <f>I18</f>
        <v>0</v>
      </c>
      <c r="K18" s="3795"/>
      <c r="L18" s="3801">
        <f>'[2]PL-TổngThu21-25'!AO36</f>
        <v>0</v>
      </c>
      <c r="M18" s="3801">
        <f>L18</f>
        <v>0</v>
      </c>
      <c r="N18" s="3801">
        <f>[2]PL1.1!AC57</f>
        <v>650315</v>
      </c>
      <c r="O18" s="3801">
        <f>[2]PL1.1!AF58</f>
        <v>717399.2</v>
      </c>
      <c r="P18" s="3796">
        <f t="shared" ref="P18:P20" si="17">O18+N18+M18+J18+H18</f>
        <v>1569908.2</v>
      </c>
      <c r="Q18" s="3802">
        <f>[2]PL1.1!AO57</f>
        <v>650315</v>
      </c>
      <c r="R18" s="3803"/>
      <c r="S18" s="3534"/>
      <c r="T18" s="3534"/>
      <c r="U18" s="3534"/>
      <c r="V18" s="3631"/>
    </row>
    <row r="19" spans="1:24" s="3787" customFormat="1" ht="31.2">
      <c r="A19" s="3781">
        <v>3</v>
      </c>
      <c r="B19" s="2855" t="s">
        <v>836</v>
      </c>
      <c r="C19" s="39">
        <f>'[11]Thu NSNN 2021-2030'!W157</f>
        <v>353947</v>
      </c>
      <c r="D19" s="732"/>
      <c r="E19" s="3811">
        <v>425294</v>
      </c>
      <c r="F19" s="732"/>
      <c r="G19" s="3782">
        <f>'[2]PL-TổngThu21-25'!AE37</f>
        <v>816873</v>
      </c>
      <c r="H19" s="3782">
        <f>'[2]PL-TổngThu21-25'!AF37</f>
        <v>816873</v>
      </c>
      <c r="I19" s="3782">
        <f>'[2]PL-TổngThu21-25'!AG37</f>
        <v>179391</v>
      </c>
      <c r="J19" s="3782">
        <f>I19</f>
        <v>179391</v>
      </c>
      <c r="K19" s="3783">
        <f t="shared" si="3"/>
        <v>996264</v>
      </c>
      <c r="L19" s="3782">
        <f>'[2]PL-TổngThu21-25'!AO37</f>
        <v>0</v>
      </c>
      <c r="M19" s="3782">
        <f>'[2]PL-TổngThu21-25'!AP37</f>
        <v>431000</v>
      </c>
      <c r="N19" s="3782">
        <f>[2]PL1.1!AC58</f>
        <v>886000</v>
      </c>
      <c r="O19" s="3782">
        <f>[2]PL1.1!AF58</f>
        <v>717399.2</v>
      </c>
      <c r="P19" s="3784">
        <f t="shared" si="17"/>
        <v>3030663.2</v>
      </c>
      <c r="Q19" s="3785">
        <f>[2]PL1.1!AO58</f>
        <v>882854.2423493322</v>
      </c>
      <c r="R19" s="3786" t="e">
        <f>'[11]Phụ lục số 1-1'!AR57</f>
        <v>#REF!</v>
      </c>
      <c r="S19" s="185" t="e">
        <f>'[11]Phụ lục số 1-1'!AX57</f>
        <v>#REF!</v>
      </c>
      <c r="T19" s="185" t="e">
        <f>'[11]Phụ lục số 1-1'!BD57</f>
        <v>#REF!</v>
      </c>
      <c r="U19" s="185" t="e">
        <f>'[11]Phụ lục số 1-1'!BJ57</f>
        <v>#REF!</v>
      </c>
      <c r="V19" s="3627" t="e">
        <f t="shared" si="4"/>
        <v>#REF!</v>
      </c>
    </row>
    <row r="20" spans="1:24" s="3787" customFormat="1" ht="31.2">
      <c r="A20" s="3781" t="s">
        <v>33</v>
      </c>
      <c r="B20" s="735" t="s">
        <v>47</v>
      </c>
      <c r="C20" s="3093">
        <f>'[11]Thu NSNN 2021-2030'!W158</f>
        <v>15000</v>
      </c>
      <c r="D20" s="3093">
        <f>'[11]Thu NSNN 2021-2030'!X158</f>
        <v>6000</v>
      </c>
      <c r="E20" s="3093">
        <f>'[11]Thu NSNN 2021-2030'!Y158</f>
        <v>30900</v>
      </c>
      <c r="F20" s="3093">
        <f>'[11]Thu NSNN 2021-2030'!Z158</f>
        <v>20568</v>
      </c>
      <c r="G20" s="3473">
        <f>'[2]PL-TổngThu21-25'!AE38</f>
        <v>61200</v>
      </c>
      <c r="H20" s="3473">
        <f>'[2]PL-TổngThu21-25'!AF38</f>
        <v>61200</v>
      </c>
      <c r="I20" s="3473">
        <f>'[2]PL-TổngThu21-25'!AG38</f>
        <v>48300</v>
      </c>
      <c r="J20" s="3473">
        <f>'[2]PL-TổngThu21-25'!AH38</f>
        <v>48300</v>
      </c>
      <c r="K20" s="3774">
        <f t="shared" si="3"/>
        <v>130068</v>
      </c>
      <c r="L20" s="3782">
        <f>'[2]PL-TổngThu21-25'!AO38</f>
        <v>31500</v>
      </c>
      <c r="M20" s="3782">
        <f>'[2]PL-TổngThu21-25'!AP38</f>
        <v>31500</v>
      </c>
      <c r="N20" s="3782">
        <f>[2]PL1.1!AC59</f>
        <v>0</v>
      </c>
      <c r="O20" s="3782">
        <f>[2]PL1.1!AF59</f>
        <v>0</v>
      </c>
      <c r="P20" s="3784">
        <f t="shared" si="17"/>
        <v>141000</v>
      </c>
      <c r="Q20" s="3785">
        <f>[2]PL1.1!AO59</f>
        <v>0</v>
      </c>
      <c r="R20" s="3786">
        <f>'[11]Phụ lục số 1-1'!AR58</f>
        <v>0</v>
      </c>
      <c r="S20" s="185">
        <f>'[11]Phụ lục số 1-1'!AX58</f>
        <v>0</v>
      </c>
      <c r="T20" s="185">
        <f>'[11]Phụ lục số 1-1'!BD58</f>
        <v>0</v>
      </c>
      <c r="U20" s="185">
        <f>'[11]Phụ lục số 1-1'!BJ58</f>
        <v>0</v>
      </c>
      <c r="V20" s="3627">
        <f t="shared" si="4"/>
        <v>0</v>
      </c>
    </row>
    <row r="21" spans="1:24" s="3792" customFormat="1">
      <c r="A21" s="3788" t="s">
        <v>44</v>
      </c>
      <c r="B21" s="731" t="s">
        <v>837</v>
      </c>
      <c r="C21" s="3149">
        <f t="shared" ref="C21:J21" si="18">+C22+C31+C35</f>
        <v>12334250</v>
      </c>
      <c r="D21" s="3149" t="e">
        <f t="shared" si="18"/>
        <v>#REF!</v>
      </c>
      <c r="E21" s="3149">
        <f t="shared" si="18"/>
        <v>13693690</v>
      </c>
      <c r="F21" s="3149" t="e">
        <f t="shared" si="18"/>
        <v>#REF!</v>
      </c>
      <c r="G21" s="3789">
        <f t="shared" si="18"/>
        <v>14124109</v>
      </c>
      <c r="H21" s="3789">
        <f t="shared" si="18"/>
        <v>15525891</v>
      </c>
      <c r="I21" s="3789">
        <f t="shared" si="18"/>
        <v>14054453</v>
      </c>
      <c r="J21" s="3789">
        <f t="shared" si="18"/>
        <v>16064574.880484</v>
      </c>
      <c r="K21" s="3774" t="e">
        <f t="shared" si="3"/>
        <v>#REF!</v>
      </c>
      <c r="L21" s="3789">
        <f>SUM(L22,L31:L31,L35)</f>
        <v>15819995</v>
      </c>
      <c r="M21" s="3789">
        <f>SUM(M22,M31:M31,M35)</f>
        <v>17291694.066666666</v>
      </c>
      <c r="N21" s="3789">
        <f>SUM(N22,N31:N31,N35)</f>
        <v>18567408.915999997</v>
      </c>
      <c r="O21" s="3789">
        <f>SUM(O22+O31+O35)</f>
        <v>19420339.542349335</v>
      </c>
      <c r="P21" s="3775">
        <f>O21+N21+M21+J21+H21</f>
        <v>86869908.405499995</v>
      </c>
      <c r="Q21" s="3790">
        <f>SUM(Q22+Q31+Q35)</f>
        <v>20380715.503054265</v>
      </c>
      <c r="R21" s="3812">
        <f>SUM(R22+R31+R35)</f>
        <v>20562524.468752064</v>
      </c>
      <c r="S21" s="3813">
        <f>SUM(S22+S31+S35)</f>
        <v>21411524.287721697</v>
      </c>
      <c r="T21" s="3813">
        <f>SUM(T22+T31+T35)</f>
        <v>22366524.227051318</v>
      </c>
      <c r="U21" s="3813">
        <f>SUM(U22+U31+U35)</f>
        <v>23498523.513003781</v>
      </c>
      <c r="V21" s="3621">
        <f t="shared" si="4"/>
        <v>108219811.99958313</v>
      </c>
    </row>
    <row r="22" spans="1:24" s="3787" customFormat="1">
      <c r="A22" s="3781" t="s">
        <v>3</v>
      </c>
      <c r="B22" s="730" t="s">
        <v>142</v>
      </c>
      <c r="C22" s="3101">
        <f t="shared" ref="C22:J22" si="19">SUM(C23:C30)</f>
        <v>10895260</v>
      </c>
      <c r="D22" s="3101" t="e">
        <f t="shared" si="19"/>
        <v>#REF!</v>
      </c>
      <c r="E22" s="3101">
        <f t="shared" si="19"/>
        <v>12188277</v>
      </c>
      <c r="F22" s="3101" t="e">
        <f t="shared" si="19"/>
        <v>#REF!</v>
      </c>
      <c r="G22" s="3782">
        <f t="shared" si="19"/>
        <v>12692115</v>
      </c>
      <c r="H22" s="3782">
        <f t="shared" si="19"/>
        <v>14076644</v>
      </c>
      <c r="I22" s="3782">
        <f t="shared" si="19"/>
        <v>12792680</v>
      </c>
      <c r="J22" s="3782">
        <f t="shared" si="19"/>
        <v>14484679.802034</v>
      </c>
      <c r="K22" s="3783" t="e">
        <f t="shared" si="3"/>
        <v>#REF!</v>
      </c>
      <c r="L22" s="3782">
        <f>SUM(L23:L30)</f>
        <v>13191488</v>
      </c>
      <c r="M22" s="3782">
        <f>SUM(M23:M30)</f>
        <v>14663187.066666666</v>
      </c>
      <c r="N22" s="3782">
        <f>SUM(N23:N30)</f>
        <v>16578432.915999997</v>
      </c>
      <c r="O22" s="3782">
        <f>SUM(O23:O30)</f>
        <v>17040854.242349334</v>
      </c>
      <c r="P22" s="3784">
        <f>O22+N22+M22+J22+H22</f>
        <v>76843798.027049989</v>
      </c>
      <c r="Q22" s="3785">
        <f>SUM(Q23:Q30)</f>
        <v>18001230.203054264</v>
      </c>
      <c r="R22" s="3814">
        <f>SUM(R23:R30)</f>
        <v>17205488.468752064</v>
      </c>
      <c r="S22" s="3815">
        <f>SUM(S23:S30)</f>
        <v>18054488.287721697</v>
      </c>
      <c r="T22" s="3815">
        <f>SUM(T23:T30)</f>
        <v>19009488.227051318</v>
      </c>
      <c r="U22" s="3815">
        <f>SUM(U23:U30)</f>
        <v>20141487.513003781</v>
      </c>
      <c r="V22" s="3627">
        <f t="shared" si="4"/>
        <v>92412182.699583128</v>
      </c>
    </row>
    <row r="23" spans="1:24" s="3780" customFormat="1">
      <c r="A23" s="3793">
        <v>1</v>
      </c>
      <c r="B23" s="733" t="s">
        <v>208</v>
      </c>
      <c r="C23" s="37">
        <f>'[11]Chi NSĐP 2021-2030'!O11</f>
        <v>2866350</v>
      </c>
      <c r="D23" s="37">
        <f>'[11]Chi NSĐP 2021-2030'!P11</f>
        <v>2582125.2288760003</v>
      </c>
      <c r="E23" s="37">
        <v>3191485</v>
      </c>
      <c r="F23" s="37">
        <f>'[11]Chi NSĐP 2021-2030'!R11</f>
        <v>4460541</v>
      </c>
      <c r="G23" s="3794">
        <f>'[2]PL-TổngChi21-25'!X11</f>
        <v>3381485</v>
      </c>
      <c r="H23" s="3794">
        <f>'[2]PL-TổngChi21-25'!Y11</f>
        <v>4460541</v>
      </c>
      <c r="I23" s="3794">
        <f>'[2]PL-TổngChi21-25'!Z11</f>
        <v>3374957</v>
      </c>
      <c r="J23" s="3794">
        <f>'[12]Chi (HĐND)'!$F$13+'[12]Chi (HĐND)'!$F$19</f>
        <v>5399002.1306710001</v>
      </c>
      <c r="K23" s="3795">
        <f t="shared" si="3"/>
        <v>14320084.130671</v>
      </c>
      <c r="L23" s="3794">
        <f>[2]PL2.1!K9</f>
        <v>3561000</v>
      </c>
      <c r="M23" s="3794">
        <f>[2]PL2.1!P9</f>
        <v>4091000</v>
      </c>
      <c r="N23" s="3794">
        <f>[2]PL2.1!U9</f>
        <v>4863186.4089698764</v>
      </c>
      <c r="O23" s="3794">
        <f>[2]PL2.1!Z9</f>
        <v>4735000</v>
      </c>
      <c r="P23" s="3796">
        <f t="shared" ref="P23:P34" si="20">O23+N23+M23+J23+H23</f>
        <v>23548729.539640874</v>
      </c>
      <c r="Q23" s="3797">
        <f>[2]PL2.1!AE9</f>
        <v>5025000</v>
      </c>
      <c r="R23" s="3798">
        <f>'[11]Phụ lục số 2-1'!AJ9</f>
        <v>5099330.4687520657</v>
      </c>
      <c r="S23" s="779">
        <f>'[11]Phụ lục số 2-1'!AO9</f>
        <v>5267830.2877216972</v>
      </c>
      <c r="T23" s="779">
        <f>'[11]Phụ lục số 2-1'!AT9</f>
        <v>5407402.2270513177</v>
      </c>
      <c r="U23" s="779">
        <f>'[11]Phụ lục số 2-1'!AY9</f>
        <v>5601293.4130037781</v>
      </c>
      <c r="V23" s="3631">
        <f t="shared" si="4"/>
        <v>26400856.396528862</v>
      </c>
      <c r="W23" s="3608">
        <f>U23/U22</f>
        <v>0.27809730584136161</v>
      </c>
      <c r="X23" s="3608">
        <f>V23/V22</f>
        <v>0.2856858871340992</v>
      </c>
    </row>
    <row r="24" spans="1:24" s="3780" customFormat="1">
      <c r="A24" s="3793">
        <v>2</v>
      </c>
      <c r="B24" s="733" t="s">
        <v>209</v>
      </c>
      <c r="C24" s="37">
        <f>'[11]Chi NSĐP 2021-2030'!O16</f>
        <v>7613338</v>
      </c>
      <c r="D24" s="37">
        <f>'[11]Chi NSĐP 2021-2030'!P16</f>
        <v>8394673</v>
      </c>
      <c r="E24" s="37">
        <v>8380843</v>
      </c>
      <c r="F24" s="37">
        <f>'[11]Chi NSĐP 2021-2030'!R16</f>
        <v>8639182</v>
      </c>
      <c r="G24" s="3794">
        <f>'[2]PL-TổngChi21-25'!X16</f>
        <v>8465821</v>
      </c>
      <c r="H24" s="3794">
        <f>'[2]PL-TổngChi21-25'!Y16</f>
        <v>9613280</v>
      </c>
      <c r="I24" s="3794">
        <f>'[2]PL-TổngChi21-25'!Z16</f>
        <v>9140657</v>
      </c>
      <c r="J24" s="3794">
        <f>'[12]Chi (HĐND)'!$F$23</f>
        <v>9081902.7744820006</v>
      </c>
      <c r="K24" s="3795">
        <f t="shared" si="3"/>
        <v>27334364.774482001</v>
      </c>
      <c r="L24" s="3794">
        <f>[2]PL2.1!K14</f>
        <v>9353865</v>
      </c>
      <c r="M24" s="3794">
        <f>[2]PL2.1!P14</f>
        <v>9353865</v>
      </c>
      <c r="N24" s="3794">
        <f>[2]PL2.1!U14</f>
        <v>10664978.394711081</v>
      </c>
      <c r="O24" s="3794">
        <f>[2]PL2.1!Z14</f>
        <v>11071000</v>
      </c>
      <c r="P24" s="3796">
        <f t="shared" si="20"/>
        <v>49785026.169193082</v>
      </c>
      <c r="Q24" s="3797">
        <f>[2]PL2.1!AE14</f>
        <v>11373000</v>
      </c>
      <c r="R24" s="3798">
        <f>'[11]Phụ lục số 2-1'!AJ14</f>
        <v>10464000</v>
      </c>
      <c r="S24" s="779">
        <f>'[11]Phụ lục số 2-1'!AO14</f>
        <v>10767000</v>
      </c>
      <c r="T24" s="779">
        <f>'[11]Phụ lục số 2-1'!AT14</f>
        <v>11101000</v>
      </c>
      <c r="U24" s="779">
        <f>'[11]Phụ lục số 2-1'!AY14</f>
        <v>11476000</v>
      </c>
      <c r="V24" s="3631">
        <f t="shared" si="4"/>
        <v>55181000</v>
      </c>
      <c r="W24" s="3608">
        <f>U24/U22</f>
        <v>0.56976923837382143</v>
      </c>
      <c r="X24" s="3608">
        <f>V24/V22</f>
        <v>0.59711824121051649</v>
      </c>
    </row>
    <row r="25" spans="1:24" s="3780" customFormat="1">
      <c r="A25" s="3793">
        <v>3</v>
      </c>
      <c r="B25" s="733" t="s">
        <v>838</v>
      </c>
      <c r="C25" s="37">
        <f>'[11]Chi NSĐP 2021-2030'!O30</f>
        <v>2000</v>
      </c>
      <c r="D25" s="37">
        <f>'[11]Chi NSĐP 2021-2030'!P30</f>
        <v>2000</v>
      </c>
      <c r="E25" s="37">
        <v>2000</v>
      </c>
      <c r="F25" s="37">
        <f>'[11]Chi NSĐP 2021-2030'!R30</f>
        <v>2000</v>
      </c>
      <c r="G25" s="3794">
        <f>'[2]PL-TổngChi21-25'!X30</f>
        <v>2000</v>
      </c>
      <c r="H25" s="3794">
        <f>'[2]PL-TổngChi21-25'!Y30</f>
        <v>2000</v>
      </c>
      <c r="I25" s="3794">
        <f>'[2]PL-TổngChi21-25'!Z30</f>
        <v>2000</v>
      </c>
      <c r="J25" s="3794">
        <f>'[12]Chi (HĐND)'!$F$48</f>
        <v>2000</v>
      </c>
      <c r="K25" s="3795">
        <f t="shared" si="3"/>
        <v>6000</v>
      </c>
      <c r="L25" s="3794">
        <f>[2]PL2.1!K28</f>
        <v>2000</v>
      </c>
      <c r="M25" s="3794">
        <f>[2]PL2.1!P28</f>
        <v>2000</v>
      </c>
      <c r="N25" s="3794">
        <f>[2]PL2.1!U28</f>
        <v>2000</v>
      </c>
      <c r="O25" s="3794">
        <f>[2]PL2.1!Z28</f>
        <v>2000</v>
      </c>
      <c r="P25" s="3796">
        <f t="shared" si="20"/>
        <v>10000</v>
      </c>
      <c r="Q25" s="3797">
        <f>[2]PL2.1!AE28</f>
        <v>2000</v>
      </c>
      <c r="R25" s="3798">
        <f>'[11]Phụ lục số 2-1'!AJ28</f>
        <v>2000</v>
      </c>
      <c r="S25" s="779">
        <f>'[11]Phụ lục số 2-1'!AO28</f>
        <v>2000</v>
      </c>
      <c r="T25" s="779">
        <f>'[11]Phụ lục số 2-1'!AT28</f>
        <v>2000</v>
      </c>
      <c r="U25" s="779">
        <f>'[11]Phụ lục số 2-1'!AY28</f>
        <v>2000</v>
      </c>
      <c r="V25" s="3631">
        <f t="shared" si="4"/>
        <v>10000</v>
      </c>
    </row>
    <row r="26" spans="1:24" s="3780" customFormat="1">
      <c r="A26" s="3793">
        <v>4</v>
      </c>
      <c r="B26" s="733" t="s">
        <v>175</v>
      </c>
      <c r="C26" s="37">
        <f>'[11]Chi NSĐP 2021-2030'!O31</f>
        <v>209077</v>
      </c>
      <c r="D26" s="828"/>
      <c r="E26" s="37">
        <v>233960</v>
      </c>
      <c r="F26" s="37">
        <f>'[11]Chi NSĐP 2021-2030'!R31</f>
        <v>0</v>
      </c>
      <c r="G26" s="3794">
        <f>'[2]PL-TổngChi21-25'!X31</f>
        <v>233960</v>
      </c>
      <c r="H26" s="3794">
        <f>'[2]PL-TổngChi21-25'!AA31</f>
        <v>0</v>
      </c>
      <c r="I26" s="3794">
        <f>'[2]PL-TổngChi21-25'!Z31</f>
        <v>273066</v>
      </c>
      <c r="J26" s="3794">
        <f>'[11]Chi NSĐP 2021-2030'!Z31</f>
        <v>0</v>
      </c>
      <c r="K26" s="3795">
        <f t="shared" si="3"/>
        <v>0</v>
      </c>
      <c r="L26" s="3794">
        <f>[2]PL2.1!K29</f>
        <v>274623</v>
      </c>
      <c r="M26" s="3794">
        <f>[2]PL2.1!P29</f>
        <v>274623</v>
      </c>
      <c r="N26" s="3794">
        <f>[2]PL2.1!U29</f>
        <v>327868.91231904214</v>
      </c>
      <c r="O26" s="3794">
        <f>[2]PL2.1!Z29</f>
        <v>347000</v>
      </c>
      <c r="P26" s="3796">
        <f t="shared" si="20"/>
        <v>949491.91231904214</v>
      </c>
      <c r="Q26" s="3797">
        <f>[2]PL2.1!AE29</f>
        <v>361000</v>
      </c>
      <c r="R26" s="3798">
        <f>'[11]Phụ lục số 2-1'!AJ29</f>
        <v>309000</v>
      </c>
      <c r="S26" s="779">
        <f>'[11]Phụ lục số 2-1'!AO29</f>
        <v>317000</v>
      </c>
      <c r="T26" s="779">
        <f>'[11]Phụ lục số 2-1'!AT29</f>
        <v>327000</v>
      </c>
      <c r="U26" s="779">
        <f>'[11]Phụ lục số 2-1'!AY29</f>
        <v>338000</v>
      </c>
      <c r="V26" s="3631">
        <f t="shared" si="4"/>
        <v>1652000</v>
      </c>
      <c r="W26" s="3608">
        <f>O24/O22</f>
        <v>0.64967400357704708</v>
      </c>
    </row>
    <row r="27" spans="1:24" s="3780" customFormat="1">
      <c r="A27" s="3793">
        <v>6</v>
      </c>
      <c r="B27" s="39" t="s">
        <v>210</v>
      </c>
      <c r="C27" s="37">
        <f>'[11]Chi NSĐP 2021-2030'!O32</f>
        <v>204195</v>
      </c>
      <c r="D27" s="37" t="e">
        <f>'[11]Chi NSĐP 2021-2030'!P32</f>
        <v>#REF!</v>
      </c>
      <c r="E27" s="37">
        <v>378989</v>
      </c>
      <c r="F27" s="37" t="e">
        <f>'[11]Chi NSĐP 2021-2030'!R32</f>
        <v>#REF!</v>
      </c>
      <c r="G27" s="3794">
        <f>'[2]PL-TổngChi21-25'!X32</f>
        <v>606749</v>
      </c>
      <c r="H27" s="3794">
        <f>'[2]PL-TổngChi21-25'!Y32</f>
        <v>0</v>
      </c>
      <c r="I27" s="3794">
        <f>'[2]PL-TổngChi21-25'!Z32</f>
        <v>0</v>
      </c>
      <c r="J27" s="3794">
        <f>'[11]Chi NSĐP 2021-2030'!AE32</f>
        <v>0</v>
      </c>
      <c r="K27" s="3795" t="e">
        <f t="shared" si="3"/>
        <v>#REF!</v>
      </c>
      <c r="L27" s="3794">
        <f>[2]PL2.1!K30</f>
        <v>0</v>
      </c>
      <c r="M27" s="3794">
        <f>[2]PL2.1!P30</f>
        <v>431000</v>
      </c>
      <c r="N27" s="3794">
        <f>[2]PL2.1!U30</f>
        <v>0</v>
      </c>
      <c r="O27" s="3794">
        <f>[2]PL2.1!Z30</f>
        <v>0</v>
      </c>
      <c r="P27" s="3796">
        <f t="shared" si="20"/>
        <v>431000</v>
      </c>
      <c r="Q27" s="3797">
        <f>[2]PL2.1!AE30</f>
        <v>0</v>
      </c>
      <c r="R27" s="3798">
        <f>'[11]Phụ lục số 2-1'!AJ30</f>
        <v>1331158</v>
      </c>
      <c r="S27" s="779">
        <f>'[11]Phụ lục số 2-1'!AO30</f>
        <v>1700658</v>
      </c>
      <c r="T27" s="779">
        <f>'[11]Phụ lục số 2-1'!AT30</f>
        <v>2172086</v>
      </c>
      <c r="U27" s="779">
        <f>'[11]Phụ lục số 2-1'!AY30</f>
        <v>2724194.1</v>
      </c>
      <c r="V27" s="3631">
        <f t="shared" si="4"/>
        <v>7928096.0999999996</v>
      </c>
    </row>
    <row r="28" spans="1:24" s="3780" customFormat="1">
      <c r="A28" s="3793">
        <v>7</v>
      </c>
      <c r="B28" s="39" t="s">
        <v>741</v>
      </c>
      <c r="C28" s="828"/>
      <c r="D28" s="828"/>
      <c r="E28" s="828"/>
      <c r="F28" s="828"/>
      <c r="G28" s="3794">
        <f>'[2]PL-TổngChi21-25'!X33</f>
        <v>0</v>
      </c>
      <c r="H28" s="3794">
        <f>'[2]PL-TổngChi21-25'!Y33</f>
        <v>0</v>
      </c>
      <c r="I28" s="3794">
        <f>'[2]PL-TổngChi21-25'!Z33</f>
        <v>0</v>
      </c>
      <c r="J28" s="3794"/>
      <c r="K28" s="3795">
        <f t="shared" si="3"/>
        <v>0</v>
      </c>
      <c r="L28" s="3794">
        <f>[2]PL2.1!K31</f>
        <v>0</v>
      </c>
      <c r="M28" s="3794">
        <f>[2]PL2.1!P31</f>
        <v>357489.34666666656</v>
      </c>
      <c r="N28" s="3794">
        <f>[2]PL2.1!U31</f>
        <v>717399.2</v>
      </c>
      <c r="O28" s="3794">
        <f>[2]PL2.1!Z31</f>
        <v>882854.2423493322</v>
      </c>
      <c r="P28" s="3796">
        <f t="shared" si="20"/>
        <v>1957742.7890159986</v>
      </c>
      <c r="Q28" s="3797">
        <f>[2]PL2.1!AE31</f>
        <v>1237230.2030542626</v>
      </c>
      <c r="R28" s="3798"/>
      <c r="S28" s="779"/>
      <c r="T28" s="779"/>
      <c r="U28" s="779"/>
      <c r="V28" s="3631">
        <f t="shared" si="4"/>
        <v>1237230.2030542626</v>
      </c>
    </row>
    <row r="29" spans="1:24" s="3780" customFormat="1">
      <c r="A29" s="3793">
        <v>8</v>
      </c>
      <c r="B29" s="39" t="s">
        <v>1920</v>
      </c>
      <c r="C29" s="828"/>
      <c r="D29" s="828"/>
      <c r="E29" s="828"/>
      <c r="F29" s="828"/>
      <c r="G29" s="3794">
        <f>'[2]PL-TổngChi21-25'!X34</f>
        <v>0</v>
      </c>
      <c r="H29" s="3794">
        <f>'[2]PL-TổngChi21-25'!Y34</f>
        <v>0</v>
      </c>
      <c r="I29" s="3794">
        <f>'[2]PL-TổngChi21-25'!Z34</f>
        <v>0</v>
      </c>
      <c r="J29" s="3794"/>
      <c r="K29" s="3795"/>
      <c r="L29" s="3794">
        <f>[2]PL2.1!K32</f>
        <v>0</v>
      </c>
      <c r="M29" s="3794">
        <f>[2]PL2.1!P32</f>
        <v>153209.71999999997</v>
      </c>
      <c r="N29" s="3794">
        <f>[2]PL2.1!U32</f>
        <v>0</v>
      </c>
      <c r="O29" s="3794">
        <f>[2]PL2.1!Z32</f>
        <v>0</v>
      </c>
      <c r="P29" s="3796"/>
      <c r="Q29" s="3797">
        <f>[2]PL2.1!AE32</f>
        <v>0</v>
      </c>
      <c r="R29" s="3798"/>
      <c r="S29" s="779"/>
      <c r="T29" s="779"/>
      <c r="U29" s="779"/>
      <c r="V29" s="3631"/>
    </row>
    <row r="30" spans="1:24" s="3780" customFormat="1">
      <c r="A30" s="3793">
        <v>9</v>
      </c>
      <c r="B30" s="733" t="s">
        <v>840</v>
      </c>
      <c r="C30" s="37">
        <f>'[11]Chi NSĐP 2021-2030'!O34</f>
        <v>300</v>
      </c>
      <c r="D30" s="37" t="e">
        <f>'[11]Chi NSĐP 2021-2030'!P34</f>
        <v>#REF!</v>
      </c>
      <c r="E30" s="37">
        <v>1000</v>
      </c>
      <c r="F30" s="37">
        <f>'[11]Chi NSĐP 2021-2030'!R34</f>
        <v>77</v>
      </c>
      <c r="G30" s="3794">
        <f>'[2]PL-TổngChi21-25'!X35</f>
        <v>2100</v>
      </c>
      <c r="H30" s="3794">
        <f>'[2]PL-TổngChi21-25'!Y35</f>
        <v>823</v>
      </c>
      <c r="I30" s="3794">
        <f>'[2]PL-TổngChi21-25'!Z35</f>
        <v>2000</v>
      </c>
      <c r="J30" s="3794">
        <f>'[19]Chi (HĐND)'!$F$53</f>
        <v>1774.8968809999999</v>
      </c>
      <c r="K30" s="3795">
        <f t="shared" si="3"/>
        <v>2674.8968809999997</v>
      </c>
      <c r="L30" s="3794">
        <f>[2]PL2.1!K33</f>
        <v>0</v>
      </c>
      <c r="M30" s="3794">
        <f>[2]PL2.1!P33</f>
        <v>0</v>
      </c>
      <c r="N30" s="3794">
        <f>[2]PL2.1!U33</f>
        <v>3000</v>
      </c>
      <c r="O30" s="3794">
        <f>[2]PL2.1!Z33</f>
        <v>3000</v>
      </c>
      <c r="P30" s="3796">
        <f t="shared" si="20"/>
        <v>8597.8968810000006</v>
      </c>
      <c r="Q30" s="3797">
        <f>[2]PL2.1!AE33</f>
        <v>3000</v>
      </c>
      <c r="R30" s="3798">
        <f>'[11]Phụ lục số 2-1'!AJ31</f>
        <v>0</v>
      </c>
      <c r="S30" s="779">
        <f>'[11]Phụ lục số 2-1'!AO31</f>
        <v>0</v>
      </c>
      <c r="T30" s="779">
        <f>'[11]Phụ lục số 2-1'!AT31</f>
        <v>0</v>
      </c>
      <c r="U30" s="779">
        <f>'[11]Phụ lục số 2-1'!AY31</f>
        <v>0</v>
      </c>
      <c r="V30" s="3631">
        <f t="shared" si="4"/>
        <v>3000</v>
      </c>
    </row>
    <row r="31" spans="1:24" s="3787" customFormat="1" ht="31.2">
      <c r="A31" s="3781" t="s">
        <v>33</v>
      </c>
      <c r="B31" s="736" t="s">
        <v>841</v>
      </c>
      <c r="C31" s="39">
        <f>'[11]Chi NSĐP 2021-2030'!O133</f>
        <v>1423990</v>
      </c>
      <c r="D31" s="39">
        <f>'[11]Chi NSĐP 2021-2030'!P133</f>
        <v>1087251</v>
      </c>
      <c r="E31" s="39">
        <f>'[25]CĐ NSĐP 2020-2025'!$C$30</f>
        <v>1474513</v>
      </c>
      <c r="F31" s="39">
        <f>'[11]Chi NSĐP 2021-2030'!R133</f>
        <v>1365375.6459619999</v>
      </c>
      <c r="G31" s="3782">
        <f>SUM(G32:G34)</f>
        <v>1370794</v>
      </c>
      <c r="H31" s="3782">
        <f>SUM(H32:H34)</f>
        <v>1370794</v>
      </c>
      <c r="I31" s="3782">
        <f>SUM(I32:I34)</f>
        <v>1213473</v>
      </c>
      <c r="J31" s="3782">
        <f>SUM(J32:J34)</f>
        <v>1567740</v>
      </c>
      <c r="K31" s="3783">
        <f t="shared" si="3"/>
        <v>4303909.6459619999</v>
      </c>
      <c r="L31" s="3782">
        <f>SUM(L32:L34)</f>
        <v>2597007</v>
      </c>
      <c r="M31" s="3782">
        <f>SUM(M32:M34)</f>
        <v>2597007</v>
      </c>
      <c r="N31" s="3782">
        <f>SUM(N32:N34)</f>
        <v>1988976</v>
      </c>
      <c r="O31" s="3782">
        <f>SUM(O32:O34)</f>
        <v>2379485.2999999998</v>
      </c>
      <c r="P31" s="3784">
        <f t="shared" si="20"/>
        <v>9904002.3000000007</v>
      </c>
      <c r="Q31" s="3785">
        <f>SUM(Q32:Q34)</f>
        <v>2379485.2999999998</v>
      </c>
      <c r="R31" s="3786">
        <f>'[11]Phụ lục số 2-1'!AJ32</f>
        <v>3357036</v>
      </c>
      <c r="S31" s="185">
        <f>'[11]Phụ lục số 2-1'!AO32</f>
        <v>3357036</v>
      </c>
      <c r="T31" s="185">
        <f>'[11]Phụ lục số 2-1'!AT32</f>
        <v>3357036</v>
      </c>
      <c r="U31" s="185">
        <f>'[11]Phụ lục số 2-1'!AY32</f>
        <v>3357036</v>
      </c>
      <c r="V31" s="3627">
        <f t="shared" si="4"/>
        <v>15807629.300000001</v>
      </c>
    </row>
    <row r="32" spans="1:24" s="3780" customFormat="1" ht="31.2">
      <c r="A32" s="3629">
        <v>1</v>
      </c>
      <c r="B32" s="3150" t="s">
        <v>178</v>
      </c>
      <c r="C32" s="3236"/>
      <c r="D32" s="3236"/>
      <c r="E32" s="3236"/>
      <c r="F32" s="3236"/>
      <c r="G32" s="3816">
        <f>'[2]PL-TổngChi21-25'!X38</f>
        <v>1263824</v>
      </c>
      <c r="H32" s="3816">
        <f>G32</f>
        <v>1263824</v>
      </c>
      <c r="I32" s="3816">
        <f>'[2]PL-TổngChi21-25'!Z38</f>
        <v>1127000</v>
      </c>
      <c r="J32" s="3816">
        <f>'[2]PL-TổngChi21-25'!AA38</f>
        <v>1481267</v>
      </c>
      <c r="K32" s="3817"/>
      <c r="L32" s="3816">
        <f>[2]PL2.1!K35</f>
        <v>2417971</v>
      </c>
      <c r="M32" s="3816">
        <f>[2]PL2.1!P35</f>
        <v>2417971</v>
      </c>
      <c r="N32" s="3816">
        <f>[2]PL2.1!U35</f>
        <v>1814491</v>
      </c>
      <c r="O32" s="3816">
        <f>[2]PL2.1!Z35</f>
        <v>2205000</v>
      </c>
      <c r="P32" s="3796">
        <f t="shared" si="20"/>
        <v>9182553</v>
      </c>
      <c r="Q32" s="3818">
        <f>[2]PL2.1!AE35</f>
        <v>2205000</v>
      </c>
      <c r="R32" s="3819"/>
      <c r="S32" s="3237"/>
      <c r="T32" s="3237"/>
      <c r="U32" s="3237"/>
      <c r="V32" s="3820"/>
    </row>
    <row r="33" spans="1:22" s="3780" customFormat="1" ht="31.2">
      <c r="A33" s="3629">
        <v>2</v>
      </c>
      <c r="B33" s="3150" t="s">
        <v>179</v>
      </c>
      <c r="C33" s="3236"/>
      <c r="D33" s="3236"/>
      <c r="E33" s="3236"/>
      <c r="F33" s="3236"/>
      <c r="G33" s="3816">
        <f>'[2]PL-TổngChi21-25'!X39</f>
        <v>106970</v>
      </c>
      <c r="H33" s="3816">
        <f>G33</f>
        <v>106970</v>
      </c>
      <c r="I33" s="3816">
        <f>'[2]PL-TổngChi21-25'!Z39</f>
        <v>86473</v>
      </c>
      <c r="J33" s="3816">
        <f>'[2]PL-TổngChi21-25'!AA39</f>
        <v>86473</v>
      </c>
      <c r="K33" s="3817"/>
      <c r="L33" s="3816">
        <f>[2]PL2.1!K36</f>
        <v>179036</v>
      </c>
      <c r="M33" s="3816">
        <f>[2]PL2.1!P36</f>
        <v>179036</v>
      </c>
      <c r="N33" s="3816">
        <f>[2]PL2.1!U36</f>
        <v>174485</v>
      </c>
      <c r="O33" s="3816">
        <f>[2]PL2.1!Z36</f>
        <v>174485.3</v>
      </c>
      <c r="P33" s="3796">
        <f t="shared" si="20"/>
        <v>721449.3</v>
      </c>
      <c r="Q33" s="3818">
        <f>[2]PL2.1!AE36</f>
        <v>174485.3</v>
      </c>
      <c r="R33" s="3819"/>
      <c r="S33" s="3237"/>
      <c r="T33" s="3237"/>
      <c r="U33" s="3237"/>
      <c r="V33" s="3820"/>
    </row>
    <row r="34" spans="1:22" s="3780" customFormat="1">
      <c r="A34" s="3821">
        <v>3</v>
      </c>
      <c r="B34" s="3236" t="s">
        <v>1922</v>
      </c>
      <c r="C34" s="3236"/>
      <c r="D34" s="3236"/>
      <c r="E34" s="3236"/>
      <c r="F34" s="3236"/>
      <c r="G34" s="3816">
        <f>'[2]PL-TổngChi21-25'!X40</f>
        <v>0</v>
      </c>
      <c r="H34" s="3816">
        <f>'[2]PL-TổngChi21-25'!Y40</f>
        <v>0</v>
      </c>
      <c r="I34" s="3816"/>
      <c r="J34" s="3816"/>
      <c r="K34" s="3817"/>
      <c r="L34" s="3816"/>
      <c r="M34" s="3816"/>
      <c r="N34" s="3816">
        <f>[2]PL2.1!U37</f>
        <v>0</v>
      </c>
      <c r="O34" s="3816">
        <f>[2]PL2.1!Z37</f>
        <v>0</v>
      </c>
      <c r="P34" s="3796">
        <f t="shared" si="20"/>
        <v>0</v>
      </c>
      <c r="Q34" s="3818">
        <f>[2]PL2.1!AE37</f>
        <v>0</v>
      </c>
      <c r="R34" s="3819"/>
      <c r="S34" s="3237"/>
      <c r="T34" s="3237"/>
      <c r="U34" s="3237"/>
      <c r="V34" s="3820"/>
    </row>
    <row r="35" spans="1:22" s="3829" customFormat="1" ht="31.8" thickBot="1">
      <c r="A35" s="3822" t="s">
        <v>182</v>
      </c>
      <c r="B35" s="3823" t="s">
        <v>181</v>
      </c>
      <c r="C35" s="3376">
        <f>'[11]Chi NSĐP 2021-2030'!O35</f>
        <v>15000</v>
      </c>
      <c r="D35" s="3376" t="e">
        <f>'[11]Chi NSĐP 2021-2030'!P35</f>
        <v>#REF!</v>
      </c>
      <c r="E35" s="3376">
        <f>'[11]Chi NSĐP 2021-2030'!Q35</f>
        <v>30900</v>
      </c>
      <c r="F35" s="3376">
        <f>'[11]Chi NSĐP 2021-2030'!R35</f>
        <v>100485</v>
      </c>
      <c r="G35" s="3824">
        <f>'[2]PL-TổngChi21-25'!X41</f>
        <v>61200</v>
      </c>
      <c r="H35" s="3824">
        <f>'[2]PL-TổngChi21-25'!Y41</f>
        <v>78453</v>
      </c>
      <c r="I35" s="3824">
        <f>'[11]Chi NSĐP 2021-2030'!Y35</f>
        <v>48300</v>
      </c>
      <c r="J35" s="3824">
        <f>'[2]PL-TổngChi21-25'!AA41</f>
        <v>12155.078450000001</v>
      </c>
      <c r="K35" s="3825">
        <f t="shared" si="3"/>
        <v>191093.07845</v>
      </c>
      <c r="L35" s="3824">
        <f>[2]PL2.1!K38</f>
        <v>31500</v>
      </c>
      <c r="M35" s="3824">
        <f>[2]PL2.1!P38</f>
        <v>31500</v>
      </c>
      <c r="N35" s="3824">
        <f>[2]PL2.1!U38</f>
        <v>0</v>
      </c>
      <c r="O35" s="3824">
        <f>[2]PL2.1!Z38</f>
        <v>0</v>
      </c>
      <c r="P35" s="3826">
        <f>O35+N35+M35+J35+H35</f>
        <v>122108.07845</v>
      </c>
      <c r="Q35" s="3827">
        <f>[2]PL2.1!AE38</f>
        <v>0</v>
      </c>
      <c r="R35" s="3828">
        <f>'[11]Phụ lục số 2-1'!AJ35</f>
        <v>0</v>
      </c>
      <c r="S35" s="3642">
        <f>'[11]Phụ lục số 2-1'!AO35</f>
        <v>0</v>
      </c>
      <c r="T35" s="3642">
        <f>'[11]Phụ lục số 2-1'!AT35</f>
        <v>0</v>
      </c>
      <c r="U35" s="3642">
        <f>'[11]Phụ lục số 2-1'!AY35</f>
        <v>0</v>
      </c>
      <c r="V35" s="3648">
        <f t="shared" si="4"/>
        <v>0</v>
      </c>
    </row>
    <row r="36" spans="1:22" s="1190" customFormat="1">
      <c r="A36" s="3830" t="s">
        <v>46</v>
      </c>
      <c r="B36" s="3831" t="s">
        <v>2150</v>
      </c>
      <c r="C36" s="3831"/>
      <c r="D36" s="3831"/>
      <c r="E36" s="3831"/>
      <c r="F36" s="3831"/>
      <c r="G36" s="3831"/>
      <c r="H36" s="3831"/>
      <c r="I36" s="3832"/>
      <c r="J36" s="3832"/>
      <c r="K36" s="3832"/>
      <c r="L36" s="3832"/>
      <c r="M36" s="3832"/>
      <c r="N36" s="3832"/>
      <c r="O36" s="3832"/>
      <c r="P36" s="3772">
        <f t="shared" ref="P36:P47" si="21">O36+N36+L36+J36+H36</f>
        <v>0</v>
      </c>
    </row>
    <row r="37" spans="1:22" s="1190" customFormat="1" ht="31.2">
      <c r="A37" s="3833" t="s">
        <v>725</v>
      </c>
      <c r="B37" s="3834" t="s">
        <v>2151</v>
      </c>
      <c r="C37" s="3834"/>
      <c r="D37" s="3834"/>
      <c r="E37" s="3834"/>
      <c r="F37" s="3834"/>
      <c r="G37" s="3834"/>
      <c r="H37" s="3834"/>
      <c r="I37" s="3835"/>
      <c r="J37" s="3835"/>
      <c r="K37" s="3835"/>
      <c r="L37" s="3835"/>
      <c r="M37" s="3835"/>
      <c r="N37" s="3835"/>
      <c r="O37" s="3835"/>
      <c r="P37" s="3772">
        <f t="shared" si="21"/>
        <v>0</v>
      </c>
    </row>
    <row r="38" spans="1:22" s="1190" customFormat="1">
      <c r="A38" s="3833" t="s">
        <v>3</v>
      </c>
      <c r="B38" s="3834" t="s">
        <v>2021</v>
      </c>
      <c r="C38" s="3834"/>
      <c r="D38" s="3834"/>
      <c r="E38" s="3834"/>
      <c r="F38" s="3834"/>
      <c r="G38" s="3834"/>
      <c r="H38" s="3834"/>
      <c r="I38" s="3835"/>
      <c r="J38" s="3835"/>
      <c r="K38" s="3835"/>
      <c r="L38" s="3835"/>
      <c r="M38" s="3835"/>
      <c r="N38" s="3835"/>
      <c r="O38" s="3835"/>
      <c r="P38" s="3772">
        <f t="shared" si="21"/>
        <v>0</v>
      </c>
    </row>
    <row r="39" spans="1:22" s="1190" customFormat="1">
      <c r="A39" s="3833" t="s">
        <v>33</v>
      </c>
      <c r="B39" s="3834" t="s">
        <v>2022</v>
      </c>
      <c r="C39" s="3834"/>
      <c r="D39" s="3834"/>
      <c r="E39" s="3834"/>
      <c r="F39" s="3834"/>
      <c r="G39" s="3834"/>
      <c r="H39" s="3834"/>
      <c r="I39" s="3835"/>
      <c r="J39" s="3835"/>
      <c r="K39" s="3835"/>
      <c r="L39" s="3835"/>
      <c r="M39" s="3835"/>
      <c r="N39" s="3835"/>
      <c r="O39" s="3835"/>
      <c r="P39" s="3772">
        <f t="shared" si="21"/>
        <v>0</v>
      </c>
    </row>
    <row r="40" spans="1:22" s="1190" customFormat="1">
      <c r="A40" s="3833" t="s">
        <v>182</v>
      </c>
      <c r="B40" s="3834" t="s">
        <v>2152</v>
      </c>
      <c r="C40" s="3834"/>
      <c r="D40" s="3834"/>
      <c r="E40" s="3834"/>
      <c r="F40" s="3834"/>
      <c r="G40" s="3834"/>
      <c r="H40" s="3834"/>
      <c r="I40" s="3835"/>
      <c r="J40" s="3835"/>
      <c r="K40" s="3835"/>
      <c r="L40" s="3835"/>
      <c r="M40" s="3835"/>
      <c r="N40" s="3835"/>
      <c r="O40" s="3835"/>
      <c r="P40" s="3772">
        <f t="shared" si="21"/>
        <v>0</v>
      </c>
    </row>
    <row r="41" spans="1:22" s="1190" customFormat="1">
      <c r="A41" s="3836">
        <v>1</v>
      </c>
      <c r="B41" s="3837" t="s">
        <v>2026</v>
      </c>
      <c r="C41" s="3837"/>
      <c r="D41" s="3837"/>
      <c r="E41" s="3837"/>
      <c r="F41" s="3837"/>
      <c r="G41" s="3837"/>
      <c r="H41" s="3837"/>
      <c r="I41" s="3838"/>
      <c r="J41" s="3838"/>
      <c r="K41" s="3838"/>
      <c r="L41" s="3838"/>
      <c r="M41" s="3838"/>
      <c r="N41" s="3838"/>
      <c r="O41" s="3838"/>
      <c r="P41" s="3772">
        <f t="shared" si="21"/>
        <v>0</v>
      </c>
    </row>
    <row r="42" spans="1:22" s="1190" customFormat="1" ht="31.2">
      <c r="A42" s="3836">
        <v>2</v>
      </c>
      <c r="B42" s="3837" t="s">
        <v>2153</v>
      </c>
      <c r="C42" s="3837"/>
      <c r="D42" s="3837"/>
      <c r="E42" s="3837"/>
      <c r="F42" s="3837"/>
      <c r="G42" s="3837"/>
      <c r="H42" s="3837"/>
      <c r="I42" s="3838"/>
      <c r="J42" s="3838"/>
      <c r="K42" s="3838"/>
      <c r="L42" s="3838"/>
      <c r="M42" s="3838"/>
      <c r="N42" s="3838"/>
      <c r="O42" s="3838"/>
      <c r="P42" s="3772">
        <f t="shared" si="21"/>
        <v>0</v>
      </c>
    </row>
    <row r="43" spans="1:22" s="1190" customFormat="1">
      <c r="A43" s="3833" t="s">
        <v>215</v>
      </c>
      <c r="B43" s="3834" t="s">
        <v>2154</v>
      </c>
      <c r="C43" s="3834"/>
      <c r="D43" s="3834"/>
      <c r="E43" s="3834"/>
      <c r="F43" s="3834"/>
      <c r="G43" s="3834"/>
      <c r="H43" s="3834"/>
      <c r="I43" s="3835"/>
      <c r="J43" s="3835"/>
      <c r="K43" s="3835"/>
      <c r="L43" s="3835"/>
      <c r="M43" s="3835"/>
      <c r="N43" s="3835"/>
      <c r="O43" s="3835"/>
      <c r="P43" s="3772">
        <f t="shared" si="21"/>
        <v>0</v>
      </c>
    </row>
    <row r="44" spans="1:22" s="1190" customFormat="1">
      <c r="A44" s="3836">
        <v>1</v>
      </c>
      <c r="B44" s="3837" t="s">
        <v>2029</v>
      </c>
      <c r="C44" s="3837"/>
      <c r="D44" s="3837"/>
      <c r="E44" s="3837"/>
      <c r="F44" s="3837"/>
      <c r="G44" s="3837"/>
      <c r="H44" s="3837"/>
      <c r="I44" s="3838"/>
      <c r="J44" s="3838"/>
      <c r="K44" s="3838"/>
      <c r="L44" s="3838"/>
      <c r="M44" s="3838"/>
      <c r="N44" s="3838"/>
      <c r="O44" s="3838"/>
      <c r="P44" s="3772">
        <f t="shared" si="21"/>
        <v>0</v>
      </c>
    </row>
    <row r="45" spans="1:22" s="1190" customFormat="1">
      <c r="A45" s="3836">
        <v>2</v>
      </c>
      <c r="B45" s="3837" t="s">
        <v>2030</v>
      </c>
      <c r="C45" s="3837"/>
      <c r="D45" s="3837"/>
      <c r="E45" s="3837"/>
      <c r="F45" s="3837"/>
      <c r="G45" s="3837"/>
      <c r="H45" s="3837"/>
      <c r="I45" s="3838"/>
      <c r="J45" s="3838"/>
      <c r="K45" s="3838"/>
      <c r="L45" s="3838"/>
      <c r="M45" s="3838"/>
      <c r="N45" s="3838"/>
      <c r="O45" s="3838"/>
      <c r="P45" s="3772">
        <f t="shared" si="21"/>
        <v>0</v>
      </c>
    </row>
    <row r="46" spans="1:22" s="1190" customFormat="1">
      <c r="A46" s="3833" t="s">
        <v>718</v>
      </c>
      <c r="B46" s="3834" t="s">
        <v>2031</v>
      </c>
      <c r="C46" s="3834"/>
      <c r="D46" s="3834"/>
      <c r="E46" s="3834"/>
      <c r="F46" s="3834"/>
      <c r="G46" s="3834"/>
      <c r="H46" s="3834"/>
      <c r="I46" s="3835"/>
      <c r="J46" s="3835"/>
      <c r="K46" s="3835"/>
      <c r="L46" s="3835"/>
      <c r="M46" s="3835"/>
      <c r="N46" s="3835"/>
      <c r="O46" s="3835"/>
      <c r="P46" s="3772">
        <f t="shared" si="21"/>
        <v>0</v>
      </c>
    </row>
    <row r="47" spans="1:22">
      <c r="P47" s="3772">
        <f t="shared" si="21"/>
        <v>0</v>
      </c>
    </row>
    <row r="48" spans="1:22">
      <c r="C48" s="2428">
        <f>C31-C15</f>
        <v>0</v>
      </c>
    </row>
    <row r="49" spans="3:22">
      <c r="C49" s="3072">
        <f t="shared" ref="C49:J49" si="22">C10/C22</f>
        <v>0.50173928846122073</v>
      </c>
      <c r="D49" s="3072" t="e">
        <f t="shared" si="22"/>
        <v>#REF!</v>
      </c>
      <c r="E49" s="3072">
        <f t="shared" si="22"/>
        <v>0.55124278845976338</v>
      </c>
      <c r="F49" s="3072" t="e">
        <f t="shared" si="22"/>
        <v>#REF!</v>
      </c>
      <c r="G49" s="3072">
        <f t="shared" si="22"/>
        <v>0.51058784134874291</v>
      </c>
      <c r="H49" s="3072">
        <f t="shared" si="22"/>
        <v>0.43147373308581222</v>
      </c>
      <c r="I49" s="3187">
        <f t="shared" si="22"/>
        <v>0.45414854432378515</v>
      </c>
      <c r="J49" s="3072">
        <f t="shared" si="22"/>
        <v>0.47401542896735993</v>
      </c>
      <c r="K49" s="3072"/>
      <c r="L49" s="3072">
        <f>L10/L22</f>
        <v>0.50820650407292944</v>
      </c>
      <c r="M49" s="3072"/>
      <c r="N49" s="3072">
        <f t="shared" ref="N49:V49" si="23">N10/N22</f>
        <v>0.51180953248066341</v>
      </c>
      <c r="O49" s="3072">
        <f t="shared" si="23"/>
        <v>0.53502424473124799</v>
      </c>
      <c r="P49" s="3072">
        <f t="shared" si="23"/>
        <v>0.49440989112784944</v>
      </c>
      <c r="Q49" s="3072">
        <f t="shared" si="23"/>
        <v>0.55073189966908176</v>
      </c>
      <c r="R49" s="3072">
        <f t="shared" si="23"/>
        <v>0.62294075634444279</v>
      </c>
      <c r="S49" s="3072">
        <f t="shared" si="23"/>
        <v>0.64067171639898324</v>
      </c>
      <c r="T49" s="3072">
        <f t="shared" si="23"/>
        <v>0.65872367790420872</v>
      </c>
      <c r="U49" s="3072">
        <f t="shared" si="23"/>
        <v>0.67790425067585902</v>
      </c>
      <c r="V49" s="3072">
        <f t="shared" si="23"/>
        <v>0.63167917909563509</v>
      </c>
    </row>
    <row r="50" spans="3:22">
      <c r="C50" s="3839">
        <f t="shared" ref="C50:H50" si="24">100%-C49</f>
        <v>0.49826071153877927</v>
      </c>
      <c r="D50" s="3839" t="e">
        <f t="shared" si="24"/>
        <v>#REF!</v>
      </c>
      <c r="E50" s="3839">
        <f t="shared" si="24"/>
        <v>0.44875721154023662</v>
      </c>
      <c r="F50" s="3839" t="e">
        <f t="shared" si="24"/>
        <v>#REF!</v>
      </c>
      <c r="G50" s="3839">
        <f t="shared" si="24"/>
        <v>0.48941215865125709</v>
      </c>
      <c r="H50" s="3839">
        <f t="shared" si="24"/>
        <v>0.56852626691418773</v>
      </c>
      <c r="I50" s="3839">
        <f>100%-I49</f>
        <v>0.54585145567621485</v>
      </c>
      <c r="J50" s="3839">
        <f t="shared" ref="J50:V50" si="25">100%-J49</f>
        <v>0.52598457103264007</v>
      </c>
      <c r="K50" s="3839"/>
      <c r="L50" s="3839">
        <f t="shared" si="25"/>
        <v>0.49179349592707056</v>
      </c>
      <c r="M50" s="3839"/>
      <c r="N50" s="3839">
        <f t="shared" si="25"/>
        <v>0.48819046751933659</v>
      </c>
      <c r="O50" s="3839">
        <f t="shared" si="25"/>
        <v>0.46497575526875201</v>
      </c>
      <c r="P50" s="3839">
        <f t="shared" si="25"/>
        <v>0.50559010887215061</v>
      </c>
      <c r="Q50" s="3839">
        <f t="shared" si="25"/>
        <v>0.44926810033091824</v>
      </c>
      <c r="R50" s="3839">
        <f t="shared" si="25"/>
        <v>0.37705924365555721</v>
      </c>
      <c r="S50" s="3839">
        <f t="shared" si="25"/>
        <v>0.35932828360101676</v>
      </c>
      <c r="T50" s="3839">
        <f t="shared" si="25"/>
        <v>0.34127632209579128</v>
      </c>
      <c r="U50" s="3839">
        <f t="shared" si="25"/>
        <v>0.32209574932414098</v>
      </c>
      <c r="V50" s="3839">
        <f t="shared" si="25"/>
        <v>0.36832082090436491</v>
      </c>
    </row>
    <row r="51" spans="3:22">
      <c r="E51" s="2431">
        <f>E9-E22</f>
        <v>-0.19999999925494194</v>
      </c>
    </row>
    <row r="52" spans="3:22">
      <c r="C52" s="3840">
        <f t="shared" ref="C52:I52" si="26">C9-C22</f>
        <v>0</v>
      </c>
      <c r="D52" s="3840" t="e">
        <f t="shared" si="26"/>
        <v>#REF!</v>
      </c>
      <c r="E52" s="3840">
        <f t="shared" si="26"/>
        <v>-0.19999999925494194</v>
      </c>
      <c r="F52" s="3840" t="e">
        <f t="shared" si="26"/>
        <v>#REF!</v>
      </c>
      <c r="G52" s="3840">
        <f t="shared" si="26"/>
        <v>-0.40000000037252903</v>
      </c>
      <c r="H52" s="3840">
        <f t="shared" si="26"/>
        <v>-1589072.8640000001</v>
      </c>
      <c r="I52" s="3840">
        <f t="shared" si="26"/>
        <v>0</v>
      </c>
      <c r="J52" s="3840">
        <f>J9-J22</f>
        <v>-635815.09221799858</v>
      </c>
      <c r="K52" s="3840"/>
      <c r="L52" s="3840">
        <f t="shared" ref="L52:V52" si="27">L9-L22</f>
        <v>0</v>
      </c>
      <c r="M52" s="3840"/>
      <c r="N52" s="3840">
        <f t="shared" si="27"/>
        <v>-719944.91599999741</v>
      </c>
      <c r="O52" s="3840">
        <f t="shared" si="27"/>
        <v>-588996.8717610985</v>
      </c>
      <c r="P52" s="3840">
        <f t="shared" si="27"/>
        <v>-3828129.0106457472</v>
      </c>
      <c r="Q52" s="3840">
        <f t="shared" si="27"/>
        <v>-587336.25459640473</v>
      </c>
      <c r="R52" s="3840" t="e">
        <f t="shared" si="27"/>
        <v>#REF!</v>
      </c>
      <c r="S52" s="3840" t="e">
        <f t="shared" si="27"/>
        <v>#REF!</v>
      </c>
      <c r="T52" s="3840" t="e">
        <f t="shared" si="27"/>
        <v>#REF!</v>
      </c>
      <c r="U52" s="3840" t="e">
        <f t="shared" si="27"/>
        <v>#REF!</v>
      </c>
      <c r="V52" s="3840" t="e">
        <f t="shared" si="27"/>
        <v>#REF!</v>
      </c>
    </row>
    <row r="53" spans="3:22">
      <c r="H53" s="2431">
        <f>H22-'[11]Chi NSĐP 2021-2030'!X10</f>
        <v>0</v>
      </c>
      <c r="J53" s="2428"/>
      <c r="K53" s="3072" t="e">
        <f>K23/K22</f>
        <v>#REF!</v>
      </c>
    </row>
    <row r="56" spans="3:22">
      <c r="M56" s="3840"/>
      <c r="N56" s="3840"/>
      <c r="O56" s="3180"/>
      <c r="P56" s="2428"/>
    </row>
    <row r="57" spans="3:22">
      <c r="C57" s="3072">
        <f>C10/C22</f>
        <v>0.50173928846122073</v>
      </c>
      <c r="D57" s="3072" t="e">
        <f t="shared" ref="D57:J57" si="28">D10/D22</f>
        <v>#REF!</v>
      </c>
      <c r="E57" s="3072">
        <f t="shared" si="28"/>
        <v>0.55124278845976338</v>
      </c>
      <c r="F57" s="3072" t="e">
        <f t="shared" si="28"/>
        <v>#REF!</v>
      </c>
      <c r="G57" s="3072">
        <f>G10/G22</f>
        <v>0.51058784134874291</v>
      </c>
      <c r="H57" s="3072">
        <f>H10/H22</f>
        <v>0.43147373308581222</v>
      </c>
      <c r="I57" s="3072">
        <f>I10/I22</f>
        <v>0.45414854432378515</v>
      </c>
      <c r="J57" s="3072">
        <f t="shared" si="28"/>
        <v>0.47401542896735993</v>
      </c>
      <c r="K57" s="3072" t="e">
        <f>K10/K22</f>
        <v>#REF!</v>
      </c>
      <c r="L57" s="3072">
        <f>L10/L22</f>
        <v>0.50820650407292944</v>
      </c>
      <c r="M57" s="3072">
        <f>M10/M22</f>
        <v>0.50810234951832156</v>
      </c>
      <c r="N57" s="3072">
        <f>N10/N22</f>
        <v>0.51180953248066341</v>
      </c>
      <c r="O57" s="3072">
        <f t="shared" ref="O57:T57" si="29">O10/O22</f>
        <v>0.53502424473124799</v>
      </c>
      <c r="P57" s="3072">
        <f t="shared" si="29"/>
        <v>0.49440989112784944</v>
      </c>
      <c r="Q57" s="3072">
        <f t="shared" si="29"/>
        <v>0.55073189966908176</v>
      </c>
      <c r="R57" s="3072">
        <f t="shared" si="29"/>
        <v>0.62294075634444279</v>
      </c>
      <c r="S57" s="3072">
        <f t="shared" si="29"/>
        <v>0.64067171639898324</v>
      </c>
      <c r="T57" s="3072">
        <f t="shared" si="29"/>
        <v>0.65872367790420872</v>
      </c>
      <c r="U57" s="3072">
        <f>U10/U22</f>
        <v>0.67790425067585902</v>
      </c>
    </row>
  </sheetData>
  <mergeCells count="2">
    <mergeCell ref="A1:V1"/>
    <mergeCell ref="J2:L2"/>
  </mergeCells>
  <hyperlinks>
    <hyperlink ref="A4" location="'Danh mục file'!A1" display="TT"/>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2:BZ95"/>
  <sheetViews>
    <sheetView zoomScale="90" zoomScaleNormal="90" workbookViewId="0">
      <pane xSplit="39" ySplit="19" topLeftCell="AR70" activePane="bottomRight" state="frozen"/>
      <selection activeCell="C4" sqref="C4"/>
      <selection pane="topRight" activeCell="C4" sqref="C4"/>
      <selection pane="bottomLeft" activeCell="C4" sqref="C4"/>
      <selection pane="bottomRight" activeCell="AZ74" sqref="AZ74"/>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56" t="s">
        <v>852</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c r="AS2" s="6056"/>
      <c r="AT2" s="6056"/>
      <c r="AU2" s="6056"/>
      <c r="AV2" s="6056"/>
      <c r="AW2" s="6056"/>
      <c r="AX2" s="6056"/>
      <c r="AY2" s="6056"/>
      <c r="AZ2" s="6056"/>
      <c r="BA2" s="6056"/>
      <c r="BB2" s="6056"/>
      <c r="BC2" s="6056"/>
      <c r="BD2" s="6056"/>
      <c r="BE2" s="6056"/>
      <c r="BF2" s="6056"/>
      <c r="BG2" s="6056"/>
      <c r="BH2" s="6056"/>
    </row>
    <row r="3" spans="1:78">
      <c r="A3" s="6056" t="s">
        <v>853</v>
      </c>
      <c r="B3" s="6056"/>
      <c r="C3" s="6056"/>
      <c r="D3" s="6056"/>
      <c r="E3" s="6056"/>
      <c r="F3" s="6056"/>
      <c r="G3" s="6056"/>
      <c r="H3" s="6056"/>
      <c r="I3" s="6056"/>
      <c r="J3" s="6056"/>
      <c r="K3" s="6056"/>
      <c r="L3" s="6056"/>
      <c r="M3" s="6056"/>
      <c r="N3" s="6056"/>
      <c r="O3" s="6056"/>
      <c r="P3" s="6056"/>
      <c r="Q3" s="6056"/>
      <c r="R3" s="6056"/>
      <c r="S3" s="6056"/>
      <c r="T3" s="6056"/>
      <c r="U3" s="6056"/>
      <c r="V3" s="6056"/>
      <c r="W3" s="6056"/>
      <c r="X3" s="6056"/>
      <c r="Y3" s="6056"/>
      <c r="Z3" s="6056"/>
      <c r="AA3" s="6056"/>
      <c r="AB3" s="6056"/>
      <c r="AC3" s="6056"/>
      <c r="AD3" s="6056"/>
      <c r="AE3" s="6056"/>
      <c r="AF3" s="6056"/>
      <c r="AG3" s="6056"/>
      <c r="AH3" s="6056"/>
      <c r="AI3" s="6056"/>
      <c r="AJ3" s="6056"/>
      <c r="AK3" s="6056"/>
      <c r="AL3" s="6056"/>
      <c r="AM3" s="6056"/>
      <c r="AN3" s="6056"/>
      <c r="AO3" s="6056"/>
      <c r="AP3" s="6056"/>
      <c r="AQ3" s="6056"/>
      <c r="AR3" s="6056"/>
      <c r="AS3" s="6056"/>
      <c r="AT3" s="6056"/>
      <c r="AU3" s="6056"/>
      <c r="AV3" s="6056"/>
      <c r="AW3" s="6056"/>
      <c r="AX3" s="6056"/>
      <c r="AY3" s="6056"/>
      <c r="AZ3" s="6056"/>
      <c r="BA3" s="6056"/>
      <c r="BB3" s="6056"/>
      <c r="BC3" s="6056"/>
      <c r="BD3" s="6056"/>
      <c r="BE3" s="6056"/>
      <c r="BF3" s="6056"/>
      <c r="BG3" s="6056"/>
      <c r="BH3" s="6056"/>
    </row>
    <row r="4" spans="1:78">
      <c r="A4" s="1" t="s">
        <v>854</v>
      </c>
      <c r="BC4" s="8">
        <f>+BC10+BA10+AY10+AW10+AU10</f>
        <v>41879730.862000003</v>
      </c>
      <c r="BD4" s="8">
        <f>+BD10+BB10+AZ10+AX10+AV10</f>
        <v>42201599.549428672</v>
      </c>
      <c r="BE4" s="1066">
        <f>+BD4/BC4</f>
        <v>1.0076855481351892</v>
      </c>
    </row>
    <row r="5" spans="1:78" ht="16.2" thickBot="1">
      <c r="AI5" s="6">
        <f>2669315-AI76</f>
        <v>0</v>
      </c>
      <c r="AN5" s="754">
        <f>(AN10/AM10)-100%</f>
        <v>0.23839195483415665</v>
      </c>
      <c r="AO5" s="6"/>
      <c r="AP5" s="754">
        <f>AP10/AO10-100%</f>
        <v>-7.4483814008240445E-3</v>
      </c>
      <c r="AZ5" s="1">
        <f>+'Phụ lục số 1'!N10/AZ73</f>
        <v>1.164343099110877</v>
      </c>
      <c r="BB5" s="816">
        <f>+BB40/AZ40-100%</f>
        <v>-9.5312428991009113E-2</v>
      </c>
      <c r="BE5" s="754">
        <f>+BF10/BE10</f>
        <v>1.0099885604745931</v>
      </c>
      <c r="BF5" s="1066">
        <f>+BF12/BE12</f>
        <v>0.91792365235284235</v>
      </c>
    </row>
    <row r="6" spans="1:78" ht="19.5" customHeight="1">
      <c r="A6" s="6306" t="s">
        <v>0</v>
      </c>
      <c r="B6" s="6452" t="s">
        <v>49</v>
      </c>
      <c r="C6" s="6380" t="s">
        <v>62</v>
      </c>
      <c r="D6" s="6370"/>
      <c r="E6" s="6370" t="s">
        <v>63</v>
      </c>
      <c r="F6" s="6370"/>
      <c r="G6" s="6370" t="s">
        <v>64</v>
      </c>
      <c r="H6" s="6370"/>
      <c r="I6" s="6370" t="s">
        <v>65</v>
      </c>
      <c r="J6" s="6370"/>
      <c r="K6" s="6370" t="s">
        <v>66</v>
      </c>
      <c r="L6" s="6370"/>
      <c r="M6" s="6370" t="s">
        <v>67</v>
      </c>
      <c r="N6" s="6370"/>
      <c r="O6" s="6448" t="s">
        <v>68</v>
      </c>
      <c r="P6" s="6448"/>
      <c r="Q6" s="6448"/>
      <c r="R6" s="6448"/>
      <c r="S6" s="6378" t="s">
        <v>72</v>
      </c>
      <c r="T6" s="6380"/>
      <c r="U6" s="6378" t="s">
        <v>73</v>
      </c>
      <c r="V6" s="6380"/>
      <c r="W6" s="6378" t="s">
        <v>74</v>
      </c>
      <c r="X6" s="6380"/>
      <c r="Y6" s="6370" t="s">
        <v>75</v>
      </c>
      <c r="Z6" s="6370"/>
      <c r="AA6" s="6370" t="s">
        <v>76</v>
      </c>
      <c r="AB6" s="6370"/>
      <c r="AC6" s="6448" t="s">
        <v>68</v>
      </c>
      <c r="AD6" s="6448"/>
      <c r="AE6" s="6448"/>
      <c r="AF6" s="6449"/>
      <c r="AG6" s="6446" t="s">
        <v>77</v>
      </c>
      <c r="AH6" s="6420"/>
      <c r="AI6" s="6420" t="s">
        <v>81</v>
      </c>
      <c r="AJ6" s="6420"/>
      <c r="AK6" s="6420" t="s">
        <v>57</v>
      </c>
      <c r="AL6" s="6420"/>
      <c r="AM6" s="6420" t="s">
        <v>58</v>
      </c>
      <c r="AN6" s="6420"/>
      <c r="AO6" s="6420" t="s">
        <v>82</v>
      </c>
      <c r="AP6" s="6420"/>
      <c r="AQ6" s="6441" t="s">
        <v>68</v>
      </c>
      <c r="AR6" s="6441"/>
      <c r="AS6" s="6441"/>
      <c r="AT6" s="6442"/>
      <c r="AU6" s="6446" t="s">
        <v>85</v>
      </c>
      <c r="AV6" s="6420"/>
      <c r="AW6" s="6447" t="s">
        <v>86</v>
      </c>
      <c r="AX6" s="6440"/>
      <c r="AY6" s="6439" t="s">
        <v>87</v>
      </c>
      <c r="AZ6" s="6440"/>
      <c r="BA6" s="6420" t="s">
        <v>88</v>
      </c>
      <c r="BB6" s="6420"/>
      <c r="BC6" s="6420" t="s">
        <v>89</v>
      </c>
      <c r="BD6" s="6420"/>
      <c r="BE6" s="6441" t="s">
        <v>68</v>
      </c>
      <c r="BF6" s="6441"/>
      <c r="BG6" s="6441"/>
      <c r="BH6" s="6442"/>
      <c r="BI6" s="6445" t="s">
        <v>90</v>
      </c>
      <c r="BJ6" s="6440"/>
      <c r="BK6" s="6439" t="s">
        <v>91</v>
      </c>
      <c r="BL6" s="6440"/>
      <c r="BM6" s="6439" t="s">
        <v>92</v>
      </c>
      <c r="BN6" s="6440"/>
      <c r="BO6" s="6420" t="s">
        <v>93</v>
      </c>
      <c r="BP6" s="6420"/>
      <c r="BQ6" s="6420" t="s">
        <v>94</v>
      </c>
      <c r="BR6" s="6420"/>
      <c r="BS6" s="6441" t="s">
        <v>68</v>
      </c>
      <c r="BT6" s="6441"/>
      <c r="BU6" s="6441"/>
      <c r="BV6" s="6442"/>
    </row>
    <row r="7" spans="1:78" ht="18.75" customHeight="1">
      <c r="A7" s="6451"/>
      <c r="B7" s="6453"/>
      <c r="C7" s="6380" t="s">
        <v>59</v>
      </c>
      <c r="D7" s="6370" t="s">
        <v>60</v>
      </c>
      <c r="E7" s="6370" t="s">
        <v>59</v>
      </c>
      <c r="F7" s="6370" t="s">
        <v>61</v>
      </c>
      <c r="G7" s="6370" t="s">
        <v>59</v>
      </c>
      <c r="H7" s="6370" t="s">
        <v>61</v>
      </c>
      <c r="I7" s="6370" t="s">
        <v>59</v>
      </c>
      <c r="J7" s="6370" t="s">
        <v>61</v>
      </c>
      <c r="K7" s="6370" t="s">
        <v>59</v>
      </c>
      <c r="L7" s="6370" t="s">
        <v>61</v>
      </c>
      <c r="M7" s="6370" t="s">
        <v>59</v>
      </c>
      <c r="N7" s="6370" t="s">
        <v>61</v>
      </c>
      <c r="O7" s="6064" t="s">
        <v>71</v>
      </c>
      <c r="P7" s="6064" t="s">
        <v>78</v>
      </c>
      <c r="Q7" s="6064" t="s">
        <v>69</v>
      </c>
      <c r="R7" s="6064" t="s">
        <v>70</v>
      </c>
      <c r="S7" s="6370" t="s">
        <v>59</v>
      </c>
      <c r="T7" s="6370" t="s">
        <v>60</v>
      </c>
      <c r="U7" s="6370" t="s">
        <v>59</v>
      </c>
      <c r="V7" s="6370" t="s">
        <v>61</v>
      </c>
      <c r="W7" s="6370" t="s">
        <v>59</v>
      </c>
      <c r="X7" s="6370" t="s">
        <v>61</v>
      </c>
      <c r="Y7" s="6370" t="s">
        <v>59</v>
      </c>
      <c r="Z7" s="6370" t="s">
        <v>61</v>
      </c>
      <c r="AA7" s="6370" t="s">
        <v>59</v>
      </c>
      <c r="AB7" s="6370" t="s">
        <v>61</v>
      </c>
      <c r="AC7" s="6064" t="s">
        <v>79</v>
      </c>
      <c r="AD7" s="6064" t="s">
        <v>80</v>
      </c>
      <c r="AE7" s="6064" t="s">
        <v>69</v>
      </c>
      <c r="AF7" s="6450" t="s">
        <v>70</v>
      </c>
      <c r="AG7" s="6444" t="s">
        <v>59</v>
      </c>
      <c r="AH7" s="6370" t="s">
        <v>60</v>
      </c>
      <c r="AI7" s="6370" t="s">
        <v>59</v>
      </c>
      <c r="AJ7" s="6370" t="s">
        <v>61</v>
      </c>
      <c r="AK7" s="6370" t="s">
        <v>59</v>
      </c>
      <c r="AL7" s="6370" t="s">
        <v>61</v>
      </c>
      <c r="AM7" s="6370" t="s">
        <v>59</v>
      </c>
      <c r="AN7" s="6370" t="s">
        <v>61</v>
      </c>
      <c r="AO7" s="6370" t="s">
        <v>59</v>
      </c>
      <c r="AP7" s="6370" t="s">
        <v>61</v>
      </c>
      <c r="AQ7" s="6064" t="s">
        <v>83</v>
      </c>
      <c r="AR7" s="6064" t="s">
        <v>84</v>
      </c>
      <c r="AS7" s="6064" t="s">
        <v>69</v>
      </c>
      <c r="AT7" s="6443" t="s">
        <v>70</v>
      </c>
      <c r="AU7" s="6444" t="s">
        <v>59</v>
      </c>
      <c r="AV7" s="6370" t="s">
        <v>60</v>
      </c>
      <c r="AW7" s="6380" t="s">
        <v>59</v>
      </c>
      <c r="AX7" s="6370" t="s">
        <v>61</v>
      </c>
      <c r="AY7" s="6370" t="s">
        <v>59</v>
      </c>
      <c r="AZ7" s="6370" t="s">
        <v>61</v>
      </c>
      <c r="BA7" s="6370" t="s">
        <v>59</v>
      </c>
      <c r="BB7" s="6370" t="s">
        <v>61</v>
      </c>
      <c r="BC7" s="6370" t="s">
        <v>59</v>
      </c>
      <c r="BD7" s="6370" t="s">
        <v>61</v>
      </c>
      <c r="BE7" s="6064" t="s">
        <v>957</v>
      </c>
      <c r="BF7" s="6064" t="s">
        <v>958</v>
      </c>
      <c r="BG7" s="6064" t="s">
        <v>69</v>
      </c>
      <c r="BH7" s="6443" t="s">
        <v>70</v>
      </c>
      <c r="BI7" s="6444" t="s">
        <v>59</v>
      </c>
      <c r="BJ7" s="6370" t="s">
        <v>60</v>
      </c>
      <c r="BK7" s="6370" t="s">
        <v>59</v>
      </c>
      <c r="BL7" s="6370" t="s">
        <v>61</v>
      </c>
      <c r="BM7" s="6370" t="s">
        <v>59</v>
      </c>
      <c r="BN7" s="6370" t="s">
        <v>61</v>
      </c>
      <c r="BO7" s="6370" t="s">
        <v>59</v>
      </c>
      <c r="BP7" s="6370" t="s">
        <v>61</v>
      </c>
      <c r="BQ7" s="6370" t="s">
        <v>59</v>
      </c>
      <c r="BR7" s="6370" t="s">
        <v>61</v>
      </c>
      <c r="BS7" s="6064" t="s">
        <v>95</v>
      </c>
      <c r="BT7" s="6064" t="s">
        <v>96</v>
      </c>
      <c r="BU7" s="6064" t="s">
        <v>69</v>
      </c>
      <c r="BV7" s="6443" t="s">
        <v>70</v>
      </c>
    </row>
    <row r="8" spans="1:78" ht="73.5" customHeight="1">
      <c r="A8" s="6451"/>
      <c r="B8" s="6453"/>
      <c r="C8" s="6380"/>
      <c r="D8" s="6370"/>
      <c r="E8" s="6370"/>
      <c r="F8" s="6370"/>
      <c r="G8" s="6370"/>
      <c r="H8" s="6370"/>
      <c r="I8" s="6370"/>
      <c r="J8" s="6370"/>
      <c r="K8" s="6370"/>
      <c r="L8" s="6370"/>
      <c r="M8" s="6370"/>
      <c r="N8" s="6370"/>
      <c r="O8" s="6064"/>
      <c r="P8" s="6064"/>
      <c r="Q8" s="6064"/>
      <c r="R8" s="6064"/>
      <c r="S8" s="6370"/>
      <c r="T8" s="6370"/>
      <c r="U8" s="6370"/>
      <c r="V8" s="6370"/>
      <c r="W8" s="6370"/>
      <c r="X8" s="6370"/>
      <c r="Y8" s="6370"/>
      <c r="Z8" s="6370"/>
      <c r="AA8" s="6370"/>
      <c r="AB8" s="6370"/>
      <c r="AC8" s="6064"/>
      <c r="AD8" s="6064"/>
      <c r="AE8" s="6064"/>
      <c r="AF8" s="6450"/>
      <c r="AG8" s="6444"/>
      <c r="AH8" s="6370"/>
      <c r="AI8" s="6370"/>
      <c r="AJ8" s="6370"/>
      <c r="AK8" s="6370"/>
      <c r="AL8" s="6370"/>
      <c r="AM8" s="6370"/>
      <c r="AN8" s="6370"/>
      <c r="AO8" s="6370"/>
      <c r="AP8" s="6370"/>
      <c r="AQ8" s="6064"/>
      <c r="AR8" s="6064"/>
      <c r="AS8" s="6064"/>
      <c r="AT8" s="6443"/>
      <c r="AU8" s="6444"/>
      <c r="AV8" s="6370"/>
      <c r="AW8" s="6380"/>
      <c r="AX8" s="6370"/>
      <c r="AY8" s="6370"/>
      <c r="AZ8" s="6370"/>
      <c r="BA8" s="6370"/>
      <c r="BB8" s="6370"/>
      <c r="BC8" s="6370"/>
      <c r="BD8" s="6370"/>
      <c r="BE8" s="6064"/>
      <c r="BF8" s="6064"/>
      <c r="BG8" s="6064"/>
      <c r="BH8" s="6443"/>
      <c r="BI8" s="6444"/>
      <c r="BJ8" s="6370"/>
      <c r="BK8" s="6370"/>
      <c r="BL8" s="6370"/>
      <c r="BM8" s="6370"/>
      <c r="BN8" s="6370"/>
      <c r="BO8" s="6370"/>
      <c r="BP8" s="6370"/>
      <c r="BQ8" s="6370"/>
      <c r="BR8" s="6370"/>
      <c r="BS8" s="6064"/>
      <c r="BT8" s="6064"/>
      <c r="BU8" s="6064"/>
      <c r="BV8" s="6443"/>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P10" si="3">SUM(AN11,AN51)</f>
        <v>8774007</v>
      </c>
      <c r="AO10" s="169">
        <f>SUM(AO11,AO51)</f>
        <v>8495000</v>
      </c>
      <c r="AP10" s="169">
        <f t="shared" si="3"/>
        <v>8431726</v>
      </c>
      <c r="AQ10" s="163">
        <f t="shared" ref="AQ10:AR10" si="4">SUM(AQ11,AQ51)</f>
        <v>34417000.130686</v>
      </c>
      <c r="AR10" s="163">
        <f t="shared" si="4"/>
        <v>37377117.562454991</v>
      </c>
      <c r="AS10" s="246">
        <f>AR10/$AR$10</f>
        <v>1</v>
      </c>
      <c r="AT10" s="188">
        <f>(((AH10/AB10)*(AJ10/AH10)*(AL10/AJ10)*(AN10/AL10)*(AP10/AN10))^(1/5))-1</f>
        <v>0.10255927736981851</v>
      </c>
      <c r="AU10" s="17">
        <f>SUM(AU11,AU51)</f>
        <v>8140900</v>
      </c>
      <c r="AV10" s="163">
        <f t="shared" ref="AV10:AX10" si="5">SUM(AV11,AV51)</f>
        <v>7213306.517155</v>
      </c>
      <c r="AW10" s="163">
        <f>SUM(AW11,AW51)</f>
        <v>6818777</v>
      </c>
      <c r="AX10" s="163">
        <f t="shared" si="5"/>
        <v>7877158.9295709999</v>
      </c>
      <c r="AY10" s="163">
        <f>SUM(AY11,AY51)</f>
        <v>7590000</v>
      </c>
      <c r="AZ10" s="163">
        <f t="shared" ref="AZ10:BB10" si="6">SUM(AZ11,AZ51)</f>
        <v>8341080.6712859999</v>
      </c>
      <c r="BA10" s="163">
        <f>SUM(BA11,BA51)</f>
        <v>9674054.1620000005</v>
      </c>
      <c r="BB10" s="191">
        <f t="shared" si="6"/>
        <v>9114053.7314166669</v>
      </c>
      <c r="BC10" s="191">
        <f>SUM(BC11,BC51)</f>
        <v>9655999.6999999993</v>
      </c>
      <c r="BD10" s="191">
        <f t="shared" ref="BD10:BF10" si="7">SUM(BD11,BD51)</f>
        <v>9655999.6999999993</v>
      </c>
      <c r="BE10" s="213">
        <f>SUM(BE11,BE51)</f>
        <v>32223731.162</v>
      </c>
      <c r="BF10" s="213">
        <f t="shared" si="7"/>
        <v>32545599.849428669</v>
      </c>
      <c r="BG10" s="246">
        <f>BF10/$BF$10</f>
        <v>1</v>
      </c>
      <c r="BH10" s="247">
        <f>(((AV10/AP10)*(AX10/AV10)*(AZ10/AX10)*(BB10/AZ10))^(1/4))-1</f>
        <v>1.9644485662542177E-2</v>
      </c>
      <c r="BI10" s="208">
        <f>SUM(BI11,BI51)</f>
        <v>9827000.2300000004</v>
      </c>
      <c r="BJ10" s="209">
        <f t="shared" ref="BJ10:BL10" si="8">SUM(BJ11,BJ51)</f>
        <v>9827000.2300000004</v>
      </c>
      <c r="BK10" s="209">
        <f>SUM(BK11,BK51)</f>
        <v>10017000.369999999</v>
      </c>
      <c r="BL10" s="209">
        <f t="shared" si="8"/>
        <v>10017000.369999999</v>
      </c>
      <c r="BM10" s="191">
        <f>SUM(BM11,BM51)</f>
        <v>13026000</v>
      </c>
      <c r="BN10" s="191">
        <f t="shared" ref="BN10:BP10" si="9">SUM(BN11,BN51)</f>
        <v>13026000</v>
      </c>
      <c r="BO10" s="191">
        <f>SUM(BO11,BO51)</f>
        <v>14105000</v>
      </c>
      <c r="BP10" s="191">
        <f t="shared" si="9"/>
        <v>14105000</v>
      </c>
      <c r="BQ10" s="191">
        <f>SUM(BQ11,BQ51)</f>
        <v>15353000</v>
      </c>
      <c r="BR10" s="191">
        <f t="shared" ref="BR10:BT10" si="10">SUM(BR11,BR51)</f>
        <v>15353000</v>
      </c>
      <c r="BS10" s="191">
        <f>SUM(BS11,BS51)</f>
        <v>62328000.600000001</v>
      </c>
      <c r="BT10" s="191">
        <f t="shared" si="10"/>
        <v>62328000.600000001</v>
      </c>
      <c r="BU10" s="141">
        <f>BT10/$BT$10*100</f>
        <v>100</v>
      </c>
      <c r="BV10" s="247">
        <f>(((BJ10/BD10)*(BL10/BJ10)*(BN10/BL10)*(BP10/BN10)*(BR10/BP10))^(1/5))-1</f>
        <v>9.7183331802968231E-2</v>
      </c>
      <c r="BY10" s="1">
        <f>+BB10/AZ10</f>
        <v>1.0926706131486787</v>
      </c>
      <c r="BZ10" s="816">
        <f>BY10-100%</f>
        <v>9.2670613148678749E-2</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11">SUM(AB13,AB19,AB25,AB30,AB36:AB47,AB49:AB50)</f>
        <v>4931116</v>
      </c>
      <c r="AC11" s="157"/>
      <c r="AD11" s="163">
        <f t="shared" si="11"/>
        <v>20928238.108757</v>
      </c>
      <c r="AE11" s="155"/>
      <c r="AF11" s="280"/>
      <c r="AG11" s="17">
        <f>SUM(AG13,AG19,AG25,AG30,AG36:AG47,AG49:AG50)</f>
        <v>5235700</v>
      </c>
      <c r="AH11" s="163">
        <f t="shared" ref="AH11:AJ11" si="12">SUM(AH13,AH19,AH25,AH30,AH36:AH47,AH49:AH50)</f>
        <v>6263046.1891880007</v>
      </c>
      <c r="AI11" s="163">
        <f>SUM(AI13,AI19,AI25,AI30,AI36:AI47,AI49:AI50)</f>
        <v>6515000.130686</v>
      </c>
      <c r="AJ11" s="163">
        <f t="shared" si="12"/>
        <v>6720099.27654</v>
      </c>
      <c r="AK11" s="163">
        <f>SUM(AK13,AK19,AK25,AK30,AK36:AK47,AK49:AK50)</f>
        <v>6625300</v>
      </c>
      <c r="AL11" s="163">
        <f t="shared" ref="AL11" si="13">SUM(AL13,AL19,AL25,AL30,AL36:AL47,AL49:AL50)</f>
        <v>6909596</v>
      </c>
      <c r="AM11" s="163">
        <f>SUM(AM13,AM19,AM25,AM30,AM36:AM47,AM49:AM50)</f>
        <v>7007000</v>
      </c>
      <c r="AN11" s="163">
        <f t="shared" ref="AN11:AP11" si="14">SUM(AN13,AN19,AN25,AN30,AN36:AN47,AN49:AN50)</f>
        <v>8647717</v>
      </c>
      <c r="AO11" s="163">
        <f>SUM(AO13,AO19,AO25,AO30,AO36:AO47,AO49:AO50)</f>
        <v>8425000</v>
      </c>
      <c r="AP11" s="163">
        <f t="shared" si="14"/>
        <v>8337967</v>
      </c>
      <c r="AQ11" s="163">
        <f t="shared" ref="AQ11:AR11" si="15">SUM(AQ13,AQ19,AQ25,AQ30,AQ36:AQ47,AQ49:AQ50)</f>
        <v>33808000.130686</v>
      </c>
      <c r="AR11" s="163">
        <f t="shared" si="15"/>
        <v>36878425.465727992</v>
      </c>
      <c r="AS11" s="246">
        <f>AR11/$AR$10</f>
        <v>0.98665782357631748</v>
      </c>
      <c r="AT11" s="188">
        <f>(((AH11/AB11)*(AJ11/AH11)*(AL11/AJ11)*(AN11/AL11)*(AP11/AN11))^(1/5))-1</f>
        <v>0.11076705589544589</v>
      </c>
      <c r="AU11" s="17">
        <f>SUM(AU13,AU19,AU25,AU30,AU36:AU47,AU49:AU50)</f>
        <v>8035900</v>
      </c>
      <c r="AV11" s="163">
        <f t="shared" ref="AV11:AX11" si="16">SUM(AV13,AV19,AV25,AV30,AV36:AV47,AV49:AV50)</f>
        <v>7016451.517155</v>
      </c>
      <c r="AW11" s="163">
        <f>SUM(AW13,AW19,AW25,AW30,AW36:AW47,AW49:AW50)</f>
        <v>6708777</v>
      </c>
      <c r="AX11" s="163">
        <f t="shared" si="16"/>
        <v>7487375.559316</v>
      </c>
      <c r="AY11" s="163">
        <f>SUM(AY13,AY19,AY25,AY30,AY36:AY47,AY49:AY50)</f>
        <v>7440000</v>
      </c>
      <c r="AZ11" s="163">
        <f t="shared" ref="AZ11:BB11" si="17">SUM(AZ13,AZ19,AZ25,AZ30,AZ36:AZ47,AZ49:AZ50)</f>
        <v>8059193</v>
      </c>
      <c r="BA11" s="163">
        <f>SUM(BA13,BA19,BA25,BA30,BA36:BA47,BA49:BA50)</f>
        <v>9474054.1620000005</v>
      </c>
      <c r="BB11" s="191">
        <f t="shared" si="17"/>
        <v>8854054.1620000005</v>
      </c>
      <c r="BC11" s="191">
        <f>SUM(BC13,BC19,BC25,BC30,BC36:BC47,BC49:BC50)</f>
        <v>9383000</v>
      </c>
      <c r="BD11" s="191">
        <f t="shared" ref="BD11:BF11" si="18">SUM(BD13,BD19,BD25,BD30,BD36:BD47,BD49:BD50)</f>
        <v>9383000</v>
      </c>
      <c r="BE11" s="213">
        <f>SUM(BE13,BE19,BE25,BE30,BE36:BE47,BE49:BE50)</f>
        <v>31658731.162</v>
      </c>
      <c r="BF11" s="213">
        <f t="shared" si="18"/>
        <v>31417074.238471001</v>
      </c>
      <c r="BG11" s="246">
        <f>BF11/$BF$10</f>
        <v>0.96532478687814138</v>
      </c>
      <c r="BH11" s="247">
        <f>(((AV11/AP11)*(AX11/AV11)*(AZ11/AX11)*(BB11/AZ11))^(1/4))-1</f>
        <v>1.5127283875841391E-2</v>
      </c>
      <c r="BI11" s="208">
        <f>SUM(BI13,BI19,BI25,BI30,BI36:BI47,BI49:BI50)</f>
        <v>9540000</v>
      </c>
      <c r="BJ11" s="209">
        <f t="shared" ref="BJ11:BL11" si="19">SUM(BJ13,BJ19,BJ25,BJ30,BJ36:BJ47,BJ49:BJ50)</f>
        <v>9540000</v>
      </c>
      <c r="BK11" s="209">
        <f>SUM(BK13,BK19,BK25,BK30,BK36:BK47,BK49:BK50)</f>
        <v>9715000</v>
      </c>
      <c r="BL11" s="209">
        <f t="shared" si="19"/>
        <v>9715000</v>
      </c>
      <c r="BM11" s="191">
        <f>SUM(BM13,BM19,BM25,BM30,BM36:BM47,BM49:BM50)</f>
        <v>12710000</v>
      </c>
      <c r="BN11" s="191">
        <f t="shared" ref="BN11:BP11" si="20">SUM(BN13,BN19,BN25,BN30,BN36:BN47,BN49:BN50)</f>
        <v>12710000</v>
      </c>
      <c r="BO11" s="191">
        <f>SUM(BO13,BO19,BO25,BO30,BO36:BO47,BO49:BO50)</f>
        <v>13770000</v>
      </c>
      <c r="BP11" s="191">
        <f t="shared" si="20"/>
        <v>13770000</v>
      </c>
      <c r="BQ11" s="191">
        <f>SUM(BQ13,BQ19,BQ25,BQ30,BQ36:BQ47,BQ49:BQ50)</f>
        <v>15000000</v>
      </c>
      <c r="BR11" s="191">
        <f t="shared" ref="BR11:BT11" si="21">SUM(BR13,BR19,BR25,BR30,BR36:BR47,BR49:BR50)</f>
        <v>15000000</v>
      </c>
      <c r="BS11" s="191">
        <f>SUM(BS13,BS19,BS25,BS30,BS36:BS47,BS49:BS50)</f>
        <v>60735000</v>
      </c>
      <c r="BT11" s="191">
        <f t="shared" si="21"/>
        <v>60735000</v>
      </c>
      <c r="BU11" s="141">
        <f>BT11/$BT$10*100</f>
        <v>97.444165407738097</v>
      </c>
      <c r="BV11" s="247">
        <f>(((BJ11/BD11)*(BL11/BJ11)*(BN11/BL11)*(BP11/BN11)*(BR11/BP11))^(1/5))-1</f>
        <v>9.8373151573715401E-2</v>
      </c>
      <c r="BY11" s="1">
        <f t="shared" ref="BY11:BY70" si="22">+BB11/AZ11</f>
        <v>1.0986278851989275</v>
      </c>
      <c r="BZ11" s="816">
        <f t="shared" ref="BZ11:BZ70" si="23">BY11-100%</f>
        <v>9.8627885198927512E-2</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4">AB11-AB42-AB47-AB50</f>
        <v>3357995</v>
      </c>
      <c r="AC12" s="260"/>
      <c r="AD12" s="250">
        <f t="shared" si="24"/>
        <v>14465758.663978001</v>
      </c>
      <c r="AE12" s="1055"/>
      <c r="AF12" s="1057"/>
      <c r="AG12" s="1058">
        <f>AG11-AG42-AG47-AG50</f>
        <v>4185700</v>
      </c>
      <c r="AH12" s="250">
        <f t="shared" ref="AH12:AJ12" si="25">AH11-AH42-AH47-AH50</f>
        <v>4498462.8100840002</v>
      </c>
      <c r="AI12" s="250">
        <f>AI11-AI42-AI47-AI50</f>
        <v>4865000.130686</v>
      </c>
      <c r="AJ12" s="250">
        <f t="shared" si="25"/>
        <v>4602597.6885219999</v>
      </c>
      <c r="AK12" s="250">
        <f>AK11-AK42-AK47-AK50</f>
        <v>4897300</v>
      </c>
      <c r="AL12" s="250">
        <f t="shared" ref="AL12:AN12" si="26">AL11-AL42-AL47-AL50</f>
        <v>4646968</v>
      </c>
      <c r="AM12" s="250">
        <f>AM11-AM42-AM47-AM50</f>
        <v>5169000</v>
      </c>
      <c r="AN12" s="250">
        <f t="shared" si="26"/>
        <v>6030442</v>
      </c>
      <c r="AO12" s="250">
        <f>AO11-AO42-AO47-AO50</f>
        <v>6310000</v>
      </c>
      <c r="AP12" s="250">
        <f t="shared" ref="AP12:AQ12" si="27">AP11-AP42-AP47-AP50</f>
        <v>5401040</v>
      </c>
      <c r="AQ12" s="250">
        <f t="shared" si="27"/>
        <v>25427000.130686</v>
      </c>
      <c r="AR12" s="250">
        <f t="shared" ref="AR12" si="28">AR11-AR42-AR47-AR50</f>
        <v>25179510.498605993</v>
      </c>
      <c r="AS12" s="1059">
        <f>AR12/$AR$10</f>
        <v>0.67366110980956451</v>
      </c>
      <c r="AT12" s="1060">
        <f>(((AH12/AB12)*(AJ12/AH12)*(AL12/AJ12)*(AN12/AL12)*(AP12/AN12))^(1/5))-1</f>
        <v>9.971328033732485E-2</v>
      </c>
      <c r="AU12" s="1058">
        <f>AU11-AU42-AU47-AU50</f>
        <v>5715900</v>
      </c>
      <c r="AV12" s="250">
        <f t="shared" ref="AV12:AX12" si="29">AV11-AV42-AV47-AV50</f>
        <v>4433673.517155</v>
      </c>
      <c r="AW12" s="250">
        <f>AW11-AW42-AW47-AW50</f>
        <v>4310000</v>
      </c>
      <c r="AX12" s="250">
        <f t="shared" si="29"/>
        <v>4638219.559316</v>
      </c>
      <c r="AY12" s="250">
        <f>AY11-AY42-AY47-AY50</f>
        <v>4890000</v>
      </c>
      <c r="AZ12" s="250">
        <f t="shared" ref="AZ12:BB12" si="30">AZ11-AZ42-AZ47-AZ50</f>
        <v>4804021</v>
      </c>
      <c r="BA12" s="250">
        <f>BA11-BA42-BA47-BA50</f>
        <v>5309000</v>
      </c>
      <c r="BB12" s="211">
        <f t="shared" si="30"/>
        <v>4689000</v>
      </c>
      <c r="BC12" s="211">
        <f>BC11-BC42-BC47-BC50</f>
        <v>5596000</v>
      </c>
      <c r="BD12" s="211">
        <f t="shared" ref="BD12" si="31">BD11-BD42-BD47-BD50</f>
        <v>5596000</v>
      </c>
      <c r="BE12" s="250">
        <f>BE11-BE42-BE47-BE50</f>
        <v>20224900</v>
      </c>
      <c r="BF12" s="250">
        <f>BF11-BF42-BF47-BF50</f>
        <v>18564914.076471001</v>
      </c>
      <c r="BG12" s="1059">
        <f>BF12/$BF$10</f>
        <v>0.57042777402662936</v>
      </c>
      <c r="BH12" s="1061">
        <f>(((AV12/AP12)*(AX12/AV12)*(AZ12/AX12)*(BB12/AZ12))^(1/4))-1</f>
        <v>-3.4725774855525526E-2</v>
      </c>
      <c r="BI12" s="210">
        <f>BI11-BI42-BI47-BI50</f>
        <v>5856000</v>
      </c>
      <c r="BJ12" s="211">
        <f t="shared" ref="BJ12:BL12" si="32">BJ11-BJ42-BJ47-BJ50</f>
        <v>5856000</v>
      </c>
      <c r="BK12" s="211">
        <f>BK11-BK42-BK47-BK50</f>
        <v>6078000</v>
      </c>
      <c r="BL12" s="211">
        <f t="shared" si="32"/>
        <v>6078000</v>
      </c>
      <c r="BM12" s="211">
        <f>BM11-BM42-BM47-BM50</f>
        <v>7990000</v>
      </c>
      <c r="BN12" s="211">
        <f t="shared" ref="BN12:BP12" si="33">BN11-BN42-BN47-BN50</f>
        <v>7990000</v>
      </c>
      <c r="BO12" s="211">
        <f>BO11-BO42-BO47-BO50</f>
        <v>8790000</v>
      </c>
      <c r="BP12" s="211">
        <f t="shared" si="33"/>
        <v>8790000</v>
      </c>
      <c r="BQ12" s="211">
        <f>BQ11-BQ42-BQ47-BQ50</f>
        <v>9740000</v>
      </c>
      <c r="BR12" s="211">
        <f t="shared" ref="BR12:BT12" si="34">BR11-BR42-BR47-BR50</f>
        <v>9740000</v>
      </c>
      <c r="BS12" s="211">
        <f>BS11-BS42-BS47-BS50</f>
        <v>38454000</v>
      </c>
      <c r="BT12" s="211">
        <f t="shared" si="34"/>
        <v>38454000</v>
      </c>
      <c r="BU12" s="1062">
        <f>BT12/$BT$10*100</f>
        <v>61.69618731520805</v>
      </c>
      <c r="BV12" s="1061">
        <f>(((BJ12/BD12)*(BL12/BJ12)*(BN12/BL12)*(BP12/BN12)*(BR12/BP12))^(1/5))-1</f>
        <v>0.11721369369521439</v>
      </c>
      <c r="BY12" s="1">
        <f t="shared" si="22"/>
        <v>0.9760573486252454</v>
      </c>
      <c r="BZ12" s="816">
        <f t="shared" si="23"/>
        <v>-2.3942651374754598E-2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5">SUM(AA14:AA18)</f>
        <v>0</v>
      </c>
      <c r="AB13" s="142">
        <f t="shared" si="35"/>
        <v>205240</v>
      </c>
      <c r="AC13" s="142"/>
      <c r="AD13" s="142">
        <f t="shared" ref="AD13" si="36">SUM(AD14:AD18)</f>
        <v>1553734.570387</v>
      </c>
      <c r="AE13" s="158"/>
      <c r="AF13" s="281"/>
      <c r="AG13" s="18">
        <f t="shared" ref="AG13:AR13" si="37">SUM(AG14:AG18)</f>
        <v>175000</v>
      </c>
      <c r="AH13" s="142">
        <f t="shared" si="37"/>
        <v>203694.30536599999</v>
      </c>
      <c r="AI13" s="142">
        <f t="shared" si="37"/>
        <v>230000</v>
      </c>
      <c r="AJ13" s="142">
        <f t="shared" si="37"/>
        <v>196934</v>
      </c>
      <c r="AK13" s="163">
        <f t="shared" si="37"/>
        <v>215000</v>
      </c>
      <c r="AL13" s="163">
        <f t="shared" si="37"/>
        <v>203575</v>
      </c>
      <c r="AM13" s="163">
        <f t="shared" si="37"/>
        <v>195000</v>
      </c>
      <c r="AN13" s="163">
        <f t="shared" si="37"/>
        <v>223868</v>
      </c>
      <c r="AO13" s="163">
        <f t="shared" si="37"/>
        <v>235000</v>
      </c>
      <c r="AP13" s="163">
        <f t="shared" si="37"/>
        <v>183101</v>
      </c>
      <c r="AQ13" s="163">
        <f t="shared" si="37"/>
        <v>1050000</v>
      </c>
      <c r="AR13" s="163">
        <f t="shared" si="37"/>
        <v>1011172.305366</v>
      </c>
      <c r="AS13" s="246">
        <f>AR13/$AR$10</f>
        <v>2.7053244640290679E-2</v>
      </c>
      <c r="AT13" s="188">
        <f>(((AH13/AB13)*(AJ13/AH13)*(AL13/AJ13)*(AN13/AL13)*(AP13/AN13))^(1/5))-1</f>
        <v>-2.2569825667848264E-2</v>
      </c>
      <c r="AU13" s="17">
        <f>SUM(AU14:AU18)</f>
        <v>210000</v>
      </c>
      <c r="AV13" s="142">
        <f t="shared" ref="AV13" si="38">SUM(AV14:AV18)</f>
        <v>245000.595779</v>
      </c>
      <c r="AW13" s="163">
        <f>SUM(AW14:AW18)</f>
        <v>185000</v>
      </c>
      <c r="AX13" s="163">
        <f t="shared" ref="AX13" si="39">SUM(AX14:AX18)</f>
        <v>227901.09784099998</v>
      </c>
      <c r="AY13" s="163">
        <f>SUM(AY14:AY18)</f>
        <v>250000</v>
      </c>
      <c r="AZ13" s="163">
        <f t="shared" ref="AZ13" si="40">SUM(AZ14:AZ18)</f>
        <v>209114</v>
      </c>
      <c r="BA13" s="163">
        <f>SUM(BA14:BA18)</f>
        <v>230000</v>
      </c>
      <c r="BB13" s="192">
        <f t="shared" ref="BB13" si="41">SUM(BB14:BB18)</f>
        <v>230000</v>
      </c>
      <c r="BC13" s="191">
        <f>SUM(BC14:BC18)</f>
        <v>255000</v>
      </c>
      <c r="BD13" s="192">
        <f t="shared" ref="BD13:BF13" si="42">SUM(BD14:BD18)</f>
        <v>255000</v>
      </c>
      <c r="BE13" s="147">
        <f>SUM(BE14:BE18)</f>
        <v>875000</v>
      </c>
      <c r="BF13" s="147">
        <f t="shared" si="42"/>
        <v>912015.69362000003</v>
      </c>
      <c r="BG13" s="246">
        <f>BF13/$BF$10</f>
        <v>2.8022703463430259E-2</v>
      </c>
      <c r="BH13" s="1061">
        <f>(((AV13/AP13)*(AX13/AV13)*(AZ13/AX13)*(BB13/AZ13))^(1/4))-1</f>
        <v>5.8666766417970084E-2</v>
      </c>
      <c r="BI13" s="208">
        <f>SUM(BI14:BI18)</f>
        <v>265000</v>
      </c>
      <c r="BJ13" s="185">
        <f t="shared" ref="BJ13:BL13" si="43">SUM(BJ14:BJ18)</f>
        <v>265000</v>
      </c>
      <c r="BK13" s="209">
        <f>SUM(BK14:BK18)</f>
        <v>280000</v>
      </c>
      <c r="BL13" s="185">
        <f t="shared" si="43"/>
        <v>280000</v>
      </c>
      <c r="BM13" s="191">
        <f>SUM(BM14:BM18)</f>
        <v>410000</v>
      </c>
      <c r="BN13" s="192">
        <f t="shared" ref="BN13:BP13" si="44">SUM(BN14:BN18)</f>
        <v>410000</v>
      </c>
      <c r="BO13" s="191">
        <f>SUM(BO14:BO18)</f>
        <v>455000</v>
      </c>
      <c r="BP13" s="192">
        <f t="shared" si="44"/>
        <v>455000</v>
      </c>
      <c r="BQ13" s="191">
        <f>SUM(BQ14:BQ18)</f>
        <v>510000</v>
      </c>
      <c r="BR13" s="192">
        <f t="shared" ref="BR13:BT13" si="45">SUM(BR14:BR18)</f>
        <v>510000</v>
      </c>
      <c r="BS13" s="191">
        <f>SUM(BS14:BS18)</f>
        <v>1920000</v>
      </c>
      <c r="BT13" s="192">
        <f t="shared" si="45"/>
        <v>1920000</v>
      </c>
      <c r="BU13" s="141">
        <f>BT13/$BT$10*100</f>
        <v>3.0804774443542793</v>
      </c>
      <c r="BV13" s="247">
        <f>(((BJ13/BD13)*(BL13/BJ13)*(BN13/BL13)*(BP13/BN13)*(BR13/BP13))^(1/5))-1</f>
        <v>0.1486983549970351</v>
      </c>
      <c r="BY13" s="1">
        <f t="shared" si="22"/>
        <v>1.0998785351530744</v>
      </c>
      <c r="BZ13" s="816">
        <f t="shared" si="23"/>
        <v>9.9878535153074433E-2</v>
      </c>
    </row>
    <row r="14" spans="1:78" ht="18" hidden="1"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I'!D14</f>
        <v>170000</v>
      </c>
      <c r="BB14" s="252">
        <f>'Phụ lục số I'!J14</f>
        <v>165500</v>
      </c>
      <c r="BC14" s="252">
        <f>'Phụ lục số I'!Q14</f>
        <v>185000</v>
      </c>
      <c r="BD14" s="252">
        <f>BC14</f>
        <v>185000</v>
      </c>
      <c r="BE14" s="152">
        <f>AU14+AW14+AY14+BA14</f>
        <v>667000</v>
      </c>
      <c r="BF14" s="152">
        <f>AV14+AX14+AZ14+BB14</f>
        <v>685530.34517400002</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 si="46">BJ14+BL14+BN14+BP14+BR14</f>
        <v>1452000</v>
      </c>
      <c r="BU14" s="155"/>
      <c r="BV14" s="25"/>
      <c r="BY14" s="1">
        <f t="shared" si="22"/>
        <v>1.0650826645729694</v>
      </c>
      <c r="BZ14" s="816">
        <f t="shared" si="23"/>
        <v>6.5082664572969406E-2</v>
      </c>
    </row>
    <row r="15" spans="1:78" hidden="1">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Q18" si="47">AG15+AI15+AK15+AM15+AO15</f>
        <v>83500</v>
      </c>
      <c r="AR15" s="157">
        <f t="shared" ref="AR15:AR18" si="48">AH15+AJ15+AL15+AN15+AP15</f>
        <v>201934.12205999999</v>
      </c>
      <c r="AS15" s="155"/>
      <c r="AT15" s="25"/>
      <c r="AU15" s="27">
        <v>21000</v>
      </c>
      <c r="AV15" s="157">
        <v>40520.126830000001</v>
      </c>
      <c r="AW15" s="37">
        <v>16985</v>
      </c>
      <c r="AX15" s="162">
        <v>42098.391465000001</v>
      </c>
      <c r="AY15" s="162">
        <v>42000</v>
      </c>
      <c r="AZ15" s="162">
        <v>35859</v>
      </c>
      <c r="BA15" s="157">
        <f>'Phụ lục số I'!D15</f>
        <v>20000</v>
      </c>
      <c r="BB15" s="252">
        <f>'Phụ lục số I'!J15</f>
        <v>20000</v>
      </c>
      <c r="BC15" s="252">
        <f>'Phụ lục số I'!Q15</f>
        <v>23000</v>
      </c>
      <c r="BD15" s="252">
        <f t="shared" ref="BD15:BD18" si="49">BC15</f>
        <v>23000</v>
      </c>
      <c r="BE15" s="152">
        <f t="shared" ref="BE15:BE18" si="50">AU15+AW15+AY15+BA15</f>
        <v>99985</v>
      </c>
      <c r="BF15" s="152">
        <f t="shared" ref="BF15:BF18" si="51">AV15+AX15+AZ15+BB15</f>
        <v>138477.51829500002</v>
      </c>
      <c r="BG15" s="155"/>
      <c r="BH15" s="25"/>
      <c r="BI15" s="288">
        <f>'Phụ lục số I'!W15</f>
        <v>24700</v>
      </c>
      <c r="BJ15" s="152">
        <f t="shared" ref="BJ15:BJ57" si="52">BI15</f>
        <v>24700</v>
      </c>
      <c r="BK15" s="152">
        <f>'Phụ lục số I'!AC15</f>
        <v>26000</v>
      </c>
      <c r="BL15" s="152">
        <f t="shared" ref="BL15:BL57" si="53">BK15</f>
        <v>26000</v>
      </c>
      <c r="BM15" s="157">
        <f>'Phụ lục số I'!AI15</f>
        <v>27000</v>
      </c>
      <c r="BN15" s="157">
        <f t="shared" ref="BN15:BN57" si="54">BM15</f>
        <v>27000</v>
      </c>
      <c r="BO15" s="157">
        <f>'Phụ lục số I'!AO15</f>
        <v>29000</v>
      </c>
      <c r="BP15" s="157">
        <f t="shared" ref="BP15:BP57" si="55">BO15</f>
        <v>29000</v>
      </c>
      <c r="BQ15" s="157">
        <f>'Phụ lục số I'!AU15</f>
        <v>30000</v>
      </c>
      <c r="BR15" s="157">
        <f t="shared" ref="BR15:BR57" si="56">BQ15</f>
        <v>30000</v>
      </c>
      <c r="BS15" s="157">
        <f t="shared" ref="BS15:BS18" si="57">BI15+BK15+BM15+BO15+BQ15</f>
        <v>136700</v>
      </c>
      <c r="BT15" s="157">
        <f t="shared" ref="BT15:BT18" si="58">BJ15+BL15+BN15+BP15+BR15</f>
        <v>136700</v>
      </c>
      <c r="BU15" s="155"/>
      <c r="BV15" s="25"/>
      <c r="BY15" s="1">
        <f t="shared" si="22"/>
        <v>0.55774003736858246</v>
      </c>
      <c r="BZ15" s="816">
        <f t="shared" si="23"/>
        <v>-0.44225996263141754</v>
      </c>
    </row>
    <row r="16" spans="1:78" hidden="1">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7"/>
        <v>311000</v>
      </c>
      <c r="AR16" s="157">
        <f t="shared" si="48"/>
        <v>138623.96972300002</v>
      </c>
      <c r="AS16" s="155"/>
      <c r="AT16" s="25"/>
      <c r="AU16" s="27">
        <v>28000</v>
      </c>
      <c r="AV16" s="157">
        <v>18307.032852</v>
      </c>
      <c r="AW16" s="37">
        <v>28000</v>
      </c>
      <c r="AX16" s="162">
        <v>7305.2439379999996</v>
      </c>
      <c r="AY16" s="162">
        <v>12000</v>
      </c>
      <c r="AZ16" s="162">
        <v>17857</v>
      </c>
      <c r="BA16" s="157">
        <f>'Phụ lục số I'!D16</f>
        <v>40000</v>
      </c>
      <c r="BB16" s="252">
        <f>'Phụ lục số I'!J16</f>
        <v>40000</v>
      </c>
      <c r="BC16" s="252">
        <f>'Phụ lục số I'!Q16</f>
        <v>42000</v>
      </c>
      <c r="BD16" s="252">
        <f t="shared" si="49"/>
        <v>42000</v>
      </c>
      <c r="BE16" s="152">
        <f t="shared" si="50"/>
        <v>108000</v>
      </c>
      <c r="BF16" s="152">
        <f t="shared" si="51"/>
        <v>83469.276790000004</v>
      </c>
      <c r="BG16" s="155"/>
      <c r="BH16" s="25"/>
      <c r="BI16" s="288">
        <f>'Phụ lục số I'!W16</f>
        <v>45000</v>
      </c>
      <c r="BJ16" s="152">
        <f t="shared" si="52"/>
        <v>45000</v>
      </c>
      <c r="BK16" s="152">
        <f>'Phụ lục số I'!AC16</f>
        <v>48000</v>
      </c>
      <c r="BL16" s="152">
        <f t="shared" si="53"/>
        <v>48000</v>
      </c>
      <c r="BM16" s="157">
        <f>'Phụ lục số I'!AI16</f>
        <v>68000</v>
      </c>
      <c r="BN16" s="157">
        <f t="shared" si="54"/>
        <v>68000</v>
      </c>
      <c r="BO16" s="157">
        <f>'Phụ lục số I'!AO16</f>
        <v>75000</v>
      </c>
      <c r="BP16" s="157">
        <f t="shared" si="55"/>
        <v>75000</v>
      </c>
      <c r="BQ16" s="157">
        <f>'Phụ lục số I'!AU16</f>
        <v>84000</v>
      </c>
      <c r="BR16" s="157">
        <f t="shared" si="56"/>
        <v>84000</v>
      </c>
      <c r="BS16" s="157">
        <f t="shared" si="57"/>
        <v>320000</v>
      </c>
      <c r="BT16" s="157">
        <f t="shared" si="58"/>
        <v>320000</v>
      </c>
      <c r="BU16" s="155"/>
      <c r="BV16" s="25"/>
      <c r="BY16" s="1">
        <f t="shared" si="22"/>
        <v>2.240017920143361</v>
      </c>
      <c r="BZ16" s="816">
        <f t="shared" si="23"/>
        <v>1.240017920143361</v>
      </c>
    </row>
    <row r="17" spans="1:78" hidden="1">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7"/>
        <v>0</v>
      </c>
      <c r="AR17" s="157">
        <f t="shared" si="48"/>
        <v>8</v>
      </c>
      <c r="AS17" s="155"/>
      <c r="AT17" s="25"/>
      <c r="AU17" s="27"/>
      <c r="AV17" s="157">
        <v>18.330641</v>
      </c>
      <c r="AW17" s="37">
        <v>15</v>
      </c>
      <c r="AX17" s="162">
        <v>9.2227200000000007</v>
      </c>
      <c r="AY17" s="162"/>
      <c r="AZ17" s="162">
        <v>11</v>
      </c>
      <c r="BA17" s="157">
        <f>'Phụ lục số I'!D17</f>
        <v>0</v>
      </c>
      <c r="BB17" s="252">
        <f>'Phụ lục số I'!J17</f>
        <v>4500</v>
      </c>
      <c r="BC17" s="252">
        <f>'Phụ lục số I'!Q17</f>
        <v>5000</v>
      </c>
      <c r="BD17" s="252">
        <f t="shared" si="49"/>
        <v>5000</v>
      </c>
      <c r="BE17" s="152">
        <f t="shared" si="50"/>
        <v>15</v>
      </c>
      <c r="BF17" s="152">
        <f t="shared" si="51"/>
        <v>4538.5533610000002</v>
      </c>
      <c r="BG17" s="155"/>
      <c r="BH17" s="25"/>
      <c r="BI17" s="288">
        <f>'Phụ lục số I'!W17</f>
        <v>5300</v>
      </c>
      <c r="BJ17" s="152">
        <f t="shared" si="52"/>
        <v>5300</v>
      </c>
      <c r="BK17" s="152">
        <f>'Phụ lục số I'!AC17</f>
        <v>6000</v>
      </c>
      <c r="BL17" s="152">
        <f t="shared" si="53"/>
        <v>6000</v>
      </c>
      <c r="BM17" s="157">
        <f>'Phụ lục số I'!AI17</f>
        <v>0</v>
      </c>
      <c r="BN17" s="157">
        <f t="shared" si="54"/>
        <v>0</v>
      </c>
      <c r="BO17" s="157">
        <f>'Phụ lục số I'!AO17</f>
        <v>0</v>
      </c>
      <c r="BP17" s="157">
        <f t="shared" si="55"/>
        <v>0</v>
      </c>
      <c r="BQ17" s="157">
        <f>'Phụ lục số I'!AU17</f>
        <v>0</v>
      </c>
      <c r="BR17" s="157">
        <f t="shared" si="56"/>
        <v>0</v>
      </c>
      <c r="BS17" s="157">
        <f t="shared" si="57"/>
        <v>11300</v>
      </c>
      <c r="BT17" s="157">
        <f t="shared" si="58"/>
        <v>11300</v>
      </c>
      <c r="BU17" s="155"/>
      <c r="BV17" s="25"/>
      <c r="BY17" s="1">
        <f t="shared" si="22"/>
        <v>409.09090909090907</v>
      </c>
      <c r="BZ17" s="816">
        <f t="shared" si="23"/>
        <v>408.09090909090907</v>
      </c>
    </row>
    <row r="18" spans="1:78" hidden="1">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7"/>
        <v>3200</v>
      </c>
      <c r="AR18" s="157">
        <f t="shared" si="48"/>
        <v>4447.7977529999998</v>
      </c>
      <c r="AS18" s="155"/>
      <c r="AT18" s="25"/>
      <c r="AU18" s="27"/>
      <c r="AV18" s="157"/>
      <c r="AW18" s="157"/>
      <c r="AX18" s="162"/>
      <c r="AY18" s="162"/>
      <c r="AZ18" s="162"/>
      <c r="BA18" s="157">
        <f>'Phụ lục số I'!D18</f>
        <v>0</v>
      </c>
      <c r="BB18" s="252">
        <f>'Phụ lục số I'!J18</f>
        <v>0</v>
      </c>
      <c r="BC18" s="252">
        <f>'Phụ lục số I'!Q18</f>
        <v>0</v>
      </c>
      <c r="BD18" s="252">
        <f t="shared" si="49"/>
        <v>0</v>
      </c>
      <c r="BE18" s="152">
        <f t="shared" si="50"/>
        <v>0</v>
      </c>
      <c r="BF18" s="152">
        <f t="shared" si="51"/>
        <v>0</v>
      </c>
      <c r="BG18" s="155"/>
      <c r="BH18" s="25"/>
      <c r="BI18" s="288">
        <f>'Phụ lục số I'!W18</f>
        <v>0</v>
      </c>
      <c r="BJ18" s="152">
        <f t="shared" si="52"/>
        <v>0</v>
      </c>
      <c r="BK18" s="152">
        <f>'Phụ lục số I'!AC18</f>
        <v>0</v>
      </c>
      <c r="BL18" s="152">
        <f t="shared" si="53"/>
        <v>0</v>
      </c>
      <c r="BM18" s="157">
        <f>'Phụ lục số I'!AI18</f>
        <v>0</v>
      </c>
      <c r="BN18" s="157">
        <f t="shared" si="54"/>
        <v>0</v>
      </c>
      <c r="BO18" s="157">
        <f>'Phụ lục số I'!AO18</f>
        <v>0</v>
      </c>
      <c r="BP18" s="157">
        <f t="shared" si="55"/>
        <v>0</v>
      </c>
      <c r="BQ18" s="157">
        <f>'Phụ lục số I'!AU18</f>
        <v>0</v>
      </c>
      <c r="BR18" s="157">
        <f t="shared" si="56"/>
        <v>0</v>
      </c>
      <c r="BS18" s="157">
        <f t="shared" si="57"/>
        <v>0</v>
      </c>
      <c r="BT18" s="157">
        <f t="shared" si="58"/>
        <v>0</v>
      </c>
      <c r="BU18" s="155"/>
      <c r="BV18" s="25"/>
      <c r="BY18" s="1" t="e">
        <f t="shared" si="22"/>
        <v>#DIV/0!</v>
      </c>
      <c r="BZ18" s="816" t="e">
        <f t="shared" si="23"/>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9">SUM(AA20:AA24)</f>
        <v>0</v>
      </c>
      <c r="AB19" s="142">
        <f t="shared" si="59"/>
        <v>332356</v>
      </c>
      <c r="AC19" s="157"/>
      <c r="AD19" s="142">
        <f t="shared" si="59"/>
        <v>1233390.7933670001</v>
      </c>
      <c r="AE19" s="155"/>
      <c r="AF19" s="280"/>
      <c r="AG19" s="18">
        <f t="shared" ref="AG19:AP19" si="60">SUM(AG20:AG24)</f>
        <v>380000</v>
      </c>
      <c r="AH19" s="142">
        <f t="shared" si="60"/>
        <v>323641.49329100002</v>
      </c>
      <c r="AI19" s="142">
        <f t="shared" si="60"/>
        <v>380000</v>
      </c>
      <c r="AJ19" s="142">
        <f t="shared" si="60"/>
        <v>386168</v>
      </c>
      <c r="AK19" s="163">
        <f t="shared" si="60"/>
        <v>320000</v>
      </c>
      <c r="AL19" s="163">
        <f t="shared" si="60"/>
        <v>385864</v>
      </c>
      <c r="AM19" s="163">
        <f t="shared" si="60"/>
        <v>440000</v>
      </c>
      <c r="AN19" s="163">
        <f t="shared" si="60"/>
        <v>479648</v>
      </c>
      <c r="AO19" s="163">
        <f t="shared" si="60"/>
        <v>515000</v>
      </c>
      <c r="AP19" s="163">
        <f t="shared" si="60"/>
        <v>456221</v>
      </c>
      <c r="AQ19" s="163">
        <f t="shared" ref="AQ19" si="61">SUM(AQ20:AQ24)</f>
        <v>2035000</v>
      </c>
      <c r="AR19" s="163">
        <f t="shared" ref="AR19" si="62">SUM(AR20:AR24)</f>
        <v>2031542.4932909997</v>
      </c>
      <c r="AS19" s="246">
        <f>AR19/$AR$10</f>
        <v>5.4352572530410093E-2</v>
      </c>
      <c r="AT19" s="188">
        <f>(((AH19/AB19)*(AJ19/AH19)*(AL19/AJ19)*(AN19/AL19)*(AP19/AN19))^(1/5))-1</f>
        <v>6.5404065605520145E-2</v>
      </c>
      <c r="AU19" s="17">
        <f>SUM(AU20:AU24)</f>
        <v>535000</v>
      </c>
      <c r="AV19" s="163">
        <f t="shared" ref="AV19" si="63">SUM(AV20:AV24)</f>
        <v>286473</v>
      </c>
      <c r="AW19" s="163">
        <f t="shared" ref="AW19" si="64">SUM(AW20:AW24)</f>
        <v>300000</v>
      </c>
      <c r="AX19" s="163">
        <f t="shared" ref="AX19:BD19" si="65">SUM(AX20:AX24)</f>
        <v>391146.90633100003</v>
      </c>
      <c r="AY19" s="163">
        <f t="shared" si="65"/>
        <v>350000</v>
      </c>
      <c r="AZ19" s="163">
        <f t="shared" si="65"/>
        <v>281821</v>
      </c>
      <c r="BA19" s="163">
        <f t="shared" si="65"/>
        <v>300000</v>
      </c>
      <c r="BB19" s="191">
        <f t="shared" si="65"/>
        <v>380000</v>
      </c>
      <c r="BC19" s="163">
        <f t="shared" si="65"/>
        <v>410000</v>
      </c>
      <c r="BD19" s="163">
        <f t="shared" si="65"/>
        <v>410000</v>
      </c>
      <c r="BE19" s="213">
        <f t="shared" ref="BE19:BF19" si="66">SUM(BE20:BE24)</f>
        <v>1485000</v>
      </c>
      <c r="BF19" s="213">
        <f t="shared" si="66"/>
        <v>1339440.9063309999</v>
      </c>
      <c r="BG19" s="246">
        <f>BF19/$BF$10</f>
        <v>4.1155821755564093E-2</v>
      </c>
      <c r="BH19" s="1061">
        <f>(((AV19/AP19)*(AX19/AV19)*(AZ19/AX19)*(BB19/AZ19))^(1/4))-1</f>
        <v>-4.4672936370694583E-2</v>
      </c>
      <c r="BI19" s="212">
        <f t="shared" ref="BI19:BT19" si="67">SUM(BI20:BI24)</f>
        <v>425000</v>
      </c>
      <c r="BJ19" s="213">
        <f t="shared" si="67"/>
        <v>425000</v>
      </c>
      <c r="BK19" s="213">
        <f t="shared" si="67"/>
        <v>450000</v>
      </c>
      <c r="BL19" s="213">
        <f t="shared" si="67"/>
        <v>450000</v>
      </c>
      <c r="BM19" s="163">
        <f t="shared" si="67"/>
        <v>620000</v>
      </c>
      <c r="BN19" s="163">
        <f t="shared" si="67"/>
        <v>620000</v>
      </c>
      <c r="BO19" s="163">
        <f t="shared" si="67"/>
        <v>690000</v>
      </c>
      <c r="BP19" s="163">
        <f t="shared" si="67"/>
        <v>690000</v>
      </c>
      <c r="BQ19" s="163">
        <f t="shared" si="67"/>
        <v>770000</v>
      </c>
      <c r="BR19" s="163">
        <f t="shared" si="67"/>
        <v>770000</v>
      </c>
      <c r="BS19" s="163">
        <f t="shared" si="67"/>
        <v>2955000</v>
      </c>
      <c r="BT19" s="163">
        <f t="shared" si="67"/>
        <v>2955000</v>
      </c>
      <c r="BU19" s="141">
        <f>BT19/$BT$10*100</f>
        <v>4.7410473167015086</v>
      </c>
      <c r="BV19" s="247">
        <f>(((BJ19/BD19)*(BL19/BJ19)*(BN19/BL19)*(BP19/BN19)*(BR19/BP19))^(1/5))-1</f>
        <v>0.13433510763534517</v>
      </c>
      <c r="BY19" s="1">
        <f t="shared" si="22"/>
        <v>1.3483736130380632</v>
      </c>
      <c r="BZ19" s="816">
        <f t="shared" si="23"/>
        <v>0.34837361303806325</v>
      </c>
    </row>
    <row r="20" spans="1:78" hidden="1">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 si="68">AH20+AJ20+AL20+AN20+AP20</f>
        <v>1345742.460367</v>
      </c>
      <c r="AS20" s="155"/>
      <c r="AT20" s="25"/>
      <c r="AU20" s="27">
        <v>358000</v>
      </c>
      <c r="AV20" s="162">
        <v>148040</v>
      </c>
      <c r="AW20" s="37">
        <f>180000-10000</f>
        <v>170000</v>
      </c>
      <c r="AX20" s="162">
        <v>196198.29964000001</v>
      </c>
      <c r="AY20" s="162">
        <v>183000</v>
      </c>
      <c r="AZ20" s="162">
        <f>134261</f>
        <v>134261</v>
      </c>
      <c r="BA20" s="157">
        <f>'Phụ lục số I'!C20</f>
        <v>110000</v>
      </c>
      <c r="BB20" s="252">
        <f>'Phụ lục số I'!J20</f>
        <v>220000</v>
      </c>
      <c r="BC20" s="157">
        <f>'Phụ lục số I'!Q20</f>
        <v>240000</v>
      </c>
      <c r="BD20" s="157">
        <f>BC20</f>
        <v>240000</v>
      </c>
      <c r="BE20" s="152">
        <f t="shared" ref="BE20" si="69">AU20+AW20+AY20+BA20</f>
        <v>821000</v>
      </c>
      <c r="BF20" s="152">
        <f t="shared" ref="BF20" si="70">AV20+AX20+AZ20+BB20</f>
        <v>698499.29963999998</v>
      </c>
      <c r="BG20" s="155"/>
      <c r="BH20" s="25"/>
      <c r="BI20" s="288">
        <f>'Phụ lục số I'!W20</f>
        <v>245000</v>
      </c>
      <c r="BJ20" s="152">
        <f t="shared" si="52"/>
        <v>245000</v>
      </c>
      <c r="BK20" s="152">
        <f>'Phụ lục số I'!AC20</f>
        <v>260000</v>
      </c>
      <c r="BL20" s="152">
        <f t="shared" si="53"/>
        <v>260000</v>
      </c>
      <c r="BM20" s="157">
        <f>'Phụ lục số I'!AI20</f>
        <v>375000</v>
      </c>
      <c r="BN20" s="157">
        <f t="shared" si="54"/>
        <v>375000</v>
      </c>
      <c r="BO20" s="157">
        <f>'Phụ lục số I'!AO20</f>
        <v>420000</v>
      </c>
      <c r="BP20" s="157">
        <f t="shared" si="55"/>
        <v>420000</v>
      </c>
      <c r="BQ20" s="157">
        <f>'Phụ lục số I'!AU20</f>
        <v>469000</v>
      </c>
      <c r="BR20" s="157">
        <f t="shared" si="56"/>
        <v>469000</v>
      </c>
      <c r="BS20" s="157">
        <f t="shared" ref="BS20" si="71">BI20+BK20+BM20+BO20+BQ20</f>
        <v>1769000</v>
      </c>
      <c r="BT20" s="157">
        <f t="shared" ref="BT20" si="72">BJ20+BL20+BN20+BP20+BR20</f>
        <v>1769000</v>
      </c>
      <c r="BU20" s="155"/>
      <c r="BV20" s="25"/>
      <c r="BY20" s="1">
        <f t="shared" si="22"/>
        <v>1.6385994443658247</v>
      </c>
      <c r="BZ20" s="816">
        <f t="shared" si="23"/>
        <v>0.63859944436582472</v>
      </c>
    </row>
    <row r="21" spans="1:78" hidden="1">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73">AG21+AI21+AK21+AM21+AO21</f>
        <v>421000</v>
      </c>
      <c r="AR21" s="157">
        <f t="shared" ref="AR21:AR24" si="74">AH21+AJ21+AL21+AN21+AP21</f>
        <v>345563.10603100003</v>
      </c>
      <c r="AS21" s="155"/>
      <c r="AT21" s="25"/>
      <c r="AU21" s="27">
        <v>93000</v>
      </c>
      <c r="AV21" s="162">
        <v>61372</v>
      </c>
      <c r="AW21" s="37">
        <v>60000</v>
      </c>
      <c r="AX21" s="162">
        <v>90275.637803000005</v>
      </c>
      <c r="AY21" s="162">
        <v>65000</v>
      </c>
      <c r="AZ21" s="162">
        <v>76784</v>
      </c>
      <c r="BA21" s="157">
        <f>'Phụ lục số I'!C21</f>
        <v>106000</v>
      </c>
      <c r="BB21" s="252">
        <f>'Phụ lục số I'!J21</f>
        <v>80000</v>
      </c>
      <c r="BC21" s="157">
        <f>'Phụ lục số I'!Q21</f>
        <v>85000</v>
      </c>
      <c r="BD21" s="157">
        <f t="shared" ref="BD21:BD24" si="75">BC21</f>
        <v>85000</v>
      </c>
      <c r="BE21" s="152">
        <f t="shared" ref="BE21:BE24" si="76">AU21+AW21+AY21+BA21</f>
        <v>324000</v>
      </c>
      <c r="BF21" s="152">
        <f t="shared" ref="BF21:BF24" si="77">AV21+AX21+AZ21+BB21</f>
        <v>308431.63780299999</v>
      </c>
      <c r="BG21" s="155"/>
      <c r="BH21" s="25"/>
      <c r="BI21" s="288">
        <f>'Phụ lục số I'!W21</f>
        <v>90000</v>
      </c>
      <c r="BJ21" s="152">
        <f t="shared" si="52"/>
        <v>90000</v>
      </c>
      <c r="BK21" s="152">
        <f>'Phụ lục số I'!AC21</f>
        <v>95000</v>
      </c>
      <c r="BL21" s="152">
        <f t="shared" si="53"/>
        <v>95000</v>
      </c>
      <c r="BM21" s="157">
        <f>'Phụ lục số I'!AI21</f>
        <v>135000</v>
      </c>
      <c r="BN21" s="157">
        <f t="shared" si="54"/>
        <v>135000</v>
      </c>
      <c r="BO21" s="157">
        <f>'Phụ lục số I'!AO21</f>
        <v>150000</v>
      </c>
      <c r="BP21" s="157">
        <f t="shared" si="55"/>
        <v>150000</v>
      </c>
      <c r="BQ21" s="157">
        <f>'Phụ lục số I'!AU21</f>
        <v>166000</v>
      </c>
      <c r="BR21" s="157">
        <f t="shared" si="56"/>
        <v>166000</v>
      </c>
      <c r="BS21" s="157">
        <f t="shared" ref="BS21:BS24" si="78">BI21+BK21+BM21+BO21+BQ21</f>
        <v>636000</v>
      </c>
      <c r="BT21" s="157">
        <f t="shared" ref="BT21:BT24" si="79">BJ21+BL21+BN21+BP21+BR21</f>
        <v>636000</v>
      </c>
      <c r="BU21" s="155"/>
      <c r="BV21" s="25"/>
      <c r="BY21" s="1">
        <f t="shared" si="22"/>
        <v>1.0418837257762035</v>
      </c>
      <c r="BZ21" s="816">
        <f t="shared" si="23"/>
        <v>4.1883725776203473E-2</v>
      </c>
    </row>
    <row r="22" spans="1:78" hidden="1">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73"/>
        <v>90520</v>
      </c>
      <c r="AR22" s="157">
        <f t="shared" si="74"/>
        <v>83196.463602999997</v>
      </c>
      <c r="AS22" s="155"/>
      <c r="AT22" s="25"/>
      <c r="AU22" s="27"/>
      <c r="AV22" s="162"/>
      <c r="AW22" s="37">
        <v>0</v>
      </c>
      <c r="AX22" s="162"/>
      <c r="AY22" s="162"/>
      <c r="AZ22" s="162"/>
      <c r="BA22" s="157">
        <f>'Phụ lục số I'!C22</f>
        <v>0</v>
      </c>
      <c r="BB22" s="252">
        <f>'Phụ lục số I'!J22</f>
        <v>0</v>
      </c>
      <c r="BC22" s="157">
        <f>'Phụ lục số I'!Q22</f>
        <v>0</v>
      </c>
      <c r="BD22" s="157">
        <f t="shared" si="75"/>
        <v>0</v>
      </c>
      <c r="BE22" s="152">
        <f t="shared" si="76"/>
        <v>0</v>
      </c>
      <c r="BF22" s="152">
        <f t="shared" si="77"/>
        <v>0</v>
      </c>
      <c r="BG22" s="155"/>
      <c r="BH22" s="25"/>
      <c r="BI22" s="288">
        <f>'Phụ lục số I'!W22</f>
        <v>0</v>
      </c>
      <c r="BJ22" s="152">
        <f t="shared" si="52"/>
        <v>0</v>
      </c>
      <c r="BK22" s="152">
        <f>'Phụ lục số I'!AC22</f>
        <v>0</v>
      </c>
      <c r="BL22" s="152">
        <f t="shared" si="53"/>
        <v>0</v>
      </c>
      <c r="BM22" s="157">
        <f>'Phụ lục số I'!AI22</f>
        <v>0</v>
      </c>
      <c r="BN22" s="157">
        <f t="shared" si="54"/>
        <v>0</v>
      </c>
      <c r="BO22" s="157">
        <f>'Phụ lục số I'!AO22</f>
        <v>0</v>
      </c>
      <c r="BP22" s="157">
        <f t="shared" si="55"/>
        <v>0</v>
      </c>
      <c r="BQ22" s="157">
        <f>'Phụ lục số I'!AU22</f>
        <v>0</v>
      </c>
      <c r="BR22" s="157">
        <f t="shared" si="56"/>
        <v>0</v>
      </c>
      <c r="BS22" s="157">
        <f t="shared" si="78"/>
        <v>0</v>
      </c>
      <c r="BT22" s="157">
        <f t="shared" si="79"/>
        <v>0</v>
      </c>
      <c r="BU22" s="155"/>
      <c r="BV22" s="25"/>
      <c r="BY22" s="1" t="e">
        <f t="shared" si="22"/>
        <v>#DIV/0!</v>
      </c>
      <c r="BZ22" s="816" t="e">
        <f t="shared" si="23"/>
        <v>#DIV/0!</v>
      </c>
    </row>
    <row r="23" spans="1:78" hidden="1">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73"/>
        <v>142000</v>
      </c>
      <c r="AR23" s="157">
        <f t="shared" si="74"/>
        <v>239872.768671</v>
      </c>
      <c r="AS23" s="155"/>
      <c r="AT23" s="25"/>
      <c r="AU23" s="27">
        <v>84000</v>
      </c>
      <c r="AV23" s="162">
        <v>77061</v>
      </c>
      <c r="AW23" s="37">
        <v>70000</v>
      </c>
      <c r="AX23" s="162">
        <v>104672.968888</v>
      </c>
      <c r="AY23" s="162">
        <f>102000</f>
        <v>102000</v>
      </c>
      <c r="AZ23" s="162">
        <v>70776</v>
      </c>
      <c r="BA23" s="157">
        <f>'Phụ lục số I'!C23</f>
        <v>84000</v>
      </c>
      <c r="BB23" s="252">
        <f>'Phụ lục số I'!J23</f>
        <v>80000</v>
      </c>
      <c r="BC23" s="157">
        <f>'Phụ lục số I'!Q23</f>
        <v>85000</v>
      </c>
      <c r="BD23" s="157">
        <f t="shared" si="75"/>
        <v>85000</v>
      </c>
      <c r="BE23" s="152">
        <f t="shared" si="76"/>
        <v>340000</v>
      </c>
      <c r="BF23" s="152">
        <f t="shared" si="77"/>
        <v>332509.968888</v>
      </c>
      <c r="BG23" s="155"/>
      <c r="BH23" s="25"/>
      <c r="BI23" s="288">
        <f>'Phụ lục số I'!W23</f>
        <v>90000</v>
      </c>
      <c r="BJ23" s="152">
        <f t="shared" si="52"/>
        <v>90000</v>
      </c>
      <c r="BK23" s="152">
        <f>'Phụ lục số I'!AC23</f>
        <v>95000</v>
      </c>
      <c r="BL23" s="152">
        <f t="shared" si="53"/>
        <v>95000</v>
      </c>
      <c r="BM23" s="157">
        <f>'Phụ lục số I'!AI23</f>
        <v>110000</v>
      </c>
      <c r="BN23" s="157">
        <f t="shared" si="54"/>
        <v>110000</v>
      </c>
      <c r="BO23" s="157">
        <f>'Phụ lục số I'!AO23</f>
        <v>120000</v>
      </c>
      <c r="BP23" s="157">
        <f t="shared" si="55"/>
        <v>120000</v>
      </c>
      <c r="BQ23" s="157">
        <f>'Phụ lục số I'!AU23</f>
        <v>135000</v>
      </c>
      <c r="BR23" s="157">
        <f t="shared" si="56"/>
        <v>135000</v>
      </c>
      <c r="BS23" s="157">
        <f t="shared" si="78"/>
        <v>550000</v>
      </c>
      <c r="BT23" s="157">
        <f t="shared" si="79"/>
        <v>550000</v>
      </c>
      <c r="BU23" s="155"/>
      <c r="BV23" s="25"/>
      <c r="BY23" s="1">
        <f t="shared" si="22"/>
        <v>1.1303266644060133</v>
      </c>
      <c r="BZ23" s="816">
        <f t="shared" si="23"/>
        <v>0.13032666440601326</v>
      </c>
    </row>
    <row r="24" spans="1:78" hidden="1">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73"/>
        <v>3080</v>
      </c>
      <c r="AR24" s="157">
        <f t="shared" si="74"/>
        <v>17167.694619000002</v>
      </c>
      <c r="AS24" s="155"/>
      <c r="AT24" s="25"/>
      <c r="AU24" s="27"/>
      <c r="AV24" s="157"/>
      <c r="AW24" s="157"/>
      <c r="AX24" s="162"/>
      <c r="AY24" s="162"/>
      <c r="AZ24" s="162"/>
      <c r="BA24" s="157">
        <f>'Phụ lục số I'!C24</f>
        <v>0</v>
      </c>
      <c r="BB24" s="252">
        <f>'Phụ lục số I'!J24</f>
        <v>0</v>
      </c>
      <c r="BC24" s="157">
        <f>'Phụ lục số I'!Q24</f>
        <v>0</v>
      </c>
      <c r="BD24" s="157">
        <f t="shared" si="75"/>
        <v>0</v>
      </c>
      <c r="BE24" s="152">
        <f t="shared" si="76"/>
        <v>0</v>
      </c>
      <c r="BF24" s="152">
        <f t="shared" si="77"/>
        <v>0</v>
      </c>
      <c r="BG24" s="155"/>
      <c r="BH24" s="25"/>
      <c r="BI24" s="288">
        <f>'Phụ lục số I'!W24</f>
        <v>0</v>
      </c>
      <c r="BJ24" s="152">
        <f t="shared" si="52"/>
        <v>0</v>
      </c>
      <c r="BK24" s="152">
        <f>'Phụ lục số I'!AC24</f>
        <v>0</v>
      </c>
      <c r="BL24" s="152">
        <f t="shared" si="53"/>
        <v>0</v>
      </c>
      <c r="BM24" s="157">
        <f>'Phụ lục số I'!AI24</f>
        <v>0</v>
      </c>
      <c r="BN24" s="157">
        <f t="shared" si="54"/>
        <v>0</v>
      </c>
      <c r="BO24" s="157">
        <f>'Phụ lục số I'!AO24</f>
        <v>0</v>
      </c>
      <c r="BP24" s="157">
        <f t="shared" si="55"/>
        <v>0</v>
      </c>
      <c r="BQ24" s="157">
        <f>'Phụ lục số I'!AU24</f>
        <v>0</v>
      </c>
      <c r="BR24" s="157">
        <f t="shared" si="56"/>
        <v>0</v>
      </c>
      <c r="BS24" s="157">
        <f t="shared" si="78"/>
        <v>0</v>
      </c>
      <c r="BT24" s="157">
        <f t="shared" si="79"/>
        <v>0</v>
      </c>
      <c r="BU24" s="155"/>
      <c r="BV24" s="25"/>
      <c r="BY24" s="1" t="e">
        <f t="shared" si="22"/>
        <v>#DIV/0!</v>
      </c>
      <c r="BZ24" s="816" t="e">
        <f t="shared" si="23"/>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80">SUM(AA26:AA29)</f>
        <v>0</v>
      </c>
      <c r="AB25" s="142">
        <f t="shared" si="80"/>
        <v>69494</v>
      </c>
      <c r="AC25" s="142"/>
      <c r="AD25" s="142">
        <f t="shared" si="80"/>
        <v>128076.541558</v>
      </c>
      <c r="AE25" s="158"/>
      <c r="AF25" s="281"/>
      <c r="AG25" s="18">
        <f t="shared" ref="AG25:AP25" si="81">SUM(AG26:AG29)</f>
        <v>80000</v>
      </c>
      <c r="AH25" s="142">
        <f t="shared" si="81"/>
        <v>61937.876487999994</v>
      </c>
      <c r="AI25" s="142">
        <f t="shared" si="81"/>
        <v>70000</v>
      </c>
      <c r="AJ25" s="142">
        <f t="shared" si="81"/>
        <v>49784</v>
      </c>
      <c r="AK25" s="163">
        <f t="shared" si="81"/>
        <v>31000</v>
      </c>
      <c r="AL25" s="163">
        <f t="shared" si="81"/>
        <v>35833</v>
      </c>
      <c r="AM25" s="163">
        <f t="shared" si="81"/>
        <v>33000</v>
      </c>
      <c r="AN25" s="163">
        <f t="shared" si="81"/>
        <v>79845</v>
      </c>
      <c r="AO25" s="163">
        <f t="shared" si="81"/>
        <v>60000</v>
      </c>
      <c r="AP25" s="163">
        <f t="shared" si="81"/>
        <v>110158</v>
      </c>
      <c r="AQ25" s="163">
        <f t="shared" ref="AQ25" si="82">SUM(AQ26:AQ29)</f>
        <v>274000</v>
      </c>
      <c r="AR25" s="163">
        <f t="shared" ref="AR25" si="83">SUM(AR26:AR29)</f>
        <v>337557.87648799998</v>
      </c>
      <c r="AS25" s="246">
        <f>AR25/$AR$10</f>
        <v>9.0311371903935705E-3</v>
      </c>
      <c r="AT25" s="188">
        <f>(((AH25/AB25)*(AJ25/AH25)*(AL25/AJ25)*(AN25/AL25)*(AP25/AN25))^(1/5))-1</f>
        <v>9.65129029329721E-2</v>
      </c>
      <c r="AU25" s="17">
        <f>SUM(AU26:AU29)</f>
        <v>70000</v>
      </c>
      <c r="AV25" s="163">
        <f>SUM(AV26:AV29)</f>
        <v>70477</v>
      </c>
      <c r="AW25" s="163">
        <f t="shared" ref="AW25:BD25" si="84">SUM(AW26:AW29)</f>
        <v>74000</v>
      </c>
      <c r="AX25" s="163">
        <f t="shared" si="84"/>
        <v>74729.223614999995</v>
      </c>
      <c r="AY25" s="163">
        <f t="shared" si="84"/>
        <v>70000</v>
      </c>
      <c r="AZ25" s="163">
        <f t="shared" si="84"/>
        <v>63555</v>
      </c>
      <c r="BA25" s="163">
        <f t="shared" si="84"/>
        <v>75000</v>
      </c>
      <c r="BB25" s="191">
        <f t="shared" si="84"/>
        <v>85000</v>
      </c>
      <c r="BC25" s="163">
        <f t="shared" si="84"/>
        <v>80000</v>
      </c>
      <c r="BD25" s="163">
        <f t="shared" si="84"/>
        <v>80000</v>
      </c>
      <c r="BE25" s="213">
        <f t="shared" ref="BE25:BF25" si="85">SUM(BE26:BE29)</f>
        <v>289000</v>
      </c>
      <c r="BF25" s="213">
        <f t="shared" si="85"/>
        <v>293761.22361500002</v>
      </c>
      <c r="BG25" s="246">
        <f>BF25/$BF$10</f>
        <v>9.0261425499630777E-3</v>
      </c>
      <c r="BH25" s="1061">
        <f>(((AV25/AP25)*(AX25/AV25)*(AZ25/AX25)*(BB25/AZ25))^(1/4))-1</f>
        <v>-6.2760203993857844E-2</v>
      </c>
      <c r="BI25" s="212">
        <f t="shared" ref="BI25:BT25" si="86">SUM(BI26:BI29)</f>
        <v>90000</v>
      </c>
      <c r="BJ25" s="213">
        <f t="shared" si="86"/>
        <v>90000</v>
      </c>
      <c r="BK25" s="213">
        <f t="shared" si="86"/>
        <v>95000</v>
      </c>
      <c r="BL25" s="213">
        <f t="shared" si="86"/>
        <v>95000</v>
      </c>
      <c r="BM25" s="163">
        <f t="shared" si="86"/>
        <v>130000</v>
      </c>
      <c r="BN25" s="163">
        <f t="shared" si="86"/>
        <v>130000</v>
      </c>
      <c r="BO25" s="163">
        <f t="shared" si="86"/>
        <v>140000</v>
      </c>
      <c r="BP25" s="163">
        <f t="shared" si="86"/>
        <v>140000</v>
      </c>
      <c r="BQ25" s="163">
        <f t="shared" si="86"/>
        <v>153000</v>
      </c>
      <c r="BR25" s="163">
        <f t="shared" si="86"/>
        <v>153000</v>
      </c>
      <c r="BS25" s="163">
        <f t="shared" si="86"/>
        <v>608000</v>
      </c>
      <c r="BT25" s="163">
        <f t="shared" si="86"/>
        <v>608000</v>
      </c>
      <c r="BU25" s="141">
        <f>BT25/$BT$10*100</f>
        <v>0.97548452404552177</v>
      </c>
      <c r="BV25" s="247">
        <f>(((BJ25/BD25)*(BL25/BJ25)*(BN25/BL25)*(BP25/BN25)*(BR25/BP25))^(1/5))-1</f>
        <v>0.13846658645124044</v>
      </c>
      <c r="BY25" s="1">
        <f t="shared" si="22"/>
        <v>1.3374242781842498</v>
      </c>
      <c r="BZ25" s="816">
        <f t="shared" si="23"/>
        <v>0.3374242781842498</v>
      </c>
    </row>
    <row r="26" spans="1:78" hidden="1">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 si="87">AG26+AI26+AK26+AM26+AO26</f>
        <v>138660</v>
      </c>
      <c r="AR26" s="157">
        <f t="shared" ref="AR26" si="88">AH26+AJ26+AL26+AN26+AP26</f>
        <v>95223.532594000004</v>
      </c>
      <c r="AS26" s="155"/>
      <c r="AT26" s="25"/>
      <c r="AU26" s="27">
        <v>14900</v>
      </c>
      <c r="AV26" s="157">
        <v>12269</v>
      </c>
      <c r="AW26" s="37">
        <v>11000</v>
      </c>
      <c r="AX26" s="162">
        <v>16615.627700000001</v>
      </c>
      <c r="AY26" s="162">
        <v>18000</v>
      </c>
      <c r="AZ26" s="162">
        <v>15580</v>
      </c>
      <c r="BA26" s="157">
        <f>'Phụ lục số I'!D26</f>
        <v>16000</v>
      </c>
      <c r="BB26" s="252">
        <f>'Phụ lục số I'!J26</f>
        <v>16000</v>
      </c>
      <c r="BC26" s="157">
        <f>'Phụ lục số I'!Q26</f>
        <v>15000</v>
      </c>
      <c r="BD26" s="157">
        <f>BC26</f>
        <v>15000</v>
      </c>
      <c r="BE26" s="152">
        <f t="shared" ref="BE26" si="89">AU26+AW26+AY26+BA26</f>
        <v>59900</v>
      </c>
      <c r="BF26" s="152">
        <f t="shared" ref="BF26" si="90">AV26+AX26+AZ26+BB26</f>
        <v>60464.627699999997</v>
      </c>
      <c r="BG26" s="155"/>
      <c r="BH26" s="25"/>
      <c r="BI26" s="288">
        <f>'Phụ lục số I'!W26</f>
        <v>18000</v>
      </c>
      <c r="BJ26" s="152">
        <f t="shared" si="52"/>
        <v>18000</v>
      </c>
      <c r="BK26" s="152">
        <f>'Phụ lục số I'!AC26</f>
        <v>19000</v>
      </c>
      <c r="BL26" s="152">
        <f t="shared" si="53"/>
        <v>19000</v>
      </c>
      <c r="BM26" s="157">
        <f>'Phụ lục số I'!AI26</f>
        <v>28000</v>
      </c>
      <c r="BN26" s="157">
        <f t="shared" si="54"/>
        <v>28000</v>
      </c>
      <c r="BO26" s="157">
        <f>'Phụ lục số I'!AO26</f>
        <v>30000</v>
      </c>
      <c r="BP26" s="157">
        <f t="shared" si="55"/>
        <v>30000</v>
      </c>
      <c r="BQ26" s="157">
        <f>'Phụ lục số I'!AU26</f>
        <v>32500</v>
      </c>
      <c r="BR26" s="157">
        <f t="shared" si="56"/>
        <v>32500</v>
      </c>
      <c r="BS26" s="157">
        <f t="shared" ref="BS26" si="91">BI26+BK26+BM26+BO26+BQ26</f>
        <v>127500</v>
      </c>
      <c r="BT26" s="157">
        <f t="shared" ref="BT26" si="92">BJ26+BL26+BN26+BP26+BR26</f>
        <v>127500</v>
      </c>
      <c r="BU26" s="155"/>
      <c r="BV26" s="25"/>
      <c r="BY26" s="1">
        <f t="shared" si="22"/>
        <v>1.0269576379974326</v>
      </c>
      <c r="BZ26" s="816">
        <f t="shared" si="23"/>
        <v>2.695763799743256E-2</v>
      </c>
    </row>
    <row r="27" spans="1:78" hidden="1">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ref="AQ27:AQ29" si="93">AG27+AI27+AK27+AM27+AO27</f>
        <v>134780</v>
      </c>
      <c r="AR27" s="157">
        <f t="shared" ref="AR27:AR29" si="94">AH27+AJ27+AL27+AN27+AP27</f>
        <v>241267.97168299998</v>
      </c>
      <c r="AS27" s="155"/>
      <c r="AT27" s="25"/>
      <c r="AU27" s="27">
        <v>55000</v>
      </c>
      <c r="AV27" s="157">
        <v>58187</v>
      </c>
      <c r="AW27" s="37">
        <v>63000</v>
      </c>
      <c r="AX27" s="162">
        <v>58096.966274999999</v>
      </c>
      <c r="AY27" s="162">
        <v>52000</v>
      </c>
      <c r="AZ27" s="162">
        <v>47965</v>
      </c>
      <c r="BA27" s="157">
        <f>'Phụ lục số I'!D27</f>
        <v>59000</v>
      </c>
      <c r="BB27" s="252">
        <f>'Phụ lục số I'!J27</f>
        <v>69000</v>
      </c>
      <c r="BC27" s="157">
        <f>'Phụ lục số I'!Q27</f>
        <v>65000</v>
      </c>
      <c r="BD27" s="157">
        <f t="shared" ref="BD27:BD29" si="95">BC27</f>
        <v>65000</v>
      </c>
      <c r="BE27" s="152">
        <f t="shared" ref="BE27:BE29" si="96">AU27+AW27+AY27+BA27</f>
        <v>229000</v>
      </c>
      <c r="BF27" s="152">
        <f t="shared" ref="BF27:BF29" si="97">AV27+AX27+AZ27+BB27</f>
        <v>233248.96627500001</v>
      </c>
      <c r="BG27" s="155"/>
      <c r="BH27" s="25"/>
      <c r="BI27" s="288">
        <f>'Phụ lục số I'!W27</f>
        <v>72000</v>
      </c>
      <c r="BJ27" s="152">
        <f t="shared" si="52"/>
        <v>72000</v>
      </c>
      <c r="BK27" s="152">
        <f>'Phụ lục số I'!AC27</f>
        <v>76000</v>
      </c>
      <c r="BL27" s="152">
        <f t="shared" si="53"/>
        <v>76000</v>
      </c>
      <c r="BM27" s="157">
        <f>'Phụ lục số I'!AI27</f>
        <v>102000</v>
      </c>
      <c r="BN27" s="157">
        <f t="shared" si="54"/>
        <v>102000</v>
      </c>
      <c r="BO27" s="157">
        <f>'Phụ lục số I'!AO27</f>
        <v>110000</v>
      </c>
      <c r="BP27" s="157">
        <f t="shared" si="55"/>
        <v>110000</v>
      </c>
      <c r="BQ27" s="157">
        <f>'Phụ lục số I'!AU27</f>
        <v>120500</v>
      </c>
      <c r="BR27" s="157">
        <f t="shared" si="56"/>
        <v>120500</v>
      </c>
      <c r="BS27" s="157">
        <f t="shared" ref="BS27:BS29" si="98">BI27+BK27+BM27+BO27+BQ27</f>
        <v>480500</v>
      </c>
      <c r="BT27" s="157">
        <f t="shared" ref="BT27:BT29" si="99">BJ27+BL27+BN27+BP27+BR27</f>
        <v>480500</v>
      </c>
      <c r="BU27" s="155"/>
      <c r="BV27" s="25"/>
      <c r="BY27" s="1">
        <f t="shared" si="22"/>
        <v>1.4385489419368289</v>
      </c>
      <c r="BZ27" s="816">
        <f t="shared" si="23"/>
        <v>0.43854894193682892</v>
      </c>
    </row>
    <row r="28" spans="1:78" hidden="1">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93"/>
        <v>405</v>
      </c>
      <c r="AR28" s="157">
        <f t="shared" si="94"/>
        <v>388.99158999999997</v>
      </c>
      <c r="AS28" s="155"/>
      <c r="AT28" s="25"/>
      <c r="AU28" s="27">
        <v>100</v>
      </c>
      <c r="AV28" s="157">
        <v>21</v>
      </c>
      <c r="AW28" s="157"/>
      <c r="AX28" s="162">
        <v>16.629639999999998</v>
      </c>
      <c r="AY28" s="162"/>
      <c r="AZ28" s="162">
        <v>10</v>
      </c>
      <c r="BA28" s="157">
        <f>'Phụ lục số I'!D28</f>
        <v>0</v>
      </c>
      <c r="BB28" s="252">
        <f>'Phụ lục số I'!J28</f>
        <v>0</v>
      </c>
      <c r="BC28" s="157">
        <f>'Phụ lục số I'!Q28</f>
        <v>0</v>
      </c>
      <c r="BD28" s="157">
        <f t="shared" si="95"/>
        <v>0</v>
      </c>
      <c r="BE28" s="152">
        <f t="shared" si="96"/>
        <v>100</v>
      </c>
      <c r="BF28" s="152">
        <f t="shared" si="97"/>
        <v>47.629639999999995</v>
      </c>
      <c r="BG28" s="155"/>
      <c r="BH28" s="25"/>
      <c r="BI28" s="288">
        <f>'Phụ lục số I'!W28</f>
        <v>0</v>
      </c>
      <c r="BJ28" s="152">
        <f t="shared" si="52"/>
        <v>0</v>
      </c>
      <c r="BK28" s="152">
        <f>'Phụ lục số I'!AC28</f>
        <v>0</v>
      </c>
      <c r="BL28" s="152">
        <f t="shared" si="53"/>
        <v>0</v>
      </c>
      <c r="BM28" s="157">
        <f>'Phụ lục số I'!AI28</f>
        <v>0</v>
      </c>
      <c r="BN28" s="157">
        <f t="shared" si="54"/>
        <v>0</v>
      </c>
      <c r="BO28" s="157">
        <f>'Phụ lục số I'!AO28</f>
        <v>0</v>
      </c>
      <c r="BP28" s="157">
        <f t="shared" si="55"/>
        <v>0</v>
      </c>
      <c r="BQ28" s="157">
        <f>'Phụ lục số I'!AU28</f>
        <v>0</v>
      </c>
      <c r="BR28" s="157">
        <f t="shared" si="56"/>
        <v>0</v>
      </c>
      <c r="BS28" s="157">
        <f t="shared" si="98"/>
        <v>0</v>
      </c>
      <c r="BT28" s="157">
        <f t="shared" si="99"/>
        <v>0</v>
      </c>
      <c r="BU28" s="155"/>
      <c r="BV28" s="25"/>
      <c r="BY28" s="1">
        <f t="shared" si="22"/>
        <v>0</v>
      </c>
      <c r="BZ28" s="816">
        <f t="shared" si="23"/>
        <v>-1</v>
      </c>
    </row>
    <row r="29" spans="1:78" hidden="1">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93"/>
        <v>155</v>
      </c>
      <c r="AR29" s="157">
        <f t="shared" si="94"/>
        <v>677.38062100000002</v>
      </c>
      <c r="AS29" s="155"/>
      <c r="AT29" s="25"/>
      <c r="AU29" s="27"/>
      <c r="AV29" s="157"/>
      <c r="AW29" s="157"/>
      <c r="AX29" s="162"/>
      <c r="AY29" s="162"/>
      <c r="AZ29" s="162"/>
      <c r="BA29" s="157">
        <f>'Phụ lục số I'!D29</f>
        <v>0</v>
      </c>
      <c r="BB29" s="252">
        <f>'Phụ lục số I'!J29</f>
        <v>0</v>
      </c>
      <c r="BC29" s="157">
        <f>'Phụ lục số I'!Q29</f>
        <v>0</v>
      </c>
      <c r="BD29" s="157">
        <f t="shared" si="95"/>
        <v>0</v>
      </c>
      <c r="BE29" s="152">
        <f t="shared" si="96"/>
        <v>0</v>
      </c>
      <c r="BF29" s="152">
        <f t="shared" si="97"/>
        <v>0</v>
      </c>
      <c r="BG29" s="155"/>
      <c r="BH29" s="25"/>
      <c r="BI29" s="288">
        <f>'Phụ lục số I'!W29</f>
        <v>0</v>
      </c>
      <c r="BJ29" s="152">
        <f t="shared" si="52"/>
        <v>0</v>
      </c>
      <c r="BK29" s="152">
        <f>'Phụ lục số I'!AC29</f>
        <v>0</v>
      </c>
      <c r="BL29" s="152">
        <f t="shared" si="53"/>
        <v>0</v>
      </c>
      <c r="BM29" s="157">
        <f>'Phụ lục số I'!AI29</f>
        <v>0</v>
      </c>
      <c r="BN29" s="157">
        <f t="shared" si="54"/>
        <v>0</v>
      </c>
      <c r="BO29" s="157">
        <f>'Phụ lục số I'!AO29</f>
        <v>0</v>
      </c>
      <c r="BP29" s="157">
        <f t="shared" si="55"/>
        <v>0</v>
      </c>
      <c r="BQ29" s="157">
        <f>'Phụ lục số I'!AU29</f>
        <v>0</v>
      </c>
      <c r="BR29" s="157">
        <f t="shared" si="56"/>
        <v>0</v>
      </c>
      <c r="BS29" s="157">
        <f t="shared" si="98"/>
        <v>0</v>
      </c>
      <c r="BT29" s="157">
        <f t="shared" si="99"/>
        <v>0</v>
      </c>
      <c r="BU29" s="155"/>
      <c r="BV29" s="25"/>
      <c r="BY29" s="1" t="e">
        <f t="shared" si="22"/>
        <v>#DIV/0!</v>
      </c>
      <c r="BZ29" s="816" t="e">
        <f t="shared" si="23"/>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100">SUM(AA31:AA35)</f>
        <v>0</v>
      </c>
      <c r="AB30" s="142">
        <f t="shared" si="100"/>
        <v>586685</v>
      </c>
      <c r="AC30" s="142"/>
      <c r="AD30" s="142">
        <f t="shared" si="100"/>
        <v>4501531.7419980001</v>
      </c>
      <c r="AE30" s="158"/>
      <c r="AF30" s="281"/>
      <c r="AG30" s="18">
        <f t="shared" ref="AG30:AP30" si="101">SUM(AG31:AG35)</f>
        <v>710000</v>
      </c>
      <c r="AH30" s="142">
        <f t="shared" si="101"/>
        <v>674043.93978600006</v>
      </c>
      <c r="AI30" s="142">
        <f t="shared" si="101"/>
        <v>720000</v>
      </c>
      <c r="AJ30" s="142">
        <f t="shared" si="101"/>
        <v>895286.8</v>
      </c>
      <c r="AK30" s="163">
        <f t="shared" si="101"/>
        <v>860000</v>
      </c>
      <c r="AL30" s="163">
        <f t="shared" si="101"/>
        <v>943678</v>
      </c>
      <c r="AM30" s="163">
        <f t="shared" si="101"/>
        <v>960000</v>
      </c>
      <c r="AN30" s="163">
        <f t="shared" si="101"/>
        <v>1430939</v>
      </c>
      <c r="AO30" s="163">
        <f t="shared" si="101"/>
        <v>1410000</v>
      </c>
      <c r="AP30" s="163">
        <f t="shared" si="101"/>
        <v>1265122</v>
      </c>
      <c r="AQ30" s="163">
        <f t="shared" ref="AQ30" si="102">SUM(AQ31:AQ35)</f>
        <v>4660000</v>
      </c>
      <c r="AR30" s="163">
        <f t="shared" ref="AR30" si="103">SUM(AR31:AR35)</f>
        <v>5209069.739786</v>
      </c>
      <c r="AS30" s="246">
        <f>AR30/$AR$10</f>
        <v>0.13936520736469171</v>
      </c>
      <c r="AT30" s="188">
        <f>(((AH30/AB30)*(AJ30/AH30)*(AL30/AJ30)*(AN30/AL30)*(AP30/AN30))^(1/5))-1</f>
        <v>0.16612601658817661</v>
      </c>
      <c r="AU30" s="17">
        <f>SUM(AU31:AU35)</f>
        <v>1315000</v>
      </c>
      <c r="AV30" s="163">
        <f t="shared" ref="AV30" si="104">SUM(AV31:AV35)</f>
        <v>1132030.9213759999</v>
      </c>
      <c r="AW30" s="163">
        <f t="shared" ref="AW30" si="105">SUM(AW31:AW35)</f>
        <v>945000</v>
      </c>
      <c r="AX30" s="163">
        <f t="shared" ref="AX30:BD30" si="106">SUM(AX31:AX35)</f>
        <v>1184280.3315290001</v>
      </c>
      <c r="AY30" s="163">
        <f t="shared" si="106"/>
        <v>1265000</v>
      </c>
      <c r="AZ30" s="163">
        <f t="shared" si="106"/>
        <v>1585808</v>
      </c>
      <c r="BA30" s="163">
        <f t="shared" si="106"/>
        <v>1701000</v>
      </c>
      <c r="BB30" s="191">
        <f t="shared" si="106"/>
        <v>1318000</v>
      </c>
      <c r="BC30" s="163">
        <f t="shared" si="106"/>
        <v>1470000</v>
      </c>
      <c r="BD30" s="163">
        <f t="shared" si="106"/>
        <v>1470000</v>
      </c>
      <c r="BE30" s="213">
        <f t="shared" ref="BE30:BF30" si="107">SUM(BE31:BE35)</f>
        <v>5226000</v>
      </c>
      <c r="BF30" s="213">
        <f t="shared" si="107"/>
        <v>5220119.252905</v>
      </c>
      <c r="BG30" s="257">
        <f>BF30/$BF$10</f>
        <v>0.16039400954524544</v>
      </c>
      <c r="BH30" s="1061">
        <f>(((AV30/AP30)*(AX30/AV30)*(AZ30/AX30)*(BB30/AZ30))^(1/4))-1</f>
        <v>1.028929341692475E-2</v>
      </c>
      <c r="BI30" s="212">
        <f t="shared" ref="BI30:BT30" si="108">SUM(BI31:BI35)</f>
        <v>1625000</v>
      </c>
      <c r="BJ30" s="213">
        <f t="shared" si="108"/>
        <v>1625000</v>
      </c>
      <c r="BK30" s="213">
        <f t="shared" si="108"/>
        <v>1716000</v>
      </c>
      <c r="BL30" s="213">
        <f t="shared" si="108"/>
        <v>1716000</v>
      </c>
      <c r="BM30" s="163">
        <f t="shared" si="108"/>
        <v>2190000</v>
      </c>
      <c r="BN30" s="163">
        <f t="shared" si="108"/>
        <v>2190000</v>
      </c>
      <c r="BO30" s="163">
        <f t="shared" si="108"/>
        <v>2430000</v>
      </c>
      <c r="BP30" s="163">
        <f t="shared" si="108"/>
        <v>2430000</v>
      </c>
      <c r="BQ30" s="163">
        <f t="shared" si="108"/>
        <v>2730000</v>
      </c>
      <c r="BR30" s="163">
        <f t="shared" si="108"/>
        <v>2730000</v>
      </c>
      <c r="BS30" s="163">
        <f t="shared" si="108"/>
        <v>10691000</v>
      </c>
      <c r="BT30" s="163">
        <f t="shared" si="108"/>
        <v>10691000</v>
      </c>
      <c r="BU30" s="141">
        <f>BT30/$BT$10*100</f>
        <v>17.152804352912295</v>
      </c>
      <c r="BV30" s="247">
        <f>(((BJ30/BD30)*(BL30/BJ30)*(BN30/BL30)*(BP30/BN30)*(BR30/BP30))^(1/5))-1</f>
        <v>0.13179836563100178</v>
      </c>
      <c r="BY30" s="1">
        <f t="shared" si="22"/>
        <v>0.83112205260662075</v>
      </c>
      <c r="BZ30" s="816">
        <f t="shared" si="23"/>
        <v>-0.16887794739337925</v>
      </c>
    </row>
    <row r="31" spans="1:78" hidden="1">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 si="109">AG31+AI31+AK31+AM31+AO31</f>
        <v>2478195</v>
      </c>
      <c r="AR31" s="157">
        <f t="shared" ref="AR31" si="110">AH31+AJ31+AL31+AN31+AP31</f>
        <v>2568453.1766379997</v>
      </c>
      <c r="AS31" s="155"/>
      <c r="AT31" s="25"/>
      <c r="AU31" s="27">
        <v>606070</v>
      </c>
      <c r="AV31" s="157">
        <v>565671.13478099997</v>
      </c>
      <c r="AW31" s="157">
        <v>507290</v>
      </c>
      <c r="AX31" s="162">
        <v>628435.35135300003</v>
      </c>
      <c r="AY31" s="162">
        <f>728000</f>
        <v>728000</v>
      </c>
      <c r="AZ31" s="162">
        <v>687812</v>
      </c>
      <c r="BA31" s="157">
        <f>'Phụ lục số I'!D31</f>
        <v>724290</v>
      </c>
      <c r="BB31" s="252">
        <f>'Phụ lục số I'!J31</f>
        <v>630000</v>
      </c>
      <c r="BC31" s="157">
        <f>'Phụ lục số I'!Q31</f>
        <v>747000</v>
      </c>
      <c r="BD31" s="157">
        <f>BC31</f>
        <v>747000</v>
      </c>
      <c r="BE31" s="152">
        <f t="shared" ref="BE31" si="111">AU31+AW31+AY31+BA31</f>
        <v>2565650</v>
      </c>
      <c r="BF31" s="152">
        <f t="shared" ref="BF31" si="112">AV31+AX31+AZ31+BB31</f>
        <v>2511918.4861340001</v>
      </c>
      <c r="BG31" s="155"/>
      <c r="BH31" s="25"/>
      <c r="BI31" s="288">
        <f>'Phụ lục số I'!W31</f>
        <v>860000</v>
      </c>
      <c r="BJ31" s="152">
        <f t="shared" si="52"/>
        <v>860000</v>
      </c>
      <c r="BK31" s="152">
        <f>'Phụ lục số I'!AC31</f>
        <v>906000</v>
      </c>
      <c r="BL31" s="152">
        <f t="shared" si="53"/>
        <v>906000</v>
      </c>
      <c r="BM31" s="157">
        <f>'Phụ lục số I'!AI31</f>
        <v>1149100</v>
      </c>
      <c r="BN31" s="157">
        <f t="shared" si="54"/>
        <v>1149100</v>
      </c>
      <c r="BO31" s="157">
        <f>'Phụ lục số I'!AO31</f>
        <v>1285100</v>
      </c>
      <c r="BP31" s="157">
        <f t="shared" si="55"/>
        <v>1285100</v>
      </c>
      <c r="BQ31" s="157">
        <f>'Phụ lục số I'!AU31</f>
        <v>1435100</v>
      </c>
      <c r="BR31" s="157">
        <f t="shared" si="56"/>
        <v>1435100</v>
      </c>
      <c r="BS31" s="157">
        <f t="shared" ref="BS31" si="113">BI31+BK31+BM31+BO31+BQ31</f>
        <v>5635300</v>
      </c>
      <c r="BT31" s="157">
        <f t="shared" ref="BT31" si="114">BJ31+BL31+BN31+BP31+BR31</f>
        <v>5635300</v>
      </c>
      <c r="BU31" s="155"/>
      <c r="BV31" s="25"/>
      <c r="BY31" s="1">
        <f t="shared" si="22"/>
        <v>0.91594796252464339</v>
      </c>
      <c r="BZ31" s="816">
        <f t="shared" si="23"/>
        <v>-8.4052037475356611E-2</v>
      </c>
    </row>
    <row r="32" spans="1:78" hidden="1">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ref="AQ32:AQ35" si="115">AG32+AI32+AK32+AM32+AO32</f>
        <v>1939390</v>
      </c>
      <c r="AR32" s="157">
        <f t="shared" ref="AR32:AR35" si="116">AH32+AJ32+AL32+AN32+AP32</f>
        <v>2251795.5465150001</v>
      </c>
      <c r="AS32" s="155"/>
      <c r="AT32" s="25"/>
      <c r="AU32" s="27">
        <v>559240</v>
      </c>
      <c r="AV32" s="157">
        <v>81326.486615000002</v>
      </c>
      <c r="AW32" s="157">
        <v>337490</v>
      </c>
      <c r="AX32" s="162">
        <v>80519.551053000003</v>
      </c>
      <c r="AY32" s="162">
        <v>441000</v>
      </c>
      <c r="AZ32" s="162">
        <f>847094</f>
        <v>847094</v>
      </c>
      <c r="BA32" s="157">
        <f>'Phụ lục số I'!D32</f>
        <v>905790</v>
      </c>
      <c r="BB32" s="252">
        <f>'Phụ lục số I'!J32</f>
        <v>620000</v>
      </c>
      <c r="BC32" s="157">
        <f>'Phụ lục số I'!Q32</f>
        <v>650000</v>
      </c>
      <c r="BD32" s="157">
        <f t="shared" ref="BD32:BD35" si="117">BC32</f>
        <v>650000</v>
      </c>
      <c r="BE32" s="152">
        <f t="shared" ref="BE32:BE35" si="118">AU32+AW32+AY32+BA32</f>
        <v>2243520</v>
      </c>
      <c r="BF32" s="152">
        <f t="shared" ref="BF32:BF35" si="119">AV32+AX32+AZ32+BB32</f>
        <v>1628940.037668</v>
      </c>
      <c r="BG32" s="155"/>
      <c r="BH32" s="25"/>
      <c r="BI32" s="288">
        <f>'Phụ lục số I'!W32</f>
        <v>688000</v>
      </c>
      <c r="BJ32" s="152">
        <f t="shared" si="52"/>
        <v>688000</v>
      </c>
      <c r="BK32" s="152">
        <f>'Phụ lục số I'!AC32</f>
        <v>728000</v>
      </c>
      <c r="BL32" s="152">
        <f t="shared" si="53"/>
        <v>728000</v>
      </c>
      <c r="BM32" s="157">
        <f>'Phụ lục số I'!AI32</f>
        <v>935000</v>
      </c>
      <c r="BN32" s="157">
        <f t="shared" si="54"/>
        <v>935000</v>
      </c>
      <c r="BO32" s="157">
        <f>'Phụ lục số I'!AO32</f>
        <v>1030000</v>
      </c>
      <c r="BP32" s="157">
        <f t="shared" si="55"/>
        <v>1030000</v>
      </c>
      <c r="BQ32" s="157">
        <f>'Phụ lục số I'!AU32</f>
        <v>1170000</v>
      </c>
      <c r="BR32" s="157">
        <f t="shared" si="56"/>
        <v>1170000</v>
      </c>
      <c r="BS32" s="157">
        <f t="shared" ref="BS32:BS35" si="120">BI32+BK32+BM32+BO32+BQ32</f>
        <v>4551000</v>
      </c>
      <c r="BT32" s="157">
        <f t="shared" ref="BT32:BT35" si="121">BJ32+BL32+BN32+BP32+BR32</f>
        <v>4551000</v>
      </c>
      <c r="BU32" s="155"/>
      <c r="BV32" s="25"/>
      <c r="BY32" s="1">
        <f t="shared" si="22"/>
        <v>0.73191404968043683</v>
      </c>
      <c r="BZ32" s="816">
        <f t="shared" si="23"/>
        <v>-0.26808595031956317</v>
      </c>
    </row>
    <row r="33" spans="1:78" hidden="1">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115"/>
        <v>110585</v>
      </c>
      <c r="AR33" s="157">
        <f t="shared" si="116"/>
        <v>254832.06813199999</v>
      </c>
      <c r="AS33" s="155"/>
      <c r="AT33" s="25"/>
      <c r="AU33" s="27">
        <v>130750</v>
      </c>
      <c r="AV33" s="157">
        <v>476960.13871999999</v>
      </c>
      <c r="AW33" s="157">
        <v>87315</v>
      </c>
      <c r="AX33" s="162">
        <v>471240.61714799999</v>
      </c>
      <c r="AY33" s="162">
        <v>88000</v>
      </c>
      <c r="AZ33" s="162">
        <v>42357</v>
      </c>
      <c r="BA33" s="157">
        <f>'Phụ lục số I'!D33</f>
        <v>63450</v>
      </c>
      <c r="BB33" s="252">
        <f>'Phụ lục số I'!J33</f>
        <v>32000</v>
      </c>
      <c r="BC33" s="157">
        <f>'Phụ lục số I'!Q33</f>
        <v>35000</v>
      </c>
      <c r="BD33" s="157">
        <f t="shared" si="117"/>
        <v>35000</v>
      </c>
      <c r="BE33" s="152">
        <f t="shared" si="118"/>
        <v>369515</v>
      </c>
      <c r="BF33" s="152">
        <f t="shared" si="119"/>
        <v>1022557.755868</v>
      </c>
      <c r="BG33" s="155"/>
      <c r="BH33" s="25"/>
      <c r="BI33" s="288">
        <f>'Phụ lục số I'!W33</f>
        <v>37100</v>
      </c>
      <c r="BJ33" s="152">
        <f t="shared" si="52"/>
        <v>37100</v>
      </c>
      <c r="BK33" s="152">
        <f>'Phụ lục số I'!AC33</f>
        <v>40100</v>
      </c>
      <c r="BL33" s="152">
        <f t="shared" si="53"/>
        <v>40100</v>
      </c>
      <c r="BM33" s="157">
        <f>'Phụ lục số I'!AI33</f>
        <v>55000</v>
      </c>
      <c r="BN33" s="157">
        <f t="shared" si="54"/>
        <v>55000</v>
      </c>
      <c r="BO33" s="157">
        <f>'Phụ lục số I'!AO33</f>
        <v>59000</v>
      </c>
      <c r="BP33" s="157">
        <f t="shared" si="55"/>
        <v>59000</v>
      </c>
      <c r="BQ33" s="157">
        <f>'Phụ lục số I'!AU33</f>
        <v>64000</v>
      </c>
      <c r="BR33" s="157">
        <f t="shared" si="56"/>
        <v>64000</v>
      </c>
      <c r="BS33" s="157">
        <f t="shared" si="120"/>
        <v>255200</v>
      </c>
      <c r="BT33" s="157">
        <f t="shared" si="121"/>
        <v>255200</v>
      </c>
      <c r="BU33" s="155"/>
      <c r="BV33" s="25"/>
      <c r="BY33" s="1">
        <f t="shared" si="22"/>
        <v>0.75548315508652641</v>
      </c>
      <c r="BZ33" s="816">
        <f t="shared" si="23"/>
        <v>-0.24451684491347359</v>
      </c>
    </row>
    <row r="34" spans="1:78" hidden="1">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115"/>
        <v>50040</v>
      </c>
      <c r="AR34" s="157">
        <f t="shared" si="116"/>
        <v>58053.840297999996</v>
      </c>
      <c r="AS34" s="155"/>
      <c r="AT34" s="25"/>
      <c r="AU34" s="27">
        <v>18940</v>
      </c>
      <c r="AV34" s="157">
        <v>8073.1612599999999</v>
      </c>
      <c r="AW34" s="157">
        <v>12905</v>
      </c>
      <c r="AX34" s="162">
        <v>4084.8119750000001</v>
      </c>
      <c r="AY34" s="162">
        <v>8000</v>
      </c>
      <c r="AZ34" s="162">
        <f>8545</f>
        <v>8545</v>
      </c>
      <c r="BA34" s="157">
        <f>'Phụ lục số I'!D34</f>
        <v>5970</v>
      </c>
      <c r="BB34" s="252">
        <f>'Phụ lục số I'!J34</f>
        <v>36000</v>
      </c>
      <c r="BC34" s="157">
        <f>'Phụ lục số I'!Q34</f>
        <v>38000</v>
      </c>
      <c r="BD34" s="157">
        <f t="shared" si="117"/>
        <v>38000</v>
      </c>
      <c r="BE34" s="152">
        <f t="shared" si="118"/>
        <v>45815</v>
      </c>
      <c r="BF34" s="152">
        <f t="shared" si="119"/>
        <v>56702.973234999998</v>
      </c>
      <c r="BG34" s="155"/>
      <c r="BH34" s="25"/>
      <c r="BI34" s="288">
        <f>'Phụ lục số I'!W34</f>
        <v>39900</v>
      </c>
      <c r="BJ34" s="152">
        <f t="shared" si="52"/>
        <v>39900</v>
      </c>
      <c r="BK34" s="152">
        <f>'Phụ lục số I'!AC34</f>
        <v>41900</v>
      </c>
      <c r="BL34" s="152">
        <f t="shared" si="53"/>
        <v>41900</v>
      </c>
      <c r="BM34" s="157">
        <f>'Phụ lục số I'!AI34</f>
        <v>50900</v>
      </c>
      <c r="BN34" s="157">
        <f t="shared" si="54"/>
        <v>50900</v>
      </c>
      <c r="BO34" s="157">
        <f>'Phụ lục số I'!AO34</f>
        <v>55900</v>
      </c>
      <c r="BP34" s="157">
        <f t="shared" si="55"/>
        <v>55900</v>
      </c>
      <c r="BQ34" s="157">
        <f>'Phụ lục số I'!AU34</f>
        <v>60900</v>
      </c>
      <c r="BR34" s="157">
        <f t="shared" si="56"/>
        <v>60900</v>
      </c>
      <c r="BS34" s="157">
        <f t="shared" si="120"/>
        <v>249500</v>
      </c>
      <c r="BT34" s="157">
        <f t="shared" si="121"/>
        <v>249500</v>
      </c>
      <c r="BU34" s="155"/>
      <c r="BV34" s="25"/>
      <c r="BY34" s="1">
        <f t="shared" si="22"/>
        <v>4.2129900526623754</v>
      </c>
      <c r="BZ34" s="816">
        <f t="shared" si="23"/>
        <v>3.2129900526623754</v>
      </c>
    </row>
    <row r="35" spans="1:78" hidden="1">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115"/>
        <v>81790</v>
      </c>
      <c r="AR35" s="157">
        <f t="shared" si="116"/>
        <v>75935.108203000011</v>
      </c>
      <c r="AS35" s="254"/>
      <c r="AT35" s="25"/>
      <c r="AU35" s="27"/>
      <c r="AV35" s="157"/>
      <c r="AW35" s="157"/>
      <c r="AX35" s="162"/>
      <c r="AY35" s="162"/>
      <c r="AZ35" s="162"/>
      <c r="BA35" s="157">
        <f>'Phụ lục số I'!D35</f>
        <v>1500</v>
      </c>
      <c r="BB35" s="252">
        <f>'Phụ lục số I'!J35</f>
        <v>0</v>
      </c>
      <c r="BC35" s="157">
        <f>'Phụ lục số I'!Q35</f>
        <v>0</v>
      </c>
      <c r="BD35" s="157">
        <f t="shared" si="117"/>
        <v>0</v>
      </c>
      <c r="BE35" s="152">
        <f t="shared" si="118"/>
        <v>1500</v>
      </c>
      <c r="BF35" s="152">
        <f t="shared" si="119"/>
        <v>0</v>
      </c>
      <c r="BG35" s="155"/>
      <c r="BH35" s="25"/>
      <c r="BI35" s="288">
        <f>'Phụ lục số I'!W35</f>
        <v>0</v>
      </c>
      <c r="BJ35" s="152">
        <f t="shared" si="52"/>
        <v>0</v>
      </c>
      <c r="BK35" s="152">
        <f>'Phụ lục số I'!AC35</f>
        <v>0</v>
      </c>
      <c r="BL35" s="152">
        <f t="shared" si="53"/>
        <v>0</v>
      </c>
      <c r="BM35" s="157">
        <f>'Phụ lục số I'!AI35</f>
        <v>0</v>
      </c>
      <c r="BN35" s="157">
        <f t="shared" si="54"/>
        <v>0</v>
      </c>
      <c r="BO35" s="157">
        <f>'Phụ lục số I'!AO35</f>
        <v>0</v>
      </c>
      <c r="BP35" s="157">
        <f t="shared" si="55"/>
        <v>0</v>
      </c>
      <c r="BQ35" s="157">
        <f>'Phụ lục số I'!AU35</f>
        <v>0</v>
      </c>
      <c r="BR35" s="157">
        <f t="shared" si="56"/>
        <v>0</v>
      </c>
      <c r="BS35" s="157">
        <f t="shared" si="120"/>
        <v>0</v>
      </c>
      <c r="BT35" s="157">
        <f t="shared" si="121"/>
        <v>0</v>
      </c>
      <c r="BU35" s="155"/>
      <c r="BV35" s="25"/>
      <c r="BY35" s="1" t="e">
        <f t="shared" si="22"/>
        <v>#DIV/0!</v>
      </c>
      <c r="BZ35" s="816" t="e">
        <f t="shared" si="23"/>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ref="AQ36:AQ47" si="122">AG36+AI36+AK36+AM36+AO36</f>
        <v>1160500</v>
      </c>
      <c r="AR36" s="142">
        <f t="shared" ref="AR36:AR47" si="123">AH36+AJ36+AL36+AN36+AP36</f>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42">
        <f>'Phụ lục số I'!D36</f>
        <v>350000</v>
      </c>
      <c r="BB36" s="192">
        <f>'Phụ lục số I'!J36</f>
        <v>310000</v>
      </c>
      <c r="BC36" s="142">
        <f>'Phụ lục số I'!Q36</f>
        <v>330000</v>
      </c>
      <c r="BD36" s="142">
        <f t="shared" ref="BD36:BD50" si="124">BC36</f>
        <v>330000</v>
      </c>
      <c r="BE36" s="147">
        <f t="shared" ref="BE36" si="125">AU36+AW36+AY36+BA36</f>
        <v>1145000</v>
      </c>
      <c r="BF36" s="147">
        <f t="shared" ref="BF36" si="126">AV36+AX36+AZ36+BB36</f>
        <v>1220385</v>
      </c>
      <c r="BG36" s="246">
        <f>BF36/$BF$10</f>
        <v>3.7497695714507583E-2</v>
      </c>
      <c r="BH36" s="1061">
        <f t="shared" ref="BH36:BH51" si="127">(((AV36/AP36)*(AX36/AV36)*(AZ36/AX36)*(BB36/AZ36))^(1/4))-1</f>
        <v>2.4158375047741654E-2</v>
      </c>
      <c r="BI36" s="289">
        <f>'Phụ lục số I'!W36</f>
        <v>350000</v>
      </c>
      <c r="BJ36" s="147">
        <f t="shared" si="52"/>
        <v>350000</v>
      </c>
      <c r="BK36" s="147">
        <f>'Phụ lục số I'!AC36</f>
        <v>370000</v>
      </c>
      <c r="BL36" s="147">
        <f t="shared" si="53"/>
        <v>370000</v>
      </c>
      <c r="BM36" s="142">
        <f>'Phụ lục số I'!AI36</f>
        <v>585000</v>
      </c>
      <c r="BN36" s="142">
        <f t="shared" si="54"/>
        <v>585000</v>
      </c>
      <c r="BO36" s="142">
        <f>'Phụ lục số I'!AO36</f>
        <v>650000</v>
      </c>
      <c r="BP36" s="142">
        <f t="shared" si="55"/>
        <v>650000</v>
      </c>
      <c r="BQ36" s="142">
        <f>'Phụ lục số I'!AU36</f>
        <v>750000</v>
      </c>
      <c r="BR36" s="142">
        <f t="shared" si="56"/>
        <v>750000</v>
      </c>
      <c r="BS36" s="142">
        <f t="shared" ref="BS36" si="128">BI36+BK36+BM36+BO36+BQ36</f>
        <v>2705000</v>
      </c>
      <c r="BT36" s="142">
        <f t="shared" ref="BT36" si="129">BJ36+BL36+BN36+BP36+BR36</f>
        <v>2705000</v>
      </c>
      <c r="BU36" s="141">
        <f>BT36/$BT$10*100</f>
        <v>4.3399434828012113</v>
      </c>
      <c r="BV36" s="247">
        <f>(((BJ36/BD36)*(BL36/BJ36)*(BN36/BL36)*(BP36/BN36)*(BR36/BP36))^(1/5))-1</f>
        <v>0.17844539784792257</v>
      </c>
      <c r="BY36" s="1">
        <f t="shared" si="22"/>
        <v>1.0335434871757256</v>
      </c>
      <c r="BZ36" s="816">
        <f t="shared" si="23"/>
        <v>3.3543487175725639E-2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122"/>
        <v>0.13068600000000002</v>
      </c>
      <c r="AR37" s="142">
        <f t="shared" si="123"/>
        <v>3861.2053470000001</v>
      </c>
      <c r="AS37" s="246">
        <f>AR37/$AR$10</f>
        <v>1.033039891465186E-4</v>
      </c>
      <c r="AT37" s="188">
        <f t="shared" ref="AT37:AT50" si="130">(((AH37/AB37)*(AJ37/AH37)*(AL37/AJ37)*(AN37/AL37)*(AP37/AN37))^(1/5))-1</f>
        <v>1.2072970187740673E-2</v>
      </c>
      <c r="AU37" s="17">
        <v>0</v>
      </c>
      <c r="AV37" s="142">
        <v>297</v>
      </c>
      <c r="AW37" s="163">
        <v>0</v>
      </c>
      <c r="AX37" s="163">
        <v>280</v>
      </c>
      <c r="AY37" s="162"/>
      <c r="AZ37" s="163">
        <v>342</v>
      </c>
      <c r="BA37" s="142">
        <f>'Phụ lục số I'!D37</f>
        <v>0</v>
      </c>
      <c r="BB37" s="192">
        <f>'Phụ lục số I'!J37</f>
        <v>50</v>
      </c>
      <c r="BC37" s="142">
        <f>'Phụ lục số I'!Q37</f>
        <v>0</v>
      </c>
      <c r="BD37" s="142">
        <f t="shared" si="124"/>
        <v>0</v>
      </c>
      <c r="BE37" s="147">
        <f t="shared" ref="BE37:BE47" si="131">AU37+AW37+AY37+BA37</f>
        <v>0</v>
      </c>
      <c r="BF37" s="147">
        <f t="shared" ref="BF37:BF47" si="132">AV37+AX37+AZ37+BB37</f>
        <v>969</v>
      </c>
      <c r="BG37" s="246">
        <f t="shared" ref="BG37:BG51" si="133">BF37/$BF$10</f>
        <v>2.9773610088093385E-5</v>
      </c>
      <c r="BH37" s="1061">
        <f t="shared" si="127"/>
        <v>-0.48376275275362679</v>
      </c>
      <c r="BI37" s="289">
        <f>'Phụ lục số I'!W37</f>
        <v>0</v>
      </c>
      <c r="BJ37" s="147">
        <f t="shared" si="52"/>
        <v>0</v>
      </c>
      <c r="BK37" s="147">
        <f>'Phụ lục số I'!AC37</f>
        <v>0</v>
      </c>
      <c r="BL37" s="147">
        <f t="shared" si="53"/>
        <v>0</v>
      </c>
      <c r="BM37" s="142">
        <f>'Phụ lục số I'!AI37</f>
        <v>0</v>
      </c>
      <c r="BN37" s="142">
        <f t="shared" si="54"/>
        <v>0</v>
      </c>
      <c r="BO37" s="142">
        <f>'Phụ lục số I'!AO37</f>
        <v>0</v>
      </c>
      <c r="BP37" s="142">
        <f t="shared" si="55"/>
        <v>0</v>
      </c>
      <c r="BQ37" s="142">
        <f>'Phụ lục số I'!AU37</f>
        <v>0</v>
      </c>
      <c r="BR37" s="142">
        <f t="shared" si="56"/>
        <v>0</v>
      </c>
      <c r="BS37" s="142">
        <f t="shared" ref="BS37:BS50" si="134">BI37+BK37+BM37+BO37+BQ37</f>
        <v>0</v>
      </c>
      <c r="BT37" s="142">
        <f t="shared" ref="BT37:BT50" si="135">BJ37+BL37+BN37+BP37+BR37</f>
        <v>0</v>
      </c>
      <c r="BU37" s="155"/>
      <c r="BV37" s="25"/>
      <c r="BY37" s="1">
        <f t="shared" si="22"/>
        <v>0.14619883040935672</v>
      </c>
      <c r="BZ37" s="816">
        <f t="shared" si="23"/>
        <v>-0.85380116959064334</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122"/>
        <v>36000</v>
      </c>
      <c r="AR38" s="142">
        <f t="shared" si="123"/>
        <v>51418.777902000002</v>
      </c>
      <c r="AS38" s="246">
        <f>AR38/$AR$10</f>
        <v>1.3756753130062052E-3</v>
      </c>
      <c r="AT38" s="188">
        <f t="shared" si="130"/>
        <v>6.775065765451016E-2</v>
      </c>
      <c r="AU38" s="17">
        <v>8000</v>
      </c>
      <c r="AV38" s="142">
        <v>9403</v>
      </c>
      <c r="AW38" s="163">
        <v>8000</v>
      </c>
      <c r="AX38" s="163">
        <v>17903</v>
      </c>
      <c r="AY38" s="163">
        <f>10000</f>
        <v>10000</v>
      </c>
      <c r="AZ38" s="163">
        <f>17533</f>
        <v>17533</v>
      </c>
      <c r="BA38" s="142">
        <f>'Phụ lục số I'!D38</f>
        <v>15000</v>
      </c>
      <c r="BB38" s="192">
        <f>'Phụ lục số I'!J38</f>
        <v>15950</v>
      </c>
      <c r="BC38" s="142">
        <f>'Phụ lục số I'!Q38</f>
        <v>17000</v>
      </c>
      <c r="BD38" s="142">
        <f t="shared" si="124"/>
        <v>17000</v>
      </c>
      <c r="BE38" s="147">
        <f t="shared" si="131"/>
        <v>41000</v>
      </c>
      <c r="BF38" s="147">
        <f t="shared" si="132"/>
        <v>60789</v>
      </c>
      <c r="BG38" s="246">
        <f t="shared" si="133"/>
        <v>1.8678100966409792E-3</v>
      </c>
      <c r="BH38" s="1061">
        <f t="shared" si="127"/>
        <v>8.6563713423451594E-2</v>
      </c>
      <c r="BI38" s="289">
        <f>'Phụ lục số I'!W38</f>
        <v>17000</v>
      </c>
      <c r="BJ38" s="147">
        <f t="shared" si="52"/>
        <v>17000</v>
      </c>
      <c r="BK38" s="147">
        <f>'Phụ lục số I'!AC38</f>
        <v>18000</v>
      </c>
      <c r="BL38" s="147">
        <f t="shared" si="53"/>
        <v>18000</v>
      </c>
      <c r="BM38" s="142">
        <f>'Phụ lục số I'!AI38</f>
        <v>16000</v>
      </c>
      <c r="BN38" s="142">
        <f t="shared" si="54"/>
        <v>16000</v>
      </c>
      <c r="BO38" s="142">
        <f>'Phụ lục số I'!AO38</f>
        <v>16000</v>
      </c>
      <c r="BP38" s="142">
        <f t="shared" si="55"/>
        <v>16000</v>
      </c>
      <c r="BQ38" s="142">
        <f>'Phụ lục số I'!AU38</f>
        <v>15000</v>
      </c>
      <c r="BR38" s="142">
        <f t="shared" si="56"/>
        <v>15000</v>
      </c>
      <c r="BS38" s="142">
        <f t="shared" si="134"/>
        <v>82000</v>
      </c>
      <c r="BT38" s="142">
        <f t="shared" si="135"/>
        <v>82000</v>
      </c>
      <c r="BU38" s="141">
        <f>BT38/$BT$10*100</f>
        <v>0.13156205751929737</v>
      </c>
      <c r="BV38" s="247">
        <f>(((BJ38/BD38)*(BL38/BJ38)*(BN38/BL38)*(BP38/BN38)*(BR38/BP38))^(1/5))-1</f>
        <v>-2.4721910440527295E-2</v>
      </c>
      <c r="BY38" s="1">
        <f t="shared" si="22"/>
        <v>0.90971311241658581</v>
      </c>
      <c r="BZ38" s="816">
        <f t="shared" si="23"/>
        <v>-9.0286887583414188E-2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122"/>
        <v>2276000</v>
      </c>
      <c r="AR39" s="142">
        <f t="shared" si="123"/>
        <v>2258955.3158879997</v>
      </c>
      <c r="AS39" s="246">
        <f t="shared" ref="AS39:AS51" si="136">AR39/$AR$10</f>
        <v>6.0436851828218605E-2</v>
      </c>
      <c r="AT39" s="188">
        <f t="shared" si="130"/>
        <v>0.11444654873328663</v>
      </c>
      <c r="AU39" s="17">
        <v>465000</v>
      </c>
      <c r="AV39" s="142">
        <v>453602</v>
      </c>
      <c r="AW39" s="163">
        <v>500000</v>
      </c>
      <c r="AX39" s="163">
        <v>712065</v>
      </c>
      <c r="AY39" s="163">
        <f>600000</f>
        <v>600000</v>
      </c>
      <c r="AZ39" s="163">
        <f>694807</f>
        <v>694807</v>
      </c>
      <c r="BA39" s="142">
        <f>'Phụ lục số I'!D39</f>
        <v>730000</v>
      </c>
      <c r="BB39" s="192">
        <f>'Phụ lục số I'!J39</f>
        <v>740000</v>
      </c>
      <c r="BC39" s="142">
        <f>'Phụ lục số I'!Q39</f>
        <v>780000</v>
      </c>
      <c r="BD39" s="142">
        <f t="shared" si="124"/>
        <v>780000</v>
      </c>
      <c r="BE39" s="147">
        <f t="shared" si="131"/>
        <v>2295000</v>
      </c>
      <c r="BF39" s="147">
        <f t="shared" si="132"/>
        <v>2600474</v>
      </c>
      <c r="BG39" s="246">
        <f t="shared" si="133"/>
        <v>7.9902475665866418E-2</v>
      </c>
      <c r="BH39" s="1061">
        <f t="shared" si="127"/>
        <v>8.4849671358395495E-2</v>
      </c>
      <c r="BI39" s="289">
        <f>'Phụ lục số I'!W39</f>
        <v>800000</v>
      </c>
      <c r="BJ39" s="147">
        <f t="shared" si="52"/>
        <v>800000</v>
      </c>
      <c r="BK39" s="147">
        <f>'Phụ lục số I'!AC39</f>
        <v>820000</v>
      </c>
      <c r="BL39" s="147">
        <f t="shared" si="53"/>
        <v>820000</v>
      </c>
      <c r="BM39" s="142">
        <f>'Phụ lục số I'!AI39</f>
        <v>1050000</v>
      </c>
      <c r="BN39" s="142">
        <f t="shared" si="54"/>
        <v>1050000</v>
      </c>
      <c r="BO39" s="142">
        <f>'Phụ lục số I'!AO39</f>
        <v>1130000</v>
      </c>
      <c r="BP39" s="142">
        <f t="shared" si="55"/>
        <v>1130000</v>
      </c>
      <c r="BQ39" s="142">
        <f>'Phụ lục số I'!AU39</f>
        <v>1200000</v>
      </c>
      <c r="BR39" s="142">
        <f t="shared" si="56"/>
        <v>1200000</v>
      </c>
      <c r="BS39" s="142">
        <f t="shared" si="134"/>
        <v>5000000</v>
      </c>
      <c r="BT39" s="142">
        <f t="shared" si="135"/>
        <v>5000000</v>
      </c>
      <c r="BU39" s="141">
        <f t="shared" ref="BU39:BU51" si="137">BT39/$BT$10*100</f>
        <v>8.022076678005936</v>
      </c>
      <c r="BV39" s="247">
        <f t="shared" ref="BV39:BV51" si="138">(((BJ39/BD39)*(BL39/BJ39)*(BN39/BL39)*(BP39/BN39)*(BR39/BP39))^(1/5))-1</f>
        <v>8.9976987048345336E-2</v>
      </c>
      <c r="BY39" s="1">
        <f t="shared" si="22"/>
        <v>1.0650439618483982</v>
      </c>
      <c r="BZ39" s="816">
        <f t="shared" si="23"/>
        <v>6.5043961848398224E-2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122"/>
        <v>11610000</v>
      </c>
      <c r="AR40" s="142">
        <f t="shared" si="123"/>
        <v>10142334.708613999</v>
      </c>
      <c r="AS40" s="246">
        <f t="shared" si="136"/>
        <v>0.27135144093620239</v>
      </c>
      <c r="AT40" s="188">
        <f t="shared" si="130"/>
        <v>8.3488784977151065E-2</v>
      </c>
      <c r="AU40" s="17">
        <v>2270000</v>
      </c>
      <c r="AV40" s="142">
        <v>1312857</v>
      </c>
      <c r="AW40" s="163">
        <v>1527000</v>
      </c>
      <c r="AX40" s="163">
        <v>926613</v>
      </c>
      <c r="AY40" s="163">
        <f>1500000</f>
        <v>1500000</v>
      </c>
      <c r="AZ40" s="163">
        <f>946183</f>
        <v>946183</v>
      </c>
      <c r="BA40" s="142">
        <f>'Phụ lục số I'!D40</f>
        <v>1065000</v>
      </c>
      <c r="BB40" s="192">
        <f>'Phụ lục số I'!J40</f>
        <v>856000</v>
      </c>
      <c r="BC40" s="142">
        <f>'Phụ lục số I'!Q40</f>
        <v>1500000</v>
      </c>
      <c r="BD40" s="142">
        <f t="shared" si="124"/>
        <v>1500000</v>
      </c>
      <c r="BE40" s="147">
        <f>AU40+AW40+AY40+BA40</f>
        <v>6362000</v>
      </c>
      <c r="BF40" s="147">
        <f t="shared" si="132"/>
        <v>4041653</v>
      </c>
      <c r="BG40" s="257">
        <f t="shared" si="133"/>
        <v>0.12418431427592662</v>
      </c>
      <c r="BH40" s="1061">
        <f t="shared" si="127"/>
        <v>-0.18495212305022779</v>
      </c>
      <c r="BI40" s="289">
        <f>'Phụ lục số I'!W40</f>
        <v>1500000</v>
      </c>
      <c r="BJ40" s="147">
        <f t="shared" si="52"/>
        <v>1500000</v>
      </c>
      <c r="BK40" s="147">
        <f>'Phụ lục số I'!AC40</f>
        <v>1500000</v>
      </c>
      <c r="BL40" s="147">
        <f t="shared" si="53"/>
        <v>1500000</v>
      </c>
      <c r="BM40" s="142">
        <f>'Phụ lục số I'!AI40</f>
        <v>1800000</v>
      </c>
      <c r="BN40" s="142">
        <f t="shared" si="54"/>
        <v>1800000</v>
      </c>
      <c r="BO40" s="142">
        <f>'Phụ lục số I'!AO40</f>
        <v>1900000</v>
      </c>
      <c r="BP40" s="142">
        <f t="shared" si="55"/>
        <v>1900000</v>
      </c>
      <c r="BQ40" s="142">
        <f>'Phụ lục số I'!AU40</f>
        <v>2000000</v>
      </c>
      <c r="BR40" s="142">
        <f t="shared" si="56"/>
        <v>2000000</v>
      </c>
      <c r="BS40" s="142">
        <f t="shared" si="134"/>
        <v>8700000</v>
      </c>
      <c r="BT40" s="142">
        <f t="shared" si="135"/>
        <v>8700000</v>
      </c>
      <c r="BU40" s="141">
        <f t="shared" si="137"/>
        <v>13.958413419730329</v>
      </c>
      <c r="BV40" s="247">
        <f t="shared" si="138"/>
        <v>5.9223841048812176E-2</v>
      </c>
      <c r="BY40" s="1">
        <f t="shared" si="22"/>
        <v>0.90468757100899089</v>
      </c>
      <c r="BZ40" s="816">
        <f t="shared" si="23"/>
        <v>-9.5312428991009113E-2</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122"/>
        <v>865400</v>
      </c>
      <c r="AR41" s="142">
        <f t="shared" si="123"/>
        <v>958895.30651999998</v>
      </c>
      <c r="AS41" s="246">
        <f t="shared" si="136"/>
        <v>2.5654608194913418E-2</v>
      </c>
      <c r="AT41" s="188">
        <f t="shared" si="130"/>
        <v>-4.46897131322187E-2</v>
      </c>
      <c r="AU41" s="17">
        <v>192900</v>
      </c>
      <c r="AV41" s="142">
        <v>156068</v>
      </c>
      <c r="AW41" s="163">
        <v>160000</v>
      </c>
      <c r="AX41" s="163">
        <v>174907</v>
      </c>
      <c r="AY41" s="163">
        <v>160000</v>
      </c>
      <c r="AZ41" s="163">
        <f>154887</f>
        <v>154887</v>
      </c>
      <c r="BA41" s="142">
        <f>'Phụ lục số I'!D41</f>
        <v>170000</v>
      </c>
      <c r="BB41" s="192">
        <f>'Phụ lục số I'!J41</f>
        <v>170000</v>
      </c>
      <c r="BC41" s="142">
        <f>'Phụ lục số I'!Q41</f>
        <v>180000</v>
      </c>
      <c r="BD41" s="142">
        <f t="shared" si="124"/>
        <v>180000</v>
      </c>
      <c r="BE41" s="147">
        <f t="shared" si="131"/>
        <v>682900</v>
      </c>
      <c r="BF41" s="147">
        <f>AV41+AX41+AZ41+BB41</f>
        <v>655862</v>
      </c>
      <c r="BG41" s="246">
        <f t="shared" si="133"/>
        <v>2.0152094385549126E-2</v>
      </c>
      <c r="BH41" s="1061">
        <f t="shared" si="127"/>
        <v>1.2272857645716506E-3</v>
      </c>
      <c r="BI41" s="289">
        <f>'Phụ lục số I'!W41</f>
        <v>190000</v>
      </c>
      <c r="BJ41" s="147">
        <f t="shared" si="52"/>
        <v>190000</v>
      </c>
      <c r="BK41" s="147">
        <f>'Phụ lục số I'!AC41</f>
        <v>200000</v>
      </c>
      <c r="BL41" s="147">
        <f t="shared" si="53"/>
        <v>200000</v>
      </c>
      <c r="BM41" s="142">
        <f>'Phụ lục số I'!AI41</f>
        <v>270000</v>
      </c>
      <c r="BN41" s="142">
        <f t="shared" si="54"/>
        <v>270000</v>
      </c>
      <c r="BO41" s="142">
        <f>'Phụ lục số I'!AO41</f>
        <v>300000</v>
      </c>
      <c r="BP41" s="142">
        <f t="shared" si="55"/>
        <v>300000</v>
      </c>
      <c r="BQ41" s="142">
        <f>'Phụ lục số I'!AU41</f>
        <v>350000</v>
      </c>
      <c r="BR41" s="142">
        <f t="shared" si="56"/>
        <v>350000</v>
      </c>
      <c r="BS41" s="142">
        <f t="shared" si="134"/>
        <v>1310000</v>
      </c>
      <c r="BT41" s="142">
        <f t="shared" si="135"/>
        <v>1310000</v>
      </c>
      <c r="BU41" s="141">
        <f t="shared" si="137"/>
        <v>2.1017840896375555</v>
      </c>
      <c r="BV41" s="247">
        <f t="shared" si="138"/>
        <v>0.1422445848996079</v>
      </c>
      <c r="BY41" s="1">
        <f t="shared" si="22"/>
        <v>1.0975743606629349</v>
      </c>
      <c r="BZ41" s="816">
        <f t="shared" si="23"/>
        <v>9.75743606629349E-2</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122"/>
        <v>2300000</v>
      </c>
      <c r="AR42" s="192">
        <f t="shared" si="123"/>
        <v>3736804.9193750001</v>
      </c>
      <c r="AS42" s="257">
        <f t="shared" si="136"/>
        <v>9.9975738180746981E-2</v>
      </c>
      <c r="AT42" s="188">
        <f t="shared" si="130"/>
        <v>0.16804084385025564</v>
      </c>
      <c r="AU42" s="42">
        <v>750000</v>
      </c>
      <c r="AV42" s="192">
        <v>1239694</v>
      </c>
      <c r="AW42" s="191">
        <v>800000</v>
      </c>
      <c r="AX42" s="191">
        <v>1029253</v>
      </c>
      <c r="AY42" s="191">
        <f>850000+50000</f>
        <v>900000</v>
      </c>
      <c r="AZ42" s="191">
        <f>1157443</f>
        <v>1157443</v>
      </c>
      <c r="BA42" s="142">
        <f>'Phụ lục số I'!D42</f>
        <v>1770000</v>
      </c>
      <c r="BB42" s="192">
        <f>'Phụ lục số I'!J42</f>
        <v>1770000</v>
      </c>
      <c r="BC42" s="142">
        <f>'Phụ lục số I'!Q42</f>
        <v>1800000</v>
      </c>
      <c r="BD42" s="142">
        <f t="shared" si="124"/>
        <v>1800000</v>
      </c>
      <c r="BE42" s="147">
        <f t="shared" si="131"/>
        <v>4220000</v>
      </c>
      <c r="BF42" s="147">
        <f t="shared" si="132"/>
        <v>5196390</v>
      </c>
      <c r="BG42" s="257">
        <f t="shared" si="133"/>
        <v>0.15966490167767552</v>
      </c>
      <c r="BH42" s="1061">
        <f t="shared" si="127"/>
        <v>0.20684374530213212</v>
      </c>
      <c r="BI42" s="289">
        <f>'Phụ lục số I'!W42</f>
        <v>1700000</v>
      </c>
      <c r="BJ42" s="147">
        <f t="shared" si="52"/>
        <v>1700000</v>
      </c>
      <c r="BK42" s="147">
        <f>'Phụ lục số I'!AC42</f>
        <v>1600000</v>
      </c>
      <c r="BL42" s="147">
        <f t="shared" si="53"/>
        <v>1600000</v>
      </c>
      <c r="BM42" s="142">
        <f>'Phụ lục số I'!AI42</f>
        <v>1800000</v>
      </c>
      <c r="BN42" s="142">
        <f t="shared" si="54"/>
        <v>1800000</v>
      </c>
      <c r="BO42" s="142">
        <f>'Phụ lục số I'!AO42</f>
        <v>1950000</v>
      </c>
      <c r="BP42" s="142">
        <f t="shared" si="55"/>
        <v>1950000</v>
      </c>
      <c r="BQ42" s="142">
        <f>'Phụ lục số I'!AU42</f>
        <v>2100000</v>
      </c>
      <c r="BR42" s="142">
        <f t="shared" si="56"/>
        <v>2100000</v>
      </c>
      <c r="BS42" s="142">
        <f t="shared" si="134"/>
        <v>9150000</v>
      </c>
      <c r="BT42" s="142">
        <f t="shared" si="135"/>
        <v>9150000</v>
      </c>
      <c r="BU42" s="141">
        <f t="shared" si="137"/>
        <v>14.680400320750863</v>
      </c>
      <c r="BV42" s="247">
        <f t="shared" si="138"/>
        <v>3.1310306477545069E-2</v>
      </c>
      <c r="BY42" s="1">
        <f t="shared" si="22"/>
        <v>1.5292329730276135</v>
      </c>
      <c r="BZ42" s="816">
        <f t="shared" si="23"/>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122"/>
        <v>359000</v>
      </c>
      <c r="AR43" s="192">
        <f t="shared" si="123"/>
        <v>590343.06657400005</v>
      </c>
      <c r="AS43" s="257">
        <f t="shared" si="136"/>
        <v>1.5794237358928792E-2</v>
      </c>
      <c r="AT43" s="188">
        <f t="shared" si="130"/>
        <v>0.23512486049904591</v>
      </c>
      <c r="AU43" s="42">
        <v>76000</v>
      </c>
      <c r="AV43" s="192">
        <v>253261</v>
      </c>
      <c r="AW43" s="191">
        <v>120000</v>
      </c>
      <c r="AX43" s="191">
        <v>237121</v>
      </c>
      <c r="AY43" s="191">
        <v>115000</v>
      </c>
      <c r="AZ43" s="191">
        <f>118474</f>
        <v>118474</v>
      </c>
      <c r="BA43" s="142">
        <f>'Phụ lục số I'!D43</f>
        <v>315000</v>
      </c>
      <c r="BB43" s="192">
        <f>'Phụ lục số I'!J43</f>
        <v>162000</v>
      </c>
      <c r="BC43" s="142">
        <f>'Phụ lục số I'!Q43</f>
        <v>170000</v>
      </c>
      <c r="BD43" s="142">
        <f t="shared" si="124"/>
        <v>170000</v>
      </c>
      <c r="BE43" s="147">
        <f t="shared" si="131"/>
        <v>626000</v>
      </c>
      <c r="BF43" s="147">
        <f t="shared" si="132"/>
        <v>770856</v>
      </c>
      <c r="BG43" s="246">
        <f t="shared" si="133"/>
        <v>2.368541380605502E-2</v>
      </c>
      <c r="BH43" s="1061">
        <f t="shared" si="127"/>
        <v>0.11900120083773347</v>
      </c>
      <c r="BI43" s="289">
        <f>'Phụ lục số I'!W43</f>
        <v>180000</v>
      </c>
      <c r="BJ43" s="147">
        <f t="shared" si="52"/>
        <v>180000</v>
      </c>
      <c r="BK43" s="147">
        <f>'Phụ lục số I'!AC43</f>
        <v>190000</v>
      </c>
      <c r="BL43" s="147">
        <f t="shared" si="53"/>
        <v>190000</v>
      </c>
      <c r="BM43" s="142">
        <f>'Phụ lục số I'!AI43</f>
        <v>365000</v>
      </c>
      <c r="BN43" s="142">
        <f t="shared" si="54"/>
        <v>365000</v>
      </c>
      <c r="BO43" s="142">
        <f>'Phụ lục số I'!AO43</f>
        <v>487000</v>
      </c>
      <c r="BP43" s="142">
        <f t="shared" si="55"/>
        <v>487000</v>
      </c>
      <c r="BQ43" s="142">
        <f>'Phụ lục số I'!AU43</f>
        <v>620000</v>
      </c>
      <c r="BR43" s="142">
        <f t="shared" si="56"/>
        <v>620000</v>
      </c>
      <c r="BS43" s="142">
        <f t="shared" si="134"/>
        <v>1842000</v>
      </c>
      <c r="BT43" s="142">
        <f t="shared" si="135"/>
        <v>1842000</v>
      </c>
      <c r="BU43" s="141">
        <f t="shared" si="137"/>
        <v>2.955333048177387</v>
      </c>
      <c r="BV43" s="247">
        <f t="shared" si="138"/>
        <v>0.29535424783841924</v>
      </c>
      <c r="BY43" s="1">
        <f t="shared" si="22"/>
        <v>1.3673886253523979</v>
      </c>
      <c r="BZ43" s="816">
        <f t="shared" si="23"/>
        <v>0.36738862535239791</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122"/>
        <v>0</v>
      </c>
      <c r="AR44" s="142">
        <f t="shared" si="123"/>
        <v>7423.6392489999998</v>
      </c>
      <c r="AS44" s="246">
        <f t="shared" si="136"/>
        <v>1.9861454636237077E-4</v>
      </c>
      <c r="AT44" s="188">
        <f t="shared" si="130"/>
        <v>-0.17652311063448745</v>
      </c>
      <c r="AU44" s="17">
        <v>0</v>
      </c>
      <c r="AV44" s="142">
        <v>127</v>
      </c>
      <c r="AW44" s="142"/>
      <c r="AX44" s="163">
        <v>79</v>
      </c>
      <c r="AY44" s="163"/>
      <c r="AZ44" s="163">
        <v>33</v>
      </c>
      <c r="BA44" s="142">
        <f>'Phụ lục số I'!D44</f>
        <v>0</v>
      </c>
      <c r="BB44" s="192">
        <f>'Phụ lục số I'!J44</f>
        <v>0</v>
      </c>
      <c r="BC44" s="142">
        <f>'Phụ lục số I'!Q44</f>
        <v>0</v>
      </c>
      <c r="BD44" s="142">
        <f t="shared" si="124"/>
        <v>0</v>
      </c>
      <c r="BE44" s="147">
        <f t="shared" si="131"/>
        <v>0</v>
      </c>
      <c r="BF44" s="147">
        <f t="shared" si="132"/>
        <v>239</v>
      </c>
      <c r="BG44" s="246">
        <f t="shared" si="133"/>
        <v>7.3435426326669958E-6</v>
      </c>
      <c r="BH44" s="1061">
        <f t="shared" si="127"/>
        <v>-1</v>
      </c>
      <c r="BI44" s="289">
        <f>'Phụ lục số I'!W44</f>
        <v>0</v>
      </c>
      <c r="BJ44" s="147">
        <f t="shared" si="52"/>
        <v>0</v>
      </c>
      <c r="BK44" s="147">
        <f>'Phụ lục số I'!AC44</f>
        <v>0</v>
      </c>
      <c r="BL44" s="147">
        <f t="shared" si="53"/>
        <v>0</v>
      </c>
      <c r="BM44" s="142">
        <f>'Phụ lục số I'!AI44</f>
        <v>0</v>
      </c>
      <c r="BN44" s="142">
        <f t="shared" si="54"/>
        <v>0</v>
      </c>
      <c r="BO44" s="142">
        <f>'Phụ lục số I'!AO44</f>
        <v>0</v>
      </c>
      <c r="BP44" s="142">
        <f t="shared" si="55"/>
        <v>0</v>
      </c>
      <c r="BQ44" s="142">
        <f>'Phụ lục số I'!AU44</f>
        <v>0</v>
      </c>
      <c r="BR44" s="142">
        <f t="shared" si="56"/>
        <v>0</v>
      </c>
      <c r="BS44" s="142">
        <f t="shared" si="134"/>
        <v>0</v>
      </c>
      <c r="BT44" s="142">
        <f t="shared" si="135"/>
        <v>0</v>
      </c>
      <c r="BU44" s="141">
        <f t="shared" si="137"/>
        <v>0</v>
      </c>
      <c r="BV44" s="247" t="e">
        <f t="shared" si="138"/>
        <v>#DIV/0!</v>
      </c>
      <c r="BY44" s="1">
        <f t="shared" si="22"/>
        <v>0</v>
      </c>
      <c r="BZ44" s="816">
        <f t="shared" si="23"/>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122"/>
        <v>1027000</v>
      </c>
      <c r="AR45" s="142">
        <f t="shared" si="123"/>
        <v>1184709.1295409999</v>
      </c>
      <c r="AS45" s="246">
        <f t="shared" si="136"/>
        <v>3.1696107319175153E-2</v>
      </c>
      <c r="AT45" s="188">
        <f t="shared" si="130"/>
        <v>0.17142107669749818</v>
      </c>
      <c r="AU45" s="17">
        <v>280000</v>
      </c>
      <c r="AV45" s="142">
        <v>248330</v>
      </c>
      <c r="AW45" s="39">
        <f>250000</f>
        <v>250000</v>
      </c>
      <c r="AX45" s="163">
        <v>285396</v>
      </c>
      <c r="AY45" s="163">
        <f>250000</f>
        <v>250000</v>
      </c>
      <c r="AZ45" s="163">
        <f>377228</f>
        <v>377228</v>
      </c>
      <c r="BA45" s="142">
        <f>'Phụ lục số I'!D45</f>
        <v>326000</v>
      </c>
      <c r="BB45" s="192">
        <f>'Phụ lục số I'!J45</f>
        <v>380000</v>
      </c>
      <c r="BC45" s="142">
        <f>'Phụ lục số I'!Q45</f>
        <v>370000</v>
      </c>
      <c r="BD45" s="142">
        <f t="shared" si="124"/>
        <v>370000</v>
      </c>
      <c r="BE45" s="147">
        <f t="shared" si="131"/>
        <v>1106000</v>
      </c>
      <c r="BF45" s="147">
        <f t="shared" si="132"/>
        <v>1290954</v>
      </c>
      <c r="BG45" s="246">
        <f t="shared" si="133"/>
        <v>3.9666007262811671E-2</v>
      </c>
      <c r="BH45" s="1061">
        <f t="shared" si="127"/>
        <v>5.1520181041303958E-2</v>
      </c>
      <c r="BI45" s="289">
        <f>'Phụ lục số I'!W45</f>
        <v>380000</v>
      </c>
      <c r="BJ45" s="147">
        <f t="shared" si="52"/>
        <v>380000</v>
      </c>
      <c r="BK45" s="147">
        <f>'Phụ lục số I'!AC45</f>
        <v>400000</v>
      </c>
      <c r="BL45" s="147">
        <f t="shared" si="53"/>
        <v>400000</v>
      </c>
      <c r="BM45" s="142">
        <f>'Phụ lục số I'!AI45</f>
        <v>510000</v>
      </c>
      <c r="BN45" s="142">
        <f t="shared" si="54"/>
        <v>510000</v>
      </c>
      <c r="BO45" s="142">
        <f>'Phụ lục số I'!AO45</f>
        <v>550000</v>
      </c>
      <c r="BP45" s="142">
        <f t="shared" si="55"/>
        <v>550000</v>
      </c>
      <c r="BQ45" s="142">
        <f>'Phụ lục số I'!AU45</f>
        <v>600000</v>
      </c>
      <c r="BR45" s="142">
        <f t="shared" si="56"/>
        <v>600000</v>
      </c>
      <c r="BS45" s="142">
        <f t="shared" si="134"/>
        <v>2440000</v>
      </c>
      <c r="BT45" s="142">
        <f t="shared" si="135"/>
        <v>2440000</v>
      </c>
      <c r="BU45" s="141">
        <f t="shared" si="137"/>
        <v>3.9147734188668966</v>
      </c>
      <c r="BV45" s="247">
        <f t="shared" si="138"/>
        <v>0.1015137056700961</v>
      </c>
      <c r="BY45" s="1">
        <f t="shared" si="22"/>
        <v>1.0073483410563373</v>
      </c>
      <c r="BZ45" s="816">
        <f t="shared" si="23"/>
        <v>7.3483410563373042E-3</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122"/>
        <v>14500</v>
      </c>
      <c r="AR46" s="142">
        <f t="shared" si="123"/>
        <v>104499</v>
      </c>
      <c r="AS46" s="246">
        <f t="shared" si="136"/>
        <v>2.7958014639675797E-3</v>
      </c>
      <c r="AT46" s="188" t="e">
        <f t="shared" si="130"/>
        <v>#DIV/0!</v>
      </c>
      <c r="AU46" s="17">
        <v>11000</v>
      </c>
      <c r="AV46" s="142">
        <v>21198</v>
      </c>
      <c r="AW46" s="39">
        <v>18000</v>
      </c>
      <c r="AX46" s="163">
        <v>35466</v>
      </c>
      <c r="AY46" s="163">
        <v>22000</v>
      </c>
      <c r="AZ46" s="163">
        <f>52181</f>
        <v>52181</v>
      </c>
      <c r="BA46" s="142">
        <f>'Phụ lục số I'!D46</f>
        <v>30000</v>
      </c>
      <c r="BB46" s="192">
        <f>'Phụ lục số I'!J46</f>
        <v>40000</v>
      </c>
      <c r="BC46" s="142">
        <f>'Phụ lục số I'!Q46</f>
        <v>32000</v>
      </c>
      <c r="BD46" s="142">
        <f t="shared" si="124"/>
        <v>32000</v>
      </c>
      <c r="BE46" s="147">
        <f t="shared" si="131"/>
        <v>81000</v>
      </c>
      <c r="BF46" s="147">
        <f t="shared" si="132"/>
        <v>148845</v>
      </c>
      <c r="BG46" s="246">
        <f t="shared" si="133"/>
        <v>4.5734293019218369E-3</v>
      </c>
      <c r="BH46" s="1061">
        <f t="shared" si="127"/>
        <v>5.5651787666638919E-2</v>
      </c>
      <c r="BI46" s="289">
        <f>'Phụ lục số I'!W46</f>
        <v>32000</v>
      </c>
      <c r="BJ46" s="147">
        <f t="shared" si="52"/>
        <v>32000</v>
      </c>
      <c r="BK46" s="147">
        <f>'Phụ lục số I'!AC46</f>
        <v>37000</v>
      </c>
      <c r="BL46" s="147">
        <f t="shared" si="53"/>
        <v>37000</v>
      </c>
      <c r="BM46" s="142">
        <f>'Phụ lục số I'!AI46</f>
        <v>42000</v>
      </c>
      <c r="BN46" s="142">
        <f t="shared" si="54"/>
        <v>42000</v>
      </c>
      <c r="BO46" s="142">
        <f>'Phụ lục số I'!AO46</f>
        <v>40000</v>
      </c>
      <c r="BP46" s="142">
        <f t="shared" si="55"/>
        <v>40000</v>
      </c>
      <c r="BQ46" s="142">
        <f>'Phụ lục số I'!AU46</f>
        <v>40000</v>
      </c>
      <c r="BR46" s="142">
        <f t="shared" si="56"/>
        <v>40000</v>
      </c>
      <c r="BS46" s="142">
        <f t="shared" si="134"/>
        <v>191000</v>
      </c>
      <c r="BT46" s="142">
        <f t="shared" si="135"/>
        <v>191000</v>
      </c>
      <c r="BU46" s="141">
        <f t="shared" si="137"/>
        <v>0.30644332909982674</v>
      </c>
      <c r="BV46" s="247">
        <f t="shared" si="138"/>
        <v>4.5639552591273169E-2</v>
      </c>
      <c r="BY46" s="1">
        <f t="shared" si="22"/>
        <v>0.76656254192138906</v>
      </c>
      <c r="BZ46" s="816">
        <f t="shared" si="23"/>
        <v>-0.23343745807861094</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si="122"/>
        <v>71000</v>
      </c>
      <c r="AR47" s="142">
        <f t="shared" si="123"/>
        <v>302753</v>
      </c>
      <c r="AS47" s="246">
        <f t="shared" si="136"/>
        <v>8.0999557949892019E-3</v>
      </c>
      <c r="AT47" s="188" t="e">
        <f t="shared" si="130"/>
        <v>#DIV/0!</v>
      </c>
      <c r="AU47" s="17">
        <v>70000</v>
      </c>
      <c r="AV47" s="142">
        <f>59826+AV48</f>
        <v>59826</v>
      </c>
      <c r="AW47" s="142">
        <f>60000+AW48</f>
        <v>98777</v>
      </c>
      <c r="AX47" s="163">
        <f>76162</f>
        <v>76162</v>
      </c>
      <c r="AY47" s="163">
        <f>50000</f>
        <v>50000</v>
      </c>
      <c r="AZ47" s="163">
        <f>80341</f>
        <v>80341</v>
      </c>
      <c r="BA47" s="142">
        <f>'Phụ lục số I'!D47</f>
        <v>445054.16200000001</v>
      </c>
      <c r="BB47" s="192">
        <f>'Phụ lục số I'!J47</f>
        <v>445054.16200000001</v>
      </c>
      <c r="BC47" s="142">
        <f>'Phụ lục số I'!Q47</f>
        <v>37000</v>
      </c>
      <c r="BD47" s="142">
        <f t="shared" si="124"/>
        <v>37000</v>
      </c>
      <c r="BE47" s="147">
        <f t="shared" si="131"/>
        <v>663831.16200000001</v>
      </c>
      <c r="BF47" s="147">
        <f t="shared" si="132"/>
        <v>661383.16200000001</v>
      </c>
      <c r="BG47" s="246">
        <f t="shared" si="133"/>
        <v>2.0321738270607122E-2</v>
      </c>
      <c r="BH47" s="1061">
        <f t="shared" si="127"/>
        <v>0.37147062082305893</v>
      </c>
      <c r="BI47" s="289">
        <f>'Phụ lục số I'!W47</f>
        <v>34000</v>
      </c>
      <c r="BJ47" s="147">
        <f t="shared" si="52"/>
        <v>34000</v>
      </c>
      <c r="BK47" s="147">
        <f>'Phụ lục số I'!AC47</f>
        <v>37000</v>
      </c>
      <c r="BL47" s="147">
        <f t="shared" si="53"/>
        <v>37000</v>
      </c>
      <c r="BM47" s="142">
        <f>'Phụ lục số I'!AI47</f>
        <v>120000</v>
      </c>
      <c r="BN47" s="142">
        <f t="shared" si="54"/>
        <v>120000</v>
      </c>
      <c r="BO47" s="142">
        <f>'Phụ lục số I'!AO47</f>
        <v>130000</v>
      </c>
      <c r="BP47" s="142">
        <f t="shared" si="55"/>
        <v>130000</v>
      </c>
      <c r="BQ47" s="142">
        <f>'Phụ lục số I'!AU47</f>
        <v>160000</v>
      </c>
      <c r="BR47" s="142">
        <f t="shared" si="56"/>
        <v>160000</v>
      </c>
      <c r="BS47" s="142">
        <f t="shared" si="134"/>
        <v>481000</v>
      </c>
      <c r="BT47" s="142">
        <f t="shared" si="135"/>
        <v>481000</v>
      </c>
      <c r="BU47" s="141">
        <f t="shared" si="137"/>
        <v>0.77172377642417112</v>
      </c>
      <c r="BV47" s="247">
        <f t="shared" si="138"/>
        <v>0.34024332127266899</v>
      </c>
      <c r="BY47" s="1">
        <f t="shared" si="22"/>
        <v>5.5395646307613795</v>
      </c>
      <c r="BZ47" s="816">
        <f t="shared" si="23"/>
        <v>4.5395646307613795</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130"/>
        <v>#DIV/0!</v>
      </c>
      <c r="AU48" s="19"/>
      <c r="AV48" s="171"/>
      <c r="AW48" s="171">
        <v>38777</v>
      </c>
      <c r="AX48" s="172">
        <f>+AW48</f>
        <v>38777</v>
      </c>
      <c r="AY48" s="172"/>
      <c r="AZ48" s="172"/>
      <c r="BA48" s="171">
        <f>'Phụ lục số I'!D48</f>
        <v>408054.16200000001</v>
      </c>
      <c r="BB48" s="259">
        <f>'Phụ lục số I'!J48</f>
        <v>408054.16200000001</v>
      </c>
      <c r="BC48" s="249"/>
      <c r="BD48" s="249">
        <f t="shared" si="124"/>
        <v>0</v>
      </c>
      <c r="BE48" s="260">
        <f>AU48+AW48+AY48+BA48</f>
        <v>446831.16200000001</v>
      </c>
      <c r="BF48" s="260">
        <f t="shared" ref="BF48:BF49" si="139">AV48+AX48+AZ48+BB48</f>
        <v>446831.16200000001</v>
      </c>
      <c r="BG48" s="258"/>
      <c r="BH48" s="1069" t="e">
        <f t="shared" si="127"/>
        <v>#DIV/0!</v>
      </c>
      <c r="BI48" s="289">
        <f>'Phụ lục số I'!W48</f>
        <v>0</v>
      </c>
      <c r="BJ48" s="147">
        <f t="shared" si="52"/>
        <v>0</v>
      </c>
      <c r="BK48" s="147">
        <f>'Phụ lục số I'!AC48</f>
        <v>0</v>
      </c>
      <c r="BL48" s="147">
        <f t="shared" si="53"/>
        <v>0</v>
      </c>
      <c r="BM48" s="142">
        <f>'Phụ lục số I'!AI48</f>
        <v>0</v>
      </c>
      <c r="BN48" s="142">
        <f t="shared" si="54"/>
        <v>0</v>
      </c>
      <c r="BO48" s="142">
        <f>'Phụ lục số I'!AO48</f>
        <v>0</v>
      </c>
      <c r="BP48" s="142">
        <f t="shared" si="55"/>
        <v>0</v>
      </c>
      <c r="BQ48" s="142">
        <f>'Phụ lục số I'!AU48</f>
        <v>0</v>
      </c>
      <c r="BR48" s="142">
        <f t="shared" si="56"/>
        <v>0</v>
      </c>
      <c r="BS48" s="142">
        <f t="shared" si="134"/>
        <v>0</v>
      </c>
      <c r="BT48" s="142">
        <f t="shared" si="135"/>
        <v>0</v>
      </c>
      <c r="BU48" s="141">
        <f t="shared" si="137"/>
        <v>0</v>
      </c>
      <c r="BV48" s="247" t="e">
        <f t="shared" si="138"/>
        <v>#DIV/0!</v>
      </c>
      <c r="BY48" s="1" t="e">
        <f t="shared" si="22"/>
        <v>#DIV/0!</v>
      </c>
      <c r="BZ48" s="816" t="e">
        <f t="shared" si="23"/>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 si="140">AG49+AI49+AK49+AM49+AO49</f>
        <v>59600</v>
      </c>
      <c r="AR49" s="142">
        <f t="shared" ref="AR49" si="141">AH49+AJ49+AL49+AN49+AP49</f>
        <v>46748.649856000004</v>
      </c>
      <c r="AS49" s="246">
        <f t="shared" si="136"/>
        <v>1.250729133349722E-3</v>
      </c>
      <c r="AT49" s="188">
        <f t="shared" si="130"/>
        <v>-0.28814976297234707</v>
      </c>
      <c r="AU49" s="17">
        <v>3000</v>
      </c>
      <c r="AV49" s="142">
        <f>2387</f>
        <v>2387</v>
      </c>
      <c r="AW49" s="261">
        <v>3000</v>
      </c>
      <c r="AX49" s="163">
        <v>2048</v>
      </c>
      <c r="AY49" s="163">
        <v>3000</v>
      </c>
      <c r="AZ49" s="163">
        <f>2116</f>
        <v>2116</v>
      </c>
      <c r="BA49" s="142">
        <f>'Phụ lục số I'!D49</f>
        <v>2000</v>
      </c>
      <c r="BB49" s="192">
        <f>'Phụ lục số I'!D49</f>
        <v>2000</v>
      </c>
      <c r="BC49" s="142">
        <f>'Phụ lục số I'!Q49</f>
        <v>2000</v>
      </c>
      <c r="BD49" s="142">
        <f t="shared" si="124"/>
        <v>2000</v>
      </c>
      <c r="BE49" s="147">
        <f t="shared" ref="BE49" si="142">AU49+AW49+AY49+BA49</f>
        <v>11000</v>
      </c>
      <c r="BF49" s="147">
        <f t="shared" si="139"/>
        <v>8551</v>
      </c>
      <c r="BG49" s="246">
        <f t="shared" si="133"/>
        <v>2.627390504265083E-4</v>
      </c>
      <c r="BH49" s="1061">
        <f t="shared" si="127"/>
        <v>-8.6096005225926531E-2</v>
      </c>
      <c r="BI49" s="289">
        <f>'Phụ lục số I'!W49</f>
        <v>2000</v>
      </c>
      <c r="BJ49" s="147">
        <f t="shared" si="52"/>
        <v>2000</v>
      </c>
      <c r="BK49" s="147">
        <f>'Phụ lục số I'!AC49</f>
        <v>2000</v>
      </c>
      <c r="BL49" s="147">
        <f t="shared" si="53"/>
        <v>2000</v>
      </c>
      <c r="BM49" s="142">
        <f>'Phụ lục số I'!AI49</f>
        <v>2000</v>
      </c>
      <c r="BN49" s="142">
        <f t="shared" si="54"/>
        <v>2000</v>
      </c>
      <c r="BO49" s="142">
        <f>'Phụ lục số I'!AO49</f>
        <v>2000</v>
      </c>
      <c r="BP49" s="142">
        <f t="shared" si="55"/>
        <v>2000</v>
      </c>
      <c r="BQ49" s="142">
        <f>'Phụ lục số I'!AU49</f>
        <v>2000</v>
      </c>
      <c r="BR49" s="142">
        <f t="shared" si="56"/>
        <v>2000</v>
      </c>
      <c r="BS49" s="142">
        <f t="shared" si="134"/>
        <v>10000</v>
      </c>
      <c r="BT49" s="142">
        <f t="shared" si="135"/>
        <v>10000</v>
      </c>
      <c r="BU49" s="141">
        <f t="shared" si="137"/>
        <v>1.6044153356011871E-2</v>
      </c>
      <c r="BV49" s="247">
        <f t="shared" si="138"/>
        <v>0</v>
      </c>
      <c r="BY49" s="1">
        <f t="shared" si="22"/>
        <v>0.94517958412098302</v>
      </c>
      <c r="BZ49" s="816">
        <f t="shared" si="23"/>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ref="AQ50" si="143">AG50+AI50+AK50+AM50+AO50</f>
        <v>6010000</v>
      </c>
      <c r="AR50" s="142">
        <f t="shared" ref="AR50" si="144">AH50+AJ50+AL50+AN50+AP50</f>
        <v>7659357.0477470001</v>
      </c>
      <c r="AS50" s="246">
        <f t="shared" si="136"/>
        <v>0.20492101979101679</v>
      </c>
      <c r="AT50" s="188">
        <f t="shared" si="130"/>
        <v>0.10695115266120681</v>
      </c>
      <c r="AU50" s="17">
        <v>1500000</v>
      </c>
      <c r="AV50" s="142">
        <v>1283258</v>
      </c>
      <c r="AW50" s="39">
        <v>1500000</v>
      </c>
      <c r="AX50" s="163">
        <v>1743741</v>
      </c>
      <c r="AY50" s="163">
        <v>1600000</v>
      </c>
      <c r="AZ50" s="163">
        <v>2017388</v>
      </c>
      <c r="BA50" s="142">
        <f>'Phụ lục số I'!D50</f>
        <v>1950000</v>
      </c>
      <c r="BB50" s="192">
        <f>'Phụ lục số I'!D50</f>
        <v>1950000</v>
      </c>
      <c r="BC50" s="142">
        <f>'Phụ lục số I'!Q50</f>
        <v>1950000</v>
      </c>
      <c r="BD50" s="142">
        <f t="shared" si="124"/>
        <v>1950000</v>
      </c>
      <c r="BE50" s="147">
        <f t="shared" ref="BE50" si="145">AU50+AW50+AY50+BA50</f>
        <v>6550000</v>
      </c>
      <c r="BF50" s="147">
        <f>AV50+AX50+AZ50+BB50</f>
        <v>6994387</v>
      </c>
      <c r="BG50" s="257">
        <f t="shared" si="133"/>
        <v>0.21491037290322934</v>
      </c>
      <c r="BH50" s="1061">
        <f t="shared" si="127"/>
        <v>-3.3992485423288699E-3</v>
      </c>
      <c r="BI50" s="289">
        <f>'Phụ lục số I'!W50</f>
        <v>1950000</v>
      </c>
      <c r="BJ50" s="147">
        <f t="shared" si="52"/>
        <v>1950000</v>
      </c>
      <c r="BK50" s="147">
        <f>'Phụ lục số I'!AC50</f>
        <v>2000000</v>
      </c>
      <c r="BL50" s="147">
        <f t="shared" si="53"/>
        <v>2000000</v>
      </c>
      <c r="BM50" s="142">
        <f>'Phụ lục số I'!AI50</f>
        <v>2800000</v>
      </c>
      <c r="BN50" s="142">
        <f t="shared" si="54"/>
        <v>2800000</v>
      </c>
      <c r="BO50" s="142">
        <f>'Phụ lục số I'!AO50</f>
        <v>2900000</v>
      </c>
      <c r="BP50" s="142">
        <f t="shared" si="55"/>
        <v>2900000</v>
      </c>
      <c r="BQ50" s="142">
        <f>'Phụ lục số I'!AU50</f>
        <v>3000000</v>
      </c>
      <c r="BR50" s="142">
        <f t="shared" si="56"/>
        <v>3000000</v>
      </c>
      <c r="BS50" s="142">
        <f t="shared" si="134"/>
        <v>12650000</v>
      </c>
      <c r="BT50" s="142">
        <f t="shared" si="135"/>
        <v>12650000</v>
      </c>
      <c r="BU50" s="141">
        <f t="shared" si="137"/>
        <v>20.295853995355017</v>
      </c>
      <c r="BV50" s="247">
        <f t="shared" si="138"/>
        <v>8.9976987048345336E-2</v>
      </c>
      <c r="BY50" s="1">
        <f t="shared" si="22"/>
        <v>0.96659641080446601</v>
      </c>
      <c r="BZ50" s="816">
        <f t="shared" si="23"/>
        <v>-3.3403589195533989E-2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 si="146">SUM(AH52:AH54)</f>
        <v>96964.831542999993</v>
      </c>
      <c r="AI51" s="163">
        <f t="shared" ref="AI51" si="147">SUM(AI52:AI54)</f>
        <v>95000</v>
      </c>
      <c r="AJ51" s="163">
        <f t="shared" ref="AJ51" si="148">SUM(AJ52:AJ54)</f>
        <v>107416.46518400002</v>
      </c>
      <c r="AK51" s="163">
        <f>SUM(AK52:AK54)</f>
        <v>66000</v>
      </c>
      <c r="AL51" s="163">
        <f t="shared" ref="AL51:AN51" si="149">SUM(AL52:AL54)</f>
        <v>74261.799999999988</v>
      </c>
      <c r="AM51" s="163">
        <f>SUM(AM52:AM54)</f>
        <v>78000</v>
      </c>
      <c r="AN51" s="163">
        <f t="shared" si="149"/>
        <v>126290</v>
      </c>
      <c r="AO51" s="142">
        <f>SUM(AO52:AO54)</f>
        <v>70000</v>
      </c>
      <c r="AP51" s="142">
        <f t="shared" ref="AP51:AR51" si="150">SUM(AP52:AP54)</f>
        <v>93759</v>
      </c>
      <c r="AQ51" s="142">
        <f>SUM(AQ52:AQ54)</f>
        <v>609000</v>
      </c>
      <c r="AR51" s="142">
        <f t="shared" si="150"/>
        <v>498692.09672699997</v>
      </c>
      <c r="AS51" s="246">
        <f t="shared" si="136"/>
        <v>1.3342176423682604E-2</v>
      </c>
      <c r="AT51" s="188">
        <f>(((AH51/AB51)*(AJ51/AH51)*(AL51/AJ51)*(AN51/AL51)*(AP51/AN51))^(1/5))-1</f>
        <v>-0.17399771792258234</v>
      </c>
      <c r="AU51" s="18">
        <f>SUM(AU52:AU54)</f>
        <v>105000</v>
      </c>
      <c r="AV51" s="142">
        <f>SUM(AV52:AV54)</f>
        <v>196855</v>
      </c>
      <c r="AW51" s="142">
        <f>SUM(AW52:AW54)</f>
        <v>110000</v>
      </c>
      <c r="AX51" s="163">
        <f>SUM(AX52:AX54)</f>
        <v>389783.37025500002</v>
      </c>
      <c r="AY51" s="163">
        <f>SUM(AY52:AY54)</f>
        <v>150000</v>
      </c>
      <c r="AZ51" s="163">
        <f t="shared" ref="AZ51:BD51" si="151">SUM(AZ52:AZ54)</f>
        <v>281887.67128599994</v>
      </c>
      <c r="BA51" s="163">
        <f t="shared" si="151"/>
        <v>200000</v>
      </c>
      <c r="BB51" s="191">
        <f t="shared" si="151"/>
        <v>259999.569416666</v>
      </c>
      <c r="BC51" s="163">
        <f t="shared" si="151"/>
        <v>272999.7</v>
      </c>
      <c r="BD51" s="163">
        <f t="shared" si="151"/>
        <v>272999.7</v>
      </c>
      <c r="BE51" s="213">
        <f t="shared" ref="BE51" si="152">SUM(BE52:BE54)</f>
        <v>565000</v>
      </c>
      <c r="BF51" s="213">
        <f>SUM(BF52:BF54)</f>
        <v>1128525.6109576661</v>
      </c>
      <c r="BG51" s="246">
        <f t="shared" si="133"/>
        <v>3.4675213121858534E-2</v>
      </c>
      <c r="BH51" s="1061">
        <f t="shared" si="127"/>
        <v>0.29044623694626837</v>
      </c>
      <c r="BI51" s="212">
        <f t="shared" ref="BI51:BR51" si="153">SUM(BI52:BI54)</f>
        <v>287000.23000000004</v>
      </c>
      <c r="BJ51" s="213">
        <f t="shared" si="153"/>
        <v>287000.23000000004</v>
      </c>
      <c r="BK51" s="213">
        <f t="shared" si="153"/>
        <v>302000.37</v>
      </c>
      <c r="BL51" s="213">
        <f t="shared" si="153"/>
        <v>302000.37</v>
      </c>
      <c r="BM51" s="213">
        <f t="shared" si="153"/>
        <v>316000</v>
      </c>
      <c r="BN51" s="213">
        <f t="shared" si="153"/>
        <v>316000</v>
      </c>
      <c r="BO51" s="213">
        <f t="shared" si="153"/>
        <v>335000</v>
      </c>
      <c r="BP51" s="213">
        <f t="shared" si="153"/>
        <v>335000</v>
      </c>
      <c r="BQ51" s="213">
        <f t="shared" si="153"/>
        <v>353000</v>
      </c>
      <c r="BR51" s="213">
        <f t="shared" si="153"/>
        <v>353000</v>
      </c>
      <c r="BS51" s="213">
        <f t="shared" ref="BS51:BT51" si="154">SUM(BS52:BS54)</f>
        <v>1593000.6</v>
      </c>
      <c r="BT51" s="213">
        <f t="shared" si="154"/>
        <v>1593000.6</v>
      </c>
      <c r="BU51" s="141">
        <f t="shared" si="137"/>
        <v>2.5558345922618928</v>
      </c>
      <c r="BV51" s="247">
        <f t="shared" si="138"/>
        <v>5.2743350925803512E-2</v>
      </c>
      <c r="BY51" s="1">
        <f t="shared" si="22"/>
        <v>0.92235168792775424</v>
      </c>
      <c r="BZ51" s="816">
        <f t="shared" si="23"/>
        <v>-7.7648312072245762E-2</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 si="155">AG52+AI52+AK52+AM52+AO52</f>
        <v>333100</v>
      </c>
      <c r="AR52" s="157">
        <f t="shared" ref="AR52" si="156">AH52+AJ52+AL52+AN52+AP52</f>
        <v>163472.97050699999</v>
      </c>
      <c r="AS52" s="155"/>
      <c r="AT52" s="25"/>
      <c r="AU52" s="27">
        <v>10000</v>
      </c>
      <c r="AV52" s="157">
        <v>67494</v>
      </c>
      <c r="AW52" s="157">
        <v>40000</v>
      </c>
      <c r="AX52" s="162">
        <v>161391.49293000001</v>
      </c>
      <c r="AY52" s="162">
        <v>80000</v>
      </c>
      <c r="AZ52" s="162">
        <v>74914.241725999993</v>
      </c>
      <c r="BA52" s="157">
        <f>'Phụ lục số I'!D52</f>
        <v>44000</v>
      </c>
      <c r="BB52" s="252">
        <f>'Phụ lục số I'!J52</f>
        <v>122880.399083333</v>
      </c>
      <c r="BC52" s="157">
        <f>'Phụ lục số I'!Q52</f>
        <v>49092.37</v>
      </c>
      <c r="BD52" s="157">
        <f>BC52</f>
        <v>49092.37</v>
      </c>
      <c r="BE52" s="152">
        <f>AU52+AW52+AY52+BA52</f>
        <v>174000</v>
      </c>
      <c r="BF52" s="152">
        <f>AV52+AX52+AZ52+BB52</f>
        <v>426680.13373933302</v>
      </c>
      <c r="BG52" s="155"/>
      <c r="BH52" s="25"/>
      <c r="BI52" s="288">
        <f>'Phụ lục số I'!W52</f>
        <v>15754.95</v>
      </c>
      <c r="BJ52" s="152">
        <f t="shared" si="52"/>
        <v>15754.95</v>
      </c>
      <c r="BK52" s="152">
        <f>'Phụ lục số I'!AC52</f>
        <v>16647.900000000001</v>
      </c>
      <c r="BL52" s="152">
        <f t="shared" si="53"/>
        <v>16647.900000000001</v>
      </c>
      <c r="BM52" s="157">
        <f>'Phụ lục số I'!AI52</f>
        <v>86000</v>
      </c>
      <c r="BN52" s="157">
        <f t="shared" si="54"/>
        <v>86000</v>
      </c>
      <c r="BO52" s="157">
        <f>'Phụ lục số I'!AO52</f>
        <v>91000</v>
      </c>
      <c r="BP52" s="157">
        <f t="shared" si="55"/>
        <v>91000</v>
      </c>
      <c r="BQ52" s="157">
        <f>'Phụ lục số I'!AU52</f>
        <v>97000</v>
      </c>
      <c r="BR52" s="157">
        <f t="shared" si="56"/>
        <v>97000</v>
      </c>
      <c r="BS52" s="157">
        <f t="shared" ref="BS52" si="157">BI52+BK52+BM52+BO52+BQ52</f>
        <v>306402.84999999998</v>
      </c>
      <c r="BT52" s="157">
        <f t="shared" ref="BT52" si="158">BJ52+BL52+BN52+BP52+BR52</f>
        <v>306402.84999999998</v>
      </c>
      <c r="BU52" s="155"/>
      <c r="BV52" s="25"/>
      <c r="BY52" s="1">
        <f t="shared" si="22"/>
        <v>1.6402808898843291</v>
      </c>
      <c r="BZ52" s="816">
        <f t="shared" si="23"/>
        <v>0.64028088988432907</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ref="AQ53:AQ54" si="159">AG53+AI53+AK53+AM53+AO53</f>
        <v>275900</v>
      </c>
      <c r="AR53" s="157">
        <f t="shared" ref="AR53:AR54" si="160">AH53+AJ53+AL53+AN53+AP53</f>
        <v>319783.06354800001</v>
      </c>
      <c r="AS53" s="155"/>
      <c r="AT53" s="25"/>
      <c r="AU53" s="26">
        <v>95000</v>
      </c>
      <c r="AV53" s="157">
        <v>125207</v>
      </c>
      <c r="AW53" s="157">
        <v>70000</v>
      </c>
      <c r="AX53" s="162">
        <v>223797.352625</v>
      </c>
      <c r="AY53" s="162">
        <v>70000</v>
      </c>
      <c r="AZ53" s="162">
        <v>205626.60978599999</v>
      </c>
      <c r="BA53" s="157">
        <f>'Phụ lục số I'!D53</f>
        <v>154000</v>
      </c>
      <c r="BB53" s="252">
        <f>'Phụ lục số I'!J53</f>
        <v>134988.436333333</v>
      </c>
      <c r="BC53" s="157">
        <f>'Phụ lục số I'!Q53</f>
        <v>221763.31</v>
      </c>
      <c r="BD53" s="157">
        <f>BC53</f>
        <v>221763.31</v>
      </c>
      <c r="BE53" s="152">
        <f t="shared" ref="BE53:BE54" si="161">AU53+AW53+AY53+BA53</f>
        <v>389000</v>
      </c>
      <c r="BF53" s="152">
        <f t="shared" ref="BF53:BF54" si="162">AV53+AX53+AZ53+BB53</f>
        <v>689619.39874433295</v>
      </c>
      <c r="BG53" s="155"/>
      <c r="BH53" s="25"/>
      <c r="BI53" s="288">
        <f>'Phụ lục số I'!W53</f>
        <v>268940.46000000002</v>
      </c>
      <c r="BJ53" s="152">
        <f t="shared" si="52"/>
        <v>268940.46000000002</v>
      </c>
      <c r="BK53" s="152">
        <f>'Phụ lục số I'!AC53</f>
        <v>282874.78999999998</v>
      </c>
      <c r="BL53" s="152">
        <f t="shared" si="53"/>
        <v>282874.78999999998</v>
      </c>
      <c r="BM53" s="157">
        <f>'Phụ lục số I'!AI53</f>
        <v>218000</v>
      </c>
      <c r="BN53" s="157">
        <f t="shared" si="54"/>
        <v>218000</v>
      </c>
      <c r="BO53" s="157">
        <f>'Phụ lục số I'!AO53</f>
        <v>228000</v>
      </c>
      <c r="BP53" s="157">
        <f t="shared" si="55"/>
        <v>228000</v>
      </c>
      <c r="BQ53" s="157">
        <f>'Phụ lục số I'!AU53</f>
        <v>234000</v>
      </c>
      <c r="BR53" s="157">
        <f t="shared" si="56"/>
        <v>234000</v>
      </c>
      <c r="BS53" s="157">
        <f t="shared" ref="BS53:BS54" si="163">BI53+BK53+BM53+BO53+BQ53</f>
        <v>1231815.25</v>
      </c>
      <c r="BT53" s="157">
        <f t="shared" ref="BT53:BT54" si="164">BJ53+BL53+BN53+BP53+BR53</f>
        <v>1231815.25</v>
      </c>
      <c r="BU53" s="155"/>
      <c r="BV53" s="25"/>
      <c r="BY53" s="1">
        <f t="shared" si="22"/>
        <v>0.65647357836526288</v>
      </c>
      <c r="BZ53" s="816">
        <f t="shared" si="23"/>
        <v>-0.34352642163473712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59"/>
        <v>0</v>
      </c>
      <c r="AR54" s="157">
        <f t="shared" si="160"/>
        <v>15436.062672</v>
      </c>
      <c r="AS54" s="155"/>
      <c r="AT54" s="25"/>
      <c r="AU54" s="26"/>
      <c r="AV54" s="157">
        <v>4154</v>
      </c>
      <c r="AW54" s="157"/>
      <c r="AX54" s="162">
        <v>4594.5246999999999</v>
      </c>
      <c r="AY54" s="162"/>
      <c r="AZ54" s="162">
        <v>1346.8197740000001</v>
      </c>
      <c r="BA54" s="157">
        <f>'Phụ lục số I'!D54</f>
        <v>2000</v>
      </c>
      <c r="BB54" s="252">
        <f>'Phụ lục số I'!J54</f>
        <v>2130.7339999999999</v>
      </c>
      <c r="BC54" s="157">
        <f>'Phụ lục số I'!Q54</f>
        <v>2144.02</v>
      </c>
      <c r="BD54" s="157">
        <f>BC54</f>
        <v>2144.02</v>
      </c>
      <c r="BE54" s="152">
        <f t="shared" si="161"/>
        <v>2000</v>
      </c>
      <c r="BF54" s="152">
        <f t="shared" si="162"/>
        <v>12226.078474</v>
      </c>
      <c r="BG54" s="155"/>
      <c r="BH54" s="25"/>
      <c r="BI54" s="288">
        <f>'Phụ lục số I'!W54</f>
        <v>2304.8200000000002</v>
      </c>
      <c r="BJ54" s="152">
        <f t="shared" si="52"/>
        <v>2304.8200000000002</v>
      </c>
      <c r="BK54" s="152">
        <f>'Phụ lục số I'!AC54</f>
        <v>2477.6799999999998</v>
      </c>
      <c r="BL54" s="152">
        <f t="shared" si="53"/>
        <v>2477.6799999999998</v>
      </c>
      <c r="BM54" s="157">
        <f>'Phụ lục số I'!AI54</f>
        <v>12000</v>
      </c>
      <c r="BN54" s="157">
        <f t="shared" si="54"/>
        <v>12000</v>
      </c>
      <c r="BO54" s="157">
        <f>'Phụ lục số I'!AO54</f>
        <v>16000</v>
      </c>
      <c r="BP54" s="157">
        <f t="shared" si="55"/>
        <v>16000</v>
      </c>
      <c r="BQ54" s="157">
        <f>'Phụ lục số I'!AU54</f>
        <v>22000</v>
      </c>
      <c r="BR54" s="157">
        <f t="shared" si="56"/>
        <v>22000</v>
      </c>
      <c r="BS54" s="157">
        <f t="shared" si="163"/>
        <v>54782.5</v>
      </c>
      <c r="BT54" s="157">
        <f t="shared" si="164"/>
        <v>54782.5</v>
      </c>
      <c r="BU54" s="155"/>
      <c r="BV54" s="25"/>
      <c r="BY54" s="1">
        <f t="shared" si="22"/>
        <v>1.582048349105988</v>
      </c>
      <c r="BZ54" s="816">
        <f t="shared" si="23"/>
        <v>0.58204834910598802</v>
      </c>
    </row>
    <row r="55" spans="1:78">
      <c r="A55" s="226" t="s">
        <v>37</v>
      </c>
      <c r="B55" s="227" t="s">
        <v>38</v>
      </c>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42">
        <f>AB56+AB58</f>
        <v>1707984</v>
      </c>
      <c r="AC55" s="157"/>
      <c r="AD55" s="142">
        <f>AD56+AD58</f>
        <v>8885312</v>
      </c>
      <c r="AE55" s="155"/>
      <c r="AF55" s="280"/>
      <c r="AG55" s="17">
        <f>SUM(AG56,AG58)</f>
        <v>3232836</v>
      </c>
      <c r="AH55" s="163">
        <f t="shared" ref="AH55" si="165">SUM(AH56,AH58)</f>
        <v>3232836</v>
      </c>
      <c r="AI55" s="163">
        <f>SUM(AI56,AI58)</f>
        <v>5430855</v>
      </c>
      <c r="AJ55" s="163">
        <f t="shared" ref="AJ55" si="166">SUM(AJ56,AJ58)</f>
        <v>5430855</v>
      </c>
      <c r="AK55" s="163">
        <f>SUM(AK56,AK58)</f>
        <v>6694954</v>
      </c>
      <c r="AL55" s="163">
        <f t="shared" ref="AL55:AN55" si="167">SUM(AL56,AL58)</f>
        <v>6694954</v>
      </c>
      <c r="AM55" s="163">
        <f>SUM(AM56,AM58)</f>
        <v>6498723</v>
      </c>
      <c r="AN55" s="163">
        <f t="shared" si="167"/>
        <v>6498723</v>
      </c>
      <c r="AO55" s="163">
        <f>SUM(AO56,AO58)</f>
        <v>6518796</v>
      </c>
      <c r="AP55" s="163">
        <f t="shared" ref="AP55:AR55" si="168">SUM(AP56,AP58)</f>
        <v>6518796</v>
      </c>
      <c r="AQ55" s="163">
        <f>SUM(AQ56,AQ58)</f>
        <v>28376164</v>
      </c>
      <c r="AR55" s="163">
        <f t="shared" si="168"/>
        <v>28376164</v>
      </c>
      <c r="AS55" s="155"/>
      <c r="AT55" s="188">
        <f>(((AH55/AB55)*(AJ55/AH55)*(AL55/AJ55)*(AN55/AL55)*(AP55/AN55))^(1/5))-1</f>
        <v>0.3071839850812601</v>
      </c>
      <c r="AU55" s="17">
        <f>SUM(AU56,AU58)</f>
        <v>6765596</v>
      </c>
      <c r="AV55" s="163">
        <f t="shared" ref="AV55:BF55" si="169">SUM(AV56,AV58)</f>
        <v>6765596</v>
      </c>
      <c r="AW55" s="163">
        <f>SUM(AW56,AW58)</f>
        <v>8016985</v>
      </c>
      <c r="AX55" s="163">
        <f t="shared" si="169"/>
        <v>8016985</v>
      </c>
      <c r="AY55" s="163">
        <f>SUM(AY56,AY58)</f>
        <v>9084495</v>
      </c>
      <c r="AZ55" s="163">
        <f t="shared" si="169"/>
        <v>9084495</v>
      </c>
      <c r="BA55" s="163">
        <f t="shared" si="169"/>
        <v>9256479</v>
      </c>
      <c r="BB55" s="191">
        <f t="shared" si="169"/>
        <v>9766253</v>
      </c>
      <c r="BC55" s="163">
        <f t="shared" si="169"/>
        <v>13326475.800000001</v>
      </c>
      <c r="BD55" s="163">
        <f t="shared" si="169"/>
        <v>13326475.800000001</v>
      </c>
      <c r="BE55" s="213">
        <f t="shared" si="169"/>
        <v>46450030.799999997</v>
      </c>
      <c r="BF55" s="213">
        <f t="shared" si="169"/>
        <v>46959804.799999997</v>
      </c>
      <c r="BG55" s="155"/>
      <c r="BH55" s="247">
        <f>(((AV55/AP55)*(AX55/AV55)*(AZ55/AX55)*(BB55/AZ55)*(BD55/BB55))^(1/5))-1</f>
        <v>0.15374434379054081</v>
      </c>
      <c r="BI55" s="212">
        <f t="shared" ref="BI55:BR55" si="170">SUM(BI56,BI58)</f>
        <v>13326475.800000001</v>
      </c>
      <c r="BJ55" s="213">
        <f t="shared" si="170"/>
        <v>13326475.800000001</v>
      </c>
      <c r="BK55" s="213">
        <f t="shared" si="170"/>
        <v>13326475.800000001</v>
      </c>
      <c r="BL55" s="213">
        <f t="shared" si="170"/>
        <v>13326475.800000001</v>
      </c>
      <c r="BM55" s="213">
        <f t="shared" si="170"/>
        <v>12947209.800000001</v>
      </c>
      <c r="BN55" s="213">
        <f t="shared" si="170"/>
        <v>12947209.800000001</v>
      </c>
      <c r="BO55" s="213">
        <f t="shared" si="170"/>
        <v>12947209.800000001</v>
      </c>
      <c r="BP55" s="213">
        <f t="shared" si="170"/>
        <v>12947209.800000001</v>
      </c>
      <c r="BQ55" s="213">
        <f t="shared" si="170"/>
        <v>12947209.800000001</v>
      </c>
      <c r="BR55" s="213">
        <f t="shared" si="170"/>
        <v>12947209.800000001</v>
      </c>
      <c r="BS55" s="213">
        <f t="shared" ref="BS55:BT55" si="171">SUM(BS56,BS58)</f>
        <v>65494581</v>
      </c>
      <c r="BT55" s="213">
        <f t="shared" si="171"/>
        <v>65494581</v>
      </c>
      <c r="BU55" s="155"/>
      <c r="BV55" s="247">
        <f t="shared" ref="BV55:BV59" si="172">(((BJ55/BD55)*(BL55/BJ55)*(BN55/BL55)*(BP55/BN55)*(BR55/BP55))^(1/5))-1</f>
        <v>-5.7578422546348262E-3</v>
      </c>
      <c r="BY55" s="1">
        <f t="shared" si="22"/>
        <v>1.0750463289373817</v>
      </c>
      <c r="BZ55" s="816">
        <f t="shared" si="23"/>
        <v>7.5046328937381723E-2</v>
      </c>
    </row>
    <row r="56" spans="1:78">
      <c r="A56" s="226" t="s">
        <v>3</v>
      </c>
      <c r="B56" s="227" t="s">
        <v>39</v>
      </c>
      <c r="C56" s="221"/>
      <c r="D56" s="251"/>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86">
        <f>1174152+AB57</f>
        <v>1174152</v>
      </c>
      <c r="AC56" s="157"/>
      <c r="AD56" s="157">
        <v>5842317</v>
      </c>
      <c r="AE56" s="155"/>
      <c r="AF56" s="280"/>
      <c r="AG56" s="27">
        <f>1174152+AG57</f>
        <v>1174152</v>
      </c>
      <c r="AH56" s="162">
        <f>1174152+AH57</f>
        <v>1174152</v>
      </c>
      <c r="AI56" s="162">
        <f>4693126+AI57</f>
        <v>4693126</v>
      </c>
      <c r="AJ56" s="162">
        <f>4693126+AJ57</f>
        <v>4693126</v>
      </c>
      <c r="AK56" s="162">
        <f>4693126+AK57</f>
        <v>4693126</v>
      </c>
      <c r="AL56" s="162">
        <f>4693126+AL57</f>
        <v>4693126</v>
      </c>
      <c r="AM56" s="162">
        <f>4693126+AM57</f>
        <v>4787126</v>
      </c>
      <c r="AN56" s="157">
        <f>AM56</f>
        <v>4787126</v>
      </c>
      <c r="AO56" s="157">
        <f>4787126+AO57</f>
        <v>4883126</v>
      </c>
      <c r="AP56" s="157">
        <f>4787126+AP57</f>
        <v>4883126</v>
      </c>
      <c r="AQ56" s="157">
        <f t="shared" ref="AQ56" si="173">AG56+AI56+AK56+AM56+AO56</f>
        <v>20230656</v>
      </c>
      <c r="AR56" s="157">
        <f t="shared" ref="AR56" si="174">AH56+AJ56+AL56+AN56+AP56</f>
        <v>20230656</v>
      </c>
      <c r="AS56" s="155"/>
      <c r="AT56" s="187">
        <f>(((AH56/AB56)*(AJ56/AH56)*(AL56/AJ56)*(AN56/AL56)*(AP56/AN56))^(1/5))-1</f>
        <v>0.32982569961965535</v>
      </c>
      <c r="AU56" s="26">
        <v>4883126</v>
      </c>
      <c r="AV56" s="157">
        <f>AU56</f>
        <v>4883126</v>
      </c>
      <c r="AW56" s="157">
        <v>6803512</v>
      </c>
      <c r="AX56" s="162">
        <f>AW56</f>
        <v>6803512</v>
      </c>
      <c r="AY56" s="162">
        <f>6487488</f>
        <v>6487488</v>
      </c>
      <c r="AZ56" s="162">
        <f>AY56</f>
        <v>6487488</v>
      </c>
      <c r="BA56" s="157">
        <f>'Phụ lục số I'!D56</f>
        <v>6617188</v>
      </c>
      <c r="BB56" s="252">
        <f>'Phụ lục số I'!J56</f>
        <v>6617188</v>
      </c>
      <c r="BC56" s="157">
        <f>'Phụ lục số I'!Q56</f>
        <v>6617188</v>
      </c>
      <c r="BD56" s="157">
        <f>BC56</f>
        <v>6617188</v>
      </c>
      <c r="BE56" s="152">
        <f>AU56+AW56+AY56+BA56+BC56</f>
        <v>31408502</v>
      </c>
      <c r="BF56" s="152">
        <f t="shared" ref="BF56" si="175">AV56+AX56+AZ56+BB56+BD56</f>
        <v>31408502</v>
      </c>
      <c r="BG56" s="155"/>
      <c r="BH56" s="247">
        <f>(((AV56/AP56)*(AX56/AV56)*(AZ56/AX56)*(BB56/AZ56)*(BD56/BB56))^(1/5))-1</f>
        <v>6.2661896672370654E-2</v>
      </c>
      <c r="BI56" s="288">
        <f>'Phụ lục số I'!W56</f>
        <v>6617188</v>
      </c>
      <c r="BJ56" s="152">
        <f t="shared" si="52"/>
        <v>6617188</v>
      </c>
      <c r="BK56" s="152">
        <f>'Phụ lục số I'!AC56</f>
        <v>6617188</v>
      </c>
      <c r="BL56" s="152">
        <f t="shared" si="53"/>
        <v>6617188</v>
      </c>
      <c r="BM56" s="157">
        <f>'Phụ lục số I'!AI56</f>
        <v>6617188</v>
      </c>
      <c r="BN56" s="157">
        <f t="shared" si="54"/>
        <v>6617188</v>
      </c>
      <c r="BO56" s="157">
        <f>'Phụ lục số I'!AO56</f>
        <v>6617188</v>
      </c>
      <c r="BP56" s="157">
        <f t="shared" si="55"/>
        <v>6617188</v>
      </c>
      <c r="BQ56" s="157">
        <f>'Phụ lục số I'!AU56</f>
        <v>6617188</v>
      </c>
      <c r="BR56" s="157">
        <f t="shared" si="56"/>
        <v>6617188</v>
      </c>
      <c r="BS56" s="157">
        <f t="shared" ref="BS56" si="176">BI56+BK56+BM56+BO56+BQ56</f>
        <v>33085940</v>
      </c>
      <c r="BT56" s="157">
        <f t="shared" ref="BT56" si="177">BJ56+BL56+BN56+BP56+BR56</f>
        <v>33085940</v>
      </c>
      <c r="BU56" s="155"/>
      <c r="BV56" s="247">
        <f t="shared" si="172"/>
        <v>0</v>
      </c>
      <c r="BY56" s="1">
        <f t="shared" si="22"/>
        <v>1.0199923298509377</v>
      </c>
      <c r="BZ56" s="816">
        <f t="shared" si="23"/>
        <v>1.9992329850937685E-2</v>
      </c>
    </row>
    <row r="57" spans="1:78" s="5" customFormat="1" hidden="1">
      <c r="A57" s="239"/>
      <c r="B57" s="240" t="s">
        <v>98</v>
      </c>
      <c r="C57" s="223"/>
      <c r="D57" s="262"/>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171"/>
      <c r="AC57" s="171"/>
      <c r="AD57" s="171"/>
      <c r="AE57" s="258"/>
      <c r="AF57" s="283"/>
      <c r="AG57" s="28"/>
      <c r="AH57" s="171"/>
      <c r="AI57" s="172"/>
      <c r="AJ57" s="172"/>
      <c r="AK57" s="172"/>
      <c r="AL57" s="172"/>
      <c r="AM57" s="172">
        <v>94000</v>
      </c>
      <c r="AN57" s="171">
        <v>94000</v>
      </c>
      <c r="AO57" s="171">
        <f>96000</f>
        <v>96000</v>
      </c>
      <c r="AP57" s="171">
        <f>AO57</f>
        <v>96000</v>
      </c>
      <c r="AQ57" s="171">
        <f t="shared" ref="AQ57" si="178">AG57+AI57+AK57+AM57+AO57</f>
        <v>190000</v>
      </c>
      <c r="AR57" s="171">
        <f t="shared" ref="AR57" si="179">AH57+AJ57+AL57+AN57+AP57</f>
        <v>190000</v>
      </c>
      <c r="AS57" s="258"/>
      <c r="AT57" s="217" t="e">
        <f>(((AH57/AB57)*(AJ57/AH57)*(AL57/AJ57)*(AN57/AL57)*(AP57/AN57))^(1/5))-1</f>
        <v>#DIV/0!</v>
      </c>
      <c r="AU57" s="28"/>
      <c r="AV57" s="171"/>
      <c r="AW57" s="171"/>
      <c r="AX57" s="172"/>
      <c r="AY57" s="172"/>
      <c r="AZ57" s="172"/>
      <c r="BA57" s="171">
        <f>'Phụ lục số I'!D57</f>
        <v>129700</v>
      </c>
      <c r="BB57" s="259">
        <f>'Phụ lục số I'!J57</f>
        <v>129700</v>
      </c>
      <c r="BC57" s="171">
        <f>'Phụ lục số I'!Q57</f>
        <v>129700</v>
      </c>
      <c r="BD57" s="171">
        <f>BC57</f>
        <v>129700</v>
      </c>
      <c r="BE57" s="263">
        <f>AU57+AW57+AY57+BA57+BC57</f>
        <v>259400</v>
      </c>
      <c r="BF57" s="263">
        <f t="shared" ref="BF57" si="180">AV57+AX57+AZ57+BB57+BD57</f>
        <v>259400</v>
      </c>
      <c r="BG57" s="258"/>
      <c r="BH57" s="264"/>
      <c r="BI57" s="290">
        <f>'Phụ lục số I'!W57</f>
        <v>129700</v>
      </c>
      <c r="BJ57" s="263">
        <f t="shared" si="52"/>
        <v>129700</v>
      </c>
      <c r="BK57" s="263">
        <f>'Phụ lục số I'!AC57</f>
        <v>129700</v>
      </c>
      <c r="BL57" s="263">
        <f t="shared" si="53"/>
        <v>129700</v>
      </c>
      <c r="BM57" s="171">
        <f>'Phụ lục số I'!AI57</f>
        <v>129700</v>
      </c>
      <c r="BN57" s="171">
        <f t="shared" si="54"/>
        <v>129700</v>
      </c>
      <c r="BO57" s="171">
        <f>'Phụ lục số I'!AO57</f>
        <v>129700</v>
      </c>
      <c r="BP57" s="171">
        <f t="shared" si="55"/>
        <v>129700</v>
      </c>
      <c r="BQ57" s="171">
        <f>'Phụ lục số I'!AU57</f>
        <v>129700</v>
      </c>
      <c r="BR57" s="171">
        <f t="shared" si="56"/>
        <v>129700</v>
      </c>
      <c r="BS57" s="171">
        <f t="shared" ref="BS57" si="181">BI57+BK57+BM57+BO57+BQ57</f>
        <v>648500</v>
      </c>
      <c r="BT57" s="171">
        <f t="shared" ref="BT57" si="182">BJ57+BL57+BN57+BP57+BR57</f>
        <v>648500</v>
      </c>
      <c r="BU57" s="258"/>
      <c r="BV57" s="264"/>
      <c r="BY57" s="1" t="e">
        <f t="shared" si="22"/>
        <v>#DIV/0!</v>
      </c>
      <c r="BZ57" s="816" t="e">
        <f t="shared" si="23"/>
        <v>#DIV/0!</v>
      </c>
    </row>
    <row r="58" spans="1:78">
      <c r="A58" s="226" t="s">
        <v>33</v>
      </c>
      <c r="B58" s="227" t="s">
        <v>41</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63">
        <f>AB59+AB62+AB65</f>
        <v>533832</v>
      </c>
      <c r="AC58" s="157"/>
      <c r="AD58" s="163">
        <f>AD59+AD62+AD65</f>
        <v>3042995</v>
      </c>
      <c r="AE58" s="155"/>
      <c r="AF58" s="280"/>
      <c r="AG58" s="17">
        <f>AG59+AG62+AG65</f>
        <v>2058684</v>
      </c>
      <c r="AH58" s="163">
        <f t="shared" ref="AH58" si="183">AH59+AH62+AH65</f>
        <v>2058684</v>
      </c>
      <c r="AI58" s="163">
        <f>AI59+AI62+AI65</f>
        <v>737729</v>
      </c>
      <c r="AJ58" s="163">
        <f t="shared" ref="AJ58" si="184">AJ59+AJ62+AJ65</f>
        <v>737729</v>
      </c>
      <c r="AK58" s="163">
        <f>AK59+AK62+AK65</f>
        <v>2001828</v>
      </c>
      <c r="AL58" s="163">
        <f t="shared" ref="AL58:AN58" si="185">AL59+AL62+AL65</f>
        <v>2001828</v>
      </c>
      <c r="AM58" s="163">
        <f>AM59+AM62+AM65</f>
        <v>1711597</v>
      </c>
      <c r="AN58" s="163">
        <f t="shared" si="185"/>
        <v>1711597</v>
      </c>
      <c r="AO58" s="163">
        <f>AO59+AO62+AO65</f>
        <v>1635670</v>
      </c>
      <c r="AP58" s="163">
        <f t="shared" ref="AP58:AR58" si="186">AP59+AP62+AP65</f>
        <v>1635670</v>
      </c>
      <c r="AQ58" s="163">
        <f>AQ59+AQ62+AQ65</f>
        <v>8145508</v>
      </c>
      <c r="AR58" s="163">
        <f t="shared" si="186"/>
        <v>8145508</v>
      </c>
      <c r="AS58" s="155"/>
      <c r="AT58" s="188">
        <f>(((AH58/AB58)*(AJ58/AH58)*(AL58/AJ58)*(AN58/AL58)*(AP58/AN58))^(1/5))-1</f>
        <v>0.2510026133871015</v>
      </c>
      <c r="AU58" s="17">
        <f>AU59+AU62+AU65</f>
        <v>1882470</v>
      </c>
      <c r="AV58" s="163">
        <f t="shared" ref="AV58:BF58" si="187">AV59+AV62+AV65</f>
        <v>1882470</v>
      </c>
      <c r="AW58" s="163">
        <f>AW59+AW62+AW65</f>
        <v>1213473</v>
      </c>
      <c r="AX58" s="163">
        <f t="shared" si="187"/>
        <v>1213473</v>
      </c>
      <c r="AY58" s="163">
        <f>AY59+AY62+AY65</f>
        <v>2597007</v>
      </c>
      <c r="AZ58" s="163">
        <f t="shared" si="187"/>
        <v>2597007</v>
      </c>
      <c r="BA58" s="163">
        <f t="shared" si="187"/>
        <v>2639291</v>
      </c>
      <c r="BB58" s="191">
        <f t="shared" si="187"/>
        <v>3149065</v>
      </c>
      <c r="BC58" s="163">
        <f t="shared" si="187"/>
        <v>6709287.7999999998</v>
      </c>
      <c r="BD58" s="163">
        <f t="shared" si="187"/>
        <v>6709287.7999999998</v>
      </c>
      <c r="BE58" s="213">
        <f t="shared" si="187"/>
        <v>15041528.800000001</v>
      </c>
      <c r="BF58" s="213">
        <f t="shared" si="187"/>
        <v>15551302.800000001</v>
      </c>
      <c r="BG58" s="155"/>
      <c r="BH58" s="247">
        <f>(((AV58/AP58)*(AX58/AV58)*(AZ58/AX58)*(BB58/AZ58)*(BD58/BB58))^(1/5))-1</f>
        <v>0.32616067852885866</v>
      </c>
      <c r="BI58" s="212">
        <f>BI59+BI62+BI65</f>
        <v>6709287.7999999998</v>
      </c>
      <c r="BJ58" s="213">
        <f t="shared" ref="BJ58:BT58" si="188">BJ59+BJ62+BJ65</f>
        <v>6709287.7999999998</v>
      </c>
      <c r="BK58" s="213">
        <f t="shared" si="188"/>
        <v>6709287.7999999998</v>
      </c>
      <c r="BL58" s="213">
        <f t="shared" si="188"/>
        <v>6709287.7999999998</v>
      </c>
      <c r="BM58" s="213">
        <f t="shared" si="188"/>
        <v>6330021.7999999998</v>
      </c>
      <c r="BN58" s="213">
        <f t="shared" si="188"/>
        <v>6330021.7999999998</v>
      </c>
      <c r="BO58" s="213">
        <f t="shared" si="188"/>
        <v>6330021.7999999998</v>
      </c>
      <c r="BP58" s="213">
        <f t="shared" si="188"/>
        <v>6330021.7999999998</v>
      </c>
      <c r="BQ58" s="213">
        <f t="shared" si="188"/>
        <v>6330021.7999999998</v>
      </c>
      <c r="BR58" s="213">
        <f t="shared" si="188"/>
        <v>6330021.7999999998</v>
      </c>
      <c r="BS58" s="213">
        <f t="shared" si="188"/>
        <v>32408641</v>
      </c>
      <c r="BT58" s="213">
        <f t="shared" si="188"/>
        <v>32408641</v>
      </c>
      <c r="BU58" s="155"/>
      <c r="BV58" s="247">
        <f t="shared" si="172"/>
        <v>-1.1570367492730549E-2</v>
      </c>
      <c r="BY58" s="1">
        <f t="shared" si="22"/>
        <v>1.2125747061906265</v>
      </c>
      <c r="BZ58" s="816">
        <f t="shared" si="23"/>
        <v>0.21257470619062646</v>
      </c>
    </row>
    <row r="59" spans="1:78" s="5" customFormat="1" ht="31.2">
      <c r="A59" s="239">
        <v>1</v>
      </c>
      <c r="B59" s="240" t="s">
        <v>42</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2">
        <f>SUM(AB60:AB61)</f>
        <v>533832</v>
      </c>
      <c r="AC59" s="171"/>
      <c r="AD59" s="172">
        <f>SUM(AD60:AD61)</f>
        <v>3042995</v>
      </c>
      <c r="AE59" s="258"/>
      <c r="AF59" s="283"/>
      <c r="AG59" s="19">
        <f>SUM(AG60:AG61)</f>
        <v>615920</v>
      </c>
      <c r="AH59" s="172">
        <f t="shared" ref="AH59" si="189">SUM(AH60:AH61)</f>
        <v>615920</v>
      </c>
      <c r="AI59" s="172">
        <f>SUM(AI60:AI61)</f>
        <v>705961</v>
      </c>
      <c r="AJ59" s="172">
        <f t="shared" ref="AJ59" si="190">SUM(AJ60:AJ61)</f>
        <v>705961</v>
      </c>
      <c r="AK59" s="172">
        <f>SUM(AK60:AK61)</f>
        <v>1614589</v>
      </c>
      <c r="AL59" s="172">
        <f t="shared" ref="AL59:AN59" si="191">SUM(AL60:AL61)</f>
        <v>1614589</v>
      </c>
      <c r="AM59" s="172">
        <f>SUM(AM60:AM61)</f>
        <v>1016696</v>
      </c>
      <c r="AN59" s="172">
        <f t="shared" si="191"/>
        <v>1016696</v>
      </c>
      <c r="AO59" s="172">
        <f>SUM(AO60:AO61)</f>
        <v>1231620</v>
      </c>
      <c r="AP59" s="172">
        <f t="shared" ref="AP59:AR59" si="192">SUM(AP60:AP61)</f>
        <v>1231620</v>
      </c>
      <c r="AQ59" s="172">
        <f>SUM(AQ60:AQ61)</f>
        <v>5184786</v>
      </c>
      <c r="AR59" s="172">
        <f t="shared" si="192"/>
        <v>5184786</v>
      </c>
      <c r="AS59" s="258"/>
      <c r="AT59" s="187">
        <f>(((AH59/AB59)*(AJ59/AH59)*(AL59/AJ59)*(AN59/AL59)*(AP59/AN59))^(1/5))-1</f>
        <v>0.18199169702715445</v>
      </c>
      <c r="AU59" s="19">
        <f>SUM(AU60:AU61)</f>
        <v>1263824</v>
      </c>
      <c r="AV59" s="172">
        <f t="shared" ref="AV59:BF59" si="193">SUM(AV60:AV61)</f>
        <v>1263824</v>
      </c>
      <c r="AW59" s="172">
        <f>SUM(AW60:AW61)</f>
        <v>1127000</v>
      </c>
      <c r="AX59" s="172">
        <f t="shared" si="193"/>
        <v>1127000</v>
      </c>
      <c r="AY59" s="172">
        <f>SUM(AY60:AY61)</f>
        <v>2417971</v>
      </c>
      <c r="AZ59" s="172">
        <f t="shared" si="193"/>
        <v>2417971</v>
      </c>
      <c r="BA59" s="172">
        <f t="shared" si="193"/>
        <v>1814491</v>
      </c>
      <c r="BB59" s="265">
        <f t="shared" si="193"/>
        <v>1814491</v>
      </c>
      <c r="BC59" s="172">
        <f t="shared" si="193"/>
        <v>3101719</v>
      </c>
      <c r="BD59" s="172">
        <f t="shared" si="193"/>
        <v>3101719</v>
      </c>
      <c r="BE59" s="266">
        <f t="shared" si="193"/>
        <v>9725005</v>
      </c>
      <c r="BF59" s="266">
        <f t="shared" si="193"/>
        <v>9725005</v>
      </c>
      <c r="BG59" s="258"/>
      <c r="BH59" s="267">
        <f>(((AV59/AP59)*(AX59/AV59)*(AZ59/AX59)*(BB59/AZ59)*(BD59/BB59))^(1/5))-1</f>
        <v>0.20288786469319797</v>
      </c>
      <c r="BI59" s="291">
        <f t="shared" ref="BI59:BT59" si="194">SUM(BI60:BI61)</f>
        <v>3101719</v>
      </c>
      <c r="BJ59" s="266">
        <f t="shared" si="194"/>
        <v>3101719</v>
      </c>
      <c r="BK59" s="266">
        <f t="shared" si="194"/>
        <v>3101719</v>
      </c>
      <c r="BL59" s="266">
        <f t="shared" si="194"/>
        <v>3101719</v>
      </c>
      <c r="BM59" s="266">
        <f t="shared" si="194"/>
        <v>3101719</v>
      </c>
      <c r="BN59" s="266">
        <f t="shared" si="194"/>
        <v>3101719</v>
      </c>
      <c r="BO59" s="266">
        <f t="shared" si="194"/>
        <v>3101719</v>
      </c>
      <c r="BP59" s="266">
        <f t="shared" si="194"/>
        <v>3101719</v>
      </c>
      <c r="BQ59" s="266">
        <f t="shared" si="194"/>
        <v>3101719</v>
      </c>
      <c r="BR59" s="266">
        <f t="shared" si="194"/>
        <v>3101719</v>
      </c>
      <c r="BS59" s="266">
        <f t="shared" si="194"/>
        <v>15508595</v>
      </c>
      <c r="BT59" s="266">
        <f t="shared" si="194"/>
        <v>15508595</v>
      </c>
      <c r="BU59" s="258"/>
      <c r="BV59" s="267">
        <f t="shared" si="172"/>
        <v>0</v>
      </c>
      <c r="BY59" s="1">
        <f t="shared" si="22"/>
        <v>0.75041884290589089</v>
      </c>
      <c r="BZ59" s="816">
        <f t="shared" si="23"/>
        <v>-0.24958115709410911</v>
      </c>
    </row>
    <row r="60" spans="1:78" hidden="1">
      <c r="A60" s="230" t="s">
        <v>99</v>
      </c>
      <c r="B60" s="232" t="s">
        <v>100</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7">
        <v>533832</v>
      </c>
      <c r="AC60" s="157"/>
      <c r="AD60" s="157">
        <v>3042995</v>
      </c>
      <c r="AE60" s="155"/>
      <c r="AF60" s="280"/>
      <c r="AG60" s="26">
        <v>585920</v>
      </c>
      <c r="AH60" s="157">
        <f>AG60</f>
        <v>585920</v>
      </c>
      <c r="AI60" s="162">
        <f>128900+450213</f>
        <v>579113</v>
      </c>
      <c r="AJ60" s="162">
        <f>AI60</f>
        <v>579113</v>
      </c>
      <c r="AK60" s="162">
        <f>1503647</f>
        <v>1503647</v>
      </c>
      <c r="AL60" s="162">
        <f>AK60</f>
        <v>1503647</v>
      </c>
      <c r="AM60" s="162">
        <f>849684</f>
        <v>849684</v>
      </c>
      <c r="AN60" s="157">
        <f>AM60</f>
        <v>849684</v>
      </c>
      <c r="AO60" s="157">
        <f>906600</f>
        <v>906600</v>
      </c>
      <c r="AP60" s="157">
        <f>AO60</f>
        <v>906600</v>
      </c>
      <c r="AQ60" s="157">
        <f t="shared" ref="AQ60" si="195">AG60+AI60+AK60+AM60+AO60</f>
        <v>4424964</v>
      </c>
      <c r="AR60" s="157">
        <f t="shared" ref="AR60" si="196">AH60+AJ60+AL60+AN60+AP60</f>
        <v>4424964</v>
      </c>
      <c r="AS60" s="155"/>
      <c r="AT60" s="25"/>
      <c r="AU60" s="27">
        <f>1263824</f>
        <v>1263824</v>
      </c>
      <c r="AV60" s="157">
        <f>AU60</f>
        <v>1263824</v>
      </c>
      <c r="AW60" s="157">
        <f>1127000</f>
        <v>1127000</v>
      </c>
      <c r="AX60" s="162">
        <f>AW60</f>
        <v>1127000</v>
      </c>
      <c r="AY60" s="162">
        <f>(1115300+1170500)</f>
        <v>2285800</v>
      </c>
      <c r="AZ60" s="162">
        <f>AY60</f>
        <v>2285800</v>
      </c>
      <c r="BA60" s="157">
        <f>'Phụ lục số I'!D60</f>
        <v>1681570</v>
      </c>
      <c r="BB60" s="252">
        <f>'Phụ lục số I'!J60</f>
        <v>1681570</v>
      </c>
      <c r="BC60" s="157">
        <f>'Phụ lục số I'!Q60</f>
        <v>2970480</v>
      </c>
      <c r="BD60" s="157">
        <f>BC60</f>
        <v>2970480</v>
      </c>
      <c r="BE60" s="152">
        <f>AU60+AW60+AY60+BA60+BC60</f>
        <v>9328674</v>
      </c>
      <c r="BF60" s="152">
        <f t="shared" ref="BF60" si="197">AV60+AX60+AZ60+BB60+BD60</f>
        <v>9328674</v>
      </c>
      <c r="BG60" s="155"/>
      <c r="BH60" s="25"/>
      <c r="BI60" s="288">
        <f>'Phụ lục số I'!W60</f>
        <v>2970480</v>
      </c>
      <c r="BJ60" s="152">
        <f t="shared" ref="BJ60:BJ69" si="198">BI60</f>
        <v>2970480</v>
      </c>
      <c r="BK60" s="152">
        <f>'Phụ lục số I'!AC60</f>
        <v>2970480</v>
      </c>
      <c r="BL60" s="152">
        <f t="shared" ref="BL60:BL69" si="199">BK60</f>
        <v>2970480</v>
      </c>
      <c r="BM60" s="157">
        <f>'Phụ lục số I'!AI60</f>
        <v>2970480</v>
      </c>
      <c r="BN60" s="157">
        <f t="shared" ref="BN60:BN69" si="200">BM60</f>
        <v>2970480</v>
      </c>
      <c r="BO60" s="157">
        <f>'Phụ lục số I'!AO60</f>
        <v>2970480</v>
      </c>
      <c r="BP60" s="157">
        <f t="shared" ref="BP60:BP69" si="201">BO60</f>
        <v>2970480</v>
      </c>
      <c r="BQ60" s="157">
        <f>'Phụ lục số I'!AU60</f>
        <v>2970480</v>
      </c>
      <c r="BR60" s="157">
        <f t="shared" ref="BR60:BR69" si="202">BQ60</f>
        <v>2970480</v>
      </c>
      <c r="BS60" s="157">
        <f t="shared" ref="BS60" si="203">BI60+BK60+BM60+BO60+BQ60</f>
        <v>14852400</v>
      </c>
      <c r="BT60" s="157">
        <f t="shared" ref="BT60" si="204">BJ60+BL60+BN60+BP60+BR60</f>
        <v>14852400</v>
      </c>
      <c r="BU60" s="155"/>
      <c r="BV60" s="25"/>
      <c r="BY60" s="1">
        <f t="shared" si="22"/>
        <v>0.73565928777670841</v>
      </c>
      <c r="BZ60" s="816">
        <f t="shared" si="23"/>
        <v>-0.26434071222329159</v>
      </c>
    </row>
    <row r="61" spans="1:78" hidden="1">
      <c r="A61" s="230" t="s">
        <v>101</v>
      </c>
      <c r="B61" s="232" t="s">
        <v>102</v>
      </c>
      <c r="C61" s="221"/>
      <c r="D61" s="251"/>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7"/>
      <c r="AC61" s="157"/>
      <c r="AD61" s="157"/>
      <c r="AE61" s="155"/>
      <c r="AF61" s="280"/>
      <c r="AG61" s="26">
        <f>22800+7200</f>
        <v>30000</v>
      </c>
      <c r="AH61" s="157">
        <f>AG61</f>
        <v>30000</v>
      </c>
      <c r="AI61" s="162">
        <f>119000+7848</f>
        <v>126848</v>
      </c>
      <c r="AJ61" s="162">
        <f>AI61</f>
        <v>126848</v>
      </c>
      <c r="AK61" s="162">
        <v>110942</v>
      </c>
      <c r="AL61" s="162">
        <f>AK61</f>
        <v>110942</v>
      </c>
      <c r="AM61" s="162">
        <f>160100+6912</f>
        <v>167012</v>
      </c>
      <c r="AN61" s="157">
        <f>AM61</f>
        <v>167012</v>
      </c>
      <c r="AO61" s="157">
        <f>318260+6760</f>
        <v>325020</v>
      </c>
      <c r="AP61" s="157">
        <f>AO61</f>
        <v>325020</v>
      </c>
      <c r="AQ61" s="157">
        <f t="shared" ref="AQ61" si="205">AG61+AI61+AK61+AM61+AO61</f>
        <v>759822</v>
      </c>
      <c r="AR61" s="157">
        <f t="shared" ref="AR61" si="206">AH61+AJ61+AL61+AN61+AP61</f>
        <v>759822</v>
      </c>
      <c r="AS61" s="155"/>
      <c r="AT61" s="25"/>
      <c r="AU61" s="26"/>
      <c r="AV61" s="157"/>
      <c r="AW61" s="157"/>
      <c r="AX61" s="162"/>
      <c r="AY61" s="162">
        <f>127830+4341</f>
        <v>132171</v>
      </c>
      <c r="AZ61" s="162">
        <f>AY61</f>
        <v>132171</v>
      </c>
      <c r="BA61" s="157">
        <f>'Phụ lục số I'!D61</f>
        <v>132921</v>
      </c>
      <c r="BB61" s="252">
        <f>'Phụ lục số I'!J61</f>
        <v>132921</v>
      </c>
      <c r="BC61" s="157">
        <f>'Phụ lục số I'!Q61</f>
        <v>131239</v>
      </c>
      <c r="BD61" s="157">
        <f>BC61</f>
        <v>131239</v>
      </c>
      <c r="BE61" s="152">
        <f>AU61+AW61+AY61+BA61+BC61</f>
        <v>396331</v>
      </c>
      <c r="BF61" s="152">
        <f t="shared" ref="BF61" si="207">AV61+AX61+AZ61+BB61+BD61</f>
        <v>396331</v>
      </c>
      <c r="BG61" s="155"/>
      <c r="BH61" s="25"/>
      <c r="BI61" s="288">
        <f>'Phụ lục số I'!W61</f>
        <v>131239</v>
      </c>
      <c r="BJ61" s="152">
        <f t="shared" si="198"/>
        <v>131239</v>
      </c>
      <c r="BK61" s="152">
        <f>'Phụ lục số I'!AC61</f>
        <v>131239</v>
      </c>
      <c r="BL61" s="152">
        <f t="shared" si="199"/>
        <v>131239</v>
      </c>
      <c r="BM61" s="157">
        <f>'Phụ lục số I'!AI61</f>
        <v>131239</v>
      </c>
      <c r="BN61" s="157">
        <f t="shared" si="200"/>
        <v>131239</v>
      </c>
      <c r="BO61" s="157">
        <f>'Phụ lục số I'!AO61</f>
        <v>131239</v>
      </c>
      <c r="BP61" s="157">
        <f t="shared" si="201"/>
        <v>131239</v>
      </c>
      <c r="BQ61" s="157">
        <f>'Phụ lục số I'!AU61</f>
        <v>131239</v>
      </c>
      <c r="BR61" s="157">
        <f t="shared" si="202"/>
        <v>131239</v>
      </c>
      <c r="BS61" s="157">
        <f t="shared" ref="BS61" si="208">BI61+BK61+BM61+BO61+BQ61</f>
        <v>656195</v>
      </c>
      <c r="BT61" s="157">
        <f t="shared" ref="BT61" si="209">BJ61+BL61+BN61+BP61+BR61</f>
        <v>656195</v>
      </c>
      <c r="BU61" s="155"/>
      <c r="BV61" s="25"/>
      <c r="BY61" s="1">
        <f t="shared" si="22"/>
        <v>1.0056744671675331</v>
      </c>
      <c r="BZ61" s="816">
        <f t="shared" si="23"/>
        <v>5.6744671675330594E-3</v>
      </c>
    </row>
    <row r="62" spans="1:78" s="5" customFormat="1" ht="31.2">
      <c r="A62" s="239">
        <v>2</v>
      </c>
      <c r="B62" s="240" t="s">
        <v>43</v>
      </c>
      <c r="C62" s="223"/>
      <c r="D62" s="262"/>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172">
        <f t="shared" ref="AB62:AD62" si="210">SUM(AB63:AB64)</f>
        <v>0</v>
      </c>
      <c r="AC62" s="171"/>
      <c r="AD62" s="172">
        <f t="shared" si="210"/>
        <v>0</v>
      </c>
      <c r="AE62" s="258"/>
      <c r="AF62" s="283"/>
      <c r="AG62" s="19">
        <f t="shared" ref="AG62:AJ62" si="211">SUM(AG63:AG64)</f>
        <v>23674</v>
      </c>
      <c r="AH62" s="172">
        <f t="shared" si="211"/>
        <v>23674</v>
      </c>
      <c r="AI62" s="172">
        <f t="shared" si="211"/>
        <v>31471</v>
      </c>
      <c r="AJ62" s="172">
        <f t="shared" si="211"/>
        <v>31471</v>
      </c>
      <c r="AK62" s="172">
        <f>SUM(AK63:AK64)</f>
        <v>47547</v>
      </c>
      <c r="AL62" s="172">
        <f t="shared" ref="AL62:AN62" si="212">SUM(AL63:AL64)</f>
        <v>47547</v>
      </c>
      <c r="AM62" s="172">
        <f>SUM(AM63:AM64)</f>
        <v>70555</v>
      </c>
      <c r="AN62" s="172">
        <f t="shared" si="212"/>
        <v>70555</v>
      </c>
      <c r="AO62" s="172">
        <f>SUM(AO63:AO64)</f>
        <v>101555</v>
      </c>
      <c r="AP62" s="172">
        <f t="shared" ref="AP62:AR62" si="213">SUM(AP63:AP64)</f>
        <v>101555</v>
      </c>
      <c r="AQ62" s="172">
        <f>SUM(AQ63:AQ64)</f>
        <v>274802</v>
      </c>
      <c r="AR62" s="172">
        <f t="shared" si="213"/>
        <v>274802</v>
      </c>
      <c r="AS62" s="258"/>
      <c r="AT62" s="187" t="e">
        <f>(((AH62/AB62)*(AJ62/AH62)*(AL62/AJ62)*(AN62/AL62)*(AP62/AN62))^(1/5))-1</f>
        <v>#DIV/0!</v>
      </c>
      <c r="AU62" s="19">
        <f>SUM(AU63:AU64)</f>
        <v>416452</v>
      </c>
      <c r="AV62" s="172">
        <f t="shared" ref="AV62:BF62" si="214">SUM(AV63:AV64)</f>
        <v>416452</v>
      </c>
      <c r="AW62" s="172">
        <f>SUM(AW63:AW64)</f>
        <v>86473</v>
      </c>
      <c r="AX62" s="172">
        <f t="shared" si="214"/>
        <v>86473</v>
      </c>
      <c r="AY62" s="172">
        <f>SUM(AY63:AY64)</f>
        <v>179036</v>
      </c>
      <c r="AZ62" s="172">
        <f t="shared" si="214"/>
        <v>179036</v>
      </c>
      <c r="BA62" s="172">
        <f t="shared" si="214"/>
        <v>174485</v>
      </c>
      <c r="BB62" s="265">
        <f t="shared" si="214"/>
        <v>174485</v>
      </c>
      <c r="BC62" s="172">
        <f t="shared" si="214"/>
        <v>195063.8</v>
      </c>
      <c r="BD62" s="172">
        <f t="shared" si="214"/>
        <v>195063.8</v>
      </c>
      <c r="BE62" s="266">
        <f t="shared" si="214"/>
        <v>1051509.8</v>
      </c>
      <c r="BF62" s="266">
        <f t="shared" si="214"/>
        <v>1051509.8</v>
      </c>
      <c r="BG62" s="258"/>
      <c r="BH62" s="267">
        <f>(((AV62/AP62)*(AX62/AV62)*(AZ62/AX62)*(BB62/AZ62)*(BD62/BB62))^(1/5))-1</f>
        <v>0.1394494785109377</v>
      </c>
      <c r="BI62" s="291">
        <f t="shared" ref="BI62:BT62" si="215">SUM(BI63:BI64)</f>
        <v>195063.8</v>
      </c>
      <c r="BJ62" s="266">
        <f t="shared" si="215"/>
        <v>195063.8</v>
      </c>
      <c r="BK62" s="266">
        <f t="shared" si="215"/>
        <v>195063.8</v>
      </c>
      <c r="BL62" s="266">
        <f t="shared" si="215"/>
        <v>195063.8</v>
      </c>
      <c r="BM62" s="266">
        <f t="shared" si="215"/>
        <v>195063.8</v>
      </c>
      <c r="BN62" s="266">
        <f t="shared" si="215"/>
        <v>195063.8</v>
      </c>
      <c r="BO62" s="266">
        <f t="shared" si="215"/>
        <v>195063.8</v>
      </c>
      <c r="BP62" s="266">
        <f t="shared" si="215"/>
        <v>195063.8</v>
      </c>
      <c r="BQ62" s="266">
        <f t="shared" si="215"/>
        <v>195063.8</v>
      </c>
      <c r="BR62" s="266">
        <f t="shared" si="215"/>
        <v>195063.8</v>
      </c>
      <c r="BS62" s="266">
        <f t="shared" si="215"/>
        <v>975319</v>
      </c>
      <c r="BT62" s="266">
        <f t="shared" si="215"/>
        <v>975319</v>
      </c>
      <c r="BU62" s="258"/>
      <c r="BV62" s="267">
        <f t="shared" ref="BV62" si="216">(((BJ62/BD62)*(BL62/BJ62)*(BN62/BL62)*(BP62/BN62)*(BR62/BP62))^(1/5))-1</f>
        <v>0</v>
      </c>
      <c r="BY62" s="1">
        <f t="shared" si="22"/>
        <v>0.97458053128979649</v>
      </c>
      <c r="BZ62" s="816">
        <f t="shared" si="23"/>
        <v>-2.5419468710203508E-2</v>
      </c>
    </row>
    <row r="63" spans="1:78" hidden="1">
      <c r="A63" s="230" t="s">
        <v>99</v>
      </c>
      <c r="B63" s="232" t="s">
        <v>103</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c r="AH63" s="157"/>
      <c r="AI63" s="162"/>
      <c r="AJ63" s="162">
        <f>AI63</f>
        <v>0</v>
      </c>
      <c r="AK63" s="162"/>
      <c r="AL63" s="162">
        <f>AK63</f>
        <v>0</v>
      </c>
      <c r="AM63" s="162"/>
      <c r="AN63" s="157"/>
      <c r="AO63" s="157"/>
      <c r="AP63" s="157">
        <f>AO63</f>
        <v>0</v>
      </c>
      <c r="AQ63" s="157">
        <f t="shared" ref="AQ63" si="217">AG63+AI63+AK63+AM63+AO63</f>
        <v>0</v>
      </c>
      <c r="AR63" s="157">
        <f t="shared" ref="AR63" si="218">AH63+AJ63+AL63+AN63+AP63</f>
        <v>0</v>
      </c>
      <c r="AS63" s="155"/>
      <c r="AT63" s="25"/>
      <c r="AU63" s="26">
        <f>411627+4825</f>
        <v>416452</v>
      </c>
      <c r="AV63" s="157">
        <f>AU63</f>
        <v>416452</v>
      </c>
      <c r="AW63" s="157">
        <v>86473</v>
      </c>
      <c r="AX63" s="162">
        <f>AW63</f>
        <v>86473</v>
      </c>
      <c r="AY63" s="162">
        <f>(81470)</f>
        <v>81470</v>
      </c>
      <c r="AZ63" s="162">
        <f>AY63</f>
        <v>81470</v>
      </c>
      <c r="BA63" s="157">
        <f>'Phụ lục số I'!D63</f>
        <v>72469</v>
      </c>
      <c r="BB63" s="252">
        <f>'Phụ lục số I'!J63</f>
        <v>72469</v>
      </c>
      <c r="BC63" s="157">
        <f>'Phụ lục số I'!Q63</f>
        <v>86962.8</v>
      </c>
      <c r="BD63" s="157">
        <f>BC63</f>
        <v>86962.8</v>
      </c>
      <c r="BE63" s="152">
        <f>AU63+AW63+AY63+BA63+BC63</f>
        <v>743826.8</v>
      </c>
      <c r="BF63" s="152">
        <f t="shared" ref="BF63" si="219">AV63+AX63+AZ63+BB63+BD63</f>
        <v>743826.8</v>
      </c>
      <c r="BG63" s="155"/>
      <c r="BH63" s="25"/>
      <c r="BI63" s="288">
        <f>'Phụ lục số I'!W63</f>
        <v>86962.8</v>
      </c>
      <c r="BJ63" s="152">
        <f t="shared" si="198"/>
        <v>86962.8</v>
      </c>
      <c r="BK63" s="152">
        <f>'Phụ lục số I'!AC63</f>
        <v>86962.8</v>
      </c>
      <c r="BL63" s="152">
        <f t="shared" si="199"/>
        <v>86962.8</v>
      </c>
      <c r="BM63" s="157">
        <f>'Phụ lục số I'!AI63</f>
        <v>86962.8</v>
      </c>
      <c r="BN63" s="157">
        <f t="shared" si="200"/>
        <v>86962.8</v>
      </c>
      <c r="BO63" s="157">
        <f>'Phụ lục số I'!AO63</f>
        <v>86962.8</v>
      </c>
      <c r="BP63" s="157">
        <f t="shared" si="201"/>
        <v>86962.8</v>
      </c>
      <c r="BQ63" s="157">
        <f>'Phụ lục số I'!AU63</f>
        <v>86962.8</v>
      </c>
      <c r="BR63" s="157">
        <f t="shared" si="202"/>
        <v>86962.8</v>
      </c>
      <c r="BS63" s="157">
        <f t="shared" ref="BS63" si="220">BI63+BK63+BM63+BO63+BQ63</f>
        <v>434814</v>
      </c>
      <c r="BT63" s="157">
        <f t="shared" ref="BT63" si="221">BJ63+BL63+BN63+BP63+BR63</f>
        <v>434814</v>
      </c>
      <c r="BU63" s="155"/>
      <c r="BV63" s="25"/>
      <c r="BY63" s="1">
        <f t="shared" si="22"/>
        <v>0.88951761384558736</v>
      </c>
      <c r="BZ63" s="816">
        <f t="shared" si="23"/>
        <v>-0.11048238615441264</v>
      </c>
    </row>
    <row r="64" spans="1:78" hidden="1">
      <c r="A64" s="230" t="s">
        <v>101</v>
      </c>
      <c r="B64" s="232" t="s">
        <v>102</v>
      </c>
      <c r="C64" s="221"/>
      <c r="D64" s="251"/>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7"/>
      <c r="AC64" s="157"/>
      <c r="AD64" s="157"/>
      <c r="AE64" s="155"/>
      <c r="AF64" s="280"/>
      <c r="AG64" s="26">
        <f>20200+3474</f>
        <v>23674</v>
      </c>
      <c r="AH64" s="157">
        <f>AG64</f>
        <v>23674</v>
      </c>
      <c r="AI64" s="162">
        <f>25800+5671</f>
        <v>31471</v>
      </c>
      <c r="AJ64" s="162">
        <f>AI64</f>
        <v>31471</v>
      </c>
      <c r="AK64" s="162">
        <v>47547</v>
      </c>
      <c r="AL64" s="162">
        <f>AK64</f>
        <v>47547</v>
      </c>
      <c r="AM64" s="162">
        <f>63300+7255</f>
        <v>70555</v>
      </c>
      <c r="AN64" s="157">
        <f>AM64</f>
        <v>70555</v>
      </c>
      <c r="AO64" s="157">
        <f>90100+11455</f>
        <v>101555</v>
      </c>
      <c r="AP64" s="157">
        <f>AO64</f>
        <v>101555</v>
      </c>
      <c r="AQ64" s="157">
        <f t="shared" ref="AQ64" si="222">AG64+AI64+AK64+AM64+AO64</f>
        <v>274802</v>
      </c>
      <c r="AR64" s="157">
        <f t="shared" ref="AR64" si="223">AH64+AJ64+AL64+AN64+AP64</f>
        <v>274802</v>
      </c>
      <c r="AS64" s="155"/>
      <c r="AT64" s="25"/>
      <c r="AU64" s="26"/>
      <c r="AV64" s="157"/>
      <c r="AW64" s="157"/>
      <c r="AX64" s="162"/>
      <c r="AY64" s="162">
        <f>38081+59485</f>
        <v>97566</v>
      </c>
      <c r="AZ64" s="162">
        <f>AY64</f>
        <v>97566</v>
      </c>
      <c r="BA64" s="157">
        <f>'Phụ lục số I'!D64</f>
        <v>102016</v>
      </c>
      <c r="BB64" s="252">
        <f>'Phụ lục số I'!J64</f>
        <v>102016</v>
      </c>
      <c r="BC64" s="157">
        <f>'Phụ lục số I'!Q64</f>
        <v>108101</v>
      </c>
      <c r="BD64" s="157">
        <f>BC64</f>
        <v>108101</v>
      </c>
      <c r="BE64" s="152">
        <f>AU64+AW64+AY64+BA64+BC64</f>
        <v>307683</v>
      </c>
      <c r="BF64" s="152">
        <f t="shared" ref="BF64" si="224">AV64+AX64+AZ64+BB64+BD64</f>
        <v>307683</v>
      </c>
      <c r="BG64" s="155"/>
      <c r="BH64" s="25"/>
      <c r="BI64" s="288">
        <f>'Phụ lục số I'!W64</f>
        <v>108101</v>
      </c>
      <c r="BJ64" s="152">
        <f t="shared" si="198"/>
        <v>108101</v>
      </c>
      <c r="BK64" s="152">
        <f>'Phụ lục số I'!AC64</f>
        <v>108101</v>
      </c>
      <c r="BL64" s="152">
        <f t="shared" si="199"/>
        <v>108101</v>
      </c>
      <c r="BM64" s="157">
        <f>'Phụ lục số I'!AI64</f>
        <v>108101</v>
      </c>
      <c r="BN64" s="157">
        <f t="shared" si="200"/>
        <v>108101</v>
      </c>
      <c r="BO64" s="157">
        <f>'Phụ lục số I'!AO64</f>
        <v>108101</v>
      </c>
      <c r="BP64" s="157">
        <f t="shared" si="201"/>
        <v>108101</v>
      </c>
      <c r="BQ64" s="157">
        <f>'Phụ lục số I'!AU64</f>
        <v>108101</v>
      </c>
      <c r="BR64" s="157">
        <f t="shared" si="202"/>
        <v>108101</v>
      </c>
      <c r="BS64" s="157">
        <f t="shared" ref="BS64" si="225">BI64+BK64+BM64+BO64+BQ64</f>
        <v>540505</v>
      </c>
      <c r="BT64" s="157">
        <f t="shared" ref="BT64" si="226">BJ64+BL64+BN64+BP64+BR64</f>
        <v>540505</v>
      </c>
      <c r="BU64" s="155"/>
      <c r="BV64" s="25"/>
      <c r="BY64" s="1">
        <f t="shared" si="22"/>
        <v>1.0456101510772196</v>
      </c>
      <c r="BZ64" s="816">
        <f t="shared" si="23"/>
        <v>4.5610151077219552E-2</v>
      </c>
    </row>
    <row r="65" spans="1:78" s="5" customFormat="1">
      <c r="A65" s="239">
        <v>3</v>
      </c>
      <c r="B65" s="278" t="s">
        <v>106</v>
      </c>
      <c r="C65" s="276"/>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72">
        <f t="shared" ref="AB65:AD65" si="227">SUM(AB66:AB67)</f>
        <v>0</v>
      </c>
      <c r="AC65" s="172"/>
      <c r="AD65" s="172">
        <f t="shared" si="227"/>
        <v>0</v>
      </c>
      <c r="AE65" s="274"/>
      <c r="AF65" s="284"/>
      <c r="AG65" s="19">
        <f>SUM(AG66:AG67)</f>
        <v>1419090</v>
      </c>
      <c r="AH65" s="172">
        <f t="shared" ref="AH65:AJ65" si="228">SUM(AH66:AH67)</f>
        <v>1419090</v>
      </c>
      <c r="AI65" s="172">
        <f t="shared" si="228"/>
        <v>297</v>
      </c>
      <c r="AJ65" s="172">
        <f t="shared" si="228"/>
        <v>297</v>
      </c>
      <c r="AK65" s="172">
        <f>SUM(AK66:AK67)</f>
        <v>339692</v>
      </c>
      <c r="AL65" s="172">
        <f t="shared" ref="AL65:AN65" si="229">SUM(AL66:AL67)</f>
        <v>339692</v>
      </c>
      <c r="AM65" s="172">
        <f>SUM(AM66:AM67)</f>
        <v>624346</v>
      </c>
      <c r="AN65" s="172">
        <f t="shared" si="229"/>
        <v>624346</v>
      </c>
      <c r="AO65" s="172">
        <f>SUM(AO66:AO67)</f>
        <v>302495</v>
      </c>
      <c r="AP65" s="172">
        <f t="shared" ref="AP65:AR65" si="230">SUM(AP66:AP67)</f>
        <v>302495</v>
      </c>
      <c r="AQ65" s="172">
        <f>SUM(AQ66:AQ67)</f>
        <v>2685920</v>
      </c>
      <c r="AR65" s="172">
        <f t="shared" si="230"/>
        <v>2685920</v>
      </c>
      <c r="AS65" s="274"/>
      <c r="AT65" s="287" t="e">
        <f>(((AH65/AB65)*(AJ65/AH65)*(AL65/AJ65)*(AN65/AL65)*(AP65/AN65))^(1/5))-1</f>
        <v>#DIV/0!</v>
      </c>
      <c r="AU65" s="19">
        <f>SUM(AU66:AU67)</f>
        <v>202194</v>
      </c>
      <c r="AV65" s="172">
        <f t="shared" ref="AV65:BF65" si="231">SUM(AV66:AV67)</f>
        <v>202194</v>
      </c>
      <c r="AW65" s="172">
        <f>SUM(AW66:AW67)</f>
        <v>0</v>
      </c>
      <c r="AX65" s="172">
        <f t="shared" si="231"/>
        <v>0</v>
      </c>
      <c r="AY65" s="172">
        <f>SUM(AY66:AY67)</f>
        <v>0</v>
      </c>
      <c r="AZ65" s="172">
        <f t="shared" si="231"/>
        <v>0</v>
      </c>
      <c r="BA65" s="172">
        <f t="shared" si="231"/>
        <v>650315</v>
      </c>
      <c r="BB65" s="265">
        <f t="shared" si="231"/>
        <v>1160089</v>
      </c>
      <c r="BC65" s="172">
        <f t="shared" si="231"/>
        <v>3412505</v>
      </c>
      <c r="BD65" s="172">
        <f t="shared" si="231"/>
        <v>3412505</v>
      </c>
      <c r="BE65" s="266">
        <f t="shared" si="231"/>
        <v>4265014</v>
      </c>
      <c r="BF65" s="266">
        <f t="shared" si="231"/>
        <v>4774788</v>
      </c>
      <c r="BG65" s="274"/>
      <c r="BH65" s="275" t="e">
        <f>(((AV65/AP65)*(AX65/AV65)*(AZ65/AX65)*(BB65/AZ65)*(BD65/BB65))^(1/5))-1</f>
        <v>#DIV/0!</v>
      </c>
      <c r="BI65" s="291">
        <f t="shared" ref="BI65:BT65" si="232">SUM(BI66:BI67)</f>
        <v>3412505</v>
      </c>
      <c r="BJ65" s="266">
        <f t="shared" si="232"/>
        <v>3412505</v>
      </c>
      <c r="BK65" s="266">
        <f t="shared" si="232"/>
        <v>3412505</v>
      </c>
      <c r="BL65" s="266">
        <f t="shared" si="232"/>
        <v>3412505</v>
      </c>
      <c r="BM65" s="266">
        <f t="shared" si="232"/>
        <v>3033239</v>
      </c>
      <c r="BN65" s="266">
        <f t="shared" si="232"/>
        <v>3033239</v>
      </c>
      <c r="BO65" s="266">
        <f t="shared" si="232"/>
        <v>3033239</v>
      </c>
      <c r="BP65" s="266">
        <f t="shared" si="232"/>
        <v>3033239</v>
      </c>
      <c r="BQ65" s="266">
        <f t="shared" si="232"/>
        <v>3033239</v>
      </c>
      <c r="BR65" s="266">
        <f t="shared" si="232"/>
        <v>3033239</v>
      </c>
      <c r="BS65" s="266">
        <f t="shared" si="232"/>
        <v>15924727</v>
      </c>
      <c r="BT65" s="266">
        <f t="shared" si="232"/>
        <v>15924727</v>
      </c>
      <c r="BU65" s="274"/>
      <c r="BV65" s="275">
        <f t="shared" ref="BV65" si="233">(((BJ65/BD65)*(BL65/BJ65)*(BN65/BL65)*(BP65/BN65)*(BR65/BP65))^(1/5))-1</f>
        <v>-2.3287677405845253E-2</v>
      </c>
      <c r="BY65" s="1" t="e">
        <f t="shared" si="22"/>
        <v>#DIV/0!</v>
      </c>
      <c r="BZ65" s="816" t="e">
        <f t="shared" si="23"/>
        <v>#DIV/0!</v>
      </c>
    </row>
    <row r="66" spans="1:78" hidden="1">
      <c r="A66" s="241" t="s">
        <v>99</v>
      </c>
      <c r="B66" s="232" t="s">
        <v>104</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v>461002</v>
      </c>
      <c r="AH66" s="157">
        <f>AG66</f>
        <v>461002</v>
      </c>
      <c r="AI66" s="162"/>
      <c r="AJ66" s="162"/>
      <c r="AK66" s="162">
        <v>94455</v>
      </c>
      <c r="AL66" s="162">
        <f>AK66</f>
        <v>94455</v>
      </c>
      <c r="AM66" s="162">
        <v>200353</v>
      </c>
      <c r="AN66" s="157">
        <f>AM66</f>
        <v>200353</v>
      </c>
      <c r="AO66" s="157">
        <v>26950</v>
      </c>
      <c r="AP66" s="157">
        <f>AO66</f>
        <v>26950</v>
      </c>
      <c r="AQ66" s="157">
        <f>AG66+AI66+AK66+AM66+AO66</f>
        <v>782760</v>
      </c>
      <c r="AR66" s="157">
        <f>AH66+AJ66+AL66+AN66+AP66</f>
        <v>782760</v>
      </c>
      <c r="AS66" s="155"/>
      <c r="AT66" s="25"/>
      <c r="AU66" s="26">
        <v>202194</v>
      </c>
      <c r="AV66" s="157">
        <f>AU66</f>
        <v>202194</v>
      </c>
      <c r="AW66" s="157"/>
      <c r="AX66" s="162"/>
      <c r="AY66" s="162"/>
      <c r="AZ66" s="162"/>
      <c r="BA66" s="157">
        <f>'Phụ lục số I'!D66</f>
        <v>650315</v>
      </c>
      <c r="BB66" s="252">
        <f>'Phụ lục số I'!J66</f>
        <v>1160089</v>
      </c>
      <c r="BC66" s="157">
        <f>'Phụ lục số I'!Q66</f>
        <v>3033239</v>
      </c>
      <c r="BD66" s="157">
        <f>BC66</f>
        <v>3033239</v>
      </c>
      <c r="BE66" s="152">
        <f>AU66+AW66+AY66+BA66+BC66</f>
        <v>3885748</v>
      </c>
      <c r="BF66" s="152">
        <f t="shared" ref="BF66" si="234">AV66+AX66+AZ66+BB66+BD66</f>
        <v>4395522</v>
      </c>
      <c r="BG66" s="155"/>
      <c r="BH66" s="25"/>
      <c r="BI66" s="288">
        <f>'Phụ lục số I'!W66</f>
        <v>3033239</v>
      </c>
      <c r="BJ66" s="152">
        <f t="shared" si="198"/>
        <v>3033239</v>
      </c>
      <c r="BK66" s="152">
        <f>'Phụ lục số I'!AC66</f>
        <v>3033239</v>
      </c>
      <c r="BL66" s="152">
        <f t="shared" si="199"/>
        <v>3033239</v>
      </c>
      <c r="BM66" s="157">
        <f>'Phụ lục số I'!AI66</f>
        <v>3033239</v>
      </c>
      <c r="BN66" s="157">
        <f t="shared" si="200"/>
        <v>3033239</v>
      </c>
      <c r="BO66" s="157">
        <f>'Phụ lục số I'!AO66</f>
        <v>3033239</v>
      </c>
      <c r="BP66" s="157">
        <f t="shared" si="201"/>
        <v>3033239</v>
      </c>
      <c r="BQ66" s="157">
        <f>'Phụ lục số I'!AU66</f>
        <v>3033239</v>
      </c>
      <c r="BR66" s="157">
        <f t="shared" si="202"/>
        <v>3033239</v>
      </c>
      <c r="BS66" s="157">
        <f t="shared" ref="BS66" si="235">BI66+BK66+BM66+BO66+BQ66</f>
        <v>15166195</v>
      </c>
      <c r="BT66" s="157">
        <f t="shared" ref="BT66" si="236">BJ66+BL66+BN66+BP66+BR66</f>
        <v>15166195</v>
      </c>
      <c r="BU66" s="155"/>
      <c r="BV66" s="25"/>
      <c r="BY66" s="1" t="e">
        <f t="shared" si="22"/>
        <v>#DIV/0!</v>
      </c>
      <c r="BZ66" s="816" t="e">
        <f t="shared" si="23"/>
        <v>#DIV/0!</v>
      </c>
    </row>
    <row r="67" spans="1:78" hidden="1">
      <c r="A67" s="241" t="s">
        <v>101</v>
      </c>
      <c r="B67" s="232" t="s">
        <v>105</v>
      </c>
      <c r="C67" s="221"/>
      <c r="D67" s="251"/>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7"/>
      <c r="AC67" s="157"/>
      <c r="AD67" s="157"/>
      <c r="AE67" s="155"/>
      <c r="AF67" s="280"/>
      <c r="AG67" s="26">
        <v>958088</v>
      </c>
      <c r="AH67" s="157">
        <f>AG67</f>
        <v>958088</v>
      </c>
      <c r="AI67" s="162">
        <v>297</v>
      </c>
      <c r="AJ67" s="162">
        <f>AI67</f>
        <v>297</v>
      </c>
      <c r="AK67" s="162">
        <f>245237</f>
        <v>245237</v>
      </c>
      <c r="AL67" s="162">
        <f>AK67</f>
        <v>245237</v>
      </c>
      <c r="AM67" s="162">
        <f>423993</f>
        <v>423993</v>
      </c>
      <c r="AN67" s="157">
        <f>AM67</f>
        <v>423993</v>
      </c>
      <c r="AO67" s="157">
        <f>267388+8157</f>
        <v>275545</v>
      </c>
      <c r="AP67" s="157">
        <f>AO67</f>
        <v>275545</v>
      </c>
      <c r="AQ67" s="157">
        <f t="shared" ref="AQ67:AQ69" si="237">AG67+AI67+AK67+AM67+AO67</f>
        <v>1903160</v>
      </c>
      <c r="AR67" s="157">
        <f t="shared" ref="AR67:AR69" si="238">AH67+AJ67+AL67+AN67+AP67</f>
        <v>1903160</v>
      </c>
      <c r="AS67" s="155"/>
      <c r="AT67" s="25"/>
      <c r="AU67" s="26"/>
      <c r="AV67" s="157"/>
      <c r="AW67" s="157"/>
      <c r="AX67" s="162"/>
      <c r="AY67" s="162"/>
      <c r="AZ67" s="162"/>
      <c r="BA67" s="157"/>
      <c r="BB67" s="252"/>
      <c r="BC67" s="157">
        <f>'Phụ lục số I'!Q67</f>
        <v>379266</v>
      </c>
      <c r="BD67" s="157">
        <f>BC67</f>
        <v>379266</v>
      </c>
      <c r="BE67" s="152">
        <f>AU67+AW67+AY67+BA67+BC67</f>
        <v>379266</v>
      </c>
      <c r="BF67" s="152">
        <f t="shared" ref="BF67" si="239">AV67+AX67+AZ67+BB67+BD67</f>
        <v>379266</v>
      </c>
      <c r="BG67" s="155"/>
      <c r="BH67" s="25"/>
      <c r="BI67" s="288">
        <f>'Phụ lục số I'!W67</f>
        <v>379266</v>
      </c>
      <c r="BJ67" s="152">
        <f t="shared" si="198"/>
        <v>379266</v>
      </c>
      <c r="BK67" s="152">
        <f>'Phụ lục số I'!AC67</f>
        <v>379266</v>
      </c>
      <c r="BL67" s="152">
        <f t="shared" si="199"/>
        <v>379266</v>
      </c>
      <c r="BM67" s="157">
        <f>'Phụ lục số I'!AI67</f>
        <v>0</v>
      </c>
      <c r="BN67" s="157">
        <f t="shared" si="200"/>
        <v>0</v>
      </c>
      <c r="BO67" s="157">
        <f>'Phụ lục số I'!AO67</f>
        <v>0</v>
      </c>
      <c r="BP67" s="157">
        <f t="shared" si="201"/>
        <v>0</v>
      </c>
      <c r="BQ67" s="157">
        <f>'Phụ lục số I'!AU67</f>
        <v>0</v>
      </c>
      <c r="BR67" s="157">
        <f t="shared" si="202"/>
        <v>0</v>
      </c>
      <c r="BS67" s="157">
        <f t="shared" ref="BS67:BS69" si="240">BI67+BK67+BM67+BO67+BQ67</f>
        <v>758532</v>
      </c>
      <c r="BT67" s="157">
        <f t="shared" ref="BT67:BT69" si="241">BJ67+BL67+BN67+BP67+BR67</f>
        <v>758532</v>
      </c>
      <c r="BU67" s="155"/>
      <c r="BV67" s="25"/>
      <c r="BY67" s="1" t="e">
        <f t="shared" si="22"/>
        <v>#DIV/0!</v>
      </c>
      <c r="BZ67" s="816" t="e">
        <f t="shared" si="23"/>
        <v>#DIV/0!</v>
      </c>
    </row>
    <row r="68" spans="1:78" s="4" customFormat="1">
      <c r="A68" s="226" t="s">
        <v>44</v>
      </c>
      <c r="B68" s="227" t="s">
        <v>45</v>
      </c>
      <c r="C68" s="221"/>
      <c r="D68" s="251"/>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42"/>
      <c r="AC68" s="142"/>
      <c r="AD68" s="142"/>
      <c r="AE68" s="158"/>
      <c r="AF68" s="281"/>
      <c r="AG68" s="17">
        <v>344450</v>
      </c>
      <c r="AH68" s="142">
        <f>AG68</f>
        <v>344450</v>
      </c>
      <c r="AI68" s="163"/>
      <c r="AJ68" s="163"/>
      <c r="AK68" s="163">
        <v>236361</v>
      </c>
      <c r="AL68" s="163">
        <v>236361</v>
      </c>
      <c r="AM68" s="163">
        <v>353947</v>
      </c>
      <c r="AN68" s="142">
        <f>AM68</f>
        <v>353947</v>
      </c>
      <c r="AO68" s="142">
        <f>418294</f>
        <v>418294</v>
      </c>
      <c r="AP68" s="142">
        <f>AO68</f>
        <v>418294</v>
      </c>
      <c r="AQ68" s="142">
        <f>AG68+AI68+AK68+AM68+AO68</f>
        <v>1353052</v>
      </c>
      <c r="AR68" s="142">
        <f t="shared" si="238"/>
        <v>1353052</v>
      </c>
      <c r="AS68" s="158"/>
      <c r="AT68" s="187" t="e">
        <f>(((AH68/AB68)*(AJ68/AH68)*(AL68/AJ68)*(AN68/AL68)*(AP68/AN68))^(1/5))-1</f>
        <v>#DIV/0!</v>
      </c>
      <c r="AU68" s="18">
        <v>816873</v>
      </c>
      <c r="AV68" s="142">
        <f>AU68</f>
        <v>816873</v>
      </c>
      <c r="AW68" s="142">
        <v>179391</v>
      </c>
      <c r="AX68" s="163">
        <f>AW68</f>
        <v>179391</v>
      </c>
      <c r="AY68" s="163"/>
      <c r="AZ68" s="163"/>
      <c r="BA68" s="142">
        <f>'Phụ lục số I'!D68</f>
        <v>886000</v>
      </c>
      <c r="BB68" s="192">
        <f>'Phụ lục số I'!J68</f>
        <v>1156399</v>
      </c>
      <c r="BC68" s="142">
        <f>'Phụ lục số I'!Q68</f>
        <v>0.40000000001455194</v>
      </c>
      <c r="BD68" s="142">
        <f>BC68</f>
        <v>0.40000000001455194</v>
      </c>
      <c r="BE68" s="147">
        <f>AU68+AW68+AY68+BA68+BC68</f>
        <v>1882264.4</v>
      </c>
      <c r="BF68" s="147">
        <f t="shared" ref="BF68" si="242">AV68+AX68+AZ68+BB68+BD68</f>
        <v>2152663.4</v>
      </c>
      <c r="BG68" s="158"/>
      <c r="BH68" s="247" t="e">
        <f>(((AV68/AP68)*(AX68/AV68)*(AZ68/AX68)*(BB68/AZ68)*(BD68/BB68))^(1/5))-1</f>
        <v>#DIV/0!</v>
      </c>
      <c r="BI68" s="289">
        <f>'Phụ lục số I'!W68</f>
        <v>0</v>
      </c>
      <c r="BJ68" s="147">
        <f t="shared" si="198"/>
        <v>0</v>
      </c>
      <c r="BK68" s="147">
        <f>'Phụ lục số I'!AC68</f>
        <v>0</v>
      </c>
      <c r="BL68" s="147">
        <f t="shared" si="199"/>
        <v>0</v>
      </c>
      <c r="BM68" s="142">
        <f>'Phụ lục số I'!AI68</f>
        <v>0</v>
      </c>
      <c r="BN68" s="142">
        <f t="shared" si="200"/>
        <v>0</v>
      </c>
      <c r="BO68" s="142">
        <f>'Phụ lục số I'!AO68</f>
        <v>1088757.7498882432</v>
      </c>
      <c r="BP68" s="142">
        <f t="shared" si="201"/>
        <v>1088757.7498882432</v>
      </c>
      <c r="BQ68" s="142">
        <f>'Phụ lục số I'!AU68</f>
        <v>1572055.4252528162</v>
      </c>
      <c r="BR68" s="142">
        <f t="shared" si="202"/>
        <v>1572055.4252528162</v>
      </c>
      <c r="BS68" s="142">
        <f t="shared" si="240"/>
        <v>2660813.1751410593</v>
      </c>
      <c r="BT68" s="142">
        <f t="shared" si="241"/>
        <v>2660813.1751410593</v>
      </c>
      <c r="BU68" s="158"/>
      <c r="BV68" s="268"/>
      <c r="BY68" s="1" t="e">
        <f t="shared" si="22"/>
        <v>#DIV/0!</v>
      </c>
      <c r="BZ68" s="816" t="e">
        <f t="shared" si="23"/>
        <v>#DIV/0!</v>
      </c>
    </row>
    <row r="69" spans="1:78">
      <c r="A69" s="226" t="s">
        <v>46</v>
      </c>
      <c r="B69" s="227" t="s">
        <v>47</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c r="AH69" s="157"/>
      <c r="AI69" s="162"/>
      <c r="AJ69" s="162"/>
      <c r="AK69" s="163"/>
      <c r="AL69" s="163"/>
      <c r="AM69" s="163">
        <v>15000</v>
      </c>
      <c r="AN69" s="142">
        <v>6000</v>
      </c>
      <c r="AO69" s="269">
        <f>30900</f>
        <v>30900</v>
      </c>
      <c r="AP69" s="269">
        <v>20568</v>
      </c>
      <c r="AQ69" s="142">
        <f t="shared" si="237"/>
        <v>45900</v>
      </c>
      <c r="AR69" s="142">
        <f t="shared" si="238"/>
        <v>26568</v>
      </c>
      <c r="AS69" s="155"/>
      <c r="AT69" s="187" t="e">
        <f>(((AH69/AB69)*(AJ69/AH69)*(AL69/AJ69)*(AN69/AL69)*(AP69/AN69))^(1/5))-1</f>
        <v>#DIV/0!</v>
      </c>
      <c r="AU69" s="17">
        <v>61200</v>
      </c>
      <c r="AV69" s="142">
        <f>46500</f>
        <v>46500</v>
      </c>
      <c r="AW69" s="142">
        <v>48300</v>
      </c>
      <c r="AX69" s="270">
        <v>39927</v>
      </c>
      <c r="AY69" s="163">
        <f>31500</f>
        <v>31500</v>
      </c>
      <c r="AZ69" s="163">
        <f>18425</f>
        <v>18425</v>
      </c>
      <c r="BA69" s="157"/>
      <c r="BB69" s="252"/>
      <c r="BC69" s="142">
        <f>'Phụ lục số I'!Q69</f>
        <v>0</v>
      </c>
      <c r="BD69" s="142">
        <f>BC69</f>
        <v>0</v>
      </c>
      <c r="BE69" s="147">
        <f>AU69+AW69+AY69+BA69+BC69</f>
        <v>141000</v>
      </c>
      <c r="BF69" s="147">
        <f t="shared" ref="BF69" si="243">AV69+AX69+AZ69+BB69+BD69</f>
        <v>104852</v>
      </c>
      <c r="BG69" s="155"/>
      <c r="BH69" s="247" t="e">
        <f>(((AV69/AP69)*(AX69/AV69)*(AZ69/AX69)*(BB69/AZ69)*(BD69/BB69))^(1/5))-1</f>
        <v>#DIV/0!</v>
      </c>
      <c r="BI69" s="289">
        <f>'Phụ lục số I'!W69</f>
        <v>0</v>
      </c>
      <c r="BJ69" s="147">
        <f t="shared" si="198"/>
        <v>0</v>
      </c>
      <c r="BK69" s="147">
        <f>'Phụ lục số I'!AC69</f>
        <v>0</v>
      </c>
      <c r="BL69" s="147">
        <f t="shared" si="199"/>
        <v>0</v>
      </c>
      <c r="BM69" s="142">
        <f>'Phụ lục số I'!AI69</f>
        <v>0</v>
      </c>
      <c r="BN69" s="142">
        <f t="shared" si="200"/>
        <v>0</v>
      </c>
      <c r="BO69" s="142">
        <f>'Phụ lục số I'!AO69</f>
        <v>0</v>
      </c>
      <c r="BP69" s="142">
        <f t="shared" si="201"/>
        <v>0</v>
      </c>
      <c r="BQ69" s="142">
        <f>'Phụ lục số I'!AU69</f>
        <v>0</v>
      </c>
      <c r="BR69" s="142">
        <f t="shared" si="202"/>
        <v>0</v>
      </c>
      <c r="BS69" s="142">
        <f t="shared" si="240"/>
        <v>0</v>
      </c>
      <c r="BT69" s="142">
        <f t="shared" si="241"/>
        <v>0</v>
      </c>
      <c r="BU69" s="155"/>
      <c r="BV69" s="25"/>
      <c r="BY69" s="1">
        <f t="shared" si="22"/>
        <v>0</v>
      </c>
      <c r="BZ69" s="816">
        <f t="shared" si="23"/>
        <v>-1</v>
      </c>
    </row>
    <row r="70" spans="1:78" ht="16.2" thickBot="1">
      <c r="A70" s="242"/>
      <c r="B70" s="243" t="s">
        <v>48</v>
      </c>
      <c r="C70" s="277"/>
      <c r="D70" s="271"/>
      <c r="E70" s="22"/>
      <c r="F70" s="22"/>
      <c r="G70" s="22"/>
      <c r="H70" s="22"/>
      <c r="I70" s="22"/>
      <c r="J70" s="22"/>
      <c r="K70" s="22"/>
      <c r="L70" s="22"/>
      <c r="M70" s="22"/>
      <c r="N70" s="22"/>
      <c r="O70" s="22"/>
      <c r="P70" s="22"/>
      <c r="Q70" s="22"/>
      <c r="R70" s="22"/>
      <c r="S70" s="22"/>
      <c r="T70" s="22"/>
      <c r="U70" s="22"/>
      <c r="V70" s="22"/>
      <c r="W70" s="22"/>
      <c r="X70" s="22"/>
      <c r="Y70" s="22"/>
      <c r="Z70" s="22"/>
      <c r="AA70" s="22"/>
      <c r="AB70" s="21">
        <f>AB69+AB68+AB55+AB10</f>
        <v>6882941</v>
      </c>
      <c r="AC70" s="272"/>
      <c r="AD70" s="21">
        <f>AD69+AD68+AD55+AD10</f>
        <v>31430829.517473999</v>
      </c>
      <c r="AE70" s="22"/>
      <c r="AF70" s="285"/>
      <c r="AG70" s="20">
        <f>AG69+AG68+AG55+AG10</f>
        <v>9112986</v>
      </c>
      <c r="AH70" s="21">
        <f t="shared" ref="AH70" si="244">AH69+AH68+AH55+AH10</f>
        <v>9937297.0207310021</v>
      </c>
      <c r="AI70" s="21">
        <f>AI69+AI68+AI55+AI10</f>
        <v>12040855.130686</v>
      </c>
      <c r="AJ70" s="21">
        <f t="shared" ref="AJ70" si="245">AJ69+AJ68+AJ55+AJ10</f>
        <v>12258370.741723999</v>
      </c>
      <c r="AK70" s="21">
        <f>AK69+AK68+AK55+AK10</f>
        <v>13622615</v>
      </c>
      <c r="AL70" s="21">
        <f t="shared" ref="AL70:AN70" si="246">AL69+AL68+AL55+AL10</f>
        <v>13915172.800000001</v>
      </c>
      <c r="AM70" s="21">
        <f>AM69+AM68+AM55+AM10</f>
        <v>13952670</v>
      </c>
      <c r="AN70" s="21">
        <f t="shared" si="246"/>
        <v>15632677</v>
      </c>
      <c r="AO70" s="21">
        <f>AO69+AO68+AO55+AO10</f>
        <v>15462990</v>
      </c>
      <c r="AP70" s="21">
        <f t="shared" ref="AP70:AR70" si="247">AP69+AP68+AP55+AP10</f>
        <v>15389384</v>
      </c>
      <c r="AQ70" s="21">
        <f>AQ69+AQ68+AQ55+AQ10</f>
        <v>64192116.130686</v>
      </c>
      <c r="AR70" s="21">
        <f t="shared" si="247"/>
        <v>67132901.562454998</v>
      </c>
      <c r="AS70" s="22"/>
      <c r="AT70" s="23"/>
      <c r="AU70" s="20">
        <f>AU69+AU68+AU55+AU10</f>
        <v>15784569</v>
      </c>
      <c r="AV70" s="21">
        <f t="shared" ref="AV70:BF70" si="248">AV69+AV68+AV55+AV10</f>
        <v>14842275.517154999</v>
      </c>
      <c r="AW70" s="21">
        <f>AW69+AW68+AW55+AW10</f>
        <v>15063453</v>
      </c>
      <c r="AX70" s="21">
        <f t="shared" si="248"/>
        <v>16113461.929570999</v>
      </c>
      <c r="AY70" s="21">
        <f>AY69+AY68+AY55+AY10</f>
        <v>16705995</v>
      </c>
      <c r="AZ70" s="21">
        <f t="shared" si="248"/>
        <v>17444000.671286002</v>
      </c>
      <c r="BA70" s="21">
        <f t="shared" si="248"/>
        <v>19816533.162</v>
      </c>
      <c r="BB70" s="205">
        <f t="shared" si="248"/>
        <v>20036705.731416665</v>
      </c>
      <c r="BC70" s="21">
        <f t="shared" si="248"/>
        <v>22982475.899999999</v>
      </c>
      <c r="BD70" s="21">
        <f t="shared" si="248"/>
        <v>22982475.899999999</v>
      </c>
      <c r="BE70" s="206">
        <f t="shared" si="248"/>
        <v>80697026.361999989</v>
      </c>
      <c r="BF70" s="206">
        <f t="shared" si="248"/>
        <v>81762920.049428672</v>
      </c>
      <c r="BG70" s="22"/>
      <c r="BH70" s="23"/>
      <c r="BI70" s="292">
        <f t="shared" ref="BI70:BR70" si="249">BI69+BI68+BI55+BI10</f>
        <v>23153476.030000001</v>
      </c>
      <c r="BJ70" s="206">
        <f t="shared" si="249"/>
        <v>23153476.030000001</v>
      </c>
      <c r="BK70" s="206">
        <f>BK69+BK68+BK55+BK10</f>
        <v>23343476.170000002</v>
      </c>
      <c r="BL70" s="206">
        <f t="shared" si="249"/>
        <v>23343476.170000002</v>
      </c>
      <c r="BM70" s="206">
        <f t="shared" si="249"/>
        <v>25973209.800000001</v>
      </c>
      <c r="BN70" s="206">
        <f t="shared" si="249"/>
        <v>25973209.800000001</v>
      </c>
      <c r="BO70" s="206">
        <f t="shared" si="249"/>
        <v>28140967.549888246</v>
      </c>
      <c r="BP70" s="206">
        <f t="shared" si="249"/>
        <v>28140967.549888246</v>
      </c>
      <c r="BQ70" s="206">
        <f t="shared" si="249"/>
        <v>29872265.225252815</v>
      </c>
      <c r="BR70" s="206">
        <f t="shared" si="249"/>
        <v>29872265.225252815</v>
      </c>
      <c r="BS70" s="206">
        <f t="shared" ref="BS70:BT70" si="250">BS69+BS68+BS55+BS10</f>
        <v>130483394.77514106</v>
      </c>
      <c r="BT70" s="206">
        <f t="shared" si="250"/>
        <v>130483394.77514106</v>
      </c>
      <c r="BU70" s="22"/>
      <c r="BV70" s="23"/>
      <c r="BY70" s="1">
        <f t="shared" si="22"/>
        <v>1.1486301857576988</v>
      </c>
      <c r="BZ70" s="816">
        <f t="shared" si="23"/>
        <v>0.14863018575769882</v>
      </c>
    </row>
    <row r="71" spans="1:78">
      <c r="AB71" s="8"/>
      <c r="AC71" s="8"/>
      <c r="AD71" s="8"/>
      <c r="AG71" s="189"/>
      <c r="AH71" s="189"/>
      <c r="AI71" s="8"/>
      <c r="AJ71" s="8"/>
      <c r="AK71" s="189"/>
      <c r="AL71" s="189"/>
      <c r="AM71" s="189"/>
      <c r="AN71" s="189"/>
      <c r="AO71" s="189"/>
      <c r="AP71" s="189"/>
      <c r="AQ71" s="189"/>
      <c r="AR71" s="189"/>
    </row>
    <row r="72" spans="1:78">
      <c r="B72" s="4" t="s">
        <v>107</v>
      </c>
      <c r="AB72" s="7">
        <f>SUM(AB73:AB81)</f>
        <v>8838258.6639019996</v>
      </c>
      <c r="AC72" s="8"/>
      <c r="AD72" s="7">
        <f>SUM(AD73:AD81)</f>
        <v>36517913.181375995</v>
      </c>
      <c r="AG72" s="7">
        <f t="shared" ref="AG72:AR72" si="251">+AG73+AG77+AG78+AG79+AG80+AG81+AG82+AG83</f>
        <v>8730076</v>
      </c>
      <c r="AH72" s="7">
        <f t="shared" si="251"/>
        <v>8447273.7177469991</v>
      </c>
      <c r="AI72" s="7">
        <f t="shared" si="251"/>
        <v>10329155</v>
      </c>
      <c r="AJ72" s="7">
        <f t="shared" si="251"/>
        <v>10796707</v>
      </c>
      <c r="AK72" s="7">
        <f t="shared" si="251"/>
        <v>11991619</v>
      </c>
      <c r="AL72" s="7">
        <f t="shared" si="251"/>
        <v>12685452</v>
      </c>
      <c r="AM72" s="7">
        <f t="shared" si="251"/>
        <v>12319250</v>
      </c>
      <c r="AN72" s="7">
        <f t="shared" si="251"/>
        <v>13999340</v>
      </c>
      <c r="AO72" s="7">
        <f t="shared" si="251"/>
        <v>13655790</v>
      </c>
      <c r="AP72" s="7">
        <f t="shared" si="251"/>
        <v>13960616</v>
      </c>
      <c r="AQ72" s="7">
        <f t="shared" si="251"/>
        <v>57025890</v>
      </c>
      <c r="AR72" s="7">
        <f t="shared" si="251"/>
        <v>59889388.717747003</v>
      </c>
      <c r="AS72" s="8"/>
      <c r="AT72" s="188">
        <f>(((AH72/AB72)*(AJ72/AH72)*(AL72/AJ72)*(AN72/AL72)*(AP72/AN72))^(1/5))-1</f>
        <v>9.5740148666012548E-2</v>
      </c>
      <c r="AU72" s="7">
        <f t="shared" ref="AU72:BF72" si="252">+AU73+AU77+AU78+AU79+AU80+AU81+AU82+AU83</f>
        <v>14062909</v>
      </c>
      <c r="AV72" s="7">
        <f t="shared" si="252"/>
        <v>14127968</v>
      </c>
      <c r="AW72" s="7">
        <f t="shared" si="252"/>
        <v>14006153</v>
      </c>
      <c r="AX72" s="7">
        <f t="shared" si="252"/>
        <v>15229224</v>
      </c>
      <c r="AY72" s="7">
        <f t="shared" si="252"/>
        <v>15788495</v>
      </c>
      <c r="AZ72" s="7">
        <f t="shared" si="252"/>
        <v>16580611</v>
      </c>
      <c r="BA72" s="7">
        <f t="shared" si="252"/>
        <v>19035463.162</v>
      </c>
      <c r="BB72" s="7">
        <f t="shared" si="252"/>
        <v>18464033.032347649</v>
      </c>
      <c r="BC72" s="7">
        <f t="shared" si="252"/>
        <v>21909396.029745102</v>
      </c>
      <c r="BD72" s="7">
        <f t="shared" si="252"/>
        <v>21909395.629745103</v>
      </c>
      <c r="BE72" s="7">
        <f t="shared" si="252"/>
        <v>84802416.191745102</v>
      </c>
      <c r="BF72" s="7">
        <f t="shared" si="252"/>
        <v>86311231.662092745</v>
      </c>
      <c r="BG72" s="8"/>
      <c r="BH72" s="247">
        <f>(((AV72/AP72)*(AX72/AV72)*(AZ72/AX72)*(BB72/AZ72)*(BD72/BB72))^(1/5))-1</f>
        <v>9.4322083056891159E-2</v>
      </c>
      <c r="BI72" s="7">
        <f t="shared" ref="BI72:BS72" si="253">+BI73+BI77+BI78+BI79+BI80+BI81+BI82+BI83</f>
        <v>22059476.202691756</v>
      </c>
      <c r="BJ72" s="7">
        <f t="shared" si="253"/>
        <v>22059476.202691756</v>
      </c>
      <c r="BK72" s="7">
        <f t="shared" si="253"/>
        <v>22223556.197570272</v>
      </c>
      <c r="BL72" s="7">
        <f t="shared" si="253"/>
        <v>22223556.197570272</v>
      </c>
      <c r="BM72" s="7">
        <f t="shared" si="253"/>
        <v>24654958.697346758</v>
      </c>
      <c r="BN72" s="7">
        <f t="shared" si="253"/>
        <v>24654958.697346758</v>
      </c>
      <c r="BO72" s="7">
        <f t="shared" si="253"/>
        <v>25650237.048075903</v>
      </c>
      <c r="BP72" s="7">
        <f t="shared" si="253"/>
        <v>25650237.048075903</v>
      </c>
      <c r="BQ72" s="7">
        <f t="shared" si="253"/>
        <v>26805646.991756536</v>
      </c>
      <c r="BR72" s="7">
        <f t="shared" si="253"/>
        <v>26805646.991756536</v>
      </c>
      <c r="BS72" s="7">
        <f t="shared" si="253"/>
        <v>121393875.13744122</v>
      </c>
      <c r="BT72" s="7">
        <f>+BT73+BT77+BT78+BT79+BT80+BT81+BT82+BT83</f>
        <v>121393875.13744122</v>
      </c>
      <c r="BU72" s="8"/>
      <c r="BV72" s="247">
        <f>(((BJ72/BD72)*(BL72/BJ72)*(BN72/BL72)*(BP72/BN72)*(BR72/BP72))^(1/5))-1</f>
        <v>4.1164086355767626E-2</v>
      </c>
    </row>
    <row r="73" spans="1:78">
      <c r="B73" s="1" t="s">
        <v>108</v>
      </c>
      <c r="AB73" s="8">
        <v>4846821.6639019996</v>
      </c>
      <c r="AC73" s="8"/>
      <c r="AD73" s="8">
        <v>20649920.181375999</v>
      </c>
      <c r="AG73" s="8">
        <f>4452790+700000</f>
        <v>5152790</v>
      </c>
      <c r="AH73" s="9">
        <f>(3506282955487+1268806707581+94898054679)/1000000-AH81-AH82</f>
        <v>4869987.717747</v>
      </c>
      <c r="AI73" s="8">
        <v>4898300</v>
      </c>
      <c r="AJ73" s="9">
        <f>(3553055+1709168+103629)-AJ81-AJ82-AJ83</f>
        <v>5341371</v>
      </c>
      <c r="AK73" s="8">
        <v>5060304</v>
      </c>
      <c r="AL73" s="9">
        <f>(3565319+2065768+123050)-AL81-AL82-AL83</f>
        <v>5734461</v>
      </c>
      <c r="AM73" s="8">
        <v>5466580</v>
      </c>
      <c r="AN73" s="9">
        <f>(4116292+2897679+132699)-AN81-AN82-AN83</f>
        <v>7096349</v>
      </c>
      <c r="AO73" s="190">
        <v>6718700</v>
      </c>
      <c r="AP73" s="9">
        <f>(4479403+2408276+135847)-AP81-AP82-AP83</f>
        <v>7003663</v>
      </c>
      <c r="AQ73" s="157">
        <f t="shared" ref="AQ73" si="254">AG73+AI73+AK73+AM73+AO73</f>
        <v>27296674</v>
      </c>
      <c r="AR73" s="142">
        <f>AH73+AJ73+AL73+AN73+AP73</f>
        <v>30045831.717746999</v>
      </c>
      <c r="AS73" s="8"/>
      <c r="AT73" s="188">
        <f>(((AH73/AB73)*(AJ73/AH73)*(AL73/AJ73)*(AN73/AL73)*(AP73/AN73))^(1/5))-1</f>
        <v>7.6399878464123105E-2</v>
      </c>
      <c r="AU73" s="190">
        <v>6480440</v>
      </c>
      <c r="AV73" s="9">
        <f>3815219+2611066+119214-AV81-AV82-AV83</f>
        <v>6073802</v>
      </c>
      <c r="AW73" s="190">
        <v>5809777</v>
      </c>
      <c r="AX73" s="293">
        <f>3835534+3042412+154902-AX81-AX82-AX83</f>
        <v>6865963</v>
      </c>
      <c r="AY73" s="190">
        <f>6704000</f>
        <v>6704000</v>
      </c>
      <c r="AZ73" s="9">
        <f>(4091124+3262512+142480)-AZ81-AZ82-AZ83</f>
        <v>7489211</v>
      </c>
      <c r="BA73" s="294">
        <f>'Phụ lục số I'!G10</f>
        <v>8892984.1620000005</v>
      </c>
      <c r="BB73" s="207">
        <f>'Phụ lục số I'!N10</f>
        <v>8321554.0323476475</v>
      </c>
      <c r="BC73" s="8">
        <f>'Phụ lục số I'!T10</f>
        <v>8582919.8297451045</v>
      </c>
      <c r="BD73" s="207">
        <f>'Phụ lục số I'!T10</f>
        <v>8582919.8297451045</v>
      </c>
      <c r="BE73" s="8">
        <f>AU73+AW73+AY73+BA73+BC73</f>
        <v>36470120.991745107</v>
      </c>
      <c r="BF73" s="8">
        <f t="shared" ref="BF73" si="255">AV73+AX73+AZ73+BB73+BD73</f>
        <v>37333449.862092756</v>
      </c>
      <c r="BG73" s="8"/>
      <c r="BH73" s="267">
        <f>(((AV73/AP73)*(AX73/AV73)*(AZ73/AX73)*(BB73/AZ73)*(BD73/BB73))^(1/5))-1</f>
        <v>4.1506448073111768E-2</v>
      </c>
      <c r="BI73" s="214">
        <f>'Phụ lục số I'!Z10</f>
        <v>8733000.4026917573</v>
      </c>
      <c r="BJ73" s="215">
        <f>'Phụ lục số I'!Z10</f>
        <v>8733000.4026917573</v>
      </c>
      <c r="BK73" s="8">
        <f>'Phụ lục số I'!AF10</f>
        <v>8897080.397570271</v>
      </c>
      <c r="BL73" s="215">
        <f>'Phụ lục số I'!AF10</f>
        <v>8897080.397570271</v>
      </c>
      <c r="BM73" s="8">
        <f>'Phụ lục số I'!AL10</f>
        <v>11707748.897346757</v>
      </c>
      <c r="BN73" s="207">
        <f>'Phụ lục số I'!AL10</f>
        <v>11707748.897346757</v>
      </c>
      <c r="BO73" s="8">
        <f>'Phụ lục số I'!AR10</f>
        <v>12703027.248075902</v>
      </c>
      <c r="BP73" s="207">
        <f>'Phụ lục số I'!AR10</f>
        <v>12703027.248075902</v>
      </c>
      <c r="BQ73" s="8">
        <f>'Phụ lục số I'!AX10</f>
        <v>13858437.191756533</v>
      </c>
      <c r="BR73" s="207">
        <f>'Phụ lục số I'!AX10</f>
        <v>13858437.191756533</v>
      </c>
      <c r="BS73" s="8">
        <f>BI73+BK73+BM73+BO73+BQ73</f>
        <v>55899294.137441218</v>
      </c>
      <c r="BT73" s="8">
        <f>BJ73+BL73+BN73+BP73+BR73</f>
        <v>55899294.137441218</v>
      </c>
      <c r="BU73" s="8"/>
      <c r="BV73" s="267">
        <f>(((BJ73/BD73)*(BL73/BJ73)*(BN73/BL73)*(BP73/BN73)*(BR73/BP73))^(1/5))-1</f>
        <v>0.10056536253961701</v>
      </c>
    </row>
    <row r="74" spans="1:78">
      <c r="B74" s="1" t="s">
        <v>234</v>
      </c>
      <c r="AB74" s="8"/>
      <c r="AC74" s="8"/>
      <c r="AD74" s="8"/>
      <c r="AG74" s="8"/>
      <c r="AH74" s="9"/>
      <c r="AI74" s="8"/>
      <c r="AJ74" s="9"/>
      <c r="AK74" s="8"/>
      <c r="AL74" s="9"/>
      <c r="AM74" s="8"/>
      <c r="AN74" s="9"/>
      <c r="AO74" s="190"/>
      <c r="AP74" s="9"/>
      <c r="AQ74" s="157"/>
      <c r="AR74" s="142"/>
      <c r="AS74" s="8"/>
      <c r="AT74" s="188"/>
      <c r="AU74" s="190"/>
      <c r="AV74" s="9"/>
      <c r="AW74" s="190"/>
      <c r="AX74" s="293"/>
      <c r="AY74" s="190"/>
      <c r="AZ74" s="9"/>
      <c r="BA74" s="294"/>
      <c r="BB74" s="207"/>
      <c r="BC74" s="8"/>
      <c r="BD74" s="207"/>
      <c r="BE74" s="8"/>
      <c r="BF74" s="8"/>
      <c r="BG74" s="8"/>
      <c r="BH74" s="267"/>
      <c r="BI74" s="214"/>
      <c r="BJ74" s="215"/>
      <c r="BK74" s="8"/>
      <c r="BL74" s="215"/>
      <c r="BM74" s="8"/>
      <c r="BN74" s="207"/>
      <c r="BO74" s="8"/>
      <c r="BP74" s="207"/>
      <c r="BQ74" s="8"/>
      <c r="BR74" s="207"/>
      <c r="BS74" s="8"/>
      <c r="BT74" s="8"/>
      <c r="BU74" s="8"/>
      <c r="BV74" s="267"/>
    </row>
    <row r="75" spans="1:78" s="5" customFormat="1" ht="16.2">
      <c r="B75" s="5" t="s">
        <v>370</v>
      </c>
      <c r="AB75" s="377"/>
      <c r="AC75" s="377"/>
      <c r="AD75" s="377"/>
      <c r="AG75" s="377">
        <f>AG73-AG76</f>
        <v>1493000</v>
      </c>
      <c r="AH75" s="377">
        <f t="shared" ref="AH75:AP75" si="256">AH73-AH76</f>
        <v>1072211.5003740005</v>
      </c>
      <c r="AI75" s="377">
        <f t="shared" si="256"/>
        <v>2228985</v>
      </c>
      <c r="AJ75" s="377">
        <f t="shared" si="256"/>
        <v>2810696.7724513123</v>
      </c>
      <c r="AK75" s="377">
        <f t="shared" si="256"/>
        <v>2383420</v>
      </c>
      <c r="AL75" s="377">
        <f t="shared" si="256"/>
        <v>3142990.608</v>
      </c>
      <c r="AM75" s="377">
        <f t="shared" si="256"/>
        <v>2563830</v>
      </c>
      <c r="AN75" s="377">
        <f t="shared" si="256"/>
        <v>3619157.6919999998</v>
      </c>
      <c r="AO75" s="377">
        <f t="shared" si="256"/>
        <v>3093525</v>
      </c>
      <c r="AP75" s="377">
        <f t="shared" si="256"/>
        <v>3837115.44</v>
      </c>
      <c r="AQ75" s="377">
        <f>AQ73-AQ76</f>
        <v>11762760</v>
      </c>
      <c r="AR75" s="377">
        <f>AR73-AR76</f>
        <v>14482172.01282531</v>
      </c>
      <c r="AS75" s="377"/>
      <c r="AT75" s="378"/>
      <c r="AU75" s="377">
        <f t="shared" ref="AU75:BF75" si="257">AU73-AU76</f>
        <v>3144040</v>
      </c>
      <c r="AV75" s="377">
        <f t="shared" si="257"/>
        <v>3483009.170746</v>
      </c>
      <c r="AW75" s="377">
        <f t="shared" si="257"/>
        <v>3155737</v>
      </c>
      <c r="AX75" s="377">
        <f t="shared" si="257"/>
        <v>3939849.8339069998</v>
      </c>
      <c r="AY75" s="377">
        <f t="shared" si="257"/>
        <v>3379000</v>
      </c>
      <c r="AZ75" s="848">
        <f t="shared" si="257"/>
        <v>4165738.2</v>
      </c>
      <c r="BA75" s="377">
        <f t="shared" si="257"/>
        <v>5309454.1620000005</v>
      </c>
      <c r="BB75" s="377">
        <f t="shared" si="257"/>
        <v>5175454.0323476475</v>
      </c>
      <c r="BC75" s="377">
        <f t="shared" si="257"/>
        <v>4815919.8297451045</v>
      </c>
      <c r="BD75" s="377">
        <f t="shared" si="257"/>
        <v>4815919.8297451045</v>
      </c>
      <c r="BE75" s="377">
        <f t="shared" si="257"/>
        <v>22870350.991745107</v>
      </c>
      <c r="BF75" s="377">
        <f t="shared" si="257"/>
        <v>24936446.110745754</v>
      </c>
      <c r="BG75" s="850">
        <f>+BF75/AR75</f>
        <v>1.7218719739457735</v>
      </c>
      <c r="BH75" s="379"/>
      <c r="BI75" s="377">
        <f t="shared" ref="BI75:BT75" si="258">BI73-BI76</f>
        <v>4763200.4026917573</v>
      </c>
      <c r="BJ75" s="377">
        <f t="shared" si="258"/>
        <v>4763200.4026917573</v>
      </c>
      <c r="BK75" s="377">
        <f t="shared" si="258"/>
        <v>4778980.397570271</v>
      </c>
      <c r="BL75" s="377">
        <f t="shared" si="258"/>
        <v>4778980.397570271</v>
      </c>
      <c r="BM75" s="377">
        <f t="shared" si="258"/>
        <v>6388648.8973467574</v>
      </c>
      <c r="BN75" s="377">
        <f t="shared" si="258"/>
        <v>6388648.8973467574</v>
      </c>
      <c r="BO75" s="377">
        <f t="shared" si="258"/>
        <v>6893927.2480759025</v>
      </c>
      <c r="BP75" s="377">
        <f t="shared" si="258"/>
        <v>6893927.2480759025</v>
      </c>
      <c r="BQ75" s="377">
        <f t="shared" si="258"/>
        <v>7491337.1917565335</v>
      </c>
      <c r="BR75" s="377">
        <f t="shared" si="258"/>
        <v>7491337.1917565335</v>
      </c>
      <c r="BS75" s="377">
        <f t="shared" si="258"/>
        <v>30316094.137441218</v>
      </c>
      <c r="BT75" s="377">
        <f t="shared" si="258"/>
        <v>30316094.137441218</v>
      </c>
      <c r="BU75" s="377"/>
      <c r="BV75" s="379"/>
    </row>
    <row r="76" spans="1:78" s="5" customFormat="1" ht="16.2">
      <c r="B76" s="5" t="s">
        <v>371</v>
      </c>
      <c r="AB76" s="377"/>
      <c r="AC76" s="377"/>
      <c r="AD76" s="377"/>
      <c r="AG76" s="377">
        <f t="shared" ref="AG76:AH76" si="259">(AG14+AG15+AG16+AG20+AG21+AG22+AG26+AG27+AG31+AG32+AG33+AG39+AG40)</f>
        <v>3659790</v>
      </c>
      <c r="AH76" s="377">
        <f t="shared" si="259"/>
        <v>3797776.2173729995</v>
      </c>
      <c r="AI76" s="377">
        <f>(AI14+AI15+AI16+AI20+AI21+AI22+AI26+AI27+AI31+AI32+AI33+AI39+((AI40*37.2%)))-3015</f>
        <v>2669315</v>
      </c>
      <c r="AJ76" s="377">
        <f>(AJ14+AJ15+AJ16+AJ20+AJ21+AJ22+AJ26+AJ27+AJ31+AJ32+AJ33+AJ39+((AJ40*37.2%)))-3015</f>
        <v>2530674.2275486877</v>
      </c>
      <c r="AK76" s="377">
        <f>(AK14+AK15+AK16+AK20+AK21+AK22+AK26+AK27+AK31+AK32+AK33+AK39+((AK40*37.2%)))</f>
        <v>2676884</v>
      </c>
      <c r="AL76" s="377">
        <f>(AL14+AL15+AL16+AL20+AL21+AL22+AL26+AL27+AL31+AL32+AL33+AL39+((AL40*37.2%)))</f>
        <v>2591470.392</v>
      </c>
      <c r="AM76" s="377">
        <f>(AM14+AM15+AM16+AM20+AM21+AM22+AM26+AM27+AM31+AM32+AM33+AM39+((AM40*37.2%)))-160</f>
        <v>2902750</v>
      </c>
      <c r="AN76" s="377">
        <f>(AN14+AN15+AN16+AN20+AN21+AN22+AN26+AN27+AN31+AN32+AN33+AN39+((AN40*37.2%)))-160</f>
        <v>3477191.3080000002</v>
      </c>
      <c r="AO76" s="377">
        <f>(AO14+AO15+AO16+AO20+AO21+AO22+AO26+AO27+AO31+AO32+AO33+AO39+((AO40*37.2%)))-85445</f>
        <v>3625175</v>
      </c>
      <c r="AP76" s="377">
        <f>(AP14+AP15+AP16+AP20+AP21+AP22+AP26+AP27+AP31+AP32+AP33+AP39+((AP40*37.2%)))-85445</f>
        <v>3166547.56</v>
      </c>
      <c r="AQ76" s="377">
        <f>+AG76+AI76+AK76+AM76+AO76</f>
        <v>15533914</v>
      </c>
      <c r="AR76" s="377">
        <f>+AH76+AJ76+AL76+AN76+AP76</f>
        <v>15563659.704921689</v>
      </c>
      <c r="AS76" s="377"/>
      <c r="AT76" s="378"/>
      <c r="AU76" s="377">
        <f>(AU14+AU15+AU16+AU20+AU21+AU22+AU26+AU27+AU31+AU32+AU33+AU39+((AU40*37.2%)))</f>
        <v>3336400</v>
      </c>
      <c r="AV76" s="377">
        <f>(AV14+AV15+AV16+AV20+AV21+AV22+AV26+AV27+AV31+AV32+AV33+AV39+((AV40*37.2%)))</f>
        <v>2590792.829254</v>
      </c>
      <c r="AW76" s="751">
        <f>(AW14+AW15+AW16+AW20+AW21+AW22+AW26+AW27+AW31+AW32+AW33+AW39+((AW40*48%)))</f>
        <v>2654040</v>
      </c>
      <c r="AX76" s="751">
        <f>(AX14+AX15+AX16+AX20+AX21+AX22+AX26+AX27+AX31+AX32+AX33+AX39+((AX40*48%)))</f>
        <v>2926113.1660930002</v>
      </c>
      <c r="AY76" s="751">
        <f t="shared" ref="AY76:BF76" si="260">(AY14+AY15+AY16+AY20+AY21+AY22+AY26+AY27+AY31+AY32+AY33+AY39+((AY40*60%)))</f>
        <v>3325000</v>
      </c>
      <c r="AZ76" s="752">
        <f t="shared" si="260"/>
        <v>3323472.8</v>
      </c>
      <c r="BA76" s="751">
        <f t="shared" si="260"/>
        <v>3583530</v>
      </c>
      <c r="BB76" s="751">
        <f t="shared" si="260"/>
        <v>3146100</v>
      </c>
      <c r="BC76" s="752">
        <f t="shared" si="260"/>
        <v>3767000</v>
      </c>
      <c r="BD76" s="752">
        <f t="shared" si="260"/>
        <v>3767000</v>
      </c>
      <c r="BE76" s="752">
        <f t="shared" si="260"/>
        <v>13599770</v>
      </c>
      <c r="BF76" s="752">
        <f t="shared" si="260"/>
        <v>12397003.751347002</v>
      </c>
      <c r="BG76" s="850">
        <f>+BF76/AR76</f>
        <v>0.79653526139656616</v>
      </c>
      <c r="BH76" s="379"/>
      <c r="BI76" s="751">
        <f t="shared" ref="BI76:BT76" si="261">(BI14+BI15+BI16+BI20+BI21+BI22+BI26+BI27+BI31+BI32+BI33+BI39+((BI40*60%)))</f>
        <v>3969800</v>
      </c>
      <c r="BJ76" s="751">
        <f t="shared" si="261"/>
        <v>3969800</v>
      </c>
      <c r="BK76" s="751">
        <f t="shared" si="261"/>
        <v>4118100</v>
      </c>
      <c r="BL76" s="751">
        <f t="shared" si="261"/>
        <v>4118100</v>
      </c>
      <c r="BM76" s="751">
        <f t="shared" si="261"/>
        <v>5319100</v>
      </c>
      <c r="BN76" s="751">
        <f t="shared" si="261"/>
        <v>5319100</v>
      </c>
      <c r="BO76" s="751">
        <f t="shared" si="261"/>
        <v>5809100</v>
      </c>
      <c r="BP76" s="751">
        <f t="shared" si="261"/>
        <v>5809100</v>
      </c>
      <c r="BQ76" s="751">
        <f t="shared" si="261"/>
        <v>6367100</v>
      </c>
      <c r="BR76" s="751">
        <f t="shared" si="261"/>
        <v>6367100</v>
      </c>
      <c r="BS76" s="751">
        <f t="shared" si="261"/>
        <v>25583200</v>
      </c>
      <c r="BT76" s="751">
        <f t="shared" si="261"/>
        <v>25583200</v>
      </c>
      <c r="BU76" s="377"/>
      <c r="BV76" s="379"/>
    </row>
    <row r="77" spans="1:78">
      <c r="B77" s="1" t="s">
        <v>109</v>
      </c>
      <c r="AB77" s="8">
        <f>AB55</f>
        <v>1707984</v>
      </c>
      <c r="AC77" s="8"/>
      <c r="AD77" s="8">
        <f>AD55</f>
        <v>8885312</v>
      </c>
      <c r="AG77" s="8">
        <f t="shared" ref="AG77:AL77" si="262">AG55</f>
        <v>3232836</v>
      </c>
      <c r="AH77" s="8">
        <f t="shared" si="262"/>
        <v>3232836</v>
      </c>
      <c r="AI77" s="8">
        <f t="shared" si="262"/>
        <v>5430855</v>
      </c>
      <c r="AJ77" s="8">
        <f t="shared" si="262"/>
        <v>5430855</v>
      </c>
      <c r="AK77" s="8">
        <f t="shared" si="262"/>
        <v>6694954</v>
      </c>
      <c r="AL77" s="8">
        <f t="shared" si="262"/>
        <v>6694954</v>
      </c>
      <c r="AM77" s="8">
        <f>AM55</f>
        <v>6498723</v>
      </c>
      <c r="AN77" s="8">
        <f>AN55</f>
        <v>6498723</v>
      </c>
      <c r="AO77" s="8">
        <f t="shared" ref="AO77" si="263">AO55</f>
        <v>6518796</v>
      </c>
      <c r="AP77" s="8">
        <f>AO77</f>
        <v>6518796</v>
      </c>
      <c r="AQ77" s="157">
        <f t="shared" ref="AQ77:AQ82" si="264">AG77+AI77+AK77+AM77+AO77</f>
        <v>28376164</v>
      </c>
      <c r="AR77" s="157">
        <f t="shared" ref="AR77:AR82" si="265">AH77+AJ77+AL77+AN77+AP77</f>
        <v>28376164</v>
      </c>
      <c r="AS77" s="8"/>
      <c r="AT77" s="187">
        <f>(((AH77/AB77)*(AJ77/AH77)*(AL77/AJ77)*(AN77/AL77)*(AP77/AN77))^(1/5))-1</f>
        <v>0.3071839850812601</v>
      </c>
      <c r="AU77" s="8">
        <f>AU55</f>
        <v>6765596</v>
      </c>
      <c r="AV77" s="8">
        <f>AU77</f>
        <v>6765596</v>
      </c>
      <c r="AW77" s="8">
        <f>AW55</f>
        <v>8016985</v>
      </c>
      <c r="AX77" s="190">
        <f>AW77</f>
        <v>8016985</v>
      </c>
      <c r="AY77" s="8">
        <f>AY55</f>
        <v>9084495</v>
      </c>
      <c r="AZ77" s="8">
        <f>AY77</f>
        <v>9084495</v>
      </c>
      <c r="BA77" s="8">
        <f>BA55</f>
        <v>9256479</v>
      </c>
      <c r="BB77" s="8">
        <f>BA77</f>
        <v>9256479</v>
      </c>
      <c r="BC77" s="8">
        <f>BC55</f>
        <v>13326475.800000001</v>
      </c>
      <c r="BD77" s="8">
        <f>BC77</f>
        <v>13326475.800000001</v>
      </c>
      <c r="BE77" s="8">
        <f>AU77+AW77+AY77+BA77+BC77</f>
        <v>46450030.799999997</v>
      </c>
      <c r="BF77" s="8">
        <f t="shared" ref="BF77" si="266">AV77+AX77+AZ77+BB77+BD77</f>
        <v>46450030.799999997</v>
      </c>
      <c r="BG77" s="8"/>
      <c r="BH77" s="267">
        <f>(((AV77/AP77)*(AX77/AV77)*(AZ77/AX77)*(BB77/AZ77)*(BD77/BB77))^(1/5))-1</f>
        <v>0.15374434379054081</v>
      </c>
      <c r="BI77" s="214">
        <f>BI55</f>
        <v>13326475.800000001</v>
      </c>
      <c r="BJ77" s="214">
        <f>BI77</f>
        <v>13326475.800000001</v>
      </c>
      <c r="BK77" s="214">
        <f>BK55</f>
        <v>13326475.800000001</v>
      </c>
      <c r="BL77" s="214">
        <f>BK77</f>
        <v>13326475.800000001</v>
      </c>
      <c r="BM77" s="214">
        <f t="shared" ref="BM77" si="267">BM55</f>
        <v>12947209.800000001</v>
      </c>
      <c r="BN77" s="214">
        <f t="shared" ref="BN77" si="268">BM77</f>
        <v>12947209.800000001</v>
      </c>
      <c r="BO77" s="214">
        <f t="shared" ref="BO77" si="269">BO55</f>
        <v>12947209.800000001</v>
      </c>
      <c r="BP77" s="214">
        <f t="shared" ref="BP77" si="270">BO77</f>
        <v>12947209.800000001</v>
      </c>
      <c r="BQ77" s="214">
        <f>BQ55</f>
        <v>12947209.800000001</v>
      </c>
      <c r="BR77" s="214">
        <f>BQ77</f>
        <v>12947209.800000001</v>
      </c>
      <c r="BS77" s="8">
        <f>BI77+BK77+BM77+BO77+BQ77</f>
        <v>65494581</v>
      </c>
      <c r="BT77" s="8">
        <f>BJ77+BL77+BN77+BP77+BR77</f>
        <v>65494581</v>
      </c>
      <c r="BU77" s="8"/>
      <c r="BV77" s="267">
        <f>(((BJ77/BD77)*(BL77/BJ77)*(BN77/BL77)*(BP77/BN77)*(BR77/BP77))^(1/5))-1</f>
        <v>-5.7578422546348262E-3</v>
      </c>
    </row>
    <row r="78" spans="1:78">
      <c r="B78" s="1" t="s">
        <v>110</v>
      </c>
      <c r="AB78" s="185">
        <f>8838259-6554806</f>
        <v>2283453</v>
      </c>
      <c r="AC78" s="8"/>
      <c r="AD78" s="8">
        <v>6982681</v>
      </c>
      <c r="AG78" s="8">
        <f t="shared" ref="AG78:AN78" si="271">AG68</f>
        <v>344450</v>
      </c>
      <c r="AH78" s="8">
        <f t="shared" si="271"/>
        <v>344450</v>
      </c>
      <c r="AI78" s="8">
        <f t="shared" si="271"/>
        <v>0</v>
      </c>
      <c r="AJ78" s="8">
        <f t="shared" si="271"/>
        <v>0</v>
      </c>
      <c r="AK78" s="8">
        <f t="shared" si="271"/>
        <v>236361</v>
      </c>
      <c r="AL78" s="8">
        <f t="shared" si="271"/>
        <v>236361</v>
      </c>
      <c r="AM78" s="8">
        <f t="shared" si="271"/>
        <v>353947</v>
      </c>
      <c r="AN78" s="8">
        <f t="shared" si="271"/>
        <v>353947</v>
      </c>
      <c r="AO78" s="8">
        <f t="shared" ref="AO78" si="272">AO68</f>
        <v>418294</v>
      </c>
      <c r="AP78" s="8">
        <f>AO78</f>
        <v>418294</v>
      </c>
      <c r="AQ78" s="157">
        <f t="shared" si="264"/>
        <v>1353052</v>
      </c>
      <c r="AR78" s="157">
        <f t="shared" si="265"/>
        <v>1353052</v>
      </c>
      <c r="AS78" s="8"/>
      <c r="AT78" s="8"/>
      <c r="AU78" s="8">
        <f>AU68</f>
        <v>816873</v>
      </c>
      <c r="AV78" s="8">
        <f>AU78</f>
        <v>816873</v>
      </c>
      <c r="AW78" s="8">
        <f>AW68</f>
        <v>179391</v>
      </c>
      <c r="AX78" s="190">
        <f>AW78</f>
        <v>179391</v>
      </c>
      <c r="AY78" s="8">
        <f>AY68</f>
        <v>0</v>
      </c>
      <c r="AZ78" s="8">
        <f>AY78</f>
        <v>0</v>
      </c>
      <c r="BA78" s="8">
        <f>BA68</f>
        <v>886000</v>
      </c>
      <c r="BB78" s="8">
        <f>BA78</f>
        <v>886000</v>
      </c>
      <c r="BC78" s="8">
        <f>BC68</f>
        <v>0.40000000001455194</v>
      </c>
      <c r="BD78" s="8"/>
      <c r="BE78" s="8">
        <f>AU78+AW78+AY78+BA78+BC78</f>
        <v>1882264.4</v>
      </c>
      <c r="BF78" s="8">
        <f t="shared" ref="BF78" si="273">AV78+AX78+AZ78+BB78+BD78</f>
        <v>1882264</v>
      </c>
      <c r="BG78" s="8"/>
      <c r="BH78" s="8"/>
      <c r="BI78" s="8"/>
      <c r="BJ78" s="8"/>
      <c r="BK78" s="8"/>
      <c r="BL78" s="8"/>
      <c r="BM78" s="8"/>
      <c r="BN78" s="8"/>
      <c r="BO78" s="8"/>
      <c r="BP78" s="8"/>
      <c r="BQ78" s="8"/>
      <c r="BR78" s="8"/>
      <c r="BS78" s="8">
        <f t="shared" ref="BS78:BS83" si="274">BI78+BK78+BM78+BO78+BQ78</f>
        <v>0</v>
      </c>
      <c r="BT78" s="8">
        <f t="shared" ref="BT78:BT83" si="275">BJ78+BL78+BN78+BP78+BR78</f>
        <v>0</v>
      </c>
      <c r="BU78" s="8"/>
      <c r="BV78" s="8"/>
    </row>
    <row r="79" spans="1:78">
      <c r="B79" s="1" t="s">
        <v>111</v>
      </c>
      <c r="AB79" s="8"/>
      <c r="AC79" s="8"/>
      <c r="AD79" s="8"/>
      <c r="AG79" s="8">
        <f>0</f>
        <v>0</v>
      </c>
      <c r="AH79" s="8">
        <f>0</f>
        <v>0</v>
      </c>
      <c r="AI79" s="8"/>
      <c r="AJ79" s="8"/>
      <c r="AK79" s="8"/>
      <c r="AL79" s="8"/>
      <c r="AM79" s="8"/>
      <c r="AN79" s="8"/>
      <c r="AO79" s="8"/>
      <c r="AP79" s="8"/>
      <c r="AQ79" s="157">
        <f t="shared" si="264"/>
        <v>0</v>
      </c>
      <c r="AR79" s="157">
        <f t="shared" si="265"/>
        <v>0</v>
      </c>
      <c r="AS79" s="8"/>
      <c r="AT79" s="8"/>
      <c r="AU79" s="8"/>
      <c r="AV79" s="8"/>
      <c r="AW79" s="190"/>
      <c r="AX79" s="190"/>
      <c r="AY79" s="8"/>
      <c r="AZ79" s="8"/>
      <c r="BA79" s="8"/>
      <c r="BB79" s="8"/>
      <c r="BC79" s="8"/>
      <c r="BD79" s="8"/>
      <c r="BE79" s="8">
        <f>AU79+AW79+AY79+BA79+BC79</f>
        <v>0</v>
      </c>
      <c r="BF79" s="8">
        <f t="shared" ref="BF79" si="276">AV79+AX79+AZ79+BB79+BD79</f>
        <v>0</v>
      </c>
      <c r="BG79" s="8"/>
      <c r="BH79" s="8"/>
      <c r="BI79" s="8"/>
      <c r="BJ79" s="8"/>
      <c r="BK79" s="8"/>
      <c r="BL79" s="8"/>
      <c r="BM79" s="8"/>
      <c r="BN79" s="8"/>
      <c r="BO79" s="8"/>
      <c r="BP79" s="8"/>
      <c r="BQ79" s="8"/>
      <c r="BR79" s="8"/>
      <c r="BS79" s="8">
        <f t="shared" si="274"/>
        <v>0</v>
      </c>
      <c r="BT79" s="8">
        <f t="shared" si="275"/>
        <v>0</v>
      </c>
      <c r="BU79" s="8"/>
      <c r="BV79" s="8"/>
    </row>
    <row r="80" spans="1:78">
      <c r="B80" s="1" t="s">
        <v>112</v>
      </c>
      <c r="AB80" s="8"/>
      <c r="AC80" s="8"/>
      <c r="AD80" s="8"/>
      <c r="AG80" s="8">
        <f>AG69</f>
        <v>0</v>
      </c>
      <c r="AH80" s="8">
        <f>AH69</f>
        <v>0</v>
      </c>
      <c r="AI80" s="8"/>
      <c r="AJ80" s="8"/>
      <c r="AK80" s="8"/>
      <c r="AL80" s="8"/>
      <c r="AM80" s="8"/>
      <c r="AN80" s="8"/>
      <c r="AO80" s="8"/>
      <c r="AP80" s="8"/>
      <c r="AQ80" s="157">
        <f t="shared" si="264"/>
        <v>0</v>
      </c>
      <c r="AR80" s="157">
        <f t="shared" si="265"/>
        <v>0</v>
      </c>
      <c r="AS80" s="8"/>
      <c r="AT80" s="8"/>
      <c r="AU80" s="8"/>
      <c r="AV80" s="8"/>
      <c r="AW80" s="190"/>
      <c r="AX80" s="190"/>
      <c r="AY80" s="8"/>
      <c r="AZ80" s="8"/>
      <c r="BA80" s="8"/>
      <c r="BB80" s="8"/>
      <c r="BC80" s="8"/>
      <c r="BD80" s="8"/>
      <c r="BE80" s="8"/>
      <c r="BF80" s="8">
        <f t="shared" ref="BF80" si="277">AV80+AX80+AZ80+BB80+BD80</f>
        <v>0</v>
      </c>
      <c r="BG80" s="8"/>
      <c r="BH80" s="8"/>
      <c r="BI80" s="8"/>
      <c r="BJ80" s="8"/>
      <c r="BK80" s="8"/>
      <c r="BL80" s="8"/>
      <c r="BM80" s="8"/>
      <c r="BN80" s="8"/>
      <c r="BO80" s="8"/>
      <c r="BP80" s="8"/>
      <c r="BQ80" s="8"/>
      <c r="BR80" s="8"/>
      <c r="BS80" s="8">
        <f t="shared" si="274"/>
        <v>0</v>
      </c>
      <c r="BT80" s="8">
        <f t="shared" si="275"/>
        <v>0</v>
      </c>
      <c r="BU80" s="8"/>
      <c r="BV80" s="8"/>
    </row>
    <row r="81" spans="2:74">
      <c r="B81" s="1" t="s">
        <v>113</v>
      </c>
      <c r="AB81" s="8"/>
      <c r="AC81" s="8"/>
      <c r="AD81" s="8"/>
      <c r="AG81" s="8">
        <f>0</f>
        <v>0</v>
      </c>
      <c r="AH81" s="8">
        <v>0</v>
      </c>
      <c r="AI81" s="8"/>
      <c r="AJ81" s="8"/>
      <c r="AK81" s="8"/>
      <c r="AL81" s="8">
        <v>6881</v>
      </c>
      <c r="AM81" s="8"/>
      <c r="AN81" s="8">
        <v>7327</v>
      </c>
      <c r="AO81" s="8"/>
      <c r="AP81" s="8">
        <v>80</v>
      </c>
      <c r="AQ81" s="157">
        <f t="shared" si="264"/>
        <v>0</v>
      </c>
      <c r="AR81" s="157">
        <f t="shared" si="265"/>
        <v>14288</v>
      </c>
      <c r="AS81" s="8"/>
      <c r="AT81" s="8"/>
      <c r="AU81" s="8"/>
      <c r="AV81" s="190">
        <v>750</v>
      </c>
      <c r="AW81" s="190"/>
      <c r="AX81" s="190">
        <f>4964</f>
        <v>4964</v>
      </c>
      <c r="AY81" s="8"/>
      <c r="AZ81" s="190">
        <f>0</f>
        <v>0</v>
      </c>
      <c r="BA81" s="8"/>
      <c r="BB81" s="8"/>
      <c r="BC81" s="8"/>
      <c r="BD81" s="8"/>
      <c r="BE81" s="8">
        <f t="shared" ref="BE81:BE83" si="278">AU81+AW81+AY81+BA81+BC81</f>
        <v>0</v>
      </c>
      <c r="BF81" s="8">
        <f t="shared" ref="BF81:BF83" si="279">AV81+AX81+AZ81+BB81+BD81</f>
        <v>5714</v>
      </c>
      <c r="BG81" s="8"/>
      <c r="BH81" s="8"/>
      <c r="BI81" s="8"/>
      <c r="BJ81" s="8"/>
      <c r="BK81" s="8"/>
      <c r="BL81" s="8"/>
      <c r="BM81" s="8"/>
      <c r="BN81" s="8"/>
      <c r="BO81" s="8"/>
      <c r="BP81" s="8"/>
      <c r="BQ81" s="8"/>
      <c r="BR81" s="8"/>
      <c r="BS81" s="8">
        <f t="shared" si="274"/>
        <v>0</v>
      </c>
      <c r="BT81" s="8">
        <f t="shared" si="275"/>
        <v>0</v>
      </c>
      <c r="BU81" s="8"/>
      <c r="BV81" s="8"/>
    </row>
    <row r="82" spans="2:74">
      <c r="B82" s="1" t="s">
        <v>115</v>
      </c>
      <c r="AB82" s="8"/>
      <c r="AC82" s="8"/>
      <c r="AD82" s="8"/>
      <c r="AG82" s="8"/>
      <c r="AH82" s="8">
        <v>0</v>
      </c>
      <c r="AI82" s="8"/>
      <c r="AJ82" s="8">
        <v>24481</v>
      </c>
      <c r="AK82" s="8"/>
      <c r="AL82" s="8">
        <v>12795</v>
      </c>
      <c r="AM82" s="8"/>
      <c r="AN82" s="8">
        <f>42994</f>
        <v>42994</v>
      </c>
      <c r="AO82" s="8"/>
      <c r="AP82" s="8">
        <v>19783</v>
      </c>
      <c r="AQ82" s="157">
        <f t="shared" si="264"/>
        <v>0</v>
      </c>
      <c r="AR82" s="157">
        <f t="shared" si="265"/>
        <v>100053</v>
      </c>
      <c r="AS82" s="8"/>
      <c r="AT82" s="8"/>
      <c r="AU82" s="8"/>
      <c r="AV82" s="190">
        <v>42223</v>
      </c>
      <c r="AW82" s="190"/>
      <c r="AX82" s="190">
        <v>16645</v>
      </c>
      <c r="AY82" s="8"/>
      <c r="AZ82" s="190">
        <v>6905</v>
      </c>
      <c r="BA82" s="8"/>
      <c r="BB82" s="8"/>
      <c r="BC82" s="8"/>
      <c r="BD82" s="8"/>
      <c r="BE82" s="8">
        <f t="shared" si="278"/>
        <v>0</v>
      </c>
      <c r="BF82" s="8">
        <f t="shared" si="279"/>
        <v>65773</v>
      </c>
      <c r="BG82" s="8"/>
      <c r="BH82" s="8"/>
      <c r="BI82" s="8"/>
      <c r="BJ82" s="8"/>
      <c r="BK82" s="8"/>
      <c r="BL82" s="8"/>
      <c r="BM82" s="8"/>
      <c r="BN82" s="8"/>
      <c r="BO82" s="8"/>
      <c r="BP82" s="8"/>
      <c r="BQ82" s="8"/>
      <c r="BR82" s="8"/>
      <c r="BS82" s="8">
        <f t="shared" si="274"/>
        <v>0</v>
      </c>
      <c r="BT82" s="8">
        <f t="shared" si="275"/>
        <v>0</v>
      </c>
      <c r="BU82" s="8"/>
      <c r="BV82" s="8"/>
    </row>
    <row r="83" spans="2:74">
      <c r="B83" s="1" t="s">
        <v>116</v>
      </c>
      <c r="AB83" s="8"/>
      <c r="AC83" s="8"/>
      <c r="AD83" s="8"/>
      <c r="AG83" s="8"/>
      <c r="AH83" s="8"/>
      <c r="AI83" s="8"/>
      <c r="AJ83" s="8"/>
      <c r="AK83" s="8"/>
      <c r="AL83" s="8"/>
      <c r="AM83" s="8"/>
      <c r="AN83" s="8"/>
      <c r="AO83" s="16"/>
      <c r="AP83" s="16"/>
      <c r="AQ83" s="8"/>
      <c r="AR83" s="8"/>
      <c r="AS83" s="8"/>
      <c r="AT83" s="8"/>
      <c r="AU83" s="8"/>
      <c r="AV83" s="190">
        <v>428724</v>
      </c>
      <c r="AW83" s="190"/>
      <c r="AX83" s="190">
        <v>145276</v>
      </c>
      <c r="AY83" s="8"/>
      <c r="AZ83" s="190">
        <v>0</v>
      </c>
      <c r="BA83" s="8"/>
      <c r="BB83" s="8"/>
      <c r="BC83" s="8"/>
      <c r="BD83" s="8"/>
      <c r="BE83" s="8">
        <f t="shared" si="278"/>
        <v>0</v>
      </c>
      <c r="BF83" s="8">
        <f t="shared" si="279"/>
        <v>574000</v>
      </c>
      <c r="BG83" s="8"/>
      <c r="BH83" s="8"/>
      <c r="BI83" s="8"/>
      <c r="BJ83" s="8"/>
      <c r="BK83" s="8"/>
      <c r="BL83" s="8"/>
      <c r="BM83" s="8"/>
      <c r="BN83" s="8"/>
      <c r="BO83" s="8"/>
      <c r="BP83" s="8"/>
      <c r="BQ83" s="8"/>
      <c r="BR83" s="8"/>
      <c r="BS83" s="8">
        <f t="shared" si="274"/>
        <v>0</v>
      </c>
      <c r="BT83" s="8">
        <f t="shared" si="275"/>
        <v>0</v>
      </c>
      <c r="BU83" s="8"/>
      <c r="BV83" s="8"/>
    </row>
    <row r="84" spans="2:74">
      <c r="AB84" s="16">
        <f t="shared" ref="AB84:AD84" si="280">AB72+AB69</f>
        <v>8838258.6639019996</v>
      </c>
      <c r="AC84" s="8"/>
      <c r="AD84" s="16">
        <f t="shared" si="280"/>
        <v>36517913.181375995</v>
      </c>
      <c r="AG84" s="16">
        <f t="shared" ref="AG84:AR84" si="281">AG72+AG69</f>
        <v>8730076</v>
      </c>
      <c r="AH84" s="16">
        <f t="shared" si="281"/>
        <v>8447273.7177469991</v>
      </c>
      <c r="AI84" s="16">
        <f t="shared" si="281"/>
        <v>10329155</v>
      </c>
      <c r="AJ84" s="16">
        <f t="shared" si="281"/>
        <v>10796707</v>
      </c>
      <c r="AK84" s="16">
        <f t="shared" si="281"/>
        <v>11991619</v>
      </c>
      <c r="AL84" s="16">
        <f t="shared" si="281"/>
        <v>12685452</v>
      </c>
      <c r="AM84" s="16">
        <f t="shared" si="281"/>
        <v>12334250</v>
      </c>
      <c r="AN84" s="16">
        <f t="shared" si="281"/>
        <v>14005340</v>
      </c>
      <c r="AO84" s="16">
        <f t="shared" si="281"/>
        <v>13686690</v>
      </c>
      <c r="AP84" s="16">
        <f t="shared" si="281"/>
        <v>13981184</v>
      </c>
      <c r="AQ84" s="16">
        <f t="shared" si="281"/>
        <v>57071790</v>
      </c>
      <c r="AR84" s="16">
        <f t="shared" si="281"/>
        <v>59915956.717747003</v>
      </c>
      <c r="AS84" s="8"/>
      <c r="AT84" s="8"/>
      <c r="AU84" s="16">
        <f t="shared" ref="AU84:BF84" si="282">AU72+AU69</f>
        <v>14124109</v>
      </c>
      <c r="AV84" s="16">
        <f t="shared" si="282"/>
        <v>14174468</v>
      </c>
      <c r="AW84" s="16">
        <f t="shared" si="282"/>
        <v>14054453</v>
      </c>
      <c r="AX84" s="16">
        <f t="shared" si="282"/>
        <v>15269151</v>
      </c>
      <c r="AY84" s="16">
        <f t="shared" si="282"/>
        <v>15819995</v>
      </c>
      <c r="AZ84" s="16">
        <f t="shared" si="282"/>
        <v>16599036</v>
      </c>
      <c r="BA84" s="16">
        <f t="shared" si="282"/>
        <v>19035463.162</v>
      </c>
      <c r="BB84" s="16">
        <f t="shared" si="282"/>
        <v>18464033.032347649</v>
      </c>
      <c r="BC84" s="16">
        <f t="shared" si="282"/>
        <v>21909396.029745102</v>
      </c>
      <c r="BD84" s="16">
        <f t="shared" si="282"/>
        <v>21909395.629745103</v>
      </c>
      <c r="BE84" s="16">
        <f t="shared" si="282"/>
        <v>84943416.191745102</v>
      </c>
      <c r="BF84" s="16">
        <f t="shared" si="282"/>
        <v>86416083.662092745</v>
      </c>
      <c r="BG84" s="8"/>
      <c r="BH84" s="8"/>
      <c r="BI84" s="16">
        <f>BI72+BI69</f>
        <v>22059476.202691756</v>
      </c>
      <c r="BJ84" s="216">
        <f t="shared" ref="BJ84:BR84" si="283">BJ72+BJ69</f>
        <v>22059476.202691756</v>
      </c>
      <c r="BK84" s="16">
        <f t="shared" si="283"/>
        <v>22223556.197570272</v>
      </c>
      <c r="BL84" s="216">
        <f t="shared" si="283"/>
        <v>22223556.197570272</v>
      </c>
      <c r="BM84" s="16">
        <f t="shared" si="283"/>
        <v>24654958.697346758</v>
      </c>
      <c r="BN84" s="216">
        <f t="shared" si="283"/>
        <v>24654958.697346758</v>
      </c>
      <c r="BO84" s="16">
        <f t="shared" si="283"/>
        <v>25650237.048075903</v>
      </c>
      <c r="BP84" s="216">
        <f t="shared" si="283"/>
        <v>25650237.048075903</v>
      </c>
      <c r="BQ84" s="16">
        <f t="shared" si="283"/>
        <v>26805646.991756536</v>
      </c>
      <c r="BR84" s="216">
        <f t="shared" si="283"/>
        <v>26805646.991756536</v>
      </c>
      <c r="BS84" s="16">
        <f>BS72+BS69</f>
        <v>121393875.13744122</v>
      </c>
      <c r="BT84" s="216">
        <f t="shared" ref="BT84" si="284">BT72+BT69</f>
        <v>121393875.13744122</v>
      </c>
      <c r="BU84" s="8"/>
      <c r="BV84" s="8"/>
    </row>
    <row r="86" spans="2:74">
      <c r="AQ86" s="8">
        <f>+AQ73+AQ56+AQ66+AQ68</f>
        <v>49663142</v>
      </c>
      <c r="BI86" s="8">
        <f>BI73+BI68+BI66+BI56</f>
        <v>18383427.402691759</v>
      </c>
      <c r="BJ86" s="8">
        <f t="shared" ref="BJ86:BT86" si="285">BJ73+BJ68+BJ66+BJ56</f>
        <v>18383427.402691759</v>
      </c>
      <c r="BK86" s="8">
        <f t="shared" si="285"/>
        <v>18547507.397570271</v>
      </c>
      <c r="BL86" s="8">
        <f t="shared" si="285"/>
        <v>18547507.397570271</v>
      </c>
      <c r="BM86" s="8">
        <f t="shared" si="285"/>
        <v>21358175.897346757</v>
      </c>
      <c r="BN86" s="8">
        <f t="shared" si="285"/>
        <v>21358175.897346757</v>
      </c>
      <c r="BO86" s="8">
        <f t="shared" si="285"/>
        <v>23442211.997964144</v>
      </c>
      <c r="BP86" s="8">
        <f t="shared" si="285"/>
        <v>23442211.997964144</v>
      </c>
      <c r="BQ86" s="8">
        <f t="shared" si="285"/>
        <v>25080919.617009349</v>
      </c>
      <c r="BR86" s="8">
        <f t="shared" si="285"/>
        <v>25080919.617009349</v>
      </c>
      <c r="BS86" s="8">
        <f>BS73+BS68+BS66+BS56</f>
        <v>106812242.31258228</v>
      </c>
      <c r="BT86" s="8">
        <f t="shared" si="285"/>
        <v>106812242.31258228</v>
      </c>
    </row>
    <row r="87" spans="2:74">
      <c r="BJ87" s="6" t="e">
        <f>BJ86-'Phụ lục số I'!#REF!</f>
        <v>#REF!</v>
      </c>
      <c r="BL87" s="6" t="e">
        <f>BL86-'Phụ lục số I'!#REF!</f>
        <v>#REF!</v>
      </c>
      <c r="BN87" s="6" t="e">
        <f>BN86-'Phụ lục số I'!#REF!</f>
        <v>#REF!</v>
      </c>
      <c r="BP87" s="6" t="e">
        <f>BP86-'Phụ lục số I'!#REF!</f>
        <v>#REF!</v>
      </c>
      <c r="BR87" s="6" t="e">
        <f>BR86-'Phụ lục số I'!#REF!</f>
        <v>#REF!</v>
      </c>
    </row>
    <row r="88" spans="2:74">
      <c r="B88" s="1" t="s">
        <v>23</v>
      </c>
      <c r="AV88" s="6">
        <f>+AV42-AU42</f>
        <v>489694</v>
      </c>
      <c r="AX88" s="6">
        <f>+AX42-AW42</f>
        <v>229253</v>
      </c>
      <c r="AZ88" s="6">
        <f>+AZ42-AY42</f>
        <v>257443</v>
      </c>
      <c r="BB88" s="6">
        <f>+'Phụ lục số 1'!J42-BA42</f>
        <v>0</v>
      </c>
      <c r="BC88" s="6">
        <f>+BB88+AZ88+AX88+AV88</f>
        <v>976390</v>
      </c>
      <c r="BD88" s="4778">
        <v>1600000</v>
      </c>
      <c r="BR88" s="8">
        <f>BR86+BP86+BN86+BL86+BJ86</f>
        <v>106812242.31258228</v>
      </c>
      <c r="BT88" s="8">
        <f>+'Biểu số 2'!BT10</f>
        <v>106863244.06749399</v>
      </c>
    </row>
    <row r="89" spans="2:74">
      <c r="B89" s="1" t="s">
        <v>3145</v>
      </c>
      <c r="AV89" s="6">
        <f>+AV50-AU50</f>
        <v>-216742</v>
      </c>
      <c r="AX89" s="6">
        <f>+AX50-AW50</f>
        <v>243741</v>
      </c>
      <c r="AZ89" s="6">
        <f>+AZ50-AY50</f>
        <v>417388</v>
      </c>
      <c r="BB89" s="6">
        <f>2050000-BA50</f>
        <v>100000</v>
      </c>
      <c r="BC89" s="6">
        <f>+BB89+AZ89+AX89+AV89</f>
        <v>544387</v>
      </c>
      <c r="BD89" s="4778">
        <v>2100000</v>
      </c>
      <c r="BT89" s="6">
        <f>+BT88-BT84</f>
        <v>-14530631.069947228</v>
      </c>
    </row>
    <row r="90" spans="2:74">
      <c r="B90" s="1" t="s">
        <v>23</v>
      </c>
      <c r="AV90" s="4811">
        <f>+AV42+AX42+AZ42</f>
        <v>3426390</v>
      </c>
      <c r="AW90" s="6">
        <f>+'Phụ lục số 1'!J42</f>
        <v>1770000</v>
      </c>
      <c r="AX90" s="6">
        <f>+AW90+AV90</f>
        <v>5196390</v>
      </c>
      <c r="AY90" s="4778">
        <v>1600000</v>
      </c>
      <c r="AZ90" s="6">
        <f>+AY90+AX90</f>
        <v>6796390</v>
      </c>
    </row>
    <row r="91" spans="2:74">
      <c r="B91" s="1" t="s">
        <v>3145</v>
      </c>
      <c r="AV91" s="4811">
        <f>+AV50+AX50+AZ50</f>
        <v>5044387</v>
      </c>
      <c r="AW91" s="6">
        <f>+'Phụ lục số 1'!J50</f>
        <v>2150000</v>
      </c>
      <c r="AX91" s="6">
        <f>+AW91+AV91</f>
        <v>7194387</v>
      </c>
      <c r="AY91" s="4778">
        <v>2100000</v>
      </c>
      <c r="AZ91" s="6">
        <f>+AY91+AX91</f>
        <v>9294387</v>
      </c>
    </row>
    <row r="92" spans="2:74">
      <c r="AZ92" s="6"/>
    </row>
    <row r="93" spans="2:74">
      <c r="AZ93" s="816"/>
      <c r="BT93" s="6">
        <f>BT72-'Biểu số 2'!BT9</f>
        <v>-3849612.9300527722</v>
      </c>
    </row>
    <row r="94" spans="2:74">
      <c r="AZ94" s="6"/>
    </row>
    <row r="95" spans="2:74">
      <c r="AZ95" s="816"/>
    </row>
  </sheetData>
  <mergeCells count="107">
    <mergeCell ref="A2:BH2"/>
    <mergeCell ref="A3:BH3"/>
    <mergeCell ref="A6:A8"/>
    <mergeCell ref="B6:B8"/>
    <mergeCell ref="E6:F6"/>
    <mergeCell ref="G6:H6"/>
    <mergeCell ref="I6:J6"/>
    <mergeCell ref="K6:L6"/>
    <mergeCell ref="I7:I8"/>
    <mergeCell ref="J7:J8"/>
    <mergeCell ref="K7:K8"/>
    <mergeCell ref="L7:L8"/>
    <mergeCell ref="C7:C8"/>
    <mergeCell ref="D7:D8"/>
    <mergeCell ref="E7:E8"/>
    <mergeCell ref="F7:F8"/>
    <mergeCell ref="G7:G8"/>
    <mergeCell ref="H7:H8"/>
    <mergeCell ref="C6:D6"/>
    <mergeCell ref="S6:T6"/>
    <mergeCell ref="U6:V6"/>
    <mergeCell ref="W6:X6"/>
    <mergeCell ref="Y6:Z6"/>
    <mergeCell ref="AA6:AB6"/>
    <mergeCell ref="M6:N6"/>
    <mergeCell ref="M7:M8"/>
    <mergeCell ref="N7:N8"/>
    <mergeCell ref="P7:P8"/>
    <mergeCell ref="O7:O8"/>
    <mergeCell ref="O6:R6"/>
    <mergeCell ref="Q7:Q8"/>
    <mergeCell ref="R7:R8"/>
    <mergeCell ref="S7:S8"/>
    <mergeCell ref="AB7:AB8"/>
    <mergeCell ref="AC7:AC8"/>
    <mergeCell ref="AD7:AD8"/>
    <mergeCell ref="AE7:AE8"/>
    <mergeCell ref="AC6:AF6"/>
    <mergeCell ref="T7:T8"/>
    <mergeCell ref="U7:U8"/>
    <mergeCell ref="V7:V8"/>
    <mergeCell ref="W7:W8"/>
    <mergeCell ref="X7:X8"/>
    <mergeCell ref="Y7:Y8"/>
    <mergeCell ref="Z7:Z8"/>
    <mergeCell ref="AA7:AA8"/>
    <mergeCell ref="AF7:AF8"/>
    <mergeCell ref="AU6:AV6"/>
    <mergeCell ref="AW6:AX6"/>
    <mergeCell ref="AQ6:AT6"/>
    <mergeCell ref="AG7:AG8"/>
    <mergeCell ref="AH7:AH8"/>
    <mergeCell ref="AI7:AI8"/>
    <mergeCell ref="AJ7:AJ8"/>
    <mergeCell ref="AK7:AK8"/>
    <mergeCell ref="AL7:AL8"/>
    <mergeCell ref="AM7:AM8"/>
    <mergeCell ref="AN7:AN8"/>
    <mergeCell ref="AO7:AO8"/>
    <mergeCell ref="AU7:AU8"/>
    <mergeCell ref="AV7:AV8"/>
    <mergeCell ref="AW7:AW8"/>
    <mergeCell ref="AX7:AX8"/>
    <mergeCell ref="AG6:AH6"/>
    <mergeCell ref="AI6:AJ6"/>
    <mergeCell ref="AK6:AL6"/>
    <mergeCell ref="AM6:AN6"/>
    <mergeCell ref="AO6:AP6"/>
    <mergeCell ref="AP7:AP8"/>
    <mergeCell ref="AY7:AY8"/>
    <mergeCell ref="AZ7:AZ8"/>
    <mergeCell ref="BG7:BG8"/>
    <mergeCell ref="BH7:BH8"/>
    <mergeCell ref="AQ7:AQ8"/>
    <mergeCell ref="AR7:AR8"/>
    <mergeCell ref="AS7:AS8"/>
    <mergeCell ref="AT7:AT8"/>
    <mergeCell ref="BA7:BA8"/>
    <mergeCell ref="BB7:BB8"/>
    <mergeCell ref="BC7:BC8"/>
    <mergeCell ref="BD7:BD8"/>
    <mergeCell ref="BE7:BE8"/>
    <mergeCell ref="BF7:BF8"/>
    <mergeCell ref="AY6:AZ6"/>
    <mergeCell ref="BA6:BB6"/>
    <mergeCell ref="BC6:BD6"/>
    <mergeCell ref="BE6:BH6"/>
    <mergeCell ref="BR7:BR8"/>
    <mergeCell ref="BS6:BV6"/>
    <mergeCell ref="BS7:BS8"/>
    <mergeCell ref="BT7:BT8"/>
    <mergeCell ref="BU7:BU8"/>
    <mergeCell ref="BV7:BV8"/>
    <mergeCell ref="BQ6:BR6"/>
    <mergeCell ref="BI7:BI8"/>
    <mergeCell ref="BJ7:BJ8"/>
    <mergeCell ref="BK7:BK8"/>
    <mergeCell ref="BL7:BL8"/>
    <mergeCell ref="BM7:BM8"/>
    <mergeCell ref="BN7:BN8"/>
    <mergeCell ref="BO7:BO8"/>
    <mergeCell ref="BP7:BP8"/>
    <mergeCell ref="BQ7:BQ8"/>
    <mergeCell ref="BI6:BJ6"/>
    <mergeCell ref="BK6:BL6"/>
    <mergeCell ref="BM6:BN6"/>
    <mergeCell ref="BO6:BP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2:BW62"/>
  <sheetViews>
    <sheetView zoomScale="80" zoomScaleNormal="80" workbookViewId="0">
      <pane xSplit="33" ySplit="10" topLeftCell="AQ11" activePane="bottomRight" state="frozen"/>
      <selection activeCell="C4" sqref="C4"/>
      <selection pane="topRight" activeCell="C4" sqref="C4"/>
      <selection pane="bottomLeft" activeCell="C4" sqref="C4"/>
      <selection pane="bottomRight" activeCell="BB17" sqref="BB17"/>
    </sheetView>
  </sheetViews>
  <sheetFormatPr defaultColWidth="9.109375" defaultRowHeight="15.6"/>
  <cols>
    <col min="1" max="1" width="9.33203125" style="760" bestFit="1" customWidth="1"/>
    <col min="2" max="2" width="61" style="1" customWidth="1"/>
    <col min="3" max="32" width="9.109375" style="1" hidden="1" customWidth="1"/>
    <col min="33" max="33" width="10.109375" style="1" hidden="1" customWidth="1"/>
    <col min="34" max="34" width="11.33203125" style="1" hidden="1" customWidth="1"/>
    <col min="35" max="35" width="10.109375" style="1" hidden="1" customWidth="1"/>
    <col min="36" max="36" width="10.6640625" style="1" hidden="1" customWidth="1"/>
    <col min="37" max="42" width="8.6640625" style="1" hidden="1" customWidth="1"/>
    <col min="43" max="45" width="8.6640625" style="1" customWidth="1"/>
    <col min="46" max="46" width="10.6640625" style="1" bestFit="1" customWidth="1"/>
    <col min="47" max="47" width="9.109375" style="1"/>
    <col min="48" max="48" width="9.44140625" style="1" customWidth="1"/>
    <col min="49" max="50" width="9.109375" style="1"/>
    <col min="51" max="51" width="9.88671875" style="1" customWidth="1"/>
    <col min="52" max="52" width="9.33203125" style="1" customWidth="1"/>
    <col min="53" max="53" width="9.44140625" style="1" customWidth="1"/>
    <col min="54" max="54" width="11.33203125" style="1" bestFit="1" customWidth="1"/>
    <col min="55" max="55" width="9.109375" style="1"/>
    <col min="56" max="56" width="9.33203125" style="1" bestFit="1" customWidth="1"/>
    <col min="57" max="58" width="9.109375" style="1"/>
    <col min="59" max="59" width="9.33203125" style="1" bestFit="1" customWidth="1"/>
    <col min="60" max="60" width="10.6640625" style="1" bestFit="1" customWidth="1"/>
    <col min="61" max="74" width="9.5546875" style="1" customWidth="1"/>
    <col min="75" max="75" width="9.33203125" style="1" bestFit="1" customWidth="1"/>
    <col min="76" max="16384" width="9.109375" style="1"/>
  </cols>
  <sheetData>
    <row r="2" spans="1:75">
      <c r="A2" s="6056" t="s">
        <v>850</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c r="AS2" s="6056"/>
      <c r="AT2" s="6056"/>
    </row>
    <row r="3" spans="1:75">
      <c r="A3" s="6056" t="s">
        <v>851</v>
      </c>
      <c r="B3" s="6056"/>
      <c r="C3" s="6056"/>
      <c r="D3" s="6056"/>
      <c r="E3" s="6056"/>
      <c r="F3" s="6056"/>
      <c r="G3" s="6056"/>
      <c r="H3" s="6056"/>
      <c r="I3" s="6056"/>
      <c r="J3" s="6056"/>
      <c r="K3" s="6056"/>
      <c r="L3" s="6056"/>
      <c r="M3" s="6056"/>
      <c r="N3" s="6056"/>
      <c r="O3" s="6056"/>
      <c r="P3" s="6056"/>
      <c r="Q3" s="6056"/>
      <c r="R3" s="6056"/>
      <c r="S3" s="6056"/>
      <c r="T3" s="6056"/>
      <c r="U3" s="6056"/>
      <c r="V3" s="6056"/>
      <c r="W3" s="6056"/>
      <c r="X3" s="6056"/>
      <c r="Y3" s="6056"/>
      <c r="Z3" s="6056"/>
      <c r="AA3" s="6056"/>
      <c r="AB3" s="6056"/>
      <c r="AC3" s="6056"/>
      <c r="AD3" s="6056"/>
      <c r="AE3" s="6056"/>
      <c r="AF3" s="6056"/>
      <c r="AG3" s="6056"/>
      <c r="AH3" s="6056"/>
      <c r="AI3" s="6056"/>
      <c r="AJ3" s="6056"/>
      <c r="AK3" s="6056"/>
      <c r="AL3" s="6056"/>
      <c r="AM3" s="6056"/>
      <c r="AN3" s="6056"/>
      <c r="AO3" s="6056"/>
      <c r="AP3" s="6056"/>
      <c r="AQ3" s="6056"/>
      <c r="AR3" s="6056"/>
      <c r="AS3" s="6056"/>
      <c r="AT3" s="6056"/>
      <c r="AV3" s="6"/>
      <c r="BF3" s="1" t="s">
        <v>117</v>
      </c>
    </row>
    <row r="4" spans="1:75">
      <c r="B4" s="1" t="s">
        <v>117</v>
      </c>
      <c r="AL4" s="6"/>
      <c r="AN4" s="6"/>
      <c r="AP4" s="6"/>
      <c r="AV4" s="6"/>
      <c r="AX4" s="8"/>
      <c r="BD4" s="754"/>
    </row>
    <row r="5" spans="1:75" ht="16.2" thickBot="1">
      <c r="AD5" s="762"/>
      <c r="AG5" s="6"/>
      <c r="AL5" s="6"/>
      <c r="AM5" s="6"/>
      <c r="AN5" s="8"/>
      <c r="AV5" s="8"/>
      <c r="AX5" s="8"/>
      <c r="AZ5" s="6"/>
      <c r="BB5" s="1066">
        <f>+BB10/AZ10</f>
        <v>1.2276386627839158</v>
      </c>
      <c r="BF5" s="1066">
        <f>+BF17/BE17</f>
        <v>1.4075835257092493</v>
      </c>
    </row>
    <row r="6" spans="1:75" s="763" customFormat="1" ht="15" customHeight="1">
      <c r="A6" s="6205" t="s">
        <v>136</v>
      </c>
      <c r="B6" s="6454" t="s">
        <v>137</v>
      </c>
      <c r="C6" s="6380" t="s">
        <v>62</v>
      </c>
      <c r="D6" s="6370"/>
      <c r="E6" s="6370" t="s">
        <v>63</v>
      </c>
      <c r="F6" s="6370"/>
      <c r="G6" s="6370" t="s">
        <v>64</v>
      </c>
      <c r="H6" s="6370"/>
      <c r="I6" s="6370" t="s">
        <v>65</v>
      </c>
      <c r="J6" s="6370"/>
      <c r="K6" s="6370" t="s">
        <v>66</v>
      </c>
      <c r="L6" s="6370"/>
      <c r="M6" s="6370" t="s">
        <v>67</v>
      </c>
      <c r="N6" s="6370"/>
      <c r="O6" s="6448" t="s">
        <v>68</v>
      </c>
      <c r="P6" s="6448"/>
      <c r="Q6" s="6448"/>
      <c r="R6" s="6448"/>
      <c r="S6" s="6370" t="s">
        <v>72</v>
      </c>
      <c r="T6" s="6370"/>
      <c r="U6" s="6370" t="s">
        <v>73</v>
      </c>
      <c r="V6" s="6370"/>
      <c r="W6" s="6370" t="s">
        <v>74</v>
      </c>
      <c r="X6" s="6370"/>
      <c r="Y6" s="6370" t="s">
        <v>75</v>
      </c>
      <c r="Z6" s="6370"/>
      <c r="AA6" s="6370" t="s">
        <v>76</v>
      </c>
      <c r="AB6" s="6370"/>
      <c r="AC6" s="6448" t="s">
        <v>68</v>
      </c>
      <c r="AD6" s="6448"/>
      <c r="AE6" s="6448"/>
      <c r="AF6" s="6449"/>
      <c r="AG6" s="6455" t="s">
        <v>77</v>
      </c>
      <c r="AH6" s="6456"/>
      <c r="AI6" s="6457" t="s">
        <v>81</v>
      </c>
      <c r="AJ6" s="6456"/>
      <c r="AK6" s="6456" t="s">
        <v>57</v>
      </c>
      <c r="AL6" s="6456"/>
      <c r="AM6" s="6456" t="s">
        <v>58</v>
      </c>
      <c r="AN6" s="6456"/>
      <c r="AO6" s="6456" t="s">
        <v>82</v>
      </c>
      <c r="AP6" s="6456"/>
      <c r="AQ6" s="6441" t="s">
        <v>68</v>
      </c>
      <c r="AR6" s="6441"/>
      <c r="AS6" s="6441"/>
      <c r="AT6" s="6442"/>
      <c r="AU6" s="6446" t="s">
        <v>85</v>
      </c>
      <c r="AV6" s="6420"/>
      <c r="AW6" s="6447" t="s">
        <v>86</v>
      </c>
      <c r="AX6" s="6447"/>
      <c r="AY6" s="6420" t="s">
        <v>87</v>
      </c>
      <c r="AZ6" s="6420"/>
      <c r="BA6" s="6420" t="s">
        <v>88</v>
      </c>
      <c r="BB6" s="6420"/>
      <c r="BC6" s="6420" t="s">
        <v>89</v>
      </c>
      <c r="BD6" s="6420"/>
      <c r="BE6" s="6441" t="s">
        <v>68</v>
      </c>
      <c r="BF6" s="6441"/>
      <c r="BG6" s="6441"/>
      <c r="BH6" s="6442"/>
      <c r="BI6" s="6445" t="s">
        <v>90</v>
      </c>
      <c r="BJ6" s="6440"/>
      <c r="BK6" s="6439" t="s">
        <v>91</v>
      </c>
      <c r="BL6" s="6440"/>
      <c r="BM6" s="6439" t="s">
        <v>92</v>
      </c>
      <c r="BN6" s="6440"/>
      <c r="BO6" s="6420" t="s">
        <v>93</v>
      </c>
      <c r="BP6" s="6420"/>
      <c r="BQ6" s="6420" t="s">
        <v>94</v>
      </c>
      <c r="BR6" s="6420"/>
      <c r="BS6" s="6441" t="s">
        <v>68</v>
      </c>
      <c r="BT6" s="6441"/>
      <c r="BU6" s="6441"/>
      <c r="BV6" s="6442"/>
    </row>
    <row r="7" spans="1:75" s="204" customFormat="1" ht="36" customHeight="1">
      <c r="A7" s="6206"/>
      <c r="B7" s="6443"/>
      <c r="C7" s="6380" t="s">
        <v>59</v>
      </c>
      <c r="D7" s="6370" t="s">
        <v>60</v>
      </c>
      <c r="E7" s="6370" t="s">
        <v>59</v>
      </c>
      <c r="F7" s="6370" t="s">
        <v>61</v>
      </c>
      <c r="G7" s="6370" t="s">
        <v>59</v>
      </c>
      <c r="H7" s="6370" t="s">
        <v>61</v>
      </c>
      <c r="I7" s="6370" t="s">
        <v>59</v>
      </c>
      <c r="J7" s="6370" t="s">
        <v>61</v>
      </c>
      <c r="K7" s="6370" t="s">
        <v>59</v>
      </c>
      <c r="L7" s="6370" t="s">
        <v>61</v>
      </c>
      <c r="M7" s="6370" t="s">
        <v>59</v>
      </c>
      <c r="N7" s="6370" t="s">
        <v>61</v>
      </c>
      <c r="O7" s="6064" t="s">
        <v>71</v>
      </c>
      <c r="P7" s="6064" t="s">
        <v>78</v>
      </c>
      <c r="Q7" s="6064" t="s">
        <v>69</v>
      </c>
      <c r="R7" s="6064" t="s">
        <v>70</v>
      </c>
      <c r="S7" s="6370" t="s">
        <v>59</v>
      </c>
      <c r="T7" s="6370" t="s">
        <v>60</v>
      </c>
      <c r="U7" s="6370" t="s">
        <v>59</v>
      </c>
      <c r="V7" s="6370" t="s">
        <v>61</v>
      </c>
      <c r="W7" s="6370" t="s">
        <v>59</v>
      </c>
      <c r="X7" s="6370" t="s">
        <v>61</v>
      </c>
      <c r="Y7" s="6370" t="s">
        <v>59</v>
      </c>
      <c r="Z7" s="6370" t="s">
        <v>61</v>
      </c>
      <c r="AA7" s="6370" t="s">
        <v>59</v>
      </c>
      <c r="AB7" s="6370" t="s">
        <v>61</v>
      </c>
      <c r="AC7" s="6064" t="s">
        <v>79</v>
      </c>
      <c r="AD7" s="6064" t="s">
        <v>80</v>
      </c>
      <c r="AE7" s="6064" t="s">
        <v>69</v>
      </c>
      <c r="AF7" s="6450" t="s">
        <v>70</v>
      </c>
      <c r="AG7" s="6444" t="s">
        <v>59</v>
      </c>
      <c r="AH7" s="6370" t="s">
        <v>60</v>
      </c>
      <c r="AI7" s="6380" t="s">
        <v>59</v>
      </c>
      <c r="AJ7" s="6370" t="s">
        <v>61</v>
      </c>
      <c r="AK7" s="6370" t="s">
        <v>59</v>
      </c>
      <c r="AL7" s="6370" t="s">
        <v>61</v>
      </c>
      <c r="AM7" s="6370" t="s">
        <v>59</v>
      </c>
      <c r="AN7" s="6370" t="s">
        <v>61</v>
      </c>
      <c r="AO7" s="6370" t="s">
        <v>59</v>
      </c>
      <c r="AP7" s="6370" t="s">
        <v>61</v>
      </c>
      <c r="AQ7" s="6064" t="s">
        <v>83</v>
      </c>
      <c r="AR7" s="6064" t="s">
        <v>84</v>
      </c>
      <c r="AS7" s="6064" t="s">
        <v>69</v>
      </c>
      <c r="AT7" s="6443" t="s">
        <v>70</v>
      </c>
      <c r="AU7" s="6444" t="s">
        <v>59</v>
      </c>
      <c r="AV7" s="6370" t="s">
        <v>60</v>
      </c>
      <c r="AW7" s="6380" t="s">
        <v>59</v>
      </c>
      <c r="AX7" s="6378" t="s">
        <v>61</v>
      </c>
      <c r="AY7" s="6458" t="s">
        <v>59</v>
      </c>
      <c r="AZ7" s="6458" t="s">
        <v>61</v>
      </c>
      <c r="BA7" s="6370" t="s">
        <v>59</v>
      </c>
      <c r="BB7" s="6370" t="s">
        <v>61</v>
      </c>
      <c r="BC7" s="6370" t="s">
        <v>59</v>
      </c>
      <c r="BD7" s="6370" t="s">
        <v>61</v>
      </c>
      <c r="BE7" s="6064" t="s">
        <v>957</v>
      </c>
      <c r="BF7" s="6064" t="s">
        <v>958</v>
      </c>
      <c r="BG7" s="6064" t="s">
        <v>69</v>
      </c>
      <c r="BH7" s="6443" t="s">
        <v>70</v>
      </c>
      <c r="BI7" s="6444" t="s">
        <v>59</v>
      </c>
      <c r="BJ7" s="6370" t="s">
        <v>60</v>
      </c>
      <c r="BK7" s="6370" t="s">
        <v>59</v>
      </c>
      <c r="BL7" s="6370" t="s">
        <v>61</v>
      </c>
      <c r="BM7" s="6370" t="s">
        <v>59</v>
      </c>
      <c r="BN7" s="6370" t="s">
        <v>61</v>
      </c>
      <c r="BO7" s="6370" t="s">
        <v>59</v>
      </c>
      <c r="BP7" s="6370" t="s">
        <v>61</v>
      </c>
      <c r="BQ7" s="6370" t="s">
        <v>59</v>
      </c>
      <c r="BR7" s="6370" t="s">
        <v>61</v>
      </c>
      <c r="BS7" s="6064" t="s">
        <v>95</v>
      </c>
      <c r="BT7" s="6064" t="s">
        <v>96</v>
      </c>
      <c r="BU7" s="6064" t="s">
        <v>69</v>
      </c>
      <c r="BV7" s="6443" t="s">
        <v>70</v>
      </c>
    </row>
    <row r="8" spans="1:75" s="204" customFormat="1" ht="46.5" customHeight="1">
      <c r="A8" s="6206"/>
      <c r="B8" s="6443"/>
      <c r="C8" s="6380"/>
      <c r="D8" s="6370"/>
      <c r="E8" s="6370"/>
      <c r="F8" s="6370"/>
      <c r="G8" s="6370"/>
      <c r="H8" s="6370"/>
      <c r="I8" s="6370"/>
      <c r="J8" s="6370"/>
      <c r="K8" s="6370"/>
      <c r="L8" s="6370"/>
      <c r="M8" s="6370"/>
      <c r="N8" s="6370"/>
      <c r="O8" s="6064"/>
      <c r="P8" s="6064"/>
      <c r="Q8" s="6064"/>
      <c r="R8" s="6064"/>
      <c r="S8" s="6370"/>
      <c r="T8" s="6370"/>
      <c r="U8" s="6370"/>
      <c r="V8" s="6370"/>
      <c r="W8" s="6370"/>
      <c r="X8" s="6370"/>
      <c r="Y8" s="6370"/>
      <c r="Z8" s="6370"/>
      <c r="AA8" s="6370"/>
      <c r="AB8" s="6370"/>
      <c r="AC8" s="6064"/>
      <c r="AD8" s="6064"/>
      <c r="AE8" s="6064"/>
      <c r="AF8" s="6450"/>
      <c r="AG8" s="6444"/>
      <c r="AH8" s="6370"/>
      <c r="AI8" s="6380"/>
      <c r="AJ8" s="6370"/>
      <c r="AK8" s="6370"/>
      <c r="AL8" s="6370"/>
      <c r="AM8" s="6370"/>
      <c r="AN8" s="6370"/>
      <c r="AO8" s="6370"/>
      <c r="AP8" s="6370"/>
      <c r="AQ8" s="6064"/>
      <c r="AR8" s="6064"/>
      <c r="AS8" s="6064"/>
      <c r="AT8" s="6443"/>
      <c r="AU8" s="6444"/>
      <c r="AV8" s="6370"/>
      <c r="AW8" s="6380"/>
      <c r="AX8" s="6378"/>
      <c r="AY8" s="6459"/>
      <c r="AZ8" s="6459"/>
      <c r="BA8" s="6370"/>
      <c r="BB8" s="6370"/>
      <c r="BC8" s="6370"/>
      <c r="BD8" s="6370"/>
      <c r="BE8" s="6064"/>
      <c r="BF8" s="6064"/>
      <c r="BG8" s="6064"/>
      <c r="BH8" s="6443"/>
      <c r="BI8" s="6444"/>
      <c r="BJ8" s="6370"/>
      <c r="BK8" s="6370"/>
      <c r="BL8" s="6370"/>
      <c r="BM8" s="6370"/>
      <c r="BN8" s="6370"/>
      <c r="BO8" s="6370"/>
      <c r="BP8" s="6370"/>
      <c r="BQ8" s="6370"/>
      <c r="BR8" s="6370"/>
      <c r="BS8" s="6064"/>
      <c r="BT8" s="6064"/>
      <c r="BU8" s="6064"/>
      <c r="BV8" s="6443"/>
    </row>
    <row r="9" spans="1:75" s="4" customFormat="1" ht="15" customHeight="1">
      <c r="A9" s="764" t="s">
        <v>1</v>
      </c>
      <c r="B9" s="765" t="s">
        <v>141</v>
      </c>
      <c r="C9" s="766"/>
      <c r="D9" s="761"/>
      <c r="E9" s="761"/>
      <c r="F9" s="761"/>
      <c r="G9" s="761"/>
      <c r="H9" s="761"/>
      <c r="I9" s="761"/>
      <c r="J9" s="761"/>
      <c r="K9" s="761"/>
      <c r="L9" s="761"/>
      <c r="M9" s="761"/>
      <c r="N9" s="761"/>
      <c r="O9" s="761"/>
      <c r="P9" s="761"/>
      <c r="Q9" s="761"/>
      <c r="R9" s="761"/>
      <c r="S9" s="761"/>
      <c r="T9" s="761"/>
      <c r="U9" s="761"/>
      <c r="V9" s="761"/>
      <c r="W9" s="761"/>
      <c r="X9" s="761"/>
      <c r="Y9" s="761"/>
      <c r="Z9" s="761"/>
      <c r="AA9" s="767">
        <f>AA10+AA35+AA45</f>
        <v>0</v>
      </c>
      <c r="AB9" s="138">
        <f>AB10+AB35+AB45</f>
        <v>7814062.1655269992</v>
      </c>
      <c r="AC9" s="767">
        <f t="shared" ref="AC9:AD9" si="0">AC10+AC35+AC45</f>
        <v>0</v>
      </c>
      <c r="AD9" s="138">
        <f t="shared" si="0"/>
        <v>33474918.57910189</v>
      </c>
      <c r="AE9" s="137">
        <f>AD9/$AD$9*100</f>
        <v>100</v>
      </c>
      <c r="AF9" s="765"/>
      <c r="AG9" s="767">
        <f>AG10+AG35+AG45</f>
        <v>8730076</v>
      </c>
      <c r="AH9" s="138">
        <f>AH10+AH35+AH45</f>
        <v>9352219.6461590007</v>
      </c>
      <c r="AI9" s="138">
        <f t="shared" ref="AI9:AO9" si="1">AI10+AI35+AI45</f>
        <v>10329155</v>
      </c>
      <c r="AJ9" s="138">
        <f>AJ10+AJ35+AJ45</f>
        <v>10806239</v>
      </c>
      <c r="AK9" s="138">
        <f t="shared" si="1"/>
        <v>11991619.390000002</v>
      </c>
      <c r="AL9" s="768">
        <f>AL10+AL35+AL45</f>
        <v>11587235</v>
      </c>
      <c r="AM9" s="138">
        <f t="shared" si="1"/>
        <v>12334250</v>
      </c>
      <c r="AN9" s="768">
        <f>AN10+AN35+AN45</f>
        <v>12924286</v>
      </c>
      <c r="AO9" s="138">
        <f t="shared" si="1"/>
        <v>13686690</v>
      </c>
      <c r="AP9" s="768">
        <f>AP10+AP35+AP45</f>
        <v>13402319</v>
      </c>
      <c r="AQ9" s="138">
        <f t="shared" ref="AQ9:AR9" si="2">AQ10+AQ35+AQ45</f>
        <v>57071777.390000001</v>
      </c>
      <c r="AR9" s="138">
        <f t="shared" si="2"/>
        <v>58072298.646159001</v>
      </c>
      <c r="AS9" s="137">
        <f>AR9/$AR$9*100</f>
        <v>100</v>
      </c>
      <c r="AT9" s="769">
        <f>((AH9/AB9)*(AJ9/AH9)*(AL9/AJ9)*(AN9/AL9)*(AP9/AN9)^(1/5))-1</f>
        <v>0.66603597932864833</v>
      </c>
      <c r="AU9" s="770">
        <f>AU10+AU35+AU45</f>
        <v>14124108.5</v>
      </c>
      <c r="AV9" s="768">
        <f>AV10+AV35+AV45</f>
        <v>14154634</v>
      </c>
      <c r="AW9" s="768">
        <f t="shared" ref="AW9" si="3">AW10+AW35+AW45</f>
        <v>14054453</v>
      </c>
      <c r="AX9" s="768">
        <f>AX10+AX35+AX45</f>
        <v>15170894.300000001</v>
      </c>
      <c r="AY9" s="771">
        <f t="shared" ref="AY9" si="4">AY10+AY35+AY45</f>
        <v>15819995</v>
      </c>
      <c r="AZ9" s="771">
        <f>AZ10+AZ35+AZ45</f>
        <v>17115820</v>
      </c>
      <c r="BA9" s="768">
        <f t="shared" ref="BA9" si="5">BA10+BA35+BA45</f>
        <v>19035463.077999998</v>
      </c>
      <c r="BB9" s="768">
        <f t="shared" ref="BB9" si="6">BB10+BB35+BB45</f>
        <v>19712858.656711083</v>
      </c>
      <c r="BC9" s="768">
        <f>BC10+BC35+BC45+BC46</f>
        <v>21372894.196000002</v>
      </c>
      <c r="BD9" s="768">
        <f>BD10+BD35+BD45+BD46</f>
        <v>21372894.196000002</v>
      </c>
      <c r="BE9" s="768">
        <f>BE10+BE35+BE45+BE46</f>
        <v>63034019.578000002</v>
      </c>
      <c r="BF9" s="768">
        <f>BF10+BF35+BF45+BF46</f>
        <v>87527101.152711079</v>
      </c>
      <c r="BG9" s="137">
        <f>BF9/$BF$9*100</f>
        <v>100</v>
      </c>
      <c r="BH9" s="772">
        <f>((AV9/AP9)*(AX9/AV9)*(AZ9/AX9)*(BB9/AZ9)^(1/4))-1</f>
        <v>0.32298747961771102</v>
      </c>
      <c r="BI9" s="767">
        <f>BI10+BI35+BI45</f>
        <v>22059476.072368391</v>
      </c>
      <c r="BJ9" s="138">
        <f>BJ10+BJ35+BJ45</f>
        <v>22059476.072368391</v>
      </c>
      <c r="BK9" s="138">
        <f t="shared" ref="BK9" si="7">BK10+BK35+BK45</f>
        <v>22223556.558125265</v>
      </c>
      <c r="BL9" s="138">
        <f t="shared" ref="BL9" si="8">BL10+BL35+BL45</f>
        <v>22223556.558125265</v>
      </c>
      <c r="BM9" s="138">
        <f t="shared" ref="BM9" si="9">BM10+BM35+BM45</f>
        <v>25271091.934713151</v>
      </c>
      <c r="BN9" s="138">
        <f t="shared" ref="BN9" si="10">BN10+BN35+BN45</f>
        <v>25271091.934713151</v>
      </c>
      <c r="BO9" s="138">
        <f t="shared" ref="BO9" si="11">BO10+BO35+BO45</f>
        <v>27023131.244954884</v>
      </c>
      <c r="BP9" s="138">
        <f t="shared" ref="BP9" si="12">BP10+BP35+BP45</f>
        <v>27023131.244954884</v>
      </c>
      <c r="BQ9" s="138">
        <f t="shared" ref="BQ9" si="13">BQ10+BQ35+BQ45</f>
        <v>28666232.257332325</v>
      </c>
      <c r="BR9" s="138">
        <f t="shared" ref="BR9:BT9" si="14">BR10+BR35+BR45</f>
        <v>28666232.257332325</v>
      </c>
      <c r="BS9" s="138">
        <f t="shared" si="14"/>
        <v>125243488.06749399</v>
      </c>
      <c r="BT9" s="138">
        <f t="shared" si="14"/>
        <v>125243488.06749399</v>
      </c>
      <c r="BU9" s="137">
        <f>BT9/$BT$9*100</f>
        <v>100</v>
      </c>
      <c r="BV9" s="772">
        <f>((BJ9/BD9)*(BL9/BJ9)*(BN9/BL9)*(BP9/BN9)*(BR9/BP9)^(1/5))-1</f>
        <v>0.2793793116079899</v>
      </c>
    </row>
    <row r="10" spans="1:75" s="4" customFormat="1">
      <c r="A10" s="773" t="s">
        <v>3</v>
      </c>
      <c r="B10" s="268" t="s">
        <v>142</v>
      </c>
      <c r="C10" s="774"/>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8">
        <f>AA11+AA17+AA31+AA32+AA33+AA34</f>
        <v>0</v>
      </c>
      <c r="AB10" s="142">
        <f>AB11+AB17+AB31+AB32+AB33+AB34</f>
        <v>7814062.1655269992</v>
      </c>
      <c r="AC10" s="18">
        <f t="shared" ref="AC10:AD10" si="15">AC11+AC17+AC31+AC32+AC33+AC34</f>
        <v>0</v>
      </c>
      <c r="AD10" s="142">
        <f t="shared" si="15"/>
        <v>33474918.57910189</v>
      </c>
      <c r="AE10" s="141">
        <f>AD10/$AD$9*100</f>
        <v>100</v>
      </c>
      <c r="AF10" s="268"/>
      <c r="AG10" s="18">
        <f>AG11+AG17+AG31+AG32+AG33+AG34</f>
        <v>7969226</v>
      </c>
      <c r="AH10" s="142">
        <f>AH11+AH17+AH31+AH32+AH33+AH34</f>
        <v>8657600.6461590007</v>
      </c>
      <c r="AI10" s="142">
        <f t="shared" ref="AI10:AO10" si="16">AI11+AI17+AI31+AI32+AI33+AI34</f>
        <v>9591426</v>
      </c>
      <c r="AJ10" s="142">
        <f>AJ11+AJ17+AJ31+AJ32+AJ33+AJ34</f>
        <v>10099449</v>
      </c>
      <c r="AK10" s="142">
        <f t="shared" si="16"/>
        <v>10173333.390000002</v>
      </c>
      <c r="AL10" s="142">
        <f t="shared" si="16"/>
        <v>10116121</v>
      </c>
      <c r="AM10" s="142">
        <f t="shared" si="16"/>
        <v>10895260</v>
      </c>
      <c r="AN10" s="142">
        <f t="shared" si="16"/>
        <v>11724686</v>
      </c>
      <c r="AO10" s="142">
        <f t="shared" si="16"/>
        <v>12181277</v>
      </c>
      <c r="AP10" s="142">
        <f>AP11+AP17+AP31+AP32+AP33+AP34</f>
        <v>11970510</v>
      </c>
      <c r="AQ10" s="142">
        <f t="shared" ref="AQ10:AR10" si="17">AQ11+AQ17+AQ31+AQ32+AQ33+AQ34</f>
        <v>50810509.390000001</v>
      </c>
      <c r="AR10" s="142">
        <f t="shared" si="17"/>
        <v>52568366.646159001</v>
      </c>
      <c r="AS10" s="141">
        <f>AR10/$AR$9*100</f>
        <v>90.52227632052923</v>
      </c>
      <c r="AT10" s="188">
        <f>((AH10/AB10)*(AJ10/AH10)*(AL10/AJ10)*(AN10/AL10)*(AP10/AN10)^(1/5))-1</f>
        <v>0.50669950402662156</v>
      </c>
      <c r="AU10" s="289">
        <f>AU11+AU17+AU31+AU32+AU33+AU34</f>
        <v>12692114.5</v>
      </c>
      <c r="AV10" s="147">
        <f>AV11+AV17+AV31+AV32+AV33+AV34</f>
        <v>12750451.5</v>
      </c>
      <c r="AW10" s="147">
        <f t="shared" ref="AW10" si="18">AW11+AW17+AW31+AW32+AW33+AW34</f>
        <v>12792680</v>
      </c>
      <c r="AX10" s="147">
        <f>AX11+AX17+AX31+AX32+AX33+AX34</f>
        <v>13539327.4</v>
      </c>
      <c r="AY10" s="213">
        <f t="shared" ref="AY10" si="19">AY11+AY17+AY31+AY32+AY33+AY34</f>
        <v>13191488</v>
      </c>
      <c r="AZ10" s="213">
        <f>AZ11+AZ17+AZ31+AZ32+AZ33+AZ34</f>
        <v>14324511.103970001</v>
      </c>
      <c r="BA10" s="147">
        <f t="shared" ref="BA10" si="20">BA11+BA17+BA31+BA32+BA33+BA34</f>
        <v>17046487.077999998</v>
      </c>
      <c r="BB10" s="147">
        <f t="shared" ref="BB10" si="21">BB11+BB17+BB31+BB32+BB33+BB34</f>
        <v>17585323.656711083</v>
      </c>
      <c r="BC10" s="147">
        <f t="shared" ref="BC10" si="22">BC11+BC17+BC31+BC32+BC33+BC34</f>
        <v>18330348.400000002</v>
      </c>
      <c r="BD10" s="147">
        <f t="shared" ref="BD10:BF10" si="23">BD11+BD17+BD31+BD32+BD33+BD34</f>
        <v>18330348.400000002</v>
      </c>
      <c r="BE10" s="147">
        <f>BE11+BE17+BE31+BE32+BE33+BE34</f>
        <v>55722769.578000002</v>
      </c>
      <c r="BF10" s="147">
        <f t="shared" si="23"/>
        <v>76529962.060681075</v>
      </c>
      <c r="BG10" s="141">
        <f>BF10/$BF$9*100</f>
        <v>87.435732536322703</v>
      </c>
      <c r="BH10" s="247">
        <f t="shared" ref="BH10:BH35" si="24">((AV10/AP10)*(AX10/AV10)*(AZ10/AX10)*(BB10/AZ10)^(1/4))-1</f>
        <v>0.2596062126105696</v>
      </c>
      <c r="BI10" s="18">
        <f>BI11+BI17+BI31+BI32+BI33+BI34</f>
        <v>18383427.27236839</v>
      </c>
      <c r="BJ10" s="142">
        <f>BJ11+BJ17+BJ31+BJ32+BJ33+BJ34</f>
        <v>18383427.27236839</v>
      </c>
      <c r="BK10" s="142">
        <f t="shared" ref="BK10" si="25">BK11+BK17+BK31+BK32+BK33+BK34</f>
        <v>18547507.758125264</v>
      </c>
      <c r="BL10" s="142">
        <f t="shared" ref="BL10" si="26">BL11+BL17+BL31+BL32+BL33+BL34</f>
        <v>18547507.758125264</v>
      </c>
      <c r="BM10" s="142">
        <f t="shared" ref="BM10" si="27">BM11+BM17+BM31+BM32+BM33+BM34</f>
        <v>21595043.134713151</v>
      </c>
      <c r="BN10" s="142">
        <f t="shared" ref="BN10" si="28">BN11+BN17+BN31+BN32+BN33+BN34</f>
        <v>21595043.134713151</v>
      </c>
      <c r="BO10" s="142">
        <f t="shared" ref="BO10" si="29">BO11+BO17+BO31+BO32+BO33+BO34</f>
        <v>23347082.444954883</v>
      </c>
      <c r="BP10" s="142">
        <f t="shared" ref="BP10" si="30">BP11+BP17+BP31+BP32+BP33+BP34</f>
        <v>23347082.444954883</v>
      </c>
      <c r="BQ10" s="142">
        <f t="shared" ref="BQ10" si="31">BQ11+BQ17+BQ31+BQ32+BQ33+BQ34</f>
        <v>24990183.457332324</v>
      </c>
      <c r="BR10" s="142">
        <f t="shared" ref="BR10:BT10" si="32">BR11+BR17+BR31+BR32+BR33+BR34</f>
        <v>24990183.457332324</v>
      </c>
      <c r="BS10" s="142">
        <f t="shared" si="32"/>
        <v>106863244.06749399</v>
      </c>
      <c r="BT10" s="142">
        <f t="shared" si="32"/>
        <v>106863244.06749399</v>
      </c>
      <c r="BU10" s="141">
        <f>BT10/$BT$9*100</f>
        <v>85.324391484453983</v>
      </c>
      <c r="BV10" s="247">
        <f>((BJ10/BD10)*(BL10/BJ10)*(BN10/BL10)*(BP10/BN10)*(BR10/BP10)^(1/5))-1</f>
        <v>0.29112789094735647</v>
      </c>
    </row>
    <row r="11" spans="1:75">
      <c r="A11" s="773">
        <v>1</v>
      </c>
      <c r="B11" s="268" t="s">
        <v>150</v>
      </c>
      <c r="C11" s="77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7">
        <f>SUM(AA12:AA16)</f>
        <v>0</v>
      </c>
      <c r="AB11" s="163">
        <f>SUM(AB12:AB16)</f>
        <v>1868861</v>
      </c>
      <c r="AC11" s="17">
        <f t="shared" ref="AC11:AD11" si="33">SUM(AC12:AC16)</f>
        <v>0</v>
      </c>
      <c r="AD11" s="163">
        <f t="shared" si="33"/>
        <v>7623491.0123058911</v>
      </c>
      <c r="AE11" s="141">
        <f>AD11/$AD$9*100</f>
        <v>22.773740268528009</v>
      </c>
      <c r="AF11" s="25"/>
      <c r="AG11" s="17">
        <f>SUM(AG12:AG16)</f>
        <v>1946800</v>
      </c>
      <c r="AH11" s="163">
        <f>SUM(AH12:AH16)</f>
        <v>2424288</v>
      </c>
      <c r="AI11" s="163">
        <f t="shared" ref="AI11:AO11" si="34">SUM(AI12:AI16)</f>
        <v>2636480</v>
      </c>
      <c r="AJ11" s="163">
        <f>SUM(AJ12:AJ16)</f>
        <v>3145104</v>
      </c>
      <c r="AK11" s="163">
        <f t="shared" si="34"/>
        <v>2756350</v>
      </c>
      <c r="AL11" s="163">
        <f>SUM(AL12:AL16)</f>
        <v>2583970</v>
      </c>
      <c r="AM11" s="163">
        <f t="shared" si="34"/>
        <v>2866350</v>
      </c>
      <c r="AN11" s="191">
        <f>SUM(AN12:AN16)</f>
        <v>3342152</v>
      </c>
      <c r="AO11" s="163">
        <f t="shared" si="34"/>
        <v>3191485</v>
      </c>
      <c r="AP11" s="191">
        <f>SUM(AP12:AP16)</f>
        <v>3329217</v>
      </c>
      <c r="AQ11" s="163">
        <f t="shared" ref="AQ11" si="35">SUM(AQ12:AQ16)</f>
        <v>13397465</v>
      </c>
      <c r="AR11" s="163">
        <f>SUM(AR12:AR16)</f>
        <v>14824731</v>
      </c>
      <c r="AS11" s="141">
        <f>AR11/$AR$9*100</f>
        <v>25.528059583673002</v>
      </c>
      <c r="AT11" s="188">
        <f>((AH11/AB11)*(AJ11/AH11)*(AL11/AJ11)*(AN11/AL11)*(AP11/AN11)^(1/5))-1</f>
        <v>0.78694990463640879</v>
      </c>
      <c r="AU11" s="212">
        <f>SUM(AU12:AU16)</f>
        <v>3381485</v>
      </c>
      <c r="AV11" s="213">
        <f>SUM(AV12:AV16)</f>
        <v>3134349</v>
      </c>
      <c r="AW11" s="213">
        <f t="shared" ref="AW11" si="36">SUM(AW12:AW16)</f>
        <v>3374957</v>
      </c>
      <c r="AX11" s="209">
        <f>SUM(AX12:AX16)</f>
        <v>4352807.0999999996</v>
      </c>
      <c r="AY11" s="213">
        <f t="shared" ref="AY11" si="37">SUM(AY12:AY16)</f>
        <v>3561000</v>
      </c>
      <c r="AZ11" s="209">
        <f>SUM(AZ12:AZ16)</f>
        <v>4638187.1039700005</v>
      </c>
      <c r="BA11" s="213">
        <f t="shared" ref="BA11" si="38">SUM(BA12:BA16)</f>
        <v>5331240.5709698759</v>
      </c>
      <c r="BB11" s="213">
        <f t="shared" ref="BB11" si="39">SUM(BB12:BB16)</f>
        <v>5531240.1620000005</v>
      </c>
      <c r="BC11" s="213">
        <f t="shared" ref="BC11:BE11" si="40">SUM(BC12:BC16)</f>
        <v>4666890</v>
      </c>
      <c r="BD11" s="213">
        <f t="shared" ref="BD11" si="41">SUM(BD12:BD16)</f>
        <v>4666890</v>
      </c>
      <c r="BE11" s="213">
        <f t="shared" si="40"/>
        <v>15648682.570969876</v>
      </c>
      <c r="BF11" s="213">
        <f>SUM(BF12:BF16)</f>
        <v>22323473.365970001</v>
      </c>
      <c r="BG11" s="141">
        <f>BF11/$BF$9*100</f>
        <v>25.504641501860764</v>
      </c>
      <c r="BH11" s="247">
        <f t="shared" si="24"/>
        <v>0.45587712818978576</v>
      </c>
      <c r="BI11" s="17">
        <f>SUM(BI12:BI16)</f>
        <v>4892210.8713205801</v>
      </c>
      <c r="BJ11" s="163">
        <f>SUM(BJ12:BJ16)</f>
        <v>4892210.8713205801</v>
      </c>
      <c r="BK11" s="163">
        <f t="shared" ref="BK11" si="42">SUM(BK12:BK16)</f>
        <v>4823362.7382765934</v>
      </c>
      <c r="BL11" s="163">
        <f t="shared" ref="BL11" si="43">SUM(BL12:BL16)</f>
        <v>4823362.7382765934</v>
      </c>
      <c r="BM11" s="163">
        <f t="shared" ref="BM11" si="44">SUM(BM12:BM16)</f>
        <v>6043442.1840729155</v>
      </c>
      <c r="BN11" s="163">
        <f t="shared" ref="BN11" si="45">SUM(BN12:BN16)</f>
        <v>6043442.1840729155</v>
      </c>
      <c r="BO11" s="163">
        <f t="shared" ref="BO11" si="46">SUM(BO12:BO16)</f>
        <v>6475781.9322816804</v>
      </c>
      <c r="BP11" s="163">
        <f t="shared" ref="BP11" si="47">SUM(BP12:BP16)</f>
        <v>6475781.9322816804</v>
      </c>
      <c r="BQ11" s="163">
        <f t="shared" ref="BQ11" si="48">SUM(BQ12:BQ16)</f>
        <v>6943653.6306009274</v>
      </c>
      <c r="BR11" s="163">
        <f t="shared" ref="BR11:BS11" si="49">SUM(BR12:BR16)</f>
        <v>6943653.6306009274</v>
      </c>
      <c r="BS11" s="163">
        <f t="shared" si="49"/>
        <v>29178451.356552698</v>
      </c>
      <c r="BT11" s="163">
        <f>SUM(BT12:BT16)</f>
        <v>29178451.356552698</v>
      </c>
      <c r="BU11" s="141">
        <f>BT11/$BT$9*100</f>
        <v>23.297380012945958</v>
      </c>
      <c r="BV11" s="247">
        <f>((BJ11/BD11)*(BL11/BJ11)*(BN11/BL11)*(BP11/BN11)*(BR11/BP11)^(1/5))-1</f>
        <v>0.40709628950771481</v>
      </c>
      <c r="BW11" s="1">
        <f>BT11/BF11</f>
        <v>1.3070748838320319</v>
      </c>
    </row>
    <row r="12" spans="1:75">
      <c r="A12" s="776" t="s">
        <v>99</v>
      </c>
      <c r="B12" s="777" t="s">
        <v>143</v>
      </c>
      <c r="C12" s="77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7"/>
      <c r="AB12" s="157">
        <v>494263</v>
      </c>
      <c r="AC12" s="157"/>
      <c r="AD12" s="157">
        <v>2248716.4934978909</v>
      </c>
      <c r="AE12" s="175">
        <f>AD12/$AD$9*100</f>
        <v>6.7176160210341642</v>
      </c>
      <c r="AF12" s="280"/>
      <c r="AG12" s="778">
        <v>895000</v>
      </c>
      <c r="AH12" s="37">
        <v>755259</v>
      </c>
      <c r="AI12" s="160">
        <v>986480</v>
      </c>
      <c r="AJ12" s="160">
        <f>553506</f>
        <v>553506</v>
      </c>
      <c r="AK12" s="157">
        <v>1036350</v>
      </c>
      <c r="AL12" s="157">
        <f>3747985-AL13-AL14-AL37-AL38</f>
        <v>749525</v>
      </c>
      <c r="AM12" s="157">
        <v>1036350</v>
      </c>
      <c r="AN12" s="157">
        <f>4010931-AN13-AN14-AN31-AN35-(355722)</f>
        <v>853859</v>
      </c>
      <c r="AO12" s="157">
        <v>1131485</v>
      </c>
      <c r="AP12" s="157">
        <f>4454514-AP13-AP14-AP35-(245676)</f>
        <v>1006681</v>
      </c>
      <c r="AQ12" s="157">
        <f>SUM(AG12,AI12,AK12,AM12,AO12)</f>
        <v>5085665</v>
      </c>
      <c r="AR12" s="157">
        <f>SUM(AH12,AJ12,AL12,AN12,AP12)</f>
        <v>3918830</v>
      </c>
      <c r="AS12" s="175">
        <f>AR12/$AR$9*100</f>
        <v>6.7481916358742202</v>
      </c>
      <c r="AT12" s="187">
        <f>((AH12/AB12)*(AJ12/AH12)*(AL12/AJ12)*(AN12/AL12)*(AP12/AN12)^(1/5))-1</f>
        <v>0.78537398311252304</v>
      </c>
      <c r="AU12" s="288">
        <v>1131485</v>
      </c>
      <c r="AV12" s="779">
        <f>4403540.5-AV13-AV14-AV15-AV35-(1045375)</f>
        <v>839197</v>
      </c>
      <c r="AW12" s="152">
        <v>1036180</v>
      </c>
      <c r="AX12" s="779">
        <f>5827460-AX13-AX14-AX15-AX35-(1375884)</f>
        <v>881545.29999999981</v>
      </c>
      <c r="AY12" s="780">
        <v>1061000</v>
      </c>
      <c r="AZ12" s="209">
        <f>7207930-AZ13-AZ14-AZ15-AZ15-AZ36-(1275641)-161944</f>
        <v>961615.10397000005</v>
      </c>
      <c r="BA12" s="152">
        <v>1143186.4089698761</v>
      </c>
      <c r="BB12" s="152">
        <f>+'Phụ lục số 2'!H11</f>
        <v>1143186</v>
      </c>
      <c r="BC12" s="152">
        <f>+'Phụ lục số 2'!M11</f>
        <v>966890</v>
      </c>
      <c r="BD12" s="152">
        <f>BC12</f>
        <v>966890</v>
      </c>
      <c r="BE12" s="152">
        <f>AU12+AW12+AY12+BA12</f>
        <v>4371851.4089698764</v>
      </c>
      <c r="BF12" s="152">
        <f>AV12+AX12+AZ12+BB12+BD12</f>
        <v>4792433.4039699994</v>
      </c>
      <c r="BG12" s="175">
        <f>BF12/$BF$9*100</f>
        <v>5.4753708746831471</v>
      </c>
      <c r="BH12" s="267">
        <f t="shared" si="24"/>
        <v>-2.5564884737632187E-3</v>
      </c>
      <c r="BI12" s="26">
        <f>'Phụ lục số II'!R12</f>
        <v>1172210.8713205801</v>
      </c>
      <c r="BJ12" s="157">
        <f>BI12</f>
        <v>1172210.8713205801</v>
      </c>
      <c r="BK12" s="157">
        <f>'Phụ lục số II'!W12</f>
        <v>1193362.7382765929</v>
      </c>
      <c r="BL12" s="157">
        <f>BK12</f>
        <v>1193362.7382765929</v>
      </c>
      <c r="BM12" s="157">
        <f>'Phụ lục số II'!AB12</f>
        <v>1333442.1840729157</v>
      </c>
      <c r="BN12" s="157">
        <f>BM12</f>
        <v>1333442.1840729157</v>
      </c>
      <c r="BO12" s="157">
        <f>'Phụ lục số II'!AG12</f>
        <v>1475781.9322816809</v>
      </c>
      <c r="BP12" s="157">
        <f>BO12</f>
        <v>1475781.9322816809</v>
      </c>
      <c r="BQ12" s="157">
        <f>'Phụ lục số II'!AL12</f>
        <v>1608653.6306009274</v>
      </c>
      <c r="BR12" s="157">
        <f>BQ12</f>
        <v>1608653.6306009274</v>
      </c>
      <c r="BS12" s="157">
        <f>BI12+BK12+BM12+BO12+BQ12</f>
        <v>6783451.3565526977</v>
      </c>
      <c r="BT12" s="157">
        <f>BJ12+BL12+BN12+BP12+BR12</f>
        <v>6783451.3565526977</v>
      </c>
      <c r="BU12" s="175">
        <f>BT12/$BT$9*100</f>
        <v>5.4162108235895516</v>
      </c>
      <c r="BV12" s="267">
        <f>((BJ12/BD12)*(BL12/BJ12)*(BN12/BL12)*(BP12/BN12)*(BR12/BP12)^(1/5))-1</f>
        <v>0.55286317586787637</v>
      </c>
      <c r="BW12" s="1">
        <f>BT12/BF12</f>
        <v>1.4154503119299187</v>
      </c>
    </row>
    <row r="13" spans="1:75">
      <c r="A13" s="776" t="s">
        <v>101</v>
      </c>
      <c r="B13" s="777" t="s">
        <v>144</v>
      </c>
      <c r="C13" s="77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7"/>
      <c r="AB13" s="157">
        <v>317091</v>
      </c>
      <c r="AC13" s="157"/>
      <c r="AD13" s="157">
        <v>1530924.994919</v>
      </c>
      <c r="AE13" s="175">
        <f t="shared" ref="AE13:AE34" si="50">AD13/$AD$9*100</f>
        <v>4.5733494207055179</v>
      </c>
      <c r="AF13" s="280"/>
      <c r="AG13" s="778">
        <v>350000</v>
      </c>
      <c r="AH13" s="37">
        <v>333567</v>
      </c>
      <c r="AI13" s="160">
        <v>450000</v>
      </c>
      <c r="AJ13" s="160">
        <v>351441</v>
      </c>
      <c r="AK13" s="157">
        <v>450000</v>
      </c>
      <c r="AL13" s="157">
        <v>424494</v>
      </c>
      <c r="AM13" s="157">
        <v>450000</v>
      </c>
      <c r="AN13" s="157">
        <v>306246</v>
      </c>
      <c r="AO13" s="157">
        <v>600000</v>
      </c>
      <c r="AP13" s="157">
        <v>510705</v>
      </c>
      <c r="AQ13" s="157">
        <f t="shared" ref="AQ13:AQ16" si="51">SUM(AG13,AI13,AK13,AM13,AO13)</f>
        <v>2300000</v>
      </c>
      <c r="AR13" s="157">
        <f t="shared" ref="AR13:AR16" si="52">SUM(AH13,AJ13,AL13,AN13,AP13)</f>
        <v>1926453</v>
      </c>
      <c r="AS13" s="175">
        <f t="shared" ref="AS13:AS45" si="53">AR13/$AR$9*100</f>
        <v>3.3173355367558175</v>
      </c>
      <c r="AT13" s="187">
        <f t="shared" ref="AT13:AT45" si="54">((AH13/AB13)*(AJ13/AH13)*(AL13/AJ13)*(AN13/AL13)*(AP13/AN13)^(1/5))-1</f>
        <v>6.9809490467329649E-2</v>
      </c>
      <c r="AU13" s="288">
        <v>750000</v>
      </c>
      <c r="AV13" s="152">
        <v>461660</v>
      </c>
      <c r="AW13" s="152">
        <v>800000</v>
      </c>
      <c r="AX13" s="152">
        <v>684582.40000000002</v>
      </c>
      <c r="AY13" s="780">
        <v>900000</v>
      </c>
      <c r="AZ13" s="780">
        <v>912003</v>
      </c>
      <c r="BA13" s="152">
        <v>1770000</v>
      </c>
      <c r="BB13" s="152">
        <f>+'Phụ lục số 2'!H12</f>
        <v>1770000</v>
      </c>
      <c r="BC13" s="152">
        <f>+'Phụ lục số 2'!M12</f>
        <v>1600000</v>
      </c>
      <c r="BD13" s="152">
        <f t="shared" ref="BD13:BD34" si="55">BC13</f>
        <v>1600000</v>
      </c>
      <c r="BE13" s="152">
        <f t="shared" ref="BE13:BE16" si="56">AU13+AW13+AY13+BA13</f>
        <v>4220000</v>
      </c>
      <c r="BF13" s="152">
        <f>AV13+AX13+AZ13+BB13+BD13</f>
        <v>5428245.4000000004</v>
      </c>
      <c r="BG13" s="175">
        <f t="shared" ref="BG13:BG36" si="57">BF13/$BF$9*100</f>
        <v>6.201788164478546</v>
      </c>
      <c r="BH13" s="267">
        <f t="shared" si="24"/>
        <v>1.1077563530609527</v>
      </c>
      <c r="BI13" s="26">
        <f>'Phụ lục số II'!R13</f>
        <v>1570000</v>
      </c>
      <c r="BJ13" s="157">
        <f t="shared" ref="BJ13:BJ34" si="58">BI13</f>
        <v>1570000</v>
      </c>
      <c r="BK13" s="157">
        <f>'Phụ lục số II'!W13</f>
        <v>1480000</v>
      </c>
      <c r="BL13" s="157">
        <f t="shared" ref="BL13:BL34" si="59">BK13</f>
        <v>1480000</v>
      </c>
      <c r="BM13" s="157">
        <f>'Phụ lục số II'!AB13</f>
        <v>1660000</v>
      </c>
      <c r="BN13" s="157">
        <f t="shared" ref="BN13:BN34" si="60">BM13</f>
        <v>1660000</v>
      </c>
      <c r="BO13" s="157">
        <f>'Phụ lục số II'!AG13</f>
        <v>1800000</v>
      </c>
      <c r="BP13" s="157">
        <f t="shared" ref="BP13:BP34" si="61">BO13</f>
        <v>1800000</v>
      </c>
      <c r="BQ13" s="157">
        <f>'Phụ lục số II'!AL13</f>
        <v>1935000</v>
      </c>
      <c r="BR13" s="157">
        <f t="shared" ref="BR13:BR34" si="62">BQ13</f>
        <v>1935000</v>
      </c>
      <c r="BS13" s="157">
        <f t="shared" ref="BS13:BS16" si="63">BI13+BK13+BM13+BO13+BQ13</f>
        <v>8445000</v>
      </c>
      <c r="BT13" s="157">
        <f t="shared" ref="BT13:BT16" si="64">BJ13+BL13+BN13+BP13+BR13</f>
        <v>8445000</v>
      </c>
      <c r="BU13" s="175">
        <f t="shared" ref="BU13:BU36" si="65">BT13/$BT$9*100</f>
        <v>6.742865541599234</v>
      </c>
      <c r="BV13" s="267">
        <f t="shared" ref="BV13:BV45" si="66">((BJ13/BD13)*(BL13/BJ13)*(BN13/BL13)*(BP13/BN13)*(BR13/BP13)^(1/5))-1</f>
        <v>0.14139039955586341</v>
      </c>
      <c r="BW13" s="1">
        <f t="shared" ref="BW13:BW16" si="67">BT13/BF13</f>
        <v>1.5557513298864489</v>
      </c>
    </row>
    <row r="14" spans="1:75">
      <c r="A14" s="776" t="s">
        <v>147</v>
      </c>
      <c r="B14" s="777" t="s">
        <v>145</v>
      </c>
      <c r="C14" s="77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7"/>
      <c r="AB14" s="157">
        <v>1057507</v>
      </c>
      <c r="AC14" s="157"/>
      <c r="AD14" s="157">
        <v>3843849.5238890001</v>
      </c>
      <c r="AE14" s="175">
        <f t="shared" si="50"/>
        <v>11.482774826788326</v>
      </c>
      <c r="AF14" s="280"/>
      <c r="AG14" s="781">
        <v>700000</v>
      </c>
      <c r="AH14" s="37">
        <f>793439+147000</f>
        <v>940439</v>
      </c>
      <c r="AI14" s="160">
        <v>1200000</v>
      </c>
      <c r="AJ14" s="160">
        <v>751166</v>
      </c>
      <c r="AK14" s="157">
        <v>1270000</v>
      </c>
      <c r="AL14" s="157">
        <v>1246327</v>
      </c>
      <c r="AM14" s="157">
        <v>1380000</v>
      </c>
      <c r="AN14" s="157">
        <v>1422020</v>
      </c>
      <c r="AO14" s="157">
        <v>1460000</v>
      </c>
      <c r="AP14" s="157">
        <v>1360128</v>
      </c>
      <c r="AQ14" s="157">
        <f t="shared" si="51"/>
        <v>6010000</v>
      </c>
      <c r="AR14" s="157">
        <f t="shared" si="52"/>
        <v>5720080</v>
      </c>
      <c r="AS14" s="175">
        <f t="shared" si="53"/>
        <v>9.8499286808898088</v>
      </c>
      <c r="AT14" s="187">
        <f t="shared" si="54"/>
        <v>0.33277632387778611</v>
      </c>
      <c r="AU14" s="288">
        <v>1500000</v>
      </c>
      <c r="AV14" s="152">
        <v>731579</v>
      </c>
      <c r="AW14" s="152">
        <v>1500000</v>
      </c>
      <c r="AX14" s="152">
        <v>1293670.3999999999</v>
      </c>
      <c r="AY14" s="780">
        <v>1600000</v>
      </c>
      <c r="AZ14" s="782">
        <v>1326984</v>
      </c>
      <c r="BA14" s="152">
        <v>1950000</v>
      </c>
      <c r="BB14" s="152">
        <f>+'Phụ lục số 2'!H14</f>
        <v>2150000</v>
      </c>
      <c r="BC14" s="152">
        <f>+'Phụ lục số 2'!M14</f>
        <v>2100000</v>
      </c>
      <c r="BD14" s="152">
        <f t="shared" si="55"/>
        <v>2100000</v>
      </c>
      <c r="BE14" s="152">
        <f t="shared" si="56"/>
        <v>6550000</v>
      </c>
      <c r="BF14" s="152">
        <f t="shared" ref="BF14:BF34" si="68">AV14+AX14+AZ14+BB14+BD14</f>
        <v>7602233.4000000004</v>
      </c>
      <c r="BG14" s="175">
        <f t="shared" si="57"/>
        <v>8.6855765812878492</v>
      </c>
      <c r="BH14" s="267">
        <f t="shared" si="24"/>
        <v>0.10072567965857204</v>
      </c>
      <c r="BI14" s="26">
        <f>'Phụ lục số II'!R14</f>
        <v>1850000</v>
      </c>
      <c r="BJ14" s="157">
        <f t="shared" si="58"/>
        <v>1850000</v>
      </c>
      <c r="BK14" s="157">
        <f>'Phụ lục số II'!W14</f>
        <v>1850000</v>
      </c>
      <c r="BL14" s="157">
        <f t="shared" si="59"/>
        <v>1850000</v>
      </c>
      <c r="BM14" s="157">
        <f>'Phụ lục số II'!AB14</f>
        <v>2000000</v>
      </c>
      <c r="BN14" s="157">
        <f t="shared" si="60"/>
        <v>2000000</v>
      </c>
      <c r="BO14" s="157">
        <f>'Phụ lục số II'!AG14</f>
        <v>2100000</v>
      </c>
      <c r="BP14" s="157">
        <f t="shared" si="61"/>
        <v>2100000</v>
      </c>
      <c r="BQ14" s="157">
        <f>'Phụ lục số II'!AL14</f>
        <v>2200000</v>
      </c>
      <c r="BR14" s="157">
        <f t="shared" si="62"/>
        <v>2200000</v>
      </c>
      <c r="BS14" s="157">
        <f t="shared" si="63"/>
        <v>10000000</v>
      </c>
      <c r="BT14" s="157">
        <f t="shared" si="64"/>
        <v>10000000</v>
      </c>
      <c r="BU14" s="175">
        <f t="shared" si="65"/>
        <v>7.984447059324137</v>
      </c>
      <c r="BV14" s="267">
        <f t="shared" si="66"/>
        <v>9.3474199095688881E-3</v>
      </c>
      <c r="BW14" s="1">
        <f t="shared" si="67"/>
        <v>1.31540291830556</v>
      </c>
    </row>
    <row r="15" spans="1:75" s="204" customFormat="1" ht="31.2">
      <c r="A15" s="784" t="s">
        <v>148</v>
      </c>
      <c r="B15" s="821" t="s">
        <v>146</v>
      </c>
      <c r="C15" s="822"/>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152"/>
      <c r="AB15" s="152"/>
      <c r="AC15" s="152"/>
      <c r="AD15" s="152"/>
      <c r="AE15" s="823">
        <f t="shared" si="50"/>
        <v>0</v>
      </c>
      <c r="AF15" s="824"/>
      <c r="AG15" s="825"/>
      <c r="AH15" s="202"/>
      <c r="AI15" s="202"/>
      <c r="AJ15" s="202"/>
      <c r="AK15" s="152"/>
      <c r="AL15" s="152"/>
      <c r="AM15" s="152"/>
      <c r="AN15" s="152"/>
      <c r="AO15" s="152"/>
      <c r="AP15" s="152"/>
      <c r="AQ15" s="152">
        <f t="shared" si="51"/>
        <v>0</v>
      </c>
      <c r="AR15" s="152">
        <f t="shared" si="52"/>
        <v>0</v>
      </c>
      <c r="AS15" s="823">
        <f t="shared" si="53"/>
        <v>0</v>
      </c>
      <c r="AT15" s="826" t="e">
        <f t="shared" si="54"/>
        <v>#DIV/0!</v>
      </c>
      <c r="AU15" s="288">
        <v>0</v>
      </c>
      <c r="AV15" s="152"/>
      <c r="AW15" s="152">
        <v>38777</v>
      </c>
      <c r="AX15" s="152">
        <f>AW15</f>
        <v>38777</v>
      </c>
      <c r="AY15" s="780"/>
      <c r="AZ15" s="780"/>
      <c r="BA15" s="152">
        <v>408054.16200000001</v>
      </c>
      <c r="BB15" s="152">
        <f>+'Phụ lục số 2'!H16</f>
        <v>408054.16200000001</v>
      </c>
      <c r="BC15" s="152">
        <f>'Phụ lục số II'!M15</f>
        <v>0</v>
      </c>
      <c r="BD15" s="152">
        <f t="shared" si="55"/>
        <v>0</v>
      </c>
      <c r="BE15" s="152">
        <f t="shared" si="56"/>
        <v>446831.16200000001</v>
      </c>
      <c r="BF15" s="152">
        <f>AV15+AX15+AZ15+BB15+BD15</f>
        <v>446831.16200000001</v>
      </c>
      <c r="BG15" s="823">
        <f t="shared" si="57"/>
        <v>0.5105060673955153</v>
      </c>
      <c r="BH15" s="827" t="e">
        <f t="shared" si="24"/>
        <v>#DIV/0!</v>
      </c>
      <c r="BI15" s="288">
        <f>'Phụ lục số II'!R15</f>
        <v>0</v>
      </c>
      <c r="BJ15" s="152">
        <f t="shared" si="58"/>
        <v>0</v>
      </c>
      <c r="BK15" s="152">
        <f>'Phụ lục số II'!W15</f>
        <v>0</v>
      </c>
      <c r="BL15" s="152">
        <f t="shared" si="59"/>
        <v>0</v>
      </c>
      <c r="BM15" s="152">
        <f>'Phụ lục số II'!AB15</f>
        <v>0</v>
      </c>
      <c r="BN15" s="152">
        <f t="shared" si="60"/>
        <v>0</v>
      </c>
      <c r="BO15" s="152">
        <f>'Phụ lục số II'!AG15</f>
        <v>0</v>
      </c>
      <c r="BP15" s="152">
        <f t="shared" si="61"/>
        <v>0</v>
      </c>
      <c r="BQ15" s="152">
        <f>'Phụ lục số II'!AL15</f>
        <v>0</v>
      </c>
      <c r="BR15" s="152">
        <f t="shared" si="62"/>
        <v>0</v>
      </c>
      <c r="BS15" s="152">
        <f t="shared" si="63"/>
        <v>0</v>
      </c>
      <c r="BT15" s="152">
        <f t="shared" si="64"/>
        <v>0</v>
      </c>
      <c r="BU15" s="823">
        <f t="shared" si="65"/>
        <v>0</v>
      </c>
      <c r="BV15" s="827"/>
      <c r="BW15" s="204">
        <f t="shared" si="67"/>
        <v>0</v>
      </c>
    </row>
    <row r="16" spans="1:75" s="204" customFormat="1">
      <c r="A16" s="784" t="s">
        <v>149</v>
      </c>
      <c r="B16" s="232" t="s">
        <v>185</v>
      </c>
      <c r="C16" s="822"/>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152"/>
      <c r="AB16" s="152"/>
      <c r="AC16" s="152"/>
      <c r="AD16" s="152"/>
      <c r="AE16" s="823">
        <f t="shared" si="50"/>
        <v>0</v>
      </c>
      <c r="AF16" s="824"/>
      <c r="AG16" s="825">
        <v>1800</v>
      </c>
      <c r="AH16" s="202">
        <f>128174+70208+1317+195324</f>
        <v>395023</v>
      </c>
      <c r="AI16" s="202"/>
      <c r="AJ16" s="152">
        <f>1062551+207663+218777</f>
        <v>1488991</v>
      </c>
      <c r="AK16" s="152"/>
      <c r="AL16" s="152">
        <f>144409+19215</f>
        <v>163624</v>
      </c>
      <c r="AM16" s="152"/>
      <c r="AN16" s="152">
        <f>(3349+396556+4400)+(355722)</f>
        <v>760027</v>
      </c>
      <c r="AO16" s="152"/>
      <c r="AP16" s="152">
        <f>47018+159009+(245676)</f>
        <v>451703</v>
      </c>
      <c r="AQ16" s="152">
        <f t="shared" si="51"/>
        <v>1800</v>
      </c>
      <c r="AR16" s="152">
        <f t="shared" si="52"/>
        <v>3259368</v>
      </c>
      <c r="AS16" s="823">
        <f t="shared" si="53"/>
        <v>5.6126037301531548</v>
      </c>
      <c r="AT16" s="826" t="e">
        <f t="shared" si="54"/>
        <v>#DIV/0!</v>
      </c>
      <c r="AU16" s="288"/>
      <c r="AV16" s="779">
        <f>19699+36839+(1045375)</f>
        <v>1101913</v>
      </c>
      <c r="AW16" s="152"/>
      <c r="AX16" s="779">
        <f>78348+(1375884)</f>
        <v>1454232</v>
      </c>
      <c r="AY16" s="780"/>
      <c r="AZ16" s="780">
        <f>8460+153484+(1275641)</f>
        <v>1437585</v>
      </c>
      <c r="BA16" s="152">
        <v>60000</v>
      </c>
      <c r="BB16" s="152">
        <f>+'Phụ lục số 2'!H17</f>
        <v>60000</v>
      </c>
      <c r="BC16" s="152">
        <f>+'Phụ lục số 2'!M16</f>
        <v>0</v>
      </c>
      <c r="BD16" s="152">
        <f t="shared" si="55"/>
        <v>0</v>
      </c>
      <c r="BE16" s="152">
        <f t="shared" si="56"/>
        <v>60000</v>
      </c>
      <c r="BF16" s="152">
        <f t="shared" si="68"/>
        <v>4053730</v>
      </c>
      <c r="BG16" s="823">
        <f t="shared" si="57"/>
        <v>4.6313998140157064</v>
      </c>
      <c r="BH16" s="827">
        <f t="shared" si="24"/>
        <v>0.43850040040639193</v>
      </c>
      <c r="BI16" s="288">
        <f>'Phụ lục số II'!R16</f>
        <v>300000</v>
      </c>
      <c r="BJ16" s="152">
        <f t="shared" si="58"/>
        <v>300000</v>
      </c>
      <c r="BK16" s="152">
        <f>'Phụ lục số II'!W16</f>
        <v>300000</v>
      </c>
      <c r="BL16" s="152">
        <f t="shared" si="59"/>
        <v>300000</v>
      </c>
      <c r="BM16" s="152">
        <f>'Phụ lục số II'!AB16</f>
        <v>1050000</v>
      </c>
      <c r="BN16" s="152">
        <f t="shared" si="60"/>
        <v>1050000</v>
      </c>
      <c r="BO16" s="152">
        <f>'Phụ lục số II'!AG16</f>
        <v>1100000</v>
      </c>
      <c r="BP16" s="152">
        <f t="shared" si="61"/>
        <v>1100000</v>
      </c>
      <c r="BQ16" s="152">
        <f>'Phụ lục số II'!AL16</f>
        <v>1200000</v>
      </c>
      <c r="BR16" s="152">
        <f t="shared" si="62"/>
        <v>1200000</v>
      </c>
      <c r="BS16" s="152">
        <f t="shared" si="63"/>
        <v>3950000</v>
      </c>
      <c r="BT16" s="152">
        <f t="shared" si="64"/>
        <v>3950000</v>
      </c>
      <c r="BU16" s="823">
        <f t="shared" si="65"/>
        <v>3.1538565884330341</v>
      </c>
      <c r="BV16" s="827" t="e">
        <f t="shared" si="66"/>
        <v>#DIV/0!</v>
      </c>
      <c r="BW16" s="204">
        <f t="shared" si="67"/>
        <v>0.9744112212702869</v>
      </c>
    </row>
    <row r="17" spans="1:74" s="4" customFormat="1">
      <c r="A17" s="773">
        <v>2</v>
      </c>
      <c r="B17" s="268" t="s">
        <v>151</v>
      </c>
      <c r="C17" s="774"/>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61">
        <f>SUM(AA18:AA30)</f>
        <v>0</v>
      </c>
      <c r="AB17" s="142">
        <f>SUM(AB18:AB30)</f>
        <v>5943201.1655269992</v>
      </c>
      <c r="AC17" s="142">
        <f>SUM(AC18:AC30)</f>
        <v>0</v>
      </c>
      <c r="AD17" s="142">
        <f>SUM(AD18:AD30)</f>
        <v>25351062.566795997</v>
      </c>
      <c r="AE17" s="141">
        <f t="shared" si="50"/>
        <v>75.731513750783108</v>
      </c>
      <c r="AF17" s="281"/>
      <c r="AG17" s="161">
        <f>SUM(AG18:AG30)</f>
        <v>5862166</v>
      </c>
      <c r="AH17" s="161">
        <f>SUM(AH18:AH30)</f>
        <v>6231312.6461590007</v>
      </c>
      <c r="AI17" s="161">
        <f t="shared" ref="AI17:AQ17" si="69">SUM(AI18:AI30)</f>
        <v>6762663</v>
      </c>
      <c r="AJ17" s="161">
        <f t="shared" si="69"/>
        <v>6952345</v>
      </c>
      <c r="AK17" s="142">
        <f>SUM(AK18:AK30)+13</f>
        <v>7131263.3900000025</v>
      </c>
      <c r="AL17" s="142">
        <f>SUM(AL18:AL30)</f>
        <v>7530151</v>
      </c>
      <c r="AM17" s="142">
        <f t="shared" si="69"/>
        <v>7613338</v>
      </c>
      <c r="AN17" s="142">
        <f t="shared" si="69"/>
        <v>8380534</v>
      </c>
      <c r="AO17" s="142">
        <f t="shared" si="69"/>
        <v>8373843</v>
      </c>
      <c r="AP17" s="142">
        <f t="shared" si="69"/>
        <v>8639216</v>
      </c>
      <c r="AQ17" s="142">
        <f t="shared" si="69"/>
        <v>35743260.390000001</v>
      </c>
      <c r="AR17" s="142">
        <f>SUM(AR18:AR30)</f>
        <v>37733558.646159001</v>
      </c>
      <c r="AS17" s="141">
        <f>AR17/$AR$9*100</f>
        <v>64.976864229318338</v>
      </c>
      <c r="AT17" s="188">
        <f t="shared" si="54"/>
        <v>0.41870398907880069</v>
      </c>
      <c r="AU17" s="212">
        <f t="shared" ref="AU17" si="70">SUM(AU18:AU30)</f>
        <v>8465821</v>
      </c>
      <c r="AV17" s="213">
        <f t="shared" ref="AV17" si="71">SUM(AV18:AV30)</f>
        <v>9613279.5</v>
      </c>
      <c r="AW17" s="213">
        <f t="shared" ref="AW17" si="72">SUM(AW18:AW30)</f>
        <v>9140657</v>
      </c>
      <c r="AX17" s="213">
        <f>SUM(AX18:AX30)</f>
        <v>9182745.3000000007</v>
      </c>
      <c r="AY17" s="213">
        <f>SUM(AY18:AY30)</f>
        <v>9353865</v>
      </c>
      <c r="AZ17" s="213">
        <f t="shared" ref="AZ17" si="73">SUM(AZ18:AZ30)</f>
        <v>9681886</v>
      </c>
      <c r="BA17" s="147">
        <f>SUM(BA18:BA30)</f>
        <v>10664978.394711081</v>
      </c>
      <c r="BB17" s="147">
        <f t="shared" ref="BB17:BD17" si="74">SUM(BB18:BB30)</f>
        <v>11721214.294711081</v>
      </c>
      <c r="BC17" s="147">
        <f t="shared" si="74"/>
        <v>12761657.450000003</v>
      </c>
      <c r="BD17" s="147">
        <f t="shared" si="74"/>
        <v>12761657.450000003</v>
      </c>
      <c r="BE17" s="147">
        <f>SUM(BE18:BE30)</f>
        <v>37625321.394711085</v>
      </c>
      <c r="BF17" s="147">
        <f t="shared" ref="BF17" si="75">SUM(BF18:BF30)</f>
        <v>52960782.544711076</v>
      </c>
      <c r="BG17" s="141">
        <f>BF17/$BF$9*100</f>
        <v>60.507867674389047</v>
      </c>
      <c r="BH17" s="1061">
        <f>((AV17/AP17)*(AX17/AV17)*(AZ17/AX17)*(BB17/AZ17)^(1/4))-1</f>
        <v>0.17554373846086024</v>
      </c>
      <c r="BI17" s="18">
        <f>SUM(BI18:BI30)</f>
        <v>13129841.369368901</v>
      </c>
      <c r="BJ17" s="142">
        <f t="shared" ref="BJ17:BT17" si="76">SUM(BJ18:BJ30)</f>
        <v>13129841.369368901</v>
      </c>
      <c r="BK17" s="142">
        <f t="shared" si="76"/>
        <v>13356293.919538178</v>
      </c>
      <c r="BL17" s="142">
        <f t="shared" si="76"/>
        <v>13356293.919538178</v>
      </c>
      <c r="BM17" s="142">
        <f t="shared" si="76"/>
        <v>14069288.623793686</v>
      </c>
      <c r="BN17" s="142">
        <f t="shared" si="76"/>
        <v>14069288.623793686</v>
      </c>
      <c r="BO17" s="142">
        <f t="shared" si="76"/>
        <v>14880445.409413649</v>
      </c>
      <c r="BP17" s="142">
        <f t="shared" si="76"/>
        <v>14880445.409413649</v>
      </c>
      <c r="BQ17" s="142">
        <f t="shared" si="76"/>
        <v>15572571.362742566</v>
      </c>
      <c r="BR17" s="142">
        <f t="shared" si="76"/>
        <v>15572571.362742566</v>
      </c>
      <c r="BS17" s="142">
        <f t="shared" si="76"/>
        <v>71008440.684856981</v>
      </c>
      <c r="BT17" s="142">
        <f t="shared" si="76"/>
        <v>71008440.684856981</v>
      </c>
      <c r="BU17" s="141">
        <f>BT17/$BT$9*100</f>
        <v>56.696313541339869</v>
      </c>
      <c r="BV17" s="247">
        <f t="shared" si="66"/>
        <v>0.1766782546537109</v>
      </c>
    </row>
    <row r="18" spans="1:74">
      <c r="A18" s="785" t="s">
        <v>99</v>
      </c>
      <c r="B18" s="786" t="s">
        <v>152</v>
      </c>
      <c r="C18" s="77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7"/>
      <c r="AB18" s="157">
        <v>2477605.390437</v>
      </c>
      <c r="AC18" s="157"/>
      <c r="AD18" s="157">
        <v>10449143.233044</v>
      </c>
      <c r="AE18" s="175">
        <f t="shared" si="50"/>
        <v>31.214842863179697</v>
      </c>
      <c r="AF18" s="280"/>
      <c r="AG18" s="778">
        <v>2556940</v>
      </c>
      <c r="AH18" s="37">
        <v>2573258.7171829999</v>
      </c>
      <c r="AI18" s="160">
        <f>2997933</f>
        <v>2997933</v>
      </c>
      <c r="AJ18" s="160">
        <v>2852334</v>
      </c>
      <c r="AK18" s="157">
        <v>3098986.49</v>
      </c>
      <c r="AL18" s="157">
        <f>3044192</f>
        <v>3044192</v>
      </c>
      <c r="AM18" s="157">
        <v>3322431</v>
      </c>
      <c r="AN18" s="157">
        <v>3320884</v>
      </c>
      <c r="AO18" s="157">
        <v>3653123</v>
      </c>
      <c r="AP18" s="157">
        <f>3507850</f>
        <v>3507850</v>
      </c>
      <c r="AQ18" s="157">
        <f t="shared" ref="AQ18" si="77">SUM(AG18,AI18,AK18,AM18,AO18)</f>
        <v>15629413.49</v>
      </c>
      <c r="AR18" s="157">
        <f t="shared" ref="AR18" si="78">SUM(AH18,AJ18,AL18,AN18,AP18)</f>
        <v>15298518.717182999</v>
      </c>
      <c r="AS18" s="175">
        <f t="shared" si="53"/>
        <v>26.34391796749528</v>
      </c>
      <c r="AT18" s="187">
        <f t="shared" si="54"/>
        <v>0.35512397895738856</v>
      </c>
      <c r="AU18" s="288">
        <v>3653191</v>
      </c>
      <c r="AV18" s="152">
        <v>3486573</v>
      </c>
      <c r="AW18" s="152">
        <v>4090257</v>
      </c>
      <c r="AX18" s="152">
        <v>3604495</v>
      </c>
      <c r="AY18" s="780">
        <v>4179745</v>
      </c>
      <c r="AZ18" s="780">
        <v>4042557</v>
      </c>
      <c r="BA18" s="152">
        <v>4797945.7831797441</v>
      </c>
      <c r="BB18" s="152">
        <f>+'Phụ lục số 2'!H23</f>
        <v>5490754.7831797441</v>
      </c>
      <c r="BC18" s="152">
        <f>+'Phụ lục số 2'!M23</f>
        <v>5859513.0000000009</v>
      </c>
      <c r="BD18" s="152">
        <f t="shared" si="55"/>
        <v>5859513.0000000009</v>
      </c>
      <c r="BE18" s="152">
        <f t="shared" ref="BE18" si="79">AU18+AW18+AY18+BA18</f>
        <v>16721138.783179745</v>
      </c>
      <c r="BF18" s="152">
        <f t="shared" si="68"/>
        <v>22483892.783179745</v>
      </c>
      <c r="BG18" s="175">
        <f t="shared" si="57"/>
        <v>25.687921211912919</v>
      </c>
      <c r="BH18" s="827">
        <f t="shared" si="24"/>
        <v>0.24411094890709606</v>
      </c>
      <c r="BI18" s="26">
        <f>'Phụ lục số II'!R18</f>
        <v>6125305.9847530071</v>
      </c>
      <c r="BJ18" s="157">
        <f t="shared" si="58"/>
        <v>6125305.9847530071</v>
      </c>
      <c r="BK18" s="157">
        <f>'Phụ lục số II'!W18</f>
        <v>6216594.5722299647</v>
      </c>
      <c r="BL18" s="157">
        <f t="shared" si="59"/>
        <v>6216594.5722299647</v>
      </c>
      <c r="BM18" s="157">
        <f>'Phụ lục số II'!AB18</f>
        <v>6570586.3004330387</v>
      </c>
      <c r="BN18" s="157">
        <f t="shared" si="60"/>
        <v>6570586.3004330387</v>
      </c>
      <c r="BO18" s="157">
        <f>'Phụ lục số II'!AG18</f>
        <v>6902275.782411241</v>
      </c>
      <c r="BP18" s="157">
        <f t="shared" si="61"/>
        <v>6902275.782411241</v>
      </c>
      <c r="BQ18" s="157">
        <f>'Phụ lục số II'!AL18</f>
        <v>7160349.935425234</v>
      </c>
      <c r="BR18" s="157">
        <f t="shared" si="62"/>
        <v>7160349.935425234</v>
      </c>
      <c r="BS18" s="157">
        <f t="shared" ref="BS18" si="80">BI18+BK18+BM18+BO18+BQ18</f>
        <v>32975112.575252485</v>
      </c>
      <c r="BT18" s="157">
        <f t="shared" ref="BT18" si="81">BJ18+BL18+BN18+BP18+BR18</f>
        <v>32975112.575252485</v>
      </c>
      <c r="BU18" s="175">
        <f t="shared" si="65"/>
        <v>26.328804063235705</v>
      </c>
      <c r="BV18" s="267">
        <f t="shared" si="66"/>
        <v>0.18664051847942531</v>
      </c>
    </row>
    <row r="19" spans="1:74">
      <c r="A19" s="785" t="s">
        <v>101</v>
      </c>
      <c r="B19" s="786" t="s">
        <v>153</v>
      </c>
      <c r="C19" s="77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7"/>
      <c r="AB19" s="157">
        <v>19615.733521999999</v>
      </c>
      <c r="AC19" s="157"/>
      <c r="AD19" s="157">
        <v>93733.795927999992</v>
      </c>
      <c r="AE19" s="175">
        <f t="shared" si="50"/>
        <v>0.28001202066109643</v>
      </c>
      <c r="AF19" s="280"/>
      <c r="AG19" s="778">
        <v>26000</v>
      </c>
      <c r="AH19" s="37">
        <v>17427.107277999999</v>
      </c>
      <c r="AI19" s="160">
        <v>26000</v>
      </c>
      <c r="AJ19" s="160">
        <v>20608</v>
      </c>
      <c r="AK19" s="157">
        <v>28000.49</v>
      </c>
      <c r="AL19" s="157">
        <v>18903</v>
      </c>
      <c r="AM19" s="157">
        <v>28000</v>
      </c>
      <c r="AN19" s="157">
        <v>21132</v>
      </c>
      <c r="AO19" s="157">
        <v>31000</v>
      </c>
      <c r="AP19" s="157">
        <v>19238</v>
      </c>
      <c r="AQ19" s="157">
        <f t="shared" ref="AQ19:AQ33" si="82">SUM(AG19,AI19,AK19,AM19,AO19)</f>
        <v>139000.49</v>
      </c>
      <c r="AR19" s="157">
        <f t="shared" ref="AR19:AR34" si="83">SUM(AH19,AJ19,AL19,AN19,AP19)</f>
        <v>97308.107277999996</v>
      </c>
      <c r="AS19" s="175">
        <f t="shared" si="53"/>
        <v>0.16756372581514151</v>
      </c>
      <c r="AT19" s="187">
        <f t="shared" si="54"/>
        <v>5.7255401591277622E-2</v>
      </c>
      <c r="AU19" s="288">
        <v>31000</v>
      </c>
      <c r="AV19" s="152">
        <v>14227</v>
      </c>
      <c r="AW19" s="152">
        <v>31000</v>
      </c>
      <c r="AX19" s="152">
        <v>23983</v>
      </c>
      <c r="AY19" s="780">
        <v>31000</v>
      </c>
      <c r="AZ19" s="780">
        <v>18421</v>
      </c>
      <c r="BA19" s="152">
        <v>31218</v>
      </c>
      <c r="BB19" s="152">
        <f>+'Phụ lục số 2'!H24</f>
        <v>30790</v>
      </c>
      <c r="BC19" s="152">
        <f>+'Phụ lục số 2'!M24</f>
        <v>31307</v>
      </c>
      <c r="BD19" s="152">
        <f t="shared" si="55"/>
        <v>31307</v>
      </c>
      <c r="BE19" s="152">
        <f t="shared" ref="BE19:BE34" si="84">AU19+AW19+AY19+BA19</f>
        <v>124218</v>
      </c>
      <c r="BF19" s="152">
        <f t="shared" si="68"/>
        <v>118728</v>
      </c>
      <c r="BG19" s="175">
        <f>BF19/$BF$9*100</f>
        <v>0.1356471292164147</v>
      </c>
      <c r="BH19" s="827">
        <f t="shared" si="24"/>
        <v>8.8748084015802586E-2</v>
      </c>
      <c r="BI19" s="26">
        <f>'Phụ lục số II'!R19</f>
        <v>33377.029058352004</v>
      </c>
      <c r="BJ19" s="157">
        <f t="shared" si="58"/>
        <v>33377.029058352004</v>
      </c>
      <c r="BK19" s="157">
        <f>'Phụ lục số II'!W19</f>
        <v>34148.038429599939</v>
      </c>
      <c r="BL19" s="157">
        <f t="shared" si="59"/>
        <v>34148.038429599939</v>
      </c>
      <c r="BM19" s="157">
        <f>'Phụ lục số II'!AB19</f>
        <v>35149.814659228985</v>
      </c>
      <c r="BN19" s="157">
        <f t="shared" si="60"/>
        <v>35149.814659228985</v>
      </c>
      <c r="BO19" s="157">
        <f>'Phụ lục số II'!AG19</f>
        <v>36406.277712104355</v>
      </c>
      <c r="BP19" s="157">
        <f t="shared" si="61"/>
        <v>36406.277712104355</v>
      </c>
      <c r="BQ19" s="157">
        <f>'Phụ lục số II'!AL19</f>
        <v>37320.513403256889</v>
      </c>
      <c r="BR19" s="157">
        <f t="shared" si="62"/>
        <v>37320.513403256889</v>
      </c>
      <c r="BS19" s="157">
        <f t="shared" ref="BS19:BS34" si="85">BI19+BK19+BM19+BO19+BQ19</f>
        <v>176401.67326254217</v>
      </c>
      <c r="BT19" s="157">
        <f t="shared" ref="BT19:BT33" si="86">BJ19+BL19+BN19+BP19+BR19</f>
        <v>176401.67326254217</v>
      </c>
      <c r="BU19" s="175">
        <f t="shared" si="65"/>
        <v>0.14084698213409622</v>
      </c>
      <c r="BV19" s="267">
        <f t="shared" si="66"/>
        <v>0.16866245187939133</v>
      </c>
    </row>
    <row r="20" spans="1:74">
      <c r="A20" s="787" t="s">
        <v>147</v>
      </c>
      <c r="B20" s="788" t="s">
        <v>154</v>
      </c>
      <c r="C20" s="77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7"/>
      <c r="AB20" s="157">
        <f>248340.399725-AB21</f>
        <v>173838.399725</v>
      </c>
      <c r="AC20" s="157"/>
      <c r="AD20" s="157">
        <f>1044182.444512-AD21</f>
        <v>730927.44451199996</v>
      </c>
      <c r="AE20" s="175">
        <f t="shared" si="50"/>
        <v>2.1835077590548995</v>
      </c>
      <c r="AF20" s="280"/>
      <c r="AG20" s="781">
        <v>112983</v>
      </c>
      <c r="AH20" s="37">
        <f>281758.400663-AH21</f>
        <v>214136.40066300001</v>
      </c>
      <c r="AI20" s="747">
        <f>(51586+6000)+82976-1430</f>
        <v>139132</v>
      </c>
      <c r="AJ20" s="160">
        <v>195246</v>
      </c>
      <c r="AK20" s="157">
        <f>205014-AK21</f>
        <v>147260.24</v>
      </c>
      <c r="AL20" s="157">
        <v>203349</v>
      </c>
      <c r="AM20" s="157">
        <f>215487-AM21</f>
        <v>154291.64000000001</v>
      </c>
      <c r="AN20" s="157">
        <v>220183</v>
      </c>
      <c r="AO20" s="157">
        <f>227688-AO21</f>
        <v>160528</v>
      </c>
      <c r="AP20" s="157">
        <v>219316</v>
      </c>
      <c r="AQ20" s="157">
        <f t="shared" si="82"/>
        <v>714194.88</v>
      </c>
      <c r="AR20" s="157">
        <f t="shared" si="83"/>
        <v>1052230.4006630001</v>
      </c>
      <c r="AS20" s="175">
        <f t="shared" si="53"/>
        <v>1.8119317216533088</v>
      </c>
      <c r="AT20" s="187">
        <f t="shared" si="54"/>
        <v>0.26559682202969936</v>
      </c>
      <c r="AU20" s="288">
        <f>271557-AU21</f>
        <v>197597</v>
      </c>
      <c r="AV20" s="152">
        <v>336887</v>
      </c>
      <c r="AW20" s="152">
        <f>90000+97693+5000</f>
        <v>192693</v>
      </c>
      <c r="AX20" s="152">
        <v>285919</v>
      </c>
      <c r="AY20" s="780">
        <f>102584+91000</f>
        <v>193584</v>
      </c>
      <c r="AZ20" s="780">
        <v>278546</v>
      </c>
      <c r="BA20" s="152">
        <v>217777</v>
      </c>
      <c r="BB20" s="152">
        <f>+'Phụ lục số 2'!H25</f>
        <v>367097</v>
      </c>
      <c r="BC20" s="152">
        <f>+'Phụ lục số 2'!M25</f>
        <v>386782.8</v>
      </c>
      <c r="BD20" s="152">
        <f t="shared" si="55"/>
        <v>386782.8</v>
      </c>
      <c r="BE20" s="152">
        <f t="shared" si="84"/>
        <v>801651</v>
      </c>
      <c r="BF20" s="152">
        <f t="shared" si="68"/>
        <v>1655231.8</v>
      </c>
      <c r="BG20" s="175">
        <f t="shared" si="57"/>
        <v>1.8911077577127442</v>
      </c>
      <c r="BH20" s="827">
        <f t="shared" si="24"/>
        <v>0.36081029791009023</v>
      </c>
      <c r="BI20" s="26">
        <f>'Phụ lục số II'!R20</f>
        <v>220450.11931952799</v>
      </c>
      <c r="BJ20" s="157">
        <f t="shared" si="58"/>
        <v>220450.11931952799</v>
      </c>
      <c r="BK20" s="157">
        <f>'Phụ lục số II'!W20</f>
        <v>224337.9140669691</v>
      </c>
      <c r="BL20" s="157">
        <f t="shared" si="59"/>
        <v>224337.9140669691</v>
      </c>
      <c r="BM20" s="157">
        <f>'Phụ lục số II'!AB20</f>
        <v>234389.05187015823</v>
      </c>
      <c r="BN20" s="157">
        <f t="shared" si="60"/>
        <v>234389.05187015823</v>
      </c>
      <c r="BO20" s="157">
        <f>'Phụ lục số II'!AG20</f>
        <v>243649.71328731076</v>
      </c>
      <c r="BP20" s="157">
        <f t="shared" si="61"/>
        <v>243649.71328731076</v>
      </c>
      <c r="BQ20" s="157">
        <f>'Phụ lục số II'!AL20</f>
        <v>250834.58559341979</v>
      </c>
      <c r="BR20" s="157">
        <f t="shared" si="62"/>
        <v>250834.58559341979</v>
      </c>
      <c r="BS20" s="157">
        <f t="shared" si="85"/>
        <v>1173661.3841373858</v>
      </c>
      <c r="BT20" s="157">
        <f t="shared" si="86"/>
        <v>1173661.3841373858</v>
      </c>
      <c r="BU20" s="175">
        <f t="shared" si="65"/>
        <v>0.93710371872180454</v>
      </c>
      <c r="BV20" s="267">
        <f t="shared" si="66"/>
        <v>-0.36638849535176687</v>
      </c>
    </row>
    <row r="21" spans="1:74">
      <c r="A21" s="787" t="s">
        <v>148</v>
      </c>
      <c r="B21" s="788" t="s">
        <v>155</v>
      </c>
      <c r="C21" s="77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7"/>
      <c r="AB21" s="1">
        <v>74502</v>
      </c>
      <c r="AC21" s="157"/>
      <c r="AD21" s="157">
        <v>313255</v>
      </c>
      <c r="AE21" s="175">
        <f t="shared" si="50"/>
        <v>0.93579017753179072</v>
      </c>
      <c r="AF21" s="280"/>
      <c r="AG21" s="778">
        <f>169474-AG20</f>
        <v>56491</v>
      </c>
      <c r="AH21" s="160">
        <v>67622</v>
      </c>
      <c r="AI21" s="747">
        <f>(29730+25534)</f>
        <v>55264</v>
      </c>
      <c r="AJ21" s="160">
        <v>122830</v>
      </c>
      <c r="AK21" s="157">
        <f>95000*33%+110014*24%+0.4</f>
        <v>57753.760000000002</v>
      </c>
      <c r="AL21" s="157">
        <v>165818</v>
      </c>
      <c r="AM21" s="157">
        <f>34000+(113314*24%)</f>
        <v>61195.360000000001</v>
      </c>
      <c r="AN21" s="157">
        <v>178123</v>
      </c>
      <c r="AO21" s="157">
        <f>(129000*24%)+36200</f>
        <v>67160</v>
      </c>
      <c r="AP21" s="157">
        <v>190583</v>
      </c>
      <c r="AQ21" s="157">
        <f t="shared" si="82"/>
        <v>297864.12</v>
      </c>
      <c r="AR21" s="157">
        <f t="shared" si="83"/>
        <v>724976</v>
      </c>
      <c r="AS21" s="175">
        <f t="shared" si="53"/>
        <v>1.2484024516015109</v>
      </c>
      <c r="AT21" s="187">
        <f t="shared" si="54"/>
        <v>1.4233988703981071</v>
      </c>
      <c r="AU21" s="288">
        <f>38200+(149000*24%)</f>
        <v>73960</v>
      </c>
      <c r="AV21" s="152">
        <v>199032</v>
      </c>
      <c r="AW21" s="152">
        <f>79930+40000+5000</f>
        <v>124930</v>
      </c>
      <c r="AX21" s="152">
        <v>199087</v>
      </c>
      <c r="AY21" s="780">
        <f>83920+49000</f>
        <v>132920</v>
      </c>
      <c r="AZ21" s="780">
        <v>143168</v>
      </c>
      <c r="BA21" s="152">
        <v>149550</v>
      </c>
      <c r="BB21" s="152"/>
      <c r="BC21" s="152">
        <f>+'Phụ lục số 2'!M26</f>
        <v>0</v>
      </c>
      <c r="BD21" s="152">
        <f t="shared" si="55"/>
        <v>0</v>
      </c>
      <c r="BE21" s="152">
        <f t="shared" si="84"/>
        <v>481360</v>
      </c>
      <c r="BF21" s="152">
        <f t="shared" si="68"/>
        <v>541287</v>
      </c>
      <c r="BG21" s="175">
        <f t="shared" si="57"/>
        <v>0.6184221719574613</v>
      </c>
      <c r="BH21" s="827">
        <f t="shared" si="24"/>
        <v>-1</v>
      </c>
      <c r="BI21" s="26">
        <f>'Phụ lục số II'!R21</f>
        <v>150258.93086399999</v>
      </c>
      <c r="BJ21" s="157">
        <f t="shared" si="58"/>
        <v>150258.93086399999</v>
      </c>
      <c r="BK21" s="157">
        <f>'Phụ lục số II'!W21</f>
        <v>152744.32788699839</v>
      </c>
      <c r="BL21" s="157">
        <f t="shared" si="59"/>
        <v>152744.32788699839</v>
      </c>
      <c r="BM21" s="157">
        <f>'Phụ lục số II'!AB21</f>
        <v>160064.28583385469</v>
      </c>
      <c r="BN21" s="157">
        <f t="shared" si="60"/>
        <v>160064.28583385469</v>
      </c>
      <c r="BO21" s="157">
        <f>'Phụ lục số II'!AG21</f>
        <v>166507.73791976564</v>
      </c>
      <c r="BP21" s="157">
        <f t="shared" si="61"/>
        <v>166507.73791976564</v>
      </c>
      <c r="BQ21" s="157">
        <f>'Phụ lục số II'!AL21</f>
        <v>171561.53968874033</v>
      </c>
      <c r="BR21" s="157">
        <f t="shared" si="62"/>
        <v>171561.53968874033</v>
      </c>
      <c r="BS21" s="157">
        <f t="shared" si="85"/>
        <v>801136.82219335902</v>
      </c>
      <c r="BT21" s="157">
        <f t="shared" si="86"/>
        <v>801136.82219335902</v>
      </c>
      <c r="BU21" s="175">
        <f t="shared" si="65"/>
        <v>0.63966345440780492</v>
      </c>
      <c r="BV21" s="267" t="e">
        <f t="shared" si="66"/>
        <v>#DIV/0!</v>
      </c>
    </row>
    <row r="22" spans="1:74">
      <c r="A22" s="785" t="s">
        <v>149</v>
      </c>
      <c r="B22" s="786" t="s">
        <v>156</v>
      </c>
      <c r="C22" s="77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7"/>
      <c r="AB22" s="157">
        <v>662261.89618699998</v>
      </c>
      <c r="AC22" s="157"/>
      <c r="AD22" s="157">
        <v>2849881.9374699998</v>
      </c>
      <c r="AE22" s="175">
        <f t="shared" si="50"/>
        <v>8.5134842994036646</v>
      </c>
      <c r="AF22" s="280"/>
      <c r="AG22" s="778">
        <v>540312</v>
      </c>
      <c r="AH22" s="37">
        <v>698207.90548199997</v>
      </c>
      <c r="AI22" s="160">
        <v>709109</v>
      </c>
      <c r="AJ22" s="160">
        <v>712910</v>
      </c>
      <c r="AK22" s="157">
        <v>715000.49</v>
      </c>
      <c r="AL22" s="157">
        <v>722456</v>
      </c>
      <c r="AM22" s="157">
        <v>755689</v>
      </c>
      <c r="AN22" s="157">
        <v>780602</v>
      </c>
      <c r="AO22" s="157">
        <v>764071</v>
      </c>
      <c r="AP22" s="157">
        <v>763943</v>
      </c>
      <c r="AQ22" s="157">
        <f t="shared" si="82"/>
        <v>3484181.49</v>
      </c>
      <c r="AR22" s="157">
        <f t="shared" si="83"/>
        <v>3678118.9054819997</v>
      </c>
      <c r="AS22" s="175">
        <f t="shared" si="53"/>
        <v>6.3336891964500817</v>
      </c>
      <c r="AT22" s="187">
        <f t="shared" si="54"/>
        <v>0.17361634858000485</v>
      </c>
      <c r="AU22" s="288">
        <v>770000</v>
      </c>
      <c r="AV22" s="152">
        <v>1231791</v>
      </c>
      <c r="AW22" s="152">
        <v>770000</v>
      </c>
      <c r="AX22" s="152">
        <v>860099</v>
      </c>
      <c r="AY22" s="780">
        <v>750000</v>
      </c>
      <c r="AZ22" s="780">
        <v>910251</v>
      </c>
      <c r="BA22" s="152">
        <v>828538</v>
      </c>
      <c r="BB22" s="152">
        <f>+'Phụ lục số 2'!H27</f>
        <v>921765</v>
      </c>
      <c r="BC22" s="152">
        <f>+'Phụ lục số 2'!M27</f>
        <v>997261</v>
      </c>
      <c r="BD22" s="152">
        <f t="shared" si="55"/>
        <v>997261</v>
      </c>
      <c r="BE22" s="152">
        <f t="shared" si="84"/>
        <v>3118538</v>
      </c>
      <c r="BF22" s="152">
        <f t="shared" si="68"/>
        <v>4921167</v>
      </c>
      <c r="BG22" s="175">
        <f t="shared" si="57"/>
        <v>5.6224494301643748</v>
      </c>
      <c r="BH22" s="827">
        <f t="shared" si="24"/>
        <v>0.19526711521433882</v>
      </c>
      <c r="BI22" s="26">
        <f>'Phụ lục số II'!R22</f>
        <v>1057882.3399828321</v>
      </c>
      <c r="BJ22" s="157">
        <f t="shared" si="58"/>
        <v>1057882.3399828321</v>
      </c>
      <c r="BK22" s="157">
        <f>'Phụ lục số II'!W22</f>
        <v>1082319.4220364357</v>
      </c>
      <c r="BL22" s="157">
        <f t="shared" si="59"/>
        <v>1082319.4220364357</v>
      </c>
      <c r="BM22" s="157">
        <f>'Phụ lục số II'!AB22</f>
        <v>1114070.6417176842</v>
      </c>
      <c r="BN22" s="157">
        <f t="shared" si="60"/>
        <v>1114070.6417176842</v>
      </c>
      <c r="BO22" s="157">
        <f>'Phụ lục số II'!AG22</f>
        <v>1153894.1404525172</v>
      </c>
      <c r="BP22" s="157">
        <f t="shared" si="61"/>
        <v>1153894.1404525172</v>
      </c>
      <c r="BQ22" s="157">
        <f>'Phụ lục số II'!AL22</f>
        <v>1182870.7695755414</v>
      </c>
      <c r="BR22" s="157">
        <f t="shared" si="62"/>
        <v>1182870.7695755414</v>
      </c>
      <c r="BS22" s="157">
        <f t="shared" si="85"/>
        <v>5591037.3137650099</v>
      </c>
      <c r="BT22" s="157">
        <f t="shared" si="86"/>
        <v>5591037.3137650099</v>
      </c>
      <c r="BU22" s="175">
        <f t="shared" si="65"/>
        <v>4.4641341438462554</v>
      </c>
      <c r="BV22" s="267">
        <f t="shared" si="66"/>
        <v>0.16281707124505496</v>
      </c>
    </row>
    <row r="23" spans="1:74">
      <c r="A23" s="785" t="s">
        <v>157</v>
      </c>
      <c r="B23" s="786" t="s">
        <v>158</v>
      </c>
      <c r="C23" s="77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7"/>
      <c r="AB23" s="157">
        <v>67830.687684999997</v>
      </c>
      <c r="AC23" s="157"/>
      <c r="AD23" s="157">
        <v>275310.73163300002</v>
      </c>
      <c r="AE23" s="175">
        <f t="shared" si="50"/>
        <v>0.82243883874559798</v>
      </c>
      <c r="AF23" s="280"/>
      <c r="AG23" s="778">
        <v>63528</v>
      </c>
      <c r="AH23" s="37">
        <v>71963.686795999995</v>
      </c>
      <c r="AI23" s="160">
        <v>64687</v>
      </c>
      <c r="AJ23" s="160">
        <v>82005</v>
      </c>
      <c r="AK23" s="157">
        <v>66139.490000000005</v>
      </c>
      <c r="AL23" s="157">
        <v>83162</v>
      </c>
      <c r="AM23" s="157">
        <v>69066</v>
      </c>
      <c r="AN23" s="157">
        <v>83133</v>
      </c>
      <c r="AO23" s="157">
        <v>77000</v>
      </c>
      <c r="AP23" s="157">
        <v>92821</v>
      </c>
      <c r="AQ23" s="157">
        <f t="shared" si="82"/>
        <v>340420.49</v>
      </c>
      <c r="AR23" s="157">
        <f t="shared" si="83"/>
        <v>413084.68679599999</v>
      </c>
      <c r="AS23" s="175">
        <f t="shared" si="53"/>
        <v>0.71132828633660794</v>
      </c>
      <c r="AT23" s="187">
        <f t="shared" si="54"/>
        <v>0.2529155258824205</v>
      </c>
      <c r="AU23" s="288">
        <v>77733</v>
      </c>
      <c r="AV23" s="152">
        <v>86194</v>
      </c>
      <c r="AW23" s="152">
        <v>77843</v>
      </c>
      <c r="AX23" s="152">
        <v>97627</v>
      </c>
      <c r="AY23" s="780">
        <v>78978</v>
      </c>
      <c r="AZ23" s="780">
        <v>108496</v>
      </c>
      <c r="BA23" s="152">
        <v>91888</v>
      </c>
      <c r="BB23" s="152">
        <f>+'Phụ lục số 2'!H28</f>
        <v>97395</v>
      </c>
      <c r="BC23" s="152">
        <f>+'Phụ lục số 2'!M28</f>
        <v>103203.79999999999</v>
      </c>
      <c r="BD23" s="152">
        <f t="shared" si="55"/>
        <v>103203.79999999999</v>
      </c>
      <c r="BE23" s="152">
        <f t="shared" si="84"/>
        <v>326442</v>
      </c>
      <c r="BF23" s="152">
        <f t="shared" si="68"/>
        <v>492915.8</v>
      </c>
      <c r="BG23" s="175">
        <f t="shared" si="57"/>
        <v>0.56315791738606247</v>
      </c>
      <c r="BH23" s="827">
        <f t="shared" si="24"/>
        <v>0.13775359859910208</v>
      </c>
      <c r="BI23" s="26">
        <f>'Phụ lục số II'!R23</f>
        <v>108422.99755123199</v>
      </c>
      <c r="BJ23" s="157">
        <f t="shared" si="58"/>
        <v>108422.99755123199</v>
      </c>
      <c r="BK23" s="157">
        <f>'Phụ lục số II'!W23</f>
        <v>110397.75029258546</v>
      </c>
      <c r="BL23" s="157">
        <f t="shared" si="59"/>
        <v>110397.75029258546</v>
      </c>
      <c r="BM23" s="157">
        <f>'Phụ lục số II'!AB23</f>
        <v>115162.56887959846</v>
      </c>
      <c r="BN23" s="157">
        <f t="shared" si="60"/>
        <v>115162.56887959846</v>
      </c>
      <c r="BO23" s="157">
        <f>'Phụ lục số II'!AG23</f>
        <v>119667.18160020109</v>
      </c>
      <c r="BP23" s="157">
        <f t="shared" si="61"/>
        <v>119667.18160020109</v>
      </c>
      <c r="BQ23" s="157">
        <f>'Phụ lục số II'!AL23</f>
        <v>123141.27111971061</v>
      </c>
      <c r="BR23" s="157">
        <f t="shared" si="62"/>
        <v>123141.27111971061</v>
      </c>
      <c r="BS23" s="157">
        <f t="shared" si="85"/>
        <v>576791.76944332768</v>
      </c>
      <c r="BT23" s="157">
        <f t="shared" si="86"/>
        <v>576791.76944332768</v>
      </c>
      <c r="BU23" s="175">
        <f t="shared" si="65"/>
        <v>0.46053633473741429</v>
      </c>
      <c r="BV23" s="267">
        <f t="shared" si="66"/>
        <v>0.16617865502431428</v>
      </c>
    </row>
    <row r="24" spans="1:74">
      <c r="A24" s="785" t="s">
        <v>159</v>
      </c>
      <c r="B24" s="786" t="s">
        <v>160</v>
      </c>
      <c r="C24" s="77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7"/>
      <c r="AB24" s="157">
        <v>20078.266750999999</v>
      </c>
      <c r="AC24" s="157"/>
      <c r="AD24" s="157">
        <v>93121.889572</v>
      </c>
      <c r="AE24" s="175">
        <f t="shared" si="50"/>
        <v>0.27818406593566808</v>
      </c>
      <c r="AF24" s="280"/>
      <c r="AG24" s="778">
        <v>25500</v>
      </c>
      <c r="AH24" s="37">
        <v>20810.145353</v>
      </c>
      <c r="AI24" s="160">
        <v>28462</v>
      </c>
      <c r="AJ24" s="160">
        <v>22877</v>
      </c>
      <c r="AK24" s="157">
        <v>29871.49</v>
      </c>
      <c r="AL24" s="157">
        <v>21713</v>
      </c>
      <c r="AM24" s="157">
        <v>30602</v>
      </c>
      <c r="AN24" s="157">
        <v>21575</v>
      </c>
      <c r="AO24" s="157">
        <v>34956</v>
      </c>
      <c r="AP24" s="157">
        <v>27053</v>
      </c>
      <c r="AQ24" s="157">
        <f t="shared" si="82"/>
        <v>149391.49</v>
      </c>
      <c r="AR24" s="157">
        <f t="shared" si="83"/>
        <v>114028.145353</v>
      </c>
      <c r="AS24" s="175">
        <f t="shared" si="53"/>
        <v>0.19635548791995683</v>
      </c>
      <c r="AT24" s="187">
        <f t="shared" si="54"/>
        <v>0.12428783160944934</v>
      </c>
      <c r="AU24" s="288">
        <v>36574</v>
      </c>
      <c r="AV24" s="152">
        <v>27017</v>
      </c>
      <c r="AW24" s="152">
        <v>41920</v>
      </c>
      <c r="AX24" s="152">
        <v>28184</v>
      </c>
      <c r="AY24" s="780">
        <v>42757</v>
      </c>
      <c r="AZ24" s="780">
        <v>34529</v>
      </c>
      <c r="BA24" s="152">
        <v>50073</v>
      </c>
      <c r="BB24" s="152">
        <f>+'Phụ lục số 2'!H29</f>
        <v>50036</v>
      </c>
      <c r="BC24" s="152">
        <f>+'Phụ lục số 2'!M29</f>
        <v>66992.399999999994</v>
      </c>
      <c r="BD24" s="152">
        <f t="shared" si="55"/>
        <v>66992.399999999994</v>
      </c>
      <c r="BE24" s="152">
        <f t="shared" si="84"/>
        <v>171324</v>
      </c>
      <c r="BF24" s="152">
        <f>AV24+AX24+AZ24+BB24+BD24</f>
        <v>206758.39999999999</v>
      </c>
      <c r="BG24" s="175">
        <f t="shared" si="57"/>
        <v>0.23622214979936626</v>
      </c>
      <c r="BH24" s="827">
        <f t="shared" si="24"/>
        <v>0.40037134056160739</v>
      </c>
      <c r="BI24" s="26">
        <f>'Phụ lục số II'!R24</f>
        <v>50381.302386071999</v>
      </c>
      <c r="BJ24" s="157">
        <f t="shared" si="58"/>
        <v>50381.302386071999</v>
      </c>
      <c r="BK24" s="157">
        <f>'Phụ lục số II'!W24</f>
        <v>51225.083104790261</v>
      </c>
      <c r="BL24" s="157">
        <f t="shared" si="59"/>
        <v>51225.083104790261</v>
      </c>
      <c r="BM24" s="157">
        <f>'Phụ lục số II'!AB24</f>
        <v>53649.685714982101</v>
      </c>
      <c r="BN24" s="157">
        <f t="shared" si="60"/>
        <v>53649.685714982101</v>
      </c>
      <c r="BO24" s="157">
        <f>'Phụ lục số II'!AG24</f>
        <v>55801.819796035154</v>
      </c>
      <c r="BP24" s="157">
        <f t="shared" si="61"/>
        <v>55801.819796035154</v>
      </c>
      <c r="BQ24" s="157">
        <f>'Phụ lục số II'!AL24</f>
        <v>57486.409954096962</v>
      </c>
      <c r="BR24" s="157">
        <f t="shared" si="62"/>
        <v>57486.409954096962</v>
      </c>
      <c r="BS24" s="157">
        <f t="shared" si="85"/>
        <v>268544.30095597648</v>
      </c>
      <c r="BT24" s="157">
        <f t="shared" si="86"/>
        <v>268544.30095597648</v>
      </c>
      <c r="BU24" s="175">
        <f t="shared" si="65"/>
        <v>0.21441777540662024</v>
      </c>
      <c r="BV24" s="267">
        <f t="shared" si="66"/>
        <v>-0.16207298831579842</v>
      </c>
    </row>
    <row r="25" spans="1:74">
      <c r="A25" s="785" t="s">
        <v>161</v>
      </c>
      <c r="B25" s="786" t="s">
        <v>162</v>
      </c>
      <c r="C25" s="77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7"/>
      <c r="AB25" s="157">
        <v>29270.382845</v>
      </c>
      <c r="AC25" s="157"/>
      <c r="AD25" s="157">
        <v>138600.585464</v>
      </c>
      <c r="AE25" s="175">
        <f t="shared" si="50"/>
        <v>0.41404308463509509</v>
      </c>
      <c r="AF25" s="280"/>
      <c r="AG25" s="778">
        <v>27200</v>
      </c>
      <c r="AH25" s="37">
        <v>25568.900889</v>
      </c>
      <c r="AI25" s="160">
        <v>27200</v>
      </c>
      <c r="AJ25" s="160">
        <v>31645</v>
      </c>
      <c r="AK25" s="157">
        <v>28445.49</v>
      </c>
      <c r="AL25" s="157">
        <v>33094</v>
      </c>
      <c r="AM25" s="157">
        <v>32041</v>
      </c>
      <c r="AN25" s="157">
        <v>32699</v>
      </c>
      <c r="AO25" s="157">
        <v>34000</v>
      </c>
      <c r="AP25" s="157">
        <v>39788</v>
      </c>
      <c r="AQ25" s="157">
        <f t="shared" si="82"/>
        <v>148886.49</v>
      </c>
      <c r="AR25" s="157">
        <f t="shared" si="83"/>
        <v>162794.90088899998</v>
      </c>
      <c r="AS25" s="175">
        <f t="shared" si="53"/>
        <v>0.28033142252716309</v>
      </c>
      <c r="AT25" s="187">
        <f t="shared" si="54"/>
        <v>0.16184875248102659</v>
      </c>
      <c r="AU25" s="288">
        <v>34237</v>
      </c>
      <c r="AV25" s="152">
        <v>21505</v>
      </c>
      <c r="AW25" s="152">
        <v>37960</v>
      </c>
      <c r="AX25" s="152">
        <v>50768</v>
      </c>
      <c r="AY25" s="780">
        <v>38378</v>
      </c>
      <c r="AZ25" s="780">
        <v>38808</v>
      </c>
      <c r="BA25" s="152">
        <v>53202</v>
      </c>
      <c r="BB25" s="152">
        <f>+'Phụ lục số 2'!H30</f>
        <v>52309</v>
      </c>
      <c r="BC25" s="152">
        <f>+'Phụ lục số 2'!M30</f>
        <v>40914.199999999997</v>
      </c>
      <c r="BD25" s="152">
        <f t="shared" si="55"/>
        <v>40914.199999999997</v>
      </c>
      <c r="BE25" s="152">
        <f t="shared" si="84"/>
        <v>163777</v>
      </c>
      <c r="BF25" s="152">
        <f t="shared" si="68"/>
        <v>204304.2</v>
      </c>
      <c r="BG25" s="175">
        <f t="shared" si="57"/>
        <v>0.23341821825396061</v>
      </c>
      <c r="BH25" s="827">
        <f t="shared" si="24"/>
        <v>5.0952146033891088E-2</v>
      </c>
      <c r="BI25" s="26">
        <f>'Phụ lục số II'!R25</f>
        <v>54810.275796528003</v>
      </c>
      <c r="BJ25" s="157">
        <f t="shared" si="58"/>
        <v>54810.275796528003</v>
      </c>
      <c r="BK25" s="157">
        <f>'Phụ lục số II'!W25</f>
        <v>55916.3794842278</v>
      </c>
      <c r="BL25" s="157">
        <f t="shared" si="59"/>
        <v>55916.3794842278</v>
      </c>
      <c r="BM25" s="157">
        <f>'Phụ lục số II'!AB25</f>
        <v>58017.682497847229</v>
      </c>
      <c r="BN25" s="157">
        <f t="shared" si="60"/>
        <v>58017.682497847229</v>
      </c>
      <c r="BO25" s="157">
        <f>'Phụ lục số II'!AG25</f>
        <v>60208.766812357688</v>
      </c>
      <c r="BP25" s="157">
        <f t="shared" si="61"/>
        <v>60208.766812357688</v>
      </c>
      <c r="BQ25" s="157">
        <f>'Phụ lục số II'!AL25</f>
        <v>61862.37789928462</v>
      </c>
      <c r="BR25" s="157">
        <f t="shared" si="62"/>
        <v>61862.37789928462</v>
      </c>
      <c r="BS25" s="157">
        <f t="shared" si="85"/>
        <v>290815.48249024537</v>
      </c>
      <c r="BT25" s="157">
        <f t="shared" si="86"/>
        <v>290815.48249024537</v>
      </c>
      <c r="BU25" s="175">
        <f t="shared" si="65"/>
        <v>0.23220008239751697</v>
      </c>
      <c r="BV25" s="267">
        <f t="shared" si="66"/>
        <v>0.47958201576784187</v>
      </c>
    </row>
    <row r="26" spans="1:74">
      <c r="A26" s="785" t="s">
        <v>163</v>
      </c>
      <c r="B26" s="786" t="s">
        <v>164</v>
      </c>
      <c r="C26" s="77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7"/>
      <c r="AB26" s="157">
        <v>66554.003003000005</v>
      </c>
      <c r="AC26" s="157"/>
      <c r="AD26" s="157">
        <v>316682.78382099996</v>
      </c>
      <c r="AE26" s="175">
        <f t="shared" si="50"/>
        <v>0.94603003461434065</v>
      </c>
      <c r="AF26" s="280"/>
      <c r="AG26" s="778">
        <v>66041</v>
      </c>
      <c r="AH26" s="37">
        <v>69874.356060000006</v>
      </c>
      <c r="AI26" s="160">
        <v>87259</v>
      </c>
      <c r="AJ26" s="160">
        <v>114730</v>
      </c>
      <c r="AK26" s="157">
        <v>129921.49</v>
      </c>
      <c r="AL26" s="157">
        <v>165572</v>
      </c>
      <c r="AM26" s="157">
        <v>129921</v>
      </c>
      <c r="AN26" s="157">
        <v>129100</v>
      </c>
      <c r="AO26" s="157">
        <v>143469</v>
      </c>
      <c r="AP26" s="157">
        <v>118953</v>
      </c>
      <c r="AQ26" s="157">
        <f t="shared" si="82"/>
        <v>556611.49</v>
      </c>
      <c r="AR26" s="157">
        <f t="shared" si="83"/>
        <v>598229.35606000002</v>
      </c>
      <c r="AS26" s="175">
        <f t="shared" si="53"/>
        <v>1.0301458182412897</v>
      </c>
      <c r="AT26" s="187">
        <f t="shared" si="54"/>
        <v>0.90827909085908787</v>
      </c>
      <c r="AU26" s="288">
        <v>143470</v>
      </c>
      <c r="AV26" s="152">
        <v>131042</v>
      </c>
      <c r="AW26" s="152">
        <v>133115</v>
      </c>
      <c r="AX26" s="152">
        <v>124806</v>
      </c>
      <c r="AY26" s="780">
        <v>136670</v>
      </c>
      <c r="AZ26" s="780">
        <v>155667</v>
      </c>
      <c r="BA26" s="152">
        <v>151965</v>
      </c>
      <c r="BB26" s="152">
        <f>+'Phụ lục số 2'!H31</f>
        <v>150925</v>
      </c>
      <c r="BC26" s="152">
        <f>+'Phụ lục số 2'!M31</f>
        <v>205900</v>
      </c>
      <c r="BD26" s="152">
        <f t="shared" si="55"/>
        <v>205900</v>
      </c>
      <c r="BE26" s="152">
        <f t="shared" si="84"/>
        <v>565220</v>
      </c>
      <c r="BF26" s="152">
        <f t="shared" si="68"/>
        <v>768340</v>
      </c>
      <c r="BG26" s="175">
        <f t="shared" si="57"/>
        <v>0.87783096878697586</v>
      </c>
      <c r="BH26" s="827">
        <f t="shared" si="24"/>
        <v>0.29856087469481074</v>
      </c>
      <c r="BI26" s="26">
        <f>'Phụ lục số II'!R26</f>
        <v>176676.59417676</v>
      </c>
      <c r="BJ26" s="157">
        <f t="shared" si="58"/>
        <v>176676.59417676</v>
      </c>
      <c r="BK26" s="157">
        <f>'Phụ lục số II'!W26</f>
        <v>179917.85476704314</v>
      </c>
      <c r="BL26" s="157">
        <f t="shared" si="59"/>
        <v>179917.85476704314</v>
      </c>
      <c r="BM26" s="157">
        <f>'Phụ lục số II'!AB26</f>
        <v>197615.53232139698</v>
      </c>
      <c r="BN26" s="157">
        <f t="shared" si="60"/>
        <v>197615.53232139698</v>
      </c>
      <c r="BO26" s="157">
        <f>'Phụ lục số II'!AG26</f>
        <v>215329.4875958979</v>
      </c>
      <c r="BP26" s="157">
        <f t="shared" si="61"/>
        <v>215329.4875958979</v>
      </c>
      <c r="BQ26" s="157">
        <f>'Phụ lục số II'!AL26</f>
        <v>221522.51569545834</v>
      </c>
      <c r="BR26" s="157">
        <f t="shared" si="62"/>
        <v>221522.51569545834</v>
      </c>
      <c r="BS26" s="157">
        <f t="shared" si="85"/>
        <v>991061.98455655621</v>
      </c>
      <c r="BT26" s="157">
        <f t="shared" si="86"/>
        <v>991061.98455655621</v>
      </c>
      <c r="BU26" s="175">
        <f t="shared" si="65"/>
        <v>0.79130819482005377</v>
      </c>
      <c r="BV26" s="267">
        <f t="shared" si="66"/>
        <v>5.1743977628616822E-2</v>
      </c>
    </row>
    <row r="27" spans="1:74">
      <c r="A27" s="785" t="s">
        <v>165</v>
      </c>
      <c r="B27" s="786" t="s">
        <v>166</v>
      </c>
      <c r="C27" s="77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7"/>
      <c r="AB27" s="157">
        <v>796081.78902999999</v>
      </c>
      <c r="AC27" s="157"/>
      <c r="AD27" s="157">
        <v>3382388.1849910002</v>
      </c>
      <c r="AE27" s="175">
        <f t="shared" si="50"/>
        <v>10.104246189571308</v>
      </c>
      <c r="AF27" s="280"/>
      <c r="AG27" s="778">
        <v>1224706</v>
      </c>
      <c r="AH27" s="37">
        <v>765575.05895500001</v>
      </c>
      <c r="AI27" s="160">
        <v>1204583</v>
      </c>
      <c r="AJ27" s="160">
        <v>955321</v>
      </c>
      <c r="AK27" s="157">
        <v>1275496.49</v>
      </c>
      <c r="AL27" s="157">
        <v>1105579</v>
      </c>
      <c r="AM27" s="157">
        <v>1407216</v>
      </c>
      <c r="AN27" s="789">
        <v>1591265</v>
      </c>
      <c r="AO27" s="157">
        <v>1582205</v>
      </c>
      <c r="AP27" s="789">
        <f>1377957</f>
        <v>1377957</v>
      </c>
      <c r="AQ27" s="157">
        <f t="shared" si="82"/>
        <v>6694206.4900000002</v>
      </c>
      <c r="AR27" s="157">
        <f t="shared" si="83"/>
        <v>5795697.0589549998</v>
      </c>
      <c r="AS27" s="175">
        <f t="shared" si="53"/>
        <v>9.9801406076050636</v>
      </c>
      <c r="AT27" s="187">
        <f t="shared" si="54"/>
        <v>0.94215305489295242</v>
      </c>
      <c r="AU27" s="11">
        <v>1604001</v>
      </c>
      <c r="AV27" s="152">
        <v>1359809</v>
      </c>
      <c r="AW27" s="152">
        <v>1709255</v>
      </c>
      <c r="AX27" s="152">
        <v>1621888</v>
      </c>
      <c r="AY27" s="780">
        <v>1793642</v>
      </c>
      <c r="AZ27" s="780">
        <v>1603557</v>
      </c>
      <c r="BA27" s="152">
        <v>2068978.6115313373</v>
      </c>
      <c r="BB27" s="152">
        <f>+'Phụ lục số 2'!H32</f>
        <v>2064372.1115313373</v>
      </c>
      <c r="BC27" s="152">
        <f>+'Phụ lục số 2'!M32</f>
        <v>2529125.4500000002</v>
      </c>
      <c r="BD27" s="152">
        <f t="shared" si="55"/>
        <v>2529125.4500000002</v>
      </c>
      <c r="BE27" s="152">
        <f t="shared" si="84"/>
        <v>7175876.6115313377</v>
      </c>
      <c r="BF27" s="152">
        <f t="shared" si="68"/>
        <v>9178751.5615313388</v>
      </c>
      <c r="BG27" s="175">
        <f t="shared" si="57"/>
        <v>10.486753749009582</v>
      </c>
      <c r="BH27" s="827">
        <f t="shared" si="24"/>
        <v>0.2395802039558188</v>
      </c>
      <c r="BI27" s="26">
        <f>'Phụ lục số II'!R27</f>
        <v>2053249.2004232393</v>
      </c>
      <c r="BJ27" s="157">
        <f t="shared" si="58"/>
        <v>2053249.2004232393</v>
      </c>
      <c r="BK27" s="157">
        <f>'Phụ lục số II'!W27</f>
        <v>2101438.2659168658</v>
      </c>
      <c r="BL27" s="157">
        <f t="shared" si="59"/>
        <v>2101438.2659168658</v>
      </c>
      <c r="BM27" s="157">
        <f>'Phụ lục số II'!AB27</f>
        <v>2203711.3540701689</v>
      </c>
      <c r="BN27" s="157">
        <f t="shared" si="60"/>
        <v>2203711.3540701689</v>
      </c>
      <c r="BO27" s="157">
        <f>'Phụ lục số II'!AG27</f>
        <v>2373733.1434633313</v>
      </c>
      <c r="BP27" s="157">
        <f t="shared" si="61"/>
        <v>2373733.1434633313</v>
      </c>
      <c r="BQ27" s="157">
        <f>'Phụ lục số II'!AL27</f>
        <v>2517341.9718126338</v>
      </c>
      <c r="BR27" s="157">
        <f t="shared" si="62"/>
        <v>2517341.9718126338</v>
      </c>
      <c r="BS27" s="157">
        <f t="shared" si="85"/>
        <v>11249473.93568624</v>
      </c>
      <c r="BT27" s="157">
        <f t="shared" si="86"/>
        <v>11249473.93568624</v>
      </c>
      <c r="BU27" s="175">
        <f t="shared" si="65"/>
        <v>8.9820829084733518</v>
      </c>
      <c r="BV27" s="267">
        <f t="shared" si="66"/>
        <v>-5.0349969471350176E-2</v>
      </c>
    </row>
    <row r="28" spans="1:74">
      <c r="A28" s="785" t="s">
        <v>167</v>
      </c>
      <c r="B28" s="786" t="s">
        <v>168</v>
      </c>
      <c r="C28" s="77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7"/>
      <c r="AB28" s="157">
        <v>1151725.5044160001</v>
      </c>
      <c r="AC28" s="157"/>
      <c r="AD28" s="37">
        <v>4796340.3426879998</v>
      </c>
      <c r="AE28" s="175">
        <f t="shared" si="50"/>
        <v>14.328161340718884</v>
      </c>
      <c r="AF28" s="280"/>
      <c r="AG28" s="778">
        <v>845596</v>
      </c>
      <c r="AH28" s="37">
        <v>1165502.862461</v>
      </c>
      <c r="AI28" s="160">
        <v>1102435</v>
      </c>
      <c r="AJ28" s="160">
        <v>1338890</v>
      </c>
      <c r="AK28" s="157">
        <v>1141145.49</v>
      </c>
      <c r="AL28" s="157">
        <v>1385399</v>
      </c>
      <c r="AM28" s="157">
        <v>1194942</v>
      </c>
      <c r="AN28" s="157">
        <v>1476139</v>
      </c>
      <c r="AO28" s="157">
        <v>1344176</v>
      </c>
      <c r="AP28" s="157">
        <v>1560684</v>
      </c>
      <c r="AQ28" s="157">
        <f t="shared" si="82"/>
        <v>5628294.4900000002</v>
      </c>
      <c r="AR28" s="157">
        <f t="shared" si="83"/>
        <v>6926614.8624609997</v>
      </c>
      <c r="AS28" s="175">
        <f t="shared" si="53"/>
        <v>11.92757136180477</v>
      </c>
      <c r="AT28" s="187">
        <f t="shared" si="54"/>
        <v>0.29603226962884133</v>
      </c>
      <c r="AU28" s="288">
        <v>1351525</v>
      </c>
      <c r="AV28" s="152">
        <v>1704379</v>
      </c>
      <c r="AW28" s="152">
        <v>1356350</v>
      </c>
      <c r="AX28" s="152">
        <v>1594438.3</v>
      </c>
      <c r="AY28" s="780">
        <v>1388540</v>
      </c>
      <c r="AZ28" s="780">
        <v>1704315</v>
      </c>
      <c r="BA28" s="152">
        <v>1570458</v>
      </c>
      <c r="BB28" s="152">
        <f>+'Phụ lục số 2'!H33</f>
        <v>1842870</v>
      </c>
      <c r="BC28" s="152">
        <f>+'Phụ lục số 2'!M33</f>
        <v>1849437.5</v>
      </c>
      <c r="BD28" s="152">
        <f t="shared" si="55"/>
        <v>1849437.5</v>
      </c>
      <c r="BE28" s="152">
        <f t="shared" si="84"/>
        <v>5666873</v>
      </c>
      <c r="BF28" s="152">
        <f t="shared" si="68"/>
        <v>8695439.8000000007</v>
      </c>
      <c r="BG28" s="175">
        <f t="shared" si="57"/>
        <v>9.9345684770581109</v>
      </c>
      <c r="BH28" s="827">
        <f t="shared" si="24"/>
        <v>0.11357916508920862</v>
      </c>
      <c r="BI28" s="26">
        <f>'Phụ lục số II'!R28</f>
        <v>2448577.2355217119</v>
      </c>
      <c r="BJ28" s="157">
        <f t="shared" si="58"/>
        <v>2448577.2355217119</v>
      </c>
      <c r="BK28" s="157">
        <f>'Phụ lục số II'!W28</f>
        <v>2487340.0470729833</v>
      </c>
      <c r="BL28" s="157">
        <f t="shared" si="59"/>
        <v>2487340.0470729833</v>
      </c>
      <c r="BM28" s="157">
        <f>'Phụ lục số II'!AB28</f>
        <v>2611580.8802950475</v>
      </c>
      <c r="BN28" s="157">
        <f t="shared" si="60"/>
        <v>2611580.8802950475</v>
      </c>
      <c r="BO28" s="157">
        <f>'Phụ lục số II'!AG28</f>
        <v>2717969.8286601333</v>
      </c>
      <c r="BP28" s="157">
        <f t="shared" si="61"/>
        <v>2717969.8286601333</v>
      </c>
      <c r="BQ28" s="157">
        <f>'Phụ lục số II'!AL28</f>
        <v>2826979.803167955</v>
      </c>
      <c r="BR28" s="157">
        <f t="shared" si="62"/>
        <v>2826979.803167955</v>
      </c>
      <c r="BS28" s="157">
        <f t="shared" si="85"/>
        <v>13092447.79471783</v>
      </c>
      <c r="BT28" s="157">
        <f t="shared" si="86"/>
        <v>13092447.79471783</v>
      </c>
      <c r="BU28" s="175">
        <f t="shared" si="65"/>
        <v>10.453595629388955</v>
      </c>
      <c r="BV28" s="267">
        <f t="shared" si="66"/>
        <v>0.48122347736231208</v>
      </c>
    </row>
    <row r="29" spans="1:74">
      <c r="A29" s="785" t="s">
        <v>169</v>
      </c>
      <c r="B29" s="786" t="s">
        <v>170</v>
      </c>
      <c r="C29" s="77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7"/>
      <c r="AB29" s="157">
        <v>268672.20944100001</v>
      </c>
      <c r="AC29" s="157"/>
      <c r="AD29" s="157">
        <v>1157021.620713</v>
      </c>
      <c r="AE29" s="175">
        <f t="shared" si="50"/>
        <v>3.4563836741796257</v>
      </c>
      <c r="AF29" s="280"/>
      <c r="AG29" s="778">
        <v>280600</v>
      </c>
      <c r="AH29" s="37">
        <v>429583.572162</v>
      </c>
      <c r="AI29" s="160">
        <v>279212</v>
      </c>
      <c r="AJ29" s="160">
        <v>415387</v>
      </c>
      <c r="AK29" s="157">
        <v>359571.49</v>
      </c>
      <c r="AL29" s="157">
        <v>484349</v>
      </c>
      <c r="AM29" s="157">
        <v>373408</v>
      </c>
      <c r="AN29" s="157">
        <v>412864</v>
      </c>
      <c r="AO29" s="157">
        <v>420000</v>
      </c>
      <c r="AP29" s="157">
        <v>630109</v>
      </c>
      <c r="AQ29" s="157">
        <f t="shared" si="82"/>
        <v>1712791.49</v>
      </c>
      <c r="AR29" s="157">
        <f t="shared" si="83"/>
        <v>2372292.572162</v>
      </c>
      <c r="AS29" s="175">
        <f t="shared" si="53"/>
        <v>4.0850674546510435</v>
      </c>
      <c r="AT29" s="187">
        <f t="shared" si="54"/>
        <v>0.67226847423483993</v>
      </c>
      <c r="AU29" s="288">
        <v>427859</v>
      </c>
      <c r="AV29" s="152">
        <v>877453</v>
      </c>
      <c r="AW29" s="152">
        <v>517039</v>
      </c>
      <c r="AX29" s="152">
        <v>625318</v>
      </c>
      <c r="AY29" s="780">
        <v>539140</v>
      </c>
      <c r="AZ29" s="780">
        <v>597066</v>
      </c>
      <c r="BA29" s="152">
        <v>601385</v>
      </c>
      <c r="BB29" s="152">
        <f>+'Phụ lục số 2'!H34</f>
        <v>602400.4</v>
      </c>
      <c r="BC29" s="152">
        <f>+'Phụ lục số 2'!M34</f>
        <v>634621.89999999991</v>
      </c>
      <c r="BD29" s="152">
        <f t="shared" si="55"/>
        <v>634621.89999999991</v>
      </c>
      <c r="BE29" s="152">
        <f t="shared" si="84"/>
        <v>2085423</v>
      </c>
      <c r="BF29" s="152">
        <f t="shared" si="68"/>
        <v>3336859.3</v>
      </c>
      <c r="BG29" s="175">
        <f t="shared" si="57"/>
        <v>3.8123726892063803</v>
      </c>
      <c r="BH29" s="827">
        <f t="shared" si="24"/>
        <v>-5.0330728377263934E-2</v>
      </c>
      <c r="BI29" s="26">
        <f>'Phụ lục số II'!R29</f>
        <v>598041.57025563996</v>
      </c>
      <c r="BJ29" s="157">
        <f t="shared" si="58"/>
        <v>598041.57025563996</v>
      </c>
      <c r="BK29" s="157">
        <f>'Phụ lục số II'!W29</f>
        <v>606615.8824037452</v>
      </c>
      <c r="BL29" s="157">
        <f t="shared" si="59"/>
        <v>606615.8824037452</v>
      </c>
      <c r="BM29" s="157">
        <f>'Phụ lục số II'!AB29</f>
        <v>659507.01818348805</v>
      </c>
      <c r="BN29" s="157">
        <f t="shared" si="60"/>
        <v>659507.01818348805</v>
      </c>
      <c r="BO29" s="157">
        <f>'Phụ lục số II'!AG29</f>
        <v>776989.30212862371</v>
      </c>
      <c r="BP29" s="157">
        <f t="shared" si="61"/>
        <v>776989.30212862371</v>
      </c>
      <c r="BQ29" s="157">
        <f>'Phụ lục số II'!AL29</f>
        <v>901547.3438393136</v>
      </c>
      <c r="BR29" s="157">
        <f t="shared" si="62"/>
        <v>901547.3438393136</v>
      </c>
      <c r="BS29" s="157">
        <f t="shared" si="85"/>
        <v>3542701.1168108108</v>
      </c>
      <c r="BT29" s="157">
        <f t="shared" si="86"/>
        <v>3542701.1168108108</v>
      </c>
      <c r="BU29" s="175">
        <f t="shared" si="65"/>
        <v>2.828650951418441</v>
      </c>
      <c r="BV29" s="267">
        <f t="shared" si="66"/>
        <v>0.26128922058176318</v>
      </c>
    </row>
    <row r="30" spans="1:74">
      <c r="A30" s="785" t="s">
        <v>171</v>
      </c>
      <c r="B30" s="786" t="s">
        <v>172</v>
      </c>
      <c r="C30" s="77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7"/>
      <c r="AB30" s="157">
        <v>135164.902485</v>
      </c>
      <c r="AC30" s="157"/>
      <c r="AD30" s="157">
        <v>754655.01695999992</v>
      </c>
      <c r="AE30" s="175">
        <f t="shared" si="50"/>
        <v>2.2543894025514515</v>
      </c>
      <c r="AF30" s="280"/>
      <c r="AG30" s="778">
        <v>36269</v>
      </c>
      <c r="AH30" s="37">
        <v>111781.932877</v>
      </c>
      <c r="AI30" s="160">
        <v>41387</v>
      </c>
      <c r="AJ30" s="160">
        <v>87562</v>
      </c>
      <c r="AK30" s="157">
        <f>53657.49</f>
        <v>53657.49</v>
      </c>
      <c r="AL30" s="252">
        <f>94471+2094</f>
        <v>96565</v>
      </c>
      <c r="AM30" s="157">
        <v>54535</v>
      </c>
      <c r="AN30" s="157">
        <f>112072+763</f>
        <v>112835</v>
      </c>
      <c r="AO30" s="157">
        <v>62155</v>
      </c>
      <c r="AP30" s="157">
        <f>90627+294</f>
        <v>90921</v>
      </c>
      <c r="AQ30" s="157">
        <f t="shared" si="82"/>
        <v>248003.49</v>
      </c>
      <c r="AR30" s="157">
        <f t="shared" si="83"/>
        <v>499664.93287700001</v>
      </c>
      <c r="AS30" s="175">
        <f t="shared" si="53"/>
        <v>0.86041872721710955</v>
      </c>
      <c r="AT30" s="187">
        <f t="shared" si="54"/>
        <v>-0.20048986785251854</v>
      </c>
      <c r="AU30" s="288">
        <v>64674</v>
      </c>
      <c r="AV30" s="152">
        <f>137140.5+230</f>
        <v>137370.5</v>
      </c>
      <c r="AW30" s="152">
        <v>58295</v>
      </c>
      <c r="AX30" s="152">
        <f>65993+140</f>
        <v>66133</v>
      </c>
      <c r="AY30" s="780">
        <v>48511</v>
      </c>
      <c r="AZ30" s="780">
        <v>46505</v>
      </c>
      <c r="BA30" s="152">
        <v>52000</v>
      </c>
      <c r="BB30" s="152">
        <f>+'Phụ lục số 2'!H35</f>
        <v>50500</v>
      </c>
      <c r="BC30" s="152">
        <f>+'Phụ lục số 2'!M35</f>
        <v>56598.400000000001</v>
      </c>
      <c r="BD30" s="152">
        <f t="shared" si="55"/>
        <v>56598.400000000001</v>
      </c>
      <c r="BE30" s="152">
        <f t="shared" si="84"/>
        <v>223480</v>
      </c>
      <c r="BF30" s="152">
        <f t="shared" si="68"/>
        <v>357106.9</v>
      </c>
      <c r="BG30" s="175">
        <f t="shared" si="57"/>
        <v>0.40799580392471269</v>
      </c>
      <c r="BH30" s="827">
        <f t="shared" si="24"/>
        <v>-0.47786431308733435</v>
      </c>
      <c r="BI30" s="26">
        <f>'Phụ lục số II'!R30</f>
        <v>52407.789279999997</v>
      </c>
      <c r="BJ30" s="157">
        <f t="shared" si="58"/>
        <v>52407.789279999997</v>
      </c>
      <c r="BK30" s="157">
        <f>'Phụ lục số II'!W30</f>
        <v>53298.381845967997</v>
      </c>
      <c r="BL30" s="157">
        <f t="shared" si="59"/>
        <v>53298.381845967997</v>
      </c>
      <c r="BM30" s="157">
        <f>'Phụ lục số II'!AB30</f>
        <v>55783.80731718929</v>
      </c>
      <c r="BN30" s="157">
        <f t="shared" si="60"/>
        <v>55783.80731718929</v>
      </c>
      <c r="BO30" s="157">
        <f>'Phụ lục số II'!AG30</f>
        <v>58012.227574130113</v>
      </c>
      <c r="BP30" s="157">
        <f t="shared" si="61"/>
        <v>58012.227574130113</v>
      </c>
      <c r="BQ30" s="157">
        <f>'Phụ lục số II'!AL30</f>
        <v>59752.325567920576</v>
      </c>
      <c r="BR30" s="157">
        <f t="shared" si="62"/>
        <v>59752.325567920576</v>
      </c>
      <c r="BS30" s="157">
        <f t="shared" si="85"/>
        <v>279254.53158520797</v>
      </c>
      <c r="BT30" s="157">
        <f t="shared" si="86"/>
        <v>279254.53158520797</v>
      </c>
      <c r="BU30" s="175">
        <f t="shared" si="65"/>
        <v>0.22296930235184528</v>
      </c>
      <c r="BV30" s="267">
        <f t="shared" si="66"/>
        <v>3.1056446632019785E-2</v>
      </c>
    </row>
    <row r="31" spans="1:74">
      <c r="A31" s="790">
        <v>3</v>
      </c>
      <c r="B31" s="791" t="s">
        <v>173</v>
      </c>
      <c r="C31" s="77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7"/>
      <c r="AB31" s="157"/>
      <c r="AC31" s="157"/>
      <c r="AD31" s="157"/>
      <c r="AE31" s="175">
        <f t="shared" si="50"/>
        <v>0</v>
      </c>
      <c r="AF31" s="280"/>
      <c r="AG31" s="778"/>
      <c r="AH31" s="160"/>
      <c r="AI31" s="160"/>
      <c r="AJ31" s="160"/>
      <c r="AK31" s="142">
        <v>100</v>
      </c>
      <c r="AL31" s="142"/>
      <c r="AM31" s="142">
        <v>300</v>
      </c>
      <c r="AN31" s="142"/>
      <c r="AO31" s="142">
        <v>1000</v>
      </c>
      <c r="AP31" s="142">
        <v>77</v>
      </c>
      <c r="AQ31" s="142">
        <f t="shared" si="82"/>
        <v>1400</v>
      </c>
      <c r="AR31" s="142">
        <f t="shared" si="83"/>
        <v>77</v>
      </c>
      <c r="AS31" s="141">
        <f t="shared" si="53"/>
        <v>1.3259333932891067E-4</v>
      </c>
      <c r="AT31" s="792" t="e">
        <f t="shared" si="54"/>
        <v>#DIV/0!</v>
      </c>
      <c r="AU31" s="289">
        <v>2100</v>
      </c>
      <c r="AV31" s="147">
        <v>823</v>
      </c>
      <c r="AW31" s="147">
        <v>2000</v>
      </c>
      <c r="AX31" s="147">
        <v>1775</v>
      </c>
      <c r="AY31" s="213">
        <f>2000-2000</f>
        <v>0</v>
      </c>
      <c r="AZ31" s="213">
        <v>2438</v>
      </c>
      <c r="BA31" s="147">
        <v>3000</v>
      </c>
      <c r="BB31" s="147">
        <f>+'Phụ lục số 2'!H36</f>
        <v>3000</v>
      </c>
      <c r="BC31" s="147">
        <f>+'Phụ lục số 2'!M36</f>
        <v>3500</v>
      </c>
      <c r="BD31" s="147">
        <f t="shared" si="55"/>
        <v>3500</v>
      </c>
      <c r="BE31" s="147">
        <f t="shared" si="84"/>
        <v>7100</v>
      </c>
      <c r="BF31" s="147">
        <f t="shared" si="68"/>
        <v>11536</v>
      </c>
      <c r="BG31" s="141">
        <f t="shared" si="57"/>
        <v>1.3179917817537228E-2</v>
      </c>
      <c r="BH31" s="1061">
        <f t="shared" si="24"/>
        <v>32.3476215704246</v>
      </c>
      <c r="BI31" s="18">
        <f>'Phụ lục số II'!R31</f>
        <v>3000</v>
      </c>
      <c r="BJ31" s="142">
        <f t="shared" si="58"/>
        <v>3000</v>
      </c>
      <c r="BK31" s="142">
        <f>'Phụ lục số II'!W31</f>
        <v>3000</v>
      </c>
      <c r="BL31" s="142">
        <f t="shared" si="59"/>
        <v>3000</v>
      </c>
      <c r="BM31" s="142">
        <f>'Phụ lục số II'!AB31</f>
        <v>3000</v>
      </c>
      <c r="BN31" s="142">
        <f t="shared" si="60"/>
        <v>3000</v>
      </c>
      <c r="BO31" s="142">
        <f>'Phụ lục số II'!AG31</f>
        <v>3000</v>
      </c>
      <c r="BP31" s="142">
        <f t="shared" si="61"/>
        <v>3000</v>
      </c>
      <c r="BQ31" s="142">
        <f>'Phụ lục số II'!AL31</f>
        <v>3000</v>
      </c>
      <c r="BR31" s="142">
        <f t="shared" si="62"/>
        <v>3000</v>
      </c>
      <c r="BS31" s="142">
        <f t="shared" si="85"/>
        <v>15000</v>
      </c>
      <c r="BT31" s="142">
        <f t="shared" si="86"/>
        <v>15000</v>
      </c>
      <c r="BU31" s="141">
        <f t="shared" si="65"/>
        <v>1.1976670588986205E-2</v>
      </c>
      <c r="BV31" s="247">
        <f t="shared" si="66"/>
        <v>-0.1428571428571429</v>
      </c>
    </row>
    <row r="32" spans="1:74">
      <c r="A32" s="790">
        <v>4</v>
      </c>
      <c r="B32" s="791" t="s">
        <v>174</v>
      </c>
      <c r="C32" s="77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7"/>
      <c r="AB32" s="142">
        <v>2000</v>
      </c>
      <c r="AC32" s="157"/>
      <c r="AD32" s="142">
        <v>10000</v>
      </c>
      <c r="AE32" s="175">
        <f t="shared" si="50"/>
        <v>2.9873112241841016E-2</v>
      </c>
      <c r="AF32" s="280"/>
      <c r="AG32" s="793">
        <v>2000</v>
      </c>
      <c r="AH32" s="39">
        <v>2000</v>
      </c>
      <c r="AI32" s="161">
        <v>2000</v>
      </c>
      <c r="AJ32" s="161">
        <v>2000</v>
      </c>
      <c r="AK32" s="142">
        <v>2000</v>
      </c>
      <c r="AL32" s="142">
        <v>2000</v>
      </c>
      <c r="AM32" s="142">
        <v>2000</v>
      </c>
      <c r="AN32" s="142">
        <v>2000</v>
      </c>
      <c r="AO32" s="142">
        <v>2000</v>
      </c>
      <c r="AP32" s="142">
        <v>2000</v>
      </c>
      <c r="AQ32" s="142">
        <f t="shared" si="82"/>
        <v>10000</v>
      </c>
      <c r="AR32" s="142">
        <f t="shared" si="83"/>
        <v>10000</v>
      </c>
      <c r="AS32" s="141">
        <f t="shared" si="53"/>
        <v>1.7219914198559828E-2</v>
      </c>
      <c r="AT32" s="792">
        <f t="shared" si="54"/>
        <v>0</v>
      </c>
      <c r="AU32" s="289">
        <v>2000</v>
      </c>
      <c r="AV32" s="147">
        <v>2000</v>
      </c>
      <c r="AW32" s="147">
        <v>2000</v>
      </c>
      <c r="AX32" s="147">
        <v>2000</v>
      </c>
      <c r="AY32" s="213">
        <v>2000</v>
      </c>
      <c r="AZ32" s="213">
        <v>2000</v>
      </c>
      <c r="BA32" s="147">
        <v>2000</v>
      </c>
      <c r="BB32" s="147">
        <f>+'Phụ lục số 2'!H37</f>
        <v>2000</v>
      </c>
      <c r="BC32" s="147">
        <f>+'Phụ lục số 2'!M37</f>
        <v>2000</v>
      </c>
      <c r="BD32" s="147">
        <f t="shared" si="55"/>
        <v>2000</v>
      </c>
      <c r="BE32" s="147">
        <f t="shared" si="84"/>
        <v>8000</v>
      </c>
      <c r="BF32" s="147">
        <f t="shared" si="68"/>
        <v>10000</v>
      </c>
      <c r="BG32" s="141">
        <f t="shared" si="57"/>
        <v>1.1425032782192465E-2</v>
      </c>
      <c r="BH32" s="1061">
        <f t="shared" si="24"/>
        <v>0</v>
      </c>
      <c r="BI32" s="18">
        <f>'Phụ lục số II'!R32</f>
        <v>2000</v>
      </c>
      <c r="BJ32" s="142">
        <f t="shared" si="58"/>
        <v>2000</v>
      </c>
      <c r="BK32" s="142">
        <f>'Phụ lục số II'!W32</f>
        <v>2000</v>
      </c>
      <c r="BL32" s="142">
        <f t="shared" si="59"/>
        <v>2000</v>
      </c>
      <c r="BM32" s="142">
        <f>'Phụ lục số II'!AB32</f>
        <v>2000</v>
      </c>
      <c r="BN32" s="142">
        <f t="shared" si="60"/>
        <v>2000</v>
      </c>
      <c r="BO32" s="142">
        <f>'Phụ lục số II'!AG32</f>
        <v>2000</v>
      </c>
      <c r="BP32" s="142">
        <f t="shared" si="61"/>
        <v>2000</v>
      </c>
      <c r="BQ32" s="142">
        <f>'Phụ lục số II'!AL32</f>
        <v>2000</v>
      </c>
      <c r="BR32" s="142">
        <f t="shared" si="62"/>
        <v>2000</v>
      </c>
      <c r="BS32" s="142">
        <f t="shared" si="85"/>
        <v>10000</v>
      </c>
      <c r="BT32" s="142">
        <f t="shared" si="86"/>
        <v>10000</v>
      </c>
      <c r="BU32" s="141">
        <f t="shared" si="65"/>
        <v>7.9844470593241363E-3</v>
      </c>
      <c r="BV32" s="247">
        <f t="shared" si="66"/>
        <v>0</v>
      </c>
    </row>
    <row r="33" spans="1:74">
      <c r="A33" s="790">
        <v>5</v>
      </c>
      <c r="B33" s="791" t="s">
        <v>175</v>
      </c>
      <c r="C33" s="77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7"/>
      <c r="AB33" s="157"/>
      <c r="AC33" s="157"/>
      <c r="AD33" s="157"/>
      <c r="AE33" s="175">
        <f t="shared" si="50"/>
        <v>0</v>
      </c>
      <c r="AF33" s="280"/>
      <c r="AG33" s="793">
        <v>158260</v>
      </c>
      <c r="AH33" s="160"/>
      <c r="AI33" s="161">
        <v>190283</v>
      </c>
      <c r="AJ33" s="160"/>
      <c r="AK33" s="142">
        <v>199901</v>
      </c>
      <c r="AL33" s="157"/>
      <c r="AM33" s="142">
        <v>209077</v>
      </c>
      <c r="AN33" s="157"/>
      <c r="AO33" s="142">
        <v>233960</v>
      </c>
      <c r="AP33" s="157"/>
      <c r="AQ33" s="142">
        <f t="shared" si="82"/>
        <v>991481</v>
      </c>
      <c r="AR33" s="142">
        <f t="shared" si="83"/>
        <v>0</v>
      </c>
      <c r="AS33" s="141">
        <f t="shared" si="53"/>
        <v>0</v>
      </c>
      <c r="AT33" s="792" t="e">
        <f t="shared" si="54"/>
        <v>#DIV/0!</v>
      </c>
      <c r="AU33" s="289">
        <v>233959.5</v>
      </c>
      <c r="AV33" s="152"/>
      <c r="AW33" s="147">
        <v>273066</v>
      </c>
      <c r="AX33" s="152"/>
      <c r="AY33" s="40">
        <f>262830+11793</f>
        <v>274623</v>
      </c>
      <c r="AZ33" s="780"/>
      <c r="BA33" s="147">
        <v>327868.91231904214</v>
      </c>
      <c r="BB33" s="147">
        <f>+'Phụ lục số 2'!H38</f>
        <v>327868.79999999999</v>
      </c>
      <c r="BC33" s="147">
        <f>+'Phụ lục số 2'!M38</f>
        <v>376400.94999999995</v>
      </c>
      <c r="BD33" s="147">
        <f t="shared" si="55"/>
        <v>376400.94999999995</v>
      </c>
      <c r="BE33" s="147">
        <f t="shared" si="84"/>
        <v>1109517.4123190423</v>
      </c>
      <c r="BF33" s="147">
        <f t="shared" si="68"/>
        <v>704269.75</v>
      </c>
      <c r="BG33" s="141">
        <f t="shared" si="57"/>
        <v>0.80463049812564913</v>
      </c>
      <c r="BH33" s="1061" t="e">
        <f t="shared" si="24"/>
        <v>#DIV/0!</v>
      </c>
      <c r="BI33" s="18">
        <f>'Phụ lục số II'!R33</f>
        <v>356375.03167890699</v>
      </c>
      <c r="BJ33" s="142">
        <f t="shared" si="58"/>
        <v>356375.03167890699</v>
      </c>
      <c r="BK33" s="142">
        <f>'Phụ lục số II'!W33</f>
        <v>362851.10031049303</v>
      </c>
      <c r="BL33" s="142">
        <f t="shared" si="59"/>
        <v>362851.10031049303</v>
      </c>
      <c r="BM33" s="142">
        <f>'Phụ lục số II'!AB33</f>
        <v>388554.57695830194</v>
      </c>
      <c r="BN33" s="142">
        <f t="shared" si="60"/>
        <v>388554.57695830194</v>
      </c>
      <c r="BO33" s="142">
        <f>'Phụ lục số II'!AG33</f>
        <v>413799.67800673621</v>
      </c>
      <c r="BP33" s="142">
        <f t="shared" si="61"/>
        <v>413799.67800673621</v>
      </c>
      <c r="BQ33" s="142">
        <f>'Phụ lục số II'!AL33</f>
        <v>455829.86689569859</v>
      </c>
      <c r="BR33" s="142">
        <f t="shared" si="62"/>
        <v>455829.86689569859</v>
      </c>
      <c r="BS33" s="142">
        <f t="shared" si="85"/>
        <v>1977410.2538501364</v>
      </c>
      <c r="BT33" s="142">
        <f t="shared" si="86"/>
        <v>1977410.2538501364</v>
      </c>
      <c r="BU33" s="141">
        <f t="shared" si="65"/>
        <v>1.5788527486431119</v>
      </c>
      <c r="BV33" s="247">
        <f t="shared" si="66"/>
        <v>0.12083572077465421</v>
      </c>
    </row>
    <row r="34" spans="1:74">
      <c r="A34" s="790">
        <v>6</v>
      </c>
      <c r="B34" s="791" t="s">
        <v>176</v>
      </c>
      <c r="C34" s="77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7"/>
      <c r="AB34" s="157"/>
      <c r="AC34" s="157"/>
      <c r="AD34" s="142">
        <v>490365</v>
      </c>
      <c r="AE34" s="175">
        <f t="shared" si="50"/>
        <v>1.4648728684470371</v>
      </c>
      <c r="AF34" s="280"/>
      <c r="AG34" s="778"/>
      <c r="AH34" s="160"/>
      <c r="AI34" s="160"/>
      <c r="AJ34" s="160"/>
      <c r="AK34" s="142">
        <v>83719</v>
      </c>
      <c r="AL34" s="39"/>
      <c r="AM34" s="142">
        <v>204195</v>
      </c>
      <c r="AN34" s="157"/>
      <c r="AO34" s="142">
        <v>378989</v>
      </c>
      <c r="AP34" s="157"/>
      <c r="AQ34" s="142">
        <f>SUM(AG34,AI34,AK34,AM34,AO34)</f>
        <v>666903</v>
      </c>
      <c r="AR34" s="142">
        <f t="shared" si="83"/>
        <v>0</v>
      </c>
      <c r="AS34" s="141">
        <f t="shared" si="53"/>
        <v>0</v>
      </c>
      <c r="AT34" s="792" t="e">
        <f t="shared" si="54"/>
        <v>#DIV/0!</v>
      </c>
      <c r="AU34" s="289">
        <v>606749</v>
      </c>
      <c r="AV34" s="152"/>
      <c r="AW34" s="152"/>
      <c r="AX34" s="794"/>
      <c r="AY34" s="780"/>
      <c r="AZ34" s="780"/>
      <c r="BA34" s="147">
        <v>717399.2</v>
      </c>
      <c r="BB34" s="147">
        <f>+'Phụ lục số 2'!H39</f>
        <v>0.40000000001455194</v>
      </c>
      <c r="BC34" s="147">
        <f>+'Phụ lục số 2'!M39</f>
        <v>519900</v>
      </c>
      <c r="BD34" s="147">
        <f t="shared" si="55"/>
        <v>519900</v>
      </c>
      <c r="BE34" s="147">
        <f t="shared" si="84"/>
        <v>1324148.2</v>
      </c>
      <c r="BF34" s="147">
        <f t="shared" si="68"/>
        <v>519900.4</v>
      </c>
      <c r="BG34" s="141">
        <f t="shared" si="57"/>
        <v>0.59398791134749762</v>
      </c>
      <c r="BH34" s="1061" t="e">
        <f t="shared" si="24"/>
        <v>#DIV/0!</v>
      </c>
      <c r="BI34" s="18">
        <f>'Phụ lục số II'!R34</f>
        <v>0</v>
      </c>
      <c r="BJ34" s="142">
        <f t="shared" si="58"/>
        <v>0</v>
      </c>
      <c r="BK34" s="142">
        <f>'Phụ lục số II'!W34</f>
        <v>0</v>
      </c>
      <c r="BL34" s="142">
        <f t="shared" si="59"/>
        <v>0</v>
      </c>
      <c r="BM34" s="142">
        <f>'Phụ lục số II'!AB34</f>
        <v>1088757.7498882432</v>
      </c>
      <c r="BN34" s="142">
        <f t="shared" si="60"/>
        <v>1088757.7498882432</v>
      </c>
      <c r="BO34" s="142">
        <f>'Phụ lục số II'!AG34</f>
        <v>1572055.4252528162</v>
      </c>
      <c r="BP34" s="142">
        <f t="shared" si="61"/>
        <v>1572055.4252528162</v>
      </c>
      <c r="BQ34" s="142">
        <f>'Phụ lục số II'!AL34</f>
        <v>2013128.5970931321</v>
      </c>
      <c r="BR34" s="142">
        <f t="shared" si="62"/>
        <v>2013128.5970931321</v>
      </c>
      <c r="BS34" s="142">
        <f t="shared" si="85"/>
        <v>4673941.7722341912</v>
      </c>
      <c r="BT34" s="142">
        <f>BJ34+BL34+BN34+BP34+BR34</f>
        <v>4673941.7722341912</v>
      </c>
      <c r="BU34" s="141">
        <f t="shared" si="65"/>
        <v>3.7318840638767532</v>
      </c>
      <c r="BV34" s="247" t="e">
        <f>((BJ34/BD34)*(BL34/BJ34)*(BN34/BL34)*(BP34/BN34)*(BR34/BP34)^(1/5))-1</f>
        <v>#DIV/0!</v>
      </c>
    </row>
    <row r="35" spans="1:74">
      <c r="A35" s="795" t="s">
        <v>33</v>
      </c>
      <c r="B35" s="796" t="s">
        <v>177</v>
      </c>
      <c r="C35" s="77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7"/>
      <c r="AB35" s="157"/>
      <c r="AC35" s="157"/>
      <c r="AD35" s="157"/>
      <c r="AE35" s="155"/>
      <c r="AF35" s="280"/>
      <c r="AG35" s="18">
        <f t="shared" ref="AG35:AH35" si="87">AG36+AG39+AG42</f>
        <v>760850</v>
      </c>
      <c r="AH35" s="142">
        <f t="shared" si="87"/>
        <v>694619</v>
      </c>
      <c r="AI35" s="18">
        <f t="shared" ref="AI35:AJ35" si="88">AI36+AI39+AI42</f>
        <v>737729</v>
      </c>
      <c r="AJ35" s="142">
        <f t="shared" si="88"/>
        <v>706790</v>
      </c>
      <c r="AK35" s="18">
        <f t="shared" ref="AK35:AL35" si="89">AK36+AK39+AK42</f>
        <v>1818286</v>
      </c>
      <c r="AL35" s="142">
        <f t="shared" si="89"/>
        <v>1327639</v>
      </c>
      <c r="AM35" s="18">
        <f t="shared" ref="AM35" si="90">AM36+AM39+AM42</f>
        <v>1423990</v>
      </c>
      <c r="AN35" s="142">
        <f>AN36+AN39+AN42</f>
        <v>1073084</v>
      </c>
      <c r="AO35" s="18">
        <f t="shared" ref="AO35" si="91">AO36+AO39+AO42</f>
        <v>1474513</v>
      </c>
      <c r="AP35" s="142">
        <f>AP36+AP39+AP42</f>
        <v>1331324</v>
      </c>
      <c r="AQ35" s="18">
        <f t="shared" ref="AQ35:AR35" si="92">AQ36+AQ39+AQ42</f>
        <v>6215368</v>
      </c>
      <c r="AR35" s="142">
        <f t="shared" si="92"/>
        <v>5133456</v>
      </c>
      <c r="AS35" s="141">
        <f t="shared" si="53"/>
        <v>8.8397671862082134</v>
      </c>
      <c r="AT35" s="792" t="e">
        <f t="shared" si="54"/>
        <v>#DIV/0!</v>
      </c>
      <c r="AU35" s="289">
        <f t="shared" ref="AU35:AW35" si="93">AU36+AU39+AU42</f>
        <v>1370794</v>
      </c>
      <c r="AV35" s="147">
        <f t="shared" si="93"/>
        <v>1325729.5</v>
      </c>
      <c r="AW35" s="147">
        <f t="shared" si="93"/>
        <v>1213473</v>
      </c>
      <c r="AX35" s="185">
        <f>AX36+AX39+AX42</f>
        <v>1553000.9</v>
      </c>
      <c r="AY35" s="147">
        <f>AY36+AY39+AY42</f>
        <v>2597007</v>
      </c>
      <c r="AZ35" s="147">
        <f>AZ36+AZ39+AZ42</f>
        <v>2731686.8960299999</v>
      </c>
      <c r="BA35" s="147">
        <f>BA36+BA39+BA42</f>
        <v>1988976</v>
      </c>
      <c r="BB35" s="147">
        <f>BB36+BB39+BB42</f>
        <v>2127535</v>
      </c>
      <c r="BC35" s="147">
        <f t="shared" ref="BC35:BD35" si="94">BC36+BC39+BC42</f>
        <v>3036992</v>
      </c>
      <c r="BD35" s="147">
        <f t="shared" si="94"/>
        <v>3036992</v>
      </c>
      <c r="BE35" s="147">
        <f t="shared" ref="BE35" si="95">BE36+BE39+BE42</f>
        <v>7170250</v>
      </c>
      <c r="BF35" s="147">
        <f t="shared" ref="BF35" si="96">BF36+BF39+BF42</f>
        <v>10774944.29603</v>
      </c>
      <c r="BG35" s="141">
        <f t="shared" si="57"/>
        <v>12.310409180844047</v>
      </c>
      <c r="BH35" s="1061">
        <f t="shared" si="24"/>
        <v>0.92756311249546775</v>
      </c>
      <c r="BI35" s="18">
        <f>BI36+BI39+BI42</f>
        <v>3676048.8</v>
      </c>
      <c r="BJ35" s="142">
        <f>BJ36+BJ39+BJ42</f>
        <v>3676048.8</v>
      </c>
      <c r="BK35" s="142">
        <f t="shared" ref="BK35:BT35" si="97">BK36+BK39+BK42</f>
        <v>3676048.8</v>
      </c>
      <c r="BL35" s="142">
        <f t="shared" si="97"/>
        <v>3676048.8</v>
      </c>
      <c r="BM35" s="142">
        <f t="shared" si="97"/>
        <v>3676048.8</v>
      </c>
      <c r="BN35" s="142">
        <f t="shared" si="97"/>
        <v>3676048.8</v>
      </c>
      <c r="BO35" s="142">
        <f t="shared" si="97"/>
        <v>3676048.8</v>
      </c>
      <c r="BP35" s="142">
        <f t="shared" si="97"/>
        <v>3676048.8</v>
      </c>
      <c r="BQ35" s="142">
        <f t="shared" si="97"/>
        <v>3676048.8</v>
      </c>
      <c r="BR35" s="142">
        <f t="shared" si="97"/>
        <v>3676048.8</v>
      </c>
      <c r="BS35" s="142">
        <f t="shared" si="97"/>
        <v>18380244</v>
      </c>
      <c r="BT35" s="142">
        <f t="shared" si="97"/>
        <v>18380244</v>
      </c>
      <c r="BU35" s="141">
        <f t="shared" si="65"/>
        <v>14.67560851554601</v>
      </c>
      <c r="BV35" s="247">
        <f t="shared" si="66"/>
        <v>0.21042426190124952</v>
      </c>
    </row>
    <row r="36" spans="1:74">
      <c r="A36" s="797">
        <v>1</v>
      </c>
      <c r="B36" s="798" t="s">
        <v>178</v>
      </c>
      <c r="C36" s="77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7"/>
      <c r="AB36" s="157"/>
      <c r="AC36" s="157"/>
      <c r="AD36" s="157"/>
      <c r="AE36" s="155"/>
      <c r="AF36" s="280"/>
      <c r="AG36" s="26">
        <f>SUM(AG37:AG38)</f>
        <v>615920</v>
      </c>
      <c r="AH36" s="157">
        <f t="shared" ref="AH36" si="98">SUM(AH37:AH38)</f>
        <v>536282</v>
      </c>
      <c r="AI36" s="26">
        <f t="shared" ref="AI36:AJ36" si="99">SUM(AI37:AI38)</f>
        <v>705961</v>
      </c>
      <c r="AJ36" s="157">
        <f t="shared" si="99"/>
        <v>674955</v>
      </c>
      <c r="AK36" s="26">
        <f t="shared" ref="AK36:AL36" si="100">SUM(AK37:AK38)</f>
        <v>1614589</v>
      </c>
      <c r="AL36" s="157">
        <f t="shared" si="100"/>
        <v>1327639</v>
      </c>
      <c r="AM36" s="26">
        <f t="shared" ref="AM36" si="101">SUM(AM37:AM38)</f>
        <v>1073084</v>
      </c>
      <c r="AN36" s="192">
        <f>SUM(AN37:AN38)</f>
        <v>1073084</v>
      </c>
      <c r="AO36" s="26">
        <f t="shared" ref="AO36:AP36" si="102">SUM(AO37:AO38)</f>
        <v>1314960</v>
      </c>
      <c r="AP36" s="192">
        <f t="shared" si="102"/>
        <v>1312441</v>
      </c>
      <c r="AQ36" s="26">
        <f t="shared" ref="AQ36:AR36" si="103">SUM(AQ37:AQ38)</f>
        <v>5324514</v>
      </c>
      <c r="AR36" s="157">
        <f t="shared" si="103"/>
        <v>4924401</v>
      </c>
      <c r="AS36" s="175">
        <f t="shared" si="53"/>
        <v>8.4797762699302215</v>
      </c>
      <c r="AT36" s="783" t="e">
        <f t="shared" si="54"/>
        <v>#DIV/0!</v>
      </c>
      <c r="AU36" s="288">
        <f t="shared" ref="AU36:AX36" si="104">SUM(AU37:AU38)</f>
        <v>1263824</v>
      </c>
      <c r="AV36" s="152">
        <f t="shared" si="104"/>
        <v>1263824</v>
      </c>
      <c r="AW36" s="152">
        <f t="shared" si="104"/>
        <v>1127000</v>
      </c>
      <c r="AX36" s="152">
        <f t="shared" si="104"/>
        <v>1452677.5</v>
      </c>
      <c r="AY36" s="152">
        <f>SUM(AY37:AY38)</f>
        <v>2417971</v>
      </c>
      <c r="AZ36" s="185">
        <f>SUM(AZ37:AZ38)</f>
        <v>2569742.8960299999</v>
      </c>
      <c r="BA36" s="152">
        <f>SUM(BA37:BA38)</f>
        <v>1814491</v>
      </c>
      <c r="BB36" s="152">
        <f t="shared" ref="BB36:BD36" si="105">SUM(BB37:BB38)</f>
        <v>1814491</v>
      </c>
      <c r="BC36" s="152">
        <f t="shared" si="105"/>
        <v>2530494</v>
      </c>
      <c r="BD36" s="152">
        <f t="shared" si="105"/>
        <v>2530494</v>
      </c>
      <c r="BE36" s="152">
        <f t="shared" ref="BE36" si="106">SUM(BE37:BE38)</f>
        <v>6623286</v>
      </c>
      <c r="BF36" s="152">
        <f t="shared" ref="BF36" si="107">SUM(BF37:BF38)</f>
        <v>9631229.3960299995</v>
      </c>
      <c r="BG36" s="175">
        <f t="shared" si="57"/>
        <v>11.003711158245848</v>
      </c>
      <c r="BH36" s="267">
        <f t="shared" ref="BH36" si="108">((AV36/AP36)*(AX36/AV36)*(AZ36/AX36)*(BB36/AZ36)*(BD36/BB36)^(1/5))-1</f>
        <v>0.4776280542986977</v>
      </c>
      <c r="BI36" s="26">
        <f>SUM(BI37:BI38)</f>
        <v>3101719</v>
      </c>
      <c r="BJ36" s="157">
        <f t="shared" ref="BJ36:BT36" si="109">SUM(BJ37:BJ38)</f>
        <v>3101719</v>
      </c>
      <c r="BK36" s="157">
        <f t="shared" si="109"/>
        <v>3101719</v>
      </c>
      <c r="BL36" s="157">
        <f t="shared" si="109"/>
        <v>3101719</v>
      </c>
      <c r="BM36" s="157">
        <f t="shared" si="109"/>
        <v>3101719</v>
      </c>
      <c r="BN36" s="157">
        <f t="shared" si="109"/>
        <v>3101719</v>
      </c>
      <c r="BO36" s="157">
        <f t="shared" si="109"/>
        <v>3101719</v>
      </c>
      <c r="BP36" s="157">
        <f t="shared" si="109"/>
        <v>3101719</v>
      </c>
      <c r="BQ36" s="157">
        <f t="shared" si="109"/>
        <v>3101719</v>
      </c>
      <c r="BR36" s="157">
        <f t="shared" si="109"/>
        <v>3101719</v>
      </c>
      <c r="BS36" s="157">
        <f t="shared" si="109"/>
        <v>15508595</v>
      </c>
      <c r="BT36" s="157">
        <f t="shared" si="109"/>
        <v>15508595</v>
      </c>
      <c r="BU36" s="175">
        <f t="shared" si="65"/>
        <v>12.382755574199901</v>
      </c>
      <c r="BV36" s="267">
        <f t="shared" si="66"/>
        <v>0.22573655578713092</v>
      </c>
    </row>
    <row r="37" spans="1:74">
      <c r="A37" s="241" t="s">
        <v>99</v>
      </c>
      <c r="B37" s="232" t="s">
        <v>100</v>
      </c>
      <c r="C37" s="77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7"/>
      <c r="AB37" s="157"/>
      <c r="AC37" s="157"/>
      <c r="AD37" s="157"/>
      <c r="AE37" s="155"/>
      <c r="AF37" s="280"/>
      <c r="AG37" s="26">
        <v>585920</v>
      </c>
      <c r="AH37" s="157">
        <v>510885</v>
      </c>
      <c r="AI37" s="160">
        <v>579113</v>
      </c>
      <c r="AJ37" s="160">
        <f>AI37-1496</f>
        <v>577617</v>
      </c>
      <c r="AK37" s="157">
        <v>1503647</v>
      </c>
      <c r="AL37" s="157">
        <f>AK37-286950</f>
        <v>1216697</v>
      </c>
      <c r="AM37" s="157">
        <f>849684</f>
        <v>849684</v>
      </c>
      <c r="AN37" s="157">
        <f>AM37</f>
        <v>849684</v>
      </c>
      <c r="AO37" s="157">
        <v>906600</v>
      </c>
      <c r="AP37" s="157">
        <f>AO37</f>
        <v>906600</v>
      </c>
      <c r="AQ37" s="157">
        <f t="shared" ref="AQ37" si="110">SUM(AG37,AI37,AK37,AM37,AO37)</f>
        <v>4424964</v>
      </c>
      <c r="AR37" s="157">
        <f t="shared" ref="AR37" si="111">SUM(AH37,AJ37,AL37,AN37,AP37)</f>
        <v>4061483</v>
      </c>
      <c r="AS37" s="175">
        <f t="shared" si="53"/>
        <v>6.9938388778909362</v>
      </c>
      <c r="AT37" s="783" t="e">
        <f t="shared" si="54"/>
        <v>#DIV/0!</v>
      </c>
      <c r="AU37" s="288">
        <v>1263824</v>
      </c>
      <c r="AV37" s="152">
        <f>AU37</f>
        <v>1263824</v>
      </c>
      <c r="AW37" s="152">
        <v>1127000</v>
      </c>
      <c r="AX37" s="152">
        <f>1553000.9-AX41</f>
        <v>1452677.5</v>
      </c>
      <c r="AY37" s="780">
        <f>1115300+1170500</f>
        <v>2285800</v>
      </c>
      <c r="AZ37" s="780">
        <f>2437571887384/1000000</f>
        <v>2437571.8873839998</v>
      </c>
      <c r="BA37" s="152">
        <v>1681570</v>
      </c>
      <c r="BB37" s="152">
        <f>+'Phụ lục số II'!H37</f>
        <v>1681570</v>
      </c>
      <c r="BC37" s="152">
        <f>+'Phụ lục số 2'!M42</f>
        <v>2399255</v>
      </c>
      <c r="BD37" s="152">
        <f t="shared" ref="BD37:BD45" si="112">BC37</f>
        <v>2399255</v>
      </c>
      <c r="BE37" s="152">
        <f t="shared" ref="BE37" si="113">AU37+AW37+AY37+BA37</f>
        <v>6358194</v>
      </c>
      <c r="BF37" s="152">
        <f>AV37+AX37+AZ37+BB37+BD37</f>
        <v>9234898.3873839993</v>
      </c>
      <c r="BG37" s="155"/>
      <c r="BH37" s="267"/>
      <c r="BI37" s="26">
        <f>'Phụ lục số II'!R37</f>
        <v>2970480</v>
      </c>
      <c r="BJ37" s="157">
        <f t="shared" ref="BJ37:BJ38" si="114">BI37</f>
        <v>2970480</v>
      </c>
      <c r="BK37" s="157">
        <f>'Phụ lục số II'!W37</f>
        <v>2970480</v>
      </c>
      <c r="BL37" s="157">
        <f t="shared" ref="BL37:BL38" si="115">BK37</f>
        <v>2970480</v>
      </c>
      <c r="BM37" s="157">
        <f>'Phụ lục số II'!AB37</f>
        <v>2970480</v>
      </c>
      <c r="BN37" s="157">
        <f t="shared" ref="BN37:BN38" si="116">BM37</f>
        <v>2970480</v>
      </c>
      <c r="BO37" s="157">
        <f>'Phụ lục số II'!AG37</f>
        <v>2970480</v>
      </c>
      <c r="BP37" s="157">
        <f t="shared" ref="BP37:BP38" si="117">BO37</f>
        <v>2970480</v>
      </c>
      <c r="BQ37" s="157">
        <f>'Phụ lục số II'!AL37</f>
        <v>2970480</v>
      </c>
      <c r="BR37" s="157">
        <f t="shared" ref="BR37:BR38" si="118">BQ37</f>
        <v>2970480</v>
      </c>
      <c r="BS37" s="157">
        <f t="shared" ref="BS37:BS38" si="119">BI37+BK37+BM37+BO37+BQ37</f>
        <v>14852400</v>
      </c>
      <c r="BT37" s="157">
        <f t="shared" ref="BT37:BT38" si="120">BJ37+BL37+BN37+BP37+BR37</f>
        <v>14852400</v>
      </c>
      <c r="BU37" s="175">
        <f t="shared" ref="BU37:BU39" si="121">BT37/$BT$9*100</f>
        <v>11.858820150390581</v>
      </c>
      <c r="BV37" s="267">
        <f t="shared" si="66"/>
        <v>0.23808432200828999</v>
      </c>
    </row>
    <row r="38" spans="1:74">
      <c r="A38" s="241" t="s">
        <v>101</v>
      </c>
      <c r="B38" s="232" t="s">
        <v>102</v>
      </c>
      <c r="C38" s="77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7"/>
      <c r="AB38" s="157"/>
      <c r="AC38" s="157"/>
      <c r="AD38" s="157"/>
      <c r="AE38" s="155"/>
      <c r="AF38" s="280"/>
      <c r="AG38" s="26">
        <f>22800+7200</f>
        <v>30000</v>
      </c>
      <c r="AH38" s="157">
        <v>25397</v>
      </c>
      <c r="AI38" s="160">
        <f>119000+7848</f>
        <v>126848</v>
      </c>
      <c r="AJ38" s="160">
        <v>97338</v>
      </c>
      <c r="AK38" s="157">
        <f>104200+6742</f>
        <v>110942</v>
      </c>
      <c r="AL38" s="157">
        <f>AK38</f>
        <v>110942</v>
      </c>
      <c r="AM38" s="157">
        <f>160100+63300</f>
        <v>223400</v>
      </c>
      <c r="AN38" s="157">
        <f>AM38</f>
        <v>223400</v>
      </c>
      <c r="AO38" s="157">
        <f>318260+90100</f>
        <v>408360</v>
      </c>
      <c r="AP38" s="157">
        <v>405841</v>
      </c>
      <c r="AQ38" s="157">
        <f t="shared" ref="AQ38" si="122">SUM(AG38,AI38,AK38,AM38,AO38)</f>
        <v>899550</v>
      </c>
      <c r="AR38" s="157">
        <f t="shared" ref="AR38" si="123">SUM(AH38,AJ38,AL38,AN38,AP38)</f>
        <v>862918</v>
      </c>
      <c r="AS38" s="175">
        <f t="shared" si="53"/>
        <v>1.4859373920392849</v>
      </c>
      <c r="AT38" s="783" t="e">
        <f t="shared" si="54"/>
        <v>#DIV/0!</v>
      </c>
      <c r="AU38" s="288"/>
      <c r="AV38" s="152"/>
      <c r="AW38" s="152"/>
      <c r="AX38" s="152"/>
      <c r="AY38" s="780">
        <f>127830+4341</f>
        <v>132171</v>
      </c>
      <c r="AZ38" s="780">
        <f>(4638053006+179430955640)/1000000-51898</f>
        <v>132171.008646</v>
      </c>
      <c r="BA38" s="152">
        <v>132921</v>
      </c>
      <c r="BB38" s="152">
        <f>+'Phụ lục số II'!H38</f>
        <v>132921</v>
      </c>
      <c r="BC38" s="152">
        <f>+'Phụ lục số 2'!M43</f>
        <v>131239</v>
      </c>
      <c r="BD38" s="152">
        <f t="shared" si="112"/>
        <v>131239</v>
      </c>
      <c r="BE38" s="152">
        <f t="shared" ref="BE38" si="124">AU38+AW38+AY38+BA38</f>
        <v>265092</v>
      </c>
      <c r="BF38" s="152">
        <f>AV38+AX38+AZ38+BB38+BD38</f>
        <v>396331.008646</v>
      </c>
      <c r="BG38" s="155"/>
      <c r="BH38" s="267"/>
      <c r="BI38" s="26">
        <f>'Phụ lục số II'!R38</f>
        <v>131239</v>
      </c>
      <c r="BJ38" s="157">
        <f t="shared" si="114"/>
        <v>131239</v>
      </c>
      <c r="BK38" s="157">
        <f>'Phụ lục số II'!W38</f>
        <v>131239</v>
      </c>
      <c r="BL38" s="157">
        <f t="shared" si="115"/>
        <v>131239</v>
      </c>
      <c r="BM38" s="157">
        <f>'Phụ lục số II'!AB38</f>
        <v>131239</v>
      </c>
      <c r="BN38" s="157">
        <f t="shared" si="116"/>
        <v>131239</v>
      </c>
      <c r="BO38" s="157">
        <f>'Phụ lục số II'!AG38</f>
        <v>131239</v>
      </c>
      <c r="BP38" s="157">
        <f t="shared" si="117"/>
        <v>131239</v>
      </c>
      <c r="BQ38" s="157">
        <f>'Phụ lục số II'!AL38</f>
        <v>131239</v>
      </c>
      <c r="BR38" s="157">
        <f t="shared" si="118"/>
        <v>131239</v>
      </c>
      <c r="BS38" s="157">
        <f t="shared" si="119"/>
        <v>656195</v>
      </c>
      <c r="BT38" s="157">
        <f t="shared" si="120"/>
        <v>656195</v>
      </c>
      <c r="BU38" s="175">
        <f t="shared" si="121"/>
        <v>0.52393542380932023</v>
      </c>
      <c r="BV38" s="267">
        <f t="shared" si="66"/>
        <v>0</v>
      </c>
    </row>
    <row r="39" spans="1:74">
      <c r="A39" s="797">
        <v>2</v>
      </c>
      <c r="B39" s="798" t="s">
        <v>179</v>
      </c>
      <c r="C39" s="77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7"/>
      <c r="AB39" s="157"/>
      <c r="AC39" s="157"/>
      <c r="AD39" s="157"/>
      <c r="AE39" s="155"/>
      <c r="AF39" s="280"/>
      <c r="AG39" s="26">
        <f t="shared" ref="AG39:AR39" si="125">SUM(AG40:AG41)</f>
        <v>144930</v>
      </c>
      <c r="AH39" s="157">
        <f t="shared" si="125"/>
        <v>158337</v>
      </c>
      <c r="AI39" s="157">
        <f t="shared" si="125"/>
        <v>31768</v>
      </c>
      <c r="AJ39" s="157">
        <f t="shared" si="125"/>
        <v>31835</v>
      </c>
      <c r="AK39" s="157">
        <f t="shared" si="125"/>
        <v>203697</v>
      </c>
      <c r="AL39" s="157">
        <f t="shared" si="125"/>
        <v>0</v>
      </c>
      <c r="AM39" s="157">
        <f t="shared" si="125"/>
        <v>350906</v>
      </c>
      <c r="AN39" s="157">
        <f t="shared" si="125"/>
        <v>0</v>
      </c>
      <c r="AO39" s="157">
        <f t="shared" si="125"/>
        <v>159553</v>
      </c>
      <c r="AP39" s="157">
        <f>SUM(AP40:AP41)</f>
        <v>18883</v>
      </c>
      <c r="AQ39" s="157">
        <f t="shared" si="125"/>
        <v>890854</v>
      </c>
      <c r="AR39" s="157">
        <f t="shared" si="125"/>
        <v>209055</v>
      </c>
      <c r="AS39" s="175">
        <f t="shared" si="53"/>
        <v>0.35999091627799246</v>
      </c>
      <c r="AT39" s="783" t="e">
        <f t="shared" si="54"/>
        <v>#DIV/0!</v>
      </c>
      <c r="AU39" s="288">
        <f t="shared" ref="AU39:AX39" si="126">SUM(AU40:AU41)</f>
        <v>106970</v>
      </c>
      <c r="AV39" s="152">
        <f t="shared" si="126"/>
        <v>61905.5</v>
      </c>
      <c r="AW39" s="152">
        <f t="shared" si="126"/>
        <v>86473</v>
      </c>
      <c r="AX39" s="152">
        <f t="shared" si="126"/>
        <v>100323.4</v>
      </c>
      <c r="AY39" s="152">
        <f>SUM(AY40:AY41)</f>
        <v>179036</v>
      </c>
      <c r="AZ39" s="152">
        <f>SUM(AZ40:AZ41)</f>
        <v>161944</v>
      </c>
      <c r="BA39" s="152">
        <f>SUM(BA40:BA41)</f>
        <v>174485</v>
      </c>
      <c r="BB39" s="152">
        <f t="shared" ref="BB39:BD39" si="127">SUM(BB40:BB41)</f>
        <v>174485</v>
      </c>
      <c r="BC39" s="152">
        <f t="shared" si="127"/>
        <v>221912</v>
      </c>
      <c r="BD39" s="152">
        <f t="shared" si="127"/>
        <v>221912</v>
      </c>
      <c r="BE39" s="152">
        <f t="shared" ref="BE39" si="128">SUM(BE40:BE41)</f>
        <v>546964</v>
      </c>
      <c r="BF39" s="152">
        <f t="shared" ref="BF39" si="129">SUM(BF40:BF41)</f>
        <v>720569.9</v>
      </c>
      <c r="BG39" s="175">
        <f t="shared" ref="BG39" si="130">BF39/$BF$9*100</f>
        <v>0.82325347293611473</v>
      </c>
      <c r="BH39" s="267">
        <f t="shared" ref="BH39" si="131">((AV39/AP39)*(AX39/AV39)*(AZ39/AX39)*(BB39/AZ39)*(BD39/BB39)^(1/5))-1</f>
        <v>8.6955319669684545</v>
      </c>
      <c r="BI39" s="26">
        <f t="shared" ref="BI39:BT39" si="132">SUM(BI40:BI41)</f>
        <v>195063.8</v>
      </c>
      <c r="BJ39" s="157">
        <f t="shared" si="132"/>
        <v>195063.8</v>
      </c>
      <c r="BK39" s="157">
        <f t="shared" si="132"/>
        <v>195063.8</v>
      </c>
      <c r="BL39" s="157">
        <f t="shared" si="132"/>
        <v>195063.8</v>
      </c>
      <c r="BM39" s="157">
        <f t="shared" si="132"/>
        <v>195063.8</v>
      </c>
      <c r="BN39" s="157">
        <f t="shared" si="132"/>
        <v>195063.8</v>
      </c>
      <c r="BO39" s="157">
        <f t="shared" si="132"/>
        <v>195063.8</v>
      </c>
      <c r="BP39" s="157">
        <f t="shared" si="132"/>
        <v>195063.8</v>
      </c>
      <c r="BQ39" s="157">
        <f t="shared" si="132"/>
        <v>195063.8</v>
      </c>
      <c r="BR39" s="157">
        <f t="shared" si="132"/>
        <v>195063.8</v>
      </c>
      <c r="BS39" s="157">
        <f t="shared" si="132"/>
        <v>975319</v>
      </c>
      <c r="BT39" s="157">
        <f t="shared" si="132"/>
        <v>975319</v>
      </c>
      <c r="BU39" s="175">
        <f t="shared" si="121"/>
        <v>0.77873829214529577</v>
      </c>
      <c r="BV39" s="267">
        <f t="shared" si="66"/>
        <v>-0.12098579617145544</v>
      </c>
    </row>
    <row r="40" spans="1:74">
      <c r="A40" s="241" t="s">
        <v>99</v>
      </c>
      <c r="B40" s="232" t="s">
        <v>103</v>
      </c>
      <c r="C40" s="77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7"/>
      <c r="AB40" s="157"/>
      <c r="AC40" s="157"/>
      <c r="AD40" s="157"/>
      <c r="AE40" s="155"/>
      <c r="AF40" s="280"/>
      <c r="AG40" s="26">
        <v>121256</v>
      </c>
      <c r="AH40" s="157">
        <f>138835</f>
        <v>138835</v>
      </c>
      <c r="AI40" s="160">
        <v>297</v>
      </c>
      <c r="AJ40" s="160">
        <v>75</v>
      </c>
      <c r="AK40" s="252">
        <f>245237-89087</f>
        <v>156150</v>
      </c>
      <c r="AL40" s="157"/>
      <c r="AM40" s="252">
        <f>423993-87254</f>
        <v>336739</v>
      </c>
      <c r="AN40" s="157"/>
      <c r="AO40" s="252">
        <f>267388-126050</f>
        <v>141338</v>
      </c>
      <c r="AP40" s="157"/>
      <c r="AQ40" s="157">
        <f t="shared" ref="AQ40:AQ41" si="133">SUM(AG40,AI40,AK40,AM40,AO40)</f>
        <v>755780</v>
      </c>
      <c r="AR40" s="157">
        <f t="shared" ref="AR40:AR41" si="134">SUM(AH40,AJ40,AL40,AN40,AP40)</f>
        <v>138910</v>
      </c>
      <c r="AS40" s="175">
        <f t="shared" si="53"/>
        <v>0.23920182813219454</v>
      </c>
      <c r="AT40" s="783" t="e">
        <f t="shared" si="54"/>
        <v>#DIV/0!</v>
      </c>
      <c r="AU40" s="799">
        <f>411627-304657</f>
        <v>106970</v>
      </c>
      <c r="AV40" s="152"/>
      <c r="AW40" s="152">
        <v>86473</v>
      </c>
      <c r="AX40" s="152"/>
      <c r="AY40" s="780">
        <v>81470</v>
      </c>
      <c r="AZ40" s="780"/>
      <c r="BA40" s="780">
        <v>72469</v>
      </c>
      <c r="BB40" s="152">
        <f>+'Phụ lục số II'!H40</f>
        <v>72469</v>
      </c>
      <c r="BC40" s="152">
        <f>+'Phụ lục số 2'!M45</f>
        <v>186007</v>
      </c>
      <c r="BD40" s="152">
        <f t="shared" si="112"/>
        <v>186007</v>
      </c>
      <c r="BE40" s="152">
        <f t="shared" ref="BE40:BE41" si="135">AU40+AW40+AY40+BA40</f>
        <v>347382</v>
      </c>
      <c r="BF40" s="152">
        <f>AV40+AX40+AZ40+BB40+BD40</f>
        <v>258476</v>
      </c>
      <c r="BG40" s="155"/>
      <c r="BH40" s="267"/>
      <c r="BI40" s="26">
        <f>'Phụ lục số II'!R40</f>
        <v>86962.8</v>
      </c>
      <c r="BJ40" s="157">
        <f t="shared" ref="BJ40:BJ41" si="136">BI40</f>
        <v>86962.8</v>
      </c>
      <c r="BK40" s="157">
        <f>'Phụ lục số II'!W40</f>
        <v>86962.8</v>
      </c>
      <c r="BL40" s="157">
        <f t="shared" ref="BL40:BL41" si="137">BK40</f>
        <v>86962.8</v>
      </c>
      <c r="BM40" s="157">
        <f>'Phụ lục số II'!AB40</f>
        <v>86962.8</v>
      </c>
      <c r="BN40" s="157">
        <f t="shared" ref="BN40:BN41" si="138">BM40</f>
        <v>86962.8</v>
      </c>
      <c r="BO40" s="157">
        <f>'Phụ lục số II'!AG40</f>
        <v>86962.8</v>
      </c>
      <c r="BP40" s="157">
        <f t="shared" ref="BP40:BP41" si="139">BO40</f>
        <v>86962.8</v>
      </c>
      <c r="BQ40" s="157">
        <f>'Phụ lục số II'!AL40</f>
        <v>86962.8</v>
      </c>
      <c r="BR40" s="157">
        <f t="shared" ref="BR40:BR41" si="140">BQ40</f>
        <v>86962.8</v>
      </c>
      <c r="BS40" s="157">
        <f t="shared" ref="BS40:BS41" si="141">BI40+BK40+BM40+BO40+BQ40</f>
        <v>434814</v>
      </c>
      <c r="BT40" s="157">
        <f t="shared" ref="BT40:BT41" si="142">BJ40+BL40+BN40+BP40+BR40</f>
        <v>434814</v>
      </c>
      <c r="BU40" s="175">
        <f t="shared" ref="BU40:BU42" si="143">BT40/$BT$9*100</f>
        <v>0.3471749363652965</v>
      </c>
      <c r="BV40" s="267">
        <f t="shared" si="66"/>
        <v>-0.53247565951819009</v>
      </c>
    </row>
    <row r="41" spans="1:74">
      <c r="A41" s="241" t="s">
        <v>101</v>
      </c>
      <c r="B41" s="232" t="s">
        <v>102</v>
      </c>
      <c r="C41" s="77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7"/>
      <c r="AB41" s="157"/>
      <c r="AC41" s="157"/>
      <c r="AD41" s="157"/>
      <c r="AE41" s="155"/>
      <c r="AF41" s="280"/>
      <c r="AG41" s="26">
        <f>20200+3474</f>
        <v>23674</v>
      </c>
      <c r="AH41" s="157">
        <v>19502</v>
      </c>
      <c r="AI41" s="160">
        <f>25800+5671</f>
        <v>31471</v>
      </c>
      <c r="AJ41" s="160">
        <v>31760</v>
      </c>
      <c r="AK41" s="157">
        <f>41100+6447</f>
        <v>47547</v>
      </c>
      <c r="AL41" s="157"/>
      <c r="AM41" s="157">
        <f>6912+7255</f>
        <v>14167</v>
      </c>
      <c r="AN41" s="157">
        <f>AM41+12739-26906</f>
        <v>0</v>
      </c>
      <c r="AO41" s="157">
        <f>6760+11455</f>
        <v>18215</v>
      </c>
      <c r="AP41" s="157">
        <v>18883</v>
      </c>
      <c r="AQ41" s="157">
        <f t="shared" si="133"/>
        <v>135074</v>
      </c>
      <c r="AR41" s="157">
        <f t="shared" si="134"/>
        <v>70145</v>
      </c>
      <c r="AS41" s="175">
        <f t="shared" si="53"/>
        <v>0.12078908814579789</v>
      </c>
      <c r="AT41" s="783" t="e">
        <f t="shared" si="54"/>
        <v>#DIV/0!</v>
      </c>
      <c r="AU41" s="288"/>
      <c r="AV41" s="152">
        <f>434+61471.5</f>
        <v>61905.5</v>
      </c>
      <c r="AW41" s="152"/>
      <c r="AX41" s="152">
        <v>100323.4</v>
      </c>
      <c r="AY41" s="780">
        <f>(38081+59485)</f>
        <v>97566</v>
      </c>
      <c r="AZ41" s="780">
        <v>161944</v>
      </c>
      <c r="BA41" s="780">
        <v>102016</v>
      </c>
      <c r="BB41" s="152">
        <f>+'Phụ lục số II'!H41</f>
        <v>102016</v>
      </c>
      <c r="BC41" s="152">
        <f>+'Phụ lục số 2'!M46</f>
        <v>35905</v>
      </c>
      <c r="BD41" s="152">
        <f t="shared" si="112"/>
        <v>35905</v>
      </c>
      <c r="BE41" s="152">
        <f t="shared" si="135"/>
        <v>199582</v>
      </c>
      <c r="BF41" s="152">
        <f>AV41+AX41+AZ41+BB41+BD41</f>
        <v>462093.9</v>
      </c>
      <c r="BG41" s="155"/>
      <c r="BH41" s="267"/>
      <c r="BI41" s="26">
        <f>'Phụ lục số II'!R41</f>
        <v>108101</v>
      </c>
      <c r="BJ41" s="157">
        <f t="shared" si="136"/>
        <v>108101</v>
      </c>
      <c r="BK41" s="157">
        <f>'Phụ lục số II'!W41</f>
        <v>108101</v>
      </c>
      <c r="BL41" s="157">
        <f t="shared" si="137"/>
        <v>108101</v>
      </c>
      <c r="BM41" s="157">
        <f>'Phụ lục số II'!AB41</f>
        <v>108101</v>
      </c>
      <c r="BN41" s="157">
        <f t="shared" si="138"/>
        <v>108101</v>
      </c>
      <c r="BO41" s="157">
        <f>'Phụ lục số II'!AG41</f>
        <v>108101</v>
      </c>
      <c r="BP41" s="157">
        <f t="shared" si="139"/>
        <v>108101</v>
      </c>
      <c r="BQ41" s="157">
        <f>'Phụ lục số II'!AL41</f>
        <v>108101</v>
      </c>
      <c r="BR41" s="157">
        <f t="shared" si="140"/>
        <v>108101</v>
      </c>
      <c r="BS41" s="157">
        <f t="shared" si="141"/>
        <v>540505</v>
      </c>
      <c r="BT41" s="157">
        <f t="shared" si="142"/>
        <v>540505</v>
      </c>
      <c r="BU41" s="175">
        <f t="shared" si="143"/>
        <v>0.43156335577999921</v>
      </c>
      <c r="BV41" s="267">
        <f t="shared" si="66"/>
        <v>2.0107505918395767</v>
      </c>
    </row>
    <row r="42" spans="1:74">
      <c r="A42" s="797">
        <v>3</v>
      </c>
      <c r="B42" s="798" t="s">
        <v>180</v>
      </c>
      <c r="C42" s="77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7"/>
      <c r="AB42" s="157"/>
      <c r="AC42" s="157"/>
      <c r="AD42" s="157"/>
      <c r="AE42" s="155"/>
      <c r="AF42" s="280"/>
      <c r="AG42" s="26">
        <f t="shared" ref="AG42:AR42" si="144">SUM(AG43:AG44)</f>
        <v>0</v>
      </c>
      <c r="AH42" s="157">
        <f t="shared" si="144"/>
        <v>0</v>
      </c>
      <c r="AI42" s="157">
        <f t="shared" si="144"/>
        <v>0</v>
      </c>
      <c r="AJ42" s="157">
        <f t="shared" si="144"/>
        <v>0</v>
      </c>
      <c r="AK42" s="157">
        <f t="shared" si="144"/>
        <v>0</v>
      </c>
      <c r="AL42" s="157">
        <f t="shared" si="144"/>
        <v>0</v>
      </c>
      <c r="AM42" s="157">
        <f t="shared" si="144"/>
        <v>0</v>
      </c>
      <c r="AN42" s="157">
        <f t="shared" si="144"/>
        <v>0</v>
      </c>
      <c r="AO42" s="157">
        <f t="shared" si="144"/>
        <v>0</v>
      </c>
      <c r="AP42" s="157">
        <f t="shared" si="144"/>
        <v>0</v>
      </c>
      <c r="AQ42" s="157">
        <f t="shared" si="144"/>
        <v>0</v>
      </c>
      <c r="AR42" s="157">
        <f t="shared" si="144"/>
        <v>0</v>
      </c>
      <c r="AS42" s="175">
        <f t="shared" si="53"/>
        <v>0</v>
      </c>
      <c r="AT42" s="783" t="e">
        <f t="shared" si="54"/>
        <v>#DIV/0!</v>
      </c>
      <c r="AU42" s="288">
        <f t="shared" ref="AU42:AZ42" si="145">SUM(AU43:AU44)</f>
        <v>0</v>
      </c>
      <c r="AV42" s="152">
        <f t="shared" si="145"/>
        <v>0</v>
      </c>
      <c r="AW42" s="152">
        <f t="shared" si="145"/>
        <v>0</v>
      </c>
      <c r="AX42" s="152">
        <f t="shared" si="145"/>
        <v>0</v>
      </c>
      <c r="AY42" s="152">
        <f t="shared" si="145"/>
        <v>0</v>
      </c>
      <c r="AZ42" s="152">
        <f t="shared" si="145"/>
        <v>0</v>
      </c>
      <c r="BA42" s="152">
        <f>SUM(BA43:BA44)</f>
        <v>0</v>
      </c>
      <c r="BB42" s="152">
        <f t="shared" ref="BB42:BD42" si="146">SUM(BB43:BB44)</f>
        <v>138559</v>
      </c>
      <c r="BC42" s="152">
        <f t="shared" si="146"/>
        <v>284586</v>
      </c>
      <c r="BD42" s="152">
        <f t="shared" si="146"/>
        <v>284586</v>
      </c>
      <c r="BE42" s="152">
        <f t="shared" ref="BE42" si="147">SUM(BE43:BE44)</f>
        <v>0</v>
      </c>
      <c r="BF42" s="152">
        <f t="shared" ref="BF42" si="148">SUM(BF43:BF44)</f>
        <v>423145</v>
      </c>
      <c r="BG42" s="175">
        <f t="shared" ref="BG42" si="149">BF42/$BF$9*100</f>
        <v>0.48344454966208311</v>
      </c>
      <c r="BH42" s="267" t="e">
        <f t="shared" ref="BH42" si="150">((AV42/AP42)*(AX42/AV42)*(AZ42/AX42)*(BB42/AZ42)*(BD42/BB42)^(1/5))-1</f>
        <v>#DIV/0!</v>
      </c>
      <c r="BI42" s="26">
        <f>SUM(BI43:BI44)</f>
        <v>379266</v>
      </c>
      <c r="BJ42" s="157">
        <f t="shared" ref="BJ42:BT42" si="151">SUM(BJ43:BJ44)</f>
        <v>379266</v>
      </c>
      <c r="BK42" s="157">
        <f t="shared" si="151"/>
        <v>379266</v>
      </c>
      <c r="BL42" s="157">
        <f t="shared" si="151"/>
        <v>379266</v>
      </c>
      <c r="BM42" s="157">
        <f t="shared" si="151"/>
        <v>379266</v>
      </c>
      <c r="BN42" s="157">
        <f t="shared" si="151"/>
        <v>379266</v>
      </c>
      <c r="BO42" s="157">
        <f t="shared" si="151"/>
        <v>379266</v>
      </c>
      <c r="BP42" s="157">
        <f t="shared" si="151"/>
        <v>379266</v>
      </c>
      <c r="BQ42" s="157">
        <f t="shared" si="151"/>
        <v>379266</v>
      </c>
      <c r="BR42" s="157">
        <f t="shared" si="151"/>
        <v>379266</v>
      </c>
      <c r="BS42" s="157">
        <f t="shared" si="151"/>
        <v>1896330</v>
      </c>
      <c r="BT42" s="157">
        <f t="shared" si="151"/>
        <v>1896330</v>
      </c>
      <c r="BU42" s="141">
        <f t="shared" si="143"/>
        <v>1.514114649200814</v>
      </c>
      <c r="BV42" s="267">
        <f t="shared" si="66"/>
        <v>0.33269380784718861</v>
      </c>
    </row>
    <row r="43" spans="1:74">
      <c r="A43" s="241" t="s">
        <v>99</v>
      </c>
      <c r="B43" s="232" t="s">
        <v>104</v>
      </c>
      <c r="C43" s="77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7"/>
      <c r="AB43" s="157"/>
      <c r="AC43" s="157"/>
      <c r="AD43" s="157"/>
      <c r="AE43" s="155"/>
      <c r="AF43" s="280"/>
      <c r="AG43" s="778"/>
      <c r="AH43" s="160"/>
      <c r="AI43" s="160"/>
      <c r="AJ43" s="160"/>
      <c r="AK43" s="157"/>
      <c r="AL43" s="157"/>
      <c r="AM43" s="157"/>
      <c r="AN43" s="157"/>
      <c r="AO43" s="157"/>
      <c r="AP43" s="157"/>
      <c r="AQ43" s="157">
        <f t="shared" ref="AQ43:AQ44" si="152">SUM(AG43,AI43,AK43,AM43,AO43)</f>
        <v>0</v>
      </c>
      <c r="AR43" s="157">
        <f t="shared" ref="AR43:AR44" si="153">SUM(AH43,AJ43,AL43,AN43,AP43)</f>
        <v>0</v>
      </c>
      <c r="AS43" s="175">
        <f t="shared" si="53"/>
        <v>0</v>
      </c>
      <c r="AT43" s="783" t="e">
        <f t="shared" si="54"/>
        <v>#DIV/0!</v>
      </c>
      <c r="AU43" s="288"/>
      <c r="AV43" s="152"/>
      <c r="AW43" s="152"/>
      <c r="AX43" s="152"/>
      <c r="AY43" s="780"/>
      <c r="AZ43" s="780"/>
      <c r="BA43" s="147"/>
      <c r="BB43" s="152">
        <f>+'Phụ lục số II'!H43</f>
        <v>0</v>
      </c>
      <c r="BC43" s="152">
        <f>+'Phụ lục số 2'!M48</f>
        <v>0</v>
      </c>
      <c r="BD43" s="152">
        <f t="shared" si="112"/>
        <v>0</v>
      </c>
      <c r="BE43" s="152">
        <f t="shared" ref="BE43:BE44" si="154">AU43+AW43+AY43+BA43</f>
        <v>0</v>
      </c>
      <c r="BF43" s="152">
        <f>AV43+AX43+AZ43+BB43+BD43</f>
        <v>0</v>
      </c>
      <c r="BG43" s="155"/>
      <c r="BH43" s="267"/>
      <c r="BI43" s="26">
        <f>'Phụ lục số II'!R43</f>
        <v>0</v>
      </c>
      <c r="BJ43" s="157">
        <f t="shared" ref="BJ43:BJ45" si="155">BI43</f>
        <v>0</v>
      </c>
      <c r="BK43" s="157">
        <f>'Phụ lục số II'!W43</f>
        <v>0</v>
      </c>
      <c r="BL43" s="157">
        <f t="shared" ref="BL43:BL45" si="156">BK43</f>
        <v>0</v>
      </c>
      <c r="BM43" s="157">
        <f>'Phụ lục số II'!AB43</f>
        <v>0</v>
      </c>
      <c r="BN43" s="157">
        <f t="shared" ref="BN43:BN45" si="157">BM43</f>
        <v>0</v>
      </c>
      <c r="BO43" s="157">
        <f>'Phụ lục số II'!AG43</f>
        <v>0</v>
      </c>
      <c r="BP43" s="157">
        <f t="shared" ref="BP43:BP45" si="158">BO43</f>
        <v>0</v>
      </c>
      <c r="BQ43" s="157">
        <f>'Phụ lục số II'!AL43</f>
        <v>0</v>
      </c>
      <c r="BR43" s="157">
        <f t="shared" ref="BR43:BR45" si="159">BQ43</f>
        <v>0</v>
      </c>
      <c r="BS43" s="157">
        <f t="shared" ref="BS43:BS45" si="160">BI43+BK43+BM43+BO43+BQ43</f>
        <v>0</v>
      </c>
      <c r="BT43" s="157">
        <f t="shared" ref="BT43:BT45" si="161">BJ43+BL43+BN43+BP43+BR43</f>
        <v>0</v>
      </c>
      <c r="BU43" s="175">
        <f t="shared" ref="BU43:BU45" si="162">BT43/$BT$9*100</f>
        <v>0</v>
      </c>
      <c r="BV43" s="267" t="e">
        <f t="shared" si="66"/>
        <v>#DIV/0!</v>
      </c>
    </row>
    <row r="44" spans="1:74">
      <c r="A44" s="241" t="s">
        <v>101</v>
      </c>
      <c r="B44" s="232" t="s">
        <v>105</v>
      </c>
      <c r="C44" s="77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7"/>
      <c r="AB44" s="157"/>
      <c r="AC44" s="157"/>
      <c r="AD44" s="157"/>
      <c r="AE44" s="155"/>
      <c r="AF44" s="280"/>
      <c r="AG44" s="778"/>
      <c r="AH44" s="160"/>
      <c r="AI44" s="160"/>
      <c r="AJ44" s="160"/>
      <c r="AK44" s="157"/>
      <c r="AL44" s="157"/>
      <c r="AM44" s="157"/>
      <c r="AN44" s="157"/>
      <c r="AO44" s="157"/>
      <c r="AP44" s="157"/>
      <c r="AQ44" s="157">
        <f t="shared" si="152"/>
        <v>0</v>
      </c>
      <c r="AR44" s="157">
        <f t="shared" si="153"/>
        <v>0</v>
      </c>
      <c r="AS44" s="175">
        <f t="shared" si="53"/>
        <v>0</v>
      </c>
      <c r="AT44" s="783" t="e">
        <f t="shared" si="54"/>
        <v>#DIV/0!</v>
      </c>
      <c r="AU44" s="288"/>
      <c r="AV44" s="152"/>
      <c r="AW44" s="152"/>
      <c r="AX44" s="779"/>
      <c r="AY44" s="780"/>
      <c r="AZ44" s="780"/>
      <c r="BA44" s="147"/>
      <c r="BB44" s="152">
        <f>+'Phụ lục số II'!H44</f>
        <v>138559</v>
      </c>
      <c r="BC44" s="152">
        <f>+'Phụ lục số 2'!M49</f>
        <v>284586</v>
      </c>
      <c r="BD44" s="152">
        <f t="shared" si="112"/>
        <v>284586</v>
      </c>
      <c r="BE44" s="152">
        <f t="shared" si="154"/>
        <v>0</v>
      </c>
      <c r="BF44" s="152">
        <f t="shared" ref="BF44:BF47" si="163">AV44+AX44+AZ44+BB44+BD44</f>
        <v>423145</v>
      </c>
      <c r="BG44" s="155"/>
      <c r="BH44" s="267"/>
      <c r="BI44" s="26">
        <f>'Phụ lục số II'!R44</f>
        <v>379266</v>
      </c>
      <c r="BJ44" s="157">
        <f t="shared" si="155"/>
        <v>379266</v>
      </c>
      <c r="BK44" s="157">
        <f>'Phụ lục số II'!W44</f>
        <v>379266</v>
      </c>
      <c r="BL44" s="157">
        <f t="shared" si="156"/>
        <v>379266</v>
      </c>
      <c r="BM44" s="157">
        <f>'Phụ lục số II'!AB44</f>
        <v>379266</v>
      </c>
      <c r="BN44" s="157">
        <f t="shared" si="157"/>
        <v>379266</v>
      </c>
      <c r="BO44" s="157">
        <f>'Phụ lục số II'!AG44</f>
        <v>379266</v>
      </c>
      <c r="BP44" s="157">
        <f t="shared" si="158"/>
        <v>379266</v>
      </c>
      <c r="BQ44" s="157">
        <f>'Phụ lục số II'!AL44</f>
        <v>379266</v>
      </c>
      <c r="BR44" s="157">
        <f t="shared" si="159"/>
        <v>379266</v>
      </c>
      <c r="BS44" s="157">
        <f t="shared" si="160"/>
        <v>1896330</v>
      </c>
      <c r="BT44" s="157">
        <f t="shared" si="161"/>
        <v>1896330</v>
      </c>
      <c r="BU44" s="175">
        <f t="shared" si="162"/>
        <v>1.514114649200814</v>
      </c>
      <c r="BV44" s="267">
        <f t="shared" si="66"/>
        <v>0.33269380784718861</v>
      </c>
    </row>
    <row r="45" spans="1:74" s="4" customFormat="1">
      <c r="A45" s="795" t="s">
        <v>182</v>
      </c>
      <c r="B45" s="796" t="s">
        <v>181</v>
      </c>
      <c r="C45" s="77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42"/>
      <c r="AB45" s="142"/>
      <c r="AC45" s="142"/>
      <c r="AD45" s="142"/>
      <c r="AE45" s="158"/>
      <c r="AF45" s="281"/>
      <c r="AG45" s="793"/>
      <c r="AH45" s="161"/>
      <c r="AI45" s="161"/>
      <c r="AJ45" s="161"/>
      <c r="AK45" s="142"/>
      <c r="AL45" s="142">
        <v>143475</v>
      </c>
      <c r="AM45" s="142">
        <v>15000</v>
      </c>
      <c r="AN45" s="142">
        <v>126516</v>
      </c>
      <c r="AO45" s="142">
        <v>30900</v>
      </c>
      <c r="AP45" s="142">
        <v>100485</v>
      </c>
      <c r="AQ45" s="142">
        <f t="shared" ref="AQ45" si="164">SUM(AG45,AI45,AK45,AM45,AO45)</f>
        <v>45900</v>
      </c>
      <c r="AR45" s="142">
        <f t="shared" ref="AR45" si="165">SUM(AH45,AJ45,AL45,AN45,AP45)</f>
        <v>370476</v>
      </c>
      <c r="AS45" s="175">
        <f t="shared" si="53"/>
        <v>0.63795649326256498</v>
      </c>
      <c r="AT45" s="783" t="e">
        <f t="shared" si="54"/>
        <v>#DIV/0!</v>
      </c>
      <c r="AU45" s="289">
        <v>61200</v>
      </c>
      <c r="AV45" s="147">
        <v>78453</v>
      </c>
      <c r="AW45" s="147">
        <v>48300</v>
      </c>
      <c r="AX45" s="147">
        <v>78566</v>
      </c>
      <c r="AY45" s="213">
        <v>31500</v>
      </c>
      <c r="AZ45" s="213">
        <v>59622</v>
      </c>
      <c r="BA45" s="147"/>
      <c r="BB45" s="147">
        <f>+'Phụ lục số II'!H45</f>
        <v>0</v>
      </c>
      <c r="BC45" s="147">
        <f>'Phụ lục số II'!M45</f>
        <v>0</v>
      </c>
      <c r="BD45" s="147">
        <f t="shared" si="112"/>
        <v>0</v>
      </c>
      <c r="BE45" s="147">
        <f t="shared" ref="BE45" si="166">AU45+AW45+AY45+BA45</f>
        <v>141000</v>
      </c>
      <c r="BF45" s="147">
        <f>AV45+AX45+AZ45+BB45+BD45</f>
        <v>216641</v>
      </c>
      <c r="BG45" s="158"/>
      <c r="BH45" s="247"/>
      <c r="BI45" s="18">
        <f>'Phụ lục số II'!R45</f>
        <v>0</v>
      </c>
      <c r="BJ45" s="142">
        <f t="shared" si="155"/>
        <v>0</v>
      </c>
      <c r="BK45" s="142">
        <f>'Phụ lục số II'!W45</f>
        <v>0</v>
      </c>
      <c r="BL45" s="142">
        <f t="shared" si="156"/>
        <v>0</v>
      </c>
      <c r="BM45" s="142">
        <f>'Phụ lục số II'!AB45</f>
        <v>0</v>
      </c>
      <c r="BN45" s="142">
        <f t="shared" si="157"/>
        <v>0</v>
      </c>
      <c r="BO45" s="142">
        <f>'Phụ lục số II'!AG45</f>
        <v>0</v>
      </c>
      <c r="BP45" s="142">
        <f t="shared" si="158"/>
        <v>0</v>
      </c>
      <c r="BQ45" s="142">
        <f>'Phụ lục số II'!AL45</f>
        <v>0</v>
      </c>
      <c r="BR45" s="142">
        <f t="shared" si="159"/>
        <v>0</v>
      </c>
      <c r="BS45" s="142">
        <f t="shared" si="160"/>
        <v>0</v>
      </c>
      <c r="BT45" s="142">
        <f t="shared" si="161"/>
        <v>0</v>
      </c>
      <c r="BU45" s="141">
        <f t="shared" si="162"/>
        <v>0</v>
      </c>
      <c r="BV45" s="267" t="e">
        <f t="shared" si="66"/>
        <v>#DIV/0!</v>
      </c>
    </row>
    <row r="46" spans="1:74" s="4" customFormat="1">
      <c r="A46" s="795"/>
      <c r="B46" s="796"/>
      <c r="C46" s="774"/>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42"/>
      <c r="AB46" s="142"/>
      <c r="AC46" s="142"/>
      <c r="AD46" s="142"/>
      <c r="AE46" s="158"/>
      <c r="AF46" s="281"/>
      <c r="AG46" s="793"/>
      <c r="AH46" s="161"/>
      <c r="AI46" s="161"/>
      <c r="AJ46" s="161"/>
      <c r="AK46" s="142"/>
      <c r="AL46" s="142"/>
      <c r="AM46" s="142"/>
      <c r="AN46" s="142"/>
      <c r="AO46" s="142"/>
      <c r="AP46" s="142"/>
      <c r="AQ46" s="142"/>
      <c r="AR46" s="142"/>
      <c r="AS46" s="175"/>
      <c r="AT46" s="783"/>
      <c r="AU46" s="289"/>
      <c r="AV46" s="147"/>
      <c r="AW46" s="147"/>
      <c r="AX46" s="147"/>
      <c r="AY46" s="213"/>
      <c r="AZ46" s="213"/>
      <c r="BA46" s="147"/>
      <c r="BB46" s="147"/>
      <c r="BC46" s="147">
        <f>+'Phụ lục số 2'!M51</f>
        <v>5553.7960000000003</v>
      </c>
      <c r="BD46" s="147">
        <f>+BC46</f>
        <v>5553.7960000000003</v>
      </c>
      <c r="BE46" s="147"/>
      <c r="BF46" s="147">
        <f t="shared" si="163"/>
        <v>5553.7960000000003</v>
      </c>
      <c r="BG46" s="158"/>
      <c r="BH46" s="247"/>
      <c r="BI46" s="18"/>
      <c r="BJ46" s="142"/>
      <c r="BK46" s="142"/>
      <c r="BL46" s="142"/>
      <c r="BM46" s="142"/>
      <c r="BN46" s="142"/>
      <c r="BO46" s="142"/>
      <c r="BP46" s="142"/>
      <c r="BQ46" s="142"/>
      <c r="BR46" s="142"/>
      <c r="BS46" s="142"/>
      <c r="BT46" s="142"/>
      <c r="BU46" s="141"/>
      <c r="BV46" s="267"/>
    </row>
    <row r="47" spans="1:74">
      <c r="A47" s="790" t="s">
        <v>37</v>
      </c>
      <c r="B47" s="800" t="s">
        <v>183</v>
      </c>
      <c r="C47" s="77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7"/>
      <c r="AB47" s="157"/>
      <c r="AC47" s="157"/>
      <c r="AD47" s="157"/>
      <c r="AE47" s="155"/>
      <c r="AF47" s="280"/>
      <c r="AG47" s="778"/>
      <c r="AH47" s="160"/>
      <c r="AI47" s="160"/>
      <c r="AJ47" s="160"/>
      <c r="AK47" s="157"/>
      <c r="AL47" s="157"/>
      <c r="AM47" s="157"/>
      <c r="AN47" s="157"/>
      <c r="AO47" s="157"/>
      <c r="AP47" s="157"/>
      <c r="AQ47" s="157"/>
      <c r="AR47" s="157"/>
      <c r="AS47" s="155"/>
      <c r="AT47" s="25"/>
      <c r="AU47" s="288"/>
      <c r="AV47" s="152"/>
      <c r="AW47" s="152"/>
      <c r="AX47" s="152"/>
      <c r="AY47" s="780"/>
      <c r="AZ47" s="780"/>
      <c r="BA47" s="147"/>
      <c r="BB47" s="152"/>
      <c r="BC47" s="147">
        <f>+'Phụ lục số 2'!M52</f>
        <v>186700</v>
      </c>
      <c r="BD47" s="147">
        <f>+BC47</f>
        <v>186700</v>
      </c>
      <c r="BE47" s="152"/>
      <c r="BF47" s="147">
        <f t="shared" si="163"/>
        <v>186700</v>
      </c>
      <c r="BG47" s="155"/>
      <c r="BH47" s="25"/>
      <c r="BI47" s="801"/>
      <c r="BJ47" s="199"/>
      <c r="BK47" s="199"/>
      <c r="BL47" s="199"/>
      <c r="BM47" s="199"/>
      <c r="BN47" s="199"/>
      <c r="BO47" s="199"/>
      <c r="BP47" s="199"/>
      <c r="BQ47" s="199"/>
      <c r="BR47" s="199"/>
      <c r="BS47" s="199"/>
      <c r="BT47" s="199"/>
      <c r="BU47" s="155"/>
      <c r="BV47" s="25"/>
    </row>
    <row r="48" spans="1:74" ht="16.2" thickBot="1">
      <c r="A48" s="802" t="s">
        <v>44</v>
      </c>
      <c r="B48" s="803" t="s">
        <v>184</v>
      </c>
      <c r="C48" s="804"/>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9"/>
      <c r="AB48" s="759"/>
      <c r="AC48" s="759"/>
      <c r="AD48" s="759"/>
      <c r="AE48" s="753"/>
      <c r="AF48" s="805"/>
      <c r="AG48" s="806"/>
      <c r="AH48" s="807"/>
      <c r="AI48" s="807"/>
      <c r="AJ48" s="807"/>
      <c r="AK48" s="272"/>
      <c r="AL48" s="272"/>
      <c r="AM48" s="272"/>
      <c r="AN48" s="272"/>
      <c r="AO48" s="272"/>
      <c r="AP48" s="272"/>
      <c r="AQ48" s="272"/>
      <c r="AR48" s="272"/>
      <c r="AS48" s="22"/>
      <c r="AT48" s="23"/>
      <c r="AU48" s="808"/>
      <c r="AV48" s="809"/>
      <c r="AW48" s="809"/>
      <c r="AX48" s="809"/>
      <c r="AY48" s="810"/>
      <c r="AZ48" s="810"/>
      <c r="BA48" s="811"/>
      <c r="BB48" s="809"/>
      <c r="BC48" s="809"/>
      <c r="BD48" s="809"/>
      <c r="BE48" s="809"/>
      <c r="BF48" s="809"/>
      <c r="BG48" s="22"/>
      <c r="BH48" s="23"/>
      <c r="BI48" s="812"/>
      <c r="BJ48" s="813"/>
      <c r="BK48" s="813"/>
      <c r="BL48" s="813"/>
      <c r="BM48" s="813"/>
      <c r="BN48" s="813"/>
      <c r="BO48" s="813"/>
      <c r="BP48" s="813"/>
      <c r="BQ48" s="813"/>
      <c r="BR48" s="813"/>
      <c r="BS48" s="813"/>
      <c r="BT48" s="813"/>
      <c r="BU48" s="22"/>
      <c r="BV48" s="23"/>
    </row>
    <row r="49" spans="2:72">
      <c r="AJ49" s="6"/>
      <c r="AO49" s="6"/>
      <c r="AP49" s="8"/>
    </row>
    <row r="50" spans="2:72">
      <c r="B50" s="6" t="s">
        <v>317</v>
      </c>
      <c r="AH50" s="814">
        <f>+AH51-AH9</f>
        <v>3301097.3538409993</v>
      </c>
      <c r="AJ50" s="814">
        <f>+AJ51-AJ9</f>
        <v>3529021</v>
      </c>
      <c r="AL50" s="8">
        <f>+AL51-AL9</f>
        <v>4341814</v>
      </c>
      <c r="AN50" s="8">
        <f>+AN51-AN9</f>
        <v>5248645</v>
      </c>
      <c r="AO50" s="8"/>
      <c r="AP50" s="8">
        <f>+AP51-AP9</f>
        <v>6416492</v>
      </c>
      <c r="AR50" s="8">
        <f t="shared" ref="AR50:AR54" si="167">SUM(AH50,AJ50,AL50,AN50,AP50)</f>
        <v>22837069.353840999</v>
      </c>
      <c r="AU50" s="6"/>
      <c r="AV50" s="8">
        <f>+AV51-AV9</f>
        <v>4896017</v>
      </c>
      <c r="AX50" s="8">
        <f>+AX51-AX9</f>
        <v>5361031.3000000007</v>
      </c>
      <c r="AZ50" s="8">
        <f>+AZ51-AZ9</f>
        <v>4843447</v>
      </c>
    </row>
    <row r="51" spans="2:72">
      <c r="B51" s="1" t="s">
        <v>318</v>
      </c>
      <c r="AH51" s="8">
        <f>17804318-4910845-107400-132756</f>
        <v>12653317</v>
      </c>
      <c r="AJ51" s="6">
        <f>19838404-208869-5294275</f>
        <v>14335260</v>
      </c>
      <c r="AK51" s="6"/>
      <c r="AL51" s="8">
        <f>15929049</f>
        <v>15929049</v>
      </c>
      <c r="AM51" s="6"/>
      <c r="AN51" s="8">
        <v>18172931</v>
      </c>
      <c r="AO51" s="8"/>
      <c r="AP51" s="8">
        <v>19818811</v>
      </c>
      <c r="AR51" s="8">
        <f t="shared" si="167"/>
        <v>80909368</v>
      </c>
      <c r="AV51" s="8">
        <f>27630392-768109-7811632</f>
        <v>19050651</v>
      </c>
      <c r="AX51" s="8">
        <f>20996591-464665.4</f>
        <v>20531925.600000001</v>
      </c>
      <c r="AZ51" s="8">
        <f>29725299-7521138-244894</f>
        <v>21959267</v>
      </c>
      <c r="BB51" s="1">
        <f>BB11/BB10</f>
        <v>0.31453729655348794</v>
      </c>
      <c r="BD51" s="1">
        <f>BD11/BD10</f>
        <v>0.2545990887985522</v>
      </c>
      <c r="BJ51" s="815">
        <f>BJ11/BJ10</f>
        <v>0.26612071834254347</v>
      </c>
      <c r="BK51" s="816"/>
      <c r="BL51" s="815">
        <f>BL11/BL10</f>
        <v>0.26005449363748517</v>
      </c>
      <c r="BM51" s="816"/>
      <c r="BN51" s="815">
        <f>BN11/BN10</f>
        <v>0.27985321197892532</v>
      </c>
      <c r="BO51" s="816"/>
      <c r="BP51" s="815">
        <f>BP11/BP10</f>
        <v>0.27737007172307498</v>
      </c>
      <c r="BQ51" s="816"/>
      <c r="BR51" s="815">
        <f>BR11/BR10</f>
        <v>0.27785524834006781</v>
      </c>
      <c r="BS51" s="816"/>
      <c r="BT51" s="815">
        <f>BT11/BT10</f>
        <v>0.27304478365006229</v>
      </c>
    </row>
    <row r="52" spans="2:72">
      <c r="B52" s="1" t="s">
        <v>319</v>
      </c>
      <c r="AH52" s="6">
        <f>+AH51-669222-158153+132756</f>
        <v>11958698</v>
      </c>
      <c r="AJ52" s="6">
        <v>13628470</v>
      </c>
      <c r="AL52" s="8">
        <f>15785574-1327639</f>
        <v>14457935</v>
      </c>
      <c r="AN52" s="8">
        <f>18046415-1073084</f>
        <v>16973331</v>
      </c>
      <c r="AO52" s="8"/>
      <c r="AP52" s="8">
        <f>19718326-1331324</f>
        <v>18387002</v>
      </c>
      <c r="AR52" s="8">
        <f t="shared" si="167"/>
        <v>75405436</v>
      </c>
      <c r="AV52" s="8">
        <v>18972198</v>
      </c>
      <c r="AX52" s="8">
        <f>20453359</f>
        <v>20453359</v>
      </c>
      <c r="AZ52" s="8">
        <f>21899645-2731687</f>
        <v>19167958</v>
      </c>
    </row>
    <row r="53" spans="2:72">
      <c r="AH53" s="6">
        <f>+AH52-AH10</f>
        <v>3301097.3538409993</v>
      </c>
      <c r="AJ53" s="6">
        <f>AJ52-AJ10</f>
        <v>3529021</v>
      </c>
      <c r="AL53" s="8">
        <f>+AL52-AL10</f>
        <v>4341814</v>
      </c>
      <c r="AN53" s="8">
        <f>+AN52-AN10</f>
        <v>5248645</v>
      </c>
      <c r="AO53" s="8"/>
      <c r="AP53" s="8">
        <f>+AP52-AP10</f>
        <v>6416492</v>
      </c>
      <c r="AR53" s="8">
        <f t="shared" si="167"/>
        <v>22837069.353840999</v>
      </c>
      <c r="AV53" s="8">
        <f>AV52-AV10</f>
        <v>6221746.5</v>
      </c>
      <c r="AX53" s="8">
        <f>AX52-AX10</f>
        <v>6914031.5999999996</v>
      </c>
      <c r="AZ53" s="8">
        <f>AZ52-AZ10</f>
        <v>4843446.8960299995</v>
      </c>
    </row>
    <row r="54" spans="2:72">
      <c r="B54" s="1" t="s">
        <v>320</v>
      </c>
      <c r="AH54" s="8">
        <v>3301097</v>
      </c>
      <c r="AJ54" s="6">
        <v>3529021</v>
      </c>
      <c r="AL54" s="8">
        <v>4341814</v>
      </c>
      <c r="AN54" s="8">
        <f>5248645</f>
        <v>5248645</v>
      </c>
      <c r="AO54" s="8"/>
      <c r="AP54" s="8">
        <v>6416492</v>
      </c>
      <c r="AR54" s="8">
        <f t="shared" si="167"/>
        <v>22837069</v>
      </c>
      <c r="AV54" s="8">
        <v>4896017</v>
      </c>
      <c r="AX54" s="8">
        <v>5361022</v>
      </c>
      <c r="AZ54" s="8">
        <v>4843447</v>
      </c>
    </row>
    <row r="55" spans="2:72">
      <c r="AH55" s="6"/>
      <c r="AJ55" s="6"/>
      <c r="AL55" s="8"/>
      <c r="AN55" s="817"/>
      <c r="AP55" s="817"/>
      <c r="AV55" s="817"/>
      <c r="AX55" s="817"/>
      <c r="AZ55" s="818">
        <f>AZ53-AZ54</f>
        <v>-0.10397000052034855</v>
      </c>
    </row>
    <row r="56" spans="2:72">
      <c r="AH56" s="819"/>
      <c r="AN56" s="8"/>
      <c r="AP56" s="8"/>
    </row>
    <row r="57" spans="2:72">
      <c r="AJ57" s="198"/>
      <c r="AL57" s="6"/>
    </row>
    <row r="58" spans="2:72">
      <c r="AX58" s="6"/>
      <c r="AZ58" s="6"/>
    </row>
    <row r="59" spans="2:72">
      <c r="AZ59" s="1">
        <v>7207930</v>
      </c>
    </row>
    <row r="60" spans="2:72">
      <c r="AZ60" s="820">
        <f>+AZ59-AZ35-AZ11</f>
        <v>-161944</v>
      </c>
    </row>
    <row r="61" spans="2:72">
      <c r="AZ61" s="820"/>
    </row>
    <row r="62" spans="2:72">
      <c r="AZ62" s="820"/>
    </row>
  </sheetData>
  <mergeCells count="107">
    <mergeCell ref="A2:AT2"/>
    <mergeCell ref="A3:AT3"/>
    <mergeCell ref="BR7:BR8"/>
    <mergeCell ref="BS7:BS8"/>
    <mergeCell ref="BT7:BT8"/>
    <mergeCell ref="BU7:BU8"/>
    <mergeCell ref="BV7:BV8"/>
    <mergeCell ref="BL7:BL8"/>
    <mergeCell ref="BM7:BM8"/>
    <mergeCell ref="BN7:BN8"/>
    <mergeCell ref="BO7:BO8"/>
    <mergeCell ref="BP7:BP8"/>
    <mergeCell ref="BQ7:BQ8"/>
    <mergeCell ref="BF7:BF8"/>
    <mergeCell ref="BG7:BG8"/>
    <mergeCell ref="BH7:BH8"/>
    <mergeCell ref="BI7:BI8"/>
    <mergeCell ref="BJ7:BJ8"/>
    <mergeCell ref="BK7:BK8"/>
    <mergeCell ref="AZ7:AZ8"/>
    <mergeCell ref="BA7:BA8"/>
    <mergeCell ref="BB7:BB8"/>
    <mergeCell ref="BC7:BC8"/>
    <mergeCell ref="BD7:BD8"/>
    <mergeCell ref="BE7:BE8"/>
    <mergeCell ref="AT7:AT8"/>
    <mergeCell ref="AU7:AU8"/>
    <mergeCell ref="AV7:AV8"/>
    <mergeCell ref="AW7:AW8"/>
    <mergeCell ref="AX7:AX8"/>
    <mergeCell ref="AY7:AY8"/>
    <mergeCell ref="AN7:AN8"/>
    <mergeCell ref="AO7:AO8"/>
    <mergeCell ref="AP7:AP8"/>
    <mergeCell ref="AQ7:AQ8"/>
    <mergeCell ref="AR7:AR8"/>
    <mergeCell ref="AS7:AS8"/>
    <mergeCell ref="AH7:AH8"/>
    <mergeCell ref="AI7:AI8"/>
    <mergeCell ref="AJ7:AJ8"/>
    <mergeCell ref="AK7:AK8"/>
    <mergeCell ref="AL7:AL8"/>
    <mergeCell ref="AM7:AM8"/>
    <mergeCell ref="BS6:BV6"/>
    <mergeCell ref="Y7:Y8"/>
    <mergeCell ref="Z7:Z8"/>
    <mergeCell ref="AA7:AA8"/>
    <mergeCell ref="AB7:AB8"/>
    <mergeCell ref="AC7:AC8"/>
    <mergeCell ref="AD7:AD8"/>
    <mergeCell ref="AE7:AE8"/>
    <mergeCell ref="AF7:AF8"/>
    <mergeCell ref="AG7:AG8"/>
    <mergeCell ref="BE6:BH6"/>
    <mergeCell ref="BI6:BJ6"/>
    <mergeCell ref="BK6:BL6"/>
    <mergeCell ref="BM6:BN6"/>
    <mergeCell ref="BO6:BP6"/>
    <mergeCell ref="BQ6:BR6"/>
    <mergeCell ref="AQ6:AT6"/>
    <mergeCell ref="AU6:AV6"/>
    <mergeCell ref="AW6:AX6"/>
    <mergeCell ref="AY6:AZ6"/>
    <mergeCell ref="BA6:BB6"/>
    <mergeCell ref="BC6:BD6"/>
    <mergeCell ref="AC6:AF6"/>
    <mergeCell ref="AG6:AH6"/>
    <mergeCell ref="AI6:AJ6"/>
    <mergeCell ref="AK6:AL6"/>
    <mergeCell ref="AM6:AN6"/>
    <mergeCell ref="AO6:AP6"/>
    <mergeCell ref="O6:R6"/>
    <mergeCell ref="S6:T6"/>
    <mergeCell ref="U6:V6"/>
    <mergeCell ref="X7:X8"/>
    <mergeCell ref="A6:A8"/>
    <mergeCell ref="B6:B8"/>
    <mergeCell ref="Y6:Z6"/>
    <mergeCell ref="AA6:AB6"/>
    <mergeCell ref="R7:R8"/>
    <mergeCell ref="S7:S8"/>
    <mergeCell ref="T7:T8"/>
    <mergeCell ref="U7:U8"/>
    <mergeCell ref="V7:V8"/>
    <mergeCell ref="W7:W8"/>
    <mergeCell ref="L7:L8"/>
    <mergeCell ref="M7:M8"/>
    <mergeCell ref="N7:N8"/>
    <mergeCell ref="O7:O8"/>
    <mergeCell ref="P7:P8"/>
    <mergeCell ref="Q7:Q8"/>
    <mergeCell ref="W6:X6"/>
    <mergeCell ref="C7:C8"/>
    <mergeCell ref="D7:D8"/>
    <mergeCell ref="E7:E8"/>
    <mergeCell ref="C6:D6"/>
    <mergeCell ref="E6:F6"/>
    <mergeCell ref="G6:H6"/>
    <mergeCell ref="I7:I8"/>
    <mergeCell ref="J7:J8"/>
    <mergeCell ref="K7:K8"/>
    <mergeCell ref="I6:J6"/>
    <mergeCell ref="K6:L6"/>
    <mergeCell ref="M6:N6"/>
    <mergeCell ref="F7:F8"/>
    <mergeCell ref="G7:G8"/>
    <mergeCell ref="H7:H8"/>
  </mergeCells>
  <hyperlinks>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AE39"/>
  <sheetViews>
    <sheetView workbookViewId="0">
      <pane xSplit="2" ySplit="8" topLeftCell="N9" activePane="bottomRight" state="frozen"/>
      <selection activeCell="A51" sqref="A51"/>
      <selection pane="topRight" activeCell="A51" sqref="A51"/>
      <selection pane="bottomLeft" activeCell="A51" sqref="A51"/>
      <selection pane="bottomRight" activeCell="A6" sqref="A6:A7"/>
    </sheetView>
  </sheetViews>
  <sheetFormatPr defaultColWidth="9.109375" defaultRowHeight="15.6"/>
  <cols>
    <col min="1" max="1" width="4.109375" style="1" customWidth="1"/>
    <col min="2" max="2" width="63" style="1" customWidth="1"/>
    <col min="3" max="16" width="12" style="1" customWidth="1"/>
    <col min="17" max="28" width="11" style="1" customWidth="1"/>
    <col min="29" max="31" width="10.5546875" style="1" customWidth="1"/>
    <col min="32" max="16384" width="9.109375" style="1"/>
  </cols>
  <sheetData>
    <row r="1" spans="1:3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3"/>
    </row>
    <row r="2" spans="1:31">
      <c r="A2" s="6461" t="s">
        <v>845</v>
      </c>
      <c r="B2" s="6056"/>
      <c r="C2" s="6056"/>
      <c r="D2" s="6056"/>
      <c r="E2" s="6056"/>
      <c r="F2" s="6056"/>
      <c r="G2" s="6056"/>
      <c r="H2" s="6056"/>
      <c r="I2" s="6056"/>
      <c r="J2" s="6056"/>
      <c r="K2" s="6056"/>
      <c r="L2" s="6056"/>
      <c r="M2" s="6056"/>
      <c r="N2" s="6056"/>
      <c r="O2" s="6056"/>
      <c r="P2" s="6056"/>
      <c r="AE2" s="844"/>
    </row>
    <row r="3" spans="1:31">
      <c r="A3" s="6461" t="s">
        <v>846</v>
      </c>
      <c r="B3" s="6056"/>
      <c r="C3" s="6056"/>
      <c r="D3" s="6056"/>
      <c r="E3" s="6056"/>
      <c r="F3" s="6056"/>
      <c r="G3" s="6056"/>
      <c r="H3" s="6056"/>
      <c r="I3" s="6056"/>
      <c r="J3" s="6056"/>
      <c r="K3" s="6056"/>
      <c r="L3" s="6056"/>
      <c r="M3" s="6056"/>
      <c r="N3" s="6056"/>
      <c r="O3" s="6056"/>
      <c r="P3" s="6056"/>
      <c r="AE3" s="844"/>
    </row>
    <row r="4" spans="1:31">
      <c r="A4" s="845"/>
      <c r="AE4" s="844"/>
    </row>
    <row r="5" spans="1:31">
      <c r="A5" s="845"/>
      <c r="AE5" s="844"/>
    </row>
    <row r="6" spans="1:31" s="4" customFormat="1">
      <c r="A6" s="6460" t="s">
        <v>247</v>
      </c>
      <c r="B6" s="6448" t="s">
        <v>137</v>
      </c>
      <c r="C6" s="6064" t="s">
        <v>842</v>
      </c>
      <c r="D6" s="6064"/>
      <c r="E6" s="6448" t="s">
        <v>85</v>
      </c>
      <c r="F6" s="6448"/>
      <c r="G6" s="6448" t="s">
        <v>86</v>
      </c>
      <c r="H6" s="6448"/>
      <c r="I6" s="6448" t="s">
        <v>87</v>
      </c>
      <c r="J6" s="6448"/>
      <c r="K6" s="6448" t="s">
        <v>88</v>
      </c>
      <c r="L6" s="6448"/>
      <c r="M6" s="6448" t="s">
        <v>89</v>
      </c>
      <c r="N6" s="6448"/>
      <c r="O6" s="6064" t="s">
        <v>843</v>
      </c>
      <c r="P6" s="6064"/>
      <c r="Q6" s="6448" t="s">
        <v>90</v>
      </c>
      <c r="R6" s="6448"/>
      <c r="S6" s="6448" t="s">
        <v>91</v>
      </c>
      <c r="T6" s="6448"/>
      <c r="U6" s="6448" t="s">
        <v>92</v>
      </c>
      <c r="V6" s="6448"/>
      <c r="W6" s="6448" t="s">
        <v>93</v>
      </c>
      <c r="X6" s="6448"/>
      <c r="Y6" s="6448" t="s">
        <v>94</v>
      </c>
      <c r="Z6" s="6448"/>
      <c r="AA6" s="6064" t="s">
        <v>491</v>
      </c>
      <c r="AB6" s="6064"/>
      <c r="AC6" s="6064" t="s">
        <v>847</v>
      </c>
      <c r="AD6" s="6064" t="s">
        <v>848</v>
      </c>
      <c r="AE6" s="6064" t="s">
        <v>849</v>
      </c>
    </row>
    <row r="7" spans="1:31" s="738" customFormat="1" ht="92.25" customHeight="1">
      <c r="A7" s="6460"/>
      <c r="B7" s="6448"/>
      <c r="C7" s="755" t="s">
        <v>59</v>
      </c>
      <c r="D7" s="755" t="s">
        <v>60</v>
      </c>
      <c r="E7" s="755" t="s">
        <v>59</v>
      </c>
      <c r="F7" s="755" t="s">
        <v>60</v>
      </c>
      <c r="G7" s="755" t="s">
        <v>59</v>
      </c>
      <c r="H7" s="755" t="s">
        <v>60</v>
      </c>
      <c r="I7" s="755" t="s">
        <v>59</v>
      </c>
      <c r="J7" s="755" t="s">
        <v>60</v>
      </c>
      <c r="K7" s="755" t="s">
        <v>59</v>
      </c>
      <c r="L7" s="755" t="s">
        <v>60</v>
      </c>
      <c r="M7" s="755" t="s">
        <v>59</v>
      </c>
      <c r="N7" s="755" t="s">
        <v>60</v>
      </c>
      <c r="O7" s="755" t="s">
        <v>59</v>
      </c>
      <c r="P7" s="755" t="s">
        <v>60</v>
      </c>
      <c r="Q7" s="755" t="s">
        <v>59</v>
      </c>
      <c r="R7" s="755" t="s">
        <v>60</v>
      </c>
      <c r="S7" s="755" t="s">
        <v>59</v>
      </c>
      <c r="T7" s="755" t="s">
        <v>60</v>
      </c>
      <c r="U7" s="755" t="s">
        <v>59</v>
      </c>
      <c r="V7" s="755" t="s">
        <v>60</v>
      </c>
      <c r="W7" s="755" t="s">
        <v>59</v>
      </c>
      <c r="X7" s="755" t="s">
        <v>60</v>
      </c>
      <c r="Y7" s="755" t="s">
        <v>59</v>
      </c>
      <c r="Z7" s="755" t="s">
        <v>60</v>
      </c>
      <c r="AA7" s="755" t="s">
        <v>59</v>
      </c>
      <c r="AB7" s="755" t="s">
        <v>60</v>
      </c>
      <c r="AC7" s="6064"/>
      <c r="AD7" s="6064"/>
      <c r="AE7" s="6064"/>
    </row>
    <row r="8" spans="1:31" s="739" customFormat="1">
      <c r="A8" s="740" t="s">
        <v>1</v>
      </c>
      <c r="B8" s="737" t="s">
        <v>827</v>
      </c>
      <c r="C8" s="741">
        <f>SUM(C9:C10)</f>
        <v>34417000.130686</v>
      </c>
      <c r="D8" s="741">
        <f t="shared" ref="D8:AB8" si="0">SUM(D9:D10)</f>
        <v>37377117.562454991</v>
      </c>
      <c r="E8" s="741">
        <f>SUM(E9:E10)</f>
        <v>8140900</v>
      </c>
      <c r="F8" s="741">
        <f t="shared" si="0"/>
        <v>7213306.517155</v>
      </c>
      <c r="G8" s="741">
        <f>SUM(G9:G10)</f>
        <v>6818777</v>
      </c>
      <c r="H8" s="741">
        <f t="shared" si="0"/>
        <v>7877158.9295709999</v>
      </c>
      <c r="I8" s="741">
        <f>SUM(I9:I10)</f>
        <v>7590000</v>
      </c>
      <c r="J8" s="741">
        <f t="shared" si="0"/>
        <v>8341080.6712859999</v>
      </c>
      <c r="K8" s="741">
        <f>SUM(K9:K10)</f>
        <v>9674054.1620000005</v>
      </c>
      <c r="L8" s="741">
        <f t="shared" si="0"/>
        <v>9114053.7314166669</v>
      </c>
      <c r="M8" s="741">
        <f>SUM(M9:M10)</f>
        <v>9655999.6999999993</v>
      </c>
      <c r="N8" s="741">
        <f t="shared" si="0"/>
        <v>9655999.6999999993</v>
      </c>
      <c r="O8" s="741">
        <f>SUM(O9:O10)</f>
        <v>41879730.862000003</v>
      </c>
      <c r="P8" s="741">
        <f t="shared" si="0"/>
        <v>42201599.549428664</v>
      </c>
      <c r="Q8" s="741">
        <f>SUM(Q9:Q10)</f>
        <v>9827000.2300000004</v>
      </c>
      <c r="R8" s="741">
        <f t="shared" si="0"/>
        <v>9827000.2300000004</v>
      </c>
      <c r="S8" s="741">
        <f>SUM(S9:S10)</f>
        <v>10017000.369999999</v>
      </c>
      <c r="T8" s="741">
        <f t="shared" si="0"/>
        <v>10017000.369999999</v>
      </c>
      <c r="U8" s="741">
        <f>SUM(U9:U10)</f>
        <v>13026000</v>
      </c>
      <c r="V8" s="741">
        <f t="shared" si="0"/>
        <v>13026000</v>
      </c>
      <c r="W8" s="741">
        <f>SUM(W9:W10)</f>
        <v>14105000</v>
      </c>
      <c r="X8" s="741">
        <f t="shared" si="0"/>
        <v>14105000</v>
      </c>
      <c r="Y8" s="741">
        <f>SUM(Y9:Y10)</f>
        <v>15353000</v>
      </c>
      <c r="Z8" s="741">
        <f t="shared" si="0"/>
        <v>15353000</v>
      </c>
      <c r="AA8" s="741">
        <f>SUM(AA9:AA10)</f>
        <v>62328000.600000001</v>
      </c>
      <c r="AB8" s="741">
        <f t="shared" si="0"/>
        <v>62328000.600000001</v>
      </c>
      <c r="AC8" s="830">
        <f t="shared" ref="AC8:AC13" si="1">AB8/P8-100%</f>
        <v>0.47691085801139521</v>
      </c>
      <c r="AD8" s="834">
        <f t="shared" ref="AD8:AD13" si="2">+AB8/D8-100%</f>
        <v>0.66754433366493648</v>
      </c>
      <c r="AE8" s="834">
        <f t="shared" ref="AE8:AE13" si="3">P8/D8-100%</f>
        <v>0.12907581701323667</v>
      </c>
    </row>
    <row r="9" spans="1:31" s="4" customFormat="1">
      <c r="A9" s="742" t="s">
        <v>3</v>
      </c>
      <c r="B9" s="730" t="s">
        <v>4</v>
      </c>
      <c r="C9" s="161">
        <f>+'Biểu số 1'!AQ11</f>
        <v>33808000.130686</v>
      </c>
      <c r="D9" s="161">
        <f>+'Biểu số 1'!AR11</f>
        <v>36878425.465727992</v>
      </c>
      <c r="E9" s="161">
        <f>+'Biểu số 1'!AU11</f>
        <v>8035900</v>
      </c>
      <c r="F9" s="161">
        <f>+'Biểu số 1'!AV11</f>
        <v>7016451.517155</v>
      </c>
      <c r="G9" s="161">
        <f>+'Biểu số 1'!AW11</f>
        <v>6708777</v>
      </c>
      <c r="H9" s="161">
        <f>+'Biểu số 1'!AX11</f>
        <v>7487375.559316</v>
      </c>
      <c r="I9" s="161">
        <f>+'Biểu số 1'!AY11</f>
        <v>7440000</v>
      </c>
      <c r="J9" s="161">
        <f>+'Biểu số 1'!AZ11</f>
        <v>8059193</v>
      </c>
      <c r="K9" s="161">
        <f>+'Biểu số 1'!BA11</f>
        <v>9474054.1620000005</v>
      </c>
      <c r="L9" s="161">
        <f>+'Biểu số 1'!BB11</f>
        <v>8854054.1620000005</v>
      </c>
      <c r="M9" s="161">
        <f>+'Biểu số 1'!BC11</f>
        <v>9383000</v>
      </c>
      <c r="N9" s="161">
        <f>+'Biểu số 1'!BD11</f>
        <v>9383000</v>
      </c>
      <c r="O9" s="161">
        <f>+E9+G9+I9+K9+M9</f>
        <v>41041731.162</v>
      </c>
      <c r="P9" s="161">
        <f>+F9+H9+J9+L9+N9</f>
        <v>40800074.238471001</v>
      </c>
      <c r="Q9" s="161">
        <f>+'Biểu số 1'!BI11</f>
        <v>9540000</v>
      </c>
      <c r="R9" s="161">
        <f>+'Biểu số 1'!BJ11</f>
        <v>9540000</v>
      </c>
      <c r="S9" s="161">
        <f>+'Biểu số 1'!BK11</f>
        <v>9715000</v>
      </c>
      <c r="T9" s="161">
        <f>+'Biểu số 1'!BL11</f>
        <v>9715000</v>
      </c>
      <c r="U9" s="161">
        <f>+'Biểu số 1'!BM11</f>
        <v>12710000</v>
      </c>
      <c r="V9" s="161">
        <f>+'Biểu số 1'!BN11</f>
        <v>12710000</v>
      </c>
      <c r="W9" s="161">
        <f>+'Biểu số 1'!BO11</f>
        <v>13770000</v>
      </c>
      <c r="X9" s="161">
        <f>+'Biểu số 1'!BP11</f>
        <v>13770000</v>
      </c>
      <c r="Y9" s="161">
        <f>+'Biểu số 1'!BQ11</f>
        <v>15000000</v>
      </c>
      <c r="Z9" s="161">
        <f>+'Biểu số 1'!BR11</f>
        <v>15000000</v>
      </c>
      <c r="AA9" s="161">
        <f>+Q9+S9+U9+W9+Y9</f>
        <v>60735000</v>
      </c>
      <c r="AB9" s="161">
        <f>+R9+T9+V9+X9+Z9</f>
        <v>60735000</v>
      </c>
      <c r="AC9" s="831">
        <f t="shared" si="1"/>
        <v>0.48860023256359808</v>
      </c>
      <c r="AD9" s="835">
        <f t="shared" si="2"/>
        <v>0.64689786055108289</v>
      </c>
      <c r="AE9" s="835">
        <f t="shared" si="3"/>
        <v>0.1063399188880092</v>
      </c>
    </row>
    <row r="10" spans="1:31" s="4" customFormat="1">
      <c r="A10" s="742" t="s">
        <v>33</v>
      </c>
      <c r="B10" s="730" t="s">
        <v>828</v>
      </c>
      <c r="C10" s="161">
        <f>+'Biểu số 1'!AQ51</f>
        <v>609000</v>
      </c>
      <c r="D10" s="161">
        <f>+'Biểu số 1'!AR51</f>
        <v>498692.09672699997</v>
      </c>
      <c r="E10" s="161">
        <f>+'Biểu số 1'!AU51</f>
        <v>105000</v>
      </c>
      <c r="F10" s="161">
        <f>+'Biểu số 1'!AV51</f>
        <v>196855</v>
      </c>
      <c r="G10" s="161">
        <f>+'Biểu số 1'!AW51</f>
        <v>110000</v>
      </c>
      <c r="H10" s="161">
        <f>+'Biểu số 1'!AX51</f>
        <v>389783.37025500002</v>
      </c>
      <c r="I10" s="161">
        <f>+'Biểu số 1'!AY51</f>
        <v>150000</v>
      </c>
      <c r="J10" s="161">
        <f>+'Biểu số 1'!AZ51</f>
        <v>281887.67128599994</v>
      </c>
      <c r="K10" s="161">
        <f>+'Biểu số 1'!BA51</f>
        <v>200000</v>
      </c>
      <c r="L10" s="161">
        <f>+'Biểu số 1'!BB51</f>
        <v>259999.569416666</v>
      </c>
      <c r="M10" s="161">
        <f>+'Biểu số 1'!BC51</f>
        <v>272999.7</v>
      </c>
      <c r="N10" s="161">
        <f>+'Biểu số 1'!BD51</f>
        <v>272999.7</v>
      </c>
      <c r="O10" s="161">
        <f t="shared" ref="O10:P10" si="4">+E10+G10+I10+K10+M10</f>
        <v>837999.7</v>
      </c>
      <c r="P10" s="161">
        <f t="shared" si="4"/>
        <v>1401525.3109576658</v>
      </c>
      <c r="Q10" s="161">
        <f>+'Biểu số 1'!BI51</f>
        <v>287000.23000000004</v>
      </c>
      <c r="R10" s="161">
        <f>+'Biểu số 1'!BJ51</f>
        <v>287000.23000000004</v>
      </c>
      <c r="S10" s="161">
        <f>+'Biểu số 1'!BK51</f>
        <v>302000.37</v>
      </c>
      <c r="T10" s="161">
        <f>+'Biểu số 1'!BL51</f>
        <v>302000.37</v>
      </c>
      <c r="U10" s="161">
        <f>+'Biểu số 1'!BM51</f>
        <v>316000</v>
      </c>
      <c r="V10" s="161">
        <f>+'Biểu số 1'!BN51</f>
        <v>316000</v>
      </c>
      <c r="W10" s="161">
        <f>+'Biểu số 1'!BO51</f>
        <v>335000</v>
      </c>
      <c r="X10" s="161">
        <f>+'Biểu số 1'!BP51</f>
        <v>335000</v>
      </c>
      <c r="Y10" s="161">
        <f>+'Biểu số 1'!BQ51</f>
        <v>353000</v>
      </c>
      <c r="Z10" s="161">
        <f>+'Biểu số 1'!BR51</f>
        <v>353000</v>
      </c>
      <c r="AA10" s="161">
        <f>+Q10+S10+U10+W10+Y10</f>
        <v>1593000.6</v>
      </c>
      <c r="AB10" s="161">
        <f>+R10+T10+V10+X10+Z10</f>
        <v>1593000.6</v>
      </c>
      <c r="AC10" s="831">
        <f t="shared" si="1"/>
        <v>0.13661921589664239</v>
      </c>
      <c r="AD10" s="835">
        <f t="shared" si="2"/>
        <v>2.1943570200031859</v>
      </c>
      <c r="AE10" s="835">
        <f t="shared" si="3"/>
        <v>1.8104020900995059</v>
      </c>
    </row>
    <row r="11" spans="1:31" s="739" customFormat="1">
      <c r="A11" s="743" t="s">
        <v>37</v>
      </c>
      <c r="B11" s="731" t="s">
        <v>829</v>
      </c>
      <c r="C11" s="744">
        <f t="shared" ref="C11:R11" si="5">C12+C22+C18-C20</f>
        <v>57071790</v>
      </c>
      <c r="D11" s="744">
        <f t="shared" si="5"/>
        <v>59801615.717747003</v>
      </c>
      <c r="E11" s="756">
        <f>E12+E22+E18-E20</f>
        <v>14124109</v>
      </c>
      <c r="F11" s="756">
        <f t="shared" ref="F11" si="6">F12+F22+F18-F20</f>
        <v>13702771</v>
      </c>
      <c r="G11" s="756">
        <f t="shared" si="5"/>
        <v>14054453</v>
      </c>
      <c r="H11" s="756">
        <f t="shared" si="5"/>
        <v>15102266</v>
      </c>
      <c r="I11" s="756">
        <f t="shared" ref="I11:J11" si="7">I12+I22+I18-I20</f>
        <v>15819995</v>
      </c>
      <c r="J11" s="756">
        <f t="shared" si="7"/>
        <v>16592131</v>
      </c>
      <c r="K11" s="756">
        <f t="shared" si="5"/>
        <v>19035463.162</v>
      </c>
      <c r="L11" s="756">
        <f t="shared" si="5"/>
        <v>19244206.032347649</v>
      </c>
      <c r="M11" s="756">
        <f t="shared" ref="M11:N11" si="8">M12+M22+M18-M20</f>
        <v>21909396.029745106</v>
      </c>
      <c r="N11" s="756">
        <f t="shared" si="8"/>
        <v>21909396.029745106</v>
      </c>
      <c r="O11" s="756">
        <f t="shared" ref="O11:P11" si="9">O12+O22+O18-O20</f>
        <v>84943416.191745117</v>
      </c>
      <c r="P11" s="756">
        <f t="shared" si="9"/>
        <v>86550770.062092751</v>
      </c>
      <c r="Q11" s="744">
        <f t="shared" si="5"/>
        <v>22059476.202691756</v>
      </c>
      <c r="R11" s="744">
        <f t="shared" si="5"/>
        <v>22059476.202691756</v>
      </c>
      <c r="S11" s="744">
        <f t="shared" ref="S11:AB11" si="10">S12+S22+S18-S20</f>
        <v>22223556.197570272</v>
      </c>
      <c r="T11" s="744">
        <f t="shared" ref="T11" si="11">T12+T22+T18-T20</f>
        <v>22223556.197570272</v>
      </c>
      <c r="U11" s="744">
        <f t="shared" si="10"/>
        <v>24654958.697346758</v>
      </c>
      <c r="V11" s="744">
        <f t="shared" ref="V11" si="12">V12+V22+V18-V20</f>
        <v>24654958.697346758</v>
      </c>
      <c r="W11" s="744">
        <f t="shared" si="10"/>
        <v>26738994.797964144</v>
      </c>
      <c r="X11" s="744">
        <f t="shared" si="10"/>
        <v>26738994.797964144</v>
      </c>
      <c r="Y11" s="744">
        <f t="shared" si="10"/>
        <v>28377702.41700935</v>
      </c>
      <c r="Z11" s="744">
        <f t="shared" si="10"/>
        <v>28377702.41700935</v>
      </c>
      <c r="AA11" s="758">
        <f t="shared" si="10"/>
        <v>124054688.31258228</v>
      </c>
      <c r="AB11" s="758">
        <f t="shared" si="10"/>
        <v>124054688.31258228</v>
      </c>
      <c r="AC11" s="832">
        <f t="shared" si="1"/>
        <v>0.43331697942818637</v>
      </c>
      <c r="AD11" s="836">
        <f t="shared" si="2"/>
        <v>1.0744370670200345</v>
      </c>
      <c r="AE11" s="836">
        <f t="shared" si="3"/>
        <v>0.44729818790510611</v>
      </c>
    </row>
    <row r="12" spans="1:31" s="4" customFormat="1">
      <c r="A12" s="742" t="s">
        <v>3</v>
      </c>
      <c r="B12" s="732" t="s">
        <v>830</v>
      </c>
      <c r="C12" s="161">
        <f t="shared" ref="C12:R12" si="13">+C13+C17+C20+C21</f>
        <v>49663142</v>
      </c>
      <c r="D12" s="161">
        <f t="shared" si="13"/>
        <v>52412299.717747003</v>
      </c>
      <c r="E12" s="757">
        <f t="shared" ref="E12:O12" si="14">+E13+E17+E20+E21</f>
        <v>12692115</v>
      </c>
      <c r="F12" s="757">
        <f t="shared" si="14"/>
        <v>12285477</v>
      </c>
      <c r="G12" s="757">
        <f t="shared" si="14"/>
        <v>12792680</v>
      </c>
      <c r="H12" s="757">
        <f t="shared" si="14"/>
        <v>13848866</v>
      </c>
      <c r="I12" s="757">
        <f t="shared" si="14"/>
        <v>13191488</v>
      </c>
      <c r="J12" s="757">
        <f t="shared" si="14"/>
        <v>13976699</v>
      </c>
      <c r="K12" s="757">
        <f t="shared" si="14"/>
        <v>17046487.162</v>
      </c>
      <c r="L12" s="757">
        <f t="shared" si="14"/>
        <v>17255230.032347649</v>
      </c>
      <c r="M12" s="757">
        <f t="shared" si="14"/>
        <v>18233347.229745105</v>
      </c>
      <c r="N12" s="757">
        <f t="shared" si="14"/>
        <v>18233347.229745105</v>
      </c>
      <c r="O12" s="757">
        <f t="shared" si="14"/>
        <v>73956117.39174512</v>
      </c>
      <c r="P12" s="757">
        <f>+P13+P17+P20+P21</f>
        <v>75599619.262092754</v>
      </c>
      <c r="Q12" s="161">
        <f t="shared" si="13"/>
        <v>16000503.402691757</v>
      </c>
      <c r="R12" s="161">
        <f t="shared" si="13"/>
        <v>16000503.402691757</v>
      </c>
      <c r="S12" s="161">
        <f>+S13+S17+S20+S21</f>
        <v>18547507.397570271</v>
      </c>
      <c r="T12" s="161">
        <f>+T13+T17+T20+T21</f>
        <v>18547507.397570271</v>
      </c>
      <c r="U12" s="161">
        <f t="shared" ref="U12:AB12" si="15">+U13+U17+U20+U21</f>
        <v>21358175.897346757</v>
      </c>
      <c r="V12" s="161">
        <f t="shared" ref="V12" si="16">+V13+V17+V20+V21</f>
        <v>21358175.897346757</v>
      </c>
      <c r="W12" s="161">
        <f t="shared" si="15"/>
        <v>23442211.997964144</v>
      </c>
      <c r="X12" s="161">
        <f t="shared" ref="X12" si="17">+X13+X17+X20+X21</f>
        <v>23442211.997964144</v>
      </c>
      <c r="Y12" s="161">
        <f t="shared" si="15"/>
        <v>25080919.617009349</v>
      </c>
      <c r="Z12" s="161">
        <f t="shared" ref="Z12" si="18">+Z13+Z17+Z20+Z21</f>
        <v>25080919.617009349</v>
      </c>
      <c r="AA12" s="142">
        <f>+AA13+AA17+AA20+AA21</f>
        <v>104429318.31258228</v>
      </c>
      <c r="AB12" s="142">
        <f t="shared" si="15"/>
        <v>104429318.31258228</v>
      </c>
      <c r="AC12" s="831">
        <f t="shared" si="1"/>
        <v>0.38134714608206166</v>
      </c>
      <c r="AD12" s="835">
        <f t="shared" si="2"/>
        <v>0.99245823737862282</v>
      </c>
      <c r="AE12" s="835">
        <f t="shared" si="3"/>
        <v>0.44240225422687263</v>
      </c>
    </row>
    <row r="13" spans="1:31">
      <c r="A13" s="745">
        <v>1</v>
      </c>
      <c r="B13" s="733" t="s">
        <v>831</v>
      </c>
      <c r="C13" s="160">
        <f>SUM(C14:C15)</f>
        <v>27296674</v>
      </c>
      <c r="D13" s="160">
        <f t="shared" ref="D13:N13" si="19">SUM(D14:D15)</f>
        <v>30045831.717746999</v>
      </c>
      <c r="E13" s="160">
        <f>SUM(E14:E15)</f>
        <v>6480440</v>
      </c>
      <c r="F13" s="160">
        <f t="shared" si="19"/>
        <v>6073802</v>
      </c>
      <c r="G13" s="160">
        <f>SUM(G14:G15)</f>
        <v>5809777</v>
      </c>
      <c r="H13" s="160">
        <f t="shared" si="19"/>
        <v>6865963</v>
      </c>
      <c r="I13" s="160">
        <f>SUM(I14:I15)</f>
        <v>6704000</v>
      </c>
      <c r="J13" s="160">
        <f t="shared" si="19"/>
        <v>7489211</v>
      </c>
      <c r="K13" s="160">
        <f>SUM(K14:K15)</f>
        <v>8892984.1620000005</v>
      </c>
      <c r="L13" s="160">
        <f t="shared" si="19"/>
        <v>8321554.0323476475</v>
      </c>
      <c r="M13" s="160">
        <f>SUM(M14:M15)</f>
        <v>8582919.8297451045</v>
      </c>
      <c r="N13" s="160">
        <f t="shared" si="19"/>
        <v>8582919.8297451045</v>
      </c>
      <c r="O13" s="160">
        <f>SUM(O14:O15)</f>
        <v>36470120.991745107</v>
      </c>
      <c r="P13" s="160">
        <f t="shared" ref="P13:R13" si="20">SUM(P14:P15)</f>
        <v>37333449.862092748</v>
      </c>
      <c r="Q13" s="160">
        <f>SUM(Q14:Q15)</f>
        <v>8733000.4026917573</v>
      </c>
      <c r="R13" s="160">
        <f t="shared" si="20"/>
        <v>8733000.4026917573</v>
      </c>
      <c r="S13" s="160">
        <f t="shared" ref="S13:AA13" si="21">SUM(S14:S15)</f>
        <v>8897080.397570271</v>
      </c>
      <c r="T13" s="160">
        <f t="shared" si="21"/>
        <v>8897080.397570271</v>
      </c>
      <c r="U13" s="160">
        <f t="shared" si="21"/>
        <v>11707748.897346757</v>
      </c>
      <c r="V13" s="160">
        <f t="shared" si="21"/>
        <v>11707748.897346757</v>
      </c>
      <c r="W13" s="160">
        <f t="shared" si="21"/>
        <v>12703027.248075902</v>
      </c>
      <c r="X13" s="160">
        <f t="shared" si="21"/>
        <v>12703027.248075902</v>
      </c>
      <c r="Y13" s="160">
        <f t="shared" si="21"/>
        <v>13858437.191756533</v>
      </c>
      <c r="Z13" s="160">
        <f t="shared" si="21"/>
        <v>13858437.191756533</v>
      </c>
      <c r="AA13" s="157">
        <f t="shared" si="21"/>
        <v>55899294.137441218</v>
      </c>
      <c r="AB13" s="157">
        <f t="shared" ref="AB13" si="22">SUM(AB14:AB15)</f>
        <v>55899294.137441218</v>
      </c>
      <c r="AC13" s="833">
        <f t="shared" si="1"/>
        <v>0.49729784801376375</v>
      </c>
      <c r="AD13" s="837">
        <f t="shared" si="2"/>
        <v>0.86046752383371383</v>
      </c>
      <c r="AE13" s="837">
        <f t="shared" si="3"/>
        <v>0.24255005528907403</v>
      </c>
    </row>
    <row r="14" spans="1:31">
      <c r="A14" s="746" t="s">
        <v>99</v>
      </c>
      <c r="B14" s="734" t="s">
        <v>832</v>
      </c>
      <c r="C14" s="747">
        <f>+'Biểu số 1'!AQ73-C15</f>
        <v>11762760</v>
      </c>
      <c r="D14" s="747">
        <f>+'Biểu số 1'!AR73-D15</f>
        <v>14482172.01282531</v>
      </c>
      <c r="E14" s="160">
        <f>+'Biểu số 1'!AU75</f>
        <v>3144040</v>
      </c>
      <c r="F14" s="160">
        <f>+'Biểu số 1'!AV75</f>
        <v>3483009.170746</v>
      </c>
      <c r="G14" s="160">
        <f>+'Biểu số 1'!AW75</f>
        <v>3155737</v>
      </c>
      <c r="H14" s="160">
        <f>+'Biểu số 1'!AX75</f>
        <v>3939849.8339069998</v>
      </c>
      <c r="I14" s="160">
        <f>+'Biểu số 1'!AY75</f>
        <v>3379000</v>
      </c>
      <c r="J14" s="160">
        <f>+'Biểu số 1'!AZ75</f>
        <v>4165738.2</v>
      </c>
      <c r="K14" s="160">
        <f>+'Biểu số 1'!BA75</f>
        <v>5309454.1620000005</v>
      </c>
      <c r="L14" s="160">
        <f>+'Biểu số 1'!BB75</f>
        <v>5175454.0323476475</v>
      </c>
      <c r="M14" s="160">
        <f>+'Biểu số 1'!BC75</f>
        <v>4815919.8297451045</v>
      </c>
      <c r="N14" s="160">
        <f>+'Biểu số 1'!BD75</f>
        <v>4815919.8297451045</v>
      </c>
      <c r="O14" s="160">
        <f t="shared" ref="O14" si="23">+E14+G14+I14+K14+M14</f>
        <v>19804150.991745107</v>
      </c>
      <c r="P14" s="160">
        <f t="shared" ref="P14" si="24">+F14+H14+J14+L14+N14</f>
        <v>21579971.066745751</v>
      </c>
      <c r="Q14" s="160">
        <f>+'Biểu số 1'!BI75</f>
        <v>4763200.4026917573</v>
      </c>
      <c r="R14" s="160">
        <f>+'Biểu số 1'!BJ75</f>
        <v>4763200.4026917573</v>
      </c>
      <c r="S14" s="160">
        <f>+'Biểu số 1'!BK75</f>
        <v>4778980.397570271</v>
      </c>
      <c r="T14" s="160">
        <f>+'Biểu số 1'!BL75</f>
        <v>4778980.397570271</v>
      </c>
      <c r="U14" s="160">
        <f>+'Biểu số 1'!BM75</f>
        <v>6388648.8973467574</v>
      </c>
      <c r="V14" s="160">
        <f>+'Biểu số 1'!BN75</f>
        <v>6388648.8973467574</v>
      </c>
      <c r="W14" s="160">
        <f>+'Biểu số 1'!BO75</f>
        <v>6893927.2480759025</v>
      </c>
      <c r="X14" s="160">
        <f>+'Biểu số 1'!BP75</f>
        <v>6893927.2480759025</v>
      </c>
      <c r="Y14" s="160">
        <f>+'Biểu số 1'!BQ75</f>
        <v>7491337.1917565335</v>
      </c>
      <c r="Z14" s="160">
        <f>+'Biểu số 1'!BR75</f>
        <v>7491337.1917565335</v>
      </c>
      <c r="AA14" s="157">
        <f>+Q14+S14+U14+W14+Y14</f>
        <v>30316094.137441218</v>
      </c>
      <c r="AB14" s="157">
        <f>+R14+T14+V14+X14+Z14</f>
        <v>30316094.137441218</v>
      </c>
      <c r="AC14" s="833">
        <f t="shared" ref="AC14:AC22" si="25">AB14/P14-100%</f>
        <v>0.40482552287373719</v>
      </c>
      <c r="AD14" s="837">
        <f t="shared" ref="AD14:AD22" si="26">+AB14/D14-100%</f>
        <v>1.0933389073540556</v>
      </c>
      <c r="AE14" s="837">
        <f t="shared" ref="AE14:AE22" si="27">P14/D14-100%</f>
        <v>0.49010597634351249</v>
      </c>
    </row>
    <row r="15" spans="1:31">
      <c r="A15" s="748" t="s">
        <v>101</v>
      </c>
      <c r="B15" s="829" t="s">
        <v>833</v>
      </c>
      <c r="C15" s="747">
        <f>+'Biểu số 1'!AQ76</f>
        <v>15533914</v>
      </c>
      <c r="D15" s="747">
        <f>+'Biểu số 1'!AR76</f>
        <v>15563659.704921689</v>
      </c>
      <c r="E15" s="160">
        <f>+'Biểu số 1'!AU76</f>
        <v>3336400</v>
      </c>
      <c r="F15" s="160">
        <f>+'Biểu số 1'!AV76</f>
        <v>2590792.829254</v>
      </c>
      <c r="G15" s="160">
        <f>+'Biểu số 1'!AW76</f>
        <v>2654040</v>
      </c>
      <c r="H15" s="160">
        <f>+'Biểu số 1'!AX76</f>
        <v>2926113.1660930002</v>
      </c>
      <c r="I15" s="160">
        <f>+'Biểu số 1'!AY76</f>
        <v>3325000</v>
      </c>
      <c r="J15" s="160">
        <f>+'Biểu số 1'!AZ76</f>
        <v>3323472.8</v>
      </c>
      <c r="K15" s="160">
        <f>+'Biểu số 1'!BA76</f>
        <v>3583530</v>
      </c>
      <c r="L15" s="160">
        <f>+'Biểu số 1'!BB76</f>
        <v>3146100</v>
      </c>
      <c r="M15" s="160">
        <f>+'Biểu số 1'!BC76</f>
        <v>3767000</v>
      </c>
      <c r="N15" s="160">
        <f>+'Biểu số 1'!BD76</f>
        <v>3767000</v>
      </c>
      <c r="O15" s="160">
        <f t="shared" ref="O15:O21" si="28">+E15+G15+I15+K15+M15</f>
        <v>16665970</v>
      </c>
      <c r="P15" s="160">
        <f t="shared" ref="P15:P21" si="29">+F15+H15+J15+L15+N15</f>
        <v>15753478.795347001</v>
      </c>
      <c r="Q15" s="160">
        <f>+'Biểu số 1'!BI76</f>
        <v>3969800</v>
      </c>
      <c r="R15" s="160">
        <f>+'Biểu số 1'!BJ76</f>
        <v>3969800</v>
      </c>
      <c r="S15" s="160">
        <f>+'Biểu số 1'!BK76</f>
        <v>4118100</v>
      </c>
      <c r="T15" s="160">
        <f>+'Biểu số 1'!BL76</f>
        <v>4118100</v>
      </c>
      <c r="U15" s="160">
        <f>+'Biểu số 1'!BM76</f>
        <v>5319100</v>
      </c>
      <c r="V15" s="160">
        <f>+'Biểu số 1'!BN76</f>
        <v>5319100</v>
      </c>
      <c r="W15" s="160">
        <f>+'Biểu số 1'!BO76</f>
        <v>5809100</v>
      </c>
      <c r="X15" s="160">
        <f>+'Biểu số 1'!BP76</f>
        <v>5809100</v>
      </c>
      <c r="Y15" s="160">
        <f>+'Biểu số 1'!BQ76</f>
        <v>6367100</v>
      </c>
      <c r="Z15" s="160">
        <f>+'Biểu số 1'!BR76</f>
        <v>6367100</v>
      </c>
      <c r="AA15" s="157">
        <f t="shared" ref="AA15:AB15" si="30">+Q15+S15+U15+W15+Y15</f>
        <v>25583200</v>
      </c>
      <c r="AB15" s="157">
        <f t="shared" si="30"/>
        <v>25583200</v>
      </c>
      <c r="AC15" s="833">
        <f t="shared" si="25"/>
        <v>0.62397146257982938</v>
      </c>
      <c r="AD15" s="837">
        <f t="shared" si="26"/>
        <v>0.64377790860525153</v>
      </c>
      <c r="AE15" s="837">
        <f t="shared" si="27"/>
        <v>1.2196301771188578E-2</v>
      </c>
    </row>
    <row r="16" spans="1:31">
      <c r="A16" s="745">
        <v>2</v>
      </c>
      <c r="B16" s="733" t="s">
        <v>834</v>
      </c>
      <c r="C16" s="160">
        <f>SUM(C17:C18)</f>
        <v>28376164</v>
      </c>
      <c r="D16" s="160">
        <f t="shared" ref="D16:AB16" si="31">SUM(D17:D18)</f>
        <v>28376164</v>
      </c>
      <c r="E16" s="160">
        <f>SUM(E17:E18)</f>
        <v>6765596</v>
      </c>
      <c r="F16" s="160">
        <f t="shared" si="31"/>
        <v>6765596</v>
      </c>
      <c r="G16" s="160">
        <f>SUM(G17:G18)</f>
        <v>8016985</v>
      </c>
      <c r="H16" s="160">
        <f t="shared" si="31"/>
        <v>8016985</v>
      </c>
      <c r="I16" s="160">
        <f t="shared" si="31"/>
        <v>9084495</v>
      </c>
      <c r="J16" s="160">
        <f t="shared" si="31"/>
        <v>9084495</v>
      </c>
      <c r="K16" s="160">
        <f t="shared" si="31"/>
        <v>9256479</v>
      </c>
      <c r="L16" s="160">
        <f t="shared" si="31"/>
        <v>9766253</v>
      </c>
      <c r="M16" s="160">
        <f t="shared" si="31"/>
        <v>13326475.800000001</v>
      </c>
      <c r="N16" s="160">
        <f t="shared" si="31"/>
        <v>13326475.800000001</v>
      </c>
      <c r="O16" s="160">
        <f t="shared" si="31"/>
        <v>46450030.799999997</v>
      </c>
      <c r="P16" s="160">
        <f t="shared" si="31"/>
        <v>46959804.799999997</v>
      </c>
      <c r="Q16" s="160">
        <f t="shared" si="31"/>
        <v>13326475.800000001</v>
      </c>
      <c r="R16" s="160">
        <f t="shared" si="31"/>
        <v>13326475.800000001</v>
      </c>
      <c r="S16" s="160">
        <f t="shared" si="31"/>
        <v>13326475.800000001</v>
      </c>
      <c r="T16" s="160">
        <f t="shared" ref="T16" si="32">SUM(T17:T18)</f>
        <v>13326475.800000001</v>
      </c>
      <c r="U16" s="160">
        <f t="shared" si="31"/>
        <v>12947209.800000001</v>
      </c>
      <c r="V16" s="160">
        <f t="shared" ref="V16" si="33">SUM(V17:V18)</f>
        <v>12947209.800000001</v>
      </c>
      <c r="W16" s="160">
        <f t="shared" si="31"/>
        <v>12947209.800000001</v>
      </c>
      <c r="X16" s="160">
        <f t="shared" ref="X16" si="34">SUM(X17:X18)</f>
        <v>12947209.800000001</v>
      </c>
      <c r="Y16" s="160">
        <f t="shared" si="31"/>
        <v>12947209.800000001</v>
      </c>
      <c r="Z16" s="160">
        <f t="shared" ref="Z16" si="35">SUM(Z17:Z18)</f>
        <v>12947209.800000001</v>
      </c>
      <c r="AA16" s="157">
        <f t="shared" si="31"/>
        <v>65494581</v>
      </c>
      <c r="AB16" s="157">
        <f t="shared" si="31"/>
        <v>65494581</v>
      </c>
      <c r="AC16" s="833">
        <f t="shared" si="25"/>
        <v>0.39469448987147415</v>
      </c>
      <c r="AD16" s="837">
        <f t="shared" si="26"/>
        <v>1.308084383780697</v>
      </c>
      <c r="AE16" s="837">
        <f t="shared" si="27"/>
        <v>0.65490320679003666</v>
      </c>
    </row>
    <row r="17" spans="1:31">
      <c r="A17" s="746" t="s">
        <v>99</v>
      </c>
      <c r="B17" s="734" t="s">
        <v>835</v>
      </c>
      <c r="C17" s="160">
        <f>+'Biểu số 1'!AQ56</f>
        <v>20230656</v>
      </c>
      <c r="D17" s="160">
        <f>+'Biểu số 1'!AR56</f>
        <v>20230656</v>
      </c>
      <c r="E17" s="160">
        <f>+'Biểu số 1'!AU56</f>
        <v>4883126</v>
      </c>
      <c r="F17" s="160">
        <f>+'Biểu số 1'!AV56</f>
        <v>4883126</v>
      </c>
      <c r="G17" s="160">
        <f>+'Biểu số 1'!AW56</f>
        <v>6803512</v>
      </c>
      <c r="H17" s="160">
        <f>+'Biểu số 1'!AX56</f>
        <v>6803512</v>
      </c>
      <c r="I17" s="160">
        <f>+'Biểu số 1'!AY56</f>
        <v>6487488</v>
      </c>
      <c r="J17" s="160">
        <f>+'Biểu số 1'!AZ56</f>
        <v>6487488</v>
      </c>
      <c r="K17" s="160">
        <f>+'Biểu số 1'!BA56</f>
        <v>6617188</v>
      </c>
      <c r="L17" s="160">
        <f>+'Biểu số 1'!BB56</f>
        <v>6617188</v>
      </c>
      <c r="M17" s="160">
        <f>+'Biểu số 1'!BC56</f>
        <v>6617188</v>
      </c>
      <c r="N17" s="160">
        <f>+'Biểu số 1'!BD56</f>
        <v>6617188</v>
      </c>
      <c r="O17" s="160">
        <f t="shared" si="28"/>
        <v>31408502</v>
      </c>
      <c r="P17" s="160">
        <f t="shared" si="29"/>
        <v>31408502</v>
      </c>
      <c r="Q17" s="160">
        <f>+'Biểu số 1'!BI56</f>
        <v>6617188</v>
      </c>
      <c r="R17" s="160">
        <f>+'Biểu số 1'!BJ56</f>
        <v>6617188</v>
      </c>
      <c r="S17" s="160">
        <f>+'Biểu số 1'!BK56</f>
        <v>6617188</v>
      </c>
      <c r="T17" s="160">
        <f>+'Biểu số 1'!BL56</f>
        <v>6617188</v>
      </c>
      <c r="U17" s="160">
        <f>+'Biểu số 1'!BM56</f>
        <v>6617188</v>
      </c>
      <c r="V17" s="160">
        <f>+'Biểu số 1'!BN56</f>
        <v>6617188</v>
      </c>
      <c r="W17" s="160">
        <f>+'Biểu số 1'!BO56</f>
        <v>6617188</v>
      </c>
      <c r="X17" s="160">
        <f>+'Biểu số 1'!BP56</f>
        <v>6617188</v>
      </c>
      <c r="Y17" s="160">
        <f>+'Biểu số 1'!BQ56</f>
        <v>6617188</v>
      </c>
      <c r="Z17" s="160">
        <f>+'Biểu số 1'!BR56</f>
        <v>6617188</v>
      </c>
      <c r="AA17" s="157">
        <f t="shared" ref="AA17" si="36">+Q17+S17+U17+W17+Y17</f>
        <v>33085940</v>
      </c>
      <c r="AB17" s="157">
        <f t="shared" ref="AB17" si="37">+R17+T17+V17+X17+Z17</f>
        <v>33085940</v>
      </c>
      <c r="AC17" s="833">
        <f t="shared" si="25"/>
        <v>5.3407131610415659E-2</v>
      </c>
      <c r="AD17" s="837">
        <f t="shared" si="26"/>
        <v>0.63543584548123411</v>
      </c>
      <c r="AE17" s="837">
        <f t="shared" si="27"/>
        <v>0.55252019509401973</v>
      </c>
    </row>
    <row r="18" spans="1:31">
      <c r="A18" s="746" t="s">
        <v>101</v>
      </c>
      <c r="B18" s="734" t="s">
        <v>207</v>
      </c>
      <c r="C18" s="160">
        <f>+'Biểu số 1'!AQ58</f>
        <v>8145508</v>
      </c>
      <c r="D18" s="160">
        <f>+'Biểu số 1'!AR58</f>
        <v>8145508</v>
      </c>
      <c r="E18" s="160">
        <f>+'Biểu số 1'!AU58</f>
        <v>1882470</v>
      </c>
      <c r="F18" s="160">
        <f>+'Biểu số 1'!AV58</f>
        <v>1882470</v>
      </c>
      <c r="G18" s="160">
        <f>+'Biểu số 1'!AW58</f>
        <v>1213473</v>
      </c>
      <c r="H18" s="160">
        <f>+'Biểu số 1'!AX58</f>
        <v>1213473</v>
      </c>
      <c r="I18" s="160">
        <f>+'Biểu số 1'!AY58</f>
        <v>2597007</v>
      </c>
      <c r="J18" s="160">
        <f>+'Biểu số 1'!AZ58</f>
        <v>2597007</v>
      </c>
      <c r="K18" s="160">
        <f>+'Biểu số 1'!BA58</f>
        <v>2639291</v>
      </c>
      <c r="L18" s="160">
        <f>+'Biểu số 1'!BB58</f>
        <v>3149065</v>
      </c>
      <c r="M18" s="160">
        <f>+'Biểu số 1'!BC58</f>
        <v>6709287.7999999998</v>
      </c>
      <c r="N18" s="160">
        <f>+'Biểu số 1'!BD58</f>
        <v>6709287.7999999998</v>
      </c>
      <c r="O18" s="160">
        <f t="shared" si="28"/>
        <v>15041528.800000001</v>
      </c>
      <c r="P18" s="160">
        <f t="shared" si="29"/>
        <v>15551302.800000001</v>
      </c>
      <c r="Q18" s="747">
        <f>+'Biểu số 1'!BI58</f>
        <v>6709287.7999999998</v>
      </c>
      <c r="R18" s="747">
        <f>+'Biểu số 1'!BJ58</f>
        <v>6709287.7999999998</v>
      </c>
      <c r="S18" s="160">
        <f>+'Biểu số 1'!BK58</f>
        <v>6709287.7999999998</v>
      </c>
      <c r="T18" s="160">
        <f>+'Biểu số 1'!BL58</f>
        <v>6709287.7999999998</v>
      </c>
      <c r="U18" s="160">
        <f>+'Biểu số 1'!BM58</f>
        <v>6330021.7999999998</v>
      </c>
      <c r="V18" s="160">
        <f>+'Biểu số 1'!BN58</f>
        <v>6330021.7999999998</v>
      </c>
      <c r="W18" s="160">
        <f>+'Biểu số 1'!BO58</f>
        <v>6330021.7999999998</v>
      </c>
      <c r="X18" s="160">
        <f>+'Biểu số 1'!BP58</f>
        <v>6330021.7999999998</v>
      </c>
      <c r="Y18" s="160">
        <f>+'Biểu số 1'!BQ58</f>
        <v>6330021.7999999998</v>
      </c>
      <c r="Z18" s="160">
        <f>+'Biểu số 1'!BR58</f>
        <v>6330021.7999999998</v>
      </c>
      <c r="AA18" s="157">
        <f t="shared" ref="AA18:AA22" si="38">+Q18+S18+U18+W18+Y18</f>
        <v>32408641</v>
      </c>
      <c r="AB18" s="157">
        <f t="shared" ref="AB18:AB22" si="39">+R18+T18+V18+X18+Z18</f>
        <v>32408641</v>
      </c>
      <c r="AC18" s="833">
        <f t="shared" si="25"/>
        <v>1.0839823786338982</v>
      </c>
      <c r="AD18" s="837">
        <f t="shared" si="26"/>
        <v>2.9787132981761237</v>
      </c>
      <c r="AE18" s="837">
        <f t="shared" si="27"/>
        <v>0.90918759149214523</v>
      </c>
    </row>
    <row r="19" spans="1:31">
      <c r="A19" s="746"/>
      <c r="B19" s="734" t="s">
        <v>234</v>
      </c>
      <c r="C19" s="160"/>
      <c r="D19" s="160"/>
      <c r="E19" s="160"/>
      <c r="F19" s="160"/>
      <c r="G19" s="160"/>
      <c r="H19" s="160"/>
      <c r="I19" s="160"/>
      <c r="J19" s="160"/>
      <c r="K19" s="160"/>
      <c r="L19" s="160"/>
      <c r="M19" s="160"/>
      <c r="N19" s="160"/>
      <c r="O19" s="160"/>
      <c r="P19" s="160"/>
      <c r="Q19" s="747"/>
      <c r="R19" s="155"/>
      <c r="S19" s="155"/>
      <c r="T19" s="155"/>
      <c r="U19" s="155"/>
      <c r="V19" s="155"/>
      <c r="W19" s="155"/>
      <c r="X19" s="155"/>
      <c r="Y19" s="155"/>
      <c r="Z19" s="155"/>
      <c r="AA19" s="157"/>
      <c r="AB19" s="157"/>
      <c r="AC19" s="833"/>
      <c r="AD19" s="837"/>
      <c r="AE19" s="837"/>
    </row>
    <row r="20" spans="1:31">
      <c r="A20" s="746"/>
      <c r="B20" s="734" t="s">
        <v>844</v>
      </c>
      <c r="C20" s="160">
        <f>+'Biểu số 1'!AQ66</f>
        <v>782760</v>
      </c>
      <c r="D20" s="160">
        <f>+'Biểu số 1'!AR66</f>
        <v>782760</v>
      </c>
      <c r="E20" s="160">
        <f>202194+309482</f>
        <v>511676</v>
      </c>
      <c r="F20" s="160">
        <f>+E20</f>
        <v>511676</v>
      </c>
      <c r="G20" s="160"/>
      <c r="H20" s="160"/>
      <c r="I20" s="160"/>
      <c r="J20" s="160"/>
      <c r="K20" s="160">
        <f>+'Biểu số 1'!BA66</f>
        <v>650315</v>
      </c>
      <c r="L20" s="160">
        <f>+'Biểu số 1'!BB66</f>
        <v>1160089</v>
      </c>
      <c r="M20" s="160">
        <f>+'Biểu số 1'!BC66</f>
        <v>3033239</v>
      </c>
      <c r="N20" s="160">
        <f>+'Biểu số 1'!BD66</f>
        <v>3033239</v>
      </c>
      <c r="O20" s="160">
        <f t="shared" si="28"/>
        <v>4195230</v>
      </c>
      <c r="P20" s="160">
        <f>+F20+H20+J20+L20+N20</f>
        <v>4705004</v>
      </c>
      <c r="Q20" s="747">
        <v>650315</v>
      </c>
      <c r="R20" s="747">
        <v>650315</v>
      </c>
      <c r="S20" s="160">
        <f>+'Biểu số 1'!BK66</f>
        <v>3033239</v>
      </c>
      <c r="T20" s="160">
        <f>+'Biểu số 1'!BL66</f>
        <v>3033239</v>
      </c>
      <c r="U20" s="160">
        <f>+'Biểu số 1'!BM66</f>
        <v>3033239</v>
      </c>
      <c r="V20" s="160">
        <f>+'Biểu số 1'!BN66</f>
        <v>3033239</v>
      </c>
      <c r="W20" s="160">
        <f>'Biểu số 1'!BO66</f>
        <v>3033239</v>
      </c>
      <c r="X20" s="160">
        <f>'Biểu số 1'!BP66</f>
        <v>3033239</v>
      </c>
      <c r="Y20" s="160">
        <f>+'Biểu số 1'!BQ66</f>
        <v>3033239</v>
      </c>
      <c r="Z20" s="160">
        <f>+'Biểu số 1'!BR66</f>
        <v>3033239</v>
      </c>
      <c r="AA20" s="157">
        <f t="shared" ref="AA20" si="40">+Q20+S20+U20+W20+Y20</f>
        <v>12783271</v>
      </c>
      <c r="AB20" s="157">
        <f t="shared" ref="AB20" si="41">+R20+T20+V20+X20+Z20</f>
        <v>12783271</v>
      </c>
      <c r="AC20" s="833">
        <f t="shared" si="25"/>
        <v>1.7169522066293674</v>
      </c>
      <c r="AD20" s="837">
        <f t="shared" si="26"/>
        <v>15.331022280136953</v>
      </c>
      <c r="AE20" s="837">
        <f t="shared" si="27"/>
        <v>5.0107874699780268</v>
      </c>
    </row>
    <row r="21" spans="1:31">
      <c r="A21" s="745">
        <v>3</v>
      </c>
      <c r="B21" s="828" t="s">
        <v>836</v>
      </c>
      <c r="C21" s="160">
        <f>+'Biểu số 1'!AQ68</f>
        <v>1353052</v>
      </c>
      <c r="D21" s="160">
        <f>+'Biểu số 1'!AR68</f>
        <v>1353052</v>
      </c>
      <c r="E21" s="160">
        <f>+'Biểu số 1'!AU68</f>
        <v>816873</v>
      </c>
      <c r="F21" s="160">
        <f>+'Biểu số 1'!AV68</f>
        <v>816873</v>
      </c>
      <c r="G21" s="160">
        <f>+'Biểu số 1'!AW68</f>
        <v>179391</v>
      </c>
      <c r="H21" s="160">
        <f>+'Biểu số 1'!AX68</f>
        <v>179391</v>
      </c>
      <c r="I21" s="160">
        <f>+'Biểu số 1'!AY68</f>
        <v>0</v>
      </c>
      <c r="J21" s="160">
        <f>+'Biểu số 1'!AZ68</f>
        <v>0</v>
      </c>
      <c r="K21" s="160">
        <f>+'Biểu số 1'!BA68</f>
        <v>886000</v>
      </c>
      <c r="L21" s="160">
        <f>+'Biểu số 1'!BB68</f>
        <v>1156399</v>
      </c>
      <c r="M21" s="160">
        <f>+'Biểu số 1'!BC68</f>
        <v>0.40000000001455194</v>
      </c>
      <c r="N21" s="160">
        <f>+'Biểu số 1'!BD68</f>
        <v>0.40000000001455194</v>
      </c>
      <c r="O21" s="160">
        <f t="shared" si="28"/>
        <v>1882264.4</v>
      </c>
      <c r="P21" s="160">
        <f t="shared" si="29"/>
        <v>2152663.4</v>
      </c>
      <c r="Q21" s="160">
        <f>+'Biểu số 1'!BI68</f>
        <v>0</v>
      </c>
      <c r="R21" s="160">
        <f>+'Biểu số 1'!BJ68</f>
        <v>0</v>
      </c>
      <c r="S21" s="160">
        <f>+'Biểu số 1'!BK68</f>
        <v>0</v>
      </c>
      <c r="T21" s="160">
        <f>+'Biểu số 1'!BL68</f>
        <v>0</v>
      </c>
      <c r="U21" s="160">
        <f>+'Biểu số 1'!BM68</f>
        <v>0</v>
      </c>
      <c r="V21" s="160">
        <f>+'Biểu số 1'!BN68</f>
        <v>0</v>
      </c>
      <c r="W21" s="160">
        <f>+'Biểu số 1'!BO68</f>
        <v>1088757.7498882432</v>
      </c>
      <c r="X21" s="160">
        <f>+'Biểu số 1'!BP68</f>
        <v>1088757.7498882432</v>
      </c>
      <c r="Y21" s="160">
        <f>+'Biểu số 1'!BQ68</f>
        <v>1572055.4252528162</v>
      </c>
      <c r="Z21" s="160">
        <f>+'Biểu số 1'!BR68</f>
        <v>1572055.4252528162</v>
      </c>
      <c r="AA21" s="157">
        <f t="shared" si="38"/>
        <v>2660813.1751410593</v>
      </c>
      <c r="AB21" s="157">
        <f t="shared" si="39"/>
        <v>2660813.1751410593</v>
      </c>
      <c r="AC21" s="833">
        <f t="shared" si="25"/>
        <v>0.2360563082649425</v>
      </c>
      <c r="AD21" s="837">
        <f t="shared" si="26"/>
        <v>0.96652691481263053</v>
      </c>
      <c r="AE21" s="837">
        <f t="shared" si="27"/>
        <v>0.59096871369319137</v>
      </c>
    </row>
    <row r="22" spans="1:31" s="739" customFormat="1">
      <c r="A22" s="743" t="s">
        <v>33</v>
      </c>
      <c r="B22" s="735" t="s">
        <v>47</v>
      </c>
      <c r="C22" s="744">
        <f>+'Biểu số 1'!AQ69</f>
        <v>45900</v>
      </c>
      <c r="D22" s="744">
        <f>+'Biểu số 1'!AR69</f>
        <v>26568</v>
      </c>
      <c r="E22" s="744">
        <f>+'Biểu số 1'!AU69</f>
        <v>61200</v>
      </c>
      <c r="F22" s="744">
        <f>+'Biểu số 1'!AV69</f>
        <v>46500</v>
      </c>
      <c r="G22" s="744">
        <f>+'Biểu số 1'!AW69</f>
        <v>48300</v>
      </c>
      <c r="H22" s="744">
        <f>+'Biểu số 1'!AX69</f>
        <v>39927</v>
      </c>
      <c r="I22" s="744">
        <f>+'Biểu số 1'!AY69</f>
        <v>31500</v>
      </c>
      <c r="J22" s="744">
        <f>+'Biểu số 1'!AZ69</f>
        <v>18425</v>
      </c>
      <c r="K22" s="744">
        <f>+'Biểu số 1'!BA69</f>
        <v>0</v>
      </c>
      <c r="L22" s="744">
        <f>+'Biểu số 1'!BB69</f>
        <v>0</v>
      </c>
      <c r="M22" s="744">
        <f>+'Biểu số 1'!BC69</f>
        <v>0</v>
      </c>
      <c r="N22" s="744">
        <f>+'Biểu số 1'!BD69</f>
        <v>0</v>
      </c>
      <c r="O22" s="161">
        <f t="shared" ref="O22" si="42">+E22+G22+I22+K22+M22</f>
        <v>141000</v>
      </c>
      <c r="P22" s="161">
        <f t="shared" ref="P22" si="43">+F22+H22+J22+L22+N22</f>
        <v>104852</v>
      </c>
      <c r="Q22" s="744">
        <f>+'Biểu số 1'!BI69</f>
        <v>0</v>
      </c>
      <c r="R22" s="744">
        <f>+'Biểu số 1'!BJ69</f>
        <v>0</v>
      </c>
      <c r="S22" s="744">
        <f>+'Biểu số 1'!BK69</f>
        <v>0</v>
      </c>
      <c r="T22" s="744">
        <f>+'Biểu số 1'!BL69</f>
        <v>0</v>
      </c>
      <c r="U22" s="744">
        <f>+'Biểu số 1'!BM69</f>
        <v>0</v>
      </c>
      <c r="V22" s="744">
        <f>+'Biểu số 1'!BN69</f>
        <v>0</v>
      </c>
      <c r="W22" s="744">
        <f>+'Biểu số 1'!BO69</f>
        <v>0</v>
      </c>
      <c r="X22" s="744">
        <f>+'Biểu số 1'!BP69</f>
        <v>0</v>
      </c>
      <c r="Y22" s="744">
        <f>+'Biểu số 1'!BQ69</f>
        <v>0</v>
      </c>
      <c r="Z22" s="744">
        <f>+'Biểu số 1'!BR69</f>
        <v>0</v>
      </c>
      <c r="AA22" s="758">
        <f t="shared" si="38"/>
        <v>0</v>
      </c>
      <c r="AB22" s="758">
        <f t="shared" si="39"/>
        <v>0</v>
      </c>
      <c r="AC22" s="831">
        <f t="shared" si="25"/>
        <v>-1</v>
      </c>
      <c r="AD22" s="835">
        <f t="shared" si="26"/>
        <v>-1</v>
      </c>
      <c r="AE22" s="835">
        <f t="shared" si="27"/>
        <v>2.9465522433002107</v>
      </c>
    </row>
    <row r="23" spans="1:31" s="739" customFormat="1">
      <c r="A23" s="743" t="s">
        <v>44</v>
      </c>
      <c r="B23" s="731" t="s">
        <v>837</v>
      </c>
      <c r="C23" s="744">
        <f t="shared" ref="C23:AB23" si="44">+C24+C32+C33</f>
        <v>57071777.390000001</v>
      </c>
      <c r="D23" s="744">
        <f t="shared" si="44"/>
        <v>58072298.646159001</v>
      </c>
      <c r="E23" s="744">
        <f t="shared" si="44"/>
        <v>14124108.5</v>
      </c>
      <c r="F23" s="744">
        <f t="shared" si="44"/>
        <v>14154634</v>
      </c>
      <c r="G23" s="744">
        <f t="shared" si="44"/>
        <v>14054453</v>
      </c>
      <c r="H23" s="744">
        <f t="shared" si="44"/>
        <v>15170894.300000001</v>
      </c>
      <c r="I23" s="744">
        <f t="shared" si="44"/>
        <v>15819995</v>
      </c>
      <c r="J23" s="744">
        <f t="shared" si="44"/>
        <v>17115820</v>
      </c>
      <c r="K23" s="744">
        <f t="shared" si="44"/>
        <v>19035463.077999998</v>
      </c>
      <c r="L23" s="744">
        <f t="shared" si="44"/>
        <v>19712858.656711083</v>
      </c>
      <c r="M23" s="744">
        <f t="shared" si="44"/>
        <v>21367340.400000002</v>
      </c>
      <c r="N23" s="744">
        <f t="shared" si="44"/>
        <v>21367340.400000002</v>
      </c>
      <c r="O23" s="744">
        <f t="shared" si="44"/>
        <v>84401359.978</v>
      </c>
      <c r="P23" s="744">
        <f t="shared" si="44"/>
        <v>87521547.35671109</v>
      </c>
      <c r="Q23" s="744">
        <f t="shared" si="44"/>
        <v>22059476.072368391</v>
      </c>
      <c r="R23" s="744">
        <f t="shared" si="44"/>
        <v>22059476.072368391</v>
      </c>
      <c r="S23" s="744">
        <f t="shared" si="44"/>
        <v>22223556.558125265</v>
      </c>
      <c r="T23" s="744">
        <f t="shared" si="44"/>
        <v>22223556.558125265</v>
      </c>
      <c r="U23" s="744">
        <f t="shared" si="44"/>
        <v>25650357.934713151</v>
      </c>
      <c r="V23" s="744">
        <f t="shared" ref="V23" si="45">+V24+V32+V33</f>
        <v>25650357.934713151</v>
      </c>
      <c r="W23" s="744">
        <f t="shared" si="44"/>
        <v>27023131.244954884</v>
      </c>
      <c r="X23" s="744">
        <f t="shared" ref="X23" si="46">+X24+X32+X33</f>
        <v>27023131.244954884</v>
      </c>
      <c r="Y23" s="744">
        <f t="shared" si="44"/>
        <v>28666232.257332325</v>
      </c>
      <c r="Z23" s="744">
        <f t="shared" ref="Z23" si="47">+Z24+Z32+Z33</f>
        <v>28666232.257332325</v>
      </c>
      <c r="AA23" s="758">
        <f t="shared" si="44"/>
        <v>125622754.06749399</v>
      </c>
      <c r="AB23" s="758">
        <f t="shared" si="44"/>
        <v>125622754.06749399</v>
      </c>
      <c r="AC23" s="832">
        <f t="shared" ref="AC23" si="48">AB23/P23-100%</f>
        <v>0.43533515872947293</v>
      </c>
      <c r="AD23" s="836">
        <f t="shared" ref="AD23" si="49">+AB23/D23-100%</f>
        <v>1.1632130464290289</v>
      </c>
      <c r="AE23" s="836">
        <f t="shared" ref="AE23" si="50">P23/D23-100%</f>
        <v>0.50711353600775566</v>
      </c>
    </row>
    <row r="24" spans="1:31" s="4" customFormat="1">
      <c r="A24" s="742" t="s">
        <v>3</v>
      </c>
      <c r="B24" s="730" t="s">
        <v>142</v>
      </c>
      <c r="C24" s="161">
        <f t="shared" ref="C24:AB24" si="51">SUM(C25:C31)</f>
        <v>50810509.390000001</v>
      </c>
      <c r="D24" s="161">
        <f t="shared" si="51"/>
        <v>52568366.646159001</v>
      </c>
      <c r="E24" s="161">
        <f t="shared" si="51"/>
        <v>12692114.5</v>
      </c>
      <c r="F24" s="161">
        <f t="shared" si="51"/>
        <v>12750451.5</v>
      </c>
      <c r="G24" s="161">
        <f t="shared" si="51"/>
        <v>12792680</v>
      </c>
      <c r="H24" s="161">
        <f t="shared" si="51"/>
        <v>13539327.4</v>
      </c>
      <c r="I24" s="161">
        <f t="shared" si="51"/>
        <v>13191488</v>
      </c>
      <c r="J24" s="161">
        <f t="shared" si="51"/>
        <v>14324511.103970001</v>
      </c>
      <c r="K24" s="161">
        <f t="shared" si="51"/>
        <v>17046487.077999998</v>
      </c>
      <c r="L24" s="161">
        <f t="shared" si="51"/>
        <v>17585323.656711083</v>
      </c>
      <c r="M24" s="161">
        <f t="shared" si="51"/>
        <v>18330348.400000002</v>
      </c>
      <c r="N24" s="161">
        <f t="shared" si="51"/>
        <v>18330348.400000002</v>
      </c>
      <c r="O24" s="161">
        <f t="shared" si="51"/>
        <v>74053117.978</v>
      </c>
      <c r="P24" s="161">
        <f t="shared" si="51"/>
        <v>76529962.06068109</v>
      </c>
      <c r="Q24" s="161">
        <f t="shared" si="51"/>
        <v>18383427.27236839</v>
      </c>
      <c r="R24" s="161">
        <f t="shared" si="51"/>
        <v>18383427.27236839</v>
      </c>
      <c r="S24" s="161">
        <f t="shared" si="51"/>
        <v>18547507.758125264</v>
      </c>
      <c r="T24" s="161">
        <f t="shared" ref="T24" si="52">SUM(T25:T31)</f>
        <v>18547507.758125264</v>
      </c>
      <c r="U24" s="161">
        <f t="shared" si="51"/>
        <v>21595043.134713151</v>
      </c>
      <c r="V24" s="161">
        <f t="shared" ref="V24" si="53">SUM(V25:V31)</f>
        <v>21595043.134713151</v>
      </c>
      <c r="W24" s="161">
        <f t="shared" si="51"/>
        <v>23347082.444954883</v>
      </c>
      <c r="X24" s="161">
        <f t="shared" ref="X24" si="54">SUM(X25:X31)</f>
        <v>23347082.444954883</v>
      </c>
      <c r="Y24" s="161">
        <f t="shared" si="51"/>
        <v>24990183.457332324</v>
      </c>
      <c r="Z24" s="161">
        <f t="shared" ref="Z24" si="55">SUM(Z25:Z31)</f>
        <v>24990183.457332324</v>
      </c>
      <c r="AA24" s="142">
        <f t="shared" si="51"/>
        <v>106863244.06749399</v>
      </c>
      <c r="AB24" s="142">
        <f t="shared" si="51"/>
        <v>106863244.06749399</v>
      </c>
      <c r="AC24" s="831">
        <f>AB24/P24-100%</f>
        <v>0.39635825224585175</v>
      </c>
      <c r="AD24" s="835">
        <f>+AB24/D24-100%</f>
        <v>1.0328431504596147</v>
      </c>
      <c r="AE24" s="835">
        <f t="shared" ref="AE24" si="56">P24/D24-100%</f>
        <v>0.45581776538367835</v>
      </c>
    </row>
    <row r="25" spans="1:31">
      <c r="A25" s="745">
        <v>1</v>
      </c>
      <c r="B25" s="733" t="s">
        <v>208</v>
      </c>
      <c r="C25" s="160">
        <f>+'Biểu số 2'!AQ11</f>
        <v>13397465</v>
      </c>
      <c r="D25" s="160">
        <f>+'Biểu số 2'!AR11</f>
        <v>14824731</v>
      </c>
      <c r="E25" s="160">
        <f>+'Biểu số 2'!AU11</f>
        <v>3381485</v>
      </c>
      <c r="F25" s="160">
        <f>+'Biểu số 2'!AV11</f>
        <v>3134349</v>
      </c>
      <c r="G25" s="160">
        <f>+'Biểu số 2'!AW11</f>
        <v>3374957</v>
      </c>
      <c r="H25" s="160">
        <f>+'Biểu số 2'!AX11</f>
        <v>4352807.0999999996</v>
      </c>
      <c r="I25" s="160">
        <f>+'Biểu số 2'!AY11</f>
        <v>3561000</v>
      </c>
      <c r="J25" s="160">
        <f>+'Biểu số 2'!AZ11</f>
        <v>4638187.1039700005</v>
      </c>
      <c r="K25" s="160">
        <f>+'Biểu số 2'!BA11</f>
        <v>5331240.5709698759</v>
      </c>
      <c r="L25" s="160">
        <f>+'Biểu số 2'!BB11</f>
        <v>5531240.1620000005</v>
      </c>
      <c r="M25" s="160">
        <f>+'Biểu số 2'!BC11</f>
        <v>4666890</v>
      </c>
      <c r="N25" s="160">
        <f>+'Biểu số 2'!BD11</f>
        <v>4666890</v>
      </c>
      <c r="O25" s="160">
        <f t="shared" ref="O25" si="57">+E25+G25+I25+K25+M25</f>
        <v>20315572.570969876</v>
      </c>
      <c r="P25" s="160">
        <f t="shared" ref="P25" si="58">+F25+H25+J25+L25+N25</f>
        <v>22323473.365970001</v>
      </c>
      <c r="Q25" s="160">
        <f>+'Biểu số 2'!BI11</f>
        <v>4892210.8713205801</v>
      </c>
      <c r="R25" s="160">
        <f>+'Biểu số 2'!BJ11</f>
        <v>4892210.8713205801</v>
      </c>
      <c r="S25" s="160">
        <f>+'Biểu số 2'!BK11</f>
        <v>4823362.7382765934</v>
      </c>
      <c r="T25" s="160">
        <f>+'Biểu số 2'!BL11</f>
        <v>4823362.7382765934</v>
      </c>
      <c r="U25" s="160">
        <f>+'Biểu số 2'!BM11</f>
        <v>6043442.1840729155</v>
      </c>
      <c r="V25" s="160">
        <f>+'Biểu số 2'!BN11</f>
        <v>6043442.1840729155</v>
      </c>
      <c r="W25" s="160">
        <f>+'Biểu số 2'!BO11</f>
        <v>6475781.9322816804</v>
      </c>
      <c r="X25" s="160">
        <f>+'Biểu số 2'!BP11</f>
        <v>6475781.9322816804</v>
      </c>
      <c r="Y25" s="160">
        <f>+'Biểu số 2'!BQ11</f>
        <v>6943653.6306009274</v>
      </c>
      <c r="Z25" s="160">
        <f>+'Biểu số 2'!BR11</f>
        <v>6943653.6306009274</v>
      </c>
      <c r="AA25" s="157">
        <f t="shared" ref="AA25" si="59">+Q25+S25+U25+W25+Y25</f>
        <v>29178451.356552698</v>
      </c>
      <c r="AB25" s="157">
        <f t="shared" ref="AB25" si="60">+R25+T25+V25+X25+Z25</f>
        <v>29178451.356552698</v>
      </c>
      <c r="AC25" s="833">
        <f>AB25/P25-100%</f>
        <v>0.30707488383203185</v>
      </c>
      <c r="AD25" s="837">
        <f t="shared" ref="AD25" si="61">+AB25/D25-100%</f>
        <v>0.96822804788516548</v>
      </c>
      <c r="AE25" s="837">
        <f t="shared" ref="AE25" si="62">P25/D25-100%</f>
        <v>0.50582653850312709</v>
      </c>
    </row>
    <row r="26" spans="1:31">
      <c r="A26" s="745">
        <v>2</v>
      </c>
      <c r="B26" s="733" t="s">
        <v>209</v>
      </c>
      <c r="C26" s="160">
        <f>+'Biểu số 2'!AQ17</f>
        <v>35743260.390000001</v>
      </c>
      <c r="D26" s="160">
        <f>+'Biểu số 2'!AR17</f>
        <v>37733558.646159001</v>
      </c>
      <c r="E26" s="160">
        <f>+'Biểu số 2'!AU17</f>
        <v>8465821</v>
      </c>
      <c r="F26" s="160">
        <f>+'Biểu số 2'!AV17</f>
        <v>9613279.5</v>
      </c>
      <c r="G26" s="160">
        <f>+'Biểu số 2'!AW17</f>
        <v>9140657</v>
      </c>
      <c r="H26" s="160">
        <f>+'Biểu số 2'!AX17</f>
        <v>9182745.3000000007</v>
      </c>
      <c r="I26" s="160">
        <f>+'Biểu số 2'!AY17</f>
        <v>9353865</v>
      </c>
      <c r="J26" s="160">
        <f>+'Biểu số 2'!AZ17</f>
        <v>9681886</v>
      </c>
      <c r="K26" s="160">
        <f>+'Biểu số 2'!BA17</f>
        <v>10664978.394711081</v>
      </c>
      <c r="L26" s="160">
        <f>+'Biểu số 2'!BB17</f>
        <v>11721214.294711081</v>
      </c>
      <c r="M26" s="160">
        <f>+'Biểu số 2'!BC17</f>
        <v>12761657.450000003</v>
      </c>
      <c r="N26" s="160">
        <f>+'Biểu số 2'!BD17</f>
        <v>12761657.450000003</v>
      </c>
      <c r="O26" s="160">
        <f t="shared" ref="O26:O31" si="63">+E26+G26+I26+K26+M26</f>
        <v>50386978.84471108</v>
      </c>
      <c r="P26" s="160">
        <f t="shared" ref="P26:P31" si="64">+F26+H26+J26+L26+N26</f>
        <v>52960782.544711083</v>
      </c>
      <c r="Q26" s="160">
        <f>+'Biểu số 2'!BI17</f>
        <v>13129841.369368901</v>
      </c>
      <c r="R26" s="160">
        <f>+'Biểu số 2'!BJ17</f>
        <v>13129841.369368901</v>
      </c>
      <c r="S26" s="160">
        <f>+'Biểu số 2'!BK17</f>
        <v>13356293.919538178</v>
      </c>
      <c r="T26" s="160">
        <f>+'Biểu số 2'!BL17</f>
        <v>13356293.919538178</v>
      </c>
      <c r="U26" s="160">
        <f>+'Biểu số 2'!BM17</f>
        <v>14069288.623793686</v>
      </c>
      <c r="V26" s="160">
        <f>+'Biểu số 2'!BN17</f>
        <v>14069288.623793686</v>
      </c>
      <c r="W26" s="160">
        <f>+'Biểu số 2'!BO17</f>
        <v>14880445.409413649</v>
      </c>
      <c r="X26" s="160">
        <f>+'Biểu số 2'!BP17</f>
        <v>14880445.409413649</v>
      </c>
      <c r="Y26" s="160">
        <f>+'Biểu số 2'!BQ17</f>
        <v>15572571.362742566</v>
      </c>
      <c r="Z26" s="160">
        <f>+'Biểu số 2'!BR17</f>
        <v>15572571.362742566</v>
      </c>
      <c r="AA26" s="157">
        <f t="shared" ref="AA26:AA33" si="65">+Q26+S26+U26+W26+Y26</f>
        <v>71008440.684856981</v>
      </c>
      <c r="AB26" s="157">
        <f t="shared" ref="AB26:AB33" si="66">+R26+T26+V26+X26+Z26</f>
        <v>71008440.684856981</v>
      </c>
      <c r="AC26" s="833">
        <f t="shared" ref="AC26:AC33" si="67">AB26/P26-100%</f>
        <v>0.34077400810513936</v>
      </c>
      <c r="AD26" s="837">
        <f t="shared" ref="AD26:AD33" si="68">+AB26/D26-100%</f>
        <v>0.8818378979498962</v>
      </c>
      <c r="AE26" s="837">
        <f t="shared" ref="AE26:AE33" si="69">P26/D26-100%</f>
        <v>0.40354592688548618</v>
      </c>
    </row>
    <row r="27" spans="1:31">
      <c r="A27" s="745">
        <v>3</v>
      </c>
      <c r="B27" s="733" t="s">
        <v>838</v>
      </c>
      <c r="C27" s="160">
        <f>+'Biểu số 2'!AQ32</f>
        <v>10000</v>
      </c>
      <c r="D27" s="160">
        <f>+'Biểu số 2'!AR32</f>
        <v>10000</v>
      </c>
      <c r="E27" s="160">
        <f>+'Biểu số 2'!AU32</f>
        <v>2000</v>
      </c>
      <c r="F27" s="160">
        <f>+'Biểu số 2'!AV32</f>
        <v>2000</v>
      </c>
      <c r="G27" s="160">
        <f>+'Biểu số 2'!AW32</f>
        <v>2000</v>
      </c>
      <c r="H27" s="160">
        <f>+'Biểu số 2'!AX32</f>
        <v>2000</v>
      </c>
      <c r="I27" s="160">
        <f>+'Biểu số 2'!AY32</f>
        <v>2000</v>
      </c>
      <c r="J27" s="160">
        <f>+'Biểu số 2'!AZ32</f>
        <v>2000</v>
      </c>
      <c r="K27" s="160">
        <f>+'Biểu số 2'!BA32</f>
        <v>2000</v>
      </c>
      <c r="L27" s="160">
        <f>+'Biểu số 2'!BB32</f>
        <v>2000</v>
      </c>
      <c r="M27" s="160">
        <f>+'Biểu số 2'!BC32</f>
        <v>2000</v>
      </c>
      <c r="N27" s="160">
        <f>+'Biểu số 2'!BD32</f>
        <v>2000</v>
      </c>
      <c r="O27" s="160">
        <f t="shared" si="63"/>
        <v>10000</v>
      </c>
      <c r="P27" s="160">
        <f t="shared" si="64"/>
        <v>10000</v>
      </c>
      <c r="Q27" s="160">
        <f>+'Biểu số 2'!BI32</f>
        <v>2000</v>
      </c>
      <c r="R27" s="160">
        <f>+'Biểu số 2'!BJ32</f>
        <v>2000</v>
      </c>
      <c r="S27" s="160">
        <f>+'Biểu số 2'!BK32</f>
        <v>2000</v>
      </c>
      <c r="T27" s="160">
        <f>+'Biểu số 2'!BL32</f>
        <v>2000</v>
      </c>
      <c r="U27" s="160">
        <f>+'Biểu số 2'!BM32</f>
        <v>2000</v>
      </c>
      <c r="V27" s="160">
        <f>+'Biểu số 2'!BN32</f>
        <v>2000</v>
      </c>
      <c r="W27" s="160">
        <f>+'Biểu số 2'!BO32</f>
        <v>2000</v>
      </c>
      <c r="X27" s="160">
        <f>+'Biểu số 2'!BP32</f>
        <v>2000</v>
      </c>
      <c r="Y27" s="160">
        <f>+'Biểu số 2'!BQ32</f>
        <v>2000</v>
      </c>
      <c r="Z27" s="160">
        <f>+'Biểu số 2'!BR32</f>
        <v>2000</v>
      </c>
      <c r="AA27" s="157">
        <f t="shared" si="65"/>
        <v>10000</v>
      </c>
      <c r="AB27" s="157">
        <f t="shared" si="66"/>
        <v>10000</v>
      </c>
      <c r="AC27" s="833">
        <f t="shared" si="67"/>
        <v>0</v>
      </c>
      <c r="AD27" s="837">
        <f t="shared" si="68"/>
        <v>0</v>
      </c>
      <c r="AE27" s="837">
        <f t="shared" si="69"/>
        <v>0</v>
      </c>
    </row>
    <row r="28" spans="1:31">
      <c r="A28" s="745">
        <v>4</v>
      </c>
      <c r="B28" s="733" t="s">
        <v>175</v>
      </c>
      <c r="C28" s="160">
        <f>+'Biểu số 2'!AQ33</f>
        <v>991481</v>
      </c>
      <c r="D28" s="160">
        <f>+'Biểu số 2'!AR33</f>
        <v>0</v>
      </c>
      <c r="E28" s="160">
        <f>+'Biểu số 2'!AU33</f>
        <v>233959.5</v>
      </c>
      <c r="F28" s="155"/>
      <c r="G28" s="160">
        <f>+'Biểu số 2'!AW33</f>
        <v>273066</v>
      </c>
      <c r="H28" s="155"/>
      <c r="I28" s="160">
        <f>+'Biểu số 2'!AY33</f>
        <v>274623</v>
      </c>
      <c r="J28" s="155"/>
      <c r="K28" s="160">
        <f>+'Biểu số 2'!BA33</f>
        <v>327868.91231904214</v>
      </c>
      <c r="L28" s="160">
        <f>+'Biểu số 2'!BB33</f>
        <v>327868.79999999999</v>
      </c>
      <c r="M28" s="160">
        <f>+'Biểu số 2'!BC33</f>
        <v>376400.94999999995</v>
      </c>
      <c r="N28" s="160">
        <f>+'Biểu số 2'!BD33</f>
        <v>376400.94999999995</v>
      </c>
      <c r="O28" s="160">
        <f t="shared" si="63"/>
        <v>1485918.3623190422</v>
      </c>
      <c r="P28" s="160">
        <f t="shared" si="64"/>
        <v>704269.75</v>
      </c>
      <c r="Q28" s="160">
        <f>+'Biểu số 2'!BI33</f>
        <v>356375.03167890699</v>
      </c>
      <c r="R28" s="160">
        <f>+'Biểu số 2'!BJ33</f>
        <v>356375.03167890699</v>
      </c>
      <c r="S28" s="160">
        <f>+'Biểu số 2'!BK33</f>
        <v>362851.10031049303</v>
      </c>
      <c r="T28" s="160">
        <f>+'Biểu số 2'!BL33</f>
        <v>362851.10031049303</v>
      </c>
      <c r="U28" s="160">
        <f>+'Biểu số 2'!BM33</f>
        <v>388554.57695830194</v>
      </c>
      <c r="V28" s="160">
        <f>+'Biểu số 2'!BN33</f>
        <v>388554.57695830194</v>
      </c>
      <c r="W28" s="160">
        <f>+'Biểu số 2'!BO33</f>
        <v>413799.67800673621</v>
      </c>
      <c r="X28" s="160">
        <f>+'Biểu số 2'!BP33</f>
        <v>413799.67800673621</v>
      </c>
      <c r="Y28" s="160">
        <f>+'Biểu số 2'!BQ33</f>
        <v>455829.86689569859</v>
      </c>
      <c r="Z28" s="160">
        <f>+'Biểu số 2'!BR33</f>
        <v>455829.86689569859</v>
      </c>
      <c r="AA28" s="157">
        <f t="shared" si="65"/>
        <v>1977410.2538501364</v>
      </c>
      <c r="AB28" s="157">
        <f t="shared" si="66"/>
        <v>1977410.2538501364</v>
      </c>
      <c r="AC28" s="833">
        <f t="shared" si="67"/>
        <v>1.8077455461492367</v>
      </c>
      <c r="AD28" s="838" t="e">
        <f>+AB28/D28-100%</f>
        <v>#DIV/0!</v>
      </c>
      <c r="AE28" s="839" t="e">
        <f t="shared" si="69"/>
        <v>#DIV/0!</v>
      </c>
    </row>
    <row r="29" spans="1:31">
      <c r="A29" s="745">
        <v>6</v>
      </c>
      <c r="B29" s="733" t="s">
        <v>176</v>
      </c>
      <c r="C29" s="160">
        <f>+'Biểu số 2'!AQ34</f>
        <v>666903</v>
      </c>
      <c r="D29" s="160">
        <f>+'Biểu số 2'!AR34</f>
        <v>0</v>
      </c>
      <c r="E29" s="160">
        <f>+'Biểu số 2'!AU34</f>
        <v>606749</v>
      </c>
      <c r="F29" s="155"/>
      <c r="G29" s="155"/>
      <c r="H29" s="155"/>
      <c r="I29" s="160">
        <f>+'Biểu số 2'!AY34</f>
        <v>0</v>
      </c>
      <c r="J29" s="160">
        <f>+'Biểu số 2'!AZ34</f>
        <v>0</v>
      </c>
      <c r="K29" s="160">
        <f>+'Biểu số 2'!BA34</f>
        <v>717399.2</v>
      </c>
      <c r="L29" s="160">
        <f>+'Biểu số 2'!BB34</f>
        <v>0.40000000001455194</v>
      </c>
      <c r="M29" s="160">
        <f>+'Biểu số 2'!BC34</f>
        <v>519900</v>
      </c>
      <c r="N29" s="160">
        <f>+'Biểu số 2'!BD34</f>
        <v>519900</v>
      </c>
      <c r="O29" s="160">
        <f t="shared" si="63"/>
        <v>1844048.2</v>
      </c>
      <c r="P29" s="160">
        <f t="shared" si="64"/>
        <v>519900.4</v>
      </c>
      <c r="Q29" s="160">
        <f>+'Biểu số 2'!BI34</f>
        <v>0</v>
      </c>
      <c r="R29" s="160">
        <f>+'Biểu số 2'!BJ34</f>
        <v>0</v>
      </c>
      <c r="S29" s="160">
        <f>+'Biểu số 2'!BK34</f>
        <v>0</v>
      </c>
      <c r="T29" s="160">
        <f>+'Biểu số 2'!BL34</f>
        <v>0</v>
      </c>
      <c r="U29" s="160">
        <f>+'Biểu số 2'!BM34</f>
        <v>1088757.7498882432</v>
      </c>
      <c r="V29" s="160">
        <f>+'Biểu số 2'!BN34</f>
        <v>1088757.7498882432</v>
      </c>
      <c r="W29" s="160">
        <f>+'Biểu số 2'!BO34</f>
        <v>1572055.4252528162</v>
      </c>
      <c r="X29" s="160">
        <f>+'Biểu số 2'!BP34</f>
        <v>1572055.4252528162</v>
      </c>
      <c r="Y29" s="160">
        <f>+'Biểu số 2'!BQ34</f>
        <v>2013128.5970931321</v>
      </c>
      <c r="Z29" s="160">
        <f>+'Biểu số 2'!BR34</f>
        <v>2013128.5970931321</v>
      </c>
      <c r="AA29" s="157">
        <f t="shared" si="65"/>
        <v>4673941.7722341912</v>
      </c>
      <c r="AB29" s="157">
        <f t="shared" si="66"/>
        <v>4673941.7722341912</v>
      </c>
      <c r="AC29" s="833">
        <f t="shared" si="67"/>
        <v>7.9900715064542958</v>
      </c>
      <c r="AD29" s="839" t="e">
        <f t="shared" si="68"/>
        <v>#DIV/0!</v>
      </c>
      <c r="AE29" s="839" t="e">
        <f t="shared" si="69"/>
        <v>#DIV/0!</v>
      </c>
    </row>
    <row r="30" spans="1:31">
      <c r="A30" s="745">
        <v>7</v>
      </c>
      <c r="B30" s="733" t="s">
        <v>839</v>
      </c>
      <c r="C30" s="155"/>
      <c r="D30" s="155"/>
      <c r="E30" s="160"/>
      <c r="F30" s="155"/>
      <c r="G30" s="155"/>
      <c r="H30" s="155"/>
      <c r="I30" s="155">
        <v>0</v>
      </c>
      <c r="J30" s="155"/>
      <c r="K30" s="155"/>
      <c r="L30" s="155"/>
      <c r="M30" s="155"/>
      <c r="N30" s="155"/>
      <c r="O30" s="160">
        <f t="shared" si="63"/>
        <v>0</v>
      </c>
      <c r="P30" s="160">
        <f t="shared" si="64"/>
        <v>0</v>
      </c>
      <c r="Q30" s="155"/>
      <c r="R30" s="155"/>
      <c r="S30" s="155"/>
      <c r="T30" s="155"/>
      <c r="U30" s="155"/>
      <c r="V30" s="155"/>
      <c r="W30" s="155"/>
      <c r="X30" s="155"/>
      <c r="Y30" s="155"/>
      <c r="Z30" s="155"/>
      <c r="AA30" s="157">
        <f t="shared" si="65"/>
        <v>0</v>
      </c>
      <c r="AB30" s="157">
        <f t="shared" si="66"/>
        <v>0</v>
      </c>
      <c r="AC30" s="840" t="e">
        <f t="shared" si="67"/>
        <v>#DIV/0!</v>
      </c>
      <c r="AD30" s="839" t="e">
        <f t="shared" si="68"/>
        <v>#DIV/0!</v>
      </c>
      <c r="AE30" s="839" t="e">
        <f t="shared" si="69"/>
        <v>#DIV/0!</v>
      </c>
    </row>
    <row r="31" spans="1:31">
      <c r="A31" s="745">
        <v>8</v>
      </c>
      <c r="B31" s="733" t="s">
        <v>840</v>
      </c>
      <c r="C31" s="160">
        <f>+'Biểu số 2'!AQ31</f>
        <v>1400</v>
      </c>
      <c r="D31" s="160">
        <f>+'Biểu số 2'!AR31</f>
        <v>77</v>
      </c>
      <c r="E31" s="160">
        <f>+'Biểu số 2'!AU31</f>
        <v>2100</v>
      </c>
      <c r="F31" s="160">
        <f>+'Biểu số 2'!AV31</f>
        <v>823</v>
      </c>
      <c r="G31" s="160">
        <f>+'Biểu số 2'!AW31</f>
        <v>2000</v>
      </c>
      <c r="H31" s="160">
        <f>+'Biểu số 2'!AX31</f>
        <v>1775</v>
      </c>
      <c r="I31" s="160">
        <f>+'Biểu số 2'!AY31</f>
        <v>0</v>
      </c>
      <c r="J31" s="160">
        <f>+'Biểu số 2'!AZ31</f>
        <v>2438</v>
      </c>
      <c r="K31" s="160">
        <f>+'Biểu số 2'!BA31</f>
        <v>3000</v>
      </c>
      <c r="L31" s="160">
        <f>+'Biểu số 2'!BB31</f>
        <v>3000</v>
      </c>
      <c r="M31" s="160">
        <f>+'Biểu số 2'!BC31</f>
        <v>3500</v>
      </c>
      <c r="N31" s="160">
        <f>+'Biểu số 2'!BD31</f>
        <v>3500</v>
      </c>
      <c r="O31" s="160">
        <f t="shared" si="63"/>
        <v>10600</v>
      </c>
      <c r="P31" s="160">
        <f t="shared" si="64"/>
        <v>11536</v>
      </c>
      <c r="Q31" s="160">
        <f>+'Biểu số 2'!BI31</f>
        <v>3000</v>
      </c>
      <c r="R31" s="160">
        <f>+'Biểu số 2'!BJ31</f>
        <v>3000</v>
      </c>
      <c r="S31" s="160">
        <f>+'Biểu số 2'!BK31</f>
        <v>3000</v>
      </c>
      <c r="T31" s="160">
        <f>+'Biểu số 2'!BL31</f>
        <v>3000</v>
      </c>
      <c r="U31" s="160">
        <f>+'Biểu số 2'!BM31</f>
        <v>3000</v>
      </c>
      <c r="V31" s="160">
        <f>+'Biểu số 2'!BN31</f>
        <v>3000</v>
      </c>
      <c r="W31" s="160">
        <f>+'Biểu số 2'!BO31</f>
        <v>3000</v>
      </c>
      <c r="X31" s="160">
        <f>+'Biểu số 2'!BP31</f>
        <v>3000</v>
      </c>
      <c r="Y31" s="160">
        <f>+'Biểu số 2'!BQ31</f>
        <v>3000</v>
      </c>
      <c r="Z31" s="160">
        <f>+'Biểu số 2'!BR31</f>
        <v>3000</v>
      </c>
      <c r="AA31" s="157">
        <f t="shared" si="65"/>
        <v>15000</v>
      </c>
      <c r="AB31" s="157">
        <f t="shared" si="66"/>
        <v>15000</v>
      </c>
      <c r="AC31" s="833">
        <f t="shared" si="67"/>
        <v>0.30027739251040231</v>
      </c>
      <c r="AD31" s="837">
        <f t="shared" si="68"/>
        <v>193.80519480519482</v>
      </c>
      <c r="AE31" s="837">
        <f t="shared" si="69"/>
        <v>148.81818181818181</v>
      </c>
    </row>
    <row r="32" spans="1:31" s="4" customFormat="1">
      <c r="A32" s="742" t="s">
        <v>33</v>
      </c>
      <c r="B32" s="736" t="s">
        <v>841</v>
      </c>
      <c r="C32" s="161">
        <f>+'Biểu số 2'!AQ35</f>
        <v>6215368</v>
      </c>
      <c r="D32" s="161">
        <f>+'Biểu số 2'!AR35</f>
        <v>5133456</v>
      </c>
      <c r="E32" s="161">
        <f>+'Biểu số 2'!AU35</f>
        <v>1370794</v>
      </c>
      <c r="F32" s="161">
        <f>+'Biểu số 2'!AV35</f>
        <v>1325729.5</v>
      </c>
      <c r="G32" s="161">
        <f>+'Biểu số 2'!AW35</f>
        <v>1213473</v>
      </c>
      <c r="H32" s="161">
        <f>+'Biểu số 2'!AX35</f>
        <v>1553000.9</v>
      </c>
      <c r="I32" s="161">
        <f>+'Biểu số 2'!AY35</f>
        <v>2597007</v>
      </c>
      <c r="J32" s="161">
        <f>+'Biểu số 2'!AZ35</f>
        <v>2731686.8960299999</v>
      </c>
      <c r="K32" s="161">
        <f>+'Biểu số 2'!BA35</f>
        <v>1988976</v>
      </c>
      <c r="L32" s="161">
        <f>+'Biểu số 2'!BB35</f>
        <v>2127535</v>
      </c>
      <c r="M32" s="161">
        <f>+'Biểu số 2'!BC35</f>
        <v>3036992</v>
      </c>
      <c r="N32" s="161">
        <f>+'Biểu số 2'!BD35</f>
        <v>3036992</v>
      </c>
      <c r="O32" s="161">
        <f t="shared" ref="O32" si="70">+E32+G32+I32+K32+M32</f>
        <v>10207242</v>
      </c>
      <c r="P32" s="161">
        <f t="shared" ref="P32" si="71">+F32+H32+J32+L32+N32</f>
        <v>10774944.29603</v>
      </c>
      <c r="Q32" s="161">
        <f>+'Biểu số 2'!BI35</f>
        <v>3676048.8</v>
      </c>
      <c r="R32" s="161">
        <f>+'Biểu số 2'!BJ35</f>
        <v>3676048.8</v>
      </c>
      <c r="S32" s="161">
        <f>+'Biểu số 2'!BK35</f>
        <v>3676048.8</v>
      </c>
      <c r="T32" s="161">
        <f>+'Biểu số 2'!BL35</f>
        <v>3676048.8</v>
      </c>
      <c r="U32" s="161">
        <f>+'Biểu số 2'!BM35</f>
        <v>3676048.8</v>
      </c>
      <c r="V32" s="161">
        <f>+'Biểu số 2'!BN35</f>
        <v>3676048.8</v>
      </c>
      <c r="W32" s="161">
        <f>+'Biểu số 2'!BO35</f>
        <v>3676048.8</v>
      </c>
      <c r="X32" s="161">
        <f>+'Biểu số 2'!BP35</f>
        <v>3676048.8</v>
      </c>
      <c r="Y32" s="161">
        <f>+'Biểu số 2'!BQ35</f>
        <v>3676048.8</v>
      </c>
      <c r="Z32" s="161">
        <f>+'Biểu số 2'!BR35</f>
        <v>3676048.8</v>
      </c>
      <c r="AA32" s="142">
        <f t="shared" si="65"/>
        <v>18380244</v>
      </c>
      <c r="AB32" s="142">
        <f t="shared" si="66"/>
        <v>18380244</v>
      </c>
      <c r="AC32" s="831">
        <f t="shared" si="67"/>
        <v>0.70583192775967785</v>
      </c>
      <c r="AD32" s="835">
        <f t="shared" si="68"/>
        <v>2.5804814534302039</v>
      </c>
      <c r="AE32" s="835">
        <f t="shared" si="69"/>
        <v>1.0989649655183564</v>
      </c>
    </row>
    <row r="33" spans="1:31" s="4" customFormat="1">
      <c r="A33" s="749" t="s">
        <v>182</v>
      </c>
      <c r="B33" s="750" t="s">
        <v>181</v>
      </c>
      <c r="C33" s="183">
        <f>+'Biểu số 2'!AQ45</f>
        <v>45900</v>
      </c>
      <c r="D33" s="183">
        <f>+'Biểu số 2'!AR45</f>
        <v>370476</v>
      </c>
      <c r="E33" s="183">
        <f>+'Biểu số 2'!AU45</f>
        <v>61200</v>
      </c>
      <c r="F33" s="183">
        <f>+'Biểu số 2'!AV45</f>
        <v>78453</v>
      </c>
      <c r="G33" s="183">
        <f>+'Biểu số 2'!AW45</f>
        <v>48300</v>
      </c>
      <c r="H33" s="183">
        <f>+'Biểu số 2'!AX45</f>
        <v>78566</v>
      </c>
      <c r="I33" s="183">
        <f>+'Biểu số 2'!AY45</f>
        <v>31500</v>
      </c>
      <c r="J33" s="183">
        <f>+'Biểu số 2'!AZ45</f>
        <v>59622</v>
      </c>
      <c r="K33" s="183">
        <f>+'Biểu số 2'!BA45</f>
        <v>0</v>
      </c>
      <c r="L33" s="183">
        <f>+'Biểu số 2'!BB45</f>
        <v>0</v>
      </c>
      <c r="M33" s="183">
        <f>+'Biểu số 2'!BC45</f>
        <v>0</v>
      </c>
      <c r="N33" s="183">
        <f>+'Biểu số 2'!BD45</f>
        <v>0</v>
      </c>
      <c r="O33" s="183">
        <f t="shared" ref="O33" si="72">+E33+G33+I33+K33+M33</f>
        <v>141000</v>
      </c>
      <c r="P33" s="183">
        <f t="shared" ref="P33" si="73">+F33+H33+J33+L33+N33</f>
        <v>216641</v>
      </c>
      <c r="Q33" s="183">
        <f>+'Biểu số 2'!BI45</f>
        <v>0</v>
      </c>
      <c r="R33" s="183">
        <f>+'Biểu số 2'!BJ45</f>
        <v>0</v>
      </c>
      <c r="S33" s="183">
        <f>+'Biểu số 2'!BK45</f>
        <v>0</v>
      </c>
      <c r="T33" s="183">
        <f>+'Biểu số 2'!BL45</f>
        <v>0</v>
      </c>
      <c r="U33" s="183">
        <f>+'Biểu số 2'!BM44</f>
        <v>379266</v>
      </c>
      <c r="V33" s="183">
        <f>+'Biểu số 2'!BN44</f>
        <v>379266</v>
      </c>
      <c r="W33" s="183">
        <f>+'Biểu số 2'!BO45</f>
        <v>0</v>
      </c>
      <c r="X33" s="183">
        <f>+'Biểu số 2'!BP45</f>
        <v>0</v>
      </c>
      <c r="Y33" s="183">
        <f>+'Biểu số 2'!BQ45</f>
        <v>0</v>
      </c>
      <c r="Z33" s="183">
        <f>+'Biểu số 2'!BR45</f>
        <v>0</v>
      </c>
      <c r="AA33" s="184">
        <f t="shared" si="65"/>
        <v>379266</v>
      </c>
      <c r="AB33" s="184">
        <f t="shared" si="66"/>
        <v>379266</v>
      </c>
      <c r="AC33" s="846">
        <f t="shared" si="67"/>
        <v>0.7506658481081605</v>
      </c>
      <c r="AD33" s="847">
        <f t="shared" si="68"/>
        <v>2.372623327826906E-2</v>
      </c>
      <c r="AE33" s="847">
        <f t="shared" si="69"/>
        <v>-0.4152360746715037</v>
      </c>
    </row>
    <row r="34" spans="1:31">
      <c r="C34" s="6"/>
    </row>
    <row r="35" spans="1:31">
      <c r="C35" s="6">
        <f>+C12-C24</f>
        <v>-1147367.3900000006</v>
      </c>
      <c r="D35" s="6">
        <f>+D12-D24</f>
        <v>-156066.92841199785</v>
      </c>
      <c r="E35" s="6">
        <f>+E11-E23</f>
        <v>0.5</v>
      </c>
      <c r="F35" s="6">
        <f>+F11-F23</f>
        <v>-451863</v>
      </c>
      <c r="G35" s="6">
        <f t="shared" ref="G35:O35" si="74">+G11-G23</f>
        <v>0</v>
      </c>
      <c r="H35" s="6">
        <f t="shared" si="74"/>
        <v>-68628.300000000745</v>
      </c>
      <c r="I35" s="6">
        <f t="shared" si="74"/>
        <v>0</v>
      </c>
      <c r="J35" s="6">
        <f t="shared" si="74"/>
        <v>-523689</v>
      </c>
      <c r="K35" s="6">
        <f t="shared" si="74"/>
        <v>8.4000002592802048E-2</v>
      </c>
      <c r="L35" s="6">
        <f>+L11-L23</f>
        <v>-468652.62436343357</v>
      </c>
      <c r="M35" s="6">
        <f t="shared" si="74"/>
        <v>542055.62974510342</v>
      </c>
      <c r="N35" s="6">
        <f t="shared" si="74"/>
        <v>542055.62974510342</v>
      </c>
      <c r="O35" s="6">
        <f t="shared" si="74"/>
        <v>542056.21374511719</v>
      </c>
      <c r="P35" s="6">
        <f>+P11-P23</f>
        <v>-970777.29461833835</v>
      </c>
    </row>
    <row r="36" spans="1:31">
      <c r="C36" s="6"/>
      <c r="F36" s="6"/>
    </row>
    <row r="37" spans="1:31">
      <c r="E37" s="6">
        <f>+E12-E24</f>
        <v>0.5</v>
      </c>
      <c r="F37" s="6">
        <f>+F12-F24</f>
        <v>-464974.5</v>
      </c>
      <c r="H37" s="6">
        <f>+H12-H24</f>
        <v>309538.59999999963</v>
      </c>
      <c r="J37" s="6">
        <f>+J12-J24</f>
        <v>-347812.10397000052</v>
      </c>
      <c r="L37" s="6">
        <f>+L12-L24</f>
        <v>-330093.62436343357</v>
      </c>
      <c r="N37" s="6">
        <f>+N12-N24</f>
        <v>-97001.170254897326</v>
      </c>
      <c r="P37" s="6">
        <f>+P12-P24</f>
        <v>-930342.79858833551</v>
      </c>
      <c r="Q37" s="6">
        <f>+'Biểu số 2'!BI10</f>
        <v>18383427.27236839</v>
      </c>
    </row>
    <row r="38" spans="1:31">
      <c r="F38" s="754">
        <f>+F25/F24</f>
        <v>0.24582258910596225</v>
      </c>
      <c r="H38" s="754">
        <f>+H25/H24</f>
        <v>0.3214935994531013</v>
      </c>
      <c r="J38" s="754">
        <f>+J25/J24</f>
        <v>0.32379374558092522</v>
      </c>
      <c r="L38" s="754">
        <f>+L25/L24</f>
        <v>0.31453729655348794</v>
      </c>
      <c r="N38" s="754">
        <f>+N25/N24</f>
        <v>0.2545990887985522</v>
      </c>
      <c r="P38" s="754">
        <f>+P25/P24</f>
        <v>0.29169586348768312</v>
      </c>
      <c r="Q38" s="754">
        <f>+Q25/Q24</f>
        <v>0.26612071834254347</v>
      </c>
      <c r="R38" s="754">
        <f>+R25/R24</f>
        <v>0.26612071834254347</v>
      </c>
      <c r="T38" s="754">
        <f>+T25/T24</f>
        <v>0.26005449363748517</v>
      </c>
      <c r="V38" s="754">
        <f>+V25/V24</f>
        <v>0.27985321197892532</v>
      </c>
      <c r="X38" s="754">
        <f>+X25/X24</f>
        <v>0.27737007172307498</v>
      </c>
      <c r="Z38" s="754">
        <f>+Z25/Z24</f>
        <v>0.27785524834006781</v>
      </c>
      <c r="AB38" s="754">
        <f>+AB25/AB24</f>
        <v>0.27304478365006229</v>
      </c>
    </row>
    <row r="39" spans="1:31">
      <c r="F39" s="754">
        <f>+F26/F24</f>
        <v>0.75395600696963549</v>
      </c>
      <c r="H39" s="754">
        <f>+H26/H24</f>
        <v>0.6782275831515826</v>
      </c>
      <c r="J39" s="754">
        <f>+J26/J24</f>
        <v>0.67589643581739345</v>
      </c>
      <c r="L39" s="754">
        <f>+L26/L24</f>
        <v>0.66653389630607773</v>
      </c>
      <c r="N39" s="754">
        <f>+N26/N24</f>
        <v>0.69620375846211424</v>
      </c>
      <c r="P39" s="754">
        <f>+P26/P24</f>
        <v>0.69202677119737943</v>
      </c>
      <c r="Q39" s="754">
        <f>+Q26/Q24</f>
        <v>0.71422162879845563</v>
      </c>
      <c r="R39" s="754">
        <f>+R26/R24</f>
        <v>0.71422162879845563</v>
      </c>
      <c r="T39" s="754">
        <f>+T26/T24</f>
        <v>0.72011259376274273</v>
      </c>
      <c r="V39" s="754">
        <f>+V26/V24</f>
        <v>0.65150546521381469</v>
      </c>
      <c r="X39" s="754">
        <f>+X26/X24</f>
        <v>0.63735781310136219</v>
      </c>
      <c r="Z39" s="754">
        <f>+Z26/Z24</f>
        <v>0.62314754068655887</v>
      </c>
      <c r="AB39" s="754">
        <f>+AB26/AB24</f>
        <v>0.66447955332526309</v>
      </c>
    </row>
  </sheetData>
  <mergeCells count="20">
    <mergeCell ref="Q6:R6"/>
    <mergeCell ref="S6:T6"/>
    <mergeCell ref="U6:V6"/>
    <mergeCell ref="I6:J6"/>
    <mergeCell ref="C6:D6"/>
    <mergeCell ref="AC6:AC7"/>
    <mergeCell ref="AD6:AD7"/>
    <mergeCell ref="AE6:AE7"/>
    <mergeCell ref="W6:X6"/>
    <mergeCell ref="Y6:Z6"/>
    <mergeCell ref="AA6:AB6"/>
    <mergeCell ref="B6:B7"/>
    <mergeCell ref="A6:A7"/>
    <mergeCell ref="E6:F6"/>
    <mergeCell ref="G6:H6"/>
    <mergeCell ref="A2:P2"/>
    <mergeCell ref="A3:P3"/>
    <mergeCell ref="K6:L6"/>
    <mergeCell ref="M6:N6"/>
    <mergeCell ref="O6:P6"/>
  </mergeCells>
  <hyperlinks>
    <hyperlink ref="A6:A7" location="'Danh mục file'!A1" display="STT"/>
  </hyperlinks>
  <printOptions horizontalCentered="1"/>
  <pageMargins left="0" right="0" top="0.39370078740157483" bottom="0.19685039370078741" header="0" footer="0"/>
  <pageSetup paperSize="9" scale="60" orientation="landscape" r:id="rId1"/>
  <headerFooter>
    <oddHeader>&amp;R&amp;A</oddHeader>
    <oddFooter>&amp;R&amp;P/&amp;N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2:BZ109"/>
  <sheetViews>
    <sheetView topLeftCell="AJ1" zoomScale="90" zoomScaleNormal="90" workbookViewId="0">
      <selection activeCell="A3" sqref="A3:BH3"/>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56" t="s">
        <v>852</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c r="AS2" s="6056"/>
      <c r="AT2" s="6056"/>
      <c r="AU2" s="6056"/>
      <c r="AV2" s="6056"/>
      <c r="AW2" s="6056"/>
      <c r="AX2" s="6056"/>
      <c r="AY2" s="6056"/>
      <c r="AZ2" s="6056"/>
      <c r="BA2" s="6056"/>
      <c r="BB2" s="6056"/>
      <c r="BC2" s="6056"/>
      <c r="BD2" s="6056"/>
      <c r="BE2" s="6056"/>
      <c r="BF2" s="6056"/>
      <c r="BG2" s="6056"/>
      <c r="BH2" s="6056"/>
    </row>
    <row r="3" spans="1:78">
      <c r="A3" s="6056" t="s">
        <v>853</v>
      </c>
      <c r="B3" s="6056"/>
      <c r="C3" s="6056"/>
      <c r="D3" s="6056"/>
      <c r="E3" s="6056"/>
      <c r="F3" s="6056"/>
      <c r="G3" s="6056"/>
      <c r="H3" s="6056"/>
      <c r="I3" s="6056"/>
      <c r="J3" s="6056"/>
      <c r="K3" s="6056"/>
      <c r="L3" s="6056"/>
      <c r="M3" s="6056"/>
      <c r="N3" s="6056"/>
      <c r="O3" s="6056"/>
      <c r="P3" s="6056"/>
      <c r="Q3" s="6056"/>
      <c r="R3" s="6056"/>
      <c r="S3" s="6056"/>
      <c r="T3" s="6056"/>
      <c r="U3" s="6056"/>
      <c r="V3" s="6056"/>
      <c r="W3" s="6056"/>
      <c r="X3" s="6056"/>
      <c r="Y3" s="6056"/>
      <c r="Z3" s="6056"/>
      <c r="AA3" s="6056"/>
      <c r="AB3" s="6056"/>
      <c r="AC3" s="6056"/>
      <c r="AD3" s="6056"/>
      <c r="AE3" s="6056"/>
      <c r="AF3" s="6056"/>
      <c r="AG3" s="6056"/>
      <c r="AH3" s="6056"/>
      <c r="AI3" s="6056"/>
      <c r="AJ3" s="6056"/>
      <c r="AK3" s="6056"/>
      <c r="AL3" s="6056"/>
      <c r="AM3" s="6056"/>
      <c r="AN3" s="6056"/>
      <c r="AO3" s="6056"/>
      <c r="AP3" s="6056"/>
      <c r="AQ3" s="6056"/>
      <c r="AR3" s="6056"/>
      <c r="AS3" s="6056"/>
      <c r="AT3" s="6056"/>
      <c r="AU3" s="6056"/>
      <c r="AV3" s="6056"/>
      <c r="AW3" s="6056"/>
      <c r="AX3" s="6056"/>
      <c r="AY3" s="6056"/>
      <c r="AZ3" s="6056"/>
      <c r="BA3" s="6056"/>
      <c r="BB3" s="6056"/>
      <c r="BC3" s="6056"/>
      <c r="BD3" s="6056"/>
      <c r="BE3" s="6056"/>
      <c r="BF3" s="6056"/>
      <c r="BG3" s="6056"/>
      <c r="BH3" s="6056"/>
    </row>
    <row r="4" spans="1:78">
      <c r="A4" s="1" t="s">
        <v>854</v>
      </c>
      <c r="BB4" s="1">
        <f>+BB10/AZ10</f>
        <v>1.1599280755937107</v>
      </c>
      <c r="BC4" s="8">
        <f>+BC10+BA10+AY10+AW10+AU10</f>
        <v>42324284.958000004</v>
      </c>
      <c r="BD4" s="8">
        <f>+BD10+BB10+AZ10+AX10+AV10</f>
        <v>43207153.565428667</v>
      </c>
      <c r="BE4" s="1066">
        <f>+BD4/BC4</f>
        <v>1.0208596225147044</v>
      </c>
      <c r="BF4" s="1066">
        <f>+BF10/AR10</f>
        <v>1.1559787480463688</v>
      </c>
    </row>
    <row r="5" spans="1:78" ht="16.2" thickBot="1">
      <c r="AI5" s="6">
        <f>2669315-AI78</f>
        <v>0</v>
      </c>
      <c r="AN5" s="754">
        <f>(AN10/AM10)-100%</f>
        <v>0.23839195483415665</v>
      </c>
      <c r="AO5" s="6"/>
      <c r="AP5" s="754">
        <f>AP10/AO10-100%</f>
        <v>-7.4483814008240445E-3</v>
      </c>
      <c r="BA5" s="1066">
        <f>+BB75/AZ75</f>
        <v>1.1638308974066049</v>
      </c>
      <c r="BB5" s="816">
        <f>+BB51/AZ51</f>
        <v>1.4544785429820561</v>
      </c>
      <c r="BE5" s="754">
        <f>+BF10/BE10</f>
        <v>1.0208596225147046</v>
      </c>
      <c r="BF5" s="1066">
        <f>+BF12/BE12</f>
        <v>0.94487447709275552</v>
      </c>
    </row>
    <row r="6" spans="1:78" ht="19.5" customHeight="1">
      <c r="A6" s="6462" t="s">
        <v>0</v>
      </c>
      <c r="B6" s="6452" t="s">
        <v>49</v>
      </c>
      <c r="C6" s="6380" t="s">
        <v>62</v>
      </c>
      <c r="D6" s="6370"/>
      <c r="E6" s="6370" t="s">
        <v>63</v>
      </c>
      <c r="F6" s="6370"/>
      <c r="G6" s="6370" t="s">
        <v>64</v>
      </c>
      <c r="H6" s="6370"/>
      <c r="I6" s="6370" t="s">
        <v>65</v>
      </c>
      <c r="J6" s="6370"/>
      <c r="K6" s="6370" t="s">
        <v>66</v>
      </c>
      <c r="L6" s="6370"/>
      <c r="M6" s="6370" t="s">
        <v>67</v>
      </c>
      <c r="N6" s="6370"/>
      <c r="O6" s="6448" t="s">
        <v>68</v>
      </c>
      <c r="P6" s="6448"/>
      <c r="Q6" s="6448"/>
      <c r="R6" s="6448"/>
      <c r="S6" s="6378" t="s">
        <v>72</v>
      </c>
      <c r="T6" s="6380"/>
      <c r="U6" s="6378" t="s">
        <v>73</v>
      </c>
      <c r="V6" s="6380"/>
      <c r="W6" s="6378" t="s">
        <v>74</v>
      </c>
      <c r="X6" s="6380"/>
      <c r="Y6" s="6370" t="s">
        <v>75</v>
      </c>
      <c r="Z6" s="6370"/>
      <c r="AA6" s="6370" t="s">
        <v>76</v>
      </c>
      <c r="AB6" s="6370"/>
      <c r="AC6" s="6448" t="s">
        <v>68</v>
      </c>
      <c r="AD6" s="6448"/>
      <c r="AE6" s="6448"/>
      <c r="AF6" s="6449"/>
      <c r="AG6" s="6446" t="s">
        <v>77</v>
      </c>
      <c r="AH6" s="6420"/>
      <c r="AI6" s="6420" t="s">
        <v>81</v>
      </c>
      <c r="AJ6" s="6420"/>
      <c r="AK6" s="6420" t="s">
        <v>57</v>
      </c>
      <c r="AL6" s="6420"/>
      <c r="AM6" s="6420" t="s">
        <v>58</v>
      </c>
      <c r="AN6" s="6420"/>
      <c r="AO6" s="6420" t="s">
        <v>82</v>
      </c>
      <c r="AP6" s="6420"/>
      <c r="AQ6" s="6441" t="s">
        <v>68</v>
      </c>
      <c r="AR6" s="6441"/>
      <c r="AS6" s="6441"/>
      <c r="AT6" s="6442"/>
      <c r="AU6" s="6446" t="s">
        <v>85</v>
      </c>
      <c r="AV6" s="6420"/>
      <c r="AW6" s="6447" t="s">
        <v>86</v>
      </c>
      <c r="AX6" s="6440"/>
      <c r="AY6" s="6439" t="s">
        <v>87</v>
      </c>
      <c r="AZ6" s="6440"/>
      <c r="BA6" s="6420" t="s">
        <v>88</v>
      </c>
      <c r="BB6" s="6420"/>
      <c r="BC6" s="6420" t="s">
        <v>89</v>
      </c>
      <c r="BD6" s="6420"/>
      <c r="BE6" s="6441" t="s">
        <v>68</v>
      </c>
      <c r="BF6" s="6441"/>
      <c r="BG6" s="6441"/>
      <c r="BH6" s="6442"/>
      <c r="BI6" s="6445" t="s">
        <v>90</v>
      </c>
      <c r="BJ6" s="6440"/>
      <c r="BK6" s="6439" t="s">
        <v>91</v>
      </c>
      <c r="BL6" s="6440"/>
      <c r="BM6" s="6439" t="s">
        <v>92</v>
      </c>
      <c r="BN6" s="6440"/>
      <c r="BO6" s="6420" t="s">
        <v>93</v>
      </c>
      <c r="BP6" s="6420"/>
      <c r="BQ6" s="6420" t="s">
        <v>94</v>
      </c>
      <c r="BR6" s="6420"/>
      <c r="BS6" s="6441" t="s">
        <v>68</v>
      </c>
      <c r="BT6" s="6441"/>
      <c r="BU6" s="6441"/>
      <c r="BV6" s="6442"/>
    </row>
    <row r="7" spans="1:78" ht="18.75" customHeight="1">
      <c r="A7" s="6463"/>
      <c r="B7" s="6453"/>
      <c r="C7" s="6380" t="s">
        <v>59</v>
      </c>
      <c r="D7" s="6370" t="s">
        <v>60</v>
      </c>
      <c r="E7" s="6370" t="s">
        <v>59</v>
      </c>
      <c r="F7" s="6370" t="s">
        <v>61</v>
      </c>
      <c r="G7" s="6370" t="s">
        <v>59</v>
      </c>
      <c r="H7" s="6370" t="s">
        <v>61</v>
      </c>
      <c r="I7" s="6370" t="s">
        <v>59</v>
      </c>
      <c r="J7" s="6370" t="s">
        <v>61</v>
      </c>
      <c r="K7" s="6370" t="s">
        <v>59</v>
      </c>
      <c r="L7" s="6370" t="s">
        <v>61</v>
      </c>
      <c r="M7" s="6370" t="s">
        <v>59</v>
      </c>
      <c r="N7" s="6370" t="s">
        <v>61</v>
      </c>
      <c r="O7" s="6064" t="s">
        <v>71</v>
      </c>
      <c r="P7" s="6064" t="s">
        <v>78</v>
      </c>
      <c r="Q7" s="6064" t="s">
        <v>69</v>
      </c>
      <c r="R7" s="6064" t="s">
        <v>70</v>
      </c>
      <c r="S7" s="6370" t="s">
        <v>59</v>
      </c>
      <c r="T7" s="6370" t="s">
        <v>60</v>
      </c>
      <c r="U7" s="6370" t="s">
        <v>59</v>
      </c>
      <c r="V7" s="6370" t="s">
        <v>61</v>
      </c>
      <c r="W7" s="6370" t="s">
        <v>59</v>
      </c>
      <c r="X7" s="6370" t="s">
        <v>61</v>
      </c>
      <c r="Y7" s="6370" t="s">
        <v>59</v>
      </c>
      <c r="Z7" s="6370" t="s">
        <v>61</v>
      </c>
      <c r="AA7" s="6370" t="s">
        <v>59</v>
      </c>
      <c r="AB7" s="6370" t="s">
        <v>61</v>
      </c>
      <c r="AC7" s="6064" t="s">
        <v>79</v>
      </c>
      <c r="AD7" s="6064" t="s">
        <v>80</v>
      </c>
      <c r="AE7" s="6064" t="s">
        <v>69</v>
      </c>
      <c r="AF7" s="6450" t="s">
        <v>70</v>
      </c>
      <c r="AG7" s="6444" t="s">
        <v>59</v>
      </c>
      <c r="AH7" s="6370" t="s">
        <v>60</v>
      </c>
      <c r="AI7" s="6370" t="s">
        <v>59</v>
      </c>
      <c r="AJ7" s="6370" t="s">
        <v>61</v>
      </c>
      <c r="AK7" s="6370" t="s">
        <v>59</v>
      </c>
      <c r="AL7" s="6370" t="s">
        <v>61</v>
      </c>
      <c r="AM7" s="6370" t="s">
        <v>59</v>
      </c>
      <c r="AN7" s="6370" t="s">
        <v>61</v>
      </c>
      <c r="AO7" s="6370" t="s">
        <v>59</v>
      </c>
      <c r="AP7" s="6370" t="s">
        <v>61</v>
      </c>
      <c r="AQ7" s="6064" t="s">
        <v>83</v>
      </c>
      <c r="AR7" s="6064" t="s">
        <v>84</v>
      </c>
      <c r="AS7" s="6064" t="s">
        <v>69</v>
      </c>
      <c r="AT7" s="6443" t="s">
        <v>70</v>
      </c>
      <c r="AU7" s="6444" t="s">
        <v>59</v>
      </c>
      <c r="AV7" s="6370" t="s">
        <v>60</v>
      </c>
      <c r="AW7" s="6380" t="s">
        <v>59</v>
      </c>
      <c r="AX7" s="6370" t="s">
        <v>61</v>
      </c>
      <c r="AY7" s="6370" t="s">
        <v>59</v>
      </c>
      <c r="AZ7" s="6370" t="s">
        <v>61</v>
      </c>
      <c r="BA7" s="6370" t="s">
        <v>59</v>
      </c>
      <c r="BB7" s="6370" t="s">
        <v>61</v>
      </c>
      <c r="BC7" s="6370" t="s">
        <v>59</v>
      </c>
      <c r="BD7" s="6370" t="s">
        <v>61</v>
      </c>
      <c r="BE7" s="6064" t="s">
        <v>957</v>
      </c>
      <c r="BF7" s="6064" t="s">
        <v>958</v>
      </c>
      <c r="BG7" s="6064" t="s">
        <v>69</v>
      </c>
      <c r="BH7" s="6443" t="s">
        <v>70</v>
      </c>
      <c r="BI7" s="6444" t="s">
        <v>59</v>
      </c>
      <c r="BJ7" s="6370" t="s">
        <v>60</v>
      </c>
      <c r="BK7" s="6370" t="s">
        <v>59</v>
      </c>
      <c r="BL7" s="6370" t="s">
        <v>61</v>
      </c>
      <c r="BM7" s="6370" t="s">
        <v>59</v>
      </c>
      <c r="BN7" s="6370" t="s">
        <v>61</v>
      </c>
      <c r="BO7" s="6370" t="s">
        <v>59</v>
      </c>
      <c r="BP7" s="6370" t="s">
        <v>61</v>
      </c>
      <c r="BQ7" s="6370" t="s">
        <v>59</v>
      </c>
      <c r="BR7" s="6370" t="s">
        <v>61</v>
      </c>
      <c r="BS7" s="6064" t="s">
        <v>95</v>
      </c>
      <c r="BT7" s="6064" t="s">
        <v>96</v>
      </c>
      <c r="BU7" s="6064" t="s">
        <v>69</v>
      </c>
      <c r="BV7" s="6443" t="s">
        <v>70</v>
      </c>
    </row>
    <row r="8" spans="1:78" ht="73.5" customHeight="1">
      <c r="A8" s="6463"/>
      <c r="B8" s="6453"/>
      <c r="C8" s="6380"/>
      <c r="D8" s="6370"/>
      <c r="E8" s="6370"/>
      <c r="F8" s="6370"/>
      <c r="G8" s="6370"/>
      <c r="H8" s="6370"/>
      <c r="I8" s="6370"/>
      <c r="J8" s="6370"/>
      <c r="K8" s="6370"/>
      <c r="L8" s="6370"/>
      <c r="M8" s="6370"/>
      <c r="N8" s="6370"/>
      <c r="O8" s="6064"/>
      <c r="P8" s="6064"/>
      <c r="Q8" s="6064"/>
      <c r="R8" s="6064"/>
      <c r="S8" s="6370"/>
      <c r="T8" s="6370"/>
      <c r="U8" s="6370"/>
      <c r="V8" s="6370"/>
      <c r="W8" s="6370"/>
      <c r="X8" s="6370"/>
      <c r="Y8" s="6370"/>
      <c r="Z8" s="6370"/>
      <c r="AA8" s="6370"/>
      <c r="AB8" s="6370"/>
      <c r="AC8" s="6064"/>
      <c r="AD8" s="6064"/>
      <c r="AE8" s="6064"/>
      <c r="AF8" s="6450"/>
      <c r="AG8" s="6444"/>
      <c r="AH8" s="6370"/>
      <c r="AI8" s="6370"/>
      <c r="AJ8" s="6370"/>
      <c r="AK8" s="6370"/>
      <c r="AL8" s="6370"/>
      <c r="AM8" s="6370"/>
      <c r="AN8" s="6370"/>
      <c r="AO8" s="6370"/>
      <c r="AP8" s="6370"/>
      <c r="AQ8" s="6064"/>
      <c r="AR8" s="6064"/>
      <c r="AS8" s="6064"/>
      <c r="AT8" s="6443"/>
      <c r="AU8" s="6444"/>
      <c r="AV8" s="6370"/>
      <c r="AW8" s="6380"/>
      <c r="AX8" s="6370"/>
      <c r="AY8" s="6370"/>
      <c r="AZ8" s="6370"/>
      <c r="BA8" s="6370"/>
      <c r="BB8" s="6370"/>
      <c r="BC8" s="6370"/>
      <c r="BD8" s="6370"/>
      <c r="BE8" s="6064"/>
      <c r="BF8" s="6064"/>
      <c r="BG8" s="6064"/>
      <c r="BH8" s="6443"/>
      <c r="BI8" s="6444"/>
      <c r="BJ8" s="6370"/>
      <c r="BK8" s="6370"/>
      <c r="BL8" s="6370"/>
      <c r="BM8" s="6370"/>
      <c r="BN8" s="6370"/>
      <c r="BO8" s="6370"/>
      <c r="BP8" s="6370"/>
      <c r="BQ8" s="6370"/>
      <c r="BR8" s="6370"/>
      <c r="BS8" s="6064"/>
      <c r="BT8" s="6064"/>
      <c r="BU8" s="6064"/>
      <c r="BV8" s="6443"/>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R10" si="3">SUM(AN11,AN51)</f>
        <v>8774007</v>
      </c>
      <c r="AO10" s="169">
        <f>SUM(AO11,AO51)</f>
        <v>8495000</v>
      </c>
      <c r="AP10" s="169">
        <f t="shared" si="3"/>
        <v>8431726</v>
      </c>
      <c r="AQ10" s="163">
        <f t="shared" si="3"/>
        <v>34417000.130686</v>
      </c>
      <c r="AR10" s="163">
        <f t="shared" si="3"/>
        <v>37377117.562454991</v>
      </c>
      <c r="AS10" s="246">
        <f>AR10/$AR$10</f>
        <v>1</v>
      </c>
      <c r="AT10" s="188">
        <f>(((AH10/AB10)*(AJ10/AH10)*(AL10/AJ10)*(AN10/AL10)*(AP10/AN10))^(1/5))-1</f>
        <v>0.10255927736981851</v>
      </c>
      <c r="AU10" s="17">
        <f>SUM(AU11,AU51)</f>
        <v>8140900</v>
      </c>
      <c r="AV10" s="163">
        <f t="shared" ref="AV10:AX10" si="4">SUM(AV11,AV51)</f>
        <v>7213306.517155</v>
      </c>
      <c r="AW10" s="163">
        <f>SUM(AW11,AW51)</f>
        <v>6818777</v>
      </c>
      <c r="AX10" s="163">
        <f t="shared" si="4"/>
        <v>7877158.9295709999</v>
      </c>
      <c r="AY10" s="163">
        <f>SUM(AY11,AY51)</f>
        <v>7590000</v>
      </c>
      <c r="AZ10" s="163">
        <f t="shared" ref="AZ10:BB10" si="5">SUM(AZ11,AZ51)</f>
        <v>8341080.6712859999</v>
      </c>
      <c r="BA10" s="163">
        <f>SUM(BA11,BA51)</f>
        <v>9674054.1620000005</v>
      </c>
      <c r="BB10" s="191">
        <f t="shared" si="5"/>
        <v>9675053.6514166668</v>
      </c>
      <c r="BC10" s="191">
        <f>SUM(BC11,BC51)+BC56</f>
        <v>10100553.796</v>
      </c>
      <c r="BD10" s="191">
        <f>SUM(BD11,BD51)+BD56</f>
        <v>10100553.796</v>
      </c>
      <c r="BE10" s="213">
        <f>SUM(BE11,BE51)+BE56</f>
        <v>42324284.957999997</v>
      </c>
      <c r="BF10" s="213">
        <f>SUM(BF11,BF51)+BF56</f>
        <v>43207153.565428667</v>
      </c>
      <c r="BG10" s="246">
        <f>BF10/$BF$10</f>
        <v>1</v>
      </c>
      <c r="BH10" s="247">
        <f>(((AV10/AP10)*(AX10/AV10)*(AZ10/AX10)*(BB10/AZ10))*(BD10/BB10))^(1/5)-1</f>
        <v>3.6777921483062581E-2</v>
      </c>
      <c r="BI10" s="208">
        <f>SUM(BI11,BI51)</f>
        <v>9827000.2300000004</v>
      </c>
      <c r="BJ10" s="209">
        <f t="shared" ref="BJ10:BL10" si="6">SUM(BJ11,BJ51)</f>
        <v>9827000.2300000004</v>
      </c>
      <c r="BK10" s="209">
        <f>SUM(BK11,BK51)</f>
        <v>10017000.369999999</v>
      </c>
      <c r="BL10" s="209">
        <f t="shared" si="6"/>
        <v>10017000.369999999</v>
      </c>
      <c r="BM10" s="191">
        <f>SUM(BM11,BM51)</f>
        <v>13026000</v>
      </c>
      <c r="BN10" s="191">
        <f t="shared" ref="BN10:BP10" si="7">SUM(BN11,BN51)</f>
        <v>13026000</v>
      </c>
      <c r="BO10" s="191">
        <f>SUM(BO11,BO51)</f>
        <v>14105000</v>
      </c>
      <c r="BP10" s="191">
        <f t="shared" si="7"/>
        <v>14105000</v>
      </c>
      <c r="BQ10" s="191">
        <f>SUM(BQ11,BQ51)</f>
        <v>15353000</v>
      </c>
      <c r="BR10" s="191">
        <f t="shared" ref="BR10:BT10" si="8">SUM(BR11,BR51)</f>
        <v>15353000</v>
      </c>
      <c r="BS10" s="191">
        <f>SUM(BS11,BS51)</f>
        <v>62328000.600000001</v>
      </c>
      <c r="BT10" s="191">
        <f t="shared" si="8"/>
        <v>62328000.600000001</v>
      </c>
      <c r="BU10" s="141">
        <f>BT10/$BT$10*100</f>
        <v>100</v>
      </c>
      <c r="BV10" s="247">
        <f>(((BJ10/BD10)*(BL10/BJ10)*(BN10/BL10)*(BP10/BN10)*(BR10/BP10))^(1/5))-1</f>
        <v>8.7350635856652703E-2</v>
      </c>
      <c r="BY10" s="1">
        <f>+BB10/AZ10</f>
        <v>1.1599280755937107</v>
      </c>
      <c r="BZ10" s="816">
        <f>BY10-100%</f>
        <v>0.15992807559371069</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9">SUM(AB13,AB19,AB25,AB30,AB36:AB47,AB49:AB50)</f>
        <v>4931116</v>
      </c>
      <c r="AC11" s="157"/>
      <c r="AD11" s="163">
        <f t="shared" si="9"/>
        <v>20928238.108757</v>
      </c>
      <c r="AE11" s="155"/>
      <c r="AF11" s="280"/>
      <c r="AG11" s="17">
        <f>SUM(AG13,AG19,AG25,AG30,AG36:AG47,AG49:AG50)</f>
        <v>5235700</v>
      </c>
      <c r="AH11" s="163">
        <f t="shared" ref="AH11:AJ11" si="10">SUM(AH13,AH19,AH25,AH30,AH36:AH47,AH49:AH50)</f>
        <v>6263046.1891880007</v>
      </c>
      <c r="AI11" s="163">
        <f>SUM(AI13,AI19,AI25,AI30,AI36:AI47,AI49:AI50)</f>
        <v>6515000.130686</v>
      </c>
      <c r="AJ11" s="163">
        <f t="shared" si="10"/>
        <v>6720099.27654</v>
      </c>
      <c r="AK11" s="163">
        <f>SUM(AK13,AK19,AK25,AK30,AK36:AK47,AK49:AK50)</f>
        <v>6625300</v>
      </c>
      <c r="AL11" s="163">
        <f t="shared" ref="AL11" si="11">SUM(AL13,AL19,AL25,AL30,AL36:AL47,AL49:AL50)</f>
        <v>6909596</v>
      </c>
      <c r="AM11" s="163">
        <f>SUM(AM13,AM19,AM25,AM30,AM36:AM47,AM49:AM50)</f>
        <v>7007000</v>
      </c>
      <c r="AN11" s="163">
        <f t="shared" ref="AN11:AR11" si="12">SUM(AN13,AN19,AN25,AN30,AN36:AN47,AN49:AN50)</f>
        <v>8647717</v>
      </c>
      <c r="AO11" s="163">
        <f>SUM(AO13,AO19,AO25,AO30,AO36:AO47,AO49:AO50)</f>
        <v>8425000</v>
      </c>
      <c r="AP11" s="163">
        <f t="shared" si="12"/>
        <v>8337967</v>
      </c>
      <c r="AQ11" s="163">
        <f t="shared" si="12"/>
        <v>33808000.130686</v>
      </c>
      <c r="AR11" s="163">
        <f t="shared" si="12"/>
        <v>36878425.465727992</v>
      </c>
      <c r="AS11" s="246">
        <f>AR11/$AR$10</f>
        <v>0.98665782357631748</v>
      </c>
      <c r="AT11" s="188">
        <f>(((AH11/AB11)*(AJ11/AH11)*(AL11/AJ11)*(AN11/AL11)*(AP11/AN11))^(1/5))-1</f>
        <v>0.11076705589544589</v>
      </c>
      <c r="AU11" s="17">
        <f>SUM(AU13,AU19,AU25,AU30,AU36:AU47,AU49:AU50)</f>
        <v>8035900</v>
      </c>
      <c r="AV11" s="163">
        <f t="shared" ref="AV11:AX11" si="13">SUM(AV13,AV19,AV25,AV30,AV36:AV47,AV49:AV50)</f>
        <v>7016451.517155</v>
      </c>
      <c r="AW11" s="163">
        <f>SUM(AW13,AW19,AW25,AW30,AW36:AW47,AW49:AW50)</f>
        <v>6708777</v>
      </c>
      <c r="AX11" s="163">
        <f t="shared" si="13"/>
        <v>7487375.559316</v>
      </c>
      <c r="AY11" s="163">
        <f>SUM(AY13,AY19,AY25,AY30,AY36:AY47,AY49:AY50)</f>
        <v>7440000</v>
      </c>
      <c r="AZ11" s="163">
        <f t="shared" ref="AZ11:BB11" si="14">SUM(AZ13,AZ19,AZ25,AZ30,AZ36:AZ47,AZ49:AZ50)</f>
        <v>8059193</v>
      </c>
      <c r="BA11" s="163">
        <f>SUM(BA13,BA19,BA25,BA30,BA36:BA47,BA49:BA50)</f>
        <v>9474054.1620000005</v>
      </c>
      <c r="BB11" s="191">
        <f t="shared" si="14"/>
        <v>9265054.0820000004</v>
      </c>
      <c r="BC11" s="191">
        <f>SUM(BC13,BC19,BC25,BC30,BC36:BC47,BC49:BC50)</f>
        <v>9595000</v>
      </c>
      <c r="BD11" s="191">
        <f t="shared" ref="BD11:BF11" si="15">SUM(BD13,BD19,BD25,BD30,BD36:BD47,BD49:BD50)</f>
        <v>9595000</v>
      </c>
      <c r="BE11" s="213">
        <f>SUM(BE13,BE19,BE25,BE30,BE36:BE47,BE49:BE50)</f>
        <v>41253731.162</v>
      </c>
      <c r="BF11" s="213">
        <f t="shared" si="15"/>
        <v>41423074.158471003</v>
      </c>
      <c r="BG11" s="246">
        <f>BF11/$BF$10</f>
        <v>0.95870870307954836</v>
      </c>
      <c r="BH11" s="247">
        <f>(((AV11/AP11)*(AX11/AV11)*(AZ11/AX11)*(BB11/AZ11))*(BD11/BB11))^(1/5)-1</f>
        <v>2.8482630270564302E-2</v>
      </c>
      <c r="BI11" s="208">
        <f>SUM(BI13,BI19,BI25,BI30,BI36:BI47,BI49:BI50)</f>
        <v>9540000</v>
      </c>
      <c r="BJ11" s="209">
        <f t="shared" ref="BJ11:BL11" si="16">SUM(BJ13,BJ19,BJ25,BJ30,BJ36:BJ47,BJ49:BJ50)</f>
        <v>9540000</v>
      </c>
      <c r="BK11" s="209">
        <f>SUM(BK13,BK19,BK25,BK30,BK36:BK47,BK49:BK50)</f>
        <v>9715000</v>
      </c>
      <c r="BL11" s="209">
        <f t="shared" si="16"/>
        <v>9715000</v>
      </c>
      <c r="BM11" s="191">
        <f>SUM(BM13,BM19,BM25,BM30,BM36:BM47,BM49:BM50)</f>
        <v>12710000</v>
      </c>
      <c r="BN11" s="191">
        <f t="shared" ref="BN11:BP11" si="17">SUM(BN13,BN19,BN25,BN30,BN36:BN47,BN49:BN50)</f>
        <v>12710000</v>
      </c>
      <c r="BO11" s="191">
        <f>SUM(BO13,BO19,BO25,BO30,BO36:BO47,BO49:BO50)</f>
        <v>13770000</v>
      </c>
      <c r="BP11" s="191">
        <f t="shared" si="17"/>
        <v>13770000</v>
      </c>
      <c r="BQ11" s="191">
        <f>SUM(BQ13,BQ19,BQ25,BQ30,BQ36:BQ47,BQ49:BQ50)</f>
        <v>15000000</v>
      </c>
      <c r="BR11" s="191">
        <f t="shared" ref="BR11:BT11" si="18">SUM(BR13,BR19,BR25,BR30,BR36:BR47,BR49:BR50)</f>
        <v>15000000</v>
      </c>
      <c r="BS11" s="191">
        <f>SUM(BS13,BS19,BS25,BS30,BS36:BS47,BS49:BS50)</f>
        <v>60735000</v>
      </c>
      <c r="BT11" s="191">
        <f t="shared" si="18"/>
        <v>60735000</v>
      </c>
      <c r="BU11" s="141">
        <f>BT11/$BT$10*100</f>
        <v>97.444165407738097</v>
      </c>
      <c r="BV11" s="247">
        <f>(((BJ11/BD11)*(BL11/BJ11)*(BN11/BL11)*(BP11/BN11)*(BR11/BP11))^(1/5))-1</f>
        <v>9.3476001430793376E-2</v>
      </c>
      <c r="BY11" s="1">
        <f t="shared" ref="BY11:BY72" si="19">+BB11/AZ11</f>
        <v>1.1496255371970867</v>
      </c>
      <c r="BZ11" s="816">
        <f t="shared" ref="BZ11:BZ72" si="20">BY11-100%</f>
        <v>0.14962553719708671</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1">AB11-AB42-AB47-AB50</f>
        <v>3357995</v>
      </c>
      <c r="AC12" s="260"/>
      <c r="AD12" s="250">
        <f t="shared" si="21"/>
        <v>14465758.663978001</v>
      </c>
      <c r="AE12" s="1055"/>
      <c r="AF12" s="1057"/>
      <c r="AG12" s="1058">
        <f>AG11-AG42-AG47-AG50</f>
        <v>4185700</v>
      </c>
      <c r="AH12" s="250">
        <f t="shared" ref="AH12:AJ12" si="22">AH11-AH42-AH47-AH50</f>
        <v>4498462.8100840002</v>
      </c>
      <c r="AI12" s="250">
        <f>AI11-AI42-AI47-AI50</f>
        <v>4865000.130686</v>
      </c>
      <c r="AJ12" s="250">
        <f t="shared" si="22"/>
        <v>4602597.6885219999</v>
      </c>
      <c r="AK12" s="250">
        <f>AK11-AK42-AK47-AK50</f>
        <v>4897300</v>
      </c>
      <c r="AL12" s="250">
        <f t="shared" ref="AL12:AN12" si="23">AL11-AL42-AL47-AL50</f>
        <v>4646968</v>
      </c>
      <c r="AM12" s="250">
        <f>AM11-AM42-AM47-AM50</f>
        <v>5169000</v>
      </c>
      <c r="AN12" s="250">
        <f t="shared" si="23"/>
        <v>6030442</v>
      </c>
      <c r="AO12" s="250">
        <f>AO11-AO42-AO47-AO50</f>
        <v>6310000</v>
      </c>
      <c r="AP12" s="250">
        <f t="shared" ref="AP12:AR12" si="24">AP11-AP42-AP47-AP50</f>
        <v>5401040</v>
      </c>
      <c r="AQ12" s="250">
        <f t="shared" si="24"/>
        <v>25427000.130686</v>
      </c>
      <c r="AR12" s="250">
        <f t="shared" si="24"/>
        <v>25179510.498605993</v>
      </c>
      <c r="AS12" s="1059">
        <f>AR12/$AR$10</f>
        <v>0.67366110980956451</v>
      </c>
      <c r="AT12" s="1060">
        <f>(((AH12/AB12)*(AJ12/AH12)*(AL12/AJ12)*(AN12/AL12)*(AP12/AN12))^(1/5))-1</f>
        <v>9.971328033732485E-2</v>
      </c>
      <c r="AU12" s="1058">
        <f>AU11-AU42-AU47-AU50</f>
        <v>5715900</v>
      </c>
      <c r="AV12" s="250">
        <f t="shared" ref="AV12:AX12" si="25">AV11-AV42-AV47-AV50</f>
        <v>4433673.517155</v>
      </c>
      <c r="AW12" s="250">
        <f>AW11-AW42-AW47-AW50</f>
        <v>4310000</v>
      </c>
      <c r="AX12" s="250">
        <f t="shared" si="25"/>
        <v>4638219.559316</v>
      </c>
      <c r="AY12" s="250">
        <f>AY11-AY42-AY47-AY50</f>
        <v>4890000</v>
      </c>
      <c r="AZ12" s="250">
        <f t="shared" ref="AZ12:BB12" si="26">AZ11-AZ42-AZ47-AZ50</f>
        <v>4804021</v>
      </c>
      <c r="BA12" s="250">
        <f>BA11-BA42-BA47-BA50</f>
        <v>5309000</v>
      </c>
      <c r="BB12" s="211">
        <f t="shared" si="26"/>
        <v>4910931.92</v>
      </c>
      <c r="BC12" s="211">
        <f>BC11-BC42-BC47-BC50</f>
        <v>5862000</v>
      </c>
      <c r="BD12" s="211">
        <f t="shared" ref="BD12" si="27">BD11-BD42-BD47-BD50</f>
        <v>5862000</v>
      </c>
      <c r="BE12" s="250">
        <f>BE11-BE42-BE47-BE50</f>
        <v>26086900</v>
      </c>
      <c r="BF12" s="250">
        <f>BF11-BF42-BF47-BF50</f>
        <v>24648845.996471003</v>
      </c>
      <c r="BG12" s="1059">
        <f>BF12/$BF$10</f>
        <v>0.57048067189025109</v>
      </c>
      <c r="BH12" s="1061">
        <f>(((AV12/AP12)*(AX12/AV12)*(AZ12/AX12)*(BB12/AZ12))*(BD12/BB12))^(1/5)-1</f>
        <v>1.6514748350602515E-2</v>
      </c>
      <c r="BI12" s="210">
        <f>BI11-BI42-BI47-BI50</f>
        <v>5856000</v>
      </c>
      <c r="BJ12" s="211">
        <f t="shared" ref="BJ12:BL12" si="28">BJ11-BJ42-BJ47-BJ50</f>
        <v>5856000</v>
      </c>
      <c r="BK12" s="211">
        <f>BK11-BK42-BK47-BK50</f>
        <v>6078000</v>
      </c>
      <c r="BL12" s="211">
        <f t="shared" si="28"/>
        <v>6078000</v>
      </c>
      <c r="BM12" s="211">
        <f>BM11-BM42-BM47-BM50</f>
        <v>7990000</v>
      </c>
      <c r="BN12" s="211">
        <f t="shared" ref="BN12:BP12" si="29">BN11-BN42-BN47-BN50</f>
        <v>7990000</v>
      </c>
      <c r="BO12" s="211">
        <f>BO11-BO42-BO47-BO50</f>
        <v>8790000</v>
      </c>
      <c r="BP12" s="211">
        <f t="shared" si="29"/>
        <v>8790000</v>
      </c>
      <c r="BQ12" s="211">
        <f>BQ11-BQ42-BQ47-BQ50</f>
        <v>9740000</v>
      </c>
      <c r="BR12" s="211">
        <f t="shared" ref="BR12:BT12" si="30">BR11-BR42-BR47-BR50</f>
        <v>9740000</v>
      </c>
      <c r="BS12" s="211">
        <f>BS11-BS42-BS47-BS50</f>
        <v>38454000</v>
      </c>
      <c r="BT12" s="211">
        <f t="shared" si="30"/>
        <v>38454000</v>
      </c>
      <c r="BU12" s="1062">
        <f>BT12/$BT$10*100</f>
        <v>61.69618731520805</v>
      </c>
      <c r="BV12" s="1061">
        <f>(((BJ12/BD12)*(BL12/BJ12)*(BN12/BL12)*(BP12/BN12)*(BR12/BP12))^(1/5))-1</f>
        <v>0.10688532223107394</v>
      </c>
      <c r="BY12" s="1">
        <f t="shared" si="19"/>
        <v>1.0222544655820613</v>
      </c>
      <c r="BZ12" s="816">
        <f t="shared" si="20"/>
        <v>2.2254465582061345E-2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1">SUM(AA14:AA18)</f>
        <v>0</v>
      </c>
      <c r="AB13" s="142">
        <f t="shared" si="31"/>
        <v>205240</v>
      </c>
      <c r="AC13" s="142"/>
      <c r="AD13" s="142">
        <f t="shared" ref="AD13" si="32">SUM(AD14:AD18)</f>
        <v>1553734.570387</v>
      </c>
      <c r="AE13" s="158"/>
      <c r="AF13" s="281"/>
      <c r="AG13" s="18">
        <f t="shared" ref="AG13:AR13" si="33">SUM(AG14:AG18)</f>
        <v>175000</v>
      </c>
      <c r="AH13" s="142">
        <f t="shared" si="33"/>
        <v>203694.30536599999</v>
      </c>
      <c r="AI13" s="142">
        <f t="shared" si="33"/>
        <v>230000</v>
      </c>
      <c r="AJ13" s="142">
        <f t="shared" si="33"/>
        <v>196934</v>
      </c>
      <c r="AK13" s="163">
        <f t="shared" si="33"/>
        <v>215000</v>
      </c>
      <c r="AL13" s="163">
        <f t="shared" si="33"/>
        <v>203575</v>
      </c>
      <c r="AM13" s="163">
        <f t="shared" si="33"/>
        <v>195000</v>
      </c>
      <c r="AN13" s="163">
        <f t="shared" si="33"/>
        <v>223868</v>
      </c>
      <c r="AO13" s="163">
        <f t="shared" si="33"/>
        <v>235000</v>
      </c>
      <c r="AP13" s="163">
        <f t="shared" si="33"/>
        <v>183101</v>
      </c>
      <c r="AQ13" s="163">
        <f t="shared" si="33"/>
        <v>1050000</v>
      </c>
      <c r="AR13" s="163">
        <f t="shared" si="33"/>
        <v>1011172.305366</v>
      </c>
      <c r="AS13" s="246">
        <f>AR13/$AR$10</f>
        <v>2.7053244640290679E-2</v>
      </c>
      <c r="AT13" s="188">
        <f>(((AH13/AB13)*(AJ13/AH13)*(AL13/AJ13)*(AN13/AL13)*(AP13/AN13))^(1/5))-1</f>
        <v>-2.2569825667848264E-2</v>
      </c>
      <c r="AU13" s="17">
        <f>SUM(AU14:AU18)</f>
        <v>210000</v>
      </c>
      <c r="AV13" s="142">
        <f t="shared" ref="AV13" si="34">SUM(AV14:AV18)</f>
        <v>245000.595779</v>
      </c>
      <c r="AW13" s="163">
        <f>SUM(AW14:AW18)</f>
        <v>185000</v>
      </c>
      <c r="AX13" s="163">
        <f t="shared" ref="AX13" si="35">SUM(AX14:AX18)</f>
        <v>227901.09784099998</v>
      </c>
      <c r="AY13" s="163">
        <f>SUM(AY14:AY18)</f>
        <v>250000</v>
      </c>
      <c r="AZ13" s="163">
        <f t="shared" ref="AZ13" si="36">SUM(AZ14:AZ18)</f>
        <v>209114</v>
      </c>
      <c r="BA13" s="163">
        <f>SUM(BA14:BA18)</f>
        <v>230000</v>
      </c>
      <c r="BB13" s="192">
        <f t="shared" ref="BB13" si="37">SUM(BB14:BB18)</f>
        <v>252000.4</v>
      </c>
      <c r="BC13" s="191">
        <f>SUM(BC14:BC18)</f>
        <v>255000</v>
      </c>
      <c r="BD13" s="192">
        <f t="shared" ref="BD13:BF13" si="38">SUM(BD14:BD18)</f>
        <v>255000</v>
      </c>
      <c r="BE13" s="147">
        <f>SUM(BE14:BE18)</f>
        <v>1130000</v>
      </c>
      <c r="BF13" s="147">
        <f t="shared" si="38"/>
        <v>1189016.0936200002</v>
      </c>
      <c r="BG13" s="246">
        <f>BF13/$BF$10</f>
        <v>2.7518963771114222E-2</v>
      </c>
      <c r="BH13" s="247">
        <f>(((AV13/AP13)*(AX13/AV13)*(AZ13/AX13)*(BB13/AZ13))*(BD13/BB13))^(1/5)-1</f>
        <v>6.8488599830658359E-2</v>
      </c>
      <c r="BI13" s="208">
        <f>SUM(BI14:BI18)</f>
        <v>265000</v>
      </c>
      <c r="BJ13" s="185">
        <f t="shared" ref="BJ13:BL13" si="39">SUM(BJ14:BJ18)</f>
        <v>265000</v>
      </c>
      <c r="BK13" s="209">
        <f>SUM(BK14:BK18)</f>
        <v>280000</v>
      </c>
      <c r="BL13" s="185">
        <f t="shared" si="39"/>
        <v>280000</v>
      </c>
      <c r="BM13" s="191">
        <f>SUM(BM14:BM18)</f>
        <v>410000</v>
      </c>
      <c r="BN13" s="192">
        <f t="shared" ref="BN13:BP13" si="40">SUM(BN14:BN18)</f>
        <v>410000</v>
      </c>
      <c r="BO13" s="191">
        <f>SUM(BO14:BO18)</f>
        <v>455000</v>
      </c>
      <c r="BP13" s="192">
        <f t="shared" si="40"/>
        <v>455000</v>
      </c>
      <c r="BQ13" s="191">
        <f>SUM(BQ14:BQ18)</f>
        <v>510000</v>
      </c>
      <c r="BR13" s="192">
        <f t="shared" ref="BR13:BT13" si="41">SUM(BR14:BR18)</f>
        <v>510000</v>
      </c>
      <c r="BS13" s="191">
        <f>SUM(BS14:BS18)</f>
        <v>1920000</v>
      </c>
      <c r="BT13" s="192">
        <f t="shared" si="41"/>
        <v>1920000</v>
      </c>
      <c r="BU13" s="141">
        <f>BT13/$BT$10*100</f>
        <v>3.0804774443542793</v>
      </c>
      <c r="BV13" s="247">
        <f>(((BJ13/BD13)*(BL13/BJ13)*(BN13/BL13)*(BP13/BN13)*(BR13/BP13))^(1/5))-1</f>
        <v>0.1486983549970351</v>
      </c>
      <c r="BY13" s="1">
        <f t="shared" si="19"/>
        <v>1.2050862209129949</v>
      </c>
      <c r="BZ13" s="816">
        <f t="shared" si="20"/>
        <v>0.20508622091299489</v>
      </c>
    </row>
    <row r="14" spans="1:78" ht="18"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1'!D14</f>
        <v>170000</v>
      </c>
      <c r="BB14" s="252">
        <f>+'Phụ lục số 1'!J14</f>
        <v>165389.4</v>
      </c>
      <c r="BC14" s="252">
        <f>+'Phụ lục số 1'!Q14</f>
        <v>169500</v>
      </c>
      <c r="BD14" s="252">
        <f>BC14</f>
        <v>169500</v>
      </c>
      <c r="BE14" s="152">
        <f>AU14+AW14+AY14+BA14+BC14</f>
        <v>836500</v>
      </c>
      <c r="BF14" s="152">
        <f>AV14+AX14+AZ14+BB14+BD14</f>
        <v>854919.74517400004</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BT18" si="42">BJ14+BL14+BN14+BP14+BR14</f>
        <v>1452000</v>
      </c>
      <c r="BU14" s="155"/>
      <c r="BV14" s="25"/>
      <c r="BY14" s="1">
        <f t="shared" si="19"/>
        <v>1.0643708933179739</v>
      </c>
      <c r="BZ14" s="816">
        <f t="shared" si="20"/>
        <v>6.4370893317973854E-2</v>
      </c>
    </row>
    <row r="15" spans="1:78">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R18" si="43">AG15+AI15+AK15+AM15+AO15</f>
        <v>83500</v>
      </c>
      <c r="AR15" s="157">
        <f t="shared" si="43"/>
        <v>201934.12205999999</v>
      </c>
      <c r="AS15" s="155"/>
      <c r="AT15" s="25"/>
      <c r="AU15" s="27">
        <v>21000</v>
      </c>
      <c r="AV15" s="157">
        <v>40520.126830000001</v>
      </c>
      <c r="AW15" s="37">
        <v>16985</v>
      </c>
      <c r="AX15" s="162">
        <v>42098.391465000001</v>
      </c>
      <c r="AY15" s="162">
        <v>42000</v>
      </c>
      <c r="AZ15" s="162">
        <v>35859</v>
      </c>
      <c r="BA15" s="157">
        <f>+'Phụ lục số 1'!D15</f>
        <v>20000</v>
      </c>
      <c r="BB15" s="252">
        <f>+'Phụ lục số 1'!J15</f>
        <v>31353</v>
      </c>
      <c r="BC15" s="252">
        <f>+'Phụ lục số 1'!Q15</f>
        <v>35000</v>
      </c>
      <c r="BD15" s="252">
        <f t="shared" ref="BD15:BD18" si="44">BC15</f>
        <v>35000</v>
      </c>
      <c r="BE15" s="152">
        <f t="shared" ref="BE15:BE18" si="45">AU15+AW15+AY15+BA15+BC15</f>
        <v>134985</v>
      </c>
      <c r="BF15" s="152">
        <f t="shared" ref="BF15:BF18" si="46">AV15+AX15+AZ15+BB15+BD15</f>
        <v>184830.51829500002</v>
      </c>
      <c r="BG15" s="155"/>
      <c r="BH15" s="25"/>
      <c r="BI15" s="288">
        <f>'Phụ lục số I'!W15</f>
        <v>24700</v>
      </c>
      <c r="BJ15" s="152">
        <f t="shared" ref="BJ15:BJ59" si="47">BI15</f>
        <v>24700</v>
      </c>
      <c r="BK15" s="152">
        <f>'Phụ lục số I'!AC15</f>
        <v>26000</v>
      </c>
      <c r="BL15" s="152">
        <f t="shared" ref="BL15:BL59" si="48">BK15</f>
        <v>26000</v>
      </c>
      <c r="BM15" s="157">
        <f>'Phụ lục số I'!AI15</f>
        <v>27000</v>
      </c>
      <c r="BN15" s="157">
        <f t="shared" ref="BN15:BN59" si="49">BM15</f>
        <v>27000</v>
      </c>
      <c r="BO15" s="157">
        <f>'Phụ lục số I'!AO15</f>
        <v>29000</v>
      </c>
      <c r="BP15" s="157">
        <f t="shared" ref="BP15:BP59" si="50">BO15</f>
        <v>29000</v>
      </c>
      <c r="BQ15" s="157">
        <f>'Phụ lục số I'!AU15</f>
        <v>30000</v>
      </c>
      <c r="BR15" s="157">
        <f t="shared" ref="BR15:BR59" si="51">BQ15</f>
        <v>30000</v>
      </c>
      <c r="BS15" s="157">
        <f t="shared" ref="BS15:BS18" si="52">BI15+BK15+BM15+BO15+BQ15</f>
        <v>136700</v>
      </c>
      <c r="BT15" s="157">
        <f t="shared" si="42"/>
        <v>136700</v>
      </c>
      <c r="BU15" s="155"/>
      <c r="BV15" s="25"/>
      <c r="BY15" s="1">
        <f t="shared" si="19"/>
        <v>0.87434116958085839</v>
      </c>
      <c r="BZ15" s="816">
        <f t="shared" si="20"/>
        <v>-0.12565883041914161</v>
      </c>
    </row>
    <row r="16" spans="1:78">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3"/>
        <v>311000</v>
      </c>
      <c r="AR16" s="157">
        <f t="shared" si="43"/>
        <v>138623.96972300002</v>
      </c>
      <c r="AS16" s="155"/>
      <c r="AT16" s="25"/>
      <c r="AU16" s="27">
        <v>28000</v>
      </c>
      <c r="AV16" s="157">
        <v>18307.032852</v>
      </c>
      <c r="AW16" s="37">
        <v>28000</v>
      </c>
      <c r="AX16" s="162">
        <v>7305.2439379999996</v>
      </c>
      <c r="AY16" s="162">
        <v>12000</v>
      </c>
      <c r="AZ16" s="162">
        <v>17857</v>
      </c>
      <c r="BA16" s="157">
        <f>+'Phụ lục số 1'!D16</f>
        <v>40000</v>
      </c>
      <c r="BB16" s="252">
        <f>+'Phụ lục số 1'!J16</f>
        <v>44657</v>
      </c>
      <c r="BC16" s="252">
        <f>+'Phụ lục số 1'!Q16</f>
        <v>42000</v>
      </c>
      <c r="BD16" s="252">
        <f t="shared" si="44"/>
        <v>42000</v>
      </c>
      <c r="BE16" s="152">
        <f t="shared" si="45"/>
        <v>150000</v>
      </c>
      <c r="BF16" s="152">
        <f t="shared" si="46"/>
        <v>130126.27679</v>
      </c>
      <c r="BG16" s="155"/>
      <c r="BH16" s="25"/>
      <c r="BI16" s="288">
        <f>'Phụ lục số I'!W16</f>
        <v>45000</v>
      </c>
      <c r="BJ16" s="152">
        <f t="shared" si="47"/>
        <v>45000</v>
      </c>
      <c r="BK16" s="152">
        <f>'Phụ lục số I'!AC16</f>
        <v>48000</v>
      </c>
      <c r="BL16" s="152">
        <f t="shared" si="48"/>
        <v>48000</v>
      </c>
      <c r="BM16" s="157">
        <f>'Phụ lục số I'!AI16</f>
        <v>68000</v>
      </c>
      <c r="BN16" s="157">
        <f t="shared" si="49"/>
        <v>68000</v>
      </c>
      <c r="BO16" s="157">
        <f>'Phụ lục số I'!AO16</f>
        <v>75000</v>
      </c>
      <c r="BP16" s="157">
        <f t="shared" si="50"/>
        <v>75000</v>
      </c>
      <c r="BQ16" s="157">
        <f>'Phụ lục số I'!AU16</f>
        <v>84000</v>
      </c>
      <c r="BR16" s="157">
        <f t="shared" si="51"/>
        <v>84000</v>
      </c>
      <c r="BS16" s="157">
        <f t="shared" si="52"/>
        <v>320000</v>
      </c>
      <c r="BT16" s="157">
        <f t="shared" si="42"/>
        <v>320000</v>
      </c>
      <c r="BU16" s="155"/>
      <c r="BV16" s="25"/>
      <c r="BY16" s="1">
        <f t="shared" si="19"/>
        <v>2.500812006496052</v>
      </c>
      <c r="BZ16" s="816">
        <f t="shared" si="20"/>
        <v>1.500812006496052</v>
      </c>
    </row>
    <row r="17" spans="1:78">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3"/>
        <v>0</v>
      </c>
      <c r="AR17" s="157">
        <f t="shared" si="43"/>
        <v>8</v>
      </c>
      <c r="AS17" s="155"/>
      <c r="AT17" s="25"/>
      <c r="AU17" s="27"/>
      <c r="AV17" s="157">
        <v>18.330641</v>
      </c>
      <c r="AW17" s="37">
        <v>15</v>
      </c>
      <c r="AX17" s="162">
        <v>9.2227200000000007</v>
      </c>
      <c r="AY17" s="162"/>
      <c r="AZ17" s="162">
        <v>11</v>
      </c>
      <c r="BA17" s="157">
        <f>+'Phụ lục số 1'!D17</f>
        <v>0</v>
      </c>
      <c r="BB17" s="252">
        <f>+'Phụ lục số 1'!J17</f>
        <v>10601</v>
      </c>
      <c r="BC17" s="252">
        <f>+'Phụ lục số 1'!Q17</f>
        <v>8500</v>
      </c>
      <c r="BD17" s="252">
        <f t="shared" si="44"/>
        <v>8500</v>
      </c>
      <c r="BE17" s="152">
        <f t="shared" si="45"/>
        <v>8515</v>
      </c>
      <c r="BF17" s="152">
        <f t="shared" si="46"/>
        <v>19139.553360999998</v>
      </c>
      <c r="BG17" s="155"/>
      <c r="BH17" s="25"/>
      <c r="BI17" s="288">
        <f>'Phụ lục số I'!W17</f>
        <v>5300</v>
      </c>
      <c r="BJ17" s="152">
        <f t="shared" si="47"/>
        <v>5300</v>
      </c>
      <c r="BK17" s="152">
        <f>'Phụ lục số I'!AC17</f>
        <v>6000</v>
      </c>
      <c r="BL17" s="152">
        <f t="shared" si="48"/>
        <v>6000</v>
      </c>
      <c r="BM17" s="157">
        <f>'Phụ lục số I'!AI17</f>
        <v>0</v>
      </c>
      <c r="BN17" s="157">
        <f t="shared" si="49"/>
        <v>0</v>
      </c>
      <c r="BO17" s="157">
        <f>'Phụ lục số I'!AO17</f>
        <v>0</v>
      </c>
      <c r="BP17" s="157">
        <f t="shared" si="50"/>
        <v>0</v>
      </c>
      <c r="BQ17" s="157">
        <f>'Phụ lục số I'!AU17</f>
        <v>0</v>
      </c>
      <c r="BR17" s="157">
        <f t="shared" si="51"/>
        <v>0</v>
      </c>
      <c r="BS17" s="157">
        <f t="shared" si="52"/>
        <v>11300</v>
      </c>
      <c r="BT17" s="157">
        <f t="shared" si="42"/>
        <v>11300</v>
      </c>
      <c r="BU17" s="155"/>
      <c r="BV17" s="25"/>
      <c r="BY17" s="1">
        <f t="shared" si="19"/>
        <v>963.72727272727275</v>
      </c>
      <c r="BZ17" s="816">
        <f t="shared" si="20"/>
        <v>962.72727272727275</v>
      </c>
    </row>
    <row r="18" spans="1:78">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3"/>
        <v>3200</v>
      </c>
      <c r="AR18" s="157">
        <f t="shared" si="43"/>
        <v>4447.7977529999998</v>
      </c>
      <c r="AS18" s="155"/>
      <c r="AT18" s="25"/>
      <c r="AU18" s="27"/>
      <c r="AV18" s="157"/>
      <c r="AW18" s="157"/>
      <c r="AX18" s="162"/>
      <c r="AY18" s="162"/>
      <c r="AZ18" s="162"/>
      <c r="BA18" s="157">
        <f>+'Phụ lục số 1'!D18</f>
        <v>0</v>
      </c>
      <c r="BB18" s="252">
        <f>+'Phụ lục số 1'!J18</f>
        <v>0</v>
      </c>
      <c r="BC18" s="252">
        <f>+'Phụ lục số 1'!Q18</f>
        <v>0</v>
      </c>
      <c r="BD18" s="252">
        <f t="shared" si="44"/>
        <v>0</v>
      </c>
      <c r="BE18" s="152">
        <f t="shared" si="45"/>
        <v>0</v>
      </c>
      <c r="BF18" s="152">
        <f t="shared" si="46"/>
        <v>0</v>
      </c>
      <c r="BG18" s="155"/>
      <c r="BH18" s="25"/>
      <c r="BI18" s="288">
        <f>'Phụ lục số I'!W18</f>
        <v>0</v>
      </c>
      <c r="BJ18" s="152">
        <f t="shared" si="47"/>
        <v>0</v>
      </c>
      <c r="BK18" s="152">
        <f>'Phụ lục số I'!AC18</f>
        <v>0</v>
      </c>
      <c r="BL18" s="152">
        <f t="shared" si="48"/>
        <v>0</v>
      </c>
      <c r="BM18" s="157">
        <f>'Phụ lục số I'!AI18</f>
        <v>0</v>
      </c>
      <c r="BN18" s="157">
        <f t="shared" si="49"/>
        <v>0</v>
      </c>
      <c r="BO18" s="157">
        <f>'Phụ lục số I'!AO18</f>
        <v>0</v>
      </c>
      <c r="BP18" s="157">
        <f t="shared" si="50"/>
        <v>0</v>
      </c>
      <c r="BQ18" s="157">
        <f>'Phụ lục số I'!AU18</f>
        <v>0</v>
      </c>
      <c r="BR18" s="157">
        <f t="shared" si="51"/>
        <v>0</v>
      </c>
      <c r="BS18" s="157">
        <f t="shared" si="52"/>
        <v>0</v>
      </c>
      <c r="BT18" s="157">
        <f t="shared" si="42"/>
        <v>0</v>
      </c>
      <c r="BU18" s="155"/>
      <c r="BV18" s="25"/>
      <c r="BY18" s="1" t="e">
        <f t="shared" si="19"/>
        <v>#DIV/0!</v>
      </c>
      <c r="BZ18" s="816" t="e">
        <f t="shared" si="20"/>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3">SUM(AA20:AA24)</f>
        <v>0</v>
      </c>
      <c r="AB19" s="142">
        <f t="shared" si="53"/>
        <v>332356</v>
      </c>
      <c r="AC19" s="157"/>
      <c r="AD19" s="142">
        <f t="shared" si="53"/>
        <v>1233390.7933670001</v>
      </c>
      <c r="AE19" s="155"/>
      <c r="AF19" s="280"/>
      <c r="AG19" s="18">
        <f t="shared" ref="AG19:AR19" si="54">SUM(AG20:AG24)</f>
        <v>380000</v>
      </c>
      <c r="AH19" s="142">
        <f t="shared" si="54"/>
        <v>323641.49329100002</v>
      </c>
      <c r="AI19" s="142">
        <f t="shared" si="54"/>
        <v>380000</v>
      </c>
      <c r="AJ19" s="142">
        <f t="shared" si="54"/>
        <v>386168</v>
      </c>
      <c r="AK19" s="163">
        <f t="shared" si="54"/>
        <v>320000</v>
      </c>
      <c r="AL19" s="163">
        <f t="shared" si="54"/>
        <v>385864</v>
      </c>
      <c r="AM19" s="163">
        <f t="shared" si="54"/>
        <v>440000</v>
      </c>
      <c r="AN19" s="163">
        <f t="shared" si="54"/>
        <v>479648</v>
      </c>
      <c r="AO19" s="163">
        <f t="shared" si="54"/>
        <v>515000</v>
      </c>
      <c r="AP19" s="163">
        <f t="shared" si="54"/>
        <v>456221</v>
      </c>
      <c r="AQ19" s="163">
        <f t="shared" si="54"/>
        <v>2035000</v>
      </c>
      <c r="AR19" s="163">
        <f t="shared" si="54"/>
        <v>2031542.4932909997</v>
      </c>
      <c r="AS19" s="246">
        <f>AR19/$AR$10</f>
        <v>5.4352572530410093E-2</v>
      </c>
      <c r="AT19" s="188">
        <f>(((AH19/AB19)*(AJ19/AH19)*(AL19/AJ19)*(AN19/AL19)*(AP19/AN19))^(1/5))-1</f>
        <v>6.5404065605520145E-2</v>
      </c>
      <c r="AU19" s="17">
        <f>SUM(AU20:AU24)</f>
        <v>535000</v>
      </c>
      <c r="AV19" s="163">
        <f t="shared" ref="AV19:BF19" si="55">SUM(AV20:AV24)</f>
        <v>286473</v>
      </c>
      <c r="AW19" s="163">
        <f t="shared" si="55"/>
        <v>300000</v>
      </c>
      <c r="AX19" s="163">
        <f t="shared" si="55"/>
        <v>391146.90633100003</v>
      </c>
      <c r="AY19" s="163">
        <f t="shared" si="55"/>
        <v>350000</v>
      </c>
      <c r="AZ19" s="163">
        <f t="shared" si="55"/>
        <v>281821</v>
      </c>
      <c r="BA19" s="163">
        <f t="shared" si="55"/>
        <v>300000</v>
      </c>
      <c r="BB19" s="191">
        <f t="shared" si="55"/>
        <v>300000.2</v>
      </c>
      <c r="BC19" s="163">
        <f t="shared" si="55"/>
        <v>360000</v>
      </c>
      <c r="BD19" s="163">
        <f t="shared" si="55"/>
        <v>360000</v>
      </c>
      <c r="BE19" s="213">
        <f t="shared" si="55"/>
        <v>1845000</v>
      </c>
      <c r="BF19" s="213">
        <f t="shared" si="55"/>
        <v>1619441.1063310001</v>
      </c>
      <c r="BG19" s="246">
        <f>BF19/$BF$10</f>
        <v>3.7480856124407214E-2</v>
      </c>
      <c r="BH19" s="247">
        <f>(((AV19/AP19)*(AX19/AV19)*(AZ19/AX19)*(BB19/AZ19))*(BD19/BB19))^(1/5)-1</f>
        <v>-4.6269995705681466E-2</v>
      </c>
      <c r="BI19" s="212">
        <f t="shared" ref="BI19:BT19" si="56">SUM(BI20:BI24)</f>
        <v>425000</v>
      </c>
      <c r="BJ19" s="213">
        <f t="shared" si="56"/>
        <v>425000</v>
      </c>
      <c r="BK19" s="213">
        <f t="shared" si="56"/>
        <v>450000</v>
      </c>
      <c r="BL19" s="213">
        <f t="shared" si="56"/>
        <v>450000</v>
      </c>
      <c r="BM19" s="163">
        <f t="shared" si="56"/>
        <v>620000</v>
      </c>
      <c r="BN19" s="163">
        <f t="shared" si="56"/>
        <v>620000</v>
      </c>
      <c r="BO19" s="163">
        <f t="shared" si="56"/>
        <v>690000</v>
      </c>
      <c r="BP19" s="163">
        <f t="shared" si="56"/>
        <v>690000</v>
      </c>
      <c r="BQ19" s="163">
        <f t="shared" si="56"/>
        <v>770000</v>
      </c>
      <c r="BR19" s="163">
        <f t="shared" si="56"/>
        <v>770000</v>
      </c>
      <c r="BS19" s="163">
        <f t="shared" si="56"/>
        <v>2955000</v>
      </c>
      <c r="BT19" s="163">
        <f t="shared" si="56"/>
        <v>2955000</v>
      </c>
      <c r="BU19" s="141">
        <f>BT19/$BT$10*100</f>
        <v>4.7410473167015086</v>
      </c>
      <c r="BV19" s="247">
        <f>(((BJ19/BD19)*(BL19/BJ19)*(BN19/BL19)*(BP19/BN19)*(BR19/BP19))^(1/5))-1</f>
        <v>0.16422694085903577</v>
      </c>
      <c r="BY19" s="1">
        <f t="shared" si="19"/>
        <v>1.0645061936477409</v>
      </c>
      <c r="BZ19" s="816">
        <f t="shared" si="20"/>
        <v>6.4506193647740906E-2</v>
      </c>
    </row>
    <row r="20" spans="1:78">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AR24" si="57">AH20+AJ20+AL20+AN20+AP20</f>
        <v>1345742.460367</v>
      </c>
      <c r="AS20" s="155"/>
      <c r="AT20" s="25"/>
      <c r="AU20" s="27">
        <v>358000</v>
      </c>
      <c r="AV20" s="162">
        <v>148040</v>
      </c>
      <c r="AW20" s="37">
        <f>180000-10000</f>
        <v>170000</v>
      </c>
      <c r="AX20" s="162">
        <v>196198.29964000001</v>
      </c>
      <c r="AY20" s="162">
        <v>183000</v>
      </c>
      <c r="AZ20" s="162">
        <f>134261</f>
        <v>134261</v>
      </c>
      <c r="BA20" s="157">
        <f>+'Phụ lục số 1'!D20</f>
        <v>110000</v>
      </c>
      <c r="BB20" s="252">
        <f>+'Phụ lục số 1'!J20</f>
        <v>190966.65</v>
      </c>
      <c r="BC20" s="157">
        <f>+'Phụ lục số 1'!Q20</f>
        <v>200000</v>
      </c>
      <c r="BD20" s="157">
        <f>BC20</f>
        <v>200000</v>
      </c>
      <c r="BE20" s="152">
        <f t="shared" ref="BE20" si="58">AU20+AW20+AY20+BA20+BC20</f>
        <v>1021000</v>
      </c>
      <c r="BF20" s="152">
        <f t="shared" ref="BF20" si="59">AV20+AX20+AZ20+BB20+BD20</f>
        <v>869465.94964000001</v>
      </c>
      <c r="BG20" s="155"/>
      <c r="BH20" s="25"/>
      <c r="BI20" s="288">
        <f>'Phụ lục số I'!W20</f>
        <v>245000</v>
      </c>
      <c r="BJ20" s="152">
        <f t="shared" si="47"/>
        <v>245000</v>
      </c>
      <c r="BK20" s="152">
        <f>'Phụ lục số I'!AC20</f>
        <v>260000</v>
      </c>
      <c r="BL20" s="152">
        <f t="shared" si="48"/>
        <v>260000</v>
      </c>
      <c r="BM20" s="157">
        <f>'Phụ lục số I'!AI20</f>
        <v>375000</v>
      </c>
      <c r="BN20" s="157">
        <f t="shared" si="49"/>
        <v>375000</v>
      </c>
      <c r="BO20" s="157">
        <f>'Phụ lục số I'!AO20</f>
        <v>420000</v>
      </c>
      <c r="BP20" s="157">
        <f t="shared" si="50"/>
        <v>420000</v>
      </c>
      <c r="BQ20" s="157">
        <f>'Phụ lục số I'!AU20</f>
        <v>469000</v>
      </c>
      <c r="BR20" s="157">
        <f t="shared" si="51"/>
        <v>469000</v>
      </c>
      <c r="BS20" s="157">
        <f t="shared" ref="BS20:BT24" si="60">BI20+BK20+BM20+BO20+BQ20</f>
        <v>1769000</v>
      </c>
      <c r="BT20" s="157">
        <f t="shared" si="60"/>
        <v>1769000</v>
      </c>
      <c r="BU20" s="155"/>
      <c r="BV20" s="25"/>
      <c r="BY20" s="1">
        <f t="shared" si="19"/>
        <v>1.4223538481018314</v>
      </c>
      <c r="BZ20" s="816">
        <f t="shared" si="20"/>
        <v>0.42235384810183141</v>
      </c>
    </row>
    <row r="21" spans="1:78">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61">AG21+AI21+AK21+AM21+AO21</f>
        <v>421000</v>
      </c>
      <c r="AR21" s="157">
        <f t="shared" si="57"/>
        <v>345563.10603100003</v>
      </c>
      <c r="AS21" s="155"/>
      <c r="AT21" s="25"/>
      <c r="AU21" s="27">
        <v>93000</v>
      </c>
      <c r="AV21" s="162">
        <v>61372</v>
      </c>
      <c r="AW21" s="37">
        <v>60000</v>
      </c>
      <c r="AX21" s="162">
        <v>90275.637803000005</v>
      </c>
      <c r="AY21" s="162">
        <v>65000</v>
      </c>
      <c r="AZ21" s="162">
        <v>76784</v>
      </c>
      <c r="BA21" s="157">
        <f>+'Phụ lục số 1'!D21</f>
        <v>106000</v>
      </c>
      <c r="BB21" s="252">
        <f>+'Phụ lục số 1'!J21</f>
        <v>76431.55</v>
      </c>
      <c r="BC21" s="157">
        <f>+'Phụ lục số 1'!Q21</f>
        <v>80000</v>
      </c>
      <c r="BD21" s="157">
        <f t="shared" ref="BD21:BD24" si="62">BC21</f>
        <v>80000</v>
      </c>
      <c r="BE21" s="152">
        <f t="shared" ref="BE21:BE24" si="63">AU21+AW21+AY21+BA21+BC21</f>
        <v>404000</v>
      </c>
      <c r="BF21" s="152">
        <f t="shared" ref="BF21:BF24" si="64">AV21+AX21+AZ21+BB21+BD21</f>
        <v>384863.18780299998</v>
      </c>
      <c r="BG21" s="155"/>
      <c r="BH21" s="25"/>
      <c r="BI21" s="288">
        <f>'Phụ lục số I'!W21</f>
        <v>90000</v>
      </c>
      <c r="BJ21" s="152">
        <f t="shared" si="47"/>
        <v>90000</v>
      </c>
      <c r="BK21" s="152">
        <f>'Phụ lục số I'!AC21</f>
        <v>95000</v>
      </c>
      <c r="BL21" s="152">
        <f t="shared" si="48"/>
        <v>95000</v>
      </c>
      <c r="BM21" s="157">
        <f>'Phụ lục số I'!AI21</f>
        <v>135000</v>
      </c>
      <c r="BN21" s="157">
        <f t="shared" si="49"/>
        <v>135000</v>
      </c>
      <c r="BO21" s="157">
        <f>'Phụ lục số I'!AO21</f>
        <v>150000</v>
      </c>
      <c r="BP21" s="157">
        <f t="shared" si="50"/>
        <v>150000</v>
      </c>
      <c r="BQ21" s="157">
        <f>'Phụ lục số I'!AU21</f>
        <v>166000</v>
      </c>
      <c r="BR21" s="157">
        <f t="shared" si="51"/>
        <v>166000</v>
      </c>
      <c r="BS21" s="157">
        <f t="shared" si="60"/>
        <v>636000</v>
      </c>
      <c r="BT21" s="157">
        <f t="shared" si="60"/>
        <v>636000</v>
      </c>
      <c r="BU21" s="155"/>
      <c r="BV21" s="25"/>
      <c r="BY21" s="1">
        <f t="shared" si="19"/>
        <v>0.99540985101062729</v>
      </c>
      <c r="BZ21" s="816">
        <f t="shared" si="20"/>
        <v>-4.590148989372711E-3</v>
      </c>
    </row>
    <row r="22" spans="1:78">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61"/>
        <v>90520</v>
      </c>
      <c r="AR22" s="157">
        <f t="shared" si="57"/>
        <v>83196.463602999997</v>
      </c>
      <c r="AS22" s="155"/>
      <c r="AT22" s="25"/>
      <c r="AU22" s="27"/>
      <c r="AV22" s="162"/>
      <c r="AW22" s="37">
        <v>0</v>
      </c>
      <c r="AX22" s="162"/>
      <c r="AY22" s="162"/>
      <c r="AZ22" s="162"/>
      <c r="BA22" s="157">
        <f>+'Phụ lục số 1'!D22</f>
        <v>0</v>
      </c>
      <c r="BB22" s="252">
        <f>+'Phụ lục số 1'!J22</f>
        <v>0</v>
      </c>
      <c r="BC22" s="157">
        <f>+'Phụ lục số 1'!Q22</f>
        <v>0</v>
      </c>
      <c r="BD22" s="157">
        <f t="shared" si="62"/>
        <v>0</v>
      </c>
      <c r="BE22" s="152">
        <f t="shared" si="63"/>
        <v>0</v>
      </c>
      <c r="BF22" s="152">
        <f t="shared" si="64"/>
        <v>0</v>
      </c>
      <c r="BG22" s="155"/>
      <c r="BH22" s="25"/>
      <c r="BI22" s="288">
        <f>'Phụ lục số I'!W22</f>
        <v>0</v>
      </c>
      <c r="BJ22" s="152">
        <f t="shared" si="47"/>
        <v>0</v>
      </c>
      <c r="BK22" s="152">
        <f>'Phụ lục số I'!AC22</f>
        <v>0</v>
      </c>
      <c r="BL22" s="152">
        <f t="shared" si="48"/>
        <v>0</v>
      </c>
      <c r="BM22" s="157">
        <f>'Phụ lục số I'!AI22</f>
        <v>0</v>
      </c>
      <c r="BN22" s="157">
        <f t="shared" si="49"/>
        <v>0</v>
      </c>
      <c r="BO22" s="157">
        <f>'Phụ lục số I'!AO22</f>
        <v>0</v>
      </c>
      <c r="BP22" s="157">
        <f t="shared" si="50"/>
        <v>0</v>
      </c>
      <c r="BQ22" s="157">
        <f>'Phụ lục số I'!AU22</f>
        <v>0</v>
      </c>
      <c r="BR22" s="157">
        <f t="shared" si="51"/>
        <v>0</v>
      </c>
      <c r="BS22" s="157">
        <f t="shared" si="60"/>
        <v>0</v>
      </c>
      <c r="BT22" s="157">
        <f t="shared" si="60"/>
        <v>0</v>
      </c>
      <c r="BU22" s="155"/>
      <c r="BV22" s="25"/>
      <c r="BY22" s="1" t="e">
        <f t="shared" si="19"/>
        <v>#DIV/0!</v>
      </c>
      <c r="BZ22" s="816" t="e">
        <f t="shared" si="20"/>
        <v>#DIV/0!</v>
      </c>
    </row>
    <row r="23" spans="1:78">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61"/>
        <v>142000</v>
      </c>
      <c r="AR23" s="157">
        <f t="shared" si="57"/>
        <v>239872.768671</v>
      </c>
      <c r="AS23" s="155"/>
      <c r="AT23" s="25"/>
      <c r="AU23" s="27">
        <v>84000</v>
      </c>
      <c r="AV23" s="162">
        <v>77061</v>
      </c>
      <c r="AW23" s="37">
        <v>70000</v>
      </c>
      <c r="AX23" s="162">
        <v>104672.968888</v>
      </c>
      <c r="AY23" s="162">
        <f>102000</f>
        <v>102000</v>
      </c>
      <c r="AZ23" s="162">
        <v>70776</v>
      </c>
      <c r="BA23" s="157">
        <f>+'Phụ lục số 1'!D23</f>
        <v>84000</v>
      </c>
      <c r="BB23" s="252">
        <f>+'Phụ lục số 1'!J23</f>
        <v>32602</v>
      </c>
      <c r="BC23" s="157">
        <f>+'Phụ lục số 1'!Q23</f>
        <v>80000</v>
      </c>
      <c r="BD23" s="157">
        <f t="shared" si="62"/>
        <v>80000</v>
      </c>
      <c r="BE23" s="152">
        <f t="shared" si="63"/>
        <v>420000</v>
      </c>
      <c r="BF23" s="152">
        <f t="shared" si="64"/>
        <v>365111.968888</v>
      </c>
      <c r="BG23" s="155"/>
      <c r="BH23" s="25"/>
      <c r="BI23" s="288">
        <f>'Phụ lục số I'!W23</f>
        <v>90000</v>
      </c>
      <c r="BJ23" s="152">
        <f t="shared" si="47"/>
        <v>90000</v>
      </c>
      <c r="BK23" s="152">
        <f>'Phụ lục số I'!AC23</f>
        <v>95000</v>
      </c>
      <c r="BL23" s="152">
        <f t="shared" si="48"/>
        <v>95000</v>
      </c>
      <c r="BM23" s="157">
        <f>'Phụ lục số I'!AI23</f>
        <v>110000</v>
      </c>
      <c r="BN23" s="157">
        <f t="shared" si="49"/>
        <v>110000</v>
      </c>
      <c r="BO23" s="157">
        <f>'Phụ lục số I'!AO23</f>
        <v>120000</v>
      </c>
      <c r="BP23" s="157">
        <f t="shared" si="50"/>
        <v>120000</v>
      </c>
      <c r="BQ23" s="157">
        <f>'Phụ lục số I'!AU23</f>
        <v>135000</v>
      </c>
      <c r="BR23" s="157">
        <f t="shared" si="51"/>
        <v>135000</v>
      </c>
      <c r="BS23" s="157">
        <f t="shared" si="60"/>
        <v>550000</v>
      </c>
      <c r="BT23" s="157">
        <f t="shared" si="60"/>
        <v>550000</v>
      </c>
      <c r="BU23" s="155"/>
      <c r="BV23" s="25"/>
      <c r="BY23" s="1">
        <f t="shared" si="19"/>
        <v>0.46063637391206058</v>
      </c>
      <c r="BZ23" s="816">
        <f t="shared" si="20"/>
        <v>-0.53936362608793942</v>
      </c>
    </row>
    <row r="24" spans="1:78">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61"/>
        <v>3080</v>
      </c>
      <c r="AR24" s="157">
        <f t="shared" si="57"/>
        <v>17167.694619000002</v>
      </c>
      <c r="AS24" s="155"/>
      <c r="AT24" s="25"/>
      <c r="AU24" s="27"/>
      <c r="AV24" s="157"/>
      <c r="AW24" s="157"/>
      <c r="AX24" s="162"/>
      <c r="AY24" s="162"/>
      <c r="AZ24" s="162"/>
      <c r="BA24" s="157">
        <f>+'Phụ lục số 1'!D24</f>
        <v>0</v>
      </c>
      <c r="BB24" s="252">
        <f>+'Phụ lục số 1'!J24</f>
        <v>0</v>
      </c>
      <c r="BC24" s="157">
        <f>+'Phụ lục số 1'!Q24</f>
        <v>0</v>
      </c>
      <c r="BD24" s="157">
        <f t="shared" si="62"/>
        <v>0</v>
      </c>
      <c r="BE24" s="152">
        <f t="shared" si="63"/>
        <v>0</v>
      </c>
      <c r="BF24" s="152">
        <f t="shared" si="64"/>
        <v>0</v>
      </c>
      <c r="BG24" s="155"/>
      <c r="BH24" s="25"/>
      <c r="BI24" s="288">
        <f>'Phụ lục số I'!W24</f>
        <v>0</v>
      </c>
      <c r="BJ24" s="152">
        <f t="shared" si="47"/>
        <v>0</v>
      </c>
      <c r="BK24" s="152">
        <f>'Phụ lục số I'!AC24</f>
        <v>0</v>
      </c>
      <c r="BL24" s="152">
        <f t="shared" si="48"/>
        <v>0</v>
      </c>
      <c r="BM24" s="157">
        <f>'Phụ lục số I'!AI24</f>
        <v>0</v>
      </c>
      <c r="BN24" s="157">
        <f t="shared" si="49"/>
        <v>0</v>
      </c>
      <c r="BO24" s="157">
        <f>'Phụ lục số I'!AO24</f>
        <v>0</v>
      </c>
      <c r="BP24" s="157">
        <f t="shared" si="50"/>
        <v>0</v>
      </c>
      <c r="BQ24" s="157">
        <f>'Phụ lục số I'!AU24</f>
        <v>0</v>
      </c>
      <c r="BR24" s="157">
        <f t="shared" si="51"/>
        <v>0</v>
      </c>
      <c r="BS24" s="157">
        <f t="shared" si="60"/>
        <v>0</v>
      </c>
      <c r="BT24" s="157">
        <f t="shared" si="60"/>
        <v>0</v>
      </c>
      <c r="BU24" s="155"/>
      <c r="BV24" s="25"/>
      <c r="BY24" s="1" t="e">
        <f t="shared" si="19"/>
        <v>#DIV/0!</v>
      </c>
      <c r="BZ24" s="816" t="e">
        <f t="shared" si="20"/>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65">SUM(AA26:AA29)</f>
        <v>0</v>
      </c>
      <c r="AB25" s="142">
        <f t="shared" si="65"/>
        <v>69494</v>
      </c>
      <c r="AC25" s="142"/>
      <c r="AD25" s="142">
        <f t="shared" si="65"/>
        <v>128076.541558</v>
      </c>
      <c r="AE25" s="158"/>
      <c r="AF25" s="281"/>
      <c r="AG25" s="18">
        <f t="shared" ref="AG25:AR25" si="66">SUM(AG26:AG29)</f>
        <v>80000</v>
      </c>
      <c r="AH25" s="142">
        <f t="shared" si="66"/>
        <v>61937.876487999994</v>
      </c>
      <c r="AI25" s="142">
        <f t="shared" si="66"/>
        <v>70000</v>
      </c>
      <c r="AJ25" s="142">
        <f t="shared" si="66"/>
        <v>49784</v>
      </c>
      <c r="AK25" s="163">
        <f t="shared" si="66"/>
        <v>31000</v>
      </c>
      <c r="AL25" s="163">
        <f t="shared" si="66"/>
        <v>35833</v>
      </c>
      <c r="AM25" s="163">
        <f t="shared" si="66"/>
        <v>33000</v>
      </c>
      <c r="AN25" s="163">
        <f t="shared" si="66"/>
        <v>79845</v>
      </c>
      <c r="AO25" s="163">
        <f t="shared" si="66"/>
        <v>60000</v>
      </c>
      <c r="AP25" s="163">
        <f t="shared" si="66"/>
        <v>110158</v>
      </c>
      <c r="AQ25" s="163">
        <f t="shared" si="66"/>
        <v>274000</v>
      </c>
      <c r="AR25" s="163">
        <f t="shared" si="66"/>
        <v>337557.87648799998</v>
      </c>
      <c r="AS25" s="246">
        <f>AR25/$AR$10</f>
        <v>9.0311371903935705E-3</v>
      </c>
      <c r="AT25" s="188">
        <f>(((AH25/AB25)*(AJ25/AH25)*(AL25/AJ25)*(AN25/AL25)*(AP25/AN25))^(1/5))-1</f>
        <v>9.65129029329721E-2</v>
      </c>
      <c r="AU25" s="17">
        <f>SUM(AU26:AU29)</f>
        <v>70000</v>
      </c>
      <c r="AV25" s="163">
        <f>SUM(AV26:AV29)</f>
        <v>70477</v>
      </c>
      <c r="AW25" s="163">
        <f t="shared" ref="AW25:BF25" si="67">SUM(AW26:AW29)</f>
        <v>74000</v>
      </c>
      <c r="AX25" s="163">
        <f t="shared" si="67"/>
        <v>74729.223614999995</v>
      </c>
      <c r="AY25" s="163">
        <f t="shared" si="67"/>
        <v>70000</v>
      </c>
      <c r="AZ25" s="163">
        <f t="shared" si="67"/>
        <v>63555</v>
      </c>
      <c r="BA25" s="163">
        <f t="shared" si="67"/>
        <v>75000</v>
      </c>
      <c r="BB25" s="191">
        <f t="shared" si="67"/>
        <v>107000</v>
      </c>
      <c r="BC25" s="163">
        <f t="shared" si="67"/>
        <v>70000</v>
      </c>
      <c r="BD25" s="163">
        <f t="shared" si="67"/>
        <v>70000</v>
      </c>
      <c r="BE25" s="213">
        <f t="shared" si="67"/>
        <v>359000</v>
      </c>
      <c r="BF25" s="213">
        <f t="shared" si="67"/>
        <v>385761.22361500002</v>
      </c>
      <c r="BG25" s="246">
        <f>BF25/$BF$10</f>
        <v>8.9281795208018301E-3</v>
      </c>
      <c r="BH25" s="247">
        <f>(((AV25/AP25)*(AX25/AV25)*(AZ25/AX25)*(BB25/AZ25))*(BD25/BB25))^(1/5)-1</f>
        <v>-8.669381335305093E-2</v>
      </c>
      <c r="BI25" s="212">
        <f t="shared" ref="BI25:BT25" si="68">SUM(BI26:BI29)</f>
        <v>90000</v>
      </c>
      <c r="BJ25" s="213">
        <f t="shared" si="68"/>
        <v>90000</v>
      </c>
      <c r="BK25" s="213">
        <f t="shared" si="68"/>
        <v>95000</v>
      </c>
      <c r="BL25" s="213">
        <f t="shared" si="68"/>
        <v>95000</v>
      </c>
      <c r="BM25" s="163">
        <f t="shared" si="68"/>
        <v>130000</v>
      </c>
      <c r="BN25" s="163">
        <f t="shared" si="68"/>
        <v>130000</v>
      </c>
      <c r="BO25" s="163">
        <f t="shared" si="68"/>
        <v>140000</v>
      </c>
      <c r="BP25" s="163">
        <f t="shared" si="68"/>
        <v>140000</v>
      </c>
      <c r="BQ25" s="163">
        <f t="shared" si="68"/>
        <v>153000</v>
      </c>
      <c r="BR25" s="163">
        <f t="shared" si="68"/>
        <v>153000</v>
      </c>
      <c r="BS25" s="163">
        <f t="shared" si="68"/>
        <v>608000</v>
      </c>
      <c r="BT25" s="163">
        <f t="shared" si="68"/>
        <v>608000</v>
      </c>
      <c r="BU25" s="141">
        <f>BT25/$BT$10*100</f>
        <v>0.97548452404552177</v>
      </c>
      <c r="BV25" s="247">
        <f>(((BJ25/BD25)*(BL25/BJ25)*(BN25/BL25)*(BP25/BN25)*(BR25/BP25))^(1/5))-1</f>
        <v>0.16928042222844653</v>
      </c>
      <c r="BY25" s="1">
        <f t="shared" si="19"/>
        <v>1.6835811501848792</v>
      </c>
      <c r="BZ25" s="816">
        <f t="shared" si="20"/>
        <v>0.68358115018487919</v>
      </c>
    </row>
    <row r="26" spans="1:78">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AR29" si="69">AG26+AI26+AK26+AM26+AO26</f>
        <v>138660</v>
      </c>
      <c r="AR26" s="157">
        <f t="shared" si="69"/>
        <v>95223.532594000004</v>
      </c>
      <c r="AS26" s="155"/>
      <c r="AT26" s="25"/>
      <c r="AU26" s="27">
        <v>14900</v>
      </c>
      <c r="AV26" s="157">
        <v>12269</v>
      </c>
      <c r="AW26" s="37">
        <v>11000</v>
      </c>
      <c r="AX26" s="162">
        <v>16615.627700000001</v>
      </c>
      <c r="AY26" s="162">
        <v>18000</v>
      </c>
      <c r="AZ26" s="162">
        <v>15580</v>
      </c>
      <c r="BA26" s="157">
        <f>+'Phụ lục số 1'!D26</f>
        <v>16000</v>
      </c>
      <c r="BB26" s="252">
        <f>+'Phụ lục số 1'!J26</f>
        <v>9893</v>
      </c>
      <c r="BC26" s="157">
        <f>+'Phụ lục số 1'!Q26</f>
        <v>16000</v>
      </c>
      <c r="BD26" s="157">
        <f>BC26</f>
        <v>16000</v>
      </c>
      <c r="BE26" s="152">
        <f t="shared" ref="BE26" si="70">AU26+AW26+AY26+BA26+BC26</f>
        <v>75900</v>
      </c>
      <c r="BF26" s="152">
        <f t="shared" ref="BF26" si="71">AV26+AX26+AZ26+BB26+BD26</f>
        <v>70357.627699999997</v>
      </c>
      <c r="BG26" s="155"/>
      <c r="BH26" s="25"/>
      <c r="BI26" s="288">
        <f>'Phụ lục số I'!W26</f>
        <v>18000</v>
      </c>
      <c r="BJ26" s="152">
        <f t="shared" si="47"/>
        <v>18000</v>
      </c>
      <c r="BK26" s="152">
        <f>'Phụ lục số I'!AC26</f>
        <v>19000</v>
      </c>
      <c r="BL26" s="152">
        <f t="shared" si="48"/>
        <v>19000</v>
      </c>
      <c r="BM26" s="157">
        <f>'Phụ lục số I'!AI26</f>
        <v>28000</v>
      </c>
      <c r="BN26" s="157">
        <f t="shared" si="49"/>
        <v>28000</v>
      </c>
      <c r="BO26" s="157">
        <f>'Phụ lục số I'!AO26</f>
        <v>30000</v>
      </c>
      <c r="BP26" s="157">
        <f t="shared" si="50"/>
        <v>30000</v>
      </c>
      <c r="BQ26" s="157">
        <f>'Phụ lục số I'!AU26</f>
        <v>32500</v>
      </c>
      <c r="BR26" s="157">
        <f t="shared" si="51"/>
        <v>32500</v>
      </c>
      <c r="BS26" s="157">
        <f t="shared" ref="BS26:BT29" si="72">BI26+BK26+BM26+BO26+BQ26</f>
        <v>127500</v>
      </c>
      <c r="BT26" s="157">
        <f t="shared" si="72"/>
        <v>127500</v>
      </c>
      <c r="BU26" s="155"/>
      <c r="BV26" s="25"/>
      <c r="BY26" s="1">
        <f t="shared" si="19"/>
        <v>0.63498074454428755</v>
      </c>
      <c r="BZ26" s="816">
        <f t="shared" si="20"/>
        <v>-0.36501925545571245</v>
      </c>
    </row>
    <row r="27" spans="1:78">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si="69"/>
        <v>134780</v>
      </c>
      <c r="AR27" s="157">
        <f t="shared" si="69"/>
        <v>241267.97168299998</v>
      </c>
      <c r="AS27" s="155"/>
      <c r="AT27" s="25"/>
      <c r="AU27" s="27">
        <v>55000</v>
      </c>
      <c r="AV27" s="157">
        <v>58187</v>
      </c>
      <c r="AW27" s="37">
        <v>63000</v>
      </c>
      <c r="AX27" s="162">
        <v>58096.966274999999</v>
      </c>
      <c r="AY27" s="162">
        <v>52000</v>
      </c>
      <c r="AZ27" s="162">
        <v>47965</v>
      </c>
      <c r="BA27" s="157">
        <f>+'Phụ lục số 1'!D27</f>
        <v>59000</v>
      </c>
      <c r="BB27" s="252">
        <f>+'Phụ lục số 1'!J27</f>
        <v>97094</v>
      </c>
      <c r="BC27" s="157">
        <f>+'Phụ lục số 1'!Q27</f>
        <v>54000</v>
      </c>
      <c r="BD27" s="157">
        <f t="shared" ref="BD27:BD29" si="73">BC27</f>
        <v>54000</v>
      </c>
      <c r="BE27" s="152">
        <f t="shared" ref="BE27:BE29" si="74">AU27+AW27+AY27+BA27+BC27</f>
        <v>283000</v>
      </c>
      <c r="BF27" s="152">
        <f t="shared" ref="BF27:BF29" si="75">AV27+AX27+AZ27+BB27+BD27</f>
        <v>315342.96627500001</v>
      </c>
      <c r="BG27" s="155"/>
      <c r="BH27" s="25"/>
      <c r="BI27" s="288">
        <f>'Phụ lục số I'!W27</f>
        <v>72000</v>
      </c>
      <c r="BJ27" s="152">
        <f t="shared" si="47"/>
        <v>72000</v>
      </c>
      <c r="BK27" s="152">
        <f>'Phụ lục số I'!AC27</f>
        <v>76000</v>
      </c>
      <c r="BL27" s="152">
        <f t="shared" si="48"/>
        <v>76000</v>
      </c>
      <c r="BM27" s="157">
        <f>'Phụ lục số I'!AI27</f>
        <v>102000</v>
      </c>
      <c r="BN27" s="157">
        <f t="shared" si="49"/>
        <v>102000</v>
      </c>
      <c r="BO27" s="157">
        <f>'Phụ lục số I'!AO27</f>
        <v>110000</v>
      </c>
      <c r="BP27" s="157">
        <f t="shared" si="50"/>
        <v>110000</v>
      </c>
      <c r="BQ27" s="157">
        <f>'Phụ lục số I'!AU27</f>
        <v>120500</v>
      </c>
      <c r="BR27" s="157">
        <f t="shared" si="51"/>
        <v>120500</v>
      </c>
      <c r="BS27" s="157">
        <f t="shared" si="72"/>
        <v>480500</v>
      </c>
      <c r="BT27" s="157">
        <f t="shared" si="72"/>
        <v>480500</v>
      </c>
      <c r="BU27" s="155"/>
      <c r="BV27" s="25"/>
      <c r="BY27" s="1">
        <f t="shared" si="19"/>
        <v>2.0242676951944127</v>
      </c>
      <c r="BZ27" s="816">
        <f t="shared" si="20"/>
        <v>1.0242676951944127</v>
      </c>
    </row>
    <row r="28" spans="1:78">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69"/>
        <v>405</v>
      </c>
      <c r="AR28" s="157">
        <f t="shared" si="69"/>
        <v>388.99158999999997</v>
      </c>
      <c r="AS28" s="155"/>
      <c r="AT28" s="25"/>
      <c r="AU28" s="27">
        <v>100</v>
      </c>
      <c r="AV28" s="157">
        <v>21</v>
      </c>
      <c r="AW28" s="157"/>
      <c r="AX28" s="162">
        <v>16.629639999999998</v>
      </c>
      <c r="AY28" s="162"/>
      <c r="AZ28" s="162">
        <v>10</v>
      </c>
      <c r="BA28" s="157">
        <f>+'Phụ lục số 1'!D28</f>
        <v>0</v>
      </c>
      <c r="BB28" s="252">
        <f>+'Phụ lục số 1'!J28</f>
        <v>13</v>
      </c>
      <c r="BC28" s="157">
        <f>+'Phụ lục số 1'!Q28</f>
        <v>0</v>
      </c>
      <c r="BD28" s="157">
        <f t="shared" si="73"/>
        <v>0</v>
      </c>
      <c r="BE28" s="152">
        <f t="shared" si="74"/>
        <v>100</v>
      </c>
      <c r="BF28" s="152">
        <f t="shared" si="75"/>
        <v>60.629639999999995</v>
      </c>
      <c r="BG28" s="155"/>
      <c r="BH28" s="25"/>
      <c r="BI28" s="288">
        <f>'Phụ lục số I'!W28</f>
        <v>0</v>
      </c>
      <c r="BJ28" s="152">
        <f t="shared" si="47"/>
        <v>0</v>
      </c>
      <c r="BK28" s="152">
        <f>'Phụ lục số I'!AC28</f>
        <v>0</v>
      </c>
      <c r="BL28" s="152">
        <f t="shared" si="48"/>
        <v>0</v>
      </c>
      <c r="BM28" s="157">
        <f>'Phụ lục số I'!AI28</f>
        <v>0</v>
      </c>
      <c r="BN28" s="157">
        <f t="shared" si="49"/>
        <v>0</v>
      </c>
      <c r="BO28" s="157">
        <f>'Phụ lục số I'!AO28</f>
        <v>0</v>
      </c>
      <c r="BP28" s="157">
        <f t="shared" si="50"/>
        <v>0</v>
      </c>
      <c r="BQ28" s="157">
        <f>'Phụ lục số I'!AU28</f>
        <v>0</v>
      </c>
      <c r="BR28" s="157">
        <f t="shared" si="51"/>
        <v>0</v>
      </c>
      <c r="BS28" s="157">
        <f t="shared" si="72"/>
        <v>0</v>
      </c>
      <c r="BT28" s="157">
        <f t="shared" si="72"/>
        <v>0</v>
      </c>
      <c r="BU28" s="155"/>
      <c r="BV28" s="25"/>
      <c r="BY28" s="1">
        <f t="shared" si="19"/>
        <v>1.3</v>
      </c>
      <c r="BZ28" s="816">
        <f t="shared" si="20"/>
        <v>0.30000000000000004</v>
      </c>
    </row>
    <row r="29" spans="1:78">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69"/>
        <v>155</v>
      </c>
      <c r="AR29" s="157">
        <f t="shared" si="69"/>
        <v>677.38062100000002</v>
      </c>
      <c r="AS29" s="155"/>
      <c r="AT29" s="25"/>
      <c r="AU29" s="27"/>
      <c r="AV29" s="157"/>
      <c r="AW29" s="157"/>
      <c r="AX29" s="162"/>
      <c r="AY29" s="162"/>
      <c r="AZ29" s="162"/>
      <c r="BA29" s="157">
        <f>+'Phụ lục số 1'!D29</f>
        <v>0</v>
      </c>
      <c r="BB29" s="252">
        <f>+'Phụ lục số 1'!J29</f>
        <v>0</v>
      </c>
      <c r="BC29" s="157">
        <f>+'Phụ lục số 1'!Q29</f>
        <v>0</v>
      </c>
      <c r="BD29" s="157">
        <f t="shared" si="73"/>
        <v>0</v>
      </c>
      <c r="BE29" s="152">
        <f t="shared" si="74"/>
        <v>0</v>
      </c>
      <c r="BF29" s="152">
        <f t="shared" si="75"/>
        <v>0</v>
      </c>
      <c r="BG29" s="155"/>
      <c r="BH29" s="25"/>
      <c r="BI29" s="288">
        <f>'Phụ lục số I'!W29</f>
        <v>0</v>
      </c>
      <c r="BJ29" s="152">
        <f t="shared" si="47"/>
        <v>0</v>
      </c>
      <c r="BK29" s="152">
        <f>'Phụ lục số I'!AC29</f>
        <v>0</v>
      </c>
      <c r="BL29" s="152">
        <f t="shared" si="48"/>
        <v>0</v>
      </c>
      <c r="BM29" s="157">
        <f>'Phụ lục số I'!AI29</f>
        <v>0</v>
      </c>
      <c r="BN29" s="157">
        <f t="shared" si="49"/>
        <v>0</v>
      </c>
      <c r="BO29" s="157">
        <f>'Phụ lục số I'!AO29</f>
        <v>0</v>
      </c>
      <c r="BP29" s="157">
        <f t="shared" si="50"/>
        <v>0</v>
      </c>
      <c r="BQ29" s="157">
        <f>'Phụ lục số I'!AU29</f>
        <v>0</v>
      </c>
      <c r="BR29" s="157">
        <f t="shared" si="51"/>
        <v>0</v>
      </c>
      <c r="BS29" s="157">
        <f t="shared" si="72"/>
        <v>0</v>
      </c>
      <c r="BT29" s="157">
        <f t="shared" si="72"/>
        <v>0</v>
      </c>
      <c r="BU29" s="155"/>
      <c r="BV29" s="25"/>
      <c r="BY29" s="1" t="e">
        <f t="shared" si="19"/>
        <v>#DIV/0!</v>
      </c>
      <c r="BZ29" s="816" t="e">
        <f t="shared" si="20"/>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76">SUM(AA31:AA35)</f>
        <v>0</v>
      </c>
      <c r="AB30" s="142">
        <f t="shared" si="76"/>
        <v>586685</v>
      </c>
      <c r="AC30" s="142"/>
      <c r="AD30" s="142">
        <f t="shared" si="76"/>
        <v>4501531.7419980001</v>
      </c>
      <c r="AE30" s="158"/>
      <c r="AF30" s="281"/>
      <c r="AG30" s="18">
        <f t="shared" ref="AG30:AR30" si="77">SUM(AG31:AG35)</f>
        <v>710000</v>
      </c>
      <c r="AH30" s="142">
        <f t="shared" si="77"/>
        <v>674043.93978600006</v>
      </c>
      <c r="AI30" s="142">
        <f t="shared" si="77"/>
        <v>720000</v>
      </c>
      <c r="AJ30" s="142">
        <f t="shared" si="77"/>
        <v>895286.8</v>
      </c>
      <c r="AK30" s="163">
        <f t="shared" si="77"/>
        <v>860000</v>
      </c>
      <c r="AL30" s="163">
        <f t="shared" si="77"/>
        <v>943678</v>
      </c>
      <c r="AM30" s="163">
        <f t="shared" si="77"/>
        <v>960000</v>
      </c>
      <c r="AN30" s="163">
        <f t="shared" si="77"/>
        <v>1430939</v>
      </c>
      <c r="AO30" s="163">
        <f t="shared" si="77"/>
        <v>1410000</v>
      </c>
      <c r="AP30" s="163">
        <f t="shared" si="77"/>
        <v>1265122</v>
      </c>
      <c r="AQ30" s="163">
        <f t="shared" si="77"/>
        <v>4660000</v>
      </c>
      <c r="AR30" s="163">
        <f t="shared" si="77"/>
        <v>5209069.739786</v>
      </c>
      <c r="AS30" s="246">
        <f>AR30/$AR$10</f>
        <v>0.13936520736469171</v>
      </c>
      <c r="AT30" s="188">
        <f>(((AH30/AB30)*(AJ30/AH30)*(AL30/AJ30)*(AN30/AL30)*(AP30/AN30))^(1/5))-1</f>
        <v>0.16612601658817661</v>
      </c>
      <c r="AU30" s="17">
        <f>SUM(AU31:AU35)</f>
        <v>1315000</v>
      </c>
      <c r="AV30" s="163">
        <f t="shared" ref="AV30:BF30" si="78">SUM(AV31:AV35)</f>
        <v>1132030.9213759999</v>
      </c>
      <c r="AW30" s="163">
        <f t="shared" si="78"/>
        <v>945000</v>
      </c>
      <c r="AX30" s="163">
        <f t="shared" si="78"/>
        <v>1184280.3315290001</v>
      </c>
      <c r="AY30" s="163">
        <f t="shared" si="78"/>
        <v>1265000</v>
      </c>
      <c r="AZ30" s="163">
        <f t="shared" si="78"/>
        <v>1585808</v>
      </c>
      <c r="BA30" s="163">
        <f t="shared" si="78"/>
        <v>1701000</v>
      </c>
      <c r="BB30" s="191">
        <f t="shared" si="78"/>
        <v>1400000.3199999998</v>
      </c>
      <c r="BC30" s="163">
        <f t="shared" si="78"/>
        <v>1550000</v>
      </c>
      <c r="BD30" s="163">
        <f t="shared" si="78"/>
        <v>1550000</v>
      </c>
      <c r="BE30" s="213">
        <f t="shared" si="78"/>
        <v>6776000</v>
      </c>
      <c r="BF30" s="213">
        <f t="shared" si="78"/>
        <v>6852119.5729050003</v>
      </c>
      <c r="BG30" s="257">
        <f>BF30/$BF$10</f>
        <v>0.15858761819449235</v>
      </c>
      <c r="BH30" s="247">
        <f>(((AV30/AP30)*(AX30/AV30)*(AZ30/AX30)*(BB30/AZ30))*(BD30/BB30))^(1/5)-1</f>
        <v>4.1453438100391482E-2</v>
      </c>
      <c r="BI30" s="212">
        <f t="shared" ref="BI30:BT30" si="79">SUM(BI31:BI35)</f>
        <v>1625000</v>
      </c>
      <c r="BJ30" s="213">
        <f t="shared" si="79"/>
        <v>1625000</v>
      </c>
      <c r="BK30" s="213">
        <f t="shared" si="79"/>
        <v>1716000</v>
      </c>
      <c r="BL30" s="213">
        <f t="shared" si="79"/>
        <v>1716000</v>
      </c>
      <c r="BM30" s="163">
        <f t="shared" si="79"/>
        <v>2190000</v>
      </c>
      <c r="BN30" s="163">
        <f t="shared" si="79"/>
        <v>2190000</v>
      </c>
      <c r="BO30" s="163">
        <f t="shared" si="79"/>
        <v>2430000</v>
      </c>
      <c r="BP30" s="163">
        <f t="shared" si="79"/>
        <v>2430000</v>
      </c>
      <c r="BQ30" s="163">
        <f t="shared" si="79"/>
        <v>2730000</v>
      </c>
      <c r="BR30" s="163">
        <f t="shared" si="79"/>
        <v>2730000</v>
      </c>
      <c r="BS30" s="163">
        <f t="shared" si="79"/>
        <v>10691000</v>
      </c>
      <c r="BT30" s="163">
        <f t="shared" si="79"/>
        <v>10691000</v>
      </c>
      <c r="BU30" s="141">
        <f>BT30/$BT$10*100</f>
        <v>17.152804352912295</v>
      </c>
      <c r="BV30" s="247">
        <f>(((BJ30/BD30)*(BL30/BJ30)*(BN30/BL30)*(BP30/BN30)*(BR30/BP30))^(1/5))-1</f>
        <v>0.1198663363641892</v>
      </c>
      <c r="BY30" s="1">
        <f t="shared" si="19"/>
        <v>0.88283091017323645</v>
      </c>
      <c r="BZ30" s="816">
        <f t="shared" si="20"/>
        <v>-0.11716908982676355</v>
      </c>
    </row>
    <row r="31" spans="1:78">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AR46" si="80">AG31+AI31+AK31+AM31+AO31</f>
        <v>2478195</v>
      </c>
      <c r="AR31" s="157">
        <f t="shared" si="80"/>
        <v>2568453.1766379997</v>
      </c>
      <c r="AS31" s="155"/>
      <c r="AT31" s="25"/>
      <c r="AU31" s="27">
        <v>606070</v>
      </c>
      <c r="AV31" s="157">
        <v>565671.13478099997</v>
      </c>
      <c r="AW31" s="157">
        <v>507290</v>
      </c>
      <c r="AX31" s="162">
        <v>628435.35135300003</v>
      </c>
      <c r="AY31" s="162">
        <f>728000</f>
        <v>728000</v>
      </c>
      <c r="AZ31" s="162">
        <v>687812</v>
      </c>
      <c r="BA31" s="157">
        <f>+'Phụ lục số 1'!D31</f>
        <v>724290</v>
      </c>
      <c r="BB31" s="252">
        <f>+'Phụ lục số 1'!J31</f>
        <v>709366.96</v>
      </c>
      <c r="BC31" s="157">
        <f>+'Phụ lục số 1'!Q31</f>
        <v>757000</v>
      </c>
      <c r="BD31" s="157">
        <f>BC31</f>
        <v>757000</v>
      </c>
      <c r="BE31" s="152">
        <f t="shared" ref="BE31" si="81">AU31+AW31+AY31+BA31+BC31</f>
        <v>3322650</v>
      </c>
      <c r="BF31" s="152">
        <f t="shared" ref="BF31" si="82">AV31+AX31+AZ31+BB31+BD31</f>
        <v>3348285.4461340001</v>
      </c>
      <c r="BG31" s="155"/>
      <c r="BH31" s="25"/>
      <c r="BI31" s="288">
        <f>'Phụ lục số I'!W31</f>
        <v>860000</v>
      </c>
      <c r="BJ31" s="152">
        <f t="shared" si="47"/>
        <v>860000</v>
      </c>
      <c r="BK31" s="152">
        <f>'Phụ lục số I'!AC31</f>
        <v>906000</v>
      </c>
      <c r="BL31" s="152">
        <f t="shared" si="48"/>
        <v>906000</v>
      </c>
      <c r="BM31" s="157">
        <f>'Phụ lục số I'!AI31</f>
        <v>1149100</v>
      </c>
      <c r="BN31" s="157">
        <f t="shared" si="49"/>
        <v>1149100</v>
      </c>
      <c r="BO31" s="157">
        <f>'Phụ lục số I'!AO31</f>
        <v>1285100</v>
      </c>
      <c r="BP31" s="157">
        <f t="shared" si="50"/>
        <v>1285100</v>
      </c>
      <c r="BQ31" s="157">
        <f>'Phụ lục số I'!AU31</f>
        <v>1435100</v>
      </c>
      <c r="BR31" s="157">
        <f t="shared" si="51"/>
        <v>1435100</v>
      </c>
      <c r="BS31" s="157">
        <f t="shared" ref="BS31:BT46" si="83">BI31+BK31+BM31+BO31+BQ31</f>
        <v>5635300</v>
      </c>
      <c r="BT31" s="157">
        <f t="shared" si="83"/>
        <v>5635300</v>
      </c>
      <c r="BU31" s="155"/>
      <c r="BV31" s="25"/>
      <c r="BY31" s="1">
        <f t="shared" si="19"/>
        <v>1.0313384471338098</v>
      </c>
      <c r="BZ31" s="816">
        <f t="shared" si="20"/>
        <v>3.1338447133809844E-2</v>
      </c>
    </row>
    <row r="32" spans="1:78">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si="80"/>
        <v>1939390</v>
      </c>
      <c r="AR32" s="157">
        <f t="shared" si="80"/>
        <v>2251795.5465150001</v>
      </c>
      <c r="AS32" s="155"/>
      <c r="AT32" s="25"/>
      <c r="AU32" s="27">
        <v>559240</v>
      </c>
      <c r="AV32" s="157">
        <v>81326.486615000002</v>
      </c>
      <c r="AW32" s="157">
        <v>337490</v>
      </c>
      <c r="AX32" s="162">
        <v>80519.551053000003</v>
      </c>
      <c r="AY32" s="162">
        <v>441000</v>
      </c>
      <c r="AZ32" s="162">
        <f>847094</f>
        <v>847094</v>
      </c>
      <c r="BA32" s="157">
        <f>+'Phụ lục số 1'!D32</f>
        <v>905790</v>
      </c>
      <c r="BB32" s="252">
        <f>+'Phụ lục số 1'!J32</f>
        <v>598247.69999999995</v>
      </c>
      <c r="BC32" s="157">
        <f>+'Phụ lục số 1'!Q32</f>
        <v>720000</v>
      </c>
      <c r="BD32" s="157">
        <f t="shared" ref="BD32:BD50" si="84">BC32</f>
        <v>720000</v>
      </c>
      <c r="BE32" s="152">
        <f t="shared" ref="BE32:BE50" si="85">AU32+AW32+AY32+BA32+BC32</f>
        <v>2963520</v>
      </c>
      <c r="BF32" s="152">
        <f t="shared" ref="BF32:BF50" si="86">AV32+AX32+AZ32+BB32+BD32</f>
        <v>2327187.7376680002</v>
      </c>
      <c r="BG32" s="155"/>
      <c r="BH32" s="25"/>
      <c r="BI32" s="288">
        <f>'Phụ lục số I'!W32</f>
        <v>688000</v>
      </c>
      <c r="BJ32" s="152">
        <f t="shared" si="47"/>
        <v>688000</v>
      </c>
      <c r="BK32" s="152">
        <f>'Phụ lục số I'!AC32</f>
        <v>728000</v>
      </c>
      <c r="BL32" s="152">
        <f t="shared" si="48"/>
        <v>728000</v>
      </c>
      <c r="BM32" s="157">
        <f>'Phụ lục số I'!AI32</f>
        <v>935000</v>
      </c>
      <c r="BN32" s="157">
        <f t="shared" si="49"/>
        <v>935000</v>
      </c>
      <c r="BO32" s="157">
        <f>'Phụ lục số I'!AO32</f>
        <v>1030000</v>
      </c>
      <c r="BP32" s="157">
        <f t="shared" si="50"/>
        <v>1030000</v>
      </c>
      <c r="BQ32" s="157">
        <f>'Phụ lục số I'!AU32</f>
        <v>1170000</v>
      </c>
      <c r="BR32" s="157">
        <f t="shared" si="51"/>
        <v>1170000</v>
      </c>
      <c r="BS32" s="157">
        <f t="shared" si="83"/>
        <v>4551000</v>
      </c>
      <c r="BT32" s="157">
        <f t="shared" si="83"/>
        <v>4551000</v>
      </c>
      <c r="BU32" s="155"/>
      <c r="BV32" s="25"/>
      <c r="BY32" s="1">
        <f t="shared" si="19"/>
        <v>0.70623531745001145</v>
      </c>
      <c r="BZ32" s="816">
        <f t="shared" si="20"/>
        <v>-0.29376468254998855</v>
      </c>
    </row>
    <row r="33" spans="1:78">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80"/>
        <v>110585</v>
      </c>
      <c r="AR33" s="157">
        <f t="shared" si="80"/>
        <v>254832.06813199999</v>
      </c>
      <c r="AS33" s="155"/>
      <c r="AT33" s="25"/>
      <c r="AU33" s="27">
        <v>130750</v>
      </c>
      <c r="AV33" s="157">
        <v>476960.13871999999</v>
      </c>
      <c r="AW33" s="157">
        <v>87315</v>
      </c>
      <c r="AX33" s="162">
        <v>471240.61714799999</v>
      </c>
      <c r="AY33" s="162">
        <v>88000</v>
      </c>
      <c r="AZ33" s="162">
        <v>42357</v>
      </c>
      <c r="BA33" s="157">
        <f>+'Phụ lục số 1'!D33</f>
        <v>63450</v>
      </c>
      <c r="BB33" s="252">
        <f>+'Phụ lục số 1'!J33</f>
        <v>23183.05</v>
      </c>
      <c r="BC33" s="157">
        <f>+'Phụ lục số 1'!Q33</f>
        <v>28650</v>
      </c>
      <c r="BD33" s="157">
        <f t="shared" si="84"/>
        <v>28650</v>
      </c>
      <c r="BE33" s="152">
        <f t="shared" si="85"/>
        <v>398165</v>
      </c>
      <c r="BF33" s="152">
        <f t="shared" si="86"/>
        <v>1042390.805868</v>
      </c>
      <c r="BG33" s="155"/>
      <c r="BH33" s="25"/>
      <c r="BI33" s="288">
        <f>'Phụ lục số I'!W33</f>
        <v>37100</v>
      </c>
      <c r="BJ33" s="152">
        <f t="shared" si="47"/>
        <v>37100</v>
      </c>
      <c r="BK33" s="152">
        <f>'Phụ lục số I'!AC33</f>
        <v>40100</v>
      </c>
      <c r="BL33" s="152">
        <f t="shared" si="48"/>
        <v>40100</v>
      </c>
      <c r="BM33" s="157">
        <f>'Phụ lục số I'!AI33</f>
        <v>55000</v>
      </c>
      <c r="BN33" s="157">
        <f t="shared" si="49"/>
        <v>55000</v>
      </c>
      <c r="BO33" s="157">
        <f>'Phụ lục số I'!AO33</f>
        <v>59000</v>
      </c>
      <c r="BP33" s="157">
        <f t="shared" si="50"/>
        <v>59000</v>
      </c>
      <c r="BQ33" s="157">
        <f>'Phụ lục số I'!AU33</f>
        <v>64000</v>
      </c>
      <c r="BR33" s="157">
        <f t="shared" si="51"/>
        <v>64000</v>
      </c>
      <c r="BS33" s="157">
        <f t="shared" si="83"/>
        <v>255200</v>
      </c>
      <c r="BT33" s="157">
        <f t="shared" si="83"/>
        <v>255200</v>
      </c>
      <c r="BU33" s="155"/>
      <c r="BV33" s="25"/>
      <c r="BY33" s="1">
        <f t="shared" si="19"/>
        <v>0.54732511745402179</v>
      </c>
      <c r="BZ33" s="816">
        <f t="shared" si="20"/>
        <v>-0.45267488254597821</v>
      </c>
    </row>
    <row r="34" spans="1:78">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80"/>
        <v>50040</v>
      </c>
      <c r="AR34" s="157">
        <f t="shared" si="80"/>
        <v>58053.840297999996</v>
      </c>
      <c r="AS34" s="155"/>
      <c r="AT34" s="25"/>
      <c r="AU34" s="27">
        <v>18940</v>
      </c>
      <c r="AV34" s="157">
        <v>8073.1612599999999</v>
      </c>
      <c r="AW34" s="157">
        <v>12905</v>
      </c>
      <c r="AX34" s="162">
        <v>4084.8119750000001</v>
      </c>
      <c r="AY34" s="162">
        <v>8000</v>
      </c>
      <c r="AZ34" s="162">
        <f>8545</f>
        <v>8545</v>
      </c>
      <c r="BA34" s="157">
        <f>+'Phụ lục số 1'!D34</f>
        <v>5970</v>
      </c>
      <c r="BB34" s="252">
        <f>+'Phụ lục số 1'!J34</f>
        <v>69029.609999999986</v>
      </c>
      <c r="BC34" s="157">
        <f>+'Phụ lục số 1'!Q34</f>
        <v>44350</v>
      </c>
      <c r="BD34" s="157">
        <f t="shared" si="84"/>
        <v>44350</v>
      </c>
      <c r="BE34" s="152">
        <f t="shared" si="85"/>
        <v>90165</v>
      </c>
      <c r="BF34" s="152">
        <f t="shared" si="86"/>
        <v>134082.58323499997</v>
      </c>
      <c r="BG34" s="155"/>
      <c r="BH34" s="25"/>
      <c r="BI34" s="288">
        <f>'Phụ lục số I'!W34</f>
        <v>39900</v>
      </c>
      <c r="BJ34" s="152">
        <f t="shared" si="47"/>
        <v>39900</v>
      </c>
      <c r="BK34" s="152">
        <f>'Phụ lục số I'!AC34</f>
        <v>41900</v>
      </c>
      <c r="BL34" s="152">
        <f t="shared" si="48"/>
        <v>41900</v>
      </c>
      <c r="BM34" s="157">
        <f>'Phụ lục số I'!AI34</f>
        <v>50900</v>
      </c>
      <c r="BN34" s="157">
        <f t="shared" si="49"/>
        <v>50900</v>
      </c>
      <c r="BO34" s="157">
        <f>'Phụ lục số I'!AO34</f>
        <v>55900</v>
      </c>
      <c r="BP34" s="157">
        <f t="shared" si="50"/>
        <v>55900</v>
      </c>
      <c r="BQ34" s="157">
        <f>'Phụ lục số I'!AU34</f>
        <v>60900</v>
      </c>
      <c r="BR34" s="157">
        <f t="shared" si="51"/>
        <v>60900</v>
      </c>
      <c r="BS34" s="157">
        <f t="shared" si="83"/>
        <v>249500</v>
      </c>
      <c r="BT34" s="157">
        <f t="shared" si="83"/>
        <v>249500</v>
      </c>
      <c r="BU34" s="155"/>
      <c r="BV34" s="25"/>
      <c r="BY34" s="1">
        <f t="shared" si="19"/>
        <v>8.0783627852545337</v>
      </c>
      <c r="BZ34" s="816">
        <f t="shared" si="20"/>
        <v>7.0783627852545337</v>
      </c>
    </row>
    <row r="35" spans="1:78">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80"/>
        <v>81790</v>
      </c>
      <c r="AR35" s="157">
        <f t="shared" si="80"/>
        <v>75935.108203000011</v>
      </c>
      <c r="AS35" s="254"/>
      <c r="AT35" s="25"/>
      <c r="AU35" s="27"/>
      <c r="AV35" s="157"/>
      <c r="AW35" s="157"/>
      <c r="AX35" s="162"/>
      <c r="AY35" s="162"/>
      <c r="AZ35" s="162"/>
      <c r="BA35" s="157">
        <f>+'Phụ lục số 1'!D35</f>
        <v>1500</v>
      </c>
      <c r="BB35" s="252">
        <f>+'Phụ lục số 1'!J35</f>
        <v>173</v>
      </c>
      <c r="BC35" s="142">
        <f>+'Phụ lục số 1'!Q35</f>
        <v>0</v>
      </c>
      <c r="BD35" s="157">
        <f t="shared" si="84"/>
        <v>0</v>
      </c>
      <c r="BE35" s="152">
        <f t="shared" si="85"/>
        <v>1500</v>
      </c>
      <c r="BF35" s="152">
        <f t="shared" si="86"/>
        <v>173</v>
      </c>
      <c r="BG35" s="155"/>
      <c r="BH35" s="25"/>
      <c r="BI35" s="288">
        <f>'Phụ lục số I'!W35</f>
        <v>0</v>
      </c>
      <c r="BJ35" s="152">
        <f t="shared" si="47"/>
        <v>0</v>
      </c>
      <c r="BK35" s="152">
        <f>'Phụ lục số I'!AC35</f>
        <v>0</v>
      </c>
      <c r="BL35" s="152">
        <f t="shared" si="48"/>
        <v>0</v>
      </c>
      <c r="BM35" s="157">
        <f>'Phụ lục số I'!AI35</f>
        <v>0</v>
      </c>
      <c r="BN35" s="157">
        <f t="shared" si="49"/>
        <v>0</v>
      </c>
      <c r="BO35" s="157">
        <f>'Phụ lục số I'!AO35</f>
        <v>0</v>
      </c>
      <c r="BP35" s="157">
        <f t="shared" si="50"/>
        <v>0</v>
      </c>
      <c r="BQ35" s="157">
        <f>'Phụ lục số I'!AU35</f>
        <v>0</v>
      </c>
      <c r="BR35" s="157">
        <f t="shared" si="51"/>
        <v>0</v>
      </c>
      <c r="BS35" s="157">
        <f t="shared" si="83"/>
        <v>0</v>
      </c>
      <c r="BT35" s="157">
        <f t="shared" si="83"/>
        <v>0</v>
      </c>
      <c r="BU35" s="155"/>
      <c r="BV35" s="25"/>
      <c r="BY35" s="1" t="e">
        <f t="shared" si="19"/>
        <v>#DIV/0!</v>
      </c>
      <c r="BZ35" s="816" t="e">
        <f t="shared" si="20"/>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si="80"/>
        <v>1160500</v>
      </c>
      <c r="AR36" s="142">
        <f t="shared" si="80"/>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57">
        <f>+'Phụ lục số 1'!D36</f>
        <v>350000</v>
      </c>
      <c r="BB36" s="192">
        <f>+'Phụ lục số 1'!J36</f>
        <v>313000</v>
      </c>
      <c r="BC36" s="142">
        <f>+'Phụ lục số 1'!Q36</f>
        <v>330000</v>
      </c>
      <c r="BD36" s="142">
        <f t="shared" si="84"/>
        <v>330000</v>
      </c>
      <c r="BE36" s="152">
        <f t="shared" si="85"/>
        <v>1475000</v>
      </c>
      <c r="BF36" s="152">
        <f t="shared" si="86"/>
        <v>1553385</v>
      </c>
      <c r="BG36" s="246">
        <f>BF36/$BF$10</f>
        <v>3.5952032749570192E-2</v>
      </c>
      <c r="BH36" s="247">
        <f>(((AV36/AP36)*(AX36/AV36)*(AZ36/AX36)*(BB36/AZ36))*(BD36/BB36))^(1/5)-1</f>
        <v>3.210562706492559E-2</v>
      </c>
      <c r="BI36" s="289">
        <f>'Phụ lục số I'!W36</f>
        <v>350000</v>
      </c>
      <c r="BJ36" s="147">
        <f t="shared" si="47"/>
        <v>350000</v>
      </c>
      <c r="BK36" s="147">
        <f>'Phụ lục số I'!AC36</f>
        <v>370000</v>
      </c>
      <c r="BL36" s="147">
        <f t="shared" si="48"/>
        <v>370000</v>
      </c>
      <c r="BM36" s="142">
        <f>'Phụ lục số I'!AI36</f>
        <v>585000</v>
      </c>
      <c r="BN36" s="142">
        <f t="shared" si="49"/>
        <v>585000</v>
      </c>
      <c r="BO36" s="142">
        <f>'Phụ lục số I'!AO36</f>
        <v>650000</v>
      </c>
      <c r="BP36" s="142">
        <f t="shared" si="50"/>
        <v>650000</v>
      </c>
      <c r="BQ36" s="142">
        <f>'Phụ lục số I'!AU36</f>
        <v>750000</v>
      </c>
      <c r="BR36" s="142">
        <f t="shared" si="51"/>
        <v>750000</v>
      </c>
      <c r="BS36" s="142">
        <f t="shared" si="83"/>
        <v>2705000</v>
      </c>
      <c r="BT36" s="142">
        <f t="shared" si="83"/>
        <v>2705000</v>
      </c>
      <c r="BU36" s="141">
        <f>BT36/$BT$10*100</f>
        <v>4.3399434828012113</v>
      </c>
      <c r="BV36" s="247">
        <f>(((BJ36/BD36)*(BL36/BJ36)*(BN36/BL36)*(BP36/BN36)*(BR36/BP36))^(1/5))-1</f>
        <v>0.17844539784792257</v>
      </c>
      <c r="BY36" s="1">
        <f t="shared" si="19"/>
        <v>1.0435455209225877</v>
      </c>
      <c r="BZ36" s="816">
        <f t="shared" si="20"/>
        <v>4.3545520922587677E-2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80"/>
        <v>0.13068600000000002</v>
      </c>
      <c r="AR37" s="142">
        <f t="shared" si="80"/>
        <v>3861.2053470000001</v>
      </c>
      <c r="AS37" s="246">
        <f>AR37/$AR$10</f>
        <v>1.033039891465186E-4</v>
      </c>
      <c r="AT37" s="188">
        <f t="shared" ref="AT37:AT50" si="87">(((AH37/AB37)*(AJ37/AH37)*(AL37/AJ37)*(AN37/AL37)*(AP37/AN37))^(1/5))-1</f>
        <v>1.2072970187740673E-2</v>
      </c>
      <c r="AU37" s="17">
        <v>0</v>
      </c>
      <c r="AV37" s="142">
        <v>297</v>
      </c>
      <c r="AW37" s="163">
        <v>0</v>
      </c>
      <c r="AX37" s="163">
        <v>280</v>
      </c>
      <c r="AY37" s="162"/>
      <c r="AZ37" s="163">
        <v>342</v>
      </c>
      <c r="BA37" s="157">
        <f>+'Phụ lục số 1'!D37</f>
        <v>0</v>
      </c>
      <c r="BB37" s="192">
        <f>+'Phụ lục số 1'!J37</f>
        <v>13</v>
      </c>
      <c r="BC37" s="142">
        <f>+'Phụ lục số 1'!Q37</f>
        <v>0</v>
      </c>
      <c r="BD37" s="142">
        <f t="shared" si="84"/>
        <v>0</v>
      </c>
      <c r="BE37" s="152">
        <f t="shared" si="85"/>
        <v>0</v>
      </c>
      <c r="BF37" s="152">
        <f t="shared" si="86"/>
        <v>932</v>
      </c>
      <c r="BG37" s="246">
        <f t="shared" ref="BG37:BG51" si="88">BF37/$BF$10</f>
        <v>2.1570502175957293E-5</v>
      </c>
      <c r="BH37" s="247">
        <f t="shared" ref="BH37:BH51" si="89">(((AV37/AP37)*(AX37/AV37)*(AZ37/AX37)*(BB37/AZ37))*(BD37/BB37))^(1/5)-1</f>
        <v>-1</v>
      </c>
      <c r="BI37" s="289">
        <f>'Phụ lục số I'!W37</f>
        <v>0</v>
      </c>
      <c r="BJ37" s="147">
        <f t="shared" si="47"/>
        <v>0</v>
      </c>
      <c r="BK37" s="147">
        <f>'Phụ lục số I'!AC37</f>
        <v>0</v>
      </c>
      <c r="BL37" s="147">
        <f t="shared" si="48"/>
        <v>0</v>
      </c>
      <c r="BM37" s="142">
        <f>'Phụ lục số I'!AI37</f>
        <v>0</v>
      </c>
      <c r="BN37" s="142">
        <f t="shared" si="49"/>
        <v>0</v>
      </c>
      <c r="BO37" s="142">
        <f>'Phụ lục số I'!AO37</f>
        <v>0</v>
      </c>
      <c r="BP37" s="142">
        <f t="shared" si="50"/>
        <v>0</v>
      </c>
      <c r="BQ37" s="142">
        <f>'Phụ lục số I'!AU37</f>
        <v>0</v>
      </c>
      <c r="BR37" s="142">
        <f t="shared" si="51"/>
        <v>0</v>
      </c>
      <c r="BS37" s="142">
        <f t="shared" si="83"/>
        <v>0</v>
      </c>
      <c r="BT37" s="142">
        <f t="shared" si="83"/>
        <v>0</v>
      </c>
      <c r="BU37" s="155"/>
      <c r="BV37" s="25"/>
      <c r="BY37" s="1">
        <f t="shared" si="19"/>
        <v>3.8011695906432746E-2</v>
      </c>
      <c r="BZ37" s="816">
        <f t="shared" si="20"/>
        <v>-0.96198830409356728</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80"/>
        <v>36000</v>
      </c>
      <c r="AR38" s="142">
        <f t="shared" si="80"/>
        <v>51418.777902000002</v>
      </c>
      <c r="AS38" s="246">
        <f>AR38/$AR$10</f>
        <v>1.3756753130062052E-3</v>
      </c>
      <c r="AT38" s="188">
        <f t="shared" si="87"/>
        <v>6.775065765451016E-2</v>
      </c>
      <c r="AU38" s="17">
        <v>8000</v>
      </c>
      <c r="AV38" s="142">
        <v>9403</v>
      </c>
      <c r="AW38" s="163">
        <v>8000</v>
      </c>
      <c r="AX38" s="163">
        <v>17903</v>
      </c>
      <c r="AY38" s="163">
        <f>10000</f>
        <v>10000</v>
      </c>
      <c r="AZ38" s="163">
        <f>17533</f>
        <v>17533</v>
      </c>
      <c r="BA38" s="157">
        <f>+'Phụ lục số 1'!D38</f>
        <v>15000</v>
      </c>
      <c r="BB38" s="192">
        <f>+'Phụ lục số 1'!J38</f>
        <v>18918</v>
      </c>
      <c r="BC38" s="142">
        <f>+'Phụ lục số 1'!Q38</f>
        <v>17000</v>
      </c>
      <c r="BD38" s="142">
        <f t="shared" si="84"/>
        <v>17000</v>
      </c>
      <c r="BE38" s="152">
        <f t="shared" si="85"/>
        <v>58000</v>
      </c>
      <c r="BF38" s="152">
        <f t="shared" si="86"/>
        <v>80757</v>
      </c>
      <c r="BG38" s="246">
        <f t="shared" si="88"/>
        <v>1.8690654980941879E-3</v>
      </c>
      <c r="BH38" s="247">
        <f t="shared" si="89"/>
        <v>8.2385098777201016E-2</v>
      </c>
      <c r="BI38" s="289">
        <f>'Phụ lục số I'!W38</f>
        <v>17000</v>
      </c>
      <c r="BJ38" s="147">
        <f t="shared" si="47"/>
        <v>17000</v>
      </c>
      <c r="BK38" s="147">
        <f>'Phụ lục số I'!AC38</f>
        <v>18000</v>
      </c>
      <c r="BL38" s="147">
        <f t="shared" si="48"/>
        <v>18000</v>
      </c>
      <c r="BM38" s="142">
        <f>'Phụ lục số I'!AI38</f>
        <v>16000</v>
      </c>
      <c r="BN38" s="142">
        <f t="shared" si="49"/>
        <v>16000</v>
      </c>
      <c r="BO38" s="142">
        <f>'Phụ lục số I'!AO38</f>
        <v>16000</v>
      </c>
      <c r="BP38" s="142">
        <f t="shared" si="50"/>
        <v>16000</v>
      </c>
      <c r="BQ38" s="142">
        <f>'Phụ lục số I'!AU38</f>
        <v>15000</v>
      </c>
      <c r="BR38" s="142">
        <f t="shared" si="51"/>
        <v>15000</v>
      </c>
      <c r="BS38" s="142">
        <f t="shared" si="83"/>
        <v>82000</v>
      </c>
      <c r="BT38" s="142">
        <f t="shared" si="83"/>
        <v>82000</v>
      </c>
      <c r="BU38" s="141">
        <f>BT38/$BT$10*100</f>
        <v>0.13156205751929737</v>
      </c>
      <c r="BV38" s="247">
        <f>(((BJ38/BD38)*(BL38/BJ38)*(BN38/BL38)*(BP38/BN38)*(BR38/BP38))^(1/5))-1</f>
        <v>-2.4721910440527295E-2</v>
      </c>
      <c r="BY38" s="1">
        <f t="shared" si="19"/>
        <v>1.0789938972223807</v>
      </c>
      <c r="BZ38" s="816">
        <f t="shared" si="20"/>
        <v>7.8993897222380705E-2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80"/>
        <v>2276000</v>
      </c>
      <c r="AR39" s="142">
        <f t="shared" si="80"/>
        <v>2258955.3158879997</v>
      </c>
      <c r="AS39" s="246">
        <f t="shared" ref="AS39:AS51" si="90">AR39/$AR$10</f>
        <v>6.0436851828218605E-2</v>
      </c>
      <c r="AT39" s="188">
        <f t="shared" si="87"/>
        <v>0.11444654873328663</v>
      </c>
      <c r="AU39" s="17">
        <v>465000</v>
      </c>
      <c r="AV39" s="142">
        <v>453602</v>
      </c>
      <c r="AW39" s="163">
        <v>500000</v>
      </c>
      <c r="AX39" s="163">
        <v>712065</v>
      </c>
      <c r="AY39" s="163">
        <f>600000</f>
        <v>600000</v>
      </c>
      <c r="AZ39" s="163">
        <f>694807</f>
        <v>694807</v>
      </c>
      <c r="BA39" s="157">
        <f>+'Phụ lục số 1'!D39</f>
        <v>730000</v>
      </c>
      <c r="BB39" s="192">
        <f>+'Phụ lục số 1'!J39</f>
        <v>720000</v>
      </c>
      <c r="BC39" s="142">
        <f>+'Phụ lục số 1'!Q39</f>
        <v>785000</v>
      </c>
      <c r="BD39" s="142">
        <f t="shared" si="84"/>
        <v>785000</v>
      </c>
      <c r="BE39" s="152">
        <f t="shared" si="85"/>
        <v>3080000</v>
      </c>
      <c r="BF39" s="152">
        <f t="shared" si="86"/>
        <v>3365474</v>
      </c>
      <c r="BG39" s="246">
        <f t="shared" si="88"/>
        <v>7.789159253232586E-2</v>
      </c>
      <c r="BH39" s="247">
        <f t="shared" si="89"/>
        <v>7.9998710157389574E-2</v>
      </c>
      <c r="BI39" s="289">
        <f>'Phụ lục số I'!W39</f>
        <v>800000</v>
      </c>
      <c r="BJ39" s="147">
        <f t="shared" si="47"/>
        <v>800000</v>
      </c>
      <c r="BK39" s="147">
        <f>'Phụ lục số I'!AC39</f>
        <v>820000</v>
      </c>
      <c r="BL39" s="147">
        <f t="shared" si="48"/>
        <v>820000</v>
      </c>
      <c r="BM39" s="142">
        <f>'Phụ lục số I'!AI39</f>
        <v>1050000</v>
      </c>
      <c r="BN39" s="142">
        <f t="shared" si="49"/>
        <v>1050000</v>
      </c>
      <c r="BO39" s="142">
        <f>'Phụ lục số I'!AO39</f>
        <v>1130000</v>
      </c>
      <c r="BP39" s="142">
        <f t="shared" si="50"/>
        <v>1130000</v>
      </c>
      <c r="BQ39" s="142">
        <f>'Phụ lục số I'!AU39</f>
        <v>1200000</v>
      </c>
      <c r="BR39" s="142">
        <f t="shared" si="51"/>
        <v>1200000</v>
      </c>
      <c r="BS39" s="142">
        <f t="shared" si="83"/>
        <v>5000000</v>
      </c>
      <c r="BT39" s="142">
        <f t="shared" si="83"/>
        <v>5000000</v>
      </c>
      <c r="BU39" s="141">
        <f t="shared" ref="BU39:BU51" si="91">BT39/$BT$10*100</f>
        <v>8.022076678005936</v>
      </c>
      <c r="BV39" s="247">
        <f t="shared" ref="BV39:BV51" si="92">(((BJ39/BD39)*(BL39/BJ39)*(BN39/BL39)*(BP39/BN39)*(BR39/BP39))^(1/5))-1</f>
        <v>8.8584930158139841E-2</v>
      </c>
      <c r="BY39" s="1">
        <f t="shared" si="19"/>
        <v>1.0362589899065495</v>
      </c>
      <c r="BZ39" s="816">
        <f t="shared" si="20"/>
        <v>3.6258989906549521E-2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80"/>
        <v>11610000</v>
      </c>
      <c r="AR40" s="142">
        <f t="shared" si="80"/>
        <v>10142334.708613999</v>
      </c>
      <c r="AS40" s="246">
        <f t="shared" si="90"/>
        <v>0.27135144093620239</v>
      </c>
      <c r="AT40" s="188">
        <f t="shared" si="87"/>
        <v>8.3488784977151065E-2</v>
      </c>
      <c r="AU40" s="17">
        <v>2270000</v>
      </c>
      <c r="AV40" s="142">
        <v>1312857</v>
      </c>
      <c r="AW40" s="163">
        <v>1527000</v>
      </c>
      <c r="AX40" s="163">
        <v>926613</v>
      </c>
      <c r="AY40" s="163">
        <f>1500000</f>
        <v>1500000</v>
      </c>
      <c r="AZ40" s="163">
        <f>946183</f>
        <v>946183</v>
      </c>
      <c r="BA40" s="157">
        <f>+'Phụ lục số 1'!D40</f>
        <v>1065000</v>
      </c>
      <c r="BB40" s="192">
        <f>+'Phụ lục số 1'!J40</f>
        <v>950000</v>
      </c>
      <c r="BC40" s="142">
        <f>+'Phụ lục số 1'!Q40</f>
        <v>1720000</v>
      </c>
      <c r="BD40" s="142">
        <f t="shared" si="84"/>
        <v>1720000</v>
      </c>
      <c r="BE40" s="152">
        <f t="shared" si="85"/>
        <v>8082000</v>
      </c>
      <c r="BF40" s="152">
        <f t="shared" si="86"/>
        <v>5855653</v>
      </c>
      <c r="BG40" s="257">
        <f t="shared" si="88"/>
        <v>0.13552508130702881</v>
      </c>
      <c r="BH40" s="247">
        <f t="shared" si="89"/>
        <v>-2.375812396044541E-2</v>
      </c>
      <c r="BI40" s="289">
        <f>'Phụ lục số I'!W40</f>
        <v>1500000</v>
      </c>
      <c r="BJ40" s="147">
        <f t="shared" si="47"/>
        <v>1500000</v>
      </c>
      <c r="BK40" s="147">
        <f>'Phụ lục số I'!AC40</f>
        <v>1500000</v>
      </c>
      <c r="BL40" s="147">
        <f t="shared" si="48"/>
        <v>1500000</v>
      </c>
      <c r="BM40" s="142">
        <f>'Phụ lục số I'!AI40</f>
        <v>1800000</v>
      </c>
      <c r="BN40" s="142">
        <f t="shared" si="49"/>
        <v>1800000</v>
      </c>
      <c r="BO40" s="142">
        <f>'Phụ lục số I'!AO40</f>
        <v>1900000</v>
      </c>
      <c r="BP40" s="142">
        <f t="shared" si="50"/>
        <v>1900000</v>
      </c>
      <c r="BQ40" s="142">
        <f>'Phụ lục số I'!AU40</f>
        <v>2000000</v>
      </c>
      <c r="BR40" s="142">
        <f t="shared" si="51"/>
        <v>2000000</v>
      </c>
      <c r="BS40" s="142">
        <f t="shared" si="83"/>
        <v>8700000</v>
      </c>
      <c r="BT40" s="142">
        <f t="shared" si="83"/>
        <v>8700000</v>
      </c>
      <c r="BU40" s="141">
        <f t="shared" si="91"/>
        <v>13.958413419730329</v>
      </c>
      <c r="BV40" s="247">
        <f t="shared" si="92"/>
        <v>3.0624138001266177E-2</v>
      </c>
      <c r="BY40" s="1">
        <f t="shared" si="19"/>
        <v>1.0040341033394173</v>
      </c>
      <c r="BZ40" s="816">
        <f t="shared" si="20"/>
        <v>4.0341033394173387E-3</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80"/>
        <v>865400</v>
      </c>
      <c r="AR41" s="142">
        <f t="shared" si="80"/>
        <v>958895.30651999998</v>
      </c>
      <c r="AS41" s="246">
        <f t="shared" si="90"/>
        <v>2.5654608194913418E-2</v>
      </c>
      <c r="AT41" s="188">
        <f t="shared" si="87"/>
        <v>-4.46897131322187E-2</v>
      </c>
      <c r="AU41" s="17">
        <v>192900</v>
      </c>
      <c r="AV41" s="142">
        <v>156068</v>
      </c>
      <c r="AW41" s="163">
        <v>160000</v>
      </c>
      <c r="AX41" s="163">
        <v>174907</v>
      </c>
      <c r="AY41" s="163">
        <v>160000</v>
      </c>
      <c r="AZ41" s="163">
        <f>154887</f>
        <v>154887</v>
      </c>
      <c r="BA41" s="157">
        <f>+'Phụ lục số 1'!D41</f>
        <v>170000</v>
      </c>
      <c r="BB41" s="192">
        <f>+'Phụ lục số 1'!J41</f>
        <v>178000</v>
      </c>
      <c r="BC41" s="142">
        <f>+'Phụ lục số 1'!Q41</f>
        <v>170000</v>
      </c>
      <c r="BD41" s="142">
        <f t="shared" si="84"/>
        <v>170000</v>
      </c>
      <c r="BE41" s="152">
        <f t="shared" si="85"/>
        <v>852900</v>
      </c>
      <c r="BF41" s="152">
        <f t="shared" si="86"/>
        <v>833862</v>
      </c>
      <c r="BG41" s="246">
        <f t="shared" si="88"/>
        <v>1.9299165327734014E-2</v>
      </c>
      <c r="BH41" s="247">
        <f t="shared" si="89"/>
        <v>9.8170817234399799E-4</v>
      </c>
      <c r="BI41" s="289">
        <f>'Phụ lục số I'!W41</f>
        <v>190000</v>
      </c>
      <c r="BJ41" s="147">
        <f t="shared" si="47"/>
        <v>190000</v>
      </c>
      <c r="BK41" s="147">
        <f>'Phụ lục số I'!AC41</f>
        <v>200000</v>
      </c>
      <c r="BL41" s="147">
        <f t="shared" si="48"/>
        <v>200000</v>
      </c>
      <c r="BM41" s="142">
        <f>'Phụ lục số I'!AI41</f>
        <v>270000</v>
      </c>
      <c r="BN41" s="142">
        <f t="shared" si="49"/>
        <v>270000</v>
      </c>
      <c r="BO41" s="142">
        <f>'Phụ lục số I'!AO41</f>
        <v>300000</v>
      </c>
      <c r="BP41" s="142">
        <f t="shared" si="50"/>
        <v>300000</v>
      </c>
      <c r="BQ41" s="142">
        <f>'Phụ lục số I'!AU41</f>
        <v>350000</v>
      </c>
      <c r="BR41" s="142">
        <f t="shared" si="51"/>
        <v>350000</v>
      </c>
      <c r="BS41" s="142">
        <f t="shared" si="83"/>
        <v>1310000</v>
      </c>
      <c r="BT41" s="142">
        <f t="shared" si="83"/>
        <v>1310000</v>
      </c>
      <c r="BU41" s="141">
        <f t="shared" si="91"/>
        <v>2.1017840896375555</v>
      </c>
      <c r="BV41" s="247">
        <f t="shared" si="92"/>
        <v>0.15537728404441831</v>
      </c>
      <c r="BY41" s="1">
        <f t="shared" si="19"/>
        <v>1.1492249188117789</v>
      </c>
      <c r="BZ41" s="816">
        <f t="shared" si="20"/>
        <v>0.14922491881177891</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80"/>
        <v>2300000</v>
      </c>
      <c r="AR42" s="192">
        <f t="shared" si="80"/>
        <v>3736804.9193750001</v>
      </c>
      <c r="AS42" s="257">
        <f t="shared" si="90"/>
        <v>9.9975738180746981E-2</v>
      </c>
      <c r="AT42" s="188">
        <f t="shared" si="87"/>
        <v>0.16804084385025564</v>
      </c>
      <c r="AU42" s="42">
        <v>750000</v>
      </c>
      <c r="AV42" s="192">
        <v>1239694</v>
      </c>
      <c r="AW42" s="191">
        <v>800000</v>
      </c>
      <c r="AX42" s="191">
        <v>1029253</v>
      </c>
      <c r="AY42" s="191">
        <f>850000+50000</f>
        <v>900000</v>
      </c>
      <c r="AZ42" s="191">
        <f>1157443</f>
        <v>1157443</v>
      </c>
      <c r="BA42" s="157">
        <f>+'Phụ lục số 1'!D42</f>
        <v>1770000</v>
      </c>
      <c r="BB42" s="192">
        <f>+'Phụ lục số 1'!J42</f>
        <v>1770000</v>
      </c>
      <c r="BC42" s="142">
        <f>+'Phụ lục số 1'!Q42</f>
        <v>1600000</v>
      </c>
      <c r="BD42" s="142">
        <f t="shared" si="84"/>
        <v>1600000</v>
      </c>
      <c r="BE42" s="152">
        <f t="shared" si="85"/>
        <v>5820000</v>
      </c>
      <c r="BF42" s="152">
        <f t="shared" si="86"/>
        <v>6796390</v>
      </c>
      <c r="BG42" s="257">
        <f t="shared" si="88"/>
        <v>0.1572977953687279</v>
      </c>
      <c r="BH42" s="247">
        <f t="shared" si="89"/>
        <v>0.13906938246378808</v>
      </c>
      <c r="BI42" s="289">
        <f>'Phụ lục số I'!W42</f>
        <v>1700000</v>
      </c>
      <c r="BJ42" s="147">
        <f t="shared" si="47"/>
        <v>1700000</v>
      </c>
      <c r="BK42" s="147">
        <f>'Phụ lục số I'!AC42</f>
        <v>1600000</v>
      </c>
      <c r="BL42" s="147">
        <f t="shared" si="48"/>
        <v>1600000</v>
      </c>
      <c r="BM42" s="142">
        <f>'Phụ lục số I'!AI42</f>
        <v>1800000</v>
      </c>
      <c r="BN42" s="142">
        <f t="shared" si="49"/>
        <v>1800000</v>
      </c>
      <c r="BO42" s="142">
        <f>'Phụ lục số I'!AO42</f>
        <v>1950000</v>
      </c>
      <c r="BP42" s="142">
        <f t="shared" si="50"/>
        <v>1950000</v>
      </c>
      <c r="BQ42" s="142">
        <f>'Phụ lục số I'!AU42</f>
        <v>2100000</v>
      </c>
      <c r="BR42" s="142">
        <f t="shared" si="51"/>
        <v>2100000</v>
      </c>
      <c r="BS42" s="142">
        <f t="shared" si="83"/>
        <v>9150000</v>
      </c>
      <c r="BT42" s="142">
        <f t="shared" si="83"/>
        <v>9150000</v>
      </c>
      <c r="BU42" s="141">
        <f t="shared" si="91"/>
        <v>14.680400320750863</v>
      </c>
      <c r="BV42" s="247">
        <f t="shared" si="92"/>
        <v>5.5892882483376871E-2</v>
      </c>
      <c r="BY42" s="1">
        <f t="shared" si="19"/>
        <v>1.5292329730276135</v>
      </c>
      <c r="BZ42" s="816">
        <f t="shared" si="20"/>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80"/>
        <v>359000</v>
      </c>
      <c r="AR43" s="192">
        <f t="shared" si="80"/>
        <v>590343.06657400005</v>
      </c>
      <c r="AS43" s="257">
        <f t="shared" si="90"/>
        <v>1.5794237358928792E-2</v>
      </c>
      <c r="AT43" s="188">
        <f t="shared" si="87"/>
        <v>0.23512486049904591</v>
      </c>
      <c r="AU43" s="42">
        <v>76000</v>
      </c>
      <c r="AV43" s="192">
        <v>253261</v>
      </c>
      <c r="AW43" s="191">
        <v>120000</v>
      </c>
      <c r="AX43" s="191">
        <v>237121</v>
      </c>
      <c r="AY43" s="191">
        <v>115000</v>
      </c>
      <c r="AZ43" s="191">
        <f>118474</f>
        <v>118474</v>
      </c>
      <c r="BA43" s="157">
        <f>+'Phụ lục số 1'!D43</f>
        <v>315000</v>
      </c>
      <c r="BB43" s="192">
        <f>+'Phụ lục số 1'!J43</f>
        <v>240000</v>
      </c>
      <c r="BC43" s="142">
        <f>+'Phụ lục số 1'!Q43</f>
        <v>201000</v>
      </c>
      <c r="BD43" s="142">
        <f t="shared" si="84"/>
        <v>201000</v>
      </c>
      <c r="BE43" s="152">
        <f t="shared" si="85"/>
        <v>827000</v>
      </c>
      <c r="BF43" s="152">
        <f t="shared" si="86"/>
        <v>1049856</v>
      </c>
      <c r="BG43" s="246">
        <f t="shared" si="88"/>
        <v>2.4298198639959034E-2</v>
      </c>
      <c r="BH43" s="247">
        <f t="shared" si="89"/>
        <v>0.14235385246548438</v>
      </c>
      <c r="BI43" s="289">
        <f>'Phụ lục số I'!W43</f>
        <v>180000</v>
      </c>
      <c r="BJ43" s="147">
        <f t="shared" si="47"/>
        <v>180000</v>
      </c>
      <c r="BK43" s="147">
        <f>'Phụ lục số I'!AC43</f>
        <v>190000</v>
      </c>
      <c r="BL43" s="147">
        <f t="shared" si="48"/>
        <v>190000</v>
      </c>
      <c r="BM43" s="142">
        <f>'Phụ lục số I'!AI43</f>
        <v>365000</v>
      </c>
      <c r="BN43" s="142">
        <f t="shared" si="49"/>
        <v>365000</v>
      </c>
      <c r="BO43" s="142">
        <f>'Phụ lục số I'!AO43</f>
        <v>487000</v>
      </c>
      <c r="BP43" s="142">
        <f t="shared" si="50"/>
        <v>487000</v>
      </c>
      <c r="BQ43" s="142">
        <f>'Phụ lục số I'!AU43</f>
        <v>620000</v>
      </c>
      <c r="BR43" s="142">
        <f t="shared" si="51"/>
        <v>620000</v>
      </c>
      <c r="BS43" s="142">
        <f t="shared" si="83"/>
        <v>1842000</v>
      </c>
      <c r="BT43" s="142">
        <f t="shared" si="83"/>
        <v>1842000</v>
      </c>
      <c r="BU43" s="141">
        <f t="shared" si="91"/>
        <v>2.955333048177387</v>
      </c>
      <c r="BV43" s="247">
        <f t="shared" si="92"/>
        <v>0.252677065938687</v>
      </c>
      <c r="BY43" s="1">
        <f t="shared" si="19"/>
        <v>2.025760926447997</v>
      </c>
      <c r="BZ43" s="816">
        <f t="shared" si="20"/>
        <v>1.025760926447997</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80"/>
        <v>0</v>
      </c>
      <c r="AR44" s="142">
        <f t="shared" si="80"/>
        <v>7423.6392489999998</v>
      </c>
      <c r="AS44" s="246">
        <f t="shared" si="90"/>
        <v>1.9861454636237077E-4</v>
      </c>
      <c r="AT44" s="188">
        <f t="shared" si="87"/>
        <v>-0.17652311063448745</v>
      </c>
      <c r="AU44" s="17">
        <v>0</v>
      </c>
      <c r="AV44" s="142">
        <v>127</v>
      </c>
      <c r="AW44" s="142"/>
      <c r="AX44" s="163">
        <v>79</v>
      </c>
      <c r="AY44" s="163"/>
      <c r="AZ44" s="163">
        <v>33</v>
      </c>
      <c r="BA44" s="157">
        <f>+'Phụ lục số 1'!D44</f>
        <v>0</v>
      </c>
      <c r="BB44" s="192">
        <f>+'Phụ lục số 1'!J44</f>
        <v>0</v>
      </c>
      <c r="BC44" s="142">
        <f>+'Phụ lục số 1'!Q44</f>
        <v>0</v>
      </c>
      <c r="BD44" s="142">
        <f t="shared" si="84"/>
        <v>0</v>
      </c>
      <c r="BE44" s="152">
        <f t="shared" si="85"/>
        <v>0</v>
      </c>
      <c r="BF44" s="152">
        <f t="shared" si="86"/>
        <v>239</v>
      </c>
      <c r="BG44" s="246">
        <f t="shared" si="88"/>
        <v>5.5314914378259584E-6</v>
      </c>
      <c r="BH44" s="247" t="e">
        <f t="shared" si="89"/>
        <v>#DIV/0!</v>
      </c>
      <c r="BI44" s="289">
        <f>'Phụ lục số I'!W44</f>
        <v>0</v>
      </c>
      <c r="BJ44" s="147">
        <f t="shared" si="47"/>
        <v>0</v>
      </c>
      <c r="BK44" s="147">
        <f>'Phụ lục số I'!AC44</f>
        <v>0</v>
      </c>
      <c r="BL44" s="147">
        <f t="shared" si="48"/>
        <v>0</v>
      </c>
      <c r="BM44" s="142">
        <f>'Phụ lục số I'!AI44</f>
        <v>0</v>
      </c>
      <c r="BN44" s="142">
        <f t="shared" si="49"/>
        <v>0</v>
      </c>
      <c r="BO44" s="142">
        <f>'Phụ lục số I'!AO44</f>
        <v>0</v>
      </c>
      <c r="BP44" s="142">
        <f t="shared" si="50"/>
        <v>0</v>
      </c>
      <c r="BQ44" s="142">
        <f>'Phụ lục số I'!AU44</f>
        <v>0</v>
      </c>
      <c r="BR44" s="142">
        <f t="shared" si="51"/>
        <v>0</v>
      </c>
      <c r="BS44" s="142">
        <f t="shared" si="83"/>
        <v>0</v>
      </c>
      <c r="BT44" s="142">
        <f t="shared" si="83"/>
        <v>0</v>
      </c>
      <c r="BU44" s="141">
        <f t="shared" si="91"/>
        <v>0</v>
      </c>
      <c r="BV44" s="247" t="e">
        <f t="shared" si="92"/>
        <v>#DIV/0!</v>
      </c>
      <c r="BY44" s="1">
        <f t="shared" si="19"/>
        <v>0</v>
      </c>
      <c r="BZ44" s="816">
        <f t="shared" si="20"/>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80"/>
        <v>1027000</v>
      </c>
      <c r="AR45" s="142">
        <f t="shared" si="80"/>
        <v>1184709.1295409999</v>
      </c>
      <c r="AS45" s="246">
        <f t="shared" si="90"/>
        <v>3.1696107319175153E-2</v>
      </c>
      <c r="AT45" s="188">
        <f t="shared" si="87"/>
        <v>0.17142107669749818</v>
      </c>
      <c r="AU45" s="17">
        <v>280000</v>
      </c>
      <c r="AV45" s="142">
        <v>248330</v>
      </c>
      <c r="AW45" s="39">
        <f>250000</f>
        <v>250000</v>
      </c>
      <c r="AX45" s="163">
        <v>285396</v>
      </c>
      <c r="AY45" s="163">
        <f>250000</f>
        <v>250000</v>
      </c>
      <c r="AZ45" s="163">
        <f>377228</f>
        <v>377228</v>
      </c>
      <c r="BA45" s="157">
        <f>+'Phụ lục số 1'!D45</f>
        <v>326000</v>
      </c>
      <c r="BB45" s="192">
        <f>+'Phụ lục số 1'!J45</f>
        <v>387000</v>
      </c>
      <c r="BC45" s="142">
        <f>+'Phụ lục số 1'!Q45</f>
        <v>370000</v>
      </c>
      <c r="BD45" s="142">
        <f t="shared" si="84"/>
        <v>370000</v>
      </c>
      <c r="BE45" s="152">
        <f t="shared" si="85"/>
        <v>1476000</v>
      </c>
      <c r="BF45" s="152">
        <f t="shared" si="86"/>
        <v>1667954</v>
      </c>
      <c r="BG45" s="246">
        <f t="shared" si="88"/>
        <v>3.8603653848065099E-2</v>
      </c>
      <c r="BH45" s="247">
        <f t="shared" si="89"/>
        <v>3.547046341361626E-2</v>
      </c>
      <c r="BI45" s="289">
        <f>'Phụ lục số I'!W45</f>
        <v>380000</v>
      </c>
      <c r="BJ45" s="147">
        <f t="shared" si="47"/>
        <v>380000</v>
      </c>
      <c r="BK45" s="147">
        <f>'Phụ lục số I'!AC45</f>
        <v>400000</v>
      </c>
      <c r="BL45" s="147">
        <f t="shared" si="48"/>
        <v>400000</v>
      </c>
      <c r="BM45" s="142">
        <f>'Phụ lục số I'!AI45</f>
        <v>510000</v>
      </c>
      <c r="BN45" s="142">
        <f t="shared" si="49"/>
        <v>510000</v>
      </c>
      <c r="BO45" s="142">
        <f>'Phụ lục số I'!AO45</f>
        <v>550000</v>
      </c>
      <c r="BP45" s="142">
        <f t="shared" si="50"/>
        <v>550000</v>
      </c>
      <c r="BQ45" s="142">
        <f>'Phụ lục số I'!AU45</f>
        <v>600000</v>
      </c>
      <c r="BR45" s="142">
        <f t="shared" si="51"/>
        <v>600000</v>
      </c>
      <c r="BS45" s="142">
        <f t="shared" si="83"/>
        <v>2440000</v>
      </c>
      <c r="BT45" s="142">
        <f t="shared" si="83"/>
        <v>2440000</v>
      </c>
      <c r="BU45" s="141">
        <f t="shared" si="91"/>
        <v>3.9147734188668966</v>
      </c>
      <c r="BV45" s="247">
        <f t="shared" si="92"/>
        <v>0.1015137056700961</v>
      </c>
      <c r="BY45" s="1">
        <f t="shared" si="19"/>
        <v>1.0259047578652698</v>
      </c>
      <c r="BZ45" s="816">
        <f t="shared" si="20"/>
        <v>2.5904757865269801E-2</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80"/>
        <v>14500</v>
      </c>
      <c r="AR46" s="142">
        <f t="shared" si="80"/>
        <v>104499</v>
      </c>
      <c r="AS46" s="246">
        <f t="shared" si="90"/>
        <v>2.7958014639675797E-3</v>
      </c>
      <c r="AT46" s="188" t="e">
        <f t="shared" si="87"/>
        <v>#DIV/0!</v>
      </c>
      <c r="AU46" s="17">
        <v>11000</v>
      </c>
      <c r="AV46" s="142">
        <v>21198</v>
      </c>
      <c r="AW46" s="39">
        <v>18000</v>
      </c>
      <c r="AX46" s="163">
        <v>35466</v>
      </c>
      <c r="AY46" s="163">
        <v>22000</v>
      </c>
      <c r="AZ46" s="163">
        <f>52181</f>
        <v>52181</v>
      </c>
      <c r="BA46" s="157">
        <f>+'Phụ lục số 1'!D46</f>
        <v>30000</v>
      </c>
      <c r="BB46" s="192">
        <f>+'Phụ lục số 1'!J46</f>
        <v>43000</v>
      </c>
      <c r="BC46" s="142">
        <f>+'Phụ lục số 1'!Q46</f>
        <v>32000</v>
      </c>
      <c r="BD46" s="142">
        <f t="shared" si="84"/>
        <v>32000</v>
      </c>
      <c r="BE46" s="152">
        <f t="shared" si="85"/>
        <v>113000</v>
      </c>
      <c r="BF46" s="152">
        <f t="shared" si="86"/>
        <v>183845</v>
      </c>
      <c r="BG46" s="246">
        <f t="shared" si="88"/>
        <v>4.2549667087326921E-3</v>
      </c>
      <c r="BH46" s="247">
        <f t="shared" si="89"/>
        <v>-1.3011555226497551E-3</v>
      </c>
      <c r="BI46" s="289">
        <f>'Phụ lục số I'!W46</f>
        <v>32000</v>
      </c>
      <c r="BJ46" s="147">
        <f t="shared" si="47"/>
        <v>32000</v>
      </c>
      <c r="BK46" s="147">
        <f>'Phụ lục số I'!AC46</f>
        <v>37000</v>
      </c>
      <c r="BL46" s="147">
        <f t="shared" si="48"/>
        <v>37000</v>
      </c>
      <c r="BM46" s="142">
        <f>'Phụ lục số I'!AI46</f>
        <v>42000</v>
      </c>
      <c r="BN46" s="142">
        <f t="shared" si="49"/>
        <v>42000</v>
      </c>
      <c r="BO46" s="142">
        <f>'Phụ lục số I'!AO46</f>
        <v>40000</v>
      </c>
      <c r="BP46" s="142">
        <f t="shared" si="50"/>
        <v>40000</v>
      </c>
      <c r="BQ46" s="142">
        <f>'Phụ lục số I'!AU46</f>
        <v>40000</v>
      </c>
      <c r="BR46" s="142">
        <f t="shared" si="51"/>
        <v>40000</v>
      </c>
      <c r="BS46" s="142">
        <f t="shared" si="83"/>
        <v>191000</v>
      </c>
      <c r="BT46" s="142">
        <f t="shared" si="83"/>
        <v>191000</v>
      </c>
      <c r="BU46" s="141">
        <f t="shared" si="91"/>
        <v>0.30644332909982674</v>
      </c>
      <c r="BV46" s="247">
        <f t="shared" si="92"/>
        <v>4.5639552591273169E-2</v>
      </c>
      <c r="BY46" s="1">
        <f t="shared" si="19"/>
        <v>0.82405473256549322</v>
      </c>
      <c r="BZ46" s="816">
        <f t="shared" si="20"/>
        <v>-0.17594526743450678</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ref="AQ47:AR47" si="93">AG47+AI47+AK47+AM47+AO47</f>
        <v>71000</v>
      </c>
      <c r="AR47" s="142">
        <f t="shared" si="93"/>
        <v>302753</v>
      </c>
      <c r="AS47" s="246">
        <f t="shared" si="90"/>
        <v>8.0999557949892019E-3</v>
      </c>
      <c r="AT47" s="188" t="e">
        <f t="shared" si="87"/>
        <v>#DIV/0!</v>
      </c>
      <c r="AU47" s="17">
        <v>70000</v>
      </c>
      <c r="AV47" s="142">
        <f>59826+AV48</f>
        <v>59826</v>
      </c>
      <c r="AW47" s="142">
        <f>60000+AW48</f>
        <v>98777</v>
      </c>
      <c r="AX47" s="163">
        <f>76162</f>
        <v>76162</v>
      </c>
      <c r="AY47" s="163">
        <f>50000</f>
        <v>50000</v>
      </c>
      <c r="AZ47" s="163">
        <f>80341</f>
        <v>80341</v>
      </c>
      <c r="BA47" s="157">
        <f>+'Phụ lục số 1'!D47</f>
        <v>445054.16200000001</v>
      </c>
      <c r="BB47" s="192">
        <f>+'Phụ lục số 1'!J47</f>
        <v>434122.16200000001</v>
      </c>
      <c r="BC47" s="142">
        <f>+'Phụ lục số 1'!Q47</f>
        <v>33000</v>
      </c>
      <c r="BD47" s="142">
        <f t="shared" si="84"/>
        <v>33000</v>
      </c>
      <c r="BE47" s="152">
        <f t="shared" si="85"/>
        <v>696831.16200000001</v>
      </c>
      <c r="BF47" s="152">
        <f t="shared" si="86"/>
        <v>683451.16200000001</v>
      </c>
      <c r="BG47" s="246">
        <f t="shared" si="88"/>
        <v>1.5818009417469466E-2</v>
      </c>
      <c r="BH47" s="247">
        <f t="shared" si="89"/>
        <v>-0.23480976063179537</v>
      </c>
      <c r="BI47" s="289">
        <f>'Phụ lục số I'!W47</f>
        <v>34000</v>
      </c>
      <c r="BJ47" s="147">
        <f t="shared" si="47"/>
        <v>34000</v>
      </c>
      <c r="BK47" s="147">
        <f>'Phụ lục số I'!AC47</f>
        <v>37000</v>
      </c>
      <c r="BL47" s="147">
        <f t="shared" si="48"/>
        <v>37000</v>
      </c>
      <c r="BM47" s="142">
        <f>'Phụ lục số I'!AI47</f>
        <v>120000</v>
      </c>
      <c r="BN47" s="142">
        <f t="shared" si="49"/>
        <v>120000</v>
      </c>
      <c r="BO47" s="142">
        <f>'Phụ lục số I'!AO47</f>
        <v>130000</v>
      </c>
      <c r="BP47" s="142">
        <f t="shared" si="50"/>
        <v>130000</v>
      </c>
      <c r="BQ47" s="142">
        <f>'Phụ lục số I'!AU47</f>
        <v>160000</v>
      </c>
      <c r="BR47" s="142">
        <f t="shared" si="51"/>
        <v>160000</v>
      </c>
      <c r="BS47" s="142">
        <f t="shared" ref="BS47:BT50" si="94">BI47+BK47+BM47+BO47+BQ47</f>
        <v>481000</v>
      </c>
      <c r="BT47" s="142">
        <f t="shared" si="94"/>
        <v>481000</v>
      </c>
      <c r="BU47" s="141">
        <f t="shared" si="91"/>
        <v>0.77172377642417112</v>
      </c>
      <c r="BV47" s="247">
        <f t="shared" si="92"/>
        <v>0.37126442308378271</v>
      </c>
      <c r="BY47" s="1">
        <f t="shared" si="19"/>
        <v>5.4034946291432773</v>
      </c>
      <c r="BZ47" s="816">
        <f t="shared" si="20"/>
        <v>4.4034946291432773</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87"/>
        <v>#DIV/0!</v>
      </c>
      <c r="AU48" s="19"/>
      <c r="AV48" s="171"/>
      <c r="AW48" s="171">
        <v>38777</v>
      </c>
      <c r="AX48" s="172">
        <f>+AW48</f>
        <v>38777</v>
      </c>
      <c r="AY48" s="172"/>
      <c r="AZ48" s="172"/>
      <c r="BA48" s="171">
        <f>+'Phụ lục số 1'!D48</f>
        <v>408054.16200000001</v>
      </c>
      <c r="BB48" s="5418">
        <f>+'Phụ lục số 1'!J48</f>
        <v>408054.16200000001</v>
      </c>
      <c r="BC48" s="142">
        <f>+'Phụ lục số 1'!Q48</f>
        <v>0</v>
      </c>
      <c r="BD48" s="249">
        <f t="shared" si="84"/>
        <v>0</v>
      </c>
      <c r="BE48" s="152">
        <f t="shared" si="85"/>
        <v>446831.16200000001</v>
      </c>
      <c r="BF48" s="152">
        <f t="shared" si="86"/>
        <v>446831.16200000001</v>
      </c>
      <c r="BG48" s="258"/>
      <c r="BH48" s="247" t="e">
        <f t="shared" si="89"/>
        <v>#DIV/0!</v>
      </c>
      <c r="BI48" s="289">
        <f>'Phụ lục số I'!W48</f>
        <v>0</v>
      </c>
      <c r="BJ48" s="147">
        <f t="shared" si="47"/>
        <v>0</v>
      </c>
      <c r="BK48" s="147">
        <f>'Phụ lục số I'!AC48</f>
        <v>0</v>
      </c>
      <c r="BL48" s="147">
        <f t="shared" si="48"/>
        <v>0</v>
      </c>
      <c r="BM48" s="142">
        <f>'Phụ lục số I'!AI48</f>
        <v>0</v>
      </c>
      <c r="BN48" s="142">
        <f t="shared" si="49"/>
        <v>0</v>
      </c>
      <c r="BO48" s="142">
        <f>'Phụ lục số I'!AO48</f>
        <v>0</v>
      </c>
      <c r="BP48" s="142">
        <f t="shared" si="50"/>
        <v>0</v>
      </c>
      <c r="BQ48" s="142">
        <f>'Phụ lục số I'!AU48</f>
        <v>0</v>
      </c>
      <c r="BR48" s="142">
        <f t="shared" si="51"/>
        <v>0</v>
      </c>
      <c r="BS48" s="142">
        <f t="shared" si="94"/>
        <v>0</v>
      </c>
      <c r="BT48" s="142">
        <f t="shared" si="94"/>
        <v>0</v>
      </c>
      <c r="BU48" s="141">
        <f t="shared" si="91"/>
        <v>0</v>
      </c>
      <c r="BV48" s="247" t="e">
        <f t="shared" si="92"/>
        <v>#DIV/0!</v>
      </c>
      <c r="BY48" s="1" t="e">
        <f t="shared" si="19"/>
        <v>#DIV/0!</v>
      </c>
      <c r="BZ48" s="816" t="e">
        <f t="shared" si="20"/>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AR50" si="95">AG49+AI49+AK49+AM49+AO49</f>
        <v>59600</v>
      </c>
      <c r="AR49" s="142">
        <f t="shared" si="95"/>
        <v>46748.649856000004</v>
      </c>
      <c r="AS49" s="246">
        <f t="shared" si="90"/>
        <v>1.250729133349722E-3</v>
      </c>
      <c r="AT49" s="188">
        <f t="shared" si="87"/>
        <v>-0.28814976297234707</v>
      </c>
      <c r="AU49" s="17">
        <v>3000</v>
      </c>
      <c r="AV49" s="142">
        <f>2387</f>
        <v>2387</v>
      </c>
      <c r="AW49" s="261">
        <v>3000</v>
      </c>
      <c r="AX49" s="163">
        <v>2048</v>
      </c>
      <c r="AY49" s="163">
        <v>3000</v>
      </c>
      <c r="AZ49" s="163">
        <f>2116</f>
        <v>2116</v>
      </c>
      <c r="BA49" s="157">
        <f>+'Phụ lục số 1'!D49</f>
        <v>2000</v>
      </c>
      <c r="BB49" s="192">
        <f>+'Phụ lục số 1'!J49</f>
        <v>2000</v>
      </c>
      <c r="BC49" s="142">
        <f>+'Phụ lục số 1'!Q49</f>
        <v>2000</v>
      </c>
      <c r="BD49" s="142">
        <f t="shared" si="84"/>
        <v>2000</v>
      </c>
      <c r="BE49" s="152">
        <f t="shared" si="85"/>
        <v>13000</v>
      </c>
      <c r="BF49" s="152">
        <f t="shared" si="86"/>
        <v>10551</v>
      </c>
      <c r="BG49" s="246">
        <f t="shared" si="88"/>
        <v>2.4419567431172256E-4</v>
      </c>
      <c r="BH49" s="247">
        <f t="shared" si="89"/>
        <v>-6.9491251740696369E-2</v>
      </c>
      <c r="BI49" s="289">
        <f>'Phụ lục số I'!W49</f>
        <v>2000</v>
      </c>
      <c r="BJ49" s="147">
        <f t="shared" si="47"/>
        <v>2000</v>
      </c>
      <c r="BK49" s="147">
        <f>'Phụ lục số I'!AC49</f>
        <v>2000</v>
      </c>
      <c r="BL49" s="147">
        <f t="shared" si="48"/>
        <v>2000</v>
      </c>
      <c r="BM49" s="142">
        <f>'Phụ lục số I'!AI49</f>
        <v>2000</v>
      </c>
      <c r="BN49" s="142">
        <f t="shared" si="49"/>
        <v>2000</v>
      </c>
      <c r="BO49" s="142">
        <f>'Phụ lục số I'!AO49</f>
        <v>2000</v>
      </c>
      <c r="BP49" s="142">
        <f t="shared" si="50"/>
        <v>2000</v>
      </c>
      <c r="BQ49" s="142">
        <f>'Phụ lục số I'!AU49</f>
        <v>2000</v>
      </c>
      <c r="BR49" s="142">
        <f t="shared" si="51"/>
        <v>2000</v>
      </c>
      <c r="BS49" s="142">
        <f t="shared" si="94"/>
        <v>10000</v>
      </c>
      <c r="BT49" s="142">
        <f t="shared" si="94"/>
        <v>10000</v>
      </c>
      <c r="BU49" s="141">
        <f t="shared" si="91"/>
        <v>1.6044153356011871E-2</v>
      </c>
      <c r="BV49" s="247">
        <f t="shared" si="92"/>
        <v>0</v>
      </c>
      <c r="BY49" s="1">
        <f t="shared" si="19"/>
        <v>0.94517958412098302</v>
      </c>
      <c r="BZ49" s="816">
        <f t="shared" si="20"/>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si="95"/>
        <v>6010000</v>
      </c>
      <c r="AR50" s="142">
        <f t="shared" si="95"/>
        <v>7659357.0477470001</v>
      </c>
      <c r="AS50" s="246">
        <f t="shared" si="90"/>
        <v>0.20492101979101679</v>
      </c>
      <c r="AT50" s="188">
        <f t="shared" si="87"/>
        <v>0.10695115266120681</v>
      </c>
      <c r="AU50" s="17">
        <v>1500000</v>
      </c>
      <c r="AV50" s="142">
        <v>1283258</v>
      </c>
      <c r="AW50" s="39">
        <v>1500000</v>
      </c>
      <c r="AX50" s="163">
        <v>1743741</v>
      </c>
      <c r="AY50" s="163">
        <v>1600000</v>
      </c>
      <c r="AZ50" s="163">
        <v>2017388</v>
      </c>
      <c r="BA50" s="157">
        <f>+'Phụ lục số 1'!D50</f>
        <v>1950000</v>
      </c>
      <c r="BB50" s="192">
        <f>+'Phụ lục số 1'!J50</f>
        <v>2150000</v>
      </c>
      <c r="BC50" s="142">
        <f>+'Phụ lục số 1'!Q50</f>
        <v>2100000</v>
      </c>
      <c r="BD50" s="142">
        <f t="shared" si="84"/>
        <v>2100000</v>
      </c>
      <c r="BE50" s="152">
        <f t="shared" si="85"/>
        <v>8650000</v>
      </c>
      <c r="BF50" s="152">
        <f t="shared" si="86"/>
        <v>9294387</v>
      </c>
      <c r="BG50" s="257">
        <f t="shared" si="88"/>
        <v>0.21511222640309999</v>
      </c>
      <c r="BH50" s="247">
        <f t="shared" si="89"/>
        <v>1.2171034633103872E-2</v>
      </c>
      <c r="BI50" s="289">
        <f>'Phụ lục số I'!W50</f>
        <v>1950000</v>
      </c>
      <c r="BJ50" s="147">
        <f t="shared" si="47"/>
        <v>1950000</v>
      </c>
      <c r="BK50" s="147">
        <f>'Phụ lục số I'!AC50</f>
        <v>2000000</v>
      </c>
      <c r="BL50" s="147">
        <f t="shared" si="48"/>
        <v>2000000</v>
      </c>
      <c r="BM50" s="142">
        <f>'Phụ lục số I'!AI50</f>
        <v>2800000</v>
      </c>
      <c r="BN50" s="142">
        <f t="shared" si="49"/>
        <v>2800000</v>
      </c>
      <c r="BO50" s="142">
        <f>'Phụ lục số I'!AO50</f>
        <v>2900000</v>
      </c>
      <c r="BP50" s="142">
        <f t="shared" si="50"/>
        <v>2900000</v>
      </c>
      <c r="BQ50" s="142">
        <f>'Phụ lục số I'!AU50</f>
        <v>3000000</v>
      </c>
      <c r="BR50" s="142">
        <f t="shared" si="51"/>
        <v>3000000</v>
      </c>
      <c r="BS50" s="142">
        <f t="shared" si="94"/>
        <v>12650000</v>
      </c>
      <c r="BT50" s="142">
        <f t="shared" si="94"/>
        <v>12650000</v>
      </c>
      <c r="BU50" s="141">
        <f t="shared" si="91"/>
        <v>20.295853995355017</v>
      </c>
      <c r="BV50" s="247">
        <f t="shared" si="92"/>
        <v>7.3940923785779322E-2</v>
      </c>
      <c r="BY50" s="1">
        <f t="shared" si="19"/>
        <v>1.0657345042203086</v>
      </c>
      <c r="BZ50" s="816">
        <f t="shared" si="20"/>
        <v>6.5734504220308576E-2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AJ51" si="96">SUM(AH52:AH54)</f>
        <v>96964.831542999993</v>
      </c>
      <c r="AI51" s="163">
        <f t="shared" si="96"/>
        <v>95000</v>
      </c>
      <c r="AJ51" s="163">
        <f t="shared" si="96"/>
        <v>107416.46518400002</v>
      </c>
      <c r="AK51" s="163">
        <f>SUM(AK52:AK54)</f>
        <v>66000</v>
      </c>
      <c r="AL51" s="163">
        <f t="shared" ref="AL51:AN51" si="97">SUM(AL52:AL54)</f>
        <v>74261.799999999988</v>
      </c>
      <c r="AM51" s="163">
        <f>SUM(AM52:AM54)</f>
        <v>78000</v>
      </c>
      <c r="AN51" s="163">
        <f t="shared" si="97"/>
        <v>126290</v>
      </c>
      <c r="AO51" s="142">
        <f>SUM(AO52:AO54)</f>
        <v>70000</v>
      </c>
      <c r="AP51" s="142">
        <f t="shared" ref="AP51:AR51" si="98">SUM(AP52:AP54)</f>
        <v>93759</v>
      </c>
      <c r="AQ51" s="142">
        <f>SUM(AQ52:AQ54)</f>
        <v>609000</v>
      </c>
      <c r="AR51" s="142">
        <f t="shared" si="98"/>
        <v>498692.09672699997</v>
      </c>
      <c r="AS51" s="246">
        <f t="shared" si="90"/>
        <v>1.3342176423682604E-2</v>
      </c>
      <c r="AT51" s="188">
        <f>(((AH51/AB51)*(AJ51/AH51)*(AL51/AJ51)*(AN51/AL51)*(AP51/AN51))^(1/5))-1</f>
        <v>-0.17399771792258234</v>
      </c>
      <c r="AU51" s="213">
        <f t="shared" ref="AU51:BE51" si="99">SUM(AU52:AU55)</f>
        <v>105000</v>
      </c>
      <c r="AV51" s="213">
        <f t="shared" si="99"/>
        <v>196855</v>
      </c>
      <c r="AW51" s="213">
        <f t="shared" si="99"/>
        <v>110000</v>
      </c>
      <c r="AX51" s="213">
        <f t="shared" si="99"/>
        <v>389783.37025500002</v>
      </c>
      <c r="AY51" s="213">
        <f t="shared" si="99"/>
        <v>150000</v>
      </c>
      <c r="AZ51" s="213">
        <f t="shared" si="99"/>
        <v>281887.67128599994</v>
      </c>
      <c r="BA51" s="213">
        <f t="shared" si="99"/>
        <v>200000</v>
      </c>
      <c r="BB51" s="213">
        <f>SUM(BB52:BB55)</f>
        <v>409999.569416666</v>
      </c>
      <c r="BC51" s="213">
        <f t="shared" si="99"/>
        <v>500000</v>
      </c>
      <c r="BD51" s="213">
        <f t="shared" si="99"/>
        <v>500000</v>
      </c>
      <c r="BE51" s="213">
        <f t="shared" si="99"/>
        <v>1065000</v>
      </c>
      <c r="BF51" s="213">
        <f>SUM(BF52:BF55)</f>
        <v>1778525.6109576661</v>
      </c>
      <c r="BG51" s="246">
        <f t="shared" si="88"/>
        <v>4.1162758112830593E-2</v>
      </c>
      <c r="BH51" s="247">
        <f t="shared" si="89"/>
        <v>0.39762740412738262</v>
      </c>
      <c r="BI51" s="212">
        <f t="shared" ref="BI51:BT51" si="100">SUM(BI52:BI54)</f>
        <v>287000.23000000004</v>
      </c>
      <c r="BJ51" s="213">
        <f t="shared" si="100"/>
        <v>287000.23000000004</v>
      </c>
      <c r="BK51" s="213">
        <f t="shared" si="100"/>
        <v>302000.37</v>
      </c>
      <c r="BL51" s="213">
        <f t="shared" si="100"/>
        <v>302000.37</v>
      </c>
      <c r="BM51" s="213">
        <f t="shared" si="100"/>
        <v>316000</v>
      </c>
      <c r="BN51" s="213">
        <f t="shared" si="100"/>
        <v>316000</v>
      </c>
      <c r="BO51" s="213">
        <f t="shared" si="100"/>
        <v>335000</v>
      </c>
      <c r="BP51" s="213">
        <f t="shared" si="100"/>
        <v>335000</v>
      </c>
      <c r="BQ51" s="213">
        <f t="shared" si="100"/>
        <v>353000</v>
      </c>
      <c r="BR51" s="213">
        <f t="shared" si="100"/>
        <v>353000</v>
      </c>
      <c r="BS51" s="213">
        <f t="shared" si="100"/>
        <v>1593000.6</v>
      </c>
      <c r="BT51" s="213">
        <f t="shared" si="100"/>
        <v>1593000.6</v>
      </c>
      <c r="BU51" s="141">
        <f t="shared" si="91"/>
        <v>2.5558345922618928</v>
      </c>
      <c r="BV51" s="247">
        <f t="shared" si="92"/>
        <v>-6.7259272810529458E-2</v>
      </c>
      <c r="BY51" s="4">
        <f t="shared" si="19"/>
        <v>1.4544785429820561</v>
      </c>
      <c r="BZ51" s="5417">
        <f t="shared" si="20"/>
        <v>0.45447854298205614</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AR54" si="101">AG52+AI52+AK52+AM52+AO52</f>
        <v>333100</v>
      </c>
      <c r="AR52" s="157">
        <f t="shared" si="101"/>
        <v>163472.97050699999</v>
      </c>
      <c r="AS52" s="155"/>
      <c r="AT52" s="25"/>
      <c r="AU52" s="27">
        <v>10000</v>
      </c>
      <c r="AV52" s="157">
        <v>67494</v>
      </c>
      <c r="AW52" s="157">
        <v>40000</v>
      </c>
      <c r="AX52" s="162">
        <v>161391.49293000001</v>
      </c>
      <c r="AY52" s="162">
        <v>80000</v>
      </c>
      <c r="AZ52" s="162">
        <v>74914.241725999993</v>
      </c>
      <c r="BA52" s="157">
        <f>+'Phụ lục số 1'!D52</f>
        <v>44000</v>
      </c>
      <c r="BB52" s="252">
        <f>+'Phụ lục số 1'!J52</f>
        <v>183880.399083333</v>
      </c>
      <c r="BC52" s="157">
        <f>+'Phụ lục số 1'!Q52</f>
        <v>343000</v>
      </c>
      <c r="BD52" s="157">
        <f>BC52</f>
        <v>343000</v>
      </c>
      <c r="BE52" s="152">
        <f t="shared" ref="BE52" si="102">AU52+AW52+AY52+BA52+BC52</f>
        <v>517000</v>
      </c>
      <c r="BF52" s="152">
        <f>AV52+AX52+AZ52+BB52+BD52</f>
        <v>830680.13373933302</v>
      </c>
      <c r="BG52" s="155"/>
      <c r="BH52" s="25"/>
      <c r="BI52" s="288">
        <f>'Phụ lục số I'!W52</f>
        <v>15754.95</v>
      </c>
      <c r="BJ52" s="152">
        <f t="shared" si="47"/>
        <v>15754.95</v>
      </c>
      <c r="BK52" s="152">
        <f>'Phụ lục số I'!AC52</f>
        <v>16647.900000000001</v>
      </c>
      <c r="BL52" s="152">
        <f t="shared" si="48"/>
        <v>16647.900000000001</v>
      </c>
      <c r="BM52" s="157">
        <f>'Phụ lục số I'!AI52</f>
        <v>86000</v>
      </c>
      <c r="BN52" s="157">
        <f t="shared" si="49"/>
        <v>86000</v>
      </c>
      <c r="BO52" s="157">
        <f>'Phụ lục số I'!AO52</f>
        <v>91000</v>
      </c>
      <c r="BP52" s="157">
        <f t="shared" si="50"/>
        <v>91000</v>
      </c>
      <c r="BQ52" s="157">
        <f>'Phụ lục số I'!AU52</f>
        <v>97000</v>
      </c>
      <c r="BR52" s="157">
        <f t="shared" si="51"/>
        <v>97000</v>
      </c>
      <c r="BS52" s="157">
        <f t="shared" ref="BS52:BT54" si="103">BI52+BK52+BM52+BO52+BQ52</f>
        <v>306402.84999999998</v>
      </c>
      <c r="BT52" s="157">
        <f t="shared" si="103"/>
        <v>306402.84999999998</v>
      </c>
      <c r="BU52" s="155"/>
      <c r="BV52" s="25"/>
      <c r="BY52" s="1">
        <f t="shared" si="19"/>
        <v>2.4545452886765968</v>
      </c>
      <c r="BZ52" s="816">
        <f t="shared" si="20"/>
        <v>1.4545452886765968</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si="101"/>
        <v>275900</v>
      </c>
      <c r="AR53" s="157">
        <f t="shared" si="101"/>
        <v>319783.06354800001</v>
      </c>
      <c r="AS53" s="155"/>
      <c r="AT53" s="25"/>
      <c r="AU53" s="26">
        <v>95000</v>
      </c>
      <c r="AV53" s="157">
        <v>125207</v>
      </c>
      <c r="AW53" s="157">
        <v>70000</v>
      </c>
      <c r="AX53" s="162">
        <v>223797.352625</v>
      </c>
      <c r="AY53" s="162">
        <v>70000</v>
      </c>
      <c r="AZ53" s="162">
        <v>205626.60978599999</v>
      </c>
      <c r="BA53" s="157">
        <f>+'Phụ lục số 1'!D53</f>
        <v>154000</v>
      </c>
      <c r="BB53" s="252">
        <f>+'Phụ lục số 1'!J53</f>
        <v>219988.436333333</v>
      </c>
      <c r="BC53" s="157">
        <f>+'Phụ lục số 1'!Q53</f>
        <v>152000</v>
      </c>
      <c r="BD53" s="157">
        <f>BC53</f>
        <v>152000</v>
      </c>
      <c r="BE53" s="152">
        <f t="shared" ref="BE53" si="104">AU53+AW53+AY53+BA53+BC53</f>
        <v>541000</v>
      </c>
      <c r="BF53" s="152">
        <f t="shared" ref="BF53:BF54" si="105">AV53+AX53+AZ53+BB53+BD53</f>
        <v>926619.39874433295</v>
      </c>
      <c r="BG53" s="155"/>
      <c r="BH53" s="25"/>
      <c r="BI53" s="288">
        <f>'Phụ lục số I'!W53</f>
        <v>268940.46000000002</v>
      </c>
      <c r="BJ53" s="152">
        <f t="shared" si="47"/>
        <v>268940.46000000002</v>
      </c>
      <c r="BK53" s="152">
        <f>'Phụ lục số I'!AC53</f>
        <v>282874.78999999998</v>
      </c>
      <c r="BL53" s="152">
        <f t="shared" si="48"/>
        <v>282874.78999999998</v>
      </c>
      <c r="BM53" s="157">
        <f>'Phụ lục số I'!AI53</f>
        <v>218000</v>
      </c>
      <c r="BN53" s="157">
        <f t="shared" si="49"/>
        <v>218000</v>
      </c>
      <c r="BO53" s="157">
        <f>'Phụ lục số I'!AO53</f>
        <v>228000</v>
      </c>
      <c r="BP53" s="157">
        <f t="shared" si="50"/>
        <v>228000</v>
      </c>
      <c r="BQ53" s="157">
        <f>'Phụ lục số I'!AU53</f>
        <v>234000</v>
      </c>
      <c r="BR53" s="157">
        <f t="shared" si="51"/>
        <v>234000</v>
      </c>
      <c r="BS53" s="157">
        <f t="shared" si="103"/>
        <v>1231815.25</v>
      </c>
      <c r="BT53" s="157">
        <f t="shared" si="103"/>
        <v>1231815.25</v>
      </c>
      <c r="BU53" s="155"/>
      <c r="BV53" s="25"/>
      <c r="BY53" s="1">
        <f t="shared" si="19"/>
        <v>1.069844202373806</v>
      </c>
      <c r="BZ53" s="816">
        <f t="shared" si="20"/>
        <v>6.9844202373805953E-2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01"/>
        <v>0</v>
      </c>
      <c r="AR54" s="157">
        <f t="shared" si="101"/>
        <v>15436.062672</v>
      </c>
      <c r="AS54" s="155"/>
      <c r="AT54" s="25"/>
      <c r="AU54" s="26"/>
      <c r="AV54" s="157">
        <v>4154</v>
      </c>
      <c r="AW54" s="157"/>
      <c r="AX54" s="162">
        <v>4594.5246999999999</v>
      </c>
      <c r="AY54" s="162"/>
      <c r="AZ54" s="162">
        <v>1346.8197740000001</v>
      </c>
      <c r="BA54" s="157">
        <f>+'Phụ lục số 1'!D54</f>
        <v>2000</v>
      </c>
      <c r="BB54" s="252">
        <f>+'Phụ lục số 1'!J54</f>
        <v>6130.7340000000004</v>
      </c>
      <c r="BC54" s="157">
        <f>+'Phụ lục số 1'!Q54</f>
        <v>4000</v>
      </c>
      <c r="BD54" s="157">
        <f>BC54</f>
        <v>4000</v>
      </c>
      <c r="BE54" s="152">
        <f>AU54+AW54+AY54+BA54+BC54</f>
        <v>6000</v>
      </c>
      <c r="BF54" s="152">
        <f t="shared" si="105"/>
        <v>20226.078474000002</v>
      </c>
      <c r="BG54" s="155"/>
      <c r="BH54" s="25"/>
      <c r="BI54" s="288">
        <f>'Phụ lục số I'!W54</f>
        <v>2304.8200000000002</v>
      </c>
      <c r="BJ54" s="152">
        <f t="shared" si="47"/>
        <v>2304.8200000000002</v>
      </c>
      <c r="BK54" s="152">
        <f>'Phụ lục số I'!AC54</f>
        <v>2477.6799999999998</v>
      </c>
      <c r="BL54" s="152">
        <f t="shared" si="48"/>
        <v>2477.6799999999998</v>
      </c>
      <c r="BM54" s="157">
        <f>'Phụ lục số I'!AI54</f>
        <v>12000</v>
      </c>
      <c r="BN54" s="157">
        <f t="shared" si="49"/>
        <v>12000</v>
      </c>
      <c r="BO54" s="157">
        <f>'Phụ lục số I'!AO54</f>
        <v>16000</v>
      </c>
      <c r="BP54" s="157">
        <f t="shared" si="50"/>
        <v>16000</v>
      </c>
      <c r="BQ54" s="157">
        <f>'Phụ lục số I'!AU54</f>
        <v>22000</v>
      </c>
      <c r="BR54" s="157">
        <f t="shared" si="51"/>
        <v>22000</v>
      </c>
      <c r="BS54" s="157">
        <f t="shared" si="103"/>
        <v>54782.5</v>
      </c>
      <c r="BT54" s="157">
        <f t="shared" si="103"/>
        <v>54782.5</v>
      </c>
      <c r="BU54" s="155"/>
      <c r="BV54" s="25"/>
      <c r="BY54" s="1">
        <f t="shared" si="19"/>
        <v>4.5520077135428219</v>
      </c>
      <c r="BZ54" s="816">
        <f t="shared" si="20"/>
        <v>3.5520077135428219</v>
      </c>
    </row>
    <row r="55" spans="1:78">
      <c r="A55" s="230"/>
      <c r="B55" s="232"/>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7"/>
      <c r="AC55" s="157"/>
      <c r="AD55" s="157"/>
      <c r="AE55" s="155"/>
      <c r="AF55" s="280"/>
      <c r="AG55" s="26"/>
      <c r="AH55" s="157"/>
      <c r="AI55" s="157"/>
      <c r="AJ55" s="157"/>
      <c r="AK55" s="162"/>
      <c r="AL55" s="162"/>
      <c r="AM55" s="162"/>
      <c r="AN55" s="157"/>
      <c r="AO55" s="157"/>
      <c r="AP55" s="157"/>
      <c r="AQ55" s="157"/>
      <c r="AR55" s="157"/>
      <c r="AS55" s="155"/>
      <c r="AT55" s="25"/>
      <c r="AU55" s="26"/>
      <c r="AV55" s="157"/>
      <c r="AW55" s="157"/>
      <c r="AX55" s="162"/>
      <c r="AY55" s="162"/>
      <c r="AZ55" s="162"/>
      <c r="BA55" s="157"/>
      <c r="BB55" s="252"/>
      <c r="BC55" s="157">
        <f>+'Phụ lục số 1'!Q55</f>
        <v>1000</v>
      </c>
      <c r="BD55" s="157">
        <f>+BC55</f>
        <v>1000</v>
      </c>
      <c r="BE55" s="152">
        <f t="shared" ref="BE55:BE56" si="106">AU55+AW55+AY55+BA55+BC55</f>
        <v>1000</v>
      </c>
      <c r="BF55" s="152">
        <f t="shared" ref="BF55:BF56" si="107">AV55+AX55+AZ55+BB55+BD55</f>
        <v>1000</v>
      </c>
      <c r="BG55" s="155"/>
      <c r="BH55" s="25"/>
      <c r="BI55" s="288"/>
      <c r="BJ55" s="152"/>
      <c r="BK55" s="152"/>
      <c r="BL55" s="152"/>
      <c r="BM55" s="157"/>
      <c r="BN55" s="157"/>
      <c r="BO55" s="157"/>
      <c r="BP55" s="157"/>
      <c r="BQ55" s="157"/>
      <c r="BR55" s="157"/>
      <c r="BS55" s="157"/>
      <c r="BT55" s="157"/>
      <c r="BU55" s="155"/>
      <c r="BV55" s="25"/>
      <c r="BZ55" s="816"/>
    </row>
    <row r="56" spans="1:78" s="4" customFormat="1">
      <c r="A56" s="230"/>
      <c r="B56" s="231"/>
      <c r="C56" s="221"/>
      <c r="D56" s="251"/>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42"/>
      <c r="AC56" s="142"/>
      <c r="AD56" s="142"/>
      <c r="AE56" s="158"/>
      <c r="AF56" s="281"/>
      <c r="AG56" s="18"/>
      <c r="AH56" s="142"/>
      <c r="AI56" s="142"/>
      <c r="AJ56" s="142"/>
      <c r="AK56" s="163"/>
      <c r="AL56" s="163"/>
      <c r="AM56" s="163"/>
      <c r="AN56" s="142"/>
      <c r="AO56" s="142"/>
      <c r="AP56" s="142"/>
      <c r="AQ56" s="142"/>
      <c r="AR56" s="142"/>
      <c r="AS56" s="158"/>
      <c r="AT56" s="268"/>
      <c r="AU56" s="18"/>
      <c r="AV56" s="142"/>
      <c r="AW56" s="142"/>
      <c r="AX56" s="163"/>
      <c r="AY56" s="163"/>
      <c r="AZ56" s="163"/>
      <c r="BA56" s="142"/>
      <c r="BB56" s="192"/>
      <c r="BC56" s="142">
        <f>+'Phụ lục số 1'!Q56</f>
        <v>5553.7960000000003</v>
      </c>
      <c r="BD56" s="142">
        <f>+BC56</f>
        <v>5553.7960000000003</v>
      </c>
      <c r="BE56" s="147">
        <f t="shared" si="106"/>
        <v>5553.7960000000003</v>
      </c>
      <c r="BF56" s="147">
        <f t="shared" si="107"/>
        <v>5553.7960000000003</v>
      </c>
      <c r="BG56" s="158"/>
      <c r="BH56" s="268"/>
      <c r="BI56" s="289"/>
      <c r="BJ56" s="147"/>
      <c r="BK56" s="147"/>
      <c r="BL56" s="147"/>
      <c r="BM56" s="142"/>
      <c r="BN56" s="142"/>
      <c r="BO56" s="142"/>
      <c r="BP56" s="142"/>
      <c r="BQ56" s="142"/>
      <c r="BR56" s="142"/>
      <c r="BS56" s="142"/>
      <c r="BT56" s="142"/>
      <c r="BU56" s="158"/>
      <c r="BV56" s="268"/>
      <c r="BZ56" s="5417"/>
    </row>
    <row r="57" spans="1:78">
      <c r="A57" s="226" t="s">
        <v>37</v>
      </c>
      <c r="B57" s="227" t="s">
        <v>38</v>
      </c>
      <c r="C57" s="221"/>
      <c r="D57" s="251"/>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42">
        <f>AB58+AB60</f>
        <v>1707984</v>
      </c>
      <c r="AC57" s="157"/>
      <c r="AD57" s="142">
        <f>AD58+AD60</f>
        <v>8885312</v>
      </c>
      <c r="AE57" s="155"/>
      <c r="AF57" s="280"/>
      <c r="AG57" s="17">
        <f>SUM(AG58,AG60)</f>
        <v>3232836</v>
      </c>
      <c r="AH57" s="163">
        <f t="shared" ref="AH57" si="108">SUM(AH58,AH60)</f>
        <v>3232836</v>
      </c>
      <c r="AI57" s="163">
        <f>SUM(AI58,AI60)</f>
        <v>5430855</v>
      </c>
      <c r="AJ57" s="163">
        <f t="shared" ref="AJ57" si="109">SUM(AJ58,AJ60)</f>
        <v>5430855</v>
      </c>
      <c r="AK57" s="163">
        <f>SUM(AK58,AK60)</f>
        <v>6694954</v>
      </c>
      <c r="AL57" s="163">
        <f t="shared" ref="AL57:AN57" si="110">SUM(AL58,AL60)</f>
        <v>6694954</v>
      </c>
      <c r="AM57" s="163">
        <f>SUM(AM58,AM60)</f>
        <v>6498723</v>
      </c>
      <c r="AN57" s="163">
        <f t="shared" si="110"/>
        <v>6498723</v>
      </c>
      <c r="AO57" s="163">
        <f>SUM(AO58,AO60)</f>
        <v>6518796</v>
      </c>
      <c r="AP57" s="163">
        <f t="shared" ref="AP57:AR57" si="111">SUM(AP58,AP60)</f>
        <v>6518796</v>
      </c>
      <c r="AQ57" s="163">
        <f>SUM(AQ58,AQ60)</f>
        <v>28376164</v>
      </c>
      <c r="AR57" s="163">
        <f t="shared" si="111"/>
        <v>28376164</v>
      </c>
      <c r="AS57" s="155"/>
      <c r="AT57" s="188">
        <f>(((AH57/AB57)*(AJ57/AH57)*(AL57/AJ57)*(AN57/AL57)*(AP57/AN57))^(1/5))-1</f>
        <v>0.3071839850812601</v>
      </c>
      <c r="AU57" s="17">
        <f>SUM(AU58,AU60)</f>
        <v>6765596</v>
      </c>
      <c r="AV57" s="163">
        <f t="shared" ref="AV57:BF57" si="112">SUM(AV58,AV60)</f>
        <v>6765596</v>
      </c>
      <c r="AW57" s="163">
        <f>SUM(AW58,AW60)</f>
        <v>8016985</v>
      </c>
      <c r="AX57" s="163">
        <f t="shared" si="112"/>
        <v>8016985</v>
      </c>
      <c r="AY57" s="163">
        <f>SUM(AY58,AY60)</f>
        <v>9084495</v>
      </c>
      <c r="AZ57" s="163">
        <f t="shared" si="112"/>
        <v>9084495</v>
      </c>
      <c r="BA57" s="163">
        <f t="shared" si="112"/>
        <v>9256479</v>
      </c>
      <c r="BB57" s="191">
        <f t="shared" si="112"/>
        <v>9766253</v>
      </c>
      <c r="BC57" s="163">
        <f t="shared" si="112"/>
        <v>13326475.800000001</v>
      </c>
      <c r="BD57" s="163">
        <f t="shared" si="112"/>
        <v>13326475.800000001</v>
      </c>
      <c r="BE57" s="213">
        <f t="shared" si="112"/>
        <v>46450030.799999997</v>
      </c>
      <c r="BF57" s="213">
        <f t="shared" si="112"/>
        <v>46959804.799999997</v>
      </c>
      <c r="BG57" s="155"/>
      <c r="BH57" s="247">
        <f>(((AV57/AP57)*(AX57/AV57)*(AZ57/AX57)*(BB57/AZ57)*(BD57/BB57))^(1/5))-1</f>
        <v>0.15374434379054081</v>
      </c>
      <c r="BI57" s="212">
        <f t="shared" ref="BI57:BT57" si="113">SUM(BI58,BI60)</f>
        <v>13326475.800000001</v>
      </c>
      <c r="BJ57" s="213">
        <f t="shared" si="113"/>
        <v>13326475.800000001</v>
      </c>
      <c r="BK57" s="213">
        <f t="shared" si="113"/>
        <v>13326475.800000001</v>
      </c>
      <c r="BL57" s="213">
        <f t="shared" si="113"/>
        <v>13326475.800000001</v>
      </c>
      <c r="BM57" s="213">
        <f t="shared" si="113"/>
        <v>12947209.800000001</v>
      </c>
      <c r="BN57" s="213">
        <f t="shared" si="113"/>
        <v>12947209.800000001</v>
      </c>
      <c r="BO57" s="213">
        <f t="shared" si="113"/>
        <v>12947209.800000001</v>
      </c>
      <c r="BP57" s="213">
        <f t="shared" si="113"/>
        <v>12947209.800000001</v>
      </c>
      <c r="BQ57" s="213">
        <f t="shared" si="113"/>
        <v>12947209.800000001</v>
      </c>
      <c r="BR57" s="213">
        <f t="shared" si="113"/>
        <v>12947209.800000001</v>
      </c>
      <c r="BS57" s="213">
        <f t="shared" si="113"/>
        <v>65494581</v>
      </c>
      <c r="BT57" s="213">
        <f t="shared" si="113"/>
        <v>65494581</v>
      </c>
      <c r="BU57" s="155"/>
      <c r="BV57" s="247">
        <f t="shared" ref="BV57:BV61" si="114">(((BJ57/BD57)*(BL57/BJ57)*(BN57/BL57)*(BP57/BN57)*(BR57/BP57))^(1/5))-1</f>
        <v>-5.7578422546348262E-3</v>
      </c>
      <c r="BY57" s="1">
        <f t="shared" si="19"/>
        <v>1.0750463289373817</v>
      </c>
      <c r="BZ57" s="816">
        <f t="shared" si="20"/>
        <v>7.5046328937381723E-2</v>
      </c>
    </row>
    <row r="58" spans="1:78">
      <c r="A58" s="226" t="s">
        <v>3</v>
      </c>
      <c r="B58" s="227" t="s">
        <v>39</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6">
        <f>1174152+AB59</f>
        <v>1174152</v>
      </c>
      <c r="AC58" s="157"/>
      <c r="AD58" s="157">
        <v>5842317</v>
      </c>
      <c r="AE58" s="155"/>
      <c r="AF58" s="280"/>
      <c r="AG58" s="27">
        <f>1174152+AG59</f>
        <v>1174152</v>
      </c>
      <c r="AH58" s="162">
        <f>1174152+AH59</f>
        <v>1174152</v>
      </c>
      <c r="AI58" s="162">
        <f>4693126+AI59</f>
        <v>4693126</v>
      </c>
      <c r="AJ58" s="162">
        <f>4693126+AJ59</f>
        <v>4693126</v>
      </c>
      <c r="AK58" s="162">
        <f>4693126+AK59</f>
        <v>4693126</v>
      </c>
      <c r="AL58" s="162">
        <f>4693126+AL59</f>
        <v>4693126</v>
      </c>
      <c r="AM58" s="162">
        <f>4693126+AM59</f>
        <v>4787126</v>
      </c>
      <c r="AN58" s="157">
        <f>AM58</f>
        <v>4787126</v>
      </c>
      <c r="AO58" s="157">
        <f>4787126+AO59</f>
        <v>4883126</v>
      </c>
      <c r="AP58" s="157">
        <f>4787126+AP59</f>
        <v>4883126</v>
      </c>
      <c r="AQ58" s="157">
        <f t="shared" ref="AQ58:AR59" si="115">AG58+AI58+AK58+AM58+AO58</f>
        <v>20230656</v>
      </c>
      <c r="AR58" s="157">
        <f t="shared" si="115"/>
        <v>20230656</v>
      </c>
      <c r="AS58" s="155"/>
      <c r="AT58" s="187">
        <f>(((AH58/AB58)*(AJ58/AH58)*(AL58/AJ58)*(AN58/AL58)*(AP58/AN58))^(1/5))-1</f>
        <v>0.32982569961965535</v>
      </c>
      <c r="AU58" s="26">
        <v>4883126</v>
      </c>
      <c r="AV58" s="157">
        <f>AU58</f>
        <v>4883126</v>
      </c>
      <c r="AW58" s="157">
        <v>6803512</v>
      </c>
      <c r="AX58" s="162">
        <f>AW58</f>
        <v>6803512</v>
      </c>
      <c r="AY58" s="162">
        <f>6487488</f>
        <v>6487488</v>
      </c>
      <c r="AZ58" s="162">
        <f>AY58</f>
        <v>6487488</v>
      </c>
      <c r="BA58" s="157">
        <f>'Phụ lục số I'!D56</f>
        <v>6617188</v>
      </c>
      <c r="BB58" s="252">
        <f>'Phụ lục số I'!J56</f>
        <v>6617188</v>
      </c>
      <c r="BC58" s="157">
        <f>'Phụ lục số I'!Q56</f>
        <v>6617188</v>
      </c>
      <c r="BD58" s="157">
        <f>BC58</f>
        <v>6617188</v>
      </c>
      <c r="BE58" s="152">
        <f>AU58+AW58+AY58+BA58+BC58</f>
        <v>31408502</v>
      </c>
      <c r="BF58" s="152">
        <f t="shared" ref="BF58:BF59" si="116">AV58+AX58+AZ58+BB58+BD58</f>
        <v>31408502</v>
      </c>
      <c r="BG58" s="155"/>
      <c r="BH58" s="247">
        <f>(((AV58/AP58)*(AX58/AV58)*(AZ58/AX58)*(BB58/AZ58)*(BD58/BB58))^(1/5))-1</f>
        <v>6.2661896672370654E-2</v>
      </c>
      <c r="BI58" s="288">
        <f>'Phụ lục số I'!W56</f>
        <v>6617188</v>
      </c>
      <c r="BJ58" s="152">
        <f t="shared" si="47"/>
        <v>6617188</v>
      </c>
      <c r="BK58" s="152">
        <f>'Phụ lục số I'!AC56</f>
        <v>6617188</v>
      </c>
      <c r="BL58" s="152">
        <f t="shared" si="48"/>
        <v>6617188</v>
      </c>
      <c r="BM58" s="157">
        <f>'Phụ lục số I'!AI56</f>
        <v>6617188</v>
      </c>
      <c r="BN58" s="157">
        <f t="shared" si="49"/>
        <v>6617188</v>
      </c>
      <c r="BO58" s="157">
        <f>'Phụ lục số I'!AO56</f>
        <v>6617188</v>
      </c>
      <c r="BP58" s="157">
        <f t="shared" si="50"/>
        <v>6617188</v>
      </c>
      <c r="BQ58" s="157">
        <f>'Phụ lục số I'!AU56</f>
        <v>6617188</v>
      </c>
      <c r="BR58" s="157">
        <f t="shared" si="51"/>
        <v>6617188</v>
      </c>
      <c r="BS58" s="157">
        <f t="shared" ref="BS58:BT59" si="117">BI58+BK58+BM58+BO58+BQ58</f>
        <v>33085940</v>
      </c>
      <c r="BT58" s="157">
        <f t="shared" si="117"/>
        <v>33085940</v>
      </c>
      <c r="BU58" s="155"/>
      <c r="BV58" s="247">
        <f t="shared" si="114"/>
        <v>0</v>
      </c>
      <c r="BY58" s="1">
        <f t="shared" si="19"/>
        <v>1.0199923298509377</v>
      </c>
      <c r="BZ58" s="816">
        <f t="shared" si="20"/>
        <v>1.9992329850937685E-2</v>
      </c>
    </row>
    <row r="59" spans="1:78" s="5" customFormat="1" hidden="1">
      <c r="A59" s="239"/>
      <c r="B59" s="240" t="s">
        <v>98</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1"/>
      <c r="AC59" s="171"/>
      <c r="AD59" s="171"/>
      <c r="AE59" s="258"/>
      <c r="AF59" s="283"/>
      <c r="AG59" s="28"/>
      <c r="AH59" s="171"/>
      <c r="AI59" s="172"/>
      <c r="AJ59" s="172"/>
      <c r="AK59" s="172"/>
      <c r="AL59" s="172"/>
      <c r="AM59" s="172">
        <v>94000</v>
      </c>
      <c r="AN59" s="171">
        <v>94000</v>
      </c>
      <c r="AO59" s="171">
        <f>96000</f>
        <v>96000</v>
      </c>
      <c r="AP59" s="171">
        <f>AO59</f>
        <v>96000</v>
      </c>
      <c r="AQ59" s="171">
        <f t="shared" si="115"/>
        <v>190000</v>
      </c>
      <c r="AR59" s="171">
        <f t="shared" si="115"/>
        <v>190000</v>
      </c>
      <c r="AS59" s="258"/>
      <c r="AT59" s="217" t="e">
        <f>(((AH59/AB59)*(AJ59/AH59)*(AL59/AJ59)*(AN59/AL59)*(AP59/AN59))^(1/5))-1</f>
        <v>#DIV/0!</v>
      </c>
      <c r="AU59" s="28"/>
      <c r="AV59" s="171"/>
      <c r="AW59" s="171"/>
      <c r="AX59" s="172"/>
      <c r="AY59" s="172"/>
      <c r="AZ59" s="172"/>
      <c r="BA59" s="171">
        <f>'Phụ lục số I'!D57</f>
        <v>129700</v>
      </c>
      <c r="BB59" s="259">
        <f>'Phụ lục số I'!J57</f>
        <v>129700</v>
      </c>
      <c r="BC59" s="171">
        <f>'Phụ lục số I'!Q57</f>
        <v>129700</v>
      </c>
      <c r="BD59" s="171">
        <f>BC59</f>
        <v>129700</v>
      </c>
      <c r="BE59" s="263">
        <f>AU59+AW59+AY59+BA59+BC59</f>
        <v>259400</v>
      </c>
      <c r="BF59" s="263">
        <f t="shared" si="116"/>
        <v>259400</v>
      </c>
      <c r="BG59" s="258"/>
      <c r="BH59" s="264"/>
      <c r="BI59" s="290">
        <f>'Phụ lục số I'!W57</f>
        <v>129700</v>
      </c>
      <c r="BJ59" s="263">
        <f t="shared" si="47"/>
        <v>129700</v>
      </c>
      <c r="BK59" s="263">
        <f>'Phụ lục số I'!AC57</f>
        <v>129700</v>
      </c>
      <c r="BL59" s="263">
        <f t="shared" si="48"/>
        <v>129700</v>
      </c>
      <c r="BM59" s="171">
        <f>'Phụ lục số I'!AI57</f>
        <v>129700</v>
      </c>
      <c r="BN59" s="171">
        <f t="shared" si="49"/>
        <v>129700</v>
      </c>
      <c r="BO59" s="171">
        <f>'Phụ lục số I'!AO57</f>
        <v>129700</v>
      </c>
      <c r="BP59" s="171">
        <f t="shared" si="50"/>
        <v>129700</v>
      </c>
      <c r="BQ59" s="171">
        <f>'Phụ lục số I'!AU57</f>
        <v>129700</v>
      </c>
      <c r="BR59" s="171">
        <f t="shared" si="51"/>
        <v>129700</v>
      </c>
      <c r="BS59" s="171">
        <f t="shared" si="117"/>
        <v>648500</v>
      </c>
      <c r="BT59" s="171">
        <f t="shared" si="117"/>
        <v>648500</v>
      </c>
      <c r="BU59" s="258"/>
      <c r="BV59" s="264"/>
      <c r="BY59" s="1" t="e">
        <f t="shared" si="19"/>
        <v>#DIV/0!</v>
      </c>
      <c r="BZ59" s="816" t="e">
        <f t="shared" si="20"/>
        <v>#DIV/0!</v>
      </c>
    </row>
    <row r="60" spans="1:78">
      <c r="A60" s="226" t="s">
        <v>33</v>
      </c>
      <c r="B60" s="227" t="s">
        <v>41</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63">
        <f>AB61+AB64+AB67</f>
        <v>533832</v>
      </c>
      <c r="AC60" s="157"/>
      <c r="AD60" s="163">
        <f>AD61+AD64+AD67</f>
        <v>3042995</v>
      </c>
      <c r="AE60" s="155"/>
      <c r="AF60" s="280"/>
      <c r="AG60" s="17">
        <f>AG61+AG64+AG67</f>
        <v>2058684</v>
      </c>
      <c r="AH60" s="163">
        <f t="shared" ref="AH60" si="118">AH61+AH64+AH67</f>
        <v>2058684</v>
      </c>
      <c r="AI60" s="163">
        <f>AI61+AI64+AI67</f>
        <v>737729</v>
      </c>
      <c r="AJ60" s="163">
        <f t="shared" ref="AJ60" si="119">AJ61+AJ64+AJ67</f>
        <v>737729</v>
      </c>
      <c r="AK60" s="163">
        <f>AK61+AK64+AK67</f>
        <v>2001828</v>
      </c>
      <c r="AL60" s="163">
        <f t="shared" ref="AL60:AN60" si="120">AL61+AL64+AL67</f>
        <v>2001828</v>
      </c>
      <c r="AM60" s="163">
        <f>AM61+AM64+AM67</f>
        <v>1711597</v>
      </c>
      <c r="AN60" s="163">
        <f t="shared" si="120"/>
        <v>1711597</v>
      </c>
      <c r="AO60" s="163">
        <f>AO61+AO64+AO67</f>
        <v>1635670</v>
      </c>
      <c r="AP60" s="163">
        <f t="shared" ref="AP60:AR60" si="121">AP61+AP64+AP67</f>
        <v>1635670</v>
      </c>
      <c r="AQ60" s="163">
        <f>AQ61+AQ64+AQ67</f>
        <v>8145508</v>
      </c>
      <c r="AR60" s="163">
        <f t="shared" si="121"/>
        <v>8145508</v>
      </c>
      <c r="AS60" s="155"/>
      <c r="AT60" s="188">
        <f>(((AH60/AB60)*(AJ60/AH60)*(AL60/AJ60)*(AN60/AL60)*(AP60/AN60))^(1/5))-1</f>
        <v>0.2510026133871015</v>
      </c>
      <c r="AU60" s="17">
        <f>AU61+AU64+AU67</f>
        <v>1882470</v>
      </c>
      <c r="AV60" s="163">
        <f t="shared" ref="AV60:BF60" si="122">AV61+AV64+AV67</f>
        <v>1882470</v>
      </c>
      <c r="AW60" s="163">
        <f>AW61+AW64+AW67</f>
        <v>1213473</v>
      </c>
      <c r="AX60" s="163">
        <f t="shared" si="122"/>
        <v>1213473</v>
      </c>
      <c r="AY60" s="163">
        <f>AY61+AY64+AY67</f>
        <v>2597007</v>
      </c>
      <c r="AZ60" s="163">
        <f t="shared" si="122"/>
        <v>2597007</v>
      </c>
      <c r="BA60" s="163">
        <f t="shared" si="122"/>
        <v>2639291</v>
      </c>
      <c r="BB60" s="191">
        <f t="shared" si="122"/>
        <v>3149065</v>
      </c>
      <c r="BC60" s="163">
        <f t="shared" si="122"/>
        <v>6709287.7999999998</v>
      </c>
      <c r="BD60" s="163">
        <f t="shared" si="122"/>
        <v>6709287.7999999998</v>
      </c>
      <c r="BE60" s="213">
        <f t="shared" si="122"/>
        <v>15041528.800000001</v>
      </c>
      <c r="BF60" s="213">
        <f t="shared" si="122"/>
        <v>15551302.800000001</v>
      </c>
      <c r="BG60" s="155"/>
      <c r="BH60" s="247">
        <f>(((AV60/AP60)*(AX60/AV60)*(AZ60/AX60)*(BB60/AZ60)*(BD60/BB60))^(1/5))-1</f>
        <v>0.32616067852885866</v>
      </c>
      <c r="BI60" s="212">
        <f>BI61+BI64+BI67</f>
        <v>6709287.7999999998</v>
      </c>
      <c r="BJ60" s="213">
        <f t="shared" ref="BJ60:BT60" si="123">BJ61+BJ64+BJ67</f>
        <v>6709287.7999999998</v>
      </c>
      <c r="BK60" s="213">
        <f t="shared" si="123"/>
        <v>6709287.7999999998</v>
      </c>
      <c r="BL60" s="213">
        <f t="shared" si="123"/>
        <v>6709287.7999999998</v>
      </c>
      <c r="BM60" s="213">
        <f t="shared" si="123"/>
        <v>6330021.7999999998</v>
      </c>
      <c r="BN60" s="213">
        <f t="shared" si="123"/>
        <v>6330021.7999999998</v>
      </c>
      <c r="BO60" s="213">
        <f t="shared" si="123"/>
        <v>6330021.7999999998</v>
      </c>
      <c r="BP60" s="213">
        <f t="shared" si="123"/>
        <v>6330021.7999999998</v>
      </c>
      <c r="BQ60" s="213">
        <f t="shared" si="123"/>
        <v>6330021.7999999998</v>
      </c>
      <c r="BR60" s="213">
        <f t="shared" si="123"/>
        <v>6330021.7999999998</v>
      </c>
      <c r="BS60" s="213">
        <f t="shared" si="123"/>
        <v>32408641</v>
      </c>
      <c r="BT60" s="213">
        <f t="shared" si="123"/>
        <v>32408641</v>
      </c>
      <c r="BU60" s="155"/>
      <c r="BV60" s="247">
        <f t="shared" si="114"/>
        <v>-1.1570367492730549E-2</v>
      </c>
      <c r="BY60" s="1">
        <f t="shared" si="19"/>
        <v>1.2125747061906265</v>
      </c>
      <c r="BZ60" s="816">
        <f t="shared" si="20"/>
        <v>0.21257470619062646</v>
      </c>
    </row>
    <row r="61" spans="1:78" s="5" customFormat="1" ht="31.2">
      <c r="A61" s="239">
        <v>1</v>
      </c>
      <c r="B61" s="240" t="s">
        <v>42</v>
      </c>
      <c r="C61" s="223"/>
      <c r="D61" s="262"/>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172">
        <f>SUM(AB62:AB63)</f>
        <v>533832</v>
      </c>
      <c r="AC61" s="171"/>
      <c r="AD61" s="172">
        <f>SUM(AD62:AD63)</f>
        <v>3042995</v>
      </c>
      <c r="AE61" s="258"/>
      <c r="AF61" s="283"/>
      <c r="AG61" s="19">
        <f>SUM(AG62:AG63)</f>
        <v>615920</v>
      </c>
      <c r="AH61" s="172">
        <f t="shared" ref="AH61" si="124">SUM(AH62:AH63)</f>
        <v>615920</v>
      </c>
      <c r="AI61" s="172">
        <f>SUM(AI62:AI63)</f>
        <v>705961</v>
      </c>
      <c r="AJ61" s="172">
        <f t="shared" ref="AJ61" si="125">SUM(AJ62:AJ63)</f>
        <v>705961</v>
      </c>
      <c r="AK61" s="172">
        <f>SUM(AK62:AK63)</f>
        <v>1614589</v>
      </c>
      <c r="AL61" s="172">
        <f t="shared" ref="AL61:AN61" si="126">SUM(AL62:AL63)</f>
        <v>1614589</v>
      </c>
      <c r="AM61" s="172">
        <f>SUM(AM62:AM63)</f>
        <v>1016696</v>
      </c>
      <c r="AN61" s="172">
        <f t="shared" si="126"/>
        <v>1016696</v>
      </c>
      <c r="AO61" s="172">
        <f>SUM(AO62:AO63)</f>
        <v>1231620</v>
      </c>
      <c r="AP61" s="172">
        <f t="shared" ref="AP61:AR61" si="127">SUM(AP62:AP63)</f>
        <v>1231620</v>
      </c>
      <c r="AQ61" s="172">
        <f>SUM(AQ62:AQ63)</f>
        <v>5184786</v>
      </c>
      <c r="AR61" s="172">
        <f t="shared" si="127"/>
        <v>5184786</v>
      </c>
      <c r="AS61" s="258"/>
      <c r="AT61" s="187">
        <f>(((AH61/AB61)*(AJ61/AH61)*(AL61/AJ61)*(AN61/AL61)*(AP61/AN61))^(1/5))-1</f>
        <v>0.18199169702715445</v>
      </c>
      <c r="AU61" s="19">
        <f>SUM(AU62:AU63)</f>
        <v>1263824</v>
      </c>
      <c r="AV61" s="172">
        <f t="shared" ref="AV61:BF61" si="128">SUM(AV62:AV63)</f>
        <v>1263824</v>
      </c>
      <c r="AW61" s="172">
        <f>SUM(AW62:AW63)</f>
        <v>1127000</v>
      </c>
      <c r="AX61" s="172">
        <f t="shared" si="128"/>
        <v>1127000</v>
      </c>
      <c r="AY61" s="172">
        <f>SUM(AY62:AY63)</f>
        <v>2417971</v>
      </c>
      <c r="AZ61" s="172">
        <f t="shared" si="128"/>
        <v>2417971</v>
      </c>
      <c r="BA61" s="172">
        <f t="shared" si="128"/>
        <v>1814491</v>
      </c>
      <c r="BB61" s="265">
        <f t="shared" si="128"/>
        <v>1814491</v>
      </c>
      <c r="BC61" s="172">
        <f t="shared" si="128"/>
        <v>3101719</v>
      </c>
      <c r="BD61" s="172">
        <f t="shared" si="128"/>
        <v>3101719</v>
      </c>
      <c r="BE61" s="266">
        <f t="shared" si="128"/>
        <v>9725005</v>
      </c>
      <c r="BF61" s="266">
        <f t="shared" si="128"/>
        <v>9725005</v>
      </c>
      <c r="BG61" s="258"/>
      <c r="BH61" s="267">
        <f>(((AV61/AP61)*(AX61/AV61)*(AZ61/AX61)*(BB61/AZ61)*(BD61/BB61))^(1/5))-1</f>
        <v>0.20288786469319797</v>
      </c>
      <c r="BI61" s="291">
        <f t="shared" ref="BI61:BT61" si="129">SUM(BI62:BI63)</f>
        <v>3101719</v>
      </c>
      <c r="BJ61" s="266">
        <f t="shared" si="129"/>
        <v>3101719</v>
      </c>
      <c r="BK61" s="266">
        <f t="shared" si="129"/>
        <v>3101719</v>
      </c>
      <c r="BL61" s="266">
        <f t="shared" si="129"/>
        <v>3101719</v>
      </c>
      <c r="BM61" s="266">
        <f t="shared" si="129"/>
        <v>3101719</v>
      </c>
      <c r="BN61" s="266">
        <f t="shared" si="129"/>
        <v>3101719</v>
      </c>
      <c r="BO61" s="266">
        <f t="shared" si="129"/>
        <v>3101719</v>
      </c>
      <c r="BP61" s="266">
        <f t="shared" si="129"/>
        <v>3101719</v>
      </c>
      <c r="BQ61" s="266">
        <f t="shared" si="129"/>
        <v>3101719</v>
      </c>
      <c r="BR61" s="266">
        <f t="shared" si="129"/>
        <v>3101719</v>
      </c>
      <c r="BS61" s="266">
        <f t="shared" si="129"/>
        <v>15508595</v>
      </c>
      <c r="BT61" s="266">
        <f t="shared" si="129"/>
        <v>15508595</v>
      </c>
      <c r="BU61" s="258"/>
      <c r="BV61" s="267">
        <f t="shared" si="114"/>
        <v>0</v>
      </c>
      <c r="BY61" s="1">
        <f t="shared" si="19"/>
        <v>0.75041884290589089</v>
      </c>
      <c r="BZ61" s="816">
        <f t="shared" si="20"/>
        <v>-0.24958115709410911</v>
      </c>
    </row>
    <row r="62" spans="1:78" hidden="1">
      <c r="A62" s="230" t="s">
        <v>99</v>
      </c>
      <c r="B62" s="232" t="s">
        <v>100</v>
      </c>
      <c r="C62" s="221"/>
      <c r="D62" s="251"/>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7">
        <v>533832</v>
      </c>
      <c r="AC62" s="157"/>
      <c r="AD62" s="157">
        <v>3042995</v>
      </c>
      <c r="AE62" s="155"/>
      <c r="AF62" s="280"/>
      <c r="AG62" s="26">
        <v>585920</v>
      </c>
      <c r="AH62" s="157">
        <f>AG62</f>
        <v>585920</v>
      </c>
      <c r="AI62" s="162">
        <f>128900+450213</f>
        <v>579113</v>
      </c>
      <c r="AJ62" s="162">
        <f>AI62</f>
        <v>579113</v>
      </c>
      <c r="AK62" s="162">
        <f>1503647</f>
        <v>1503647</v>
      </c>
      <c r="AL62" s="162">
        <f>AK62</f>
        <v>1503647</v>
      </c>
      <c r="AM62" s="162">
        <f>849684</f>
        <v>849684</v>
      </c>
      <c r="AN62" s="157">
        <f>AM62</f>
        <v>849684</v>
      </c>
      <c r="AO62" s="157">
        <f>906600</f>
        <v>906600</v>
      </c>
      <c r="AP62" s="157">
        <f>AO62</f>
        <v>906600</v>
      </c>
      <c r="AQ62" s="157">
        <f t="shared" ref="AQ62:AR63" si="130">AG62+AI62+AK62+AM62+AO62</f>
        <v>4424964</v>
      </c>
      <c r="AR62" s="157">
        <f t="shared" si="130"/>
        <v>4424964</v>
      </c>
      <c r="AS62" s="155"/>
      <c r="AT62" s="25"/>
      <c r="AU62" s="27">
        <f>1263824</f>
        <v>1263824</v>
      </c>
      <c r="AV62" s="157">
        <f>AU62</f>
        <v>1263824</v>
      </c>
      <c r="AW62" s="157">
        <f>1127000</f>
        <v>1127000</v>
      </c>
      <c r="AX62" s="162">
        <f>AW62</f>
        <v>1127000</v>
      </c>
      <c r="AY62" s="162">
        <f>(1115300+1170500)</f>
        <v>2285800</v>
      </c>
      <c r="AZ62" s="162">
        <f>AY62</f>
        <v>2285800</v>
      </c>
      <c r="BA62" s="157">
        <f>'Phụ lục số I'!D60</f>
        <v>1681570</v>
      </c>
      <c r="BB62" s="252">
        <f>'Phụ lục số I'!J60</f>
        <v>1681570</v>
      </c>
      <c r="BC62" s="157">
        <f>'Phụ lục số I'!Q60</f>
        <v>2970480</v>
      </c>
      <c r="BD62" s="157">
        <f>BC62</f>
        <v>2970480</v>
      </c>
      <c r="BE62" s="152">
        <f>AU62+AW62+AY62+BA62+BC62</f>
        <v>9328674</v>
      </c>
      <c r="BF62" s="152">
        <f t="shared" ref="BF62:BF63" si="131">AV62+AX62+AZ62+BB62+BD62</f>
        <v>9328674</v>
      </c>
      <c r="BG62" s="155"/>
      <c r="BH62" s="25"/>
      <c r="BI62" s="288">
        <f>'Phụ lục số I'!W60</f>
        <v>2970480</v>
      </c>
      <c r="BJ62" s="152">
        <f t="shared" ref="BJ62:BJ71" si="132">BI62</f>
        <v>2970480</v>
      </c>
      <c r="BK62" s="152">
        <f>'Phụ lục số I'!AC60</f>
        <v>2970480</v>
      </c>
      <c r="BL62" s="152">
        <f t="shared" ref="BL62:BL71" si="133">BK62</f>
        <v>2970480</v>
      </c>
      <c r="BM62" s="157">
        <f>'Phụ lục số I'!AI60</f>
        <v>2970480</v>
      </c>
      <c r="BN62" s="157">
        <f t="shared" ref="BN62:BN71" si="134">BM62</f>
        <v>2970480</v>
      </c>
      <c r="BO62" s="157">
        <f>'Phụ lục số I'!AO60</f>
        <v>2970480</v>
      </c>
      <c r="BP62" s="157">
        <f t="shared" ref="BP62:BP71" si="135">BO62</f>
        <v>2970480</v>
      </c>
      <c r="BQ62" s="157">
        <f>'Phụ lục số I'!AU60</f>
        <v>2970480</v>
      </c>
      <c r="BR62" s="157">
        <f t="shared" ref="BR62:BR71" si="136">BQ62</f>
        <v>2970480</v>
      </c>
      <c r="BS62" s="157">
        <f t="shared" ref="BS62:BT63" si="137">BI62+BK62+BM62+BO62+BQ62</f>
        <v>14852400</v>
      </c>
      <c r="BT62" s="157">
        <f t="shared" si="137"/>
        <v>14852400</v>
      </c>
      <c r="BU62" s="155"/>
      <c r="BV62" s="25"/>
      <c r="BY62" s="1">
        <f t="shared" si="19"/>
        <v>0.73565928777670841</v>
      </c>
      <c r="BZ62" s="816">
        <f t="shared" si="20"/>
        <v>-0.26434071222329159</v>
      </c>
    </row>
    <row r="63" spans="1:78" hidden="1">
      <c r="A63" s="230" t="s">
        <v>101</v>
      </c>
      <c r="B63" s="232" t="s">
        <v>102</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f>22800+7200</f>
        <v>30000</v>
      </c>
      <c r="AH63" s="157">
        <f>AG63</f>
        <v>30000</v>
      </c>
      <c r="AI63" s="162">
        <f>119000+7848</f>
        <v>126848</v>
      </c>
      <c r="AJ63" s="162">
        <f>AI63</f>
        <v>126848</v>
      </c>
      <c r="AK63" s="162">
        <v>110942</v>
      </c>
      <c r="AL63" s="162">
        <f>AK63</f>
        <v>110942</v>
      </c>
      <c r="AM63" s="162">
        <f>160100+6912</f>
        <v>167012</v>
      </c>
      <c r="AN63" s="157">
        <f>AM63</f>
        <v>167012</v>
      </c>
      <c r="AO63" s="157">
        <f>318260+6760</f>
        <v>325020</v>
      </c>
      <c r="AP63" s="157">
        <f>AO63</f>
        <v>325020</v>
      </c>
      <c r="AQ63" s="157">
        <f t="shared" si="130"/>
        <v>759822</v>
      </c>
      <c r="AR63" s="157">
        <f t="shared" si="130"/>
        <v>759822</v>
      </c>
      <c r="AS63" s="155"/>
      <c r="AT63" s="25"/>
      <c r="AU63" s="26"/>
      <c r="AV63" s="157"/>
      <c r="AW63" s="157"/>
      <c r="AX63" s="162"/>
      <c r="AY63" s="162">
        <f>127830+4341</f>
        <v>132171</v>
      </c>
      <c r="AZ63" s="162">
        <f>AY63</f>
        <v>132171</v>
      </c>
      <c r="BA63" s="157">
        <f>'Phụ lục số I'!D61</f>
        <v>132921</v>
      </c>
      <c r="BB63" s="252">
        <f>'Phụ lục số I'!J61</f>
        <v>132921</v>
      </c>
      <c r="BC63" s="157">
        <f>'Phụ lục số I'!Q61</f>
        <v>131239</v>
      </c>
      <c r="BD63" s="157">
        <f>BC63</f>
        <v>131239</v>
      </c>
      <c r="BE63" s="152">
        <f>AU63+AW63+AY63+BA63+BC63</f>
        <v>396331</v>
      </c>
      <c r="BF63" s="152">
        <f t="shared" si="131"/>
        <v>396331</v>
      </c>
      <c r="BG63" s="155"/>
      <c r="BH63" s="25"/>
      <c r="BI63" s="288">
        <f>'Phụ lục số I'!W61</f>
        <v>131239</v>
      </c>
      <c r="BJ63" s="152">
        <f t="shared" si="132"/>
        <v>131239</v>
      </c>
      <c r="BK63" s="152">
        <f>'Phụ lục số I'!AC61</f>
        <v>131239</v>
      </c>
      <c r="BL63" s="152">
        <f t="shared" si="133"/>
        <v>131239</v>
      </c>
      <c r="BM63" s="157">
        <f>'Phụ lục số I'!AI61</f>
        <v>131239</v>
      </c>
      <c r="BN63" s="157">
        <f t="shared" si="134"/>
        <v>131239</v>
      </c>
      <c r="BO63" s="157">
        <f>'Phụ lục số I'!AO61</f>
        <v>131239</v>
      </c>
      <c r="BP63" s="157">
        <f t="shared" si="135"/>
        <v>131239</v>
      </c>
      <c r="BQ63" s="157">
        <f>'Phụ lục số I'!AU61</f>
        <v>131239</v>
      </c>
      <c r="BR63" s="157">
        <f t="shared" si="136"/>
        <v>131239</v>
      </c>
      <c r="BS63" s="157">
        <f t="shared" si="137"/>
        <v>656195</v>
      </c>
      <c r="BT63" s="157">
        <f t="shared" si="137"/>
        <v>656195</v>
      </c>
      <c r="BU63" s="155"/>
      <c r="BV63" s="25"/>
      <c r="BY63" s="1">
        <f t="shared" si="19"/>
        <v>1.0056744671675331</v>
      </c>
      <c r="BZ63" s="816">
        <f t="shared" si="20"/>
        <v>5.6744671675330594E-3</v>
      </c>
    </row>
    <row r="64" spans="1:78" s="5" customFormat="1" ht="31.2">
      <c r="A64" s="239">
        <v>2</v>
      </c>
      <c r="B64" s="240" t="s">
        <v>43</v>
      </c>
      <c r="C64" s="223"/>
      <c r="D64" s="262"/>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172">
        <f t="shared" ref="AB64:AD64" si="138">SUM(AB65:AB66)</f>
        <v>0</v>
      </c>
      <c r="AC64" s="171"/>
      <c r="AD64" s="172">
        <f t="shared" si="138"/>
        <v>0</v>
      </c>
      <c r="AE64" s="258"/>
      <c r="AF64" s="283"/>
      <c r="AG64" s="19">
        <f t="shared" ref="AG64:AJ64" si="139">SUM(AG65:AG66)</f>
        <v>23674</v>
      </c>
      <c r="AH64" s="172">
        <f t="shared" si="139"/>
        <v>23674</v>
      </c>
      <c r="AI64" s="172">
        <f t="shared" si="139"/>
        <v>31471</v>
      </c>
      <c r="AJ64" s="172">
        <f t="shared" si="139"/>
        <v>31471</v>
      </c>
      <c r="AK64" s="172">
        <f>SUM(AK65:AK66)</f>
        <v>47547</v>
      </c>
      <c r="AL64" s="172">
        <f t="shared" ref="AL64:AN64" si="140">SUM(AL65:AL66)</f>
        <v>47547</v>
      </c>
      <c r="AM64" s="172">
        <f>SUM(AM65:AM66)</f>
        <v>70555</v>
      </c>
      <c r="AN64" s="172">
        <f t="shared" si="140"/>
        <v>70555</v>
      </c>
      <c r="AO64" s="172">
        <f>SUM(AO65:AO66)</f>
        <v>101555</v>
      </c>
      <c r="AP64" s="172">
        <f t="shared" ref="AP64:AR64" si="141">SUM(AP65:AP66)</f>
        <v>101555</v>
      </c>
      <c r="AQ64" s="172">
        <f>SUM(AQ65:AQ66)</f>
        <v>274802</v>
      </c>
      <c r="AR64" s="172">
        <f t="shared" si="141"/>
        <v>274802</v>
      </c>
      <c r="AS64" s="258"/>
      <c r="AT64" s="187" t="e">
        <f>(((AH64/AB64)*(AJ64/AH64)*(AL64/AJ64)*(AN64/AL64)*(AP64/AN64))^(1/5))-1</f>
        <v>#DIV/0!</v>
      </c>
      <c r="AU64" s="19">
        <f>SUM(AU65:AU66)</f>
        <v>416452</v>
      </c>
      <c r="AV64" s="172">
        <f t="shared" ref="AV64:BF64" si="142">SUM(AV65:AV66)</f>
        <v>416452</v>
      </c>
      <c r="AW64" s="172">
        <f>SUM(AW65:AW66)</f>
        <v>86473</v>
      </c>
      <c r="AX64" s="172">
        <f t="shared" si="142"/>
        <v>86473</v>
      </c>
      <c r="AY64" s="172">
        <f>SUM(AY65:AY66)</f>
        <v>179036</v>
      </c>
      <c r="AZ64" s="172">
        <f t="shared" si="142"/>
        <v>179036</v>
      </c>
      <c r="BA64" s="172">
        <f t="shared" si="142"/>
        <v>174485</v>
      </c>
      <c r="BB64" s="265">
        <f t="shared" si="142"/>
        <v>174485</v>
      </c>
      <c r="BC64" s="172">
        <f t="shared" si="142"/>
        <v>195063.8</v>
      </c>
      <c r="BD64" s="172">
        <f t="shared" si="142"/>
        <v>195063.8</v>
      </c>
      <c r="BE64" s="266">
        <f t="shared" si="142"/>
        <v>1051509.8</v>
      </c>
      <c r="BF64" s="266">
        <f t="shared" si="142"/>
        <v>1051509.8</v>
      </c>
      <c r="BG64" s="258"/>
      <c r="BH64" s="267">
        <f>(((AV64/AP64)*(AX64/AV64)*(AZ64/AX64)*(BB64/AZ64)*(BD64/BB64))^(1/5))-1</f>
        <v>0.1394494785109377</v>
      </c>
      <c r="BI64" s="291">
        <f t="shared" ref="BI64:BT64" si="143">SUM(BI65:BI66)</f>
        <v>195063.8</v>
      </c>
      <c r="BJ64" s="266">
        <f t="shared" si="143"/>
        <v>195063.8</v>
      </c>
      <c r="BK64" s="266">
        <f t="shared" si="143"/>
        <v>195063.8</v>
      </c>
      <c r="BL64" s="266">
        <f t="shared" si="143"/>
        <v>195063.8</v>
      </c>
      <c r="BM64" s="266">
        <f t="shared" si="143"/>
        <v>195063.8</v>
      </c>
      <c r="BN64" s="266">
        <f t="shared" si="143"/>
        <v>195063.8</v>
      </c>
      <c r="BO64" s="266">
        <f t="shared" si="143"/>
        <v>195063.8</v>
      </c>
      <c r="BP64" s="266">
        <f t="shared" si="143"/>
        <v>195063.8</v>
      </c>
      <c r="BQ64" s="266">
        <f t="shared" si="143"/>
        <v>195063.8</v>
      </c>
      <c r="BR64" s="266">
        <f t="shared" si="143"/>
        <v>195063.8</v>
      </c>
      <c r="BS64" s="266">
        <f t="shared" si="143"/>
        <v>975319</v>
      </c>
      <c r="BT64" s="266">
        <f t="shared" si="143"/>
        <v>975319</v>
      </c>
      <c r="BU64" s="258"/>
      <c r="BV64" s="267">
        <f t="shared" ref="BV64" si="144">(((BJ64/BD64)*(BL64/BJ64)*(BN64/BL64)*(BP64/BN64)*(BR64/BP64))^(1/5))-1</f>
        <v>0</v>
      </c>
      <c r="BY64" s="1">
        <f t="shared" si="19"/>
        <v>0.97458053128979649</v>
      </c>
      <c r="BZ64" s="816">
        <f t="shared" si="20"/>
        <v>-2.5419468710203508E-2</v>
      </c>
    </row>
    <row r="65" spans="1:78" hidden="1">
      <c r="A65" s="230" t="s">
        <v>99</v>
      </c>
      <c r="B65" s="232" t="s">
        <v>103</v>
      </c>
      <c r="C65" s="221"/>
      <c r="D65" s="251"/>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7"/>
      <c r="AC65" s="157"/>
      <c r="AD65" s="157"/>
      <c r="AE65" s="155"/>
      <c r="AF65" s="280"/>
      <c r="AG65" s="26"/>
      <c r="AH65" s="157"/>
      <c r="AI65" s="162"/>
      <c r="AJ65" s="162">
        <f>AI65</f>
        <v>0</v>
      </c>
      <c r="AK65" s="162"/>
      <c r="AL65" s="162">
        <f>AK65</f>
        <v>0</v>
      </c>
      <c r="AM65" s="162"/>
      <c r="AN65" s="157"/>
      <c r="AO65" s="157"/>
      <c r="AP65" s="157">
        <f>AO65</f>
        <v>0</v>
      </c>
      <c r="AQ65" s="157">
        <f t="shared" ref="AQ65:AR66" si="145">AG65+AI65+AK65+AM65+AO65</f>
        <v>0</v>
      </c>
      <c r="AR65" s="157">
        <f t="shared" si="145"/>
        <v>0</v>
      </c>
      <c r="AS65" s="155"/>
      <c r="AT65" s="25"/>
      <c r="AU65" s="26">
        <f>411627+4825</f>
        <v>416452</v>
      </c>
      <c r="AV65" s="157">
        <f>AU65</f>
        <v>416452</v>
      </c>
      <c r="AW65" s="157">
        <v>86473</v>
      </c>
      <c r="AX65" s="162">
        <f>AW65</f>
        <v>86473</v>
      </c>
      <c r="AY65" s="162">
        <f>(81470)</f>
        <v>81470</v>
      </c>
      <c r="AZ65" s="162">
        <f>AY65</f>
        <v>81470</v>
      </c>
      <c r="BA65" s="157">
        <f>'Phụ lục số I'!D63</f>
        <v>72469</v>
      </c>
      <c r="BB65" s="252">
        <f>'Phụ lục số I'!J63</f>
        <v>72469</v>
      </c>
      <c r="BC65" s="157">
        <f>'Phụ lục số I'!Q63</f>
        <v>86962.8</v>
      </c>
      <c r="BD65" s="157">
        <f>BC65</f>
        <v>86962.8</v>
      </c>
      <c r="BE65" s="152">
        <f>AU65+AW65+AY65+BA65+BC65</f>
        <v>743826.8</v>
      </c>
      <c r="BF65" s="152">
        <f t="shared" ref="BF65:BF66" si="146">AV65+AX65+AZ65+BB65+BD65</f>
        <v>743826.8</v>
      </c>
      <c r="BG65" s="155"/>
      <c r="BH65" s="25"/>
      <c r="BI65" s="288">
        <f>'Phụ lục số I'!W63</f>
        <v>86962.8</v>
      </c>
      <c r="BJ65" s="152">
        <f t="shared" si="132"/>
        <v>86962.8</v>
      </c>
      <c r="BK65" s="152">
        <f>'Phụ lục số I'!AC63</f>
        <v>86962.8</v>
      </c>
      <c r="BL65" s="152">
        <f t="shared" si="133"/>
        <v>86962.8</v>
      </c>
      <c r="BM65" s="157">
        <f>'Phụ lục số I'!AI63</f>
        <v>86962.8</v>
      </c>
      <c r="BN65" s="157">
        <f t="shared" si="134"/>
        <v>86962.8</v>
      </c>
      <c r="BO65" s="157">
        <f>'Phụ lục số I'!AO63</f>
        <v>86962.8</v>
      </c>
      <c r="BP65" s="157">
        <f t="shared" si="135"/>
        <v>86962.8</v>
      </c>
      <c r="BQ65" s="157">
        <f>'Phụ lục số I'!AU63</f>
        <v>86962.8</v>
      </c>
      <c r="BR65" s="157">
        <f t="shared" si="136"/>
        <v>86962.8</v>
      </c>
      <c r="BS65" s="157">
        <f t="shared" ref="BS65:BT66" si="147">BI65+BK65+BM65+BO65+BQ65</f>
        <v>434814</v>
      </c>
      <c r="BT65" s="157">
        <f t="shared" si="147"/>
        <v>434814</v>
      </c>
      <c r="BU65" s="155"/>
      <c r="BV65" s="25"/>
      <c r="BY65" s="1">
        <f t="shared" si="19"/>
        <v>0.88951761384558736</v>
      </c>
      <c r="BZ65" s="816">
        <f t="shared" si="20"/>
        <v>-0.11048238615441264</v>
      </c>
    </row>
    <row r="66" spans="1:78" hidden="1">
      <c r="A66" s="230" t="s">
        <v>101</v>
      </c>
      <c r="B66" s="232" t="s">
        <v>102</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f>20200+3474</f>
        <v>23674</v>
      </c>
      <c r="AH66" s="157">
        <f>AG66</f>
        <v>23674</v>
      </c>
      <c r="AI66" s="162">
        <f>25800+5671</f>
        <v>31471</v>
      </c>
      <c r="AJ66" s="162">
        <f>AI66</f>
        <v>31471</v>
      </c>
      <c r="AK66" s="162">
        <v>47547</v>
      </c>
      <c r="AL66" s="162">
        <f>AK66</f>
        <v>47547</v>
      </c>
      <c r="AM66" s="162">
        <f>63300+7255</f>
        <v>70555</v>
      </c>
      <c r="AN66" s="157">
        <f>AM66</f>
        <v>70555</v>
      </c>
      <c r="AO66" s="157">
        <f>90100+11455</f>
        <v>101555</v>
      </c>
      <c r="AP66" s="157">
        <f>AO66</f>
        <v>101555</v>
      </c>
      <c r="AQ66" s="157">
        <f t="shared" si="145"/>
        <v>274802</v>
      </c>
      <c r="AR66" s="157">
        <f t="shared" si="145"/>
        <v>274802</v>
      </c>
      <c r="AS66" s="155"/>
      <c r="AT66" s="25"/>
      <c r="AU66" s="26"/>
      <c r="AV66" s="157"/>
      <c r="AW66" s="157"/>
      <c r="AX66" s="162"/>
      <c r="AY66" s="162">
        <f>38081+59485</f>
        <v>97566</v>
      </c>
      <c r="AZ66" s="162">
        <f>AY66</f>
        <v>97566</v>
      </c>
      <c r="BA66" s="157">
        <f>'Phụ lục số I'!D64</f>
        <v>102016</v>
      </c>
      <c r="BB66" s="252">
        <f>'Phụ lục số I'!J64</f>
        <v>102016</v>
      </c>
      <c r="BC66" s="157">
        <f>'Phụ lục số I'!Q64</f>
        <v>108101</v>
      </c>
      <c r="BD66" s="157">
        <f>BC66</f>
        <v>108101</v>
      </c>
      <c r="BE66" s="152">
        <f>AU66+AW66+AY66+BA66+BC66</f>
        <v>307683</v>
      </c>
      <c r="BF66" s="152">
        <f t="shared" si="146"/>
        <v>307683</v>
      </c>
      <c r="BG66" s="155"/>
      <c r="BH66" s="25"/>
      <c r="BI66" s="288">
        <f>'Phụ lục số I'!W64</f>
        <v>108101</v>
      </c>
      <c r="BJ66" s="152">
        <f t="shared" si="132"/>
        <v>108101</v>
      </c>
      <c r="BK66" s="152">
        <f>'Phụ lục số I'!AC64</f>
        <v>108101</v>
      </c>
      <c r="BL66" s="152">
        <f t="shared" si="133"/>
        <v>108101</v>
      </c>
      <c r="BM66" s="157">
        <f>'Phụ lục số I'!AI64</f>
        <v>108101</v>
      </c>
      <c r="BN66" s="157">
        <f t="shared" si="134"/>
        <v>108101</v>
      </c>
      <c r="BO66" s="157">
        <f>'Phụ lục số I'!AO64</f>
        <v>108101</v>
      </c>
      <c r="BP66" s="157">
        <f t="shared" si="135"/>
        <v>108101</v>
      </c>
      <c r="BQ66" s="157">
        <f>'Phụ lục số I'!AU64</f>
        <v>108101</v>
      </c>
      <c r="BR66" s="157">
        <f t="shared" si="136"/>
        <v>108101</v>
      </c>
      <c r="BS66" s="157">
        <f t="shared" si="147"/>
        <v>540505</v>
      </c>
      <c r="BT66" s="157">
        <f t="shared" si="147"/>
        <v>540505</v>
      </c>
      <c r="BU66" s="155"/>
      <c r="BV66" s="25"/>
      <c r="BY66" s="1">
        <f t="shared" si="19"/>
        <v>1.0456101510772196</v>
      </c>
      <c r="BZ66" s="816">
        <f t="shared" si="20"/>
        <v>4.5610151077219552E-2</v>
      </c>
    </row>
    <row r="67" spans="1:78" s="5" customFormat="1">
      <c r="A67" s="239">
        <v>3</v>
      </c>
      <c r="B67" s="278" t="s">
        <v>106</v>
      </c>
      <c r="C67" s="276"/>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172">
        <f t="shared" ref="AB67:AD67" si="148">SUM(AB68:AB69)</f>
        <v>0</v>
      </c>
      <c r="AC67" s="172"/>
      <c r="AD67" s="172">
        <f t="shared" si="148"/>
        <v>0</v>
      </c>
      <c r="AE67" s="274"/>
      <c r="AF67" s="284"/>
      <c r="AG67" s="19">
        <f>SUM(AG68:AG69)</f>
        <v>1419090</v>
      </c>
      <c r="AH67" s="172">
        <f t="shared" ref="AH67:AJ67" si="149">SUM(AH68:AH69)</f>
        <v>1419090</v>
      </c>
      <c r="AI67" s="172">
        <f t="shared" si="149"/>
        <v>297</v>
      </c>
      <c r="AJ67" s="172">
        <f t="shared" si="149"/>
        <v>297</v>
      </c>
      <c r="AK67" s="172">
        <f>SUM(AK68:AK69)</f>
        <v>339692</v>
      </c>
      <c r="AL67" s="172">
        <f t="shared" ref="AL67:AN67" si="150">SUM(AL68:AL69)</f>
        <v>339692</v>
      </c>
      <c r="AM67" s="172">
        <f>SUM(AM68:AM69)</f>
        <v>624346</v>
      </c>
      <c r="AN67" s="172">
        <f t="shared" si="150"/>
        <v>624346</v>
      </c>
      <c r="AO67" s="172">
        <f>SUM(AO68:AO69)</f>
        <v>302495</v>
      </c>
      <c r="AP67" s="172">
        <f t="shared" ref="AP67:AR67" si="151">SUM(AP68:AP69)</f>
        <v>302495</v>
      </c>
      <c r="AQ67" s="172">
        <f>SUM(AQ68:AQ69)</f>
        <v>2685920</v>
      </c>
      <c r="AR67" s="172">
        <f t="shared" si="151"/>
        <v>2685920</v>
      </c>
      <c r="AS67" s="274"/>
      <c r="AT67" s="287" t="e">
        <f>(((AH67/AB67)*(AJ67/AH67)*(AL67/AJ67)*(AN67/AL67)*(AP67/AN67))^(1/5))-1</f>
        <v>#DIV/0!</v>
      </c>
      <c r="AU67" s="19">
        <f>SUM(AU68:AU69)</f>
        <v>202194</v>
      </c>
      <c r="AV67" s="172">
        <f t="shared" ref="AV67:BF67" si="152">SUM(AV68:AV69)</f>
        <v>202194</v>
      </c>
      <c r="AW67" s="172">
        <f>SUM(AW68:AW69)</f>
        <v>0</v>
      </c>
      <c r="AX67" s="172">
        <f t="shared" si="152"/>
        <v>0</v>
      </c>
      <c r="AY67" s="172">
        <f>SUM(AY68:AY69)</f>
        <v>0</v>
      </c>
      <c r="AZ67" s="172">
        <f t="shared" si="152"/>
        <v>0</v>
      </c>
      <c r="BA67" s="172">
        <f t="shared" si="152"/>
        <v>650315</v>
      </c>
      <c r="BB67" s="265">
        <f t="shared" si="152"/>
        <v>1160089</v>
      </c>
      <c r="BC67" s="172">
        <f t="shared" si="152"/>
        <v>3412505</v>
      </c>
      <c r="BD67" s="172">
        <f t="shared" si="152"/>
        <v>3412505</v>
      </c>
      <c r="BE67" s="266">
        <f t="shared" si="152"/>
        <v>4265014</v>
      </c>
      <c r="BF67" s="266">
        <f t="shared" si="152"/>
        <v>4774788</v>
      </c>
      <c r="BG67" s="274"/>
      <c r="BH67" s="275" t="e">
        <f>(((AV67/AP67)*(AX67/AV67)*(AZ67/AX67)*(BB67/AZ67)*(BD67/BB67))^(1/5))-1</f>
        <v>#DIV/0!</v>
      </c>
      <c r="BI67" s="291">
        <f t="shared" ref="BI67:BT67" si="153">SUM(BI68:BI69)</f>
        <v>3412505</v>
      </c>
      <c r="BJ67" s="266">
        <f t="shared" si="153"/>
        <v>3412505</v>
      </c>
      <c r="BK67" s="266">
        <f t="shared" si="153"/>
        <v>3412505</v>
      </c>
      <c r="BL67" s="266">
        <f t="shared" si="153"/>
        <v>3412505</v>
      </c>
      <c r="BM67" s="266">
        <f t="shared" si="153"/>
        <v>3033239</v>
      </c>
      <c r="BN67" s="266">
        <f t="shared" si="153"/>
        <v>3033239</v>
      </c>
      <c r="BO67" s="266">
        <f t="shared" si="153"/>
        <v>3033239</v>
      </c>
      <c r="BP67" s="266">
        <f t="shared" si="153"/>
        <v>3033239</v>
      </c>
      <c r="BQ67" s="266">
        <f t="shared" si="153"/>
        <v>3033239</v>
      </c>
      <c r="BR67" s="266">
        <f t="shared" si="153"/>
        <v>3033239</v>
      </c>
      <c r="BS67" s="266">
        <f t="shared" si="153"/>
        <v>15924727</v>
      </c>
      <c r="BT67" s="266">
        <f t="shared" si="153"/>
        <v>15924727</v>
      </c>
      <c r="BU67" s="274"/>
      <c r="BV67" s="275">
        <f t="shared" ref="BV67" si="154">(((BJ67/BD67)*(BL67/BJ67)*(BN67/BL67)*(BP67/BN67)*(BR67/BP67))^(1/5))-1</f>
        <v>-2.3287677405845253E-2</v>
      </c>
      <c r="BY67" s="1" t="e">
        <f t="shared" si="19"/>
        <v>#DIV/0!</v>
      </c>
      <c r="BZ67" s="816" t="e">
        <f t="shared" si="20"/>
        <v>#DIV/0!</v>
      </c>
    </row>
    <row r="68" spans="1:78" hidden="1">
      <c r="A68" s="241" t="s">
        <v>99</v>
      </c>
      <c r="B68" s="232" t="s">
        <v>104</v>
      </c>
      <c r="C68" s="221"/>
      <c r="D68" s="251"/>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7"/>
      <c r="AC68" s="157"/>
      <c r="AD68" s="157"/>
      <c r="AE68" s="155"/>
      <c r="AF68" s="280"/>
      <c r="AG68" s="26">
        <v>461002</v>
      </c>
      <c r="AH68" s="157">
        <f>AG68</f>
        <v>461002</v>
      </c>
      <c r="AI68" s="162"/>
      <c r="AJ68" s="162"/>
      <c r="AK68" s="162">
        <v>94455</v>
      </c>
      <c r="AL68" s="162">
        <f>AK68</f>
        <v>94455</v>
      </c>
      <c r="AM68" s="162">
        <v>200353</v>
      </c>
      <c r="AN68" s="157">
        <f>AM68</f>
        <v>200353</v>
      </c>
      <c r="AO68" s="157">
        <v>26950</v>
      </c>
      <c r="AP68" s="157">
        <f>AO68</f>
        <v>26950</v>
      </c>
      <c r="AQ68" s="157">
        <f>AG68+AI68+AK68+AM68+AO68</f>
        <v>782760</v>
      </c>
      <c r="AR68" s="157">
        <f>AH68+AJ68+AL68+AN68+AP68</f>
        <v>782760</v>
      </c>
      <c r="AS68" s="155"/>
      <c r="AT68" s="25"/>
      <c r="AU68" s="26">
        <v>202194</v>
      </c>
      <c r="AV68" s="157">
        <f>AU68</f>
        <v>202194</v>
      </c>
      <c r="AW68" s="157"/>
      <c r="AX68" s="162"/>
      <c r="AY68" s="162"/>
      <c r="AZ68" s="162"/>
      <c r="BA68" s="157">
        <f>'Phụ lục số I'!D66</f>
        <v>650315</v>
      </c>
      <c r="BB68" s="252">
        <f>'Phụ lục số I'!J66</f>
        <v>1160089</v>
      </c>
      <c r="BC68" s="157">
        <f>'Phụ lục số I'!Q66</f>
        <v>3033239</v>
      </c>
      <c r="BD68" s="157">
        <f>BC68</f>
        <v>3033239</v>
      </c>
      <c r="BE68" s="152">
        <f>AU68+AW68+AY68+BA68+BC68</f>
        <v>3885748</v>
      </c>
      <c r="BF68" s="152">
        <f t="shared" ref="BF68:BF71" si="155">AV68+AX68+AZ68+BB68+BD68</f>
        <v>4395522</v>
      </c>
      <c r="BG68" s="155"/>
      <c r="BH68" s="25"/>
      <c r="BI68" s="288">
        <f>'Phụ lục số I'!W66</f>
        <v>3033239</v>
      </c>
      <c r="BJ68" s="152">
        <f t="shared" si="132"/>
        <v>3033239</v>
      </c>
      <c r="BK68" s="152">
        <f>'Phụ lục số I'!AC66</f>
        <v>3033239</v>
      </c>
      <c r="BL68" s="152">
        <f t="shared" si="133"/>
        <v>3033239</v>
      </c>
      <c r="BM68" s="157">
        <f>'Phụ lục số I'!AI66</f>
        <v>3033239</v>
      </c>
      <c r="BN68" s="157">
        <f t="shared" si="134"/>
        <v>3033239</v>
      </c>
      <c r="BO68" s="157">
        <f>'Phụ lục số I'!AO66</f>
        <v>3033239</v>
      </c>
      <c r="BP68" s="157">
        <f t="shared" si="135"/>
        <v>3033239</v>
      </c>
      <c r="BQ68" s="157">
        <f>'Phụ lục số I'!AU66</f>
        <v>3033239</v>
      </c>
      <c r="BR68" s="157">
        <f t="shared" si="136"/>
        <v>3033239</v>
      </c>
      <c r="BS68" s="157">
        <f t="shared" ref="BS68:BT71" si="156">BI68+BK68+BM68+BO68+BQ68</f>
        <v>15166195</v>
      </c>
      <c r="BT68" s="157">
        <f t="shared" si="156"/>
        <v>15166195</v>
      </c>
      <c r="BU68" s="155"/>
      <c r="BV68" s="25"/>
      <c r="BY68" s="1" t="e">
        <f t="shared" si="19"/>
        <v>#DIV/0!</v>
      </c>
      <c r="BZ68" s="816" t="e">
        <f t="shared" si="20"/>
        <v>#DIV/0!</v>
      </c>
    </row>
    <row r="69" spans="1:78" hidden="1">
      <c r="A69" s="241" t="s">
        <v>101</v>
      </c>
      <c r="B69" s="232" t="s">
        <v>105</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v>958088</v>
      </c>
      <c r="AH69" s="157">
        <f>AG69</f>
        <v>958088</v>
      </c>
      <c r="AI69" s="162">
        <v>297</v>
      </c>
      <c r="AJ69" s="162">
        <f>AI69</f>
        <v>297</v>
      </c>
      <c r="AK69" s="162">
        <f>245237</f>
        <v>245237</v>
      </c>
      <c r="AL69" s="162">
        <f>AK69</f>
        <v>245237</v>
      </c>
      <c r="AM69" s="162">
        <f>423993</f>
        <v>423993</v>
      </c>
      <c r="AN69" s="157">
        <f>AM69</f>
        <v>423993</v>
      </c>
      <c r="AO69" s="157">
        <f>267388+8157</f>
        <v>275545</v>
      </c>
      <c r="AP69" s="157">
        <f>AO69</f>
        <v>275545</v>
      </c>
      <c r="AQ69" s="157">
        <f t="shared" ref="AQ69:AR71" si="157">AG69+AI69+AK69+AM69+AO69</f>
        <v>1903160</v>
      </c>
      <c r="AR69" s="157">
        <f t="shared" si="157"/>
        <v>1903160</v>
      </c>
      <c r="AS69" s="155"/>
      <c r="AT69" s="25"/>
      <c r="AU69" s="26"/>
      <c r="AV69" s="157"/>
      <c r="AW69" s="157"/>
      <c r="AX69" s="162"/>
      <c r="AY69" s="162"/>
      <c r="AZ69" s="162"/>
      <c r="BA69" s="157"/>
      <c r="BB69" s="252"/>
      <c r="BC69" s="157">
        <f>'Phụ lục số I'!Q67</f>
        <v>379266</v>
      </c>
      <c r="BD69" s="157">
        <f>BC69</f>
        <v>379266</v>
      </c>
      <c r="BE69" s="152">
        <f>AU69+AW69+AY69+BA69+BC69</f>
        <v>379266</v>
      </c>
      <c r="BF69" s="152">
        <f t="shared" si="155"/>
        <v>379266</v>
      </c>
      <c r="BG69" s="155"/>
      <c r="BH69" s="25"/>
      <c r="BI69" s="288">
        <f>'Phụ lục số I'!W67</f>
        <v>379266</v>
      </c>
      <c r="BJ69" s="152">
        <f t="shared" si="132"/>
        <v>379266</v>
      </c>
      <c r="BK69" s="152">
        <f>'Phụ lục số I'!AC67</f>
        <v>379266</v>
      </c>
      <c r="BL69" s="152">
        <f t="shared" si="133"/>
        <v>379266</v>
      </c>
      <c r="BM69" s="157">
        <f>'Phụ lục số I'!AI67</f>
        <v>0</v>
      </c>
      <c r="BN69" s="157">
        <f t="shared" si="134"/>
        <v>0</v>
      </c>
      <c r="BO69" s="157">
        <f>'Phụ lục số I'!AO67</f>
        <v>0</v>
      </c>
      <c r="BP69" s="157">
        <f t="shared" si="135"/>
        <v>0</v>
      </c>
      <c r="BQ69" s="157">
        <f>'Phụ lục số I'!AU67</f>
        <v>0</v>
      </c>
      <c r="BR69" s="157">
        <f t="shared" si="136"/>
        <v>0</v>
      </c>
      <c r="BS69" s="157">
        <f t="shared" si="156"/>
        <v>758532</v>
      </c>
      <c r="BT69" s="157">
        <f t="shared" si="156"/>
        <v>758532</v>
      </c>
      <c r="BU69" s="155"/>
      <c r="BV69" s="25"/>
      <c r="BY69" s="1" t="e">
        <f t="shared" si="19"/>
        <v>#DIV/0!</v>
      </c>
      <c r="BZ69" s="816" t="e">
        <f t="shared" si="20"/>
        <v>#DIV/0!</v>
      </c>
    </row>
    <row r="70" spans="1:78" s="4" customFormat="1">
      <c r="A70" s="226" t="s">
        <v>44</v>
      </c>
      <c r="B70" s="227" t="s">
        <v>45</v>
      </c>
      <c r="C70" s="221"/>
      <c r="D70" s="251"/>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42"/>
      <c r="AC70" s="142"/>
      <c r="AD70" s="142"/>
      <c r="AE70" s="158"/>
      <c r="AF70" s="281"/>
      <c r="AG70" s="17">
        <v>344450</v>
      </c>
      <c r="AH70" s="142">
        <f>AG70</f>
        <v>344450</v>
      </c>
      <c r="AI70" s="163"/>
      <c r="AJ70" s="163"/>
      <c r="AK70" s="163">
        <v>236361</v>
      </c>
      <c r="AL70" s="163">
        <v>236361</v>
      </c>
      <c r="AM70" s="163">
        <v>353947</v>
      </c>
      <c r="AN70" s="142">
        <f>AM70</f>
        <v>353947</v>
      </c>
      <c r="AO70" s="142">
        <f>418294</f>
        <v>418294</v>
      </c>
      <c r="AP70" s="142">
        <f>AO70</f>
        <v>418294</v>
      </c>
      <c r="AQ70" s="142">
        <f>AG70+AI70+AK70+AM70+AO70</f>
        <v>1353052</v>
      </c>
      <c r="AR70" s="142">
        <f t="shared" si="157"/>
        <v>1353052</v>
      </c>
      <c r="AS70" s="158"/>
      <c r="AT70" s="187" t="e">
        <f>(((AH70/AB70)*(AJ70/AH70)*(AL70/AJ70)*(AN70/AL70)*(AP70/AN70))^(1/5))-1</f>
        <v>#DIV/0!</v>
      </c>
      <c r="AU70" s="18">
        <v>816873</v>
      </c>
      <c r="AV70" s="142">
        <f>AU70</f>
        <v>816873</v>
      </c>
      <c r="AW70" s="142">
        <v>179391</v>
      </c>
      <c r="AX70" s="163">
        <f>AW70</f>
        <v>179391</v>
      </c>
      <c r="AY70" s="163"/>
      <c r="AZ70" s="163"/>
      <c r="BA70" s="142">
        <f>'Phụ lục số I'!D68</f>
        <v>886000</v>
      </c>
      <c r="BB70" s="192">
        <f>'Phụ lục số I'!J68</f>
        <v>1156399</v>
      </c>
      <c r="BC70" s="142">
        <f>'Phụ lục số I'!Q68</f>
        <v>0.40000000001455194</v>
      </c>
      <c r="BD70" s="142">
        <f>BC70</f>
        <v>0.40000000001455194</v>
      </c>
      <c r="BE70" s="147">
        <f>AU70+AW70+AY70+BA70+BC70</f>
        <v>1882264.4</v>
      </c>
      <c r="BF70" s="147">
        <f t="shared" si="155"/>
        <v>2152663.4</v>
      </c>
      <c r="BG70" s="158"/>
      <c r="BH70" s="247" t="e">
        <f>(((AV70/AP70)*(AX70/AV70)*(AZ70/AX70)*(BB70/AZ70)*(BD70/BB70))^(1/5))-1</f>
        <v>#DIV/0!</v>
      </c>
      <c r="BI70" s="289">
        <f>'Phụ lục số I'!W68</f>
        <v>0</v>
      </c>
      <c r="BJ70" s="147">
        <f t="shared" si="132"/>
        <v>0</v>
      </c>
      <c r="BK70" s="147">
        <f>'Phụ lục số I'!AC68</f>
        <v>0</v>
      </c>
      <c r="BL70" s="147">
        <f t="shared" si="133"/>
        <v>0</v>
      </c>
      <c r="BM70" s="142">
        <f>'Phụ lục số I'!AI68</f>
        <v>0</v>
      </c>
      <c r="BN70" s="142">
        <f t="shared" si="134"/>
        <v>0</v>
      </c>
      <c r="BO70" s="142">
        <f>'Phụ lục số I'!AO68</f>
        <v>1088757.7498882432</v>
      </c>
      <c r="BP70" s="142">
        <f t="shared" si="135"/>
        <v>1088757.7498882432</v>
      </c>
      <c r="BQ70" s="142">
        <f>'Phụ lục số I'!AU68</f>
        <v>1572055.4252528162</v>
      </c>
      <c r="BR70" s="142">
        <f t="shared" si="136"/>
        <v>1572055.4252528162</v>
      </c>
      <c r="BS70" s="142">
        <f t="shared" si="156"/>
        <v>2660813.1751410593</v>
      </c>
      <c r="BT70" s="142">
        <f t="shared" si="156"/>
        <v>2660813.1751410593</v>
      </c>
      <c r="BU70" s="158"/>
      <c r="BV70" s="268"/>
      <c r="BY70" s="1" t="e">
        <f t="shared" si="19"/>
        <v>#DIV/0!</v>
      </c>
      <c r="BZ70" s="816" t="e">
        <f t="shared" si="20"/>
        <v>#DIV/0!</v>
      </c>
    </row>
    <row r="71" spans="1:78">
      <c r="A71" s="226" t="s">
        <v>46</v>
      </c>
      <c r="B71" s="227" t="s">
        <v>47</v>
      </c>
      <c r="C71" s="221"/>
      <c r="D71" s="251"/>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7"/>
      <c r="AC71" s="157"/>
      <c r="AD71" s="157"/>
      <c r="AE71" s="155"/>
      <c r="AF71" s="280"/>
      <c r="AG71" s="26"/>
      <c r="AH71" s="157"/>
      <c r="AI71" s="162"/>
      <c r="AJ71" s="162"/>
      <c r="AK71" s="163"/>
      <c r="AL71" s="163"/>
      <c r="AM71" s="163">
        <v>15000</v>
      </c>
      <c r="AN71" s="142">
        <v>6000</v>
      </c>
      <c r="AO71" s="269">
        <f>30900</f>
        <v>30900</v>
      </c>
      <c r="AP71" s="269">
        <v>20568</v>
      </c>
      <c r="AQ71" s="142">
        <f t="shared" si="157"/>
        <v>45900</v>
      </c>
      <c r="AR71" s="142">
        <f t="shared" si="157"/>
        <v>26568</v>
      </c>
      <c r="AS71" s="155"/>
      <c r="AT71" s="187" t="e">
        <f>(((AH71/AB71)*(AJ71/AH71)*(AL71/AJ71)*(AN71/AL71)*(AP71/AN71))^(1/5))-1</f>
        <v>#DIV/0!</v>
      </c>
      <c r="AU71" s="17">
        <v>61200</v>
      </c>
      <c r="AV71" s="142">
        <f>46500</f>
        <v>46500</v>
      </c>
      <c r="AW71" s="142">
        <v>48300</v>
      </c>
      <c r="AX71" s="270">
        <v>39927</v>
      </c>
      <c r="AY71" s="163">
        <f>31500</f>
        <v>31500</v>
      </c>
      <c r="AZ71" s="163">
        <f>18425</f>
        <v>18425</v>
      </c>
      <c r="BA71" s="157"/>
      <c r="BB71" s="252"/>
      <c r="BC71" s="142">
        <f>'Phụ lục số I'!Q69</f>
        <v>0</v>
      </c>
      <c r="BD71" s="142">
        <f>BC71</f>
        <v>0</v>
      </c>
      <c r="BE71" s="147">
        <f>AU71+AW71+AY71+BA71+BC71</f>
        <v>141000</v>
      </c>
      <c r="BF71" s="147">
        <f t="shared" si="155"/>
        <v>104852</v>
      </c>
      <c r="BG71" s="155"/>
      <c r="BH71" s="247" t="e">
        <f>(((AV71/AP71)*(AX71/AV71)*(AZ71/AX71)*(BB71/AZ71)*(BD71/BB71))^(1/5))-1</f>
        <v>#DIV/0!</v>
      </c>
      <c r="BI71" s="289">
        <f>'Phụ lục số I'!W69</f>
        <v>0</v>
      </c>
      <c r="BJ71" s="147">
        <f t="shared" si="132"/>
        <v>0</v>
      </c>
      <c r="BK71" s="147">
        <f>'Phụ lục số I'!AC69</f>
        <v>0</v>
      </c>
      <c r="BL71" s="147">
        <f t="shared" si="133"/>
        <v>0</v>
      </c>
      <c r="BM71" s="142">
        <f>'Phụ lục số I'!AI69</f>
        <v>0</v>
      </c>
      <c r="BN71" s="142">
        <f t="shared" si="134"/>
        <v>0</v>
      </c>
      <c r="BO71" s="142">
        <f>'Phụ lục số I'!AO69</f>
        <v>0</v>
      </c>
      <c r="BP71" s="142">
        <f t="shared" si="135"/>
        <v>0</v>
      </c>
      <c r="BQ71" s="142">
        <f>'Phụ lục số I'!AU69</f>
        <v>0</v>
      </c>
      <c r="BR71" s="142">
        <f t="shared" si="136"/>
        <v>0</v>
      </c>
      <c r="BS71" s="142">
        <f t="shared" si="156"/>
        <v>0</v>
      </c>
      <c r="BT71" s="142">
        <f t="shared" si="156"/>
        <v>0</v>
      </c>
      <c r="BU71" s="155"/>
      <c r="BV71" s="25"/>
      <c r="BY71" s="1">
        <f t="shared" si="19"/>
        <v>0</v>
      </c>
      <c r="BZ71" s="816">
        <f t="shared" si="20"/>
        <v>-1</v>
      </c>
    </row>
    <row r="72" spans="1:78" ht="16.2" thickBot="1">
      <c r="A72" s="242"/>
      <c r="B72" s="243" t="s">
        <v>48</v>
      </c>
      <c r="C72" s="277"/>
      <c r="D72" s="271"/>
      <c r="E72" s="22"/>
      <c r="F72" s="22"/>
      <c r="G72" s="22"/>
      <c r="H72" s="22"/>
      <c r="I72" s="22"/>
      <c r="J72" s="22"/>
      <c r="K72" s="22"/>
      <c r="L72" s="22"/>
      <c r="M72" s="22"/>
      <c r="N72" s="22"/>
      <c r="O72" s="22"/>
      <c r="P72" s="22"/>
      <c r="Q72" s="22"/>
      <c r="R72" s="22"/>
      <c r="S72" s="22"/>
      <c r="T72" s="22"/>
      <c r="U72" s="22"/>
      <c r="V72" s="22"/>
      <c r="W72" s="22"/>
      <c r="X72" s="22"/>
      <c r="Y72" s="22"/>
      <c r="Z72" s="22"/>
      <c r="AA72" s="22"/>
      <c r="AB72" s="21">
        <f>AB71+AB70+AB57+AB10</f>
        <v>6882941</v>
      </c>
      <c r="AC72" s="272"/>
      <c r="AD72" s="21">
        <f>AD71+AD70+AD57+AD10</f>
        <v>31430829.517473999</v>
      </c>
      <c r="AE72" s="22"/>
      <c r="AF72" s="285"/>
      <c r="AG72" s="20">
        <f>AG71+AG70+AG57+AG10</f>
        <v>9112986</v>
      </c>
      <c r="AH72" s="21">
        <f t="shared" ref="AH72" si="158">AH71+AH70+AH57+AH10</f>
        <v>9937297.0207310021</v>
      </c>
      <c r="AI72" s="21">
        <f>AI71+AI70+AI57+AI10</f>
        <v>12040855.130686</v>
      </c>
      <c r="AJ72" s="21">
        <f t="shared" ref="AJ72" si="159">AJ71+AJ70+AJ57+AJ10</f>
        <v>12258370.741723999</v>
      </c>
      <c r="AK72" s="21">
        <f>AK71+AK70+AK57+AK10</f>
        <v>13622615</v>
      </c>
      <c r="AL72" s="21">
        <f t="shared" ref="AL72:AN72" si="160">AL71+AL70+AL57+AL10</f>
        <v>13915172.800000001</v>
      </c>
      <c r="AM72" s="21">
        <f>AM71+AM70+AM57+AM10</f>
        <v>13952670</v>
      </c>
      <c r="AN72" s="21">
        <f t="shared" si="160"/>
        <v>15632677</v>
      </c>
      <c r="AO72" s="21">
        <f>AO71+AO70+AO57+AO10</f>
        <v>15462990</v>
      </c>
      <c r="AP72" s="21">
        <f t="shared" ref="AP72:AR72" si="161">AP71+AP70+AP57+AP10</f>
        <v>15389384</v>
      </c>
      <c r="AQ72" s="21">
        <f>AQ71+AQ70+AQ57+AQ10</f>
        <v>64192116.130686</v>
      </c>
      <c r="AR72" s="21">
        <f t="shared" si="161"/>
        <v>67132901.562454998</v>
      </c>
      <c r="AS72" s="22"/>
      <c r="AT72" s="23"/>
      <c r="AU72" s="20">
        <f>AU71+AU70+AU57+AU10</f>
        <v>15784569</v>
      </c>
      <c r="AV72" s="21">
        <f t="shared" ref="AV72:BF72" si="162">AV71+AV70+AV57+AV10</f>
        <v>14842275.517154999</v>
      </c>
      <c r="AW72" s="21">
        <f>AW71+AW70+AW57+AW10</f>
        <v>15063453</v>
      </c>
      <c r="AX72" s="21">
        <f t="shared" si="162"/>
        <v>16113461.929570999</v>
      </c>
      <c r="AY72" s="21">
        <f>AY71+AY70+AY57+AY10</f>
        <v>16705995</v>
      </c>
      <c r="AZ72" s="21">
        <f t="shared" si="162"/>
        <v>17444000.671286002</v>
      </c>
      <c r="BA72" s="21">
        <f t="shared" si="162"/>
        <v>19816533.162</v>
      </c>
      <c r="BB72" s="205">
        <f t="shared" si="162"/>
        <v>20597705.651416667</v>
      </c>
      <c r="BC72" s="21">
        <f t="shared" si="162"/>
        <v>23427029.995999999</v>
      </c>
      <c r="BD72" s="21">
        <f t="shared" si="162"/>
        <v>23427029.995999999</v>
      </c>
      <c r="BE72" s="206">
        <f t="shared" si="162"/>
        <v>90797580.157999992</v>
      </c>
      <c r="BF72" s="206">
        <f t="shared" si="162"/>
        <v>92424473.765428662</v>
      </c>
      <c r="BG72" s="22"/>
      <c r="BH72" s="23"/>
      <c r="BI72" s="292">
        <f t="shared" ref="BI72:BT72" si="163">BI71+BI70+BI57+BI10</f>
        <v>23153476.030000001</v>
      </c>
      <c r="BJ72" s="206">
        <f t="shared" si="163"/>
        <v>23153476.030000001</v>
      </c>
      <c r="BK72" s="206">
        <f>BK71+BK70+BK57+BK10</f>
        <v>23343476.170000002</v>
      </c>
      <c r="BL72" s="206">
        <f t="shared" si="163"/>
        <v>23343476.170000002</v>
      </c>
      <c r="BM72" s="206">
        <f t="shared" si="163"/>
        <v>25973209.800000001</v>
      </c>
      <c r="BN72" s="206">
        <f t="shared" si="163"/>
        <v>25973209.800000001</v>
      </c>
      <c r="BO72" s="206">
        <f t="shared" si="163"/>
        <v>28140967.549888246</v>
      </c>
      <c r="BP72" s="206">
        <f t="shared" si="163"/>
        <v>28140967.549888246</v>
      </c>
      <c r="BQ72" s="206">
        <f t="shared" si="163"/>
        <v>29872265.225252815</v>
      </c>
      <c r="BR72" s="206">
        <f t="shared" si="163"/>
        <v>29872265.225252815</v>
      </c>
      <c r="BS72" s="206">
        <f t="shared" si="163"/>
        <v>130483394.77514106</v>
      </c>
      <c r="BT72" s="206">
        <f t="shared" si="163"/>
        <v>130483394.77514106</v>
      </c>
      <c r="BU72" s="22"/>
      <c r="BV72" s="23"/>
      <c r="BY72" s="1">
        <f t="shared" si="19"/>
        <v>1.1807902349672501</v>
      </c>
      <c r="BZ72" s="816">
        <f t="shared" si="20"/>
        <v>0.18079023496725011</v>
      </c>
    </row>
    <row r="73" spans="1:78">
      <c r="AB73" s="8"/>
      <c r="AC73" s="8"/>
      <c r="AD73" s="8"/>
      <c r="AG73" s="189"/>
      <c r="AH73" s="189"/>
      <c r="AI73" s="8"/>
      <c r="AJ73" s="8"/>
      <c r="AK73" s="189"/>
      <c r="AL73" s="189"/>
      <c r="AM73" s="189"/>
      <c r="AN73" s="189"/>
      <c r="AO73" s="189"/>
      <c r="AP73" s="189"/>
      <c r="AQ73" s="189"/>
      <c r="AR73" s="189"/>
    </row>
    <row r="74" spans="1:78">
      <c r="B74" s="4" t="s">
        <v>107</v>
      </c>
      <c r="AB74" s="7">
        <f>SUM(AB75:AB83)</f>
        <v>8838258.6639019996</v>
      </c>
      <c r="AC74" s="8"/>
      <c r="AD74" s="7">
        <f>SUM(AD75:AD83)</f>
        <v>36517913.181375995</v>
      </c>
      <c r="AG74" s="7">
        <f t="shared" ref="AG74:AR74" si="164">+AG75+AG79+AG80+AG81+AG82+AG83+AG84+AG85</f>
        <v>8730076</v>
      </c>
      <c r="AH74" s="7">
        <f t="shared" si="164"/>
        <v>8447273.7177469991</v>
      </c>
      <c r="AI74" s="7">
        <f t="shared" si="164"/>
        <v>10329155</v>
      </c>
      <c r="AJ74" s="7">
        <f t="shared" si="164"/>
        <v>10796707</v>
      </c>
      <c r="AK74" s="7">
        <f t="shared" si="164"/>
        <v>11991619</v>
      </c>
      <c r="AL74" s="7">
        <f t="shared" si="164"/>
        <v>12685452</v>
      </c>
      <c r="AM74" s="7">
        <f t="shared" si="164"/>
        <v>12319250</v>
      </c>
      <c r="AN74" s="7">
        <f t="shared" si="164"/>
        <v>13999340</v>
      </c>
      <c r="AO74" s="7">
        <f t="shared" si="164"/>
        <v>13655790</v>
      </c>
      <c r="AP74" s="7">
        <f t="shared" si="164"/>
        <v>13960616</v>
      </c>
      <c r="AQ74" s="7">
        <f t="shared" si="164"/>
        <v>57025890</v>
      </c>
      <c r="AR74" s="7">
        <f t="shared" si="164"/>
        <v>59889388.717747003</v>
      </c>
      <c r="AS74" s="8"/>
      <c r="AT74" s="188">
        <f>(((AH74/AB74)*(AJ74/AH74)*(AL74/AJ74)*(AN74/AL74)*(AP74/AN74))^(1/5))-1</f>
        <v>9.5740148666012548E-2</v>
      </c>
      <c r="AU74" s="7">
        <f t="shared" ref="AU74:BF74" si="165">+AU75+AU79+AU80+AU81+AU82+AU83+AU84+AU85</f>
        <v>14062909</v>
      </c>
      <c r="AV74" s="7">
        <f t="shared" si="165"/>
        <v>14127968</v>
      </c>
      <c r="AW74" s="7">
        <f t="shared" si="165"/>
        <v>14006153</v>
      </c>
      <c r="AX74" s="7">
        <f t="shared" si="165"/>
        <v>15229224</v>
      </c>
      <c r="AY74" s="7">
        <f t="shared" si="165"/>
        <v>15788495</v>
      </c>
      <c r="AZ74" s="7">
        <f t="shared" si="165"/>
        <v>16583907</v>
      </c>
      <c r="BA74" s="7">
        <f t="shared" si="165"/>
        <v>19035463.162</v>
      </c>
      <c r="BB74" s="7">
        <f t="shared" si="165"/>
        <v>18862491.309466168</v>
      </c>
      <c r="BC74" s="7">
        <f t="shared" si="165"/>
        <v>22041994.995999999</v>
      </c>
      <c r="BD74" s="7">
        <f t="shared" si="165"/>
        <v>22041994.596000001</v>
      </c>
      <c r="BE74" s="7">
        <f t="shared" si="165"/>
        <v>84935015.158000007</v>
      </c>
      <c r="BF74" s="7">
        <f t="shared" si="165"/>
        <v>86845584.905466154</v>
      </c>
      <c r="BG74" s="8"/>
      <c r="BH74" s="247">
        <f>(((AV74/AP74)*(AX74/AV74)*(AZ74/AX74)*(BB74/AZ74)*(BD74/BB74))^(1/5))-1</f>
        <v>9.5643488433222679E-2</v>
      </c>
      <c r="BI74" s="7">
        <f t="shared" ref="BI74:BS74" si="166">+BI75+BI79+BI80+BI81+BI82+BI83+BI84+BI85</f>
        <v>22059476.202691756</v>
      </c>
      <c r="BJ74" s="7">
        <f t="shared" si="166"/>
        <v>22059476.202691756</v>
      </c>
      <c r="BK74" s="7">
        <f t="shared" si="166"/>
        <v>22223556.197570272</v>
      </c>
      <c r="BL74" s="7">
        <f t="shared" si="166"/>
        <v>22223556.197570272</v>
      </c>
      <c r="BM74" s="7">
        <f t="shared" si="166"/>
        <v>24654958.697346758</v>
      </c>
      <c r="BN74" s="7">
        <f t="shared" si="166"/>
        <v>24654958.697346758</v>
      </c>
      <c r="BO74" s="7">
        <f t="shared" si="166"/>
        <v>25650237.048075903</v>
      </c>
      <c r="BP74" s="7">
        <f t="shared" si="166"/>
        <v>25650237.048075903</v>
      </c>
      <c r="BQ74" s="7">
        <f t="shared" si="166"/>
        <v>26805646.991756536</v>
      </c>
      <c r="BR74" s="7">
        <f t="shared" si="166"/>
        <v>26805646.991756536</v>
      </c>
      <c r="BS74" s="7">
        <f t="shared" si="166"/>
        <v>121393875.13744122</v>
      </c>
      <c r="BT74" s="7">
        <f>+BT75+BT79+BT80+BT81+BT82+BT83+BT84+BT85</f>
        <v>121393875.13744122</v>
      </c>
      <c r="BU74" s="8"/>
      <c r="BV74" s="247">
        <f>(((BJ74/BD74)*(BL74/BJ74)*(BN74/BL74)*(BP74/BN74)*(BR74/BP74))^(1/5))-1</f>
        <v>3.9908386088410408E-2</v>
      </c>
    </row>
    <row r="75" spans="1:78">
      <c r="B75" s="1" t="s">
        <v>108</v>
      </c>
      <c r="AB75" s="8">
        <v>4846821.6639019996</v>
      </c>
      <c r="AC75" s="8"/>
      <c r="AD75" s="8">
        <v>20649920.181375999</v>
      </c>
      <c r="AG75" s="8">
        <f>4452790+700000</f>
        <v>5152790</v>
      </c>
      <c r="AH75" s="9">
        <f>(3506282955487+1268806707581+94898054679)/1000000-AH83-AH84</f>
        <v>4869987.717747</v>
      </c>
      <c r="AI75" s="8">
        <v>4898300</v>
      </c>
      <c r="AJ75" s="9">
        <f>(3553055+1709168+103629)-AJ83-AJ84-AJ85</f>
        <v>5341371</v>
      </c>
      <c r="AK75" s="8">
        <v>5060304</v>
      </c>
      <c r="AL75" s="9">
        <f>(3565319+2065768+123050)-AL83-AL84-AL85</f>
        <v>5734461</v>
      </c>
      <c r="AM75" s="8">
        <v>5466580</v>
      </c>
      <c r="AN75" s="9">
        <f>(4116292+2897679+132699)-AN83-AN84-AN85</f>
        <v>7096349</v>
      </c>
      <c r="AO75" s="190">
        <v>6718700</v>
      </c>
      <c r="AP75" s="9">
        <f>(4479403+2408276+135847)-AP83-AP84-AP85</f>
        <v>7003663</v>
      </c>
      <c r="AQ75" s="157">
        <f t="shared" ref="AQ75" si="167">AG75+AI75+AK75+AM75+AO75</f>
        <v>27296674</v>
      </c>
      <c r="AR75" s="142">
        <f>AH75+AJ75+AL75+AN75+AP75</f>
        <v>30045831.717746999</v>
      </c>
      <c r="AS75" s="8"/>
      <c r="AT75" s="188">
        <f>(((AH75/AB75)*(AJ75/AH75)*(AL75/AJ75)*(AN75/AL75)*(AP75/AN75))^(1/5))-1</f>
        <v>7.6399878464123105E-2</v>
      </c>
      <c r="AU75" s="190">
        <v>6480440</v>
      </c>
      <c r="AV75" s="9">
        <f>3815219+2611066+119214-AV83-AV84-AV85</f>
        <v>6073802</v>
      </c>
      <c r="AW75" s="190">
        <v>5809777</v>
      </c>
      <c r="AX75" s="293">
        <f>3835534+3042412+154902-AX83-AX84-AX85</f>
        <v>6865963</v>
      </c>
      <c r="AY75" s="190">
        <f>6704000</f>
        <v>6704000</v>
      </c>
      <c r="AZ75" s="9">
        <f>(4094532+3263085+141795)-AZ83-AZ84-AZ85</f>
        <v>7492507</v>
      </c>
      <c r="BA75" s="294">
        <f>'Phụ lục số I'!G10</f>
        <v>8892984.1620000005</v>
      </c>
      <c r="BB75" s="207">
        <f>+'Phụ lục số 1'!N10</f>
        <v>8720011.1456352696</v>
      </c>
      <c r="BC75" s="8">
        <f>+'Phụ lục số 1'!T10</f>
        <v>8715518.7960000001</v>
      </c>
      <c r="BD75" s="207">
        <f>+'Phụ lục số 1'!T10</f>
        <v>8715518.7960000001</v>
      </c>
      <c r="BE75" s="8">
        <f>AU75+AW75+AY75+BA75+BC75</f>
        <v>36602719.958000004</v>
      </c>
      <c r="BF75" s="8">
        <f t="shared" ref="BF75" si="168">AV75+AX75+AZ75+BB75+BD75</f>
        <v>37867801.941635266</v>
      </c>
      <c r="BG75" s="8"/>
      <c r="BH75" s="267">
        <f>(((AV75/AP75)*(AX75/AV75)*(AZ75/AX75)*(BB75/AZ75)*(BD75/BB75))^(1/5))-1</f>
        <v>4.4704825287796179E-2</v>
      </c>
      <c r="BI75" s="214">
        <f>'Phụ lục số I'!Z10</f>
        <v>8733000.4026917573</v>
      </c>
      <c r="BJ75" s="215">
        <f>'Phụ lục số I'!Z10</f>
        <v>8733000.4026917573</v>
      </c>
      <c r="BK75" s="8">
        <f>'Phụ lục số I'!AF10</f>
        <v>8897080.397570271</v>
      </c>
      <c r="BL75" s="215">
        <f>'Phụ lục số I'!AF10</f>
        <v>8897080.397570271</v>
      </c>
      <c r="BM75" s="8">
        <f>'Phụ lục số I'!AL10</f>
        <v>11707748.897346757</v>
      </c>
      <c r="BN75" s="207">
        <f>'Phụ lục số I'!AL10</f>
        <v>11707748.897346757</v>
      </c>
      <c r="BO75" s="8">
        <f>'Phụ lục số I'!AR10</f>
        <v>12703027.248075902</v>
      </c>
      <c r="BP75" s="207">
        <f>'Phụ lục số I'!AR10</f>
        <v>12703027.248075902</v>
      </c>
      <c r="BQ75" s="8">
        <f>'Phụ lục số I'!AX10</f>
        <v>13858437.191756533</v>
      </c>
      <c r="BR75" s="207">
        <f>'Phụ lục số I'!AX10</f>
        <v>13858437.191756533</v>
      </c>
      <c r="BS75" s="8">
        <f>BI75+BK75+BM75+BO75+BQ75</f>
        <v>55899294.137441218</v>
      </c>
      <c r="BT75" s="8">
        <f>BJ75+BL75+BN75+BP75+BR75</f>
        <v>55899294.137441218</v>
      </c>
      <c r="BU75" s="8"/>
      <c r="BV75" s="267">
        <f>(((BJ75/BD75)*(BL75/BJ75)*(BN75/BL75)*(BP75/BN75)*(BR75/BP75))^(1/5))-1</f>
        <v>9.7195967574060349E-2</v>
      </c>
    </row>
    <row r="76" spans="1:78">
      <c r="B76" s="1" t="s">
        <v>234</v>
      </c>
      <c r="AB76" s="8"/>
      <c r="AC76" s="8"/>
      <c r="AD76" s="8"/>
      <c r="AG76" s="8"/>
      <c r="AH76" s="9"/>
      <c r="AI76" s="8"/>
      <c r="AJ76" s="9"/>
      <c r="AK76" s="8"/>
      <c r="AL76" s="9"/>
      <c r="AM76" s="8"/>
      <c r="AN76" s="9"/>
      <c r="AO76" s="190"/>
      <c r="AP76" s="9"/>
      <c r="AQ76" s="157"/>
      <c r="AR76" s="142"/>
      <c r="AS76" s="8"/>
      <c r="AT76" s="188"/>
      <c r="AU76" s="190"/>
      <c r="AV76" s="9"/>
      <c r="AW76" s="190"/>
      <c r="AX76" s="293"/>
      <c r="AY76" s="190"/>
      <c r="AZ76" s="9"/>
      <c r="BA76" s="294"/>
      <c r="BB76" s="207"/>
      <c r="BC76" s="8"/>
      <c r="BD76" s="207"/>
      <c r="BE76" s="8"/>
      <c r="BF76" s="8"/>
      <c r="BG76" s="8"/>
      <c r="BH76" s="267"/>
      <c r="BI76" s="214"/>
      <c r="BJ76" s="215"/>
      <c r="BK76" s="8"/>
      <c r="BL76" s="215"/>
      <c r="BM76" s="8"/>
      <c r="BN76" s="207"/>
      <c r="BO76" s="8"/>
      <c r="BP76" s="207"/>
      <c r="BQ76" s="8"/>
      <c r="BR76" s="207"/>
      <c r="BS76" s="8"/>
      <c r="BT76" s="8"/>
      <c r="BU76" s="8"/>
      <c r="BV76" s="267"/>
    </row>
    <row r="77" spans="1:78" s="5" customFormat="1" ht="16.2">
      <c r="B77" s="5" t="s">
        <v>370</v>
      </c>
      <c r="AB77" s="377"/>
      <c r="AC77" s="377"/>
      <c r="AD77" s="377"/>
      <c r="AG77" s="377">
        <f>AG75-AG78</f>
        <v>1493000</v>
      </c>
      <c r="AH77" s="377">
        <f t="shared" ref="AH77:AP77" si="169">AH75-AH78</f>
        <v>1072211.5003740005</v>
      </c>
      <c r="AI77" s="377">
        <f t="shared" si="169"/>
        <v>2228985</v>
      </c>
      <c r="AJ77" s="377">
        <f t="shared" si="169"/>
        <v>2810696.7724513123</v>
      </c>
      <c r="AK77" s="377">
        <f t="shared" si="169"/>
        <v>2383420</v>
      </c>
      <c r="AL77" s="377">
        <f t="shared" si="169"/>
        <v>3142990.608</v>
      </c>
      <c r="AM77" s="377">
        <f t="shared" si="169"/>
        <v>2563830</v>
      </c>
      <c r="AN77" s="377">
        <f t="shared" si="169"/>
        <v>3619157.6919999998</v>
      </c>
      <c r="AO77" s="377">
        <f t="shared" si="169"/>
        <v>3093525</v>
      </c>
      <c r="AP77" s="377">
        <f t="shared" si="169"/>
        <v>3837115.44</v>
      </c>
      <c r="AQ77" s="377">
        <f>AQ75-AQ78</f>
        <v>11762760</v>
      </c>
      <c r="AR77" s="377">
        <f>AR75-AR78</f>
        <v>14482172.01282531</v>
      </c>
      <c r="AS77" s="377"/>
      <c r="AT77" s="378"/>
      <c r="AU77" s="377">
        <f t="shared" ref="AU77:BF77" si="170">AU75-AU78</f>
        <v>3144040</v>
      </c>
      <c r="AV77" s="377">
        <f t="shared" si="170"/>
        <v>3483009.170746</v>
      </c>
      <c r="AW77" s="377">
        <f t="shared" si="170"/>
        <v>3155737</v>
      </c>
      <c r="AX77" s="377">
        <f t="shared" si="170"/>
        <v>3939849.8339069998</v>
      </c>
      <c r="AY77" s="377">
        <f t="shared" si="170"/>
        <v>3379000</v>
      </c>
      <c r="AZ77" s="848">
        <f t="shared" si="170"/>
        <v>4169034.2</v>
      </c>
      <c r="BA77" s="377">
        <f t="shared" si="170"/>
        <v>5309454.1620000005</v>
      </c>
      <c r="BB77" s="377">
        <f t="shared" si="170"/>
        <v>5483428.8356352691</v>
      </c>
      <c r="BC77" s="377">
        <f t="shared" si="170"/>
        <v>4796368.7960000001</v>
      </c>
      <c r="BD77" s="377">
        <f t="shared" si="170"/>
        <v>4796368.7960000001</v>
      </c>
      <c r="BE77" s="377">
        <f t="shared" si="170"/>
        <v>19083799.958000004</v>
      </c>
      <c r="BF77" s="377">
        <f t="shared" si="170"/>
        <v>21461165.880288266</v>
      </c>
      <c r="BG77" s="850">
        <f>+BF77/AR77</f>
        <v>1.4819024288126399</v>
      </c>
      <c r="BH77" s="379"/>
      <c r="BI77" s="377">
        <f t="shared" ref="BI77:BT77" si="171">BI75-BI78</f>
        <v>4763200.4026917573</v>
      </c>
      <c r="BJ77" s="377">
        <f t="shared" si="171"/>
        <v>4763200.4026917573</v>
      </c>
      <c r="BK77" s="377">
        <f t="shared" si="171"/>
        <v>4778980.397570271</v>
      </c>
      <c r="BL77" s="377">
        <f t="shared" si="171"/>
        <v>4778980.397570271</v>
      </c>
      <c r="BM77" s="377">
        <f t="shared" si="171"/>
        <v>6388648.8973467574</v>
      </c>
      <c r="BN77" s="377">
        <f t="shared" si="171"/>
        <v>6388648.8973467574</v>
      </c>
      <c r="BO77" s="377">
        <f t="shared" si="171"/>
        <v>6893927.2480759025</v>
      </c>
      <c r="BP77" s="377">
        <f t="shared" si="171"/>
        <v>6893927.2480759025</v>
      </c>
      <c r="BQ77" s="377">
        <f t="shared" si="171"/>
        <v>7491337.1917565335</v>
      </c>
      <c r="BR77" s="377">
        <f t="shared" si="171"/>
        <v>7491337.1917565335</v>
      </c>
      <c r="BS77" s="377">
        <f t="shared" si="171"/>
        <v>30316094.137441218</v>
      </c>
      <c r="BT77" s="377">
        <f t="shared" si="171"/>
        <v>30316094.137441218</v>
      </c>
      <c r="BU77" s="377"/>
      <c r="BV77" s="379"/>
    </row>
    <row r="78" spans="1:78" s="5" customFormat="1" ht="16.2">
      <c r="B78" s="5" t="s">
        <v>371</v>
      </c>
      <c r="AB78" s="377"/>
      <c r="AC78" s="377"/>
      <c r="AD78" s="377"/>
      <c r="AG78" s="377">
        <f t="shared" ref="AG78:AH78" si="172">(AG14+AG15+AG16+AG20+AG21+AG22+AG26+AG27+AG31+AG32+AG33+AG39+AG40)</f>
        <v>3659790</v>
      </c>
      <c r="AH78" s="377">
        <f t="shared" si="172"/>
        <v>3797776.2173729995</v>
      </c>
      <c r="AI78" s="377">
        <f>(AI14+AI15+AI16+AI20+AI21+AI22+AI26+AI27+AI31+AI32+AI33+AI39+((AI40*37.2%)))-3015</f>
        <v>2669315</v>
      </c>
      <c r="AJ78" s="377">
        <f>(AJ14+AJ15+AJ16+AJ20+AJ21+AJ22+AJ26+AJ27+AJ31+AJ32+AJ33+AJ39+((AJ40*37.2%)))-3015</f>
        <v>2530674.2275486877</v>
      </c>
      <c r="AK78" s="377">
        <f>(AK14+AK15+AK16+AK20+AK21+AK22+AK26+AK27+AK31+AK32+AK33+AK39+((AK40*37.2%)))</f>
        <v>2676884</v>
      </c>
      <c r="AL78" s="377">
        <f>(AL14+AL15+AL16+AL20+AL21+AL22+AL26+AL27+AL31+AL32+AL33+AL39+((AL40*37.2%)))</f>
        <v>2591470.392</v>
      </c>
      <c r="AM78" s="377">
        <f>(AM14+AM15+AM16+AM20+AM21+AM22+AM26+AM27+AM31+AM32+AM33+AM39+((AM40*37.2%)))-160</f>
        <v>2902750</v>
      </c>
      <c r="AN78" s="377">
        <f>(AN14+AN15+AN16+AN20+AN21+AN22+AN26+AN27+AN31+AN32+AN33+AN39+((AN40*37.2%)))-160</f>
        <v>3477191.3080000002</v>
      </c>
      <c r="AO78" s="377">
        <f>(AO14+AO15+AO16+AO20+AO21+AO22+AO26+AO27+AO31+AO32+AO33+AO39+((AO40*37.2%)))-85445</f>
        <v>3625175</v>
      </c>
      <c r="AP78" s="377">
        <f>(AP14+AP15+AP16+AP20+AP21+AP22+AP26+AP27+AP31+AP32+AP33+AP39+((AP40*37.2%)))-85445</f>
        <v>3166547.56</v>
      </c>
      <c r="AQ78" s="377">
        <f>+AG78+AI78+AK78+AM78+AO78</f>
        <v>15533914</v>
      </c>
      <c r="AR78" s="377">
        <f>+AH78+AJ78+AL78+AN78+AP78</f>
        <v>15563659.704921689</v>
      </c>
      <c r="AS78" s="377"/>
      <c r="AT78" s="378"/>
      <c r="AU78" s="377">
        <f>(AU14+AU15+AU16+AU20+AU21+AU22+AU26+AU27+AU31+AU32+AU33+AU39+((AU40*37.2%)))</f>
        <v>3336400</v>
      </c>
      <c r="AV78" s="377">
        <f>(AV14+AV15+AV16+AV20+AV21+AV22+AV26+AV27+AV31+AV32+AV33+AV39+((AV40*37.2%)))</f>
        <v>2590792.829254</v>
      </c>
      <c r="AW78" s="751">
        <f>(AW14+AW15+AW16+AW20+AW21+AW22+AW26+AW27+AW31+AW32+AW33+AW39+((AW40*48%)))</f>
        <v>2654040</v>
      </c>
      <c r="AX78" s="751">
        <f>(AX14+AX15+AX16+AX20+AX21+AX22+AX26+AX27+AX31+AX32+AX33+AX39+((AX40*48%)))</f>
        <v>2926113.1660930002</v>
      </c>
      <c r="AY78" s="751">
        <f t="shared" ref="AY78:BF78" si="173">(AY14+AY15+AY16+AY20+AY21+AY22+AY26+AY27+AY31+AY32+AY33+AY39+((AY40*60%)))</f>
        <v>3325000</v>
      </c>
      <c r="AZ78" s="752">
        <f t="shared" si="173"/>
        <v>3323472.8</v>
      </c>
      <c r="BA78" s="751">
        <f t="shared" si="173"/>
        <v>3583530</v>
      </c>
      <c r="BB78" s="751">
        <f t="shared" si="173"/>
        <v>3236582.31</v>
      </c>
      <c r="BC78" s="752">
        <f t="shared" si="173"/>
        <v>3919150</v>
      </c>
      <c r="BD78" s="752">
        <f t="shared" si="173"/>
        <v>3919150</v>
      </c>
      <c r="BE78" s="752">
        <f t="shared" si="173"/>
        <v>17518920</v>
      </c>
      <c r="BF78" s="752">
        <f t="shared" si="173"/>
        <v>16406636.061347</v>
      </c>
      <c r="BG78" s="850">
        <f>+BF78/AR78</f>
        <v>1.054163119241083</v>
      </c>
      <c r="BH78" s="379"/>
      <c r="BI78" s="751">
        <f t="shared" ref="BI78:BT78" si="174">(BI14+BI15+BI16+BI20+BI21+BI22+BI26+BI27+BI31+BI32+BI33+BI39+((BI40*60%)))</f>
        <v>3969800</v>
      </c>
      <c r="BJ78" s="751">
        <f t="shared" si="174"/>
        <v>3969800</v>
      </c>
      <c r="BK78" s="751">
        <f t="shared" si="174"/>
        <v>4118100</v>
      </c>
      <c r="BL78" s="751">
        <f t="shared" si="174"/>
        <v>4118100</v>
      </c>
      <c r="BM78" s="751">
        <f t="shared" si="174"/>
        <v>5319100</v>
      </c>
      <c r="BN78" s="751">
        <f t="shared" si="174"/>
        <v>5319100</v>
      </c>
      <c r="BO78" s="751">
        <f t="shared" si="174"/>
        <v>5809100</v>
      </c>
      <c r="BP78" s="751">
        <f t="shared" si="174"/>
        <v>5809100</v>
      </c>
      <c r="BQ78" s="751">
        <f t="shared" si="174"/>
        <v>6367100</v>
      </c>
      <c r="BR78" s="751">
        <f t="shared" si="174"/>
        <v>6367100</v>
      </c>
      <c r="BS78" s="751">
        <f t="shared" si="174"/>
        <v>25583200</v>
      </c>
      <c r="BT78" s="751">
        <f t="shared" si="174"/>
        <v>25583200</v>
      </c>
      <c r="BU78" s="377"/>
      <c r="BV78" s="379"/>
    </row>
    <row r="79" spans="1:78">
      <c r="B79" s="1" t="s">
        <v>109</v>
      </c>
      <c r="AB79" s="8">
        <f>AB57</f>
        <v>1707984</v>
      </c>
      <c r="AC79" s="8"/>
      <c r="AD79" s="8">
        <f>AD57</f>
        <v>8885312</v>
      </c>
      <c r="AG79" s="8">
        <f t="shared" ref="AG79:AL79" si="175">AG57</f>
        <v>3232836</v>
      </c>
      <c r="AH79" s="8">
        <f t="shared" si="175"/>
        <v>3232836</v>
      </c>
      <c r="AI79" s="8">
        <f t="shared" si="175"/>
        <v>5430855</v>
      </c>
      <c r="AJ79" s="8">
        <f t="shared" si="175"/>
        <v>5430855</v>
      </c>
      <c r="AK79" s="8">
        <f t="shared" si="175"/>
        <v>6694954</v>
      </c>
      <c r="AL79" s="8">
        <f t="shared" si="175"/>
        <v>6694954</v>
      </c>
      <c r="AM79" s="8">
        <f>AM57</f>
        <v>6498723</v>
      </c>
      <c r="AN79" s="8">
        <f>AN57</f>
        <v>6498723</v>
      </c>
      <c r="AO79" s="8">
        <f t="shared" ref="AO79" si="176">AO57</f>
        <v>6518796</v>
      </c>
      <c r="AP79" s="8">
        <f>AO79</f>
        <v>6518796</v>
      </c>
      <c r="AQ79" s="157">
        <f t="shared" ref="AQ79:AR84" si="177">AG79+AI79+AK79+AM79+AO79</f>
        <v>28376164</v>
      </c>
      <c r="AR79" s="157">
        <f t="shared" si="177"/>
        <v>28376164</v>
      </c>
      <c r="AS79" s="8"/>
      <c r="AT79" s="187">
        <f>(((AH79/AB79)*(AJ79/AH79)*(AL79/AJ79)*(AN79/AL79)*(AP79/AN79))^(1/5))-1</f>
        <v>0.3071839850812601</v>
      </c>
      <c r="AU79" s="8">
        <f>AU57</f>
        <v>6765596</v>
      </c>
      <c r="AV79" s="8">
        <f>AU79</f>
        <v>6765596</v>
      </c>
      <c r="AW79" s="8">
        <f>AW57</f>
        <v>8016985</v>
      </c>
      <c r="AX79" s="190">
        <f>AW79</f>
        <v>8016985</v>
      </c>
      <c r="AY79" s="8">
        <f>AY57</f>
        <v>9084495</v>
      </c>
      <c r="AZ79" s="8">
        <f>AY79</f>
        <v>9084495</v>
      </c>
      <c r="BA79" s="8">
        <f>BA57</f>
        <v>9256479</v>
      </c>
      <c r="BB79" s="8">
        <f>BA79</f>
        <v>9256479</v>
      </c>
      <c r="BC79" s="8">
        <f>BC57</f>
        <v>13326475.800000001</v>
      </c>
      <c r="BD79" s="8">
        <f>BC79</f>
        <v>13326475.800000001</v>
      </c>
      <c r="BE79" s="8">
        <f>AU79+AW79+AY79+BA79+BC79</f>
        <v>46450030.799999997</v>
      </c>
      <c r="BF79" s="8">
        <f t="shared" ref="BF79:BF85" si="178">AV79+AX79+AZ79+BB79+BD79</f>
        <v>46450030.799999997</v>
      </c>
      <c r="BG79" s="8"/>
      <c r="BH79" s="267">
        <f>(((AV79/AP79)*(AX79/AV79)*(AZ79/AX79)*(BB79/AZ79)*(BD79/BB79))^(1/5))-1</f>
        <v>0.15374434379054081</v>
      </c>
      <c r="BI79" s="214">
        <f>BI57</f>
        <v>13326475.800000001</v>
      </c>
      <c r="BJ79" s="214">
        <f>BI79</f>
        <v>13326475.800000001</v>
      </c>
      <c r="BK79" s="214">
        <f>BK57</f>
        <v>13326475.800000001</v>
      </c>
      <c r="BL79" s="214">
        <f>BK79</f>
        <v>13326475.800000001</v>
      </c>
      <c r="BM79" s="214">
        <f t="shared" ref="BM79" si="179">BM57</f>
        <v>12947209.800000001</v>
      </c>
      <c r="BN79" s="214">
        <f t="shared" ref="BN79" si="180">BM79</f>
        <v>12947209.800000001</v>
      </c>
      <c r="BO79" s="214">
        <f t="shared" ref="BO79" si="181">BO57</f>
        <v>12947209.800000001</v>
      </c>
      <c r="BP79" s="214">
        <f t="shared" ref="BP79" si="182">BO79</f>
        <v>12947209.800000001</v>
      </c>
      <c r="BQ79" s="214">
        <f>BQ57</f>
        <v>12947209.800000001</v>
      </c>
      <c r="BR79" s="214">
        <f>BQ79</f>
        <v>12947209.800000001</v>
      </c>
      <c r="BS79" s="8">
        <f>BI79+BK79+BM79+BO79+BQ79</f>
        <v>65494581</v>
      </c>
      <c r="BT79" s="8">
        <f>BJ79+BL79+BN79+BP79+BR79</f>
        <v>65494581</v>
      </c>
      <c r="BU79" s="8"/>
      <c r="BV79" s="267">
        <f>(((BJ79/BD79)*(BL79/BJ79)*(BN79/BL79)*(BP79/BN79)*(BR79/BP79))^(1/5))-1</f>
        <v>-5.7578422546348262E-3</v>
      </c>
    </row>
    <row r="80" spans="1:78">
      <c r="B80" s="1" t="s">
        <v>110</v>
      </c>
      <c r="AB80" s="185">
        <f>8838259-6554806</f>
        <v>2283453</v>
      </c>
      <c r="AC80" s="8"/>
      <c r="AD80" s="8">
        <v>6982681</v>
      </c>
      <c r="AG80" s="8">
        <f t="shared" ref="AG80:AO80" si="183">AG70</f>
        <v>344450</v>
      </c>
      <c r="AH80" s="8">
        <f t="shared" si="183"/>
        <v>344450</v>
      </c>
      <c r="AI80" s="8">
        <f t="shared" si="183"/>
        <v>0</v>
      </c>
      <c r="AJ80" s="8">
        <f t="shared" si="183"/>
        <v>0</v>
      </c>
      <c r="AK80" s="8">
        <f t="shared" si="183"/>
        <v>236361</v>
      </c>
      <c r="AL80" s="8">
        <f t="shared" si="183"/>
        <v>236361</v>
      </c>
      <c r="AM80" s="8">
        <f t="shared" si="183"/>
        <v>353947</v>
      </c>
      <c r="AN80" s="8">
        <f t="shared" si="183"/>
        <v>353947</v>
      </c>
      <c r="AO80" s="8">
        <f t="shared" si="183"/>
        <v>418294</v>
      </c>
      <c r="AP80" s="8">
        <f>AO80</f>
        <v>418294</v>
      </c>
      <c r="AQ80" s="157">
        <f t="shared" si="177"/>
        <v>1353052</v>
      </c>
      <c r="AR80" s="157">
        <f t="shared" si="177"/>
        <v>1353052</v>
      </c>
      <c r="AS80" s="8"/>
      <c r="AT80" s="8"/>
      <c r="AU80" s="8">
        <f>AU70</f>
        <v>816873</v>
      </c>
      <c r="AV80" s="8">
        <f>AU80</f>
        <v>816873</v>
      </c>
      <c r="AW80" s="8">
        <f>AW70</f>
        <v>179391</v>
      </c>
      <c r="AX80" s="190">
        <f>AW80</f>
        <v>179391</v>
      </c>
      <c r="AY80" s="8">
        <f>AY70</f>
        <v>0</v>
      </c>
      <c r="AZ80" s="8">
        <f>AY80</f>
        <v>0</v>
      </c>
      <c r="BA80" s="8">
        <f>BA70</f>
        <v>886000</v>
      </c>
      <c r="BB80" s="8">
        <f>BA80</f>
        <v>886000</v>
      </c>
      <c r="BC80" s="8">
        <f>BC70</f>
        <v>0.40000000001455194</v>
      </c>
      <c r="BD80" s="8"/>
      <c r="BE80" s="8">
        <f>AU80+AW80+AY80+BA80+BC80</f>
        <v>1882264.4</v>
      </c>
      <c r="BF80" s="8">
        <f t="shared" si="178"/>
        <v>1882264</v>
      </c>
      <c r="BG80" s="8"/>
      <c r="BH80" s="8"/>
      <c r="BI80" s="8"/>
      <c r="BJ80" s="8"/>
      <c r="BK80" s="8"/>
      <c r="BL80" s="8"/>
      <c r="BM80" s="8"/>
      <c r="BN80" s="8"/>
      <c r="BO80" s="8"/>
      <c r="BP80" s="8"/>
      <c r="BQ80" s="8"/>
      <c r="BR80" s="8"/>
      <c r="BS80" s="8">
        <f t="shared" ref="BS80:BT85" si="184">BI80+BK80+BM80+BO80+BQ80</f>
        <v>0</v>
      </c>
      <c r="BT80" s="8">
        <f t="shared" si="184"/>
        <v>0</v>
      </c>
      <c r="BU80" s="8"/>
      <c r="BV80" s="8"/>
    </row>
    <row r="81" spans="2:74">
      <c r="B81" s="1" t="s">
        <v>111</v>
      </c>
      <c r="AB81" s="8"/>
      <c r="AC81" s="8"/>
      <c r="AD81" s="8"/>
      <c r="AG81" s="8">
        <f>0</f>
        <v>0</v>
      </c>
      <c r="AH81" s="8">
        <f>0</f>
        <v>0</v>
      </c>
      <c r="AI81" s="8"/>
      <c r="AJ81" s="8"/>
      <c r="AK81" s="8"/>
      <c r="AL81" s="8"/>
      <c r="AM81" s="8"/>
      <c r="AN81" s="8"/>
      <c r="AO81" s="8"/>
      <c r="AP81" s="8"/>
      <c r="AQ81" s="157">
        <f t="shared" si="177"/>
        <v>0</v>
      </c>
      <c r="AR81" s="157">
        <f t="shared" si="177"/>
        <v>0</v>
      </c>
      <c r="AS81" s="8"/>
      <c r="AT81" s="8"/>
      <c r="AU81" s="8"/>
      <c r="AV81" s="8"/>
      <c r="AW81" s="190"/>
      <c r="AX81" s="190"/>
      <c r="AY81" s="8"/>
      <c r="AZ81" s="8"/>
      <c r="BA81" s="8"/>
      <c r="BB81" s="8"/>
      <c r="BC81" s="8"/>
      <c r="BD81" s="8"/>
      <c r="BE81" s="8">
        <f>AU81+AW81+AY81+BA81+BC81</f>
        <v>0</v>
      </c>
      <c r="BF81" s="8">
        <f t="shared" si="178"/>
        <v>0</v>
      </c>
      <c r="BG81" s="8"/>
      <c r="BH81" s="8"/>
      <c r="BI81" s="8"/>
      <c r="BJ81" s="8"/>
      <c r="BK81" s="8"/>
      <c r="BL81" s="8"/>
      <c r="BM81" s="8"/>
      <c r="BN81" s="8"/>
      <c r="BO81" s="8"/>
      <c r="BP81" s="8"/>
      <c r="BQ81" s="8"/>
      <c r="BR81" s="8"/>
      <c r="BS81" s="8">
        <f t="shared" si="184"/>
        <v>0</v>
      </c>
      <c r="BT81" s="8">
        <f t="shared" si="184"/>
        <v>0</v>
      </c>
      <c r="BU81" s="8"/>
      <c r="BV81" s="8"/>
    </row>
    <row r="82" spans="2:74">
      <c r="B82" s="1" t="s">
        <v>112</v>
      </c>
      <c r="AB82" s="8"/>
      <c r="AC82" s="8"/>
      <c r="AD82" s="8"/>
      <c r="AG82" s="8">
        <f>AG71</f>
        <v>0</v>
      </c>
      <c r="AH82" s="8">
        <f>AH71</f>
        <v>0</v>
      </c>
      <c r="AI82" s="8"/>
      <c r="AJ82" s="8"/>
      <c r="AK82" s="8"/>
      <c r="AL82" s="8"/>
      <c r="AM82" s="8"/>
      <c r="AN82" s="8"/>
      <c r="AO82" s="8"/>
      <c r="AP82" s="8"/>
      <c r="AQ82" s="157">
        <f t="shared" si="177"/>
        <v>0</v>
      </c>
      <c r="AR82" s="157">
        <f t="shared" si="177"/>
        <v>0</v>
      </c>
      <c r="AS82" s="8"/>
      <c r="AT82" s="8"/>
      <c r="AU82" s="8"/>
      <c r="AV82" s="8"/>
      <c r="AW82" s="190"/>
      <c r="AX82" s="190"/>
      <c r="AY82" s="8"/>
      <c r="AZ82" s="8"/>
      <c r="BA82" s="8"/>
      <c r="BB82" s="8"/>
      <c r="BC82" s="8"/>
      <c r="BD82" s="8"/>
      <c r="BE82" s="8"/>
      <c r="BF82" s="8">
        <f t="shared" si="178"/>
        <v>0</v>
      </c>
      <c r="BG82" s="8"/>
      <c r="BH82" s="8"/>
      <c r="BI82" s="8"/>
      <c r="BJ82" s="8"/>
      <c r="BK82" s="8"/>
      <c r="BL82" s="8"/>
      <c r="BM82" s="8"/>
      <c r="BN82" s="8"/>
      <c r="BO82" s="8"/>
      <c r="BP82" s="8"/>
      <c r="BQ82" s="8"/>
      <c r="BR82" s="8"/>
      <c r="BS82" s="8">
        <f t="shared" si="184"/>
        <v>0</v>
      </c>
      <c r="BT82" s="8">
        <f t="shared" si="184"/>
        <v>0</v>
      </c>
      <c r="BU82" s="8"/>
      <c r="BV82" s="8"/>
    </row>
    <row r="83" spans="2:74">
      <c r="B83" s="1" t="s">
        <v>113</v>
      </c>
      <c r="AB83" s="8"/>
      <c r="AC83" s="8"/>
      <c r="AD83" s="8"/>
      <c r="AG83" s="8">
        <f>0</f>
        <v>0</v>
      </c>
      <c r="AH83" s="8">
        <v>0</v>
      </c>
      <c r="AI83" s="8"/>
      <c r="AJ83" s="8"/>
      <c r="AK83" s="8"/>
      <c r="AL83" s="8">
        <v>6881</v>
      </c>
      <c r="AM83" s="8"/>
      <c r="AN83" s="8">
        <v>7327</v>
      </c>
      <c r="AO83" s="8"/>
      <c r="AP83" s="8">
        <v>80</v>
      </c>
      <c r="AQ83" s="157">
        <f t="shared" si="177"/>
        <v>0</v>
      </c>
      <c r="AR83" s="157">
        <f t="shared" si="177"/>
        <v>14288</v>
      </c>
      <c r="AS83" s="8"/>
      <c r="AT83" s="8"/>
      <c r="AU83" s="8"/>
      <c r="AV83" s="190">
        <v>750</v>
      </c>
      <c r="AW83" s="190"/>
      <c r="AX83" s="190">
        <f>4964</f>
        <v>4964</v>
      </c>
      <c r="AY83" s="8"/>
      <c r="AZ83" s="190">
        <f>0</f>
        <v>0</v>
      </c>
      <c r="BA83" s="8"/>
      <c r="BB83" s="8">
        <f>+BB75/AZ75</f>
        <v>1.1638308974066049</v>
      </c>
      <c r="BC83" s="8"/>
      <c r="BD83" s="8"/>
      <c r="BE83" s="8">
        <f t="shared" ref="BE83:BE85" si="185">AU83+AW83+AY83+BA83+BC83</f>
        <v>0</v>
      </c>
      <c r="BF83" s="8">
        <f t="shared" si="178"/>
        <v>5715.163830897407</v>
      </c>
      <c r="BG83" s="8"/>
      <c r="BH83" s="8"/>
      <c r="BI83" s="8"/>
      <c r="BJ83" s="8"/>
      <c r="BK83" s="8"/>
      <c r="BL83" s="8"/>
      <c r="BM83" s="8"/>
      <c r="BN83" s="8"/>
      <c r="BO83" s="8"/>
      <c r="BP83" s="8"/>
      <c r="BQ83" s="8"/>
      <c r="BR83" s="8"/>
      <c r="BS83" s="8">
        <f t="shared" si="184"/>
        <v>0</v>
      </c>
      <c r="BT83" s="8">
        <f t="shared" si="184"/>
        <v>0</v>
      </c>
      <c r="BU83" s="8"/>
      <c r="BV83" s="8"/>
    </row>
    <row r="84" spans="2:74">
      <c r="B84" s="1" t="s">
        <v>115</v>
      </c>
      <c r="AB84" s="8"/>
      <c r="AC84" s="8"/>
      <c r="AD84" s="8"/>
      <c r="AG84" s="8"/>
      <c r="AH84" s="8">
        <v>0</v>
      </c>
      <c r="AI84" s="8"/>
      <c r="AJ84" s="8">
        <v>24481</v>
      </c>
      <c r="AK84" s="8"/>
      <c r="AL84" s="8">
        <v>12795</v>
      </c>
      <c r="AM84" s="8"/>
      <c r="AN84" s="8">
        <f>42994</f>
        <v>42994</v>
      </c>
      <c r="AO84" s="8"/>
      <c r="AP84" s="8">
        <v>19783</v>
      </c>
      <c r="AQ84" s="157">
        <f t="shared" si="177"/>
        <v>0</v>
      </c>
      <c r="AR84" s="157">
        <f t="shared" si="177"/>
        <v>100053</v>
      </c>
      <c r="AS84" s="8"/>
      <c r="AT84" s="8"/>
      <c r="AU84" s="8"/>
      <c r="AV84" s="190">
        <v>42223</v>
      </c>
      <c r="AW84" s="190"/>
      <c r="AX84" s="190">
        <v>16645</v>
      </c>
      <c r="AY84" s="8"/>
      <c r="AZ84" s="190">
        <v>6905</v>
      </c>
      <c r="BA84" s="8"/>
      <c r="BB84" s="8"/>
      <c r="BC84" s="8"/>
      <c r="BD84" s="8"/>
      <c r="BE84" s="8">
        <f t="shared" si="185"/>
        <v>0</v>
      </c>
      <c r="BF84" s="8">
        <f t="shared" si="178"/>
        <v>65773</v>
      </c>
      <c r="BG84" s="8"/>
      <c r="BH84" s="8"/>
      <c r="BI84" s="8"/>
      <c r="BJ84" s="8"/>
      <c r="BK84" s="8"/>
      <c r="BL84" s="8"/>
      <c r="BM84" s="8"/>
      <c r="BN84" s="8"/>
      <c r="BO84" s="8"/>
      <c r="BP84" s="8"/>
      <c r="BQ84" s="8"/>
      <c r="BR84" s="8"/>
      <c r="BS84" s="8">
        <f t="shared" si="184"/>
        <v>0</v>
      </c>
      <c r="BT84" s="8">
        <f t="shared" si="184"/>
        <v>0</v>
      </c>
      <c r="BU84" s="8"/>
      <c r="BV84" s="8"/>
    </row>
    <row r="85" spans="2:74">
      <c r="B85" s="1" t="s">
        <v>116</v>
      </c>
      <c r="AB85" s="8"/>
      <c r="AC85" s="8"/>
      <c r="AD85" s="8"/>
      <c r="AG85" s="8"/>
      <c r="AH85" s="8"/>
      <c r="AI85" s="8"/>
      <c r="AJ85" s="8"/>
      <c r="AK85" s="8"/>
      <c r="AL85" s="8"/>
      <c r="AM85" s="8"/>
      <c r="AN85" s="8"/>
      <c r="AO85" s="16"/>
      <c r="AP85" s="16"/>
      <c r="AQ85" s="8"/>
      <c r="AR85" s="8"/>
      <c r="AS85" s="8"/>
      <c r="AT85" s="8"/>
      <c r="AU85" s="8"/>
      <c r="AV85" s="190">
        <v>428724</v>
      </c>
      <c r="AW85" s="190"/>
      <c r="AX85" s="190">
        <v>145276</v>
      </c>
      <c r="AY85" s="8"/>
      <c r="AZ85" s="190">
        <v>0</v>
      </c>
      <c r="BA85" s="8"/>
      <c r="BB85" s="8"/>
      <c r="BC85" s="8"/>
      <c r="BD85" s="8"/>
      <c r="BE85" s="8">
        <f t="shared" si="185"/>
        <v>0</v>
      </c>
      <c r="BF85" s="8">
        <f t="shared" si="178"/>
        <v>574000</v>
      </c>
      <c r="BG85" s="8"/>
      <c r="BH85" s="8"/>
      <c r="BI85" s="8"/>
      <c r="BJ85" s="8"/>
      <c r="BK85" s="8"/>
      <c r="BL85" s="8"/>
      <c r="BM85" s="8"/>
      <c r="BN85" s="8"/>
      <c r="BO85" s="8"/>
      <c r="BP85" s="8"/>
      <c r="BQ85" s="8"/>
      <c r="BR85" s="8"/>
      <c r="BS85" s="8">
        <f t="shared" si="184"/>
        <v>0</v>
      </c>
      <c r="BT85" s="8">
        <f t="shared" si="184"/>
        <v>0</v>
      </c>
      <c r="BU85" s="8"/>
      <c r="BV85" s="8"/>
    </row>
    <row r="86" spans="2:74">
      <c r="AB86" s="16">
        <f t="shared" ref="AB86:AD86" si="186">AB74+AB71</f>
        <v>8838258.6639019996</v>
      </c>
      <c r="AC86" s="8"/>
      <c r="AD86" s="16">
        <f t="shared" si="186"/>
        <v>36517913.181375995</v>
      </c>
      <c r="AG86" s="16">
        <f t="shared" ref="AG86:AR86" si="187">AG74+AG71</f>
        <v>8730076</v>
      </c>
      <c r="AH86" s="16">
        <f t="shared" si="187"/>
        <v>8447273.7177469991</v>
      </c>
      <c r="AI86" s="16">
        <f t="shared" si="187"/>
        <v>10329155</v>
      </c>
      <c r="AJ86" s="16">
        <f t="shared" si="187"/>
        <v>10796707</v>
      </c>
      <c r="AK86" s="16">
        <f t="shared" si="187"/>
        <v>11991619</v>
      </c>
      <c r="AL86" s="16">
        <f t="shared" si="187"/>
        <v>12685452</v>
      </c>
      <c r="AM86" s="16">
        <f t="shared" si="187"/>
        <v>12334250</v>
      </c>
      <c r="AN86" s="16">
        <f t="shared" si="187"/>
        <v>14005340</v>
      </c>
      <c r="AO86" s="16">
        <f t="shared" si="187"/>
        <v>13686690</v>
      </c>
      <c r="AP86" s="16">
        <f t="shared" si="187"/>
        <v>13981184</v>
      </c>
      <c r="AQ86" s="16">
        <f t="shared" si="187"/>
        <v>57071790</v>
      </c>
      <c r="AR86" s="16">
        <f t="shared" si="187"/>
        <v>59915956.717747003</v>
      </c>
      <c r="AS86" s="8"/>
      <c r="AT86" s="8"/>
      <c r="AU86" s="16">
        <f t="shared" ref="AU86:BF86" si="188">AU74+AU71</f>
        <v>14124109</v>
      </c>
      <c r="AV86" s="16">
        <f t="shared" si="188"/>
        <v>14174468</v>
      </c>
      <c r="AW86" s="16">
        <f t="shared" si="188"/>
        <v>14054453</v>
      </c>
      <c r="AX86" s="16">
        <f t="shared" si="188"/>
        <v>15269151</v>
      </c>
      <c r="AY86" s="16">
        <f t="shared" si="188"/>
        <v>15819995</v>
      </c>
      <c r="AZ86" s="16">
        <f t="shared" si="188"/>
        <v>16602332</v>
      </c>
      <c r="BA86" s="16">
        <f t="shared" si="188"/>
        <v>19035463.162</v>
      </c>
      <c r="BB86" s="16">
        <f t="shared" si="188"/>
        <v>18862491.309466168</v>
      </c>
      <c r="BC86" s="16">
        <f t="shared" si="188"/>
        <v>22041994.995999999</v>
      </c>
      <c r="BD86" s="16">
        <f t="shared" si="188"/>
        <v>22041994.596000001</v>
      </c>
      <c r="BE86" s="16">
        <f t="shared" si="188"/>
        <v>85076015.158000007</v>
      </c>
      <c r="BF86" s="16">
        <f t="shared" si="188"/>
        <v>86950436.905466154</v>
      </c>
      <c r="BG86" s="8"/>
      <c r="BH86" s="8"/>
      <c r="BI86" s="16">
        <f>BI74+BI71</f>
        <v>22059476.202691756</v>
      </c>
      <c r="BJ86" s="216">
        <f t="shared" ref="BJ86:BR86" si="189">BJ74+BJ71</f>
        <v>22059476.202691756</v>
      </c>
      <c r="BK86" s="16">
        <f t="shared" si="189"/>
        <v>22223556.197570272</v>
      </c>
      <c r="BL86" s="216">
        <f t="shared" si="189"/>
        <v>22223556.197570272</v>
      </c>
      <c r="BM86" s="16">
        <f t="shared" si="189"/>
        <v>24654958.697346758</v>
      </c>
      <c r="BN86" s="216">
        <f t="shared" si="189"/>
        <v>24654958.697346758</v>
      </c>
      <c r="BO86" s="16">
        <f t="shared" si="189"/>
        <v>25650237.048075903</v>
      </c>
      <c r="BP86" s="216">
        <f t="shared" si="189"/>
        <v>25650237.048075903</v>
      </c>
      <c r="BQ86" s="16">
        <f t="shared" si="189"/>
        <v>26805646.991756536</v>
      </c>
      <c r="BR86" s="216">
        <f t="shared" si="189"/>
        <v>26805646.991756536</v>
      </c>
      <c r="BS86" s="16">
        <f>BS74+BS71</f>
        <v>121393875.13744122</v>
      </c>
      <c r="BT86" s="216">
        <f t="shared" ref="BT86" si="190">BT74+BT71</f>
        <v>121393875.13744122</v>
      </c>
      <c r="BU86" s="8"/>
      <c r="BV86" s="8"/>
    </row>
    <row r="88" spans="2:74">
      <c r="AQ88" s="8">
        <f>+AQ75+AQ58+AQ68+AQ70</f>
        <v>49663142</v>
      </c>
      <c r="BI88" s="8">
        <f>BI75+BI70+BI68+BI58</f>
        <v>18383427.402691759</v>
      </c>
      <c r="BJ88" s="8">
        <f t="shared" ref="BJ88:BT88" si="191">BJ75+BJ70+BJ68+BJ58</f>
        <v>18383427.402691759</v>
      </c>
      <c r="BK88" s="8">
        <f t="shared" si="191"/>
        <v>18547507.397570271</v>
      </c>
      <c r="BL88" s="8">
        <f t="shared" si="191"/>
        <v>18547507.397570271</v>
      </c>
      <c r="BM88" s="8">
        <f t="shared" si="191"/>
        <v>21358175.897346757</v>
      </c>
      <c r="BN88" s="8">
        <f t="shared" si="191"/>
        <v>21358175.897346757</v>
      </c>
      <c r="BO88" s="8">
        <f t="shared" si="191"/>
        <v>23442211.997964144</v>
      </c>
      <c r="BP88" s="8">
        <f t="shared" si="191"/>
        <v>23442211.997964144</v>
      </c>
      <c r="BQ88" s="8">
        <f t="shared" si="191"/>
        <v>25080919.617009349</v>
      </c>
      <c r="BR88" s="8">
        <f t="shared" si="191"/>
        <v>25080919.617009349</v>
      </c>
      <c r="BS88" s="8">
        <f>BS75+BS70+BS68+BS58</f>
        <v>106812242.31258228</v>
      </c>
      <c r="BT88" s="8">
        <f t="shared" si="191"/>
        <v>106812242.31258228</v>
      </c>
    </row>
    <row r="89" spans="2:74">
      <c r="BJ89" s="6" t="e">
        <f>BJ88-'Phụ lục số I'!#REF!</f>
        <v>#REF!</v>
      </c>
      <c r="BL89" s="6" t="e">
        <f>BL88-'Phụ lục số I'!#REF!</f>
        <v>#REF!</v>
      </c>
      <c r="BN89" s="6" t="e">
        <f>BN88-'Phụ lục số I'!#REF!</f>
        <v>#REF!</v>
      </c>
      <c r="BP89" s="6" t="e">
        <f>BP88-'Phụ lục số I'!#REF!</f>
        <v>#REF!</v>
      </c>
      <c r="BR89" s="6" t="e">
        <f>BR88-'Phụ lục số I'!#REF!</f>
        <v>#REF!</v>
      </c>
    </row>
    <row r="90" spans="2:74">
      <c r="BC90" s="1066">
        <f>+BB47/AZ47</f>
        <v>5.4034946291432773</v>
      </c>
      <c r="BD90" s="1066">
        <f>+BB43/AZ43</f>
        <v>2.025760926447997</v>
      </c>
      <c r="BR90" s="8">
        <f>BR88+BP88+BN88+BL88+BJ88</f>
        <v>106812242.31258228</v>
      </c>
      <c r="BT90" s="8">
        <f>+'Biểu số 2'!BT10</f>
        <v>106863244.06749399</v>
      </c>
    </row>
    <row r="91" spans="2:74">
      <c r="BB91" s="1066">
        <f>+BB36/AZ36</f>
        <v>1.0435455209225877</v>
      </c>
      <c r="BC91" s="1066">
        <f>+BB39/AZ39</f>
        <v>1.0362589899065495</v>
      </c>
      <c r="BD91" s="1066">
        <f>+BB40/AZ40</f>
        <v>1.0040341033394173</v>
      </c>
      <c r="BT91" s="6">
        <f>+BT90-BT86</f>
        <v>-14530631.069947228</v>
      </c>
    </row>
    <row r="92" spans="2:74">
      <c r="AZ92" s="6">
        <f>+'Phụ lục số I'!J10</f>
        <v>9114053.7314166669</v>
      </c>
      <c r="BB92" s="1066">
        <f>+BB30/AZ30</f>
        <v>0.88283091017323645</v>
      </c>
      <c r="BC92" s="5423">
        <f>100%-BB92</f>
        <v>0.11716908982676355</v>
      </c>
    </row>
    <row r="93" spans="2:74">
      <c r="AZ93" s="816">
        <f>+AZ92/AZ10-100%</f>
        <v>9.2670613148678749E-2</v>
      </c>
      <c r="BB93" s="1">
        <f>+BB10/AZ10</f>
        <v>1.1599280755937107</v>
      </c>
    </row>
    <row r="94" spans="2:74">
      <c r="AZ94" s="6">
        <f>+'Phụ lục số I'!J11</f>
        <v>8854054.1620000005</v>
      </c>
    </row>
    <row r="95" spans="2:74">
      <c r="AZ95" s="816">
        <f>+AZ94/AZ10-100%</f>
        <v>6.1499643862683362E-2</v>
      </c>
      <c r="BB95" s="1066">
        <f>+BB13/AZ13</f>
        <v>1.2050862209129949</v>
      </c>
      <c r="BT95" s="6">
        <f>BT74-'Biểu số 2'!BT9</f>
        <v>-3849612.9300527722</v>
      </c>
    </row>
    <row r="96" spans="2:74">
      <c r="AZ96" s="6">
        <f>+'Phụ lục số I'!J12</f>
        <v>4689000</v>
      </c>
      <c r="BB96" s="1066">
        <f>+BB19/AZ19</f>
        <v>1.0645061936477409</v>
      </c>
    </row>
    <row r="97" spans="49:54">
      <c r="AZ97" s="816">
        <f>+AZ96/AZ12-100%</f>
        <v>-2.3942651374754598E-2</v>
      </c>
      <c r="BB97" s="1066">
        <f>+BB25/AZ25</f>
        <v>1.6835811501848792</v>
      </c>
    </row>
    <row r="98" spans="49:54">
      <c r="BB98" s="1066">
        <f>+BB38/AZ38</f>
        <v>1.0789938972223807</v>
      </c>
    </row>
    <row r="99" spans="49:54">
      <c r="BB99" s="1066">
        <f>+BB41/AZ41</f>
        <v>1.1492249188117789</v>
      </c>
    </row>
    <row r="100" spans="49:54">
      <c r="BB100" s="1066">
        <f>+BB42/AZ42</f>
        <v>1.5292329730276135</v>
      </c>
    </row>
    <row r="101" spans="49:54">
      <c r="BB101" s="1066">
        <f>+BB45/AZ45</f>
        <v>1.0259047578652698</v>
      </c>
    </row>
    <row r="102" spans="49:54">
      <c r="BB102" s="1066">
        <f>+BB46/AZ46</f>
        <v>0.82405473256549322</v>
      </c>
    </row>
    <row r="103" spans="49:54">
      <c r="BA103" s="1">
        <v>82.4</v>
      </c>
      <c r="BB103" s="1066">
        <f>+BB50/AZ50</f>
        <v>1.0657345042203086</v>
      </c>
    </row>
    <row r="104" spans="49:54">
      <c r="BA104" s="5421">
        <v>18</v>
      </c>
      <c r="BB104" s="5422">
        <v>1</v>
      </c>
    </row>
    <row r="105" spans="49:54">
      <c r="BA105" s="5421">
        <f>100-BA103</f>
        <v>17.599999999999994</v>
      </c>
      <c r="BB105" s="754">
        <f>+BB49/AZ49</f>
        <v>0.94517958412098302</v>
      </c>
    </row>
    <row r="106" spans="49:54">
      <c r="BB106" s="5423">
        <f>+BB104-BB105</f>
        <v>5.4820415879016982E-2</v>
      </c>
    </row>
    <row r="107" spans="49:54">
      <c r="AW107" s="8">
        <f>+AX10+AZ10+BB10</f>
        <v>25893293.252273668</v>
      </c>
    </row>
    <row r="108" spans="49:54">
      <c r="AW108" s="8">
        <f>+AX11+AZ11+BB11</f>
        <v>24811622.641316</v>
      </c>
    </row>
    <row r="109" spans="49:54">
      <c r="AW109" s="6">
        <f>+AX51+AZ51+BB51</f>
        <v>1081670.6109576658</v>
      </c>
    </row>
  </sheetData>
  <mergeCells count="107">
    <mergeCell ref="BT7:BT8"/>
    <mergeCell ref="BU7:BU8"/>
    <mergeCell ref="BV7:BV8"/>
    <mergeCell ref="BN7:BN8"/>
    <mergeCell ref="BO7:BO8"/>
    <mergeCell ref="BP7:BP8"/>
    <mergeCell ref="BQ7:BQ8"/>
    <mergeCell ref="BR7:BR8"/>
    <mergeCell ref="BS7:BS8"/>
    <mergeCell ref="BH7:BH8"/>
    <mergeCell ref="BI7:BI8"/>
    <mergeCell ref="BJ7:BJ8"/>
    <mergeCell ref="BK7:BK8"/>
    <mergeCell ref="BL7:BL8"/>
    <mergeCell ref="BM7:BM8"/>
    <mergeCell ref="BB7:BB8"/>
    <mergeCell ref="BC7:BC8"/>
    <mergeCell ref="BD7:BD8"/>
    <mergeCell ref="BE7:BE8"/>
    <mergeCell ref="BF7:BF8"/>
    <mergeCell ref="BG7:BG8"/>
    <mergeCell ref="AW7:AW8"/>
    <mergeCell ref="AX7:AX8"/>
    <mergeCell ref="AY7:AY8"/>
    <mergeCell ref="AZ7:AZ8"/>
    <mergeCell ref="BA7:BA8"/>
    <mergeCell ref="AP7:AP8"/>
    <mergeCell ref="AQ7:AQ8"/>
    <mergeCell ref="AR7:AR8"/>
    <mergeCell ref="AS7:AS8"/>
    <mergeCell ref="AT7:AT8"/>
    <mergeCell ref="AU7:AU8"/>
    <mergeCell ref="AN7:AN8"/>
    <mergeCell ref="AO7:AO8"/>
    <mergeCell ref="AD7:AD8"/>
    <mergeCell ref="AE7:AE8"/>
    <mergeCell ref="AF7:AF8"/>
    <mergeCell ref="AG7:AG8"/>
    <mergeCell ref="AH7:AH8"/>
    <mergeCell ref="AI7:AI8"/>
    <mergeCell ref="AV7:AV8"/>
    <mergeCell ref="S7:S8"/>
    <mergeCell ref="T7:T8"/>
    <mergeCell ref="U7:U8"/>
    <mergeCell ref="V7:V8"/>
    <mergeCell ref="W7:W8"/>
    <mergeCell ref="AJ7:AJ8"/>
    <mergeCell ref="AK7:AK8"/>
    <mergeCell ref="AL7:AL8"/>
    <mergeCell ref="AM7:AM8"/>
    <mergeCell ref="C7:C8"/>
    <mergeCell ref="D7:D8"/>
    <mergeCell ref="E7:E8"/>
    <mergeCell ref="F7:F8"/>
    <mergeCell ref="G7:G8"/>
    <mergeCell ref="H7:H8"/>
    <mergeCell ref="I7:I8"/>
    <mergeCell ref="J7:J8"/>
    <mergeCell ref="K7:K8"/>
    <mergeCell ref="AM6:AN6"/>
    <mergeCell ref="AO6:AP6"/>
    <mergeCell ref="L7:L8"/>
    <mergeCell ref="M7:M8"/>
    <mergeCell ref="N7:N8"/>
    <mergeCell ref="O7:O8"/>
    <mergeCell ref="P7:P8"/>
    <mergeCell ref="Q7:Q8"/>
    <mergeCell ref="BS6:BV6"/>
    <mergeCell ref="BE6:BH6"/>
    <mergeCell ref="BI6:BJ6"/>
    <mergeCell ref="BK6:BL6"/>
    <mergeCell ref="BM6:BN6"/>
    <mergeCell ref="BO6:BP6"/>
    <mergeCell ref="BQ6:BR6"/>
    <mergeCell ref="AQ6:AT6"/>
    <mergeCell ref="AU6:AV6"/>
    <mergeCell ref="X7:X8"/>
    <mergeCell ref="Y7:Y8"/>
    <mergeCell ref="Z7:Z8"/>
    <mergeCell ref="AA7:AA8"/>
    <mergeCell ref="AB7:AB8"/>
    <mergeCell ref="AC7:AC8"/>
    <mergeCell ref="R7:R8"/>
    <mergeCell ref="O6:R6"/>
    <mergeCell ref="S6:T6"/>
    <mergeCell ref="U6:V6"/>
    <mergeCell ref="W6:X6"/>
    <mergeCell ref="Y6:Z6"/>
    <mergeCell ref="AA6:AB6"/>
    <mergeCell ref="A2:BH2"/>
    <mergeCell ref="A3:BH3"/>
    <mergeCell ref="A6:A8"/>
    <mergeCell ref="B6:B8"/>
    <mergeCell ref="C6:D6"/>
    <mergeCell ref="E6:F6"/>
    <mergeCell ref="G6:H6"/>
    <mergeCell ref="I6:J6"/>
    <mergeCell ref="K6:L6"/>
    <mergeCell ref="M6:N6"/>
    <mergeCell ref="AW6:AX6"/>
    <mergeCell ref="AY6:AZ6"/>
    <mergeCell ref="BA6:BB6"/>
    <mergeCell ref="BC6:BD6"/>
    <mergeCell ref="AC6:AF6"/>
    <mergeCell ref="AG6:AH6"/>
    <mergeCell ref="AI6:AJ6"/>
    <mergeCell ref="AK6:AL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AP41"/>
  <sheetViews>
    <sheetView topLeftCell="A20" workbookViewId="0">
      <selection activeCell="D16" sqref="D16"/>
    </sheetView>
  </sheetViews>
  <sheetFormatPr defaultColWidth="10" defaultRowHeight="18"/>
  <cols>
    <col min="1" max="1" width="5.44140625" style="583" customWidth="1"/>
    <col min="2" max="2" width="40.44140625" style="381" customWidth="1"/>
    <col min="3" max="20" width="10.33203125" style="381" customWidth="1"/>
    <col min="21" max="22" width="10" style="381" hidden="1" customWidth="1"/>
    <col min="23" max="23" width="10.5546875" style="381" hidden="1" customWidth="1"/>
    <col min="24" max="24" width="12.44140625" style="381" customWidth="1"/>
    <col min="25" max="32" width="11.44140625" style="381" customWidth="1"/>
    <col min="33" max="33" width="14.109375" style="381" customWidth="1"/>
    <col min="34" max="34" width="15.33203125" style="381" customWidth="1"/>
    <col min="35" max="35" width="14.6640625" style="381" hidden="1" customWidth="1"/>
    <col min="36" max="36" width="13.109375" style="381" customWidth="1"/>
    <col min="37" max="37" width="13.44140625" style="381" customWidth="1"/>
    <col min="38" max="38" width="10.33203125" style="381" bestFit="1" customWidth="1"/>
    <col min="39" max="39" width="15.109375" style="381" customWidth="1"/>
    <col min="40" max="40" width="12.88671875" style="381" customWidth="1"/>
    <col min="41" max="41" width="14.5546875" style="381" customWidth="1"/>
    <col min="42" max="42" width="14.44140625" style="381" bestFit="1" customWidth="1"/>
    <col min="43" max="16384" width="10" style="381"/>
  </cols>
  <sheetData>
    <row r="1" spans="1:42" s="386" customFormat="1" ht="17.399999999999999">
      <c r="A1" s="6281" t="s">
        <v>2165</v>
      </c>
      <c r="B1" s="6281"/>
      <c r="C1" s="6281"/>
      <c r="D1" s="6281"/>
      <c r="E1" s="6281"/>
      <c r="F1" s="6281"/>
      <c r="G1" s="6281"/>
      <c r="H1" s="6281"/>
      <c r="I1" s="6281"/>
      <c r="J1" s="6281"/>
      <c r="K1" s="6281"/>
      <c r="L1" s="6281"/>
      <c r="M1" s="6281"/>
      <c r="N1" s="6281"/>
      <c r="O1" s="6281"/>
      <c r="P1" s="6281"/>
      <c r="Q1" s="6281"/>
      <c r="R1" s="6281"/>
      <c r="S1" s="6281"/>
      <c r="T1" s="6281"/>
    </row>
    <row r="2" spans="1:42" s="386" customFormat="1" ht="17.399999999999999">
      <c r="A2" s="641"/>
      <c r="B2" s="641"/>
      <c r="C2" s="641"/>
      <c r="D2" s="641"/>
      <c r="E2" s="641"/>
      <c r="F2" s="641"/>
      <c r="G2" s="641"/>
      <c r="H2" s="641"/>
      <c r="I2" s="641"/>
      <c r="J2" s="641"/>
      <c r="K2" s="641"/>
    </row>
    <row r="3" spans="1:42">
      <c r="AG3" s="667"/>
      <c r="AH3" s="667"/>
    </row>
    <row r="4" spans="1:42">
      <c r="A4" s="6400" t="s">
        <v>200</v>
      </c>
      <c r="B4" s="6465" t="s">
        <v>248</v>
      </c>
      <c r="C4" s="6464" t="s">
        <v>1008</v>
      </c>
      <c r="D4" s="6464"/>
      <c r="E4" s="6464"/>
      <c r="F4" s="6464" t="s">
        <v>85</v>
      </c>
      <c r="G4" s="6464"/>
      <c r="H4" s="6464"/>
      <c r="I4" s="6464" t="s">
        <v>86</v>
      </c>
      <c r="J4" s="6464"/>
      <c r="K4" s="6464"/>
      <c r="L4" s="6464" t="s">
        <v>87</v>
      </c>
      <c r="M4" s="6464"/>
      <c r="N4" s="6464"/>
      <c r="O4" s="6464" t="s">
        <v>88</v>
      </c>
      <c r="P4" s="6464"/>
      <c r="Q4" s="6464"/>
      <c r="R4" s="6464" t="s">
        <v>89</v>
      </c>
      <c r="S4" s="6464"/>
      <c r="T4" s="6464"/>
      <c r="W4" s="3855"/>
      <c r="X4" s="6044" t="s">
        <v>2166</v>
      </c>
      <c r="Y4" s="6464" t="s">
        <v>186</v>
      </c>
      <c r="Z4" s="6464"/>
      <c r="AA4" s="6464"/>
      <c r="AB4" s="6464"/>
      <c r="AC4" s="6464"/>
      <c r="AD4" s="6464"/>
      <c r="AE4" s="6464"/>
      <c r="AF4" s="6464"/>
      <c r="AG4" s="6464"/>
      <c r="AH4" s="6464"/>
      <c r="AI4" s="2239"/>
      <c r="AJ4" s="3855"/>
      <c r="AK4" s="3855"/>
    </row>
    <row r="5" spans="1:42" s="431" customFormat="1" ht="121.8">
      <c r="A5" s="6329"/>
      <c r="B5" s="6339"/>
      <c r="C5" s="430" t="s">
        <v>2167</v>
      </c>
      <c r="D5" s="430" t="s">
        <v>2168</v>
      </c>
      <c r="E5" s="430" t="s">
        <v>2169</v>
      </c>
      <c r="F5" s="430" t="s">
        <v>2167</v>
      </c>
      <c r="G5" s="430" t="s">
        <v>2168</v>
      </c>
      <c r="H5" s="430" t="s">
        <v>2169</v>
      </c>
      <c r="I5" s="430" t="s">
        <v>2167</v>
      </c>
      <c r="J5" s="430" t="s">
        <v>2168</v>
      </c>
      <c r="K5" s="430" t="s">
        <v>2169</v>
      </c>
      <c r="L5" s="430" t="s">
        <v>2167</v>
      </c>
      <c r="M5" s="430" t="s">
        <v>2168</v>
      </c>
      <c r="N5" s="430" t="s">
        <v>2169</v>
      </c>
      <c r="O5" s="430" t="s">
        <v>2167</v>
      </c>
      <c r="P5" s="430" t="s">
        <v>2168</v>
      </c>
      <c r="Q5" s="430" t="s">
        <v>2169</v>
      </c>
      <c r="R5" s="430" t="s">
        <v>2167</v>
      </c>
      <c r="S5" s="430" t="s">
        <v>2170</v>
      </c>
      <c r="T5" s="430" t="s">
        <v>2169</v>
      </c>
      <c r="W5" s="430"/>
      <c r="X5" s="6044"/>
      <c r="Y5" s="3856" t="s">
        <v>2171</v>
      </c>
      <c r="Z5" s="3856" t="s">
        <v>2172</v>
      </c>
      <c r="AA5" s="3856" t="s">
        <v>2173</v>
      </c>
      <c r="AB5" s="3856" t="s">
        <v>2174</v>
      </c>
      <c r="AC5" s="3856" t="s">
        <v>2175</v>
      </c>
      <c r="AD5" s="3856" t="s">
        <v>2176</v>
      </c>
      <c r="AE5" s="3856" t="s">
        <v>2177</v>
      </c>
      <c r="AF5" s="3856" t="s">
        <v>2178</v>
      </c>
      <c r="AG5" s="3856" t="s">
        <v>2179</v>
      </c>
      <c r="AH5" s="3856" t="s">
        <v>2180</v>
      </c>
      <c r="AI5" s="3856"/>
      <c r="AJ5" s="430" t="s">
        <v>2181</v>
      </c>
      <c r="AK5" s="430" t="s">
        <v>2182</v>
      </c>
    </row>
    <row r="6" spans="1:42" s="386" customFormat="1" ht="17.399999999999999">
      <c r="A6" s="2239" t="s">
        <v>1</v>
      </c>
      <c r="B6" s="2239" t="s">
        <v>37</v>
      </c>
      <c r="C6" s="3857">
        <v>1</v>
      </c>
      <c r="D6" s="3857">
        <v>2</v>
      </c>
      <c r="E6" s="3857" t="s">
        <v>2183</v>
      </c>
      <c r="F6" s="3857">
        <v>1</v>
      </c>
      <c r="G6" s="3857">
        <v>2</v>
      </c>
      <c r="H6" s="3857" t="s">
        <v>2183</v>
      </c>
      <c r="I6" s="3857">
        <v>1</v>
      </c>
      <c r="J6" s="3857">
        <v>2</v>
      </c>
      <c r="K6" s="3857" t="s">
        <v>2183</v>
      </c>
      <c r="L6" s="3857">
        <v>1</v>
      </c>
      <c r="M6" s="3857">
        <v>2</v>
      </c>
      <c r="N6" s="3857" t="s">
        <v>2183</v>
      </c>
      <c r="O6" s="3857">
        <v>1</v>
      </c>
      <c r="P6" s="3857">
        <v>2</v>
      </c>
      <c r="Q6" s="3857" t="s">
        <v>2183</v>
      </c>
      <c r="R6" s="3857">
        <v>1</v>
      </c>
      <c r="S6" s="3857">
        <v>2</v>
      </c>
      <c r="T6" s="3857" t="s">
        <v>2183</v>
      </c>
      <c r="W6" s="3858"/>
      <c r="X6" s="3859"/>
      <c r="Y6" s="3859"/>
      <c r="Z6" s="3859"/>
      <c r="AA6" s="3859"/>
      <c r="AB6" s="3859"/>
      <c r="AC6" s="3859"/>
      <c r="AD6" s="3859"/>
      <c r="AE6" s="3859"/>
      <c r="AF6" s="3859"/>
      <c r="AG6" s="3858"/>
      <c r="AH6" s="3858"/>
      <c r="AI6" s="3858"/>
      <c r="AJ6" s="3860">
        <f>+AK11+AK14+AK17</f>
        <v>1167992</v>
      </c>
      <c r="AK6" s="3860">
        <f>AK10+AK13+AK16</f>
        <v>92084</v>
      </c>
      <c r="AM6" s="660">
        <f>AH11+AH14</f>
        <v>5921000</v>
      </c>
      <c r="AN6" s="685">
        <f>AM6+AM9+AM13</f>
        <v>7088992</v>
      </c>
      <c r="AO6" s="660">
        <f>AN6-AM6</f>
        <v>1167992</v>
      </c>
      <c r="AP6" s="660">
        <f>AO6+368100</f>
        <v>1536092</v>
      </c>
    </row>
    <row r="7" spans="1:42" s="386" customFormat="1" ht="17.399999999999999">
      <c r="A7" s="3861"/>
      <c r="B7" s="3861" t="s">
        <v>2184</v>
      </c>
      <c r="C7" s="3862">
        <f>C8+C21+C28+C31</f>
        <v>28063813</v>
      </c>
      <c r="D7" s="3862">
        <f t="shared" ref="D7:E7" si="0">D8+D21+D28+D31</f>
        <v>29456304.162</v>
      </c>
      <c r="E7" s="3862">
        <f t="shared" si="0"/>
        <v>1392491.162</v>
      </c>
      <c r="F7" s="3862">
        <f>F8+F21+F28+F31</f>
        <v>5095667</v>
      </c>
      <c r="G7" s="3862">
        <f t="shared" ref="G7:T7" si="1">G8+G21+G28+G31</f>
        <v>5122961</v>
      </c>
      <c r="H7" s="3862">
        <f t="shared" si="1"/>
        <v>27294</v>
      </c>
      <c r="I7" s="3862">
        <f t="shared" si="1"/>
        <v>5729518</v>
      </c>
      <c r="J7" s="3862">
        <f t="shared" si="1"/>
        <v>5806730</v>
      </c>
      <c r="K7" s="3862">
        <f t="shared" si="1"/>
        <v>-1092788</v>
      </c>
      <c r="L7" s="3862">
        <f t="shared" si="1"/>
        <v>6314372</v>
      </c>
      <c r="M7" s="3862">
        <f t="shared" si="1"/>
        <v>6539507</v>
      </c>
      <c r="N7" s="3862">
        <f t="shared" si="1"/>
        <v>-124865</v>
      </c>
      <c r="O7" s="3862">
        <f t="shared" si="1"/>
        <v>7193372</v>
      </c>
      <c r="P7" s="3862">
        <f t="shared" si="1"/>
        <v>7320216.1620000005</v>
      </c>
      <c r="Q7" s="3862">
        <f t="shared" si="1"/>
        <v>126844.16200000001</v>
      </c>
      <c r="R7" s="3862">
        <f t="shared" si="1"/>
        <v>3730884</v>
      </c>
      <c r="S7" s="3862">
        <f t="shared" si="1"/>
        <v>4666890</v>
      </c>
      <c r="T7" s="3862">
        <f t="shared" si="1"/>
        <v>936006</v>
      </c>
      <c r="W7" s="3862">
        <f>W8+W21+W28+W31</f>
        <v>-3875562</v>
      </c>
      <c r="X7" s="3862">
        <f t="shared" ref="X7:AF7" si="2">X8+X21+X28+X31</f>
        <v>0</v>
      </c>
      <c r="Y7" s="3862">
        <f t="shared" si="2"/>
        <v>24062155</v>
      </c>
      <c r="Z7" s="3862">
        <f t="shared" si="2"/>
        <v>20188361</v>
      </c>
      <c r="AA7" s="3862">
        <f t="shared" si="2"/>
        <v>2016865</v>
      </c>
      <c r="AB7" s="3862">
        <f t="shared" si="2"/>
        <v>25399374</v>
      </c>
      <c r="AC7" s="3862">
        <f t="shared" si="2"/>
        <v>26279874</v>
      </c>
      <c r="AD7" s="3862">
        <f t="shared" si="2"/>
        <v>26344654</v>
      </c>
      <c r="AE7" s="3862">
        <f t="shared" si="2"/>
        <v>26554819</v>
      </c>
      <c r="AF7" s="3862">
        <f t="shared" si="2"/>
        <v>28146284</v>
      </c>
      <c r="AG7" s="3862">
        <f>AG8+AG21+AG28+AG31</f>
        <v>28396284</v>
      </c>
      <c r="AH7" s="3863">
        <f>AH8+AH21+AH28+AH31</f>
        <v>29495949</v>
      </c>
      <c r="AI7" s="3862"/>
      <c r="AJ7" s="3862">
        <f>AJ8+AJ21+AJ28+AJ31</f>
        <v>1432136</v>
      </c>
      <c r="AK7" s="3862">
        <f>AK8+AK21+AK28+AK31</f>
        <v>-39644.837999999989</v>
      </c>
      <c r="AO7" s="660">
        <f>AO6-AM13</f>
        <v>74492</v>
      </c>
    </row>
    <row r="8" spans="1:42" s="380" customFormat="1" ht="17.399999999999999">
      <c r="A8" s="683" t="s">
        <v>3</v>
      </c>
      <c r="B8" s="2779" t="s">
        <v>2185</v>
      </c>
      <c r="C8" s="3864">
        <f>C9+C12+C15+C18</f>
        <v>17449365</v>
      </c>
      <c r="D8" s="3864">
        <f>D9+D12+D15+D18</f>
        <v>20315572.162</v>
      </c>
      <c r="E8" s="3864">
        <f t="shared" ref="E8" si="3">E9+E12+E15+E18</f>
        <v>2866207.162</v>
      </c>
      <c r="F8" s="3864">
        <f>F9+F12+F15+F18</f>
        <v>3252329</v>
      </c>
      <c r="G8" s="3864">
        <f>G9+G12+G15+G18</f>
        <v>3381485</v>
      </c>
      <c r="H8" s="3864">
        <f t="shared" ref="H8:T8" si="4">H9+H12+H15+H18</f>
        <v>129156</v>
      </c>
      <c r="I8" s="3864">
        <f t="shared" si="4"/>
        <v>3380084</v>
      </c>
      <c r="J8" s="3864">
        <f t="shared" si="4"/>
        <v>3374957</v>
      </c>
      <c r="K8" s="3864">
        <f t="shared" si="4"/>
        <v>-5127</v>
      </c>
      <c r="L8" s="3864">
        <f t="shared" si="4"/>
        <v>3484034</v>
      </c>
      <c r="M8" s="3864">
        <f t="shared" si="4"/>
        <v>3561000</v>
      </c>
      <c r="N8" s="3864">
        <f t="shared" si="4"/>
        <v>76966</v>
      </c>
      <c r="O8" s="3864">
        <f t="shared" si="4"/>
        <v>3602034</v>
      </c>
      <c r="P8" s="3864">
        <f t="shared" si="4"/>
        <v>5331240.1620000005</v>
      </c>
      <c r="Q8" s="3864">
        <f t="shared" si="4"/>
        <v>1729206.162</v>
      </c>
      <c r="R8" s="3864">
        <f t="shared" si="4"/>
        <v>3730884</v>
      </c>
      <c r="S8" s="3864">
        <f t="shared" si="4"/>
        <v>4666890</v>
      </c>
      <c r="T8" s="3864">
        <f t="shared" si="4"/>
        <v>936006</v>
      </c>
      <c r="W8" s="3864">
        <f>W9+W12+W15+W18</f>
        <v>-365</v>
      </c>
      <c r="X8" s="3864">
        <f t="shared" ref="X8:AH8" si="5">X9+X12+X15+X18</f>
        <v>0</v>
      </c>
      <c r="Y8" s="3864">
        <f t="shared" si="5"/>
        <v>17449000</v>
      </c>
      <c r="Z8" s="3864">
        <f t="shared" si="5"/>
        <v>15580206</v>
      </c>
      <c r="AA8" s="3864">
        <f t="shared" si="5"/>
        <v>1031865</v>
      </c>
      <c r="AB8" s="3864">
        <f t="shared" si="5"/>
        <v>17487777</v>
      </c>
      <c r="AC8" s="3864">
        <f t="shared" si="5"/>
        <v>17487777</v>
      </c>
      <c r="AD8" s="3864">
        <f t="shared" si="5"/>
        <v>17487777</v>
      </c>
      <c r="AE8" s="3864">
        <f t="shared" si="5"/>
        <v>17487777</v>
      </c>
      <c r="AF8" s="3864">
        <f t="shared" si="5"/>
        <v>17487777</v>
      </c>
      <c r="AG8" s="3864">
        <f t="shared" si="5"/>
        <v>17487777</v>
      </c>
      <c r="AH8" s="3865">
        <f t="shared" si="5"/>
        <v>18587442</v>
      </c>
      <c r="AI8" s="3864"/>
      <c r="AJ8" s="3864">
        <f>AJ9+AJ12+AJ15+AJ18</f>
        <v>1138077</v>
      </c>
      <c r="AK8" s="3864">
        <f>AK9+AK12+AK15+AK18</f>
        <v>1728130.162</v>
      </c>
      <c r="AM8" s="3864">
        <f>AM9+AM12+AM15+AM18</f>
        <v>1673992</v>
      </c>
      <c r="AN8" s="3866">
        <f>6761392</f>
        <v>6761392</v>
      </c>
      <c r="AO8" s="2710">
        <f>AO7-AM9</f>
        <v>0</v>
      </c>
      <c r="AP8" s="3867"/>
    </row>
    <row r="9" spans="1:42" s="642" customFormat="1" ht="17.399999999999999">
      <c r="A9" s="3868">
        <v>1</v>
      </c>
      <c r="B9" s="2819" t="s">
        <v>143</v>
      </c>
      <c r="C9" s="3869">
        <f t="shared" ref="C9:E9" si="6">SUM(C10:C11)</f>
        <v>6637365</v>
      </c>
      <c r="D9" s="3869">
        <f t="shared" si="6"/>
        <v>5338741</v>
      </c>
      <c r="E9" s="3869">
        <f t="shared" si="6"/>
        <v>-1298624</v>
      </c>
      <c r="F9" s="3869">
        <f>SUM(F10:F11)</f>
        <v>1159329</v>
      </c>
      <c r="G9" s="3869">
        <f t="shared" ref="G9:T9" si="7">SUM(G10:G11)</f>
        <v>1131485</v>
      </c>
      <c r="H9" s="3869">
        <f t="shared" si="7"/>
        <v>-27844</v>
      </c>
      <c r="I9" s="3869">
        <f t="shared" si="7"/>
        <v>1253084</v>
      </c>
      <c r="J9" s="3869">
        <f t="shared" si="7"/>
        <v>1036180</v>
      </c>
      <c r="K9" s="3869">
        <f t="shared" si="7"/>
        <v>-216904</v>
      </c>
      <c r="L9" s="3869">
        <f t="shared" si="7"/>
        <v>1323034</v>
      </c>
      <c r="M9" s="3869">
        <f t="shared" si="7"/>
        <v>1061000</v>
      </c>
      <c r="N9" s="3869">
        <f t="shared" si="7"/>
        <v>-262034</v>
      </c>
      <c r="O9" s="3869">
        <f t="shared" si="7"/>
        <v>1406034</v>
      </c>
      <c r="P9" s="3869">
        <f t="shared" si="7"/>
        <v>1143186</v>
      </c>
      <c r="Q9" s="3869">
        <f t="shared" si="7"/>
        <v>-262848</v>
      </c>
      <c r="R9" s="3869">
        <f t="shared" si="7"/>
        <v>1495884</v>
      </c>
      <c r="S9" s="3869">
        <f t="shared" si="7"/>
        <v>966890</v>
      </c>
      <c r="T9" s="3869">
        <f t="shared" si="7"/>
        <v>-528994</v>
      </c>
      <c r="W9" s="3869">
        <f t="shared" ref="W9:AH9" si="8">SUM(W10:W11)</f>
        <v>-365</v>
      </c>
      <c r="X9" s="3869">
        <f t="shared" si="8"/>
        <v>0</v>
      </c>
      <c r="Y9" s="3869">
        <f t="shared" si="8"/>
        <v>6637000</v>
      </c>
      <c r="Z9" s="3869">
        <f t="shared" si="8"/>
        <v>5728421</v>
      </c>
      <c r="AA9" s="3869">
        <f t="shared" si="8"/>
        <v>620372</v>
      </c>
      <c r="AB9" s="3869">
        <f t="shared" si="8"/>
        <v>6637000</v>
      </c>
      <c r="AC9" s="3869">
        <f t="shared" si="8"/>
        <v>6637000</v>
      </c>
      <c r="AD9" s="3869">
        <f t="shared" si="8"/>
        <v>6637000</v>
      </c>
      <c r="AE9" s="3869">
        <f t="shared" si="8"/>
        <v>6637000</v>
      </c>
      <c r="AF9" s="3869">
        <f t="shared" si="8"/>
        <v>6637000</v>
      </c>
      <c r="AG9" s="3869">
        <f t="shared" si="8"/>
        <v>6637000</v>
      </c>
      <c r="AH9" s="3870">
        <f t="shared" si="8"/>
        <v>6637000</v>
      </c>
      <c r="AI9" s="3869"/>
      <c r="AJ9" s="3869">
        <f t="shared" ref="AJ9:AM9" si="9">SUM(AJ10:AJ11)</f>
        <v>-365</v>
      </c>
      <c r="AK9" s="3869">
        <f t="shared" si="9"/>
        <v>-1298259</v>
      </c>
      <c r="AM9" s="3869">
        <f t="shared" si="9"/>
        <v>74492</v>
      </c>
      <c r="AN9" s="3871">
        <v>368100</v>
      </c>
      <c r="AO9" s="3872"/>
      <c r="AP9" s="644"/>
    </row>
    <row r="10" spans="1:42">
      <c r="A10" s="3873" t="s">
        <v>29</v>
      </c>
      <c r="B10" s="2823" t="s">
        <v>2186</v>
      </c>
      <c r="C10" s="3874">
        <f>F10+I10+L10+O10+R10</f>
        <v>4009365</v>
      </c>
      <c r="D10" s="3874">
        <f>G10+J10+M10+P10+S10</f>
        <v>2636249</v>
      </c>
      <c r="E10" s="3874">
        <f>D10-C10</f>
        <v>-1373116</v>
      </c>
      <c r="F10" s="3875">
        <f>'[26]Phụ lục số 2'!$S$14</f>
        <v>651329</v>
      </c>
      <c r="G10" s="3874">
        <f>[27]Sheet1!$L$11</f>
        <v>626239</v>
      </c>
      <c r="H10" s="3874">
        <f>G10-F10</f>
        <v>-25090</v>
      </c>
      <c r="I10" s="3874">
        <f>'[26]Phụ lục số 3-thu bs'!$P$20</f>
        <v>745084</v>
      </c>
      <c r="J10" s="3874">
        <f>[27]Sheet1!$M$11</f>
        <v>530934</v>
      </c>
      <c r="K10" s="3874">
        <f>J10-I10</f>
        <v>-214150</v>
      </c>
      <c r="L10" s="3874">
        <f>'[26]Phụ lục số 3-thu bs'!$S$20</f>
        <v>805034</v>
      </c>
      <c r="M10" s="3874">
        <f>[27]Sheet1!$N$11</f>
        <v>540000</v>
      </c>
      <c r="N10" s="3874">
        <f>M10-L10</f>
        <v>-265034</v>
      </c>
      <c r="O10" s="3874">
        <f>'[26]Phụ lục số 3-thu bs'!$V$20</f>
        <v>869034</v>
      </c>
      <c r="P10" s="3874">
        <f>[27]Sheet1!$O$11</f>
        <v>562186</v>
      </c>
      <c r="Q10" s="3874">
        <f>P10-O10</f>
        <v>-306848</v>
      </c>
      <c r="R10" s="3874">
        <f>'[26]Phụ lục số 3-thu bs'!$Y$20</f>
        <v>938884</v>
      </c>
      <c r="S10" s="3874">
        <f>+'Phụ lục số 2'!P11</f>
        <v>376890</v>
      </c>
      <c r="T10" s="3874">
        <f>S10-R10</f>
        <v>-561994</v>
      </c>
      <c r="W10" s="2908">
        <f>Y10-C10</f>
        <v>-365</v>
      </c>
      <c r="X10" s="704"/>
      <c r="Y10" s="704">
        <f>[27]Sheet1!$C$11</f>
        <v>4009000</v>
      </c>
      <c r="Z10" s="704">
        <f>[27]Sheet1!$D$11</f>
        <v>3100421</v>
      </c>
      <c r="AA10" s="704">
        <f>[27]Sheet1!$E$11</f>
        <v>620372</v>
      </c>
      <c r="AB10" s="704">
        <f>[27]Sheet1!$F$11</f>
        <v>4009000</v>
      </c>
      <c r="AC10" s="704">
        <f>[27]Sheet1!$G$11</f>
        <v>4009000</v>
      </c>
      <c r="AD10" s="704">
        <f>[27]Sheet1!$H$11</f>
        <v>4009000</v>
      </c>
      <c r="AE10" s="704">
        <f>[27]Sheet1!$I$11</f>
        <v>4009000</v>
      </c>
      <c r="AF10" s="704">
        <f>[27]Sheet1!$J$11</f>
        <v>4009000</v>
      </c>
      <c r="AG10" s="704">
        <f>AF10</f>
        <v>4009000</v>
      </c>
      <c r="AH10" s="3876">
        <f>AG10</f>
        <v>4009000</v>
      </c>
      <c r="AI10" s="2908"/>
      <c r="AJ10" s="2908">
        <f>AH10-C10</f>
        <v>-365</v>
      </c>
      <c r="AK10" s="2908">
        <f>D10-AH10</f>
        <v>-1372751</v>
      </c>
      <c r="AN10" s="692">
        <f>AN8+AN9</f>
        <v>7129492</v>
      </c>
      <c r="AO10" s="667"/>
    </row>
    <row r="11" spans="1:42">
      <c r="A11" s="3873" t="s">
        <v>29</v>
      </c>
      <c r="B11" s="2823" t="s">
        <v>2187</v>
      </c>
      <c r="C11" s="3874">
        <f>F11+I11+L11+O11+R11</f>
        <v>2628000</v>
      </c>
      <c r="D11" s="3874">
        <f>G11+J11+M11+P11+S11</f>
        <v>2702492</v>
      </c>
      <c r="E11" s="3874">
        <f>D11-C11</f>
        <v>74492</v>
      </c>
      <c r="F11" s="3875">
        <f>'[26]Phụ lục số 2'!$Y$14</f>
        <v>508000</v>
      </c>
      <c r="G11" s="3874">
        <f>[27]Sheet1!$L$12</f>
        <v>505246</v>
      </c>
      <c r="H11" s="3874">
        <f>G11-F11</f>
        <v>-2754</v>
      </c>
      <c r="I11" s="3874">
        <f>'[26]Phụ lục số 3-thu bs'!$Q$20</f>
        <v>508000</v>
      </c>
      <c r="J11" s="3874">
        <f>[27]Sheet1!$M$12</f>
        <v>505246</v>
      </c>
      <c r="K11" s="3874">
        <f>J11-I11</f>
        <v>-2754</v>
      </c>
      <c r="L11" s="3874">
        <f>'[26]Phụ lục số 3-thu bs'!$T$20</f>
        <v>518000</v>
      </c>
      <c r="M11" s="3874">
        <f>[27]Sheet1!$N$12</f>
        <v>521000</v>
      </c>
      <c r="N11" s="3874">
        <f>M11-L11</f>
        <v>3000</v>
      </c>
      <c r="O11" s="3874">
        <f>'[26]Phụ lục số 3-thu bs'!$W$20</f>
        <v>537000</v>
      </c>
      <c r="P11" s="3874">
        <f>[27]Sheet1!$O$12</f>
        <v>581000</v>
      </c>
      <c r="Q11" s="3874">
        <f>P11-O11</f>
        <v>44000</v>
      </c>
      <c r="R11" s="3874">
        <f>'[26]Phụ lục số 3-thu bs'!$Z$20</f>
        <v>557000</v>
      </c>
      <c r="S11" s="3874">
        <f>+'Phụ lục số 2'!Q11</f>
        <v>590000</v>
      </c>
      <c r="T11" s="3874">
        <f>S11-R11</f>
        <v>33000</v>
      </c>
      <c r="W11" s="2908">
        <f>Y11-C11</f>
        <v>0</v>
      </c>
      <c r="X11" s="704"/>
      <c r="Y11" s="704">
        <f>[27]Sheet1!$C$12</f>
        <v>2628000</v>
      </c>
      <c r="Z11" s="704">
        <f>[27]Sheet1!$D$12</f>
        <v>2628000</v>
      </c>
      <c r="AA11" s="704">
        <f>[27]Sheet1!$E$12</f>
        <v>0</v>
      </c>
      <c r="AB11" s="704">
        <f>[27]Sheet1!$F$12</f>
        <v>2628000</v>
      </c>
      <c r="AC11" s="704">
        <f>[27]Sheet1!$G$12</f>
        <v>2628000</v>
      </c>
      <c r="AD11" s="704">
        <f>[27]Sheet1!$H$12</f>
        <v>2628000</v>
      </c>
      <c r="AE11" s="704">
        <f>[27]Sheet1!$I$12</f>
        <v>2628000</v>
      </c>
      <c r="AF11" s="704">
        <f>[27]Sheet1!$J$12</f>
        <v>2628000</v>
      </c>
      <c r="AG11" s="704">
        <f>AF11</f>
        <v>2628000</v>
      </c>
      <c r="AH11" s="3876">
        <f>AG11</f>
        <v>2628000</v>
      </c>
      <c r="AI11" s="2908"/>
      <c r="AJ11" s="2908">
        <f>AH11-C11</f>
        <v>0</v>
      </c>
      <c r="AK11" s="2908">
        <f>D11-AH11</f>
        <v>74492</v>
      </c>
      <c r="AM11" s="2908">
        <f>AK11</f>
        <v>74492</v>
      </c>
    </row>
    <row r="12" spans="1:42" s="642" customFormat="1" ht="17.399999999999999">
      <c r="A12" s="3868">
        <v>2</v>
      </c>
      <c r="B12" s="2819" t="s">
        <v>2188</v>
      </c>
      <c r="C12" s="3869">
        <f t="shared" ref="C12:E12" si="10">C13+C14</f>
        <v>3287000</v>
      </c>
      <c r="D12" s="3869">
        <f t="shared" si="10"/>
        <v>5820000</v>
      </c>
      <c r="E12" s="3877">
        <f t="shared" si="10"/>
        <v>2533000</v>
      </c>
      <c r="F12" s="3869">
        <f>F13+F14</f>
        <v>618000</v>
      </c>
      <c r="G12" s="3869">
        <f t="shared" ref="G12:T12" si="11">G13+G14</f>
        <v>750000</v>
      </c>
      <c r="H12" s="3869">
        <f t="shared" si="11"/>
        <v>132000</v>
      </c>
      <c r="I12" s="3869">
        <f t="shared" si="11"/>
        <v>637000</v>
      </c>
      <c r="J12" s="3869">
        <f t="shared" si="11"/>
        <v>800000</v>
      </c>
      <c r="K12" s="3869">
        <f t="shared" si="11"/>
        <v>163000</v>
      </c>
      <c r="L12" s="3869">
        <f t="shared" si="11"/>
        <v>656000</v>
      </c>
      <c r="M12" s="3869">
        <f t="shared" si="11"/>
        <v>900000</v>
      </c>
      <c r="N12" s="3869">
        <f t="shared" si="11"/>
        <v>244000</v>
      </c>
      <c r="O12" s="3869">
        <f t="shared" si="11"/>
        <v>676000</v>
      </c>
      <c r="P12" s="3869">
        <f t="shared" si="11"/>
        <v>1770000</v>
      </c>
      <c r="Q12" s="3869">
        <f t="shared" si="11"/>
        <v>1094000</v>
      </c>
      <c r="R12" s="3869">
        <f t="shared" si="11"/>
        <v>700000</v>
      </c>
      <c r="S12" s="3869">
        <f t="shared" si="11"/>
        <v>1600000</v>
      </c>
      <c r="T12" s="3869">
        <f t="shared" si="11"/>
        <v>900000</v>
      </c>
      <c r="W12" s="3869">
        <f t="shared" ref="W12:AK12" si="12">W13+W14</f>
        <v>0</v>
      </c>
      <c r="X12" s="3869">
        <f t="shared" si="12"/>
        <v>0</v>
      </c>
      <c r="Y12" s="3869">
        <f t="shared" si="12"/>
        <v>3287000</v>
      </c>
      <c r="Z12" s="3869">
        <f t="shared" si="12"/>
        <v>3287000</v>
      </c>
      <c r="AA12" s="3869">
        <f t="shared" si="12"/>
        <v>0</v>
      </c>
      <c r="AB12" s="3869">
        <f t="shared" si="12"/>
        <v>3287000</v>
      </c>
      <c r="AC12" s="3869">
        <f t="shared" si="12"/>
        <v>3287000</v>
      </c>
      <c r="AD12" s="3869">
        <f t="shared" si="12"/>
        <v>3287000</v>
      </c>
      <c r="AE12" s="3869">
        <f t="shared" si="12"/>
        <v>3287000</v>
      </c>
      <c r="AF12" s="3869">
        <f t="shared" si="12"/>
        <v>3287000</v>
      </c>
      <c r="AG12" s="3869">
        <f t="shared" si="12"/>
        <v>3287000</v>
      </c>
      <c r="AH12" s="3878">
        <f t="shared" si="12"/>
        <v>4386665</v>
      </c>
      <c r="AI12" s="3877"/>
      <c r="AJ12" s="3869">
        <f t="shared" si="12"/>
        <v>1099665</v>
      </c>
      <c r="AK12" s="3869">
        <f t="shared" si="12"/>
        <v>1433335</v>
      </c>
      <c r="AM12" s="3869">
        <f>AM13+AM14</f>
        <v>1599500</v>
      </c>
      <c r="AN12" s="3872"/>
      <c r="AO12" s="644">
        <f>AM12-AM11</f>
        <v>1525008</v>
      </c>
      <c r="AP12" s="644">
        <f>AO12-AP6</f>
        <v>-11084</v>
      </c>
    </row>
    <row r="13" spans="1:42">
      <c r="A13" s="3879" t="s">
        <v>29</v>
      </c>
      <c r="B13" s="2823" t="s">
        <v>2186</v>
      </c>
      <c r="C13" s="3880">
        <f>F13+I13+L13+O13+R13</f>
        <v>787000</v>
      </c>
      <c r="D13" s="3874">
        <f>G13+J13+M13+P13+S13</f>
        <v>1433500</v>
      </c>
      <c r="E13" s="3881">
        <f>D13-C13</f>
        <v>646500</v>
      </c>
      <c r="F13" s="3875">
        <f>'[26]Phụ lục số 2'!$S$15</f>
        <v>118000</v>
      </c>
      <c r="G13" s="3874">
        <f>[27]Sheet1!$L$14</f>
        <v>100000</v>
      </c>
      <c r="H13" s="3874">
        <f>G13-F13</f>
        <v>-18000</v>
      </c>
      <c r="I13" s="3874">
        <f>'[26]Phụ lục số 3-thu bs'!$P$21</f>
        <v>137000</v>
      </c>
      <c r="J13" s="3874">
        <f>[27]Sheet1!$M$14</f>
        <v>100000</v>
      </c>
      <c r="K13" s="3874">
        <f>J13-I13</f>
        <v>-37000</v>
      </c>
      <c r="L13" s="3874">
        <f>'[26]Phụ lục số 3-thu bs'!$S$21</f>
        <v>156000</v>
      </c>
      <c r="M13" s="3874">
        <f>[27]Sheet1!$N$14</f>
        <v>100000</v>
      </c>
      <c r="N13" s="3874">
        <f>M13-L13</f>
        <v>-56000</v>
      </c>
      <c r="O13" s="3874">
        <f>'[26]Phụ lục số 3-thu bs'!$V$21</f>
        <v>176000</v>
      </c>
      <c r="P13" s="3874">
        <f>[27]Sheet1!$O$14</f>
        <v>627000</v>
      </c>
      <c r="Q13" s="3874">
        <f>P13-O13</f>
        <v>451000</v>
      </c>
      <c r="R13" s="3874">
        <f>'[26]Phụ lục số 3-thu bs'!$Y$21</f>
        <v>200000</v>
      </c>
      <c r="S13" s="3874">
        <f>+'Phụ lục số 2'!P12</f>
        <v>506500</v>
      </c>
      <c r="T13" s="3874">
        <f>S13-R13</f>
        <v>306500</v>
      </c>
      <c r="W13" s="2908">
        <f>Y13-C13</f>
        <v>-287000</v>
      </c>
      <c r="X13" s="704"/>
      <c r="Y13" s="704">
        <f>[27]Sheet1!$C$14</f>
        <v>500000</v>
      </c>
      <c r="Z13" s="704">
        <f>[27]Sheet1!$D$14</f>
        <v>500000</v>
      </c>
      <c r="AA13" s="3882">
        <f>[27]Sheet1!$E$14</f>
        <v>0</v>
      </c>
      <c r="AB13" s="704">
        <f>[27]Sheet1!$F$14</f>
        <v>500000</v>
      </c>
      <c r="AC13" s="704">
        <f>[27]Sheet1!$G$14</f>
        <v>500000</v>
      </c>
      <c r="AD13" s="704">
        <f>[27]Sheet1!$H$14</f>
        <v>500000</v>
      </c>
      <c r="AE13" s="704">
        <f>[27]Sheet1!$I$14</f>
        <v>500000</v>
      </c>
      <c r="AF13" s="704">
        <f>[27]Sheet1!$J$14</f>
        <v>500000</v>
      </c>
      <c r="AG13" s="704">
        <f>AF13</f>
        <v>500000</v>
      </c>
      <c r="AH13" s="3883">
        <f>AG13+4386665-AH14-500000</f>
        <v>1093665</v>
      </c>
      <c r="AI13" s="3883"/>
      <c r="AJ13" s="2908">
        <f>AH13-C13</f>
        <v>306665</v>
      </c>
      <c r="AK13" s="2908">
        <f>D13-AH13</f>
        <v>339835</v>
      </c>
      <c r="AM13" s="667">
        <f>AK14</f>
        <v>1093500</v>
      </c>
      <c r="AN13" s="667">
        <f>1143000-AM13</f>
        <v>49500</v>
      </c>
    </row>
    <row r="14" spans="1:42">
      <c r="A14" s="3873" t="s">
        <v>29</v>
      </c>
      <c r="B14" s="2823" t="s">
        <v>2187</v>
      </c>
      <c r="C14" s="3880">
        <f>F14+I14+L14+O14+R14</f>
        <v>2500000</v>
      </c>
      <c r="D14" s="3874">
        <f>G14+J14+M14+P14+S14</f>
        <v>4386500</v>
      </c>
      <c r="E14" s="3881">
        <f>D14-C14</f>
        <v>1886500</v>
      </c>
      <c r="F14" s="3875">
        <f>'[26]Phụ lục số 2'!$T$15</f>
        <v>500000</v>
      </c>
      <c r="G14" s="3874">
        <f>[27]Sheet1!$L$15</f>
        <v>650000</v>
      </c>
      <c r="H14" s="3874">
        <f>G14-F14</f>
        <v>150000</v>
      </c>
      <c r="I14" s="3874">
        <f>'[26]Phụ lục số 3-thu bs'!$Q$21</f>
        <v>500000</v>
      </c>
      <c r="J14" s="3874">
        <f>[27]Sheet1!$M$15</f>
        <v>700000</v>
      </c>
      <c r="K14" s="3874">
        <f>J14-I14</f>
        <v>200000</v>
      </c>
      <c r="L14" s="3874">
        <f>'[26]Phụ lục số 3-thu bs'!$T$21</f>
        <v>500000</v>
      </c>
      <c r="M14" s="3874">
        <f>[27]Sheet1!$N$15</f>
        <v>800000</v>
      </c>
      <c r="N14" s="3874">
        <f>M14-L14</f>
        <v>300000</v>
      </c>
      <c r="O14" s="3874">
        <f>'[26]Phụ lục số 3-thu bs'!$W$21</f>
        <v>500000</v>
      </c>
      <c r="P14" s="3874">
        <f>[27]Sheet1!$O$15</f>
        <v>1143000</v>
      </c>
      <c r="Q14" s="3874">
        <f>P14-O14</f>
        <v>643000</v>
      </c>
      <c r="R14" s="3874">
        <f>'[26]Phụ lục số 3-thu bs'!$Z$21</f>
        <v>500000</v>
      </c>
      <c r="S14" s="3874">
        <f>+'Phụ lục số 2'!Q12</f>
        <v>1093500</v>
      </c>
      <c r="T14" s="3874">
        <f>S14-R14</f>
        <v>593500</v>
      </c>
      <c r="W14" s="2908">
        <f>Y14-C14</f>
        <v>287000</v>
      </c>
      <c r="X14" s="704"/>
      <c r="Y14" s="704">
        <f>[27]Sheet1!$C$15</f>
        <v>2787000</v>
      </c>
      <c r="Z14" s="704">
        <f>[27]Sheet1!$D$15</f>
        <v>2787000</v>
      </c>
      <c r="AA14" s="704">
        <f>[27]Sheet1!$E$15</f>
        <v>0</v>
      </c>
      <c r="AB14" s="704">
        <f>[27]Sheet1!$F$15</f>
        <v>2787000</v>
      </c>
      <c r="AC14" s="704">
        <f>[27]Sheet1!$G$15</f>
        <v>2787000</v>
      </c>
      <c r="AD14" s="704">
        <f>[27]Sheet1!$H$15</f>
        <v>2787000</v>
      </c>
      <c r="AE14" s="704">
        <f>[27]Sheet1!$I$15</f>
        <v>2787000</v>
      </c>
      <c r="AF14" s="704">
        <f>[27]Sheet1!$J$15</f>
        <v>2787000</v>
      </c>
      <c r="AG14" s="704">
        <f>AF14</f>
        <v>2787000</v>
      </c>
      <c r="AH14" s="3883">
        <f>AG14+506000</f>
        <v>3293000</v>
      </c>
      <c r="AI14" s="3883"/>
      <c r="AJ14" s="2908">
        <f>AH14-C14</f>
        <v>793000</v>
      </c>
      <c r="AK14" s="2908">
        <f>D14-AH14</f>
        <v>1093500</v>
      </c>
      <c r="AM14" s="667">
        <f>AH14-AG14</f>
        <v>506000</v>
      </c>
      <c r="AN14" s="667"/>
    </row>
    <row r="15" spans="1:42" s="642" customFormat="1" ht="17.399999999999999">
      <c r="A15" s="3868">
        <v>3</v>
      </c>
      <c r="B15" s="2819" t="s">
        <v>145</v>
      </c>
      <c r="C15" s="3869">
        <f t="shared" ref="C15:E15" si="13">C16</f>
        <v>7525000</v>
      </c>
      <c r="D15" s="3869">
        <f t="shared" si="13"/>
        <v>8650000</v>
      </c>
      <c r="E15" s="3869">
        <f t="shared" si="13"/>
        <v>1125000</v>
      </c>
      <c r="F15" s="3869">
        <f>F16</f>
        <v>1475000</v>
      </c>
      <c r="G15" s="3869">
        <f t="shared" ref="G15:T15" si="14">G16</f>
        <v>1500000</v>
      </c>
      <c r="H15" s="3869">
        <f t="shared" si="14"/>
        <v>25000</v>
      </c>
      <c r="I15" s="3869">
        <f t="shared" si="14"/>
        <v>1490000</v>
      </c>
      <c r="J15" s="3869">
        <f t="shared" si="14"/>
        <v>1500000</v>
      </c>
      <c r="K15" s="3869">
        <f t="shared" si="14"/>
        <v>10000</v>
      </c>
      <c r="L15" s="3869">
        <f t="shared" si="14"/>
        <v>1505000</v>
      </c>
      <c r="M15" s="3869">
        <f t="shared" si="14"/>
        <v>1600000</v>
      </c>
      <c r="N15" s="3869">
        <f t="shared" si="14"/>
        <v>95000</v>
      </c>
      <c r="O15" s="3869">
        <f t="shared" si="14"/>
        <v>1520000</v>
      </c>
      <c r="P15" s="3869">
        <f t="shared" si="14"/>
        <v>1950000</v>
      </c>
      <c r="Q15" s="3869">
        <f t="shared" si="14"/>
        <v>430000</v>
      </c>
      <c r="R15" s="3869">
        <f t="shared" si="14"/>
        <v>1535000</v>
      </c>
      <c r="S15" s="3869">
        <f t="shared" si="14"/>
        <v>2100000</v>
      </c>
      <c r="T15" s="3869">
        <f t="shared" si="14"/>
        <v>565000</v>
      </c>
      <c r="W15" s="3869">
        <f t="shared" ref="W15:AK15" si="15">W16</f>
        <v>0</v>
      </c>
      <c r="X15" s="3869">
        <f t="shared" si="15"/>
        <v>0</v>
      </c>
      <c r="Y15" s="3869">
        <f t="shared" si="15"/>
        <v>7525000</v>
      </c>
      <c r="Z15" s="3869">
        <f t="shared" si="15"/>
        <v>6564785</v>
      </c>
      <c r="AA15" s="3869">
        <f t="shared" si="15"/>
        <v>411493</v>
      </c>
      <c r="AB15" s="3869">
        <f t="shared" si="15"/>
        <v>7525000</v>
      </c>
      <c r="AC15" s="3869">
        <f t="shared" si="15"/>
        <v>7525000</v>
      </c>
      <c r="AD15" s="3869">
        <f t="shared" si="15"/>
        <v>7525000</v>
      </c>
      <c r="AE15" s="3869">
        <f t="shared" si="15"/>
        <v>7525000</v>
      </c>
      <c r="AF15" s="3869">
        <f t="shared" si="15"/>
        <v>7525000</v>
      </c>
      <c r="AG15" s="3869">
        <f t="shared" si="15"/>
        <v>7525000</v>
      </c>
      <c r="AH15" s="3870">
        <f t="shared" si="15"/>
        <v>7525000</v>
      </c>
      <c r="AI15" s="3869"/>
      <c r="AJ15" s="3869">
        <f t="shared" si="15"/>
        <v>0</v>
      </c>
      <c r="AK15" s="3869">
        <f t="shared" si="15"/>
        <v>1125000</v>
      </c>
    </row>
    <row r="16" spans="1:42">
      <c r="A16" s="3879" t="s">
        <v>29</v>
      </c>
      <c r="B16" s="2823" t="s">
        <v>2186</v>
      </c>
      <c r="C16" s="3874">
        <f>F16+I16+L16+O16+R16</f>
        <v>7525000</v>
      </c>
      <c r="D16" s="3874">
        <f>G16+J16+M16+P16+S16</f>
        <v>8650000</v>
      </c>
      <c r="E16" s="3874">
        <f>D16-C16</f>
        <v>1125000</v>
      </c>
      <c r="F16" s="3875">
        <f>'[26]Phụ lục số 2'!$S$16</f>
        <v>1475000</v>
      </c>
      <c r="G16" s="3874">
        <f>[27]Sheet1!$L$16</f>
        <v>1500000</v>
      </c>
      <c r="H16" s="3874">
        <f>G16-F16</f>
        <v>25000</v>
      </c>
      <c r="I16" s="3874">
        <f>'[26]Phụ lục số 3-thu bs'!$P$22</f>
        <v>1490000</v>
      </c>
      <c r="J16" s="3874">
        <f>[27]Sheet1!$M$16</f>
        <v>1500000</v>
      </c>
      <c r="K16" s="3874">
        <f>J16-I16</f>
        <v>10000</v>
      </c>
      <c r="L16" s="3874">
        <f>'[26]Phụ lục số 3-thu bs'!$S$22</f>
        <v>1505000</v>
      </c>
      <c r="M16" s="3874">
        <f>[27]Sheet1!$N$16</f>
        <v>1600000</v>
      </c>
      <c r="N16" s="3874">
        <f>M16-L16</f>
        <v>95000</v>
      </c>
      <c r="O16" s="3874">
        <f>'[26]Phụ lục số 3-thu bs'!$V$22</f>
        <v>1520000</v>
      </c>
      <c r="P16" s="3874">
        <f>[27]Sheet1!$O$16+(100000)</f>
        <v>1950000</v>
      </c>
      <c r="Q16" s="3874">
        <f>P16-O16</f>
        <v>430000</v>
      </c>
      <c r="R16" s="3874">
        <f>'[26]Phụ lục số 3-thu bs'!$Y$22</f>
        <v>1535000</v>
      </c>
      <c r="S16" s="3874">
        <f>+'Phụ lục số 2'!P14</f>
        <v>2100000</v>
      </c>
      <c r="T16" s="3874">
        <f>S16-R16</f>
        <v>565000</v>
      </c>
      <c r="W16" s="2908">
        <f>Y16-C16</f>
        <v>0</v>
      </c>
      <c r="X16" s="704"/>
      <c r="Y16" s="704">
        <f>[27]Sheet1!$C$16</f>
        <v>7525000</v>
      </c>
      <c r="Z16" s="704">
        <f>[27]Sheet1!$D$16</f>
        <v>6564785</v>
      </c>
      <c r="AA16" s="704">
        <f>[27]Sheet1!$E$16</f>
        <v>411493</v>
      </c>
      <c r="AB16" s="704">
        <f>[27]Sheet1!$F$16</f>
        <v>7525000</v>
      </c>
      <c r="AC16" s="704">
        <f>[27]Sheet1!$G$16</f>
        <v>7525000</v>
      </c>
      <c r="AD16" s="704">
        <f>[27]Sheet1!$H$16</f>
        <v>7525000</v>
      </c>
      <c r="AE16" s="704">
        <f>[27]Sheet1!$I$16</f>
        <v>7525000</v>
      </c>
      <c r="AF16" s="704">
        <f>[27]Sheet1!$J$16</f>
        <v>7525000</v>
      </c>
      <c r="AG16" s="704">
        <f>AF16</f>
        <v>7525000</v>
      </c>
      <c r="AH16" s="3876">
        <f>AG16</f>
        <v>7525000</v>
      </c>
      <c r="AI16" s="2908"/>
      <c r="AJ16" s="2908">
        <f>AH16-C16</f>
        <v>0</v>
      </c>
      <c r="AK16" s="2908">
        <f>D16-AH16</f>
        <v>1125000</v>
      </c>
      <c r="AM16" s="667"/>
    </row>
    <row r="17" spans="1:39">
      <c r="A17" s="3873" t="s">
        <v>29</v>
      </c>
      <c r="B17" s="2823" t="s">
        <v>2187</v>
      </c>
      <c r="C17" s="3874">
        <f>F17+I17+L17+O17+R17</f>
        <v>0</v>
      </c>
      <c r="D17" s="3874">
        <f>G17+J17+M17+P17+S17</f>
        <v>0</v>
      </c>
      <c r="E17" s="3874">
        <f>D17-C17</f>
        <v>0</v>
      </c>
      <c r="F17" s="3874"/>
      <c r="G17" s="3874"/>
      <c r="H17" s="3874"/>
      <c r="I17" s="3874"/>
      <c r="J17" s="3874"/>
      <c r="K17" s="3874"/>
      <c r="L17" s="3874"/>
      <c r="M17" s="3874"/>
      <c r="N17" s="3874"/>
      <c r="O17" s="3874"/>
      <c r="P17" s="3874"/>
      <c r="Q17" s="3874"/>
      <c r="R17" s="3874"/>
      <c r="S17" s="3874"/>
      <c r="T17" s="3874"/>
      <c r="W17" s="2929"/>
      <c r="X17" s="704"/>
      <c r="Y17" s="704"/>
      <c r="Z17" s="704"/>
      <c r="AA17" s="704"/>
      <c r="AB17" s="704"/>
      <c r="AC17" s="704"/>
      <c r="AD17" s="704"/>
      <c r="AE17" s="704"/>
      <c r="AF17" s="704"/>
      <c r="AG17" s="2823"/>
      <c r="AH17" s="3876"/>
      <c r="AI17" s="2929"/>
      <c r="AJ17" s="2929"/>
      <c r="AK17" s="2929"/>
    </row>
    <row r="18" spans="1:39" s="386" customFormat="1" ht="17.399999999999999">
      <c r="A18" s="3879">
        <v>4</v>
      </c>
      <c r="B18" s="2819" t="s">
        <v>2189</v>
      </c>
      <c r="C18" s="3880">
        <f t="shared" ref="C18:E18" si="16">SUM(C19:C20)</f>
        <v>0</v>
      </c>
      <c r="D18" s="3880">
        <f t="shared" si="16"/>
        <v>506831.16200000001</v>
      </c>
      <c r="E18" s="3880">
        <f t="shared" si="16"/>
        <v>506831.16200000001</v>
      </c>
      <c r="F18" s="3880">
        <f>SUM(F19:F20)</f>
        <v>0</v>
      </c>
      <c r="G18" s="3880">
        <f t="shared" ref="G18:T18" si="17">SUM(G19:G20)</f>
        <v>0</v>
      </c>
      <c r="H18" s="3880">
        <f t="shared" si="17"/>
        <v>0</v>
      </c>
      <c r="I18" s="3880">
        <f t="shared" si="17"/>
        <v>0</v>
      </c>
      <c r="J18" s="3880">
        <f t="shared" si="17"/>
        <v>38777</v>
      </c>
      <c r="K18" s="3880">
        <f t="shared" si="17"/>
        <v>38777</v>
      </c>
      <c r="L18" s="3880">
        <f t="shared" si="17"/>
        <v>0</v>
      </c>
      <c r="M18" s="3880">
        <f t="shared" si="17"/>
        <v>0</v>
      </c>
      <c r="N18" s="3880">
        <f t="shared" si="17"/>
        <v>0</v>
      </c>
      <c r="O18" s="3880">
        <f t="shared" si="17"/>
        <v>0</v>
      </c>
      <c r="P18" s="3880">
        <f t="shared" si="17"/>
        <v>468054.16200000001</v>
      </c>
      <c r="Q18" s="3880">
        <f t="shared" si="17"/>
        <v>468054.16200000001</v>
      </c>
      <c r="R18" s="3880">
        <f t="shared" si="17"/>
        <v>0</v>
      </c>
      <c r="S18" s="3880">
        <f t="shared" si="17"/>
        <v>0</v>
      </c>
      <c r="T18" s="3880">
        <f t="shared" si="17"/>
        <v>0</v>
      </c>
      <c r="W18" s="2832"/>
      <c r="X18" s="3880">
        <f t="shared" ref="X18:AK18" si="18">SUM(X19:X20)</f>
        <v>0</v>
      </c>
      <c r="Y18" s="3880">
        <f t="shared" si="18"/>
        <v>0</v>
      </c>
      <c r="Z18" s="3880">
        <f t="shared" si="18"/>
        <v>0</v>
      </c>
      <c r="AA18" s="3880">
        <f t="shared" si="18"/>
        <v>0</v>
      </c>
      <c r="AB18" s="3880">
        <f t="shared" si="18"/>
        <v>38777</v>
      </c>
      <c r="AC18" s="3880">
        <f t="shared" si="18"/>
        <v>38777</v>
      </c>
      <c r="AD18" s="3880">
        <f t="shared" si="18"/>
        <v>38777</v>
      </c>
      <c r="AE18" s="3880">
        <f t="shared" si="18"/>
        <v>38777</v>
      </c>
      <c r="AF18" s="3880">
        <f t="shared" si="18"/>
        <v>38777</v>
      </c>
      <c r="AG18" s="3880">
        <f t="shared" si="18"/>
        <v>38777</v>
      </c>
      <c r="AH18" s="3884">
        <f t="shared" si="18"/>
        <v>38777</v>
      </c>
      <c r="AI18" s="3880"/>
      <c r="AJ18" s="3880">
        <f t="shared" si="18"/>
        <v>38777</v>
      </c>
      <c r="AK18" s="3880">
        <f t="shared" si="18"/>
        <v>468054.16200000001</v>
      </c>
      <c r="AM18" s="660"/>
    </row>
    <row r="19" spans="1:39">
      <c r="A19" s="3879" t="s">
        <v>29</v>
      </c>
      <c r="B19" s="2823" t="s">
        <v>2186</v>
      </c>
      <c r="C19" s="3874">
        <f>F19+I19+L19+O19+R19</f>
        <v>0</v>
      </c>
      <c r="D19" s="3874">
        <f>G19+J19+M19+P19+S19</f>
        <v>506831.16200000001</v>
      </c>
      <c r="E19" s="3874">
        <f>D19-C19</f>
        <v>506831.16200000001</v>
      </c>
      <c r="F19" s="3874"/>
      <c r="G19" s="3874"/>
      <c r="H19" s="3874">
        <f>G19-F19</f>
        <v>0</v>
      </c>
      <c r="I19" s="3874"/>
      <c r="J19" s="3874">
        <f>[27]Sheet1!$M$22</f>
        <v>38777</v>
      </c>
      <c r="K19" s="3874">
        <f>J19-I19</f>
        <v>38777</v>
      </c>
      <c r="L19" s="3874"/>
      <c r="M19" s="3874">
        <f>[27]Sheet1!$N$22</f>
        <v>0</v>
      </c>
      <c r="N19" s="3874">
        <f>M19-L19</f>
        <v>0</v>
      </c>
      <c r="O19" s="3874"/>
      <c r="P19" s="3874">
        <f>+'Phụ lục số 2'!F16+'Phụ lục số 2'!F18</f>
        <v>468054.16200000001</v>
      </c>
      <c r="Q19" s="3874">
        <f>P19-O19</f>
        <v>468054.16200000001</v>
      </c>
      <c r="R19" s="3874"/>
      <c r="S19" s="3874">
        <f>+'Phụ lục số 2'!P18</f>
        <v>0</v>
      </c>
      <c r="T19" s="3874">
        <f>S19-R19</f>
        <v>0</v>
      </c>
      <c r="W19" s="2929"/>
      <c r="X19" s="704"/>
      <c r="Y19" s="704"/>
      <c r="Z19" s="704"/>
      <c r="AA19" s="704"/>
      <c r="AB19" s="704">
        <f>[27]Sheet1!$F$22</f>
        <v>38777</v>
      </c>
      <c r="AC19" s="704">
        <f t="shared" ref="AC19:AH19" si="19">AB19</f>
        <v>38777</v>
      </c>
      <c r="AD19" s="704">
        <f t="shared" si="19"/>
        <v>38777</v>
      </c>
      <c r="AE19" s="704">
        <f t="shared" si="19"/>
        <v>38777</v>
      </c>
      <c r="AF19" s="704">
        <f t="shared" si="19"/>
        <v>38777</v>
      </c>
      <c r="AG19" s="704">
        <f t="shared" si="19"/>
        <v>38777</v>
      </c>
      <c r="AH19" s="3876">
        <f t="shared" si="19"/>
        <v>38777</v>
      </c>
      <c r="AI19" s="2908"/>
      <c r="AJ19" s="2908">
        <f>AH19-C19</f>
        <v>38777</v>
      </c>
      <c r="AK19" s="2908">
        <f>D19-AH19</f>
        <v>468054.16200000001</v>
      </c>
    </row>
    <row r="20" spans="1:39" s="386" customFormat="1">
      <c r="A20" s="3873" t="s">
        <v>29</v>
      </c>
      <c r="B20" s="2823" t="s">
        <v>2187</v>
      </c>
      <c r="C20" s="3874">
        <f>F20+I20+L20+O20+R20</f>
        <v>0</v>
      </c>
      <c r="D20" s="3874">
        <f>G20+J20+M20+P20+S20</f>
        <v>0</v>
      </c>
      <c r="E20" s="3874">
        <f>D20-C20</f>
        <v>0</v>
      </c>
      <c r="F20" s="3880"/>
      <c r="G20" s="3880"/>
      <c r="H20" s="3874">
        <f>G20-F20</f>
        <v>0</v>
      </c>
      <c r="I20" s="3880"/>
      <c r="J20" s="3880"/>
      <c r="K20" s="3874">
        <f>J20-I20</f>
        <v>0</v>
      </c>
      <c r="L20" s="3880"/>
      <c r="M20" s="3880"/>
      <c r="N20" s="3874">
        <f>M20-L20</f>
        <v>0</v>
      </c>
      <c r="O20" s="3880"/>
      <c r="P20" s="3880"/>
      <c r="Q20" s="3874">
        <f>P20-O20</f>
        <v>0</v>
      </c>
      <c r="R20" s="3880"/>
      <c r="S20" s="3880"/>
      <c r="T20" s="3874">
        <f>S20-R20</f>
        <v>0</v>
      </c>
      <c r="W20" s="2832"/>
      <c r="X20" s="3885"/>
      <c r="Y20" s="3885"/>
      <c r="Z20" s="3885"/>
      <c r="AA20" s="3885"/>
      <c r="AB20" s="3885"/>
      <c r="AC20" s="3885"/>
      <c r="AD20" s="3885"/>
      <c r="AE20" s="3885"/>
      <c r="AF20" s="3885"/>
      <c r="AG20" s="2819"/>
      <c r="AH20" s="3886"/>
      <c r="AI20" s="2832"/>
      <c r="AJ20" s="2832"/>
      <c r="AK20" s="2832"/>
    </row>
    <row r="21" spans="1:39" s="380" customFormat="1" ht="17.399999999999999">
      <c r="A21" s="683" t="s">
        <v>33</v>
      </c>
      <c r="B21" s="2779" t="s">
        <v>2190</v>
      </c>
      <c r="C21" s="3864">
        <f>C22+C27+C26</f>
        <v>10488352</v>
      </c>
      <c r="D21" s="3864">
        <f t="shared" ref="D21:T21" si="20">D22+D27+D26</f>
        <v>8999732</v>
      </c>
      <c r="E21" s="3864">
        <f t="shared" si="20"/>
        <v>-1488620</v>
      </c>
      <c r="F21" s="3864">
        <f t="shared" si="20"/>
        <v>1813338</v>
      </c>
      <c r="G21" s="3864">
        <f t="shared" si="20"/>
        <v>1680276</v>
      </c>
      <c r="H21" s="3864">
        <f t="shared" si="20"/>
        <v>-133062</v>
      </c>
      <c r="I21" s="3864">
        <f t="shared" si="20"/>
        <v>2253338</v>
      </c>
      <c r="J21" s="3864">
        <f t="shared" si="20"/>
        <v>2383473</v>
      </c>
      <c r="K21" s="3864">
        <f t="shared" si="20"/>
        <v>-1039865</v>
      </c>
      <c r="L21" s="3864">
        <f t="shared" si="20"/>
        <v>2830338</v>
      </c>
      <c r="M21" s="3864">
        <f t="shared" si="20"/>
        <v>2947007</v>
      </c>
      <c r="N21" s="3864">
        <f t="shared" si="20"/>
        <v>-233331</v>
      </c>
      <c r="O21" s="3864">
        <f t="shared" si="20"/>
        <v>3591338</v>
      </c>
      <c r="P21" s="3864">
        <f t="shared" si="20"/>
        <v>1988976</v>
      </c>
      <c r="Q21" s="3864">
        <f t="shared" si="20"/>
        <v>-1602362</v>
      </c>
      <c r="R21" s="3864">
        <f t="shared" si="20"/>
        <v>0</v>
      </c>
      <c r="S21" s="3864">
        <f t="shared" si="20"/>
        <v>0</v>
      </c>
      <c r="T21" s="3864">
        <f t="shared" si="20"/>
        <v>0</v>
      </c>
      <c r="W21" s="3864">
        <f t="shared" ref="W21:AH21" si="21">W22+W27+W26</f>
        <v>-3875197</v>
      </c>
      <c r="X21" s="3864">
        <f t="shared" si="21"/>
        <v>0</v>
      </c>
      <c r="Y21" s="3864">
        <f t="shared" si="21"/>
        <v>6613155</v>
      </c>
      <c r="Z21" s="3864">
        <f t="shared" si="21"/>
        <v>4608155</v>
      </c>
      <c r="AA21" s="3864">
        <f t="shared" si="21"/>
        <v>985000</v>
      </c>
      <c r="AB21" s="3864">
        <f t="shared" si="21"/>
        <v>7361032</v>
      </c>
      <c r="AC21" s="3864">
        <f t="shared" si="21"/>
        <v>8241532</v>
      </c>
      <c r="AD21" s="3864">
        <f t="shared" si="21"/>
        <v>8306312</v>
      </c>
      <c r="AE21" s="3864">
        <f t="shared" si="21"/>
        <v>8392312</v>
      </c>
      <c r="AF21" s="3887">
        <f t="shared" si="21"/>
        <v>9817112</v>
      </c>
      <c r="AG21" s="3864">
        <f t="shared" si="21"/>
        <v>10067112</v>
      </c>
      <c r="AH21" s="3865">
        <f t="shared" si="21"/>
        <v>10067112</v>
      </c>
      <c r="AI21" s="3864"/>
      <c r="AJ21" s="3887">
        <f t="shared" ref="AJ21:AK21" si="22">AJ22+AJ27+AJ26</f>
        <v>-421240</v>
      </c>
      <c r="AK21" s="3887">
        <f t="shared" si="22"/>
        <v>-1067380</v>
      </c>
    </row>
    <row r="22" spans="1:39" s="596" customFormat="1">
      <c r="A22" s="683">
        <v>1</v>
      </c>
      <c r="B22" s="43" t="s">
        <v>2191</v>
      </c>
      <c r="C22" s="3888">
        <f>SUM(C23:C25)</f>
        <v>9923000</v>
      </c>
      <c r="D22" s="3888">
        <f>SUM(D23:D25)</f>
        <v>8342868</v>
      </c>
      <c r="E22" s="3888">
        <f t="shared" ref="E22" si="23">SUM(E23:E25)</f>
        <v>-1580132</v>
      </c>
      <c r="F22" s="3888">
        <f>SUM(F23:F25)</f>
        <v>1672000</v>
      </c>
      <c r="G22" s="3888">
        <f t="shared" ref="G22:K22" si="24">SUM(G23:G25)</f>
        <v>1263824</v>
      </c>
      <c r="H22" s="44">
        <f t="shared" si="24"/>
        <v>-408176</v>
      </c>
      <c r="I22" s="3888">
        <f t="shared" si="24"/>
        <v>2112000</v>
      </c>
      <c r="J22" s="3888">
        <f t="shared" si="24"/>
        <v>2297000</v>
      </c>
      <c r="K22" s="3888">
        <f t="shared" si="24"/>
        <v>-985000</v>
      </c>
      <c r="L22" s="3888">
        <f>SUM(L23:L25)</f>
        <v>2689000</v>
      </c>
      <c r="M22" s="3888">
        <f t="shared" ref="M22:N22" si="25">SUM(M23:M25)</f>
        <v>2865537</v>
      </c>
      <c r="N22" s="3888">
        <f t="shared" si="25"/>
        <v>-173463</v>
      </c>
      <c r="O22" s="3888">
        <f>SUM(O23:O25)</f>
        <v>3450000</v>
      </c>
      <c r="P22" s="3888">
        <f t="shared" ref="P22:Q22" si="26">SUM(P23:P25)</f>
        <v>1916507</v>
      </c>
      <c r="Q22" s="3888">
        <f t="shared" si="26"/>
        <v>-1533493</v>
      </c>
      <c r="R22" s="3888">
        <f>SUM(R23:R25)</f>
        <v>0</v>
      </c>
      <c r="S22" s="3888">
        <f t="shared" ref="S22:T22" si="27">SUM(S23:S25)</f>
        <v>0</v>
      </c>
      <c r="T22" s="3888">
        <f t="shared" si="27"/>
        <v>0</v>
      </c>
      <c r="W22" s="3888">
        <f t="shared" ref="W22:AF22" si="28">SUM(W23:W25)</f>
        <v>-4116845</v>
      </c>
      <c r="X22" s="3888">
        <f>SUM(X23:X25)</f>
        <v>0</v>
      </c>
      <c r="Y22" s="3888">
        <f t="shared" si="28"/>
        <v>5806155</v>
      </c>
      <c r="Z22" s="3888">
        <f t="shared" si="28"/>
        <v>3801155</v>
      </c>
      <c r="AA22" s="3888">
        <f t="shared" si="28"/>
        <v>985000</v>
      </c>
      <c r="AB22" s="3888">
        <f t="shared" si="28"/>
        <v>6554032</v>
      </c>
      <c r="AC22" s="3888">
        <f t="shared" si="28"/>
        <v>7434532</v>
      </c>
      <c r="AD22" s="3888">
        <f t="shared" si="28"/>
        <v>7499312</v>
      </c>
      <c r="AE22" s="3888">
        <f t="shared" si="28"/>
        <v>7585312</v>
      </c>
      <c r="AF22" s="3888">
        <f t="shared" si="28"/>
        <v>9010112</v>
      </c>
      <c r="AG22" s="3888">
        <f>SUM(AG23:AG25)</f>
        <v>9260112</v>
      </c>
      <c r="AH22" s="3889">
        <f>SUM(AH23:AH25)</f>
        <v>9260112</v>
      </c>
      <c r="AI22" s="3888"/>
      <c r="AJ22" s="3888">
        <f t="shared" ref="AJ22:AK22" si="29">SUM(AJ23:AJ25)</f>
        <v>-662888</v>
      </c>
      <c r="AK22" s="3888">
        <f t="shared" si="29"/>
        <v>-917244</v>
      </c>
    </row>
    <row r="23" spans="1:39">
      <c r="A23" s="3873" t="s">
        <v>29</v>
      </c>
      <c r="B23" s="2823" t="s">
        <v>2192</v>
      </c>
      <c r="C23" s="3874">
        <f>F23+I23+L23+O23+R23</f>
        <v>5584000</v>
      </c>
      <c r="D23" s="3874">
        <f t="shared" ref="D23" si="30">G23+J23+M23+P23+S23</f>
        <v>6358194</v>
      </c>
      <c r="E23" s="3874">
        <f>D23-C23</f>
        <v>774194</v>
      </c>
      <c r="F23" s="3874">
        <f>'[26]Phụ lục số 2'!$S$39</f>
        <v>1070000</v>
      </c>
      <c r="G23" s="704">
        <f>310000+953824</f>
        <v>1263824</v>
      </c>
      <c r="H23" s="704">
        <f>G23-F23</f>
        <v>193824</v>
      </c>
      <c r="I23" s="3874">
        <f>'[26]Phụ lục số 2'!$U$39</f>
        <v>1263000</v>
      </c>
      <c r="J23" s="3874">
        <v>1127000</v>
      </c>
      <c r="K23" s="3874">
        <f>J23-I23</f>
        <v>-136000</v>
      </c>
      <c r="L23" s="3874">
        <f>'[26]Phụ lục số 2'!$Z$39</f>
        <v>1491000</v>
      </c>
      <c r="M23" s="3874">
        <f>(1115300+1170500)</f>
        <v>2285800</v>
      </c>
      <c r="N23" s="3874">
        <f>M23-L23</f>
        <v>794800</v>
      </c>
      <c r="O23" s="3874">
        <f>'[26]Phụ lục số 2'!$AE$39</f>
        <v>1760000</v>
      </c>
      <c r="P23" s="3874">
        <f>'[2]Phụ lục số 8'!C9+'[2]Phụ lục số 8'!C13</f>
        <v>1681570</v>
      </c>
      <c r="Q23" s="3874">
        <f>P23-O23</f>
        <v>-78430</v>
      </c>
      <c r="R23" s="3874"/>
      <c r="S23" s="3874">
        <f>R23</f>
        <v>0</v>
      </c>
      <c r="T23" s="3874">
        <f>S23-R23</f>
        <v>0</v>
      </c>
      <c r="W23" s="3888">
        <f>Y23-C23</f>
        <v>222155</v>
      </c>
      <c r="X23" s="704"/>
      <c r="Y23" s="704">
        <v>5806155</v>
      </c>
      <c r="Z23" s="704">
        <v>3801155</v>
      </c>
      <c r="AA23" s="704">
        <v>985000</v>
      </c>
      <c r="AB23" s="3890">
        <f>6264032-AB25</f>
        <v>5806155</v>
      </c>
      <c r="AC23" s="3890">
        <f>AB23</f>
        <v>5806155</v>
      </c>
      <c r="AD23" s="3890">
        <f>AC23</f>
        <v>5806155</v>
      </c>
      <c r="AE23" s="3890">
        <f>AD23</f>
        <v>5806155</v>
      </c>
      <c r="AF23" s="3890">
        <f>AE23+1410800</f>
        <v>7216955</v>
      </c>
      <c r="AG23" s="704">
        <f>AF23</f>
        <v>7216955</v>
      </c>
      <c r="AH23" s="3876">
        <f>AG23</f>
        <v>7216955</v>
      </c>
      <c r="AI23" s="2908"/>
      <c r="AJ23" s="2908">
        <f>AH23-C23</f>
        <v>1632955</v>
      </c>
      <c r="AK23" s="2908">
        <f>D23-AH23</f>
        <v>-858761</v>
      </c>
      <c r="AM23" s="667"/>
    </row>
    <row r="24" spans="1:39">
      <c r="A24" s="3873" t="s">
        <v>29</v>
      </c>
      <c r="B24" s="2823" t="s">
        <v>2193</v>
      </c>
      <c r="C24" s="3874">
        <f>F24+I24+L24+O24+R24</f>
        <v>0</v>
      </c>
      <c r="D24" s="3874">
        <f>G24+J24+M24+P24+S24</f>
        <v>1520000</v>
      </c>
      <c r="E24" s="3874">
        <f>D24-C24</f>
        <v>1520000</v>
      </c>
      <c r="F24" s="3874"/>
      <c r="G24" s="704"/>
      <c r="H24" s="704">
        <f t="shared" ref="H24:H27" si="31">G24-F24</f>
        <v>0</v>
      </c>
      <c r="I24" s="3874"/>
      <c r="J24" s="3891">
        <f>290000+135000+745000</f>
        <v>1170000</v>
      </c>
      <c r="K24" s="3874"/>
      <c r="L24" s="3874"/>
      <c r="M24" s="3891">
        <f>86000+14000+250000</f>
        <v>350000</v>
      </c>
      <c r="N24" s="3874"/>
      <c r="O24" s="3874"/>
      <c r="P24" s="3874"/>
      <c r="Q24" s="3874">
        <f t="shared" ref="Q24:Q27" si="32">P24-O24</f>
        <v>0</v>
      </c>
      <c r="R24" s="3874"/>
      <c r="S24" s="3874"/>
      <c r="T24" s="3874">
        <f t="shared" ref="T24:T27" si="33">S24-R24</f>
        <v>0</v>
      </c>
      <c r="W24" s="3888">
        <f t="shared" ref="W24:W27" si="34">Y24-C24</f>
        <v>0</v>
      </c>
      <c r="X24" s="704"/>
      <c r="Y24" s="704"/>
      <c r="Z24" s="704"/>
      <c r="AA24" s="704"/>
      <c r="AB24" s="704">
        <v>290000</v>
      </c>
      <c r="AC24" s="704">
        <f>AB24+(135500+745000)</f>
        <v>1170500</v>
      </c>
      <c r="AD24" s="704">
        <f>AC24</f>
        <v>1170500</v>
      </c>
      <c r="AE24" s="924">
        <f>86000+AD24</f>
        <v>1256500</v>
      </c>
      <c r="AF24" s="704">
        <f>14000+AE24</f>
        <v>1270500</v>
      </c>
      <c r="AG24" s="3882">
        <f>AF24+250000</f>
        <v>1520500</v>
      </c>
      <c r="AH24" s="3876">
        <f>AG24</f>
        <v>1520500</v>
      </c>
      <c r="AI24" s="2908"/>
      <c r="AJ24" s="2908">
        <f>AH24-C24</f>
        <v>1520500</v>
      </c>
      <c r="AK24" s="2908">
        <f>D24-AH24</f>
        <v>-500</v>
      </c>
    </row>
    <row r="25" spans="1:39">
      <c r="A25" s="3873" t="s">
        <v>29</v>
      </c>
      <c r="B25" s="2823" t="s">
        <v>102</v>
      </c>
      <c r="C25" s="3874">
        <f>F25+I25+L25+O25+R25</f>
        <v>4339000</v>
      </c>
      <c r="D25" s="3874">
        <f t="shared" ref="D25" si="35">G25+J25+M25+P25+S25</f>
        <v>464674</v>
      </c>
      <c r="E25" s="3874">
        <f>D25-C25</f>
        <v>-3874326</v>
      </c>
      <c r="F25" s="3874">
        <f>'[26]Phụ lục số 2'!$P$38</f>
        <v>602000</v>
      </c>
      <c r="G25" s="704">
        <v>0</v>
      </c>
      <c r="H25" s="704">
        <f t="shared" si="31"/>
        <v>-602000</v>
      </c>
      <c r="I25" s="3874">
        <f>'[26]Phụ lục số 2'!$U$38</f>
        <v>849000</v>
      </c>
      <c r="J25" s="3874"/>
      <c r="K25" s="3874">
        <f>J25-I25</f>
        <v>-849000</v>
      </c>
      <c r="L25" s="3874">
        <f>'[26]Phụ lục số 2'!$Z$38</f>
        <v>1198000</v>
      </c>
      <c r="M25" s="3874">
        <f>132171+97566</f>
        <v>229737</v>
      </c>
      <c r="N25" s="3874">
        <f>M25-L25</f>
        <v>-968263</v>
      </c>
      <c r="O25" s="3874">
        <f>'[26]Phụ lục số 2'!$AE$38</f>
        <v>1690000</v>
      </c>
      <c r="P25" s="3874">
        <f>'[2]Phụ lục số 8'!C19</f>
        <v>234937</v>
      </c>
      <c r="Q25" s="3874">
        <f t="shared" si="32"/>
        <v>-1455063</v>
      </c>
      <c r="R25" s="3874"/>
      <c r="S25" s="3874">
        <f>R25</f>
        <v>0</v>
      </c>
      <c r="T25" s="3874">
        <f t="shared" si="33"/>
        <v>0</v>
      </c>
      <c r="W25" s="3888">
        <f>Y25-C25</f>
        <v>-4339000</v>
      </c>
      <c r="X25" s="704"/>
      <c r="Y25" s="704"/>
      <c r="Z25" s="704"/>
      <c r="AA25" s="704"/>
      <c r="AB25" s="3890">
        <f>457877</f>
        <v>457877</v>
      </c>
      <c r="AC25" s="3890">
        <f>AB25</f>
        <v>457877</v>
      </c>
      <c r="AD25" s="3890">
        <f>AC25+64780</f>
        <v>522657</v>
      </c>
      <c r="AE25" s="3890">
        <f>AD25</f>
        <v>522657</v>
      </c>
      <c r="AF25" s="3890">
        <f>AE25</f>
        <v>522657</v>
      </c>
      <c r="AG25" s="704">
        <f>AF25</f>
        <v>522657</v>
      </c>
      <c r="AH25" s="3876">
        <f>AG25</f>
        <v>522657</v>
      </c>
      <c r="AI25" s="2908"/>
      <c r="AJ25" s="2908">
        <f>AH25-C25</f>
        <v>-3816343</v>
      </c>
      <c r="AK25" s="2908">
        <f>D25-AH25</f>
        <v>-57983</v>
      </c>
    </row>
    <row r="26" spans="1:39">
      <c r="A26" s="3879">
        <v>2</v>
      </c>
      <c r="B26" s="2823" t="s">
        <v>2194</v>
      </c>
      <c r="C26" s="3874"/>
      <c r="D26" s="3874"/>
      <c r="E26" s="3874"/>
      <c r="F26" s="3874"/>
      <c r="G26" s="704"/>
      <c r="H26" s="704"/>
      <c r="I26" s="3874"/>
      <c r="J26" s="3874"/>
      <c r="K26" s="3874"/>
      <c r="L26" s="3874"/>
      <c r="M26" s="3874"/>
      <c r="N26" s="3874"/>
      <c r="O26" s="3874"/>
      <c r="P26" s="3874"/>
      <c r="Q26" s="3874"/>
      <c r="R26" s="3874"/>
      <c r="S26" s="3874"/>
      <c r="T26" s="3874"/>
      <c r="W26" s="3888">
        <f t="shared" si="34"/>
        <v>807000</v>
      </c>
      <c r="X26" s="704"/>
      <c r="Y26" s="704">
        <v>807000</v>
      </c>
      <c r="Z26" s="704">
        <v>807000</v>
      </c>
      <c r="AA26" s="704"/>
      <c r="AB26" s="704">
        <v>807000</v>
      </c>
      <c r="AC26" s="704">
        <f>AB26</f>
        <v>807000</v>
      </c>
      <c r="AD26" s="704">
        <f>AC26</f>
        <v>807000</v>
      </c>
      <c r="AE26" s="704">
        <f>AD26</f>
        <v>807000</v>
      </c>
      <c r="AF26" s="704">
        <v>807000</v>
      </c>
      <c r="AG26" s="704">
        <f>AF26</f>
        <v>807000</v>
      </c>
      <c r="AH26" s="3876">
        <f>AG26</f>
        <v>807000</v>
      </c>
      <c r="AI26" s="2908"/>
      <c r="AJ26" s="2908">
        <f>AH26-C26</f>
        <v>807000</v>
      </c>
      <c r="AK26" s="2908">
        <f>D26-AH26</f>
        <v>-807000</v>
      </c>
    </row>
    <row r="27" spans="1:39">
      <c r="A27" s="3879">
        <v>3</v>
      </c>
      <c r="B27" s="2823" t="s">
        <v>650</v>
      </c>
      <c r="C27" s="3874">
        <f>F27+I27+L27+O27+R27</f>
        <v>565352</v>
      </c>
      <c r="D27" s="3874">
        <f>G27+J27+M27+P27+S27</f>
        <v>656864</v>
      </c>
      <c r="E27" s="3874">
        <f>D27-C27</f>
        <v>91512</v>
      </c>
      <c r="F27" s="3874">
        <f>'[26]Phụ lục số 2'!$P$40</f>
        <v>141338</v>
      </c>
      <c r="G27" s="704">
        <f>416452</f>
        <v>416452</v>
      </c>
      <c r="H27" s="704">
        <f t="shared" si="31"/>
        <v>275114</v>
      </c>
      <c r="I27" s="3874">
        <f>'[26]Phụ lục số 2'!$U$40</f>
        <v>141338</v>
      </c>
      <c r="J27" s="3874">
        <v>86473</v>
      </c>
      <c r="K27" s="3874">
        <f>J27-I27</f>
        <v>-54865</v>
      </c>
      <c r="L27" s="3874">
        <f>'[26]Phụ lục số 2'!$Z$40</f>
        <v>141338</v>
      </c>
      <c r="M27" s="3874">
        <f>81470</f>
        <v>81470</v>
      </c>
      <c r="N27" s="3874">
        <f>M27-L27</f>
        <v>-59868</v>
      </c>
      <c r="O27" s="3874">
        <f>'[26]Phụ lục số 2'!$AE$40</f>
        <v>141338</v>
      </c>
      <c r="P27" s="3874">
        <f>'[2]Phụ lục số 8'!E7-'[2]Phụ lục số 8'!E19</f>
        <v>72469</v>
      </c>
      <c r="Q27" s="3874">
        <f t="shared" si="32"/>
        <v>-68869</v>
      </c>
      <c r="R27" s="3874"/>
      <c r="S27" s="3874">
        <f>R27</f>
        <v>0</v>
      </c>
      <c r="T27" s="3874">
        <f t="shared" si="33"/>
        <v>0</v>
      </c>
      <c r="W27" s="3888">
        <f t="shared" si="34"/>
        <v>-565352</v>
      </c>
      <c r="X27" s="704"/>
      <c r="Y27" s="704"/>
      <c r="Z27" s="704"/>
      <c r="AA27" s="704"/>
      <c r="AB27" s="704"/>
      <c r="AC27" s="704"/>
      <c r="AD27" s="704"/>
      <c r="AE27" s="704"/>
      <c r="AF27" s="704"/>
      <c r="AG27" s="2823"/>
      <c r="AH27" s="3876"/>
      <c r="AI27" s="2929"/>
      <c r="AJ27" s="2908">
        <f>AH27-C27</f>
        <v>-565352</v>
      </c>
      <c r="AK27" s="2908">
        <f>D27-AH27</f>
        <v>656864</v>
      </c>
    </row>
    <row r="28" spans="1:39" s="386" customFormat="1" ht="17.399999999999999">
      <c r="A28" s="3879" t="s">
        <v>182</v>
      </c>
      <c r="B28" s="2819" t="s">
        <v>2195</v>
      </c>
      <c r="C28" s="3880">
        <f t="shared" ref="C28:E28" si="36">SUM(C29:C30)</f>
        <v>126096</v>
      </c>
      <c r="D28" s="3880">
        <f t="shared" si="36"/>
        <v>141000</v>
      </c>
      <c r="E28" s="3880">
        <f t="shared" si="36"/>
        <v>14904</v>
      </c>
      <c r="F28" s="3880">
        <f>SUM(F29:F30)</f>
        <v>30000</v>
      </c>
      <c r="G28" s="3880">
        <f t="shared" ref="G28:T28" si="37">SUM(G29:G30)</f>
        <v>61200</v>
      </c>
      <c r="H28" s="3880">
        <f t="shared" si="37"/>
        <v>31200</v>
      </c>
      <c r="I28" s="3880">
        <f t="shared" si="37"/>
        <v>96096</v>
      </c>
      <c r="J28" s="3880">
        <f t="shared" si="37"/>
        <v>48300</v>
      </c>
      <c r="K28" s="3880">
        <f t="shared" si="37"/>
        <v>-47796</v>
      </c>
      <c r="L28" s="3880">
        <f t="shared" si="37"/>
        <v>0</v>
      </c>
      <c r="M28" s="3880">
        <f t="shared" si="37"/>
        <v>31500</v>
      </c>
      <c r="N28" s="3880">
        <f t="shared" si="37"/>
        <v>31500</v>
      </c>
      <c r="O28" s="3880">
        <f t="shared" si="37"/>
        <v>0</v>
      </c>
      <c r="P28" s="3880">
        <f t="shared" si="37"/>
        <v>0</v>
      </c>
      <c r="Q28" s="3880">
        <f t="shared" si="37"/>
        <v>0</v>
      </c>
      <c r="R28" s="3880">
        <f t="shared" si="37"/>
        <v>0</v>
      </c>
      <c r="S28" s="3880">
        <f t="shared" si="37"/>
        <v>0</v>
      </c>
      <c r="T28" s="3880">
        <f t="shared" si="37"/>
        <v>0</v>
      </c>
      <c r="W28" s="3880">
        <f>SUM(W29:W30)</f>
        <v>0</v>
      </c>
      <c r="X28" s="3880">
        <f>SUM(X29:X30)</f>
        <v>0</v>
      </c>
      <c r="Y28" s="3880">
        <f t="shared" ref="Y28:AK28" si="38">SUM(Y29:Y30)</f>
        <v>0</v>
      </c>
      <c r="Z28" s="3880">
        <f t="shared" si="38"/>
        <v>0</v>
      </c>
      <c r="AA28" s="3880">
        <f t="shared" si="38"/>
        <v>0</v>
      </c>
      <c r="AB28" s="3880">
        <f t="shared" si="38"/>
        <v>0</v>
      </c>
      <c r="AC28" s="3880">
        <f t="shared" si="38"/>
        <v>0</v>
      </c>
      <c r="AD28" s="3880">
        <f t="shared" si="38"/>
        <v>0</v>
      </c>
      <c r="AE28" s="3880">
        <f t="shared" si="38"/>
        <v>0</v>
      </c>
      <c r="AF28" s="3880">
        <f t="shared" si="38"/>
        <v>166665</v>
      </c>
      <c r="AG28" s="3880">
        <f t="shared" si="38"/>
        <v>166665</v>
      </c>
      <c r="AH28" s="3884">
        <f t="shared" si="38"/>
        <v>166665</v>
      </c>
      <c r="AI28" s="3880"/>
      <c r="AJ28" s="3880">
        <f t="shared" si="38"/>
        <v>40569</v>
      </c>
      <c r="AK28" s="3880">
        <f t="shared" si="38"/>
        <v>-25665</v>
      </c>
    </row>
    <row r="29" spans="1:39">
      <c r="A29" s="3879" t="s">
        <v>29</v>
      </c>
      <c r="B29" s="2823" t="s">
        <v>2186</v>
      </c>
      <c r="C29" s="3874">
        <f>F29+I29+L29+O29+R29</f>
        <v>126096</v>
      </c>
      <c r="D29" s="3874">
        <f>G29+J29+M29+P29+S29</f>
        <v>141000</v>
      </c>
      <c r="E29" s="3874">
        <f>D29-C29</f>
        <v>14904</v>
      </c>
      <c r="F29" s="3874">
        <f>'[26]Phụ lục số 2'!$P$41</f>
        <v>30000</v>
      </c>
      <c r="G29" s="704">
        <v>61200</v>
      </c>
      <c r="H29" s="704">
        <f>G29-F29</f>
        <v>31200</v>
      </c>
      <c r="I29" s="3874">
        <f>'[26]Phụ lục số 2'!$U$41</f>
        <v>96096</v>
      </c>
      <c r="J29" s="3874">
        <v>48300</v>
      </c>
      <c r="K29" s="3874">
        <f>J29-I29</f>
        <v>-47796</v>
      </c>
      <c r="L29" s="3874">
        <f>'[26]Phụ lục số 2'!$Z$41</f>
        <v>0</v>
      </c>
      <c r="M29" s="3874">
        <v>31500</v>
      </c>
      <c r="N29" s="3874">
        <f>M29-L29</f>
        <v>31500</v>
      </c>
      <c r="O29" s="3874">
        <f>'[26]Phụ lục số 2'!$AE$41</f>
        <v>0</v>
      </c>
      <c r="P29" s="3874"/>
      <c r="Q29" s="3874">
        <f>P29-O29</f>
        <v>0</v>
      </c>
      <c r="R29" s="3874">
        <f>'[26]Phụ lục số 2'!$Z$41</f>
        <v>0</v>
      </c>
      <c r="S29" s="3874"/>
      <c r="T29" s="3874"/>
      <c r="W29" s="2929"/>
      <c r="X29" s="704"/>
      <c r="Y29" s="704"/>
      <c r="Z29" s="704"/>
      <c r="AA29" s="704"/>
      <c r="AB29" s="704"/>
      <c r="AC29" s="704"/>
      <c r="AD29" s="704"/>
      <c r="AE29" s="704"/>
      <c r="AF29" s="704"/>
      <c r="AG29" s="2823"/>
      <c r="AH29" s="3876"/>
      <c r="AI29" s="2929"/>
      <c r="AJ29" s="2908">
        <f>AH29-C29</f>
        <v>-126096</v>
      </c>
      <c r="AK29" s="2908">
        <f>D29-AH29</f>
        <v>141000</v>
      </c>
    </row>
    <row r="30" spans="1:39">
      <c r="A30" s="3873" t="s">
        <v>29</v>
      </c>
      <c r="B30" s="2823" t="s">
        <v>2187</v>
      </c>
      <c r="C30" s="3874">
        <f>F30+I30+L30+O30+R30</f>
        <v>0</v>
      </c>
      <c r="D30" s="3874">
        <f>G30+J30+M30+P30+S30</f>
        <v>0</v>
      </c>
      <c r="E30" s="3874">
        <f>D30-C30</f>
        <v>0</v>
      </c>
      <c r="F30" s="704"/>
      <c r="G30" s="704"/>
      <c r="H30" s="704"/>
      <c r="I30" s="3874"/>
      <c r="J30" s="3874"/>
      <c r="K30" s="3874"/>
      <c r="L30" s="3874"/>
      <c r="M30" s="3874"/>
      <c r="N30" s="3874"/>
      <c r="O30" s="3874"/>
      <c r="P30" s="3874"/>
      <c r="Q30" s="3874">
        <f>P30-O30</f>
        <v>0</v>
      </c>
      <c r="R30" s="3874"/>
      <c r="S30" s="3874"/>
      <c r="T30" s="3874"/>
      <c r="W30" s="2929"/>
      <c r="X30" s="704"/>
      <c r="Y30" s="704"/>
      <c r="Z30" s="704"/>
      <c r="AA30" s="704"/>
      <c r="AB30" s="704"/>
      <c r="AC30" s="704"/>
      <c r="AD30" s="704"/>
      <c r="AE30" s="704"/>
      <c r="AF30" s="3890">
        <f>166665</f>
        <v>166665</v>
      </c>
      <c r="AG30" s="3890">
        <f>AF30</f>
        <v>166665</v>
      </c>
      <c r="AH30" s="3876">
        <f>AG30</f>
        <v>166665</v>
      </c>
      <c r="AI30" s="2908"/>
      <c r="AJ30" s="2908">
        <f>AH30-C30</f>
        <v>166665</v>
      </c>
      <c r="AK30" s="2908">
        <f>D30-AH30</f>
        <v>-166665</v>
      </c>
    </row>
    <row r="31" spans="1:39">
      <c r="A31" s="3879" t="s">
        <v>215</v>
      </c>
      <c r="B31" s="2819" t="s">
        <v>2196</v>
      </c>
      <c r="C31" s="3885">
        <f>C32+C35</f>
        <v>0</v>
      </c>
      <c r="D31" s="3885">
        <f t="shared" ref="D31:T31" si="39">D32+D35</f>
        <v>0</v>
      </c>
      <c r="E31" s="3885">
        <f t="shared" si="39"/>
        <v>0</v>
      </c>
      <c r="F31" s="3885">
        <f t="shared" si="39"/>
        <v>0</v>
      </c>
      <c r="G31" s="3885">
        <f t="shared" si="39"/>
        <v>0</v>
      </c>
      <c r="H31" s="3885">
        <f t="shared" si="39"/>
        <v>0</v>
      </c>
      <c r="I31" s="3885">
        <f t="shared" si="39"/>
        <v>0</v>
      </c>
      <c r="J31" s="3885">
        <f t="shared" si="39"/>
        <v>0</v>
      </c>
      <c r="K31" s="3885">
        <f t="shared" si="39"/>
        <v>0</v>
      </c>
      <c r="L31" s="3885">
        <f t="shared" si="39"/>
        <v>0</v>
      </c>
      <c r="M31" s="3885">
        <f t="shared" si="39"/>
        <v>0</v>
      </c>
      <c r="N31" s="3885">
        <f t="shared" si="39"/>
        <v>0</v>
      </c>
      <c r="O31" s="3885">
        <f t="shared" si="39"/>
        <v>0</v>
      </c>
      <c r="P31" s="3885">
        <f t="shared" si="39"/>
        <v>0</v>
      </c>
      <c r="Q31" s="3885">
        <f t="shared" si="39"/>
        <v>0</v>
      </c>
      <c r="R31" s="3885">
        <f t="shared" si="39"/>
        <v>0</v>
      </c>
      <c r="S31" s="3885">
        <f t="shared" si="39"/>
        <v>0</v>
      </c>
      <c r="T31" s="3885">
        <f t="shared" si="39"/>
        <v>0</v>
      </c>
      <c r="W31" s="3885">
        <f t="shared" ref="W31:AK31" si="40">W32+W35</f>
        <v>0</v>
      </c>
      <c r="X31" s="3885">
        <f t="shared" si="40"/>
        <v>0</v>
      </c>
      <c r="Y31" s="3885">
        <f t="shared" si="40"/>
        <v>0</v>
      </c>
      <c r="Z31" s="3885">
        <f t="shared" si="40"/>
        <v>0</v>
      </c>
      <c r="AA31" s="3885">
        <f t="shared" si="40"/>
        <v>0</v>
      </c>
      <c r="AB31" s="3885">
        <f t="shared" si="40"/>
        <v>550565</v>
      </c>
      <c r="AC31" s="3885">
        <f t="shared" si="40"/>
        <v>550565</v>
      </c>
      <c r="AD31" s="3885">
        <f t="shared" si="40"/>
        <v>550565</v>
      </c>
      <c r="AE31" s="3885">
        <f t="shared" si="40"/>
        <v>674730</v>
      </c>
      <c r="AF31" s="3885">
        <f t="shared" si="40"/>
        <v>674730</v>
      </c>
      <c r="AG31" s="3885">
        <f t="shared" si="40"/>
        <v>674730</v>
      </c>
      <c r="AH31" s="3884">
        <f t="shared" si="40"/>
        <v>674730</v>
      </c>
      <c r="AI31" s="3885"/>
      <c r="AJ31" s="3885">
        <f t="shared" si="40"/>
        <v>674730</v>
      </c>
      <c r="AK31" s="3885">
        <f t="shared" si="40"/>
        <v>-674730</v>
      </c>
    </row>
    <row r="32" spans="1:39">
      <c r="A32" s="3879" t="s">
        <v>29</v>
      </c>
      <c r="B32" s="2823" t="s">
        <v>2186</v>
      </c>
      <c r="C32" s="3874">
        <f>SUM(C33:C34)</f>
        <v>0</v>
      </c>
      <c r="D32" s="3874">
        <f t="shared" ref="D32:T32" si="41">SUM(D33:D34)</f>
        <v>0</v>
      </c>
      <c r="E32" s="3874">
        <f t="shared" si="41"/>
        <v>0</v>
      </c>
      <c r="F32" s="3874">
        <f t="shared" si="41"/>
        <v>0</v>
      </c>
      <c r="G32" s="3874">
        <f t="shared" si="41"/>
        <v>0</v>
      </c>
      <c r="H32" s="3874">
        <f t="shared" si="41"/>
        <v>0</v>
      </c>
      <c r="I32" s="3874">
        <f t="shared" si="41"/>
        <v>0</v>
      </c>
      <c r="J32" s="3874">
        <f t="shared" si="41"/>
        <v>0</v>
      </c>
      <c r="K32" s="3874">
        <f t="shared" si="41"/>
        <v>0</v>
      </c>
      <c r="L32" s="3874">
        <f t="shared" si="41"/>
        <v>0</v>
      </c>
      <c r="M32" s="3874">
        <f t="shared" si="41"/>
        <v>0</v>
      </c>
      <c r="N32" s="3874">
        <f t="shared" si="41"/>
        <v>0</v>
      </c>
      <c r="O32" s="3874">
        <f t="shared" si="41"/>
        <v>0</v>
      </c>
      <c r="P32" s="3874">
        <f t="shared" si="41"/>
        <v>0</v>
      </c>
      <c r="Q32" s="3874">
        <f t="shared" si="41"/>
        <v>0</v>
      </c>
      <c r="R32" s="3874">
        <f t="shared" si="41"/>
        <v>0</v>
      </c>
      <c r="S32" s="3874">
        <f t="shared" si="41"/>
        <v>0</v>
      </c>
      <c r="T32" s="3874">
        <f t="shared" si="41"/>
        <v>0</v>
      </c>
      <c r="W32" s="3874">
        <f t="shared" ref="W32:AA32" si="42">SUM(W33:W34)</f>
        <v>0</v>
      </c>
      <c r="X32" s="3874">
        <f t="shared" si="42"/>
        <v>0</v>
      </c>
      <c r="Y32" s="3874">
        <f t="shared" si="42"/>
        <v>0</v>
      </c>
      <c r="Z32" s="3874">
        <f t="shared" si="42"/>
        <v>0</v>
      </c>
      <c r="AA32" s="3874">
        <f t="shared" si="42"/>
        <v>0</v>
      </c>
      <c r="AB32" s="3874">
        <f>SUM(AB33:AB34)</f>
        <v>550565</v>
      </c>
      <c r="AC32" s="3874">
        <f t="shared" ref="AC32:AF32" si="43">SUM(AC33:AC34)</f>
        <v>550565</v>
      </c>
      <c r="AD32" s="3874">
        <f t="shared" si="43"/>
        <v>550565</v>
      </c>
      <c r="AE32" s="3874">
        <f t="shared" si="43"/>
        <v>674730</v>
      </c>
      <c r="AF32" s="3874">
        <f t="shared" si="43"/>
        <v>674730</v>
      </c>
      <c r="AG32" s="3874">
        <f>SUM(AG33:AG34)</f>
        <v>674730</v>
      </c>
      <c r="AH32" s="3892">
        <f>SUM(AH33:AH34)</f>
        <v>674730</v>
      </c>
      <c r="AI32" s="3874"/>
      <c r="AJ32" s="3892">
        <f>SUM(AJ33:AJ34)</f>
        <v>674730</v>
      </c>
      <c r="AK32" s="3892">
        <f>SUM(AK33:AK34)</f>
        <v>-674730</v>
      </c>
    </row>
    <row r="33" spans="1:37">
      <c r="A33" s="3893" t="s">
        <v>1797</v>
      </c>
      <c r="B33" s="3894" t="s">
        <v>2197</v>
      </c>
      <c r="C33" s="3874">
        <f t="shared" ref="C33:D34" si="44">F33+I33+L33+O33+R33</f>
        <v>0</v>
      </c>
      <c r="D33" s="3874">
        <f t="shared" si="44"/>
        <v>0</v>
      </c>
      <c r="E33" s="3874">
        <f t="shared" ref="E33:E34" si="45">D33-C33</f>
        <v>0</v>
      </c>
      <c r="F33" s="3895"/>
      <c r="G33" s="3895"/>
      <c r="H33" s="3895"/>
      <c r="I33" s="3896"/>
      <c r="J33" s="3896"/>
      <c r="K33" s="3896"/>
      <c r="L33" s="3896"/>
      <c r="M33" s="3896"/>
      <c r="N33" s="3896"/>
      <c r="O33" s="3896"/>
      <c r="P33" s="3896"/>
      <c r="Q33" s="3896"/>
      <c r="R33" s="3896"/>
      <c r="S33" s="3896"/>
      <c r="T33" s="3896"/>
      <c r="W33" s="3897"/>
      <c r="X33" s="704"/>
      <c r="Y33" s="704"/>
      <c r="Z33" s="704"/>
      <c r="AA33" s="704"/>
      <c r="AB33" s="704">
        <f>[27]Sheet1!$F$21</f>
        <v>480565</v>
      </c>
      <c r="AC33" s="704">
        <f>AB33</f>
        <v>480565</v>
      </c>
      <c r="AD33" s="704">
        <f>AC33</f>
        <v>480565</v>
      </c>
      <c r="AE33" s="3890">
        <f>AD33+124165</f>
        <v>604730</v>
      </c>
      <c r="AF33" s="704">
        <f t="shared" ref="AF33:AH34" si="46">AE33</f>
        <v>604730</v>
      </c>
      <c r="AG33" s="704">
        <f t="shared" si="46"/>
        <v>604730</v>
      </c>
      <c r="AH33" s="3876">
        <f t="shared" si="46"/>
        <v>604730</v>
      </c>
      <c r="AI33" s="2908"/>
      <c r="AJ33" s="2908">
        <f>AH33-C33</f>
        <v>604730</v>
      </c>
      <c r="AK33" s="2908">
        <f>D33-AH33</f>
        <v>-604730</v>
      </c>
    </row>
    <row r="34" spans="1:37">
      <c r="A34" s="3893" t="s">
        <v>1797</v>
      </c>
      <c r="B34" s="3894" t="s">
        <v>2198</v>
      </c>
      <c r="C34" s="3874">
        <f t="shared" si="44"/>
        <v>0</v>
      </c>
      <c r="D34" s="3874">
        <f t="shared" si="44"/>
        <v>0</v>
      </c>
      <c r="E34" s="3874">
        <f t="shared" si="45"/>
        <v>0</v>
      </c>
      <c r="F34" s="3895"/>
      <c r="G34" s="3895"/>
      <c r="H34" s="3895"/>
      <c r="I34" s="3896"/>
      <c r="J34" s="3896"/>
      <c r="K34" s="3896"/>
      <c r="L34" s="3896"/>
      <c r="M34" s="3896"/>
      <c r="N34" s="3896"/>
      <c r="O34" s="3896"/>
      <c r="P34" s="3896"/>
      <c r="Q34" s="3896"/>
      <c r="R34" s="3896"/>
      <c r="S34" s="3896"/>
      <c r="T34" s="3896"/>
      <c r="W34" s="3897"/>
      <c r="X34" s="704"/>
      <c r="Y34" s="704"/>
      <c r="Z34" s="704"/>
      <c r="AA34" s="704"/>
      <c r="AB34" s="704">
        <f>[27]Sheet1!$F$20</f>
        <v>70000</v>
      </c>
      <c r="AC34" s="704">
        <f>AB34</f>
        <v>70000</v>
      </c>
      <c r="AD34" s="704">
        <f>AC34</f>
        <v>70000</v>
      </c>
      <c r="AE34" s="704">
        <f>AD34</f>
        <v>70000</v>
      </c>
      <c r="AF34" s="704">
        <f t="shared" si="46"/>
        <v>70000</v>
      </c>
      <c r="AG34" s="704">
        <f t="shared" si="46"/>
        <v>70000</v>
      </c>
      <c r="AH34" s="3876">
        <f t="shared" si="46"/>
        <v>70000</v>
      </c>
      <c r="AI34" s="2908"/>
      <c r="AJ34" s="2908">
        <f>AH34-C34</f>
        <v>70000</v>
      </c>
      <c r="AK34" s="2908">
        <f>D34-AH34</f>
        <v>-70000</v>
      </c>
    </row>
    <row r="35" spans="1:37">
      <c r="A35" s="3898" t="s">
        <v>29</v>
      </c>
      <c r="B35" s="3899" t="s">
        <v>2187</v>
      </c>
      <c r="C35" s="3900">
        <f>F35+I35+L35+O35+R35</f>
        <v>0</v>
      </c>
      <c r="D35" s="3900">
        <f>G35+J35+M35+P35+S35</f>
        <v>0</v>
      </c>
      <c r="E35" s="3900">
        <f>D35-C35</f>
        <v>0</v>
      </c>
      <c r="F35" s="2902"/>
      <c r="G35" s="2902"/>
      <c r="H35" s="2902"/>
      <c r="I35" s="3900"/>
      <c r="J35" s="3900"/>
      <c r="K35" s="3900"/>
      <c r="L35" s="3900"/>
      <c r="M35" s="3900"/>
      <c r="N35" s="3900"/>
      <c r="O35" s="3900"/>
      <c r="P35" s="3900"/>
      <c r="Q35" s="3900"/>
      <c r="R35" s="3900"/>
      <c r="S35" s="3900"/>
      <c r="T35" s="3900"/>
      <c r="W35" s="2930"/>
      <c r="X35" s="2902"/>
      <c r="Y35" s="2902"/>
      <c r="Z35" s="2902"/>
      <c r="AA35" s="2902"/>
      <c r="AB35" s="2902"/>
      <c r="AC35" s="2902"/>
      <c r="AD35" s="2902"/>
      <c r="AE35" s="2902"/>
      <c r="AF35" s="2902"/>
      <c r="AG35" s="3899"/>
      <c r="AH35" s="3901"/>
      <c r="AI35" s="2930"/>
      <c r="AJ35" s="2902">
        <f>AF35-C35</f>
        <v>0</v>
      </c>
      <c r="AK35" s="2930"/>
    </row>
    <row r="36" spans="1:37">
      <c r="D36" s="3874">
        <f>G36+J36+M36+P36+S36</f>
        <v>22287216</v>
      </c>
      <c r="E36" s="666"/>
      <c r="F36" s="666"/>
      <c r="G36" s="3902">
        <v>4356972</v>
      </c>
      <c r="H36" s="666"/>
      <c r="I36" s="666"/>
      <c r="J36" s="3902">
        <f>5063431</f>
        <v>5063431</v>
      </c>
      <c r="K36" s="666"/>
      <c r="L36" s="666"/>
      <c r="M36" s="3902">
        <f>6189136</f>
        <v>6189136</v>
      </c>
      <c r="N36" s="666"/>
      <c r="O36" s="666"/>
      <c r="P36" s="3902">
        <f>6677677</f>
        <v>6677677</v>
      </c>
      <c r="Q36" s="666"/>
      <c r="R36" s="666"/>
      <c r="S36" s="666"/>
      <c r="T36" s="666"/>
    </row>
    <row r="37" spans="1:37">
      <c r="D37" s="3874">
        <f>G37+J37+M37+P37+S37</f>
        <v>23464914</v>
      </c>
      <c r="E37" s="666"/>
      <c r="F37" s="666"/>
      <c r="G37" s="692">
        <f>G8+G23+G28</f>
        <v>4706509</v>
      </c>
      <c r="H37" s="666"/>
      <c r="I37" s="666"/>
      <c r="J37" s="692">
        <f>J8+J23+J28+J24</f>
        <v>5720257</v>
      </c>
      <c r="K37" s="666"/>
      <c r="L37" s="666"/>
      <c r="M37" s="3903">
        <f>M8+M23+M28+132171+M24</f>
        <v>6360471</v>
      </c>
      <c r="N37" s="3904"/>
      <c r="O37" s="3904"/>
      <c r="P37" s="3903">
        <f>P8+P23+P28-P18+127705+5216</f>
        <v>6677677</v>
      </c>
      <c r="Q37" s="666"/>
      <c r="R37" s="666"/>
      <c r="S37" s="666"/>
      <c r="T37" s="666"/>
      <c r="Y37" s="3872">
        <f>Y10+Y13+Y16+Y19+Y23+Y26+Y29+Y32-Y13</f>
        <v>18147155</v>
      </c>
      <c r="Z37" s="3872">
        <f t="shared" ref="Z37:AF37" si="47">Z10+Z13+Z16+Z19+Z23+Z26+Z29+Z32-Z13</f>
        <v>14273361</v>
      </c>
      <c r="AA37" s="3872">
        <f t="shared" si="47"/>
        <v>2016865</v>
      </c>
      <c r="AB37" s="3872">
        <f t="shared" si="47"/>
        <v>18736497</v>
      </c>
      <c r="AC37" s="3872">
        <f t="shared" si="47"/>
        <v>18736497</v>
      </c>
      <c r="AD37" s="3872">
        <f t="shared" si="47"/>
        <v>18736497</v>
      </c>
      <c r="AE37" s="3872">
        <f t="shared" si="47"/>
        <v>18860662</v>
      </c>
      <c r="AF37" s="3872">
        <f t="shared" si="47"/>
        <v>20271462</v>
      </c>
      <c r="AG37" s="3872">
        <f>AG10+AG13+AG16+AG19+AG23+AG26+AG29+AG32-AG13</f>
        <v>20271462</v>
      </c>
      <c r="AH37" s="3872">
        <f>AH10+AH13+AH16+AH19+AH23+AH26+AH29+AH32-AH13</f>
        <v>20271462</v>
      </c>
      <c r="AK37" s="3872"/>
    </row>
    <row r="38" spans="1:37">
      <c r="D38" s="3874">
        <f>G38+J38+M38+P38+S38</f>
        <v>1177698</v>
      </c>
      <c r="E38" s="666"/>
      <c r="F38" s="666"/>
      <c r="G38" s="644">
        <f>G37-G36</f>
        <v>349537</v>
      </c>
      <c r="H38" s="666"/>
      <c r="I38" s="2314"/>
      <c r="J38" s="644">
        <f>J37-J36</f>
        <v>656826</v>
      </c>
      <c r="K38" s="666"/>
      <c r="L38" s="666"/>
      <c r="M38" s="644">
        <f>M37-M36</f>
        <v>171335</v>
      </c>
      <c r="N38" s="666"/>
      <c r="O38" s="666"/>
      <c r="P38" s="644">
        <f>P37-P36</f>
        <v>0</v>
      </c>
      <c r="Q38" s="666"/>
      <c r="R38" s="666"/>
      <c r="S38" s="666"/>
      <c r="T38" s="666"/>
      <c r="AB38" s="667"/>
      <c r="AE38" s="667"/>
      <c r="AF38" s="667"/>
    </row>
    <row r="39" spans="1:37">
      <c r="D39" s="692">
        <f>D38+D36</f>
        <v>23464914</v>
      </c>
      <c r="J39" s="2314"/>
      <c r="AK39" s="667">
        <f>AK10+AK13+AK16+AK19-AK19</f>
        <v>92084</v>
      </c>
    </row>
    <row r="40" spans="1:37">
      <c r="D40" s="692">
        <f>22700465</f>
        <v>22700465</v>
      </c>
      <c r="J40" s="2314"/>
      <c r="Z40" s="692">
        <f>Z7+AA7</f>
        <v>22205226</v>
      </c>
      <c r="AK40" s="667">
        <f>AK11+AK14+AK17+AK20</f>
        <v>1167992</v>
      </c>
    </row>
    <row r="41" spans="1:37">
      <c r="D41" s="667">
        <f>D40-D36</f>
        <v>413249</v>
      </c>
      <c r="G41" s="667">
        <f>411627-G27</f>
        <v>-4825</v>
      </c>
      <c r="Z41" s="692">
        <f>Z40-Y7</f>
        <v>-1856929</v>
      </c>
    </row>
  </sheetData>
  <mergeCells count="11">
    <mergeCell ref="X4:X5"/>
    <mergeCell ref="Y4:AH4"/>
    <mergeCell ref="A1:T1"/>
    <mergeCell ref="A4:A5"/>
    <mergeCell ref="B4:B5"/>
    <mergeCell ref="C4:E4"/>
    <mergeCell ref="F4:H4"/>
    <mergeCell ref="I4:K4"/>
    <mergeCell ref="L4:N4"/>
    <mergeCell ref="O4:Q4"/>
    <mergeCell ref="R4:T4"/>
  </mergeCells>
  <hyperlinks>
    <hyperlink ref="A4:A5" location="'Danh mục file'!A1" display="TT"/>
  </hyperlinks>
  <printOptions horizontalCentered="1"/>
  <pageMargins left="0" right="0" top="0" bottom="0" header="0" footer="0"/>
  <pageSetup paperSize="9" scale="60" orientation="landscape"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5:P34"/>
  <sheetViews>
    <sheetView topLeftCell="A4" workbookViewId="0">
      <selection activeCell="A5" sqref="A5:A6"/>
    </sheetView>
  </sheetViews>
  <sheetFormatPr defaultColWidth="9.109375" defaultRowHeight="15.6"/>
  <cols>
    <col min="1" max="1" width="9.109375" style="760"/>
    <col min="2" max="2" width="53" style="1" customWidth="1"/>
    <col min="3" max="3" width="12" style="1" customWidth="1"/>
    <col min="4" max="4" width="12.5546875" style="1" customWidth="1"/>
    <col min="5" max="5" width="12.5546875" style="1" bestFit="1" customWidth="1"/>
    <col min="6" max="6" width="11.33203125" style="1" customWidth="1"/>
    <col min="7" max="7" width="11.33203125" style="1" bestFit="1" customWidth="1"/>
    <col min="8" max="8" width="11.33203125" style="1" customWidth="1"/>
    <col min="9" max="9" width="11.33203125" style="1" bestFit="1" customWidth="1"/>
    <col min="10" max="10" width="11.33203125" style="1" customWidth="1"/>
    <col min="11" max="11" width="11.33203125" style="1" bestFit="1" customWidth="1"/>
    <col min="12" max="12" width="11.33203125" style="1" customWidth="1"/>
    <col min="13" max="13" width="11.33203125" style="1" bestFit="1" customWidth="1"/>
    <col min="14" max="14" width="11.33203125" style="1" customWidth="1"/>
    <col min="15" max="15" width="12.44140625" style="1" bestFit="1" customWidth="1"/>
    <col min="16" max="16" width="12.44140625" style="1" customWidth="1"/>
    <col min="17" max="16384" width="9.109375" style="1"/>
  </cols>
  <sheetData>
    <row r="5" spans="1:16" s="856" customFormat="1">
      <c r="A5" s="6073" t="s">
        <v>136</v>
      </c>
      <c r="B5" s="6064" t="s">
        <v>137</v>
      </c>
      <c r="C5" s="6066" t="s">
        <v>843</v>
      </c>
      <c r="D5" s="6066"/>
      <c r="E5" s="6066" t="s">
        <v>90</v>
      </c>
      <c r="F5" s="6066"/>
      <c r="G5" s="6066" t="s">
        <v>91</v>
      </c>
      <c r="H5" s="6066"/>
      <c r="I5" s="6066" t="s">
        <v>92</v>
      </c>
      <c r="J5" s="6066"/>
      <c r="K5" s="6066" t="s">
        <v>93</v>
      </c>
      <c r="L5" s="6066"/>
      <c r="M5" s="6066" t="s">
        <v>94</v>
      </c>
      <c r="N5" s="6066"/>
      <c r="O5" s="6066" t="s">
        <v>491</v>
      </c>
      <c r="P5" s="6066"/>
    </row>
    <row r="6" spans="1:16" s="856" customFormat="1">
      <c r="A6" s="6073"/>
      <c r="B6" s="6064"/>
      <c r="C6" s="755" t="s">
        <v>59</v>
      </c>
      <c r="D6" s="755" t="s">
        <v>60</v>
      </c>
      <c r="E6" s="755" t="s">
        <v>59</v>
      </c>
      <c r="F6" s="755" t="s">
        <v>60</v>
      </c>
      <c r="G6" s="755" t="s">
        <v>59</v>
      </c>
      <c r="H6" s="755" t="s">
        <v>60</v>
      </c>
      <c r="I6" s="755" t="s">
        <v>59</v>
      </c>
      <c r="J6" s="755" t="s">
        <v>60</v>
      </c>
      <c r="K6" s="755" t="s">
        <v>59</v>
      </c>
      <c r="L6" s="755" t="s">
        <v>60</v>
      </c>
      <c r="M6" s="755" t="s">
        <v>59</v>
      </c>
      <c r="N6" s="755" t="s">
        <v>60</v>
      </c>
      <c r="O6" s="755" t="s">
        <v>59</v>
      </c>
      <c r="P6" s="755" t="s">
        <v>60</v>
      </c>
    </row>
    <row r="7" spans="1:16" s="4" customFormat="1">
      <c r="A7" s="857"/>
      <c r="B7" s="858" t="s">
        <v>863</v>
      </c>
      <c r="C7" s="761"/>
      <c r="D7" s="761"/>
      <c r="E7" s="859">
        <f>+'Phụ lục số II'!R9</f>
        <v>22059476.072368391</v>
      </c>
      <c r="F7" s="860">
        <f>+E7</f>
        <v>22059476.072368391</v>
      </c>
      <c r="G7" s="859">
        <f>+'Phụ lục số II'!W9</f>
        <v>22223556.558125265</v>
      </c>
      <c r="H7" s="860">
        <f>+G7</f>
        <v>22223556.558125265</v>
      </c>
      <c r="I7" s="859">
        <f>+'Phụ lục số II'!AB9</f>
        <v>25271091.934713151</v>
      </c>
      <c r="J7" s="860">
        <f>+I7</f>
        <v>25271091.934713151</v>
      </c>
      <c r="K7" s="859">
        <f>+'Phụ lục số II'!AG9</f>
        <v>27023131.244954884</v>
      </c>
      <c r="L7" s="860">
        <f>+K7</f>
        <v>27023131.244954884</v>
      </c>
      <c r="M7" s="859">
        <f>+'Phụ lục số II'!AL9</f>
        <v>28666232.257332325</v>
      </c>
      <c r="N7" s="860">
        <f>+M7</f>
        <v>28666232.257332325</v>
      </c>
      <c r="O7" s="859">
        <f>+E7+G7+I7+K7+M7</f>
        <v>125243488.06749402</v>
      </c>
      <c r="P7" s="859">
        <f>+N7+L7+J7+H7+F7</f>
        <v>125243488.067494</v>
      </c>
    </row>
    <row r="8" spans="1:16" s="4" customFormat="1">
      <c r="A8" s="861"/>
      <c r="B8" s="158" t="s">
        <v>142</v>
      </c>
      <c r="C8" s="158"/>
      <c r="D8" s="158"/>
      <c r="E8" s="161">
        <f>+'Phụ lục số II'!R10</f>
        <v>18383427.27236839</v>
      </c>
      <c r="F8" s="757">
        <f>+E8</f>
        <v>18383427.27236839</v>
      </c>
      <c r="G8" s="161">
        <f>+'Phụ lục số II'!W10</f>
        <v>18547507.758125264</v>
      </c>
      <c r="H8" s="757">
        <f>+G8</f>
        <v>18547507.758125264</v>
      </c>
      <c r="I8" s="161">
        <f>+'Phụ lục số II'!AB10</f>
        <v>21595043.134713151</v>
      </c>
      <c r="J8" s="757">
        <f>+I8</f>
        <v>21595043.134713151</v>
      </c>
      <c r="K8" s="161">
        <f>+'Phụ lục số II'!AG10</f>
        <v>23347082.444954883</v>
      </c>
      <c r="L8" s="757">
        <f>+K8</f>
        <v>23347082.444954883</v>
      </c>
      <c r="M8" s="161">
        <f>+'Phụ lục số II'!AL10</f>
        <v>24990183.457332324</v>
      </c>
      <c r="N8" s="757">
        <f>+M8</f>
        <v>24990183.457332324</v>
      </c>
      <c r="O8" s="161">
        <f>+E8+G8+I8+K8+M8</f>
        <v>106863244.06749402</v>
      </c>
      <c r="P8" s="161">
        <f>+N8+L8+J8+H8+F8</f>
        <v>106863244.067494</v>
      </c>
    </row>
    <row r="9" spans="1:16" s="4" customFormat="1">
      <c r="A9" s="861"/>
      <c r="B9" s="158" t="s">
        <v>870</v>
      </c>
      <c r="C9" s="158"/>
      <c r="D9" s="158"/>
      <c r="E9" s="161">
        <f>+E11+E29</f>
        <v>7993929.8713205801</v>
      </c>
      <c r="F9" s="757">
        <f>+E9</f>
        <v>7993929.8713205801</v>
      </c>
      <c r="G9" s="161">
        <f>+G11+G29</f>
        <v>7925081.7382765925</v>
      </c>
      <c r="H9" s="757">
        <f>+G9</f>
        <v>7925081.7382765925</v>
      </c>
      <c r="I9" s="161">
        <f>+I11+I29</f>
        <v>9145161.1840729155</v>
      </c>
      <c r="J9" s="757">
        <f>+I9</f>
        <v>9145161.1840729155</v>
      </c>
      <c r="K9" s="161">
        <f>+K11+K29</f>
        <v>9577500.9322816804</v>
      </c>
      <c r="L9" s="757">
        <f>+K9</f>
        <v>9577500.9322816804</v>
      </c>
      <c r="M9" s="161">
        <f>+M11+M29</f>
        <v>10045372.630600927</v>
      </c>
      <c r="N9" s="757">
        <f>+M9</f>
        <v>10045372.630600927</v>
      </c>
      <c r="O9" s="161">
        <f>+O11+O29</f>
        <v>44687046.356552698</v>
      </c>
      <c r="P9" s="757">
        <f>+O9</f>
        <v>44687046.356552698</v>
      </c>
    </row>
    <row r="10" spans="1:16">
      <c r="A10" s="862"/>
      <c r="B10" s="155" t="s">
        <v>234</v>
      </c>
      <c r="C10" s="155"/>
      <c r="D10" s="155"/>
      <c r="E10" s="155"/>
      <c r="F10" s="863"/>
      <c r="G10" s="155"/>
      <c r="H10" s="863"/>
      <c r="I10" s="155"/>
      <c r="J10" s="863"/>
      <c r="K10" s="155"/>
      <c r="L10" s="863"/>
      <c r="M10" s="155"/>
      <c r="N10" s="863"/>
      <c r="O10" s="155"/>
      <c r="P10" s="155"/>
    </row>
    <row r="11" spans="1:16" s="738" customFormat="1" ht="31.2">
      <c r="A11" s="864" t="s">
        <v>3</v>
      </c>
      <c r="B11" s="865" t="s">
        <v>868</v>
      </c>
      <c r="C11" s="866">
        <f>SUM(C12:C13)</f>
        <v>0</v>
      </c>
      <c r="D11" s="866">
        <f t="shared" ref="D11:P11" si="0">SUM(D12:D13)</f>
        <v>0</v>
      </c>
      <c r="E11" s="866">
        <f t="shared" si="0"/>
        <v>4892210.8713205801</v>
      </c>
      <c r="F11" s="867">
        <f t="shared" si="0"/>
        <v>4892210.8713205801</v>
      </c>
      <c r="G11" s="866">
        <f t="shared" si="0"/>
        <v>4823362.7382765925</v>
      </c>
      <c r="H11" s="867">
        <f t="shared" si="0"/>
        <v>4823362.7382765925</v>
      </c>
      <c r="I11" s="866">
        <f t="shared" si="0"/>
        <v>6043442.1840729155</v>
      </c>
      <c r="J11" s="867">
        <f t="shared" si="0"/>
        <v>6043442.1840729155</v>
      </c>
      <c r="K11" s="866">
        <f t="shared" si="0"/>
        <v>6475781.9322816813</v>
      </c>
      <c r="L11" s="867">
        <f t="shared" si="0"/>
        <v>6475781.9322816813</v>
      </c>
      <c r="M11" s="866">
        <f t="shared" si="0"/>
        <v>6943653.6306009274</v>
      </c>
      <c r="N11" s="867">
        <f t="shared" si="0"/>
        <v>6943653.6306009274</v>
      </c>
      <c r="O11" s="866">
        <f t="shared" si="0"/>
        <v>29178451.356552698</v>
      </c>
      <c r="P11" s="866">
        <f t="shared" si="0"/>
        <v>29178451.356552694</v>
      </c>
    </row>
    <row r="12" spans="1:16">
      <c r="A12" s="862"/>
      <c r="B12" s="155" t="s">
        <v>865</v>
      </c>
      <c r="C12" s="160">
        <f>+C18+C21+C24+C27</f>
        <v>0</v>
      </c>
      <c r="D12" s="160">
        <f t="shared" ref="D12:P12" si="1">+D18+D21+D24+D27</f>
        <v>0</v>
      </c>
      <c r="E12" s="160">
        <f t="shared" si="1"/>
        <v>3141210.4623507038</v>
      </c>
      <c r="F12" s="747">
        <f t="shared" si="1"/>
        <v>3141210.4623507038</v>
      </c>
      <c r="G12" s="160">
        <f t="shared" si="1"/>
        <v>3154867.4240310052</v>
      </c>
      <c r="H12" s="747">
        <f t="shared" si="1"/>
        <v>3154867.4240310052</v>
      </c>
      <c r="I12" s="160">
        <f t="shared" si="1"/>
        <v>4112611.9808295001</v>
      </c>
      <c r="J12" s="747">
        <f t="shared" si="1"/>
        <v>4112611.9808295001</v>
      </c>
      <c r="K12" s="160">
        <f t="shared" si="1"/>
        <v>4406297.6668103859</v>
      </c>
      <c r="L12" s="747">
        <f t="shared" si="1"/>
        <v>4406297.6668103859</v>
      </c>
      <c r="M12" s="160">
        <f t="shared" si="1"/>
        <v>4655289.839687855</v>
      </c>
      <c r="N12" s="747">
        <f t="shared" si="1"/>
        <v>4655289.839687855</v>
      </c>
      <c r="O12" s="160">
        <f t="shared" si="1"/>
        <v>19470277.373709451</v>
      </c>
      <c r="P12" s="160">
        <f t="shared" si="1"/>
        <v>19470277.373709448</v>
      </c>
    </row>
    <row r="13" spans="1:16">
      <c r="A13" s="862"/>
      <c r="B13" s="155" t="s">
        <v>866</v>
      </c>
      <c r="C13" s="160">
        <f>+C19+C22+C25+C28</f>
        <v>0</v>
      </c>
      <c r="D13" s="160">
        <f t="shared" ref="D13:P13" si="2">+D19+D22+D25+D28</f>
        <v>0</v>
      </c>
      <c r="E13" s="160">
        <f t="shared" si="2"/>
        <v>1751000.4089698761</v>
      </c>
      <c r="F13" s="747">
        <f t="shared" si="2"/>
        <v>1751000.4089698761</v>
      </c>
      <c r="G13" s="160">
        <f t="shared" si="2"/>
        <v>1668495.3142455874</v>
      </c>
      <c r="H13" s="747">
        <f t="shared" si="2"/>
        <v>1668495.3142455874</v>
      </c>
      <c r="I13" s="160">
        <f t="shared" si="2"/>
        <v>1930830.2032434158</v>
      </c>
      <c r="J13" s="747">
        <f t="shared" si="2"/>
        <v>1930830.2032434158</v>
      </c>
      <c r="K13" s="160">
        <f t="shared" si="2"/>
        <v>2069484.2654712955</v>
      </c>
      <c r="L13" s="747">
        <f t="shared" si="2"/>
        <v>2069484.2654712955</v>
      </c>
      <c r="M13" s="160">
        <f t="shared" si="2"/>
        <v>2288363.7909130724</v>
      </c>
      <c r="N13" s="747">
        <f t="shared" si="2"/>
        <v>2288363.7909130724</v>
      </c>
      <c r="O13" s="160">
        <f t="shared" si="2"/>
        <v>9708173.9828432463</v>
      </c>
      <c r="P13" s="160">
        <f t="shared" si="2"/>
        <v>9708173.9828432463</v>
      </c>
    </row>
    <row r="14" spans="1:16" s="5" customFormat="1">
      <c r="A14" s="868" t="s">
        <v>29</v>
      </c>
      <c r="B14" s="258" t="s">
        <v>872</v>
      </c>
      <c r="C14" s="182"/>
      <c r="D14" s="182"/>
      <c r="E14" s="869">
        <f>+E11/E7</f>
        <v>0.22177366566962772</v>
      </c>
      <c r="F14" s="870">
        <f>+F11/F7</f>
        <v>0.22177366566962772</v>
      </c>
      <c r="G14" s="869">
        <f t="shared" ref="G14:P14" si="3">+G11/G7</f>
        <v>0.21703829113315792</v>
      </c>
      <c r="H14" s="870">
        <f t="shared" si="3"/>
        <v>0.21703829113315792</v>
      </c>
      <c r="I14" s="869">
        <f t="shared" si="3"/>
        <v>0.23914448175353503</v>
      </c>
      <c r="J14" s="870">
        <f t="shared" si="3"/>
        <v>0.23914448175353503</v>
      </c>
      <c r="K14" s="869">
        <f t="shared" si="3"/>
        <v>0.23963847392743154</v>
      </c>
      <c r="L14" s="870">
        <f t="shared" si="3"/>
        <v>0.23963847392743154</v>
      </c>
      <c r="M14" s="869">
        <f t="shared" si="3"/>
        <v>0.24222414610573251</v>
      </c>
      <c r="N14" s="870">
        <f t="shared" si="3"/>
        <v>0.24222414610573251</v>
      </c>
      <c r="O14" s="869">
        <f t="shared" si="3"/>
        <v>0.23297380012945951</v>
      </c>
      <c r="P14" s="869">
        <f t="shared" si="3"/>
        <v>0.23297380012945951</v>
      </c>
    </row>
    <row r="15" spans="1:16" s="5" customFormat="1">
      <c r="A15" s="868" t="s">
        <v>29</v>
      </c>
      <c r="B15" s="258" t="s">
        <v>871</v>
      </c>
      <c r="C15" s="182"/>
      <c r="D15" s="182"/>
      <c r="E15" s="869">
        <f>+E11/E8</f>
        <v>0.26612071834254347</v>
      </c>
      <c r="F15" s="870">
        <f>+F11/F8</f>
        <v>0.26612071834254347</v>
      </c>
      <c r="G15" s="869">
        <f t="shared" ref="G15:P15" si="4">+G11/G8</f>
        <v>0.26005449363748512</v>
      </c>
      <c r="H15" s="870">
        <f t="shared" si="4"/>
        <v>0.26005449363748512</v>
      </c>
      <c r="I15" s="869">
        <f t="shared" si="4"/>
        <v>0.27985321197892532</v>
      </c>
      <c r="J15" s="870">
        <f t="shared" si="4"/>
        <v>0.27985321197892532</v>
      </c>
      <c r="K15" s="869">
        <f t="shared" si="4"/>
        <v>0.27737007172307498</v>
      </c>
      <c r="L15" s="870">
        <f t="shared" si="4"/>
        <v>0.27737007172307498</v>
      </c>
      <c r="M15" s="869">
        <f t="shared" si="4"/>
        <v>0.27785524834006781</v>
      </c>
      <c r="N15" s="870">
        <f t="shared" si="4"/>
        <v>0.27785524834006781</v>
      </c>
      <c r="O15" s="869">
        <f t="shared" si="4"/>
        <v>0.27304478365006218</v>
      </c>
      <c r="P15" s="869">
        <f t="shared" si="4"/>
        <v>0.27304478365006218</v>
      </c>
    </row>
    <row r="16" spans="1:16">
      <c r="A16" s="862"/>
      <c r="B16" s="155" t="s">
        <v>867</v>
      </c>
      <c r="C16" s="160"/>
      <c r="D16" s="160"/>
      <c r="E16" s="160"/>
      <c r="F16" s="747"/>
      <c r="G16" s="160"/>
      <c r="H16" s="747"/>
      <c r="I16" s="160"/>
      <c r="J16" s="747"/>
      <c r="K16" s="160"/>
      <c r="L16" s="747"/>
      <c r="M16" s="160"/>
      <c r="N16" s="747"/>
      <c r="O16" s="160"/>
      <c r="P16" s="160"/>
    </row>
    <row r="17" spans="1:16" s="4" customFormat="1">
      <c r="A17" s="861">
        <v>1</v>
      </c>
      <c r="B17" s="158" t="s">
        <v>864</v>
      </c>
      <c r="C17" s="161">
        <f>SUM(C18:C19)</f>
        <v>0</v>
      </c>
      <c r="D17" s="161">
        <f t="shared" ref="D17:P17" si="5">SUM(D18:D19)</f>
        <v>0</v>
      </c>
      <c r="E17" s="161">
        <f t="shared" si="5"/>
        <v>1172210.8713205801</v>
      </c>
      <c r="F17" s="757">
        <f t="shared" si="5"/>
        <v>1172210.8713205801</v>
      </c>
      <c r="G17" s="161">
        <f t="shared" si="5"/>
        <v>1193362.7382765929</v>
      </c>
      <c r="H17" s="757">
        <f t="shared" si="5"/>
        <v>1193362.7382765929</v>
      </c>
      <c r="I17" s="161">
        <f t="shared" si="5"/>
        <v>1333442.1840729157</v>
      </c>
      <c r="J17" s="757">
        <f t="shared" si="5"/>
        <v>1333442.1840729157</v>
      </c>
      <c r="K17" s="161">
        <f t="shared" si="5"/>
        <v>1475781.9322816809</v>
      </c>
      <c r="L17" s="757">
        <f t="shared" si="5"/>
        <v>1475781.9322816809</v>
      </c>
      <c r="M17" s="161">
        <f t="shared" si="5"/>
        <v>1608653.6306009274</v>
      </c>
      <c r="N17" s="757">
        <f t="shared" si="5"/>
        <v>1608653.6306009274</v>
      </c>
      <c r="O17" s="161">
        <f t="shared" si="5"/>
        <v>6783451.3565526977</v>
      </c>
      <c r="P17" s="161">
        <f t="shared" si="5"/>
        <v>6783451.3565526968</v>
      </c>
    </row>
    <row r="18" spans="1:16">
      <c r="A18" s="862"/>
      <c r="B18" s="155" t="s">
        <v>865</v>
      </c>
      <c r="C18" s="160"/>
      <c r="D18" s="160"/>
      <c r="E18" s="160">
        <f>+'Phụ lục số II'!U12</f>
        <v>591210.46235070401</v>
      </c>
      <c r="F18" s="747">
        <f>+E18</f>
        <v>591210.46235070401</v>
      </c>
      <c r="G18" s="160">
        <f>+'Phụ lục số II'!Z12</f>
        <v>604867.42403100536</v>
      </c>
      <c r="H18" s="747">
        <f>+G18</f>
        <v>604867.42403100536</v>
      </c>
      <c r="I18" s="160">
        <f>+'Phụ lục số II'!AE12</f>
        <v>662611.98082950001</v>
      </c>
      <c r="J18" s="747">
        <f>+I18</f>
        <v>662611.98082950001</v>
      </c>
      <c r="K18" s="160">
        <f>+'Phụ lục số II'!AJ12</f>
        <v>756297.66681038565</v>
      </c>
      <c r="L18" s="747">
        <f>+K18</f>
        <v>756297.66681038565</v>
      </c>
      <c r="M18" s="160">
        <f>+'Phụ lục số II'!AO12</f>
        <v>805289.83968785498</v>
      </c>
      <c r="N18" s="747">
        <f>+M18</f>
        <v>805289.83968785498</v>
      </c>
      <c r="O18" s="160">
        <f>+E18+G18+I18+K18+M18</f>
        <v>3420277.3737094505</v>
      </c>
      <c r="P18" s="160">
        <f>+N18+L18+J18+H18+F18</f>
        <v>3420277.3737094495</v>
      </c>
    </row>
    <row r="19" spans="1:16">
      <c r="A19" s="862"/>
      <c r="B19" s="155" t="s">
        <v>866</v>
      </c>
      <c r="C19" s="160"/>
      <c r="D19" s="160"/>
      <c r="E19" s="160">
        <f>+'Phụ lục số II'!V12</f>
        <v>581000.40896987612</v>
      </c>
      <c r="F19" s="747">
        <f>+E19</f>
        <v>581000.40896987612</v>
      </c>
      <c r="G19" s="160">
        <f>+'Phụ lục số II'!AA12</f>
        <v>588495.31424558745</v>
      </c>
      <c r="H19" s="747">
        <f>+G19</f>
        <v>588495.31424558745</v>
      </c>
      <c r="I19" s="160">
        <f>+'Phụ lục số II'!AF12</f>
        <v>670830.20324341569</v>
      </c>
      <c r="J19" s="747">
        <f>+I19</f>
        <v>670830.20324341569</v>
      </c>
      <c r="K19" s="160">
        <f>+'Phụ lục số II'!AK12</f>
        <v>719484.26547129534</v>
      </c>
      <c r="L19" s="747">
        <f>+K19</f>
        <v>719484.26547129534</v>
      </c>
      <c r="M19" s="160">
        <f>+'Phụ lục số II'!AP12</f>
        <v>803363.79091307241</v>
      </c>
      <c r="N19" s="747">
        <f>+M19</f>
        <v>803363.79091307241</v>
      </c>
      <c r="O19" s="160">
        <f>+E19+G19+I19+K19+M19</f>
        <v>3363173.9828432472</v>
      </c>
      <c r="P19" s="160">
        <f>+N19+L19+J19+H19+F19</f>
        <v>3363173.9828432472</v>
      </c>
    </row>
    <row r="20" spans="1:16" s="4" customFormat="1">
      <c r="A20" s="861">
        <v>2</v>
      </c>
      <c r="B20" s="158" t="s">
        <v>144</v>
      </c>
      <c r="C20" s="161">
        <f>SUM(C21:C22)</f>
        <v>0</v>
      </c>
      <c r="D20" s="161">
        <f t="shared" ref="D20:P20" si="6">SUM(D21:D22)</f>
        <v>0</v>
      </c>
      <c r="E20" s="161">
        <f t="shared" si="6"/>
        <v>1570000</v>
      </c>
      <c r="F20" s="757">
        <f t="shared" si="6"/>
        <v>1570000</v>
      </c>
      <c r="G20" s="161">
        <f t="shared" si="6"/>
        <v>1480000</v>
      </c>
      <c r="H20" s="757">
        <f t="shared" si="6"/>
        <v>1480000</v>
      </c>
      <c r="I20" s="161">
        <f t="shared" si="6"/>
        <v>1660000</v>
      </c>
      <c r="J20" s="757">
        <f>SUM(J21:J22)</f>
        <v>1660000</v>
      </c>
      <c r="K20" s="161">
        <f t="shared" si="6"/>
        <v>1800000</v>
      </c>
      <c r="L20" s="757">
        <f t="shared" si="6"/>
        <v>1800000</v>
      </c>
      <c r="M20" s="161">
        <f t="shared" si="6"/>
        <v>1935000</v>
      </c>
      <c r="N20" s="757">
        <f t="shared" si="6"/>
        <v>1935000</v>
      </c>
      <c r="O20" s="161">
        <f t="shared" si="6"/>
        <v>8445000</v>
      </c>
      <c r="P20" s="161">
        <f t="shared" si="6"/>
        <v>8445000</v>
      </c>
    </row>
    <row r="21" spans="1:16">
      <c r="A21" s="862"/>
      <c r="B21" s="155" t="s">
        <v>865</v>
      </c>
      <c r="C21" s="160"/>
      <c r="D21" s="160"/>
      <c r="E21" s="160">
        <f>+'Phụ lục số II'!U13</f>
        <v>400000</v>
      </c>
      <c r="F21" s="747">
        <f>+E21</f>
        <v>400000</v>
      </c>
      <c r="G21" s="160">
        <f>+'Phụ lục số II'!Z13</f>
        <v>400000</v>
      </c>
      <c r="H21" s="747">
        <f>+G21</f>
        <v>400000</v>
      </c>
      <c r="I21" s="160">
        <f>+'Phụ lục số II'!AE13</f>
        <v>400000</v>
      </c>
      <c r="J21" s="747">
        <f>+I21</f>
        <v>400000</v>
      </c>
      <c r="K21" s="160">
        <f>+'Phụ lục số II'!AJ13</f>
        <v>450000</v>
      </c>
      <c r="L21" s="747">
        <f>+K21</f>
        <v>450000</v>
      </c>
      <c r="M21" s="160">
        <f>+'Phụ lục số II'!AO13</f>
        <v>450000</v>
      </c>
      <c r="N21" s="747">
        <f>+M21</f>
        <v>450000</v>
      </c>
      <c r="O21" s="160">
        <f>+E21+G21+I21+K21+M21</f>
        <v>2100000</v>
      </c>
      <c r="P21" s="160">
        <f>+N21+L21+J21+H21+F21</f>
        <v>2100000</v>
      </c>
    </row>
    <row r="22" spans="1:16">
      <c r="A22" s="862"/>
      <c r="B22" s="155" t="s">
        <v>866</v>
      </c>
      <c r="C22" s="160"/>
      <c r="D22" s="160"/>
      <c r="E22" s="160">
        <f>+'Phụ lục số II'!V13</f>
        <v>1170000</v>
      </c>
      <c r="F22" s="747">
        <f>+E22</f>
        <v>1170000</v>
      </c>
      <c r="G22" s="160">
        <f>+'Phụ lục số II'!AA13</f>
        <v>1080000</v>
      </c>
      <c r="H22" s="747">
        <f>+G22</f>
        <v>1080000</v>
      </c>
      <c r="I22" s="160">
        <f>+'Phụ lục số II'!AF13</f>
        <v>1260000</v>
      </c>
      <c r="J22" s="747">
        <f>+I22</f>
        <v>1260000</v>
      </c>
      <c r="K22" s="160">
        <f>+'Phụ lục số II'!AK13</f>
        <v>1350000</v>
      </c>
      <c r="L22" s="747">
        <f>+K22</f>
        <v>1350000</v>
      </c>
      <c r="M22" s="160">
        <f>+'Phụ lục số II'!AP13</f>
        <v>1485000</v>
      </c>
      <c r="N22" s="747">
        <f>+M22</f>
        <v>1485000</v>
      </c>
      <c r="O22" s="160">
        <f>+E22+G22+I22+K22+M22</f>
        <v>6345000</v>
      </c>
      <c r="P22" s="160">
        <f>+N22+L22+J22+H22+F22</f>
        <v>6345000</v>
      </c>
    </row>
    <row r="23" spans="1:16" s="4" customFormat="1">
      <c r="A23" s="861">
        <v>3</v>
      </c>
      <c r="B23" s="158" t="s">
        <v>145</v>
      </c>
      <c r="C23" s="161">
        <f>SUM(C24:C25)</f>
        <v>0</v>
      </c>
      <c r="D23" s="161">
        <f t="shared" ref="D23:P23" si="7">SUM(D24:D25)</f>
        <v>0</v>
      </c>
      <c r="E23" s="161">
        <f t="shared" si="7"/>
        <v>1850000</v>
      </c>
      <c r="F23" s="757">
        <f t="shared" si="7"/>
        <v>1850000</v>
      </c>
      <c r="G23" s="161">
        <f t="shared" si="7"/>
        <v>1850000</v>
      </c>
      <c r="H23" s="757">
        <f t="shared" si="7"/>
        <v>1850000</v>
      </c>
      <c r="I23" s="161">
        <f t="shared" si="7"/>
        <v>2000000</v>
      </c>
      <c r="J23" s="757">
        <f t="shared" si="7"/>
        <v>2000000</v>
      </c>
      <c r="K23" s="161">
        <f t="shared" si="7"/>
        <v>2100000</v>
      </c>
      <c r="L23" s="757">
        <f t="shared" si="7"/>
        <v>2100000</v>
      </c>
      <c r="M23" s="161">
        <f t="shared" si="7"/>
        <v>2200000</v>
      </c>
      <c r="N23" s="757">
        <f t="shared" si="7"/>
        <v>2200000</v>
      </c>
      <c r="O23" s="161">
        <f t="shared" si="7"/>
        <v>10000000</v>
      </c>
      <c r="P23" s="161">
        <f t="shared" si="7"/>
        <v>10000000</v>
      </c>
    </row>
    <row r="24" spans="1:16">
      <c r="A24" s="862"/>
      <c r="B24" s="155" t="s">
        <v>865</v>
      </c>
      <c r="C24" s="160"/>
      <c r="D24" s="160"/>
      <c r="E24" s="160">
        <f>+'Phụ lục số II'!U14</f>
        <v>1850000</v>
      </c>
      <c r="F24" s="747">
        <f>+E24</f>
        <v>1850000</v>
      </c>
      <c r="G24" s="160">
        <f>+'Phụ lục số II'!Z14</f>
        <v>1850000</v>
      </c>
      <c r="H24" s="747">
        <f>+G24</f>
        <v>1850000</v>
      </c>
      <c r="I24" s="160">
        <f>+'Phụ lục số II'!AE14</f>
        <v>2000000</v>
      </c>
      <c r="J24" s="747">
        <f>+I24</f>
        <v>2000000</v>
      </c>
      <c r="K24" s="160">
        <f>+'Phụ lục số II'!AJ14</f>
        <v>2100000</v>
      </c>
      <c r="L24" s="747">
        <f>+K24</f>
        <v>2100000</v>
      </c>
      <c r="M24" s="160">
        <f>+'Phụ lục số II'!AO14</f>
        <v>2200000</v>
      </c>
      <c r="N24" s="747">
        <f>+M24</f>
        <v>2200000</v>
      </c>
      <c r="O24" s="160">
        <f>+E24+G24+I24+K24+M24</f>
        <v>10000000</v>
      </c>
      <c r="P24" s="160">
        <f>+N24+L24+J24+H24+F24</f>
        <v>10000000</v>
      </c>
    </row>
    <row r="25" spans="1:16">
      <c r="A25" s="862"/>
      <c r="B25" s="155" t="s">
        <v>866</v>
      </c>
      <c r="C25" s="160"/>
      <c r="D25" s="160"/>
      <c r="E25" s="160">
        <f>+'Phụ lục số II'!V14</f>
        <v>0</v>
      </c>
      <c r="F25" s="747">
        <f>+E25</f>
        <v>0</v>
      </c>
      <c r="G25" s="160">
        <f>+'Phụ lục số II'!AA14</f>
        <v>0</v>
      </c>
      <c r="H25" s="747">
        <f>+G25</f>
        <v>0</v>
      </c>
      <c r="I25" s="160">
        <f>+'Phụ lục số II'!AF14</f>
        <v>0</v>
      </c>
      <c r="J25" s="747">
        <f>+I25</f>
        <v>0</v>
      </c>
      <c r="K25" s="160">
        <f>+'Phụ lục số II'!AK14</f>
        <v>0</v>
      </c>
      <c r="L25" s="747">
        <f>+K25</f>
        <v>0</v>
      </c>
      <c r="M25" s="160">
        <f>+'Phụ lục số II'!AP14</f>
        <v>0</v>
      </c>
      <c r="N25" s="747"/>
      <c r="O25" s="160">
        <f>+E25+G25+I25+K25+M25</f>
        <v>0</v>
      </c>
      <c r="P25" s="160">
        <f>+N25+L25+J25+H25+F25</f>
        <v>0</v>
      </c>
    </row>
    <row r="26" spans="1:16" s="4" customFormat="1">
      <c r="A26" s="861">
        <v>4</v>
      </c>
      <c r="B26" s="158" t="s">
        <v>321</v>
      </c>
      <c r="C26" s="161">
        <f>SUM(C27:C28)</f>
        <v>0</v>
      </c>
      <c r="D26" s="161">
        <f t="shared" ref="D26:P26" si="8">SUM(D27:D28)</f>
        <v>0</v>
      </c>
      <c r="E26" s="161">
        <f t="shared" si="8"/>
        <v>300000</v>
      </c>
      <c r="F26" s="757">
        <f t="shared" si="8"/>
        <v>300000</v>
      </c>
      <c r="G26" s="161">
        <f t="shared" si="8"/>
        <v>300000</v>
      </c>
      <c r="H26" s="757">
        <f t="shared" si="8"/>
        <v>300000</v>
      </c>
      <c r="I26" s="161">
        <f t="shared" si="8"/>
        <v>1050000</v>
      </c>
      <c r="J26" s="757">
        <f t="shared" si="8"/>
        <v>1050000</v>
      </c>
      <c r="K26" s="161">
        <f t="shared" si="8"/>
        <v>1100000</v>
      </c>
      <c r="L26" s="757">
        <f t="shared" si="8"/>
        <v>1100000</v>
      </c>
      <c r="M26" s="161">
        <f t="shared" si="8"/>
        <v>1200000</v>
      </c>
      <c r="N26" s="757">
        <f t="shared" si="8"/>
        <v>1200000</v>
      </c>
      <c r="O26" s="161">
        <f t="shared" si="8"/>
        <v>3950000</v>
      </c>
      <c r="P26" s="161">
        <f t="shared" si="8"/>
        <v>3950000</v>
      </c>
    </row>
    <row r="27" spans="1:16">
      <c r="A27" s="862"/>
      <c r="B27" s="155" t="s">
        <v>865</v>
      </c>
      <c r="C27" s="160"/>
      <c r="D27" s="160"/>
      <c r="E27" s="160">
        <f>+'Phụ lục số II'!U16</f>
        <v>300000</v>
      </c>
      <c r="F27" s="747">
        <f>+E27</f>
        <v>300000</v>
      </c>
      <c r="G27" s="160">
        <f>+'Phụ lục số II'!Z16</f>
        <v>300000</v>
      </c>
      <c r="H27" s="747">
        <f>+G27</f>
        <v>300000</v>
      </c>
      <c r="I27" s="160">
        <f>+'Phụ lục số II'!AE16</f>
        <v>1050000</v>
      </c>
      <c r="J27" s="747">
        <f>+I27</f>
        <v>1050000</v>
      </c>
      <c r="K27" s="160">
        <f>+'Phụ lục số II'!AJ16</f>
        <v>1100000</v>
      </c>
      <c r="L27" s="747">
        <f>+K27</f>
        <v>1100000</v>
      </c>
      <c r="M27" s="160">
        <f>+'Phụ lục số II'!AO16</f>
        <v>1200000</v>
      </c>
      <c r="N27" s="747">
        <f>+M27</f>
        <v>1200000</v>
      </c>
      <c r="O27" s="160">
        <f>+E27+G27+I27+K27+M27</f>
        <v>3950000</v>
      </c>
      <c r="P27" s="160">
        <f>+N27+L27+J27+H27+F27</f>
        <v>3950000</v>
      </c>
    </row>
    <row r="28" spans="1:16">
      <c r="A28" s="862"/>
      <c r="B28" s="155" t="s">
        <v>866</v>
      </c>
      <c r="C28" s="160"/>
      <c r="D28" s="160"/>
      <c r="E28" s="160">
        <f>+'Phụ lục số II'!V16</f>
        <v>0</v>
      </c>
      <c r="F28" s="747">
        <f>+E28</f>
        <v>0</v>
      </c>
      <c r="G28" s="160">
        <f>+'Phụ lục số II'!AA16</f>
        <v>0</v>
      </c>
      <c r="H28" s="747">
        <f>+G28</f>
        <v>0</v>
      </c>
      <c r="I28" s="160">
        <f>+'Phụ lục số II'!AF16</f>
        <v>0</v>
      </c>
      <c r="J28" s="747">
        <f>+I28</f>
        <v>0</v>
      </c>
      <c r="K28" s="160">
        <f>+'Phụ lục số II'!AK16</f>
        <v>0</v>
      </c>
      <c r="L28" s="747">
        <f>+K28</f>
        <v>0</v>
      </c>
      <c r="M28" s="160">
        <f>+'Phụ lục số II'!AP16</f>
        <v>0</v>
      </c>
      <c r="N28" s="747"/>
      <c r="O28" s="160">
        <f>+E28+G28+I28+K28+M28</f>
        <v>0</v>
      </c>
      <c r="P28" s="160">
        <f>+N28+L28+J28+H28+F28</f>
        <v>0</v>
      </c>
    </row>
    <row r="29" spans="1:16" s="738" customFormat="1" ht="31.2">
      <c r="A29" s="864" t="s">
        <v>33</v>
      </c>
      <c r="B29" s="865" t="s">
        <v>869</v>
      </c>
      <c r="C29" s="866"/>
      <c r="D29" s="866"/>
      <c r="E29" s="866">
        <f>+SUM(E30:E31)</f>
        <v>3101719</v>
      </c>
      <c r="F29" s="867">
        <f>+SUM(F30:F31)</f>
        <v>3101719</v>
      </c>
      <c r="G29" s="866">
        <f t="shared" ref="G29:P29" si="9">+SUM(G30:G31)</f>
        <v>3101719</v>
      </c>
      <c r="H29" s="867">
        <f t="shared" si="9"/>
        <v>3101719</v>
      </c>
      <c r="I29" s="866">
        <f t="shared" si="9"/>
        <v>3101719</v>
      </c>
      <c r="J29" s="867">
        <f t="shared" si="9"/>
        <v>3101719</v>
      </c>
      <c r="K29" s="866">
        <f t="shared" si="9"/>
        <v>3101719</v>
      </c>
      <c r="L29" s="867">
        <f t="shared" si="9"/>
        <v>3101719</v>
      </c>
      <c r="M29" s="866">
        <f t="shared" si="9"/>
        <v>3101719</v>
      </c>
      <c r="N29" s="867">
        <f t="shared" si="9"/>
        <v>3101719</v>
      </c>
      <c r="O29" s="866">
        <f t="shared" si="9"/>
        <v>15508595</v>
      </c>
      <c r="P29" s="867">
        <f t="shared" si="9"/>
        <v>15508595</v>
      </c>
    </row>
    <row r="30" spans="1:16">
      <c r="A30" s="862"/>
      <c r="B30" s="155" t="s">
        <v>865</v>
      </c>
      <c r="C30" s="160"/>
      <c r="D30" s="160"/>
      <c r="E30" s="160">
        <f>+'Phụ lục số II'!R37+'Phụ lục số II'!R38</f>
        <v>3101719</v>
      </c>
      <c r="F30" s="747">
        <f>+E30</f>
        <v>3101719</v>
      </c>
      <c r="G30" s="160">
        <f>+'Phụ lục số II'!W37+'Phụ lục số II'!W38</f>
        <v>3101719</v>
      </c>
      <c r="H30" s="747">
        <f>+G30</f>
        <v>3101719</v>
      </c>
      <c r="I30" s="160">
        <f>+'Phụ lục số II'!AB37+'Phụ lục số II'!AB38</f>
        <v>3101719</v>
      </c>
      <c r="J30" s="747">
        <f>+I30</f>
        <v>3101719</v>
      </c>
      <c r="K30" s="160">
        <f>+'Phụ lục số II'!AG37+'Phụ lục số II'!AG38</f>
        <v>3101719</v>
      </c>
      <c r="L30" s="747">
        <f>+K30</f>
        <v>3101719</v>
      </c>
      <c r="M30" s="160">
        <f>+'Phụ lục số II'!AL37+'Phụ lục số II'!AL38</f>
        <v>3101719</v>
      </c>
      <c r="N30" s="747">
        <f>+M30</f>
        <v>3101719</v>
      </c>
      <c r="O30" s="160">
        <f>+E30+G30+I30+K30+M30</f>
        <v>15508595</v>
      </c>
      <c r="P30" s="160">
        <f>+N30+L30+J30+H30+F30</f>
        <v>15508595</v>
      </c>
    </row>
    <row r="31" spans="1:16">
      <c r="A31" s="862"/>
      <c r="B31" s="155" t="s">
        <v>866</v>
      </c>
      <c r="C31" s="160"/>
      <c r="D31" s="160"/>
      <c r="E31" s="160"/>
      <c r="F31" s="160"/>
      <c r="G31" s="160"/>
      <c r="H31" s="747"/>
      <c r="I31" s="160"/>
      <c r="J31" s="160"/>
      <c r="K31" s="160"/>
      <c r="L31" s="160"/>
      <c r="M31" s="160"/>
      <c r="N31" s="160"/>
      <c r="O31" s="160"/>
      <c r="P31" s="160"/>
    </row>
    <row r="32" spans="1:16" s="5" customFormat="1">
      <c r="A32" s="868" t="s">
        <v>29</v>
      </c>
      <c r="B32" s="258" t="s">
        <v>872</v>
      </c>
      <c r="C32" s="182"/>
      <c r="D32" s="182"/>
      <c r="E32" s="869">
        <f>+E29/E7</f>
        <v>0.14060710190144546</v>
      </c>
      <c r="F32" s="869">
        <f t="shared" ref="F32:P32" si="10">+F29/F7</f>
        <v>0.14060710190144546</v>
      </c>
      <c r="G32" s="869">
        <f t="shared" si="10"/>
        <v>0.13956897456478293</v>
      </c>
      <c r="H32" s="869">
        <f t="shared" si="10"/>
        <v>0.13956897456478293</v>
      </c>
      <c r="I32" s="869">
        <f t="shared" si="10"/>
        <v>0.12273783056201791</v>
      </c>
      <c r="J32" s="869">
        <f t="shared" si="10"/>
        <v>0.12273783056201791</v>
      </c>
      <c r="K32" s="869">
        <f t="shared" si="10"/>
        <v>0.11478014786236436</v>
      </c>
      <c r="L32" s="869">
        <f t="shared" si="10"/>
        <v>0.11478014786236436</v>
      </c>
      <c r="M32" s="869">
        <f t="shared" si="10"/>
        <v>0.10820113965994377</v>
      </c>
      <c r="N32" s="869">
        <f t="shared" si="10"/>
        <v>0.10820113965994377</v>
      </c>
      <c r="O32" s="869">
        <f t="shared" si="10"/>
        <v>0.12382755574199898</v>
      </c>
      <c r="P32" s="869">
        <f t="shared" si="10"/>
        <v>0.123827555741999</v>
      </c>
    </row>
    <row r="33" spans="1:16" s="5" customFormat="1">
      <c r="A33" s="868" t="s">
        <v>29</v>
      </c>
      <c r="B33" s="258" t="s">
        <v>871</v>
      </c>
      <c r="C33" s="182"/>
      <c r="D33" s="182"/>
      <c r="E33" s="869">
        <f>+E29/E8</f>
        <v>0.16872365277948503</v>
      </c>
      <c r="F33" s="869">
        <f t="shared" ref="F33:P33" si="11">+F29/F8</f>
        <v>0.16872365277948503</v>
      </c>
      <c r="G33" s="869">
        <f t="shared" si="11"/>
        <v>0.16723103936383063</v>
      </c>
      <c r="H33" s="869">
        <f t="shared" si="11"/>
        <v>0.16723103936383063</v>
      </c>
      <c r="I33" s="869">
        <f t="shared" si="11"/>
        <v>0.14363106295509609</v>
      </c>
      <c r="J33" s="869">
        <f t="shared" si="11"/>
        <v>0.14363106295509609</v>
      </c>
      <c r="K33" s="869">
        <f t="shared" si="11"/>
        <v>0.13285253124508739</v>
      </c>
      <c r="L33" s="869">
        <f t="shared" si="11"/>
        <v>0.13285253124508739</v>
      </c>
      <c r="M33" s="869">
        <f t="shared" si="11"/>
        <v>0.12411749618788534</v>
      </c>
      <c r="N33" s="869">
        <f t="shared" si="11"/>
        <v>0.12411749618788534</v>
      </c>
      <c r="O33" s="869">
        <f t="shared" si="11"/>
        <v>0.14512562420625083</v>
      </c>
      <c r="P33" s="869">
        <f t="shared" si="11"/>
        <v>0.14512562420625086</v>
      </c>
    </row>
    <row r="34" spans="1:16">
      <c r="A34" s="871"/>
      <c r="B34" s="753"/>
      <c r="C34" s="872"/>
      <c r="D34" s="872"/>
      <c r="E34" s="872"/>
      <c r="F34" s="872"/>
      <c r="G34" s="872"/>
      <c r="H34" s="872"/>
      <c r="I34" s="872"/>
      <c r="J34" s="872"/>
      <c r="K34" s="872"/>
      <c r="L34" s="872"/>
      <c r="M34" s="872"/>
      <c r="N34" s="872"/>
      <c r="O34" s="872"/>
      <c r="P34" s="872"/>
    </row>
  </sheetData>
  <mergeCells count="9">
    <mergeCell ref="K5:L5"/>
    <mergeCell ref="M5:N5"/>
    <mergeCell ref="O5:P5"/>
    <mergeCell ref="B5:B6"/>
    <mergeCell ref="A5:A6"/>
    <mergeCell ref="C5:D5"/>
    <mergeCell ref="E5:F5"/>
    <mergeCell ref="G5:H5"/>
    <mergeCell ref="I5:J5"/>
  </mergeCells>
  <hyperlinks>
    <hyperlink ref="A5:A6" location="'Danh mục file'!A1" display="Số T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218"/>
  <sheetViews>
    <sheetView workbookViewId="0">
      <selection activeCell="A6" sqref="A6"/>
    </sheetView>
  </sheetViews>
  <sheetFormatPr defaultColWidth="10.33203125" defaultRowHeight="14.4"/>
  <cols>
    <col min="1" max="1" width="10.33203125" style="4616"/>
    <col min="2" max="2" width="41.109375" style="4616" customWidth="1"/>
    <col min="3" max="3" width="17.88671875" style="4616" bestFit="1" customWidth="1"/>
    <col min="4" max="4" width="15.5546875" style="4616" bestFit="1" customWidth="1"/>
    <col min="5" max="5" width="15.44140625" style="4616" customWidth="1"/>
    <col min="6" max="6" width="15" style="4616" customWidth="1"/>
    <col min="7" max="8" width="10.33203125" style="4616"/>
    <col min="9" max="9" width="12.6640625" style="4616" bestFit="1" customWidth="1"/>
    <col min="10" max="16384" width="10.33203125" style="4616"/>
  </cols>
  <sheetData>
    <row r="1" spans="1:6" s="4614" customFormat="1" ht="15.6">
      <c r="B1" s="6467" t="s">
        <v>2910</v>
      </c>
      <c r="C1" s="6467"/>
      <c r="D1" s="6467"/>
      <c r="E1" s="6467"/>
      <c r="F1" s="6467"/>
    </row>
    <row r="3" spans="1:6" s="4614" customFormat="1" ht="15.6">
      <c r="B3" s="4615" t="s">
        <v>2911</v>
      </c>
    </row>
    <row r="4" spans="1:6" ht="15.6">
      <c r="B4" s="4614" t="s">
        <v>2912</v>
      </c>
    </row>
    <row r="5" spans="1:6">
      <c r="E5" s="4617" t="s">
        <v>2913</v>
      </c>
    </row>
    <row r="6" spans="1:6" ht="62.4">
      <c r="A6" s="4618" t="s">
        <v>136</v>
      </c>
      <c r="B6" s="4619" t="s">
        <v>2914</v>
      </c>
      <c r="C6" s="4619" t="s">
        <v>2915</v>
      </c>
      <c r="D6" s="4619" t="s">
        <v>2916</v>
      </c>
      <c r="E6" s="4619" t="s">
        <v>2917</v>
      </c>
      <c r="F6" s="4619" t="s">
        <v>2918</v>
      </c>
    </row>
    <row r="7" spans="1:6">
      <c r="B7" s="4620" t="s">
        <v>2218</v>
      </c>
      <c r="C7" s="4621">
        <v>2148100</v>
      </c>
      <c r="D7" s="4621">
        <v>3007400</v>
      </c>
      <c r="E7" s="4621">
        <f>+D7-C7</f>
        <v>859300</v>
      </c>
      <c r="F7" s="4622">
        <f>D7/C7*100-100</f>
        <v>40.002793166053721</v>
      </c>
    </row>
    <row r="8" spans="1:6">
      <c r="B8" s="4620" t="s">
        <v>2219</v>
      </c>
      <c r="C8" s="4621">
        <v>2527200</v>
      </c>
      <c r="D8" s="4621">
        <v>3538100</v>
      </c>
      <c r="E8" s="4621">
        <f>+D8-C8</f>
        <v>1010900</v>
      </c>
      <c r="F8" s="4622">
        <f>D8/C8*100-100</f>
        <v>40.000791389680273</v>
      </c>
    </row>
    <row r="9" spans="1:6" ht="15.6">
      <c r="B9" s="4623" t="s">
        <v>2220</v>
      </c>
      <c r="C9" s="4621">
        <v>3538100</v>
      </c>
      <c r="D9" s="4621">
        <v>4953300</v>
      </c>
      <c r="E9" s="4621">
        <f>+D9-C9</f>
        <v>1415200</v>
      </c>
      <c r="F9" s="4622">
        <f>D9/C9*100-100</f>
        <v>39.998869449704642</v>
      </c>
    </row>
    <row r="10" spans="1:6" ht="15.6">
      <c r="B10" s="4623" t="s">
        <v>2221</v>
      </c>
      <c r="C10" s="4621">
        <v>5054400</v>
      </c>
      <c r="D10" s="4621">
        <v>7076200</v>
      </c>
      <c r="E10" s="4621">
        <f>+D10-C10</f>
        <v>2021800</v>
      </c>
      <c r="F10" s="4622">
        <f>D10/C10*100-100</f>
        <v>40.000791389680273</v>
      </c>
    </row>
    <row r="11" spans="1:6" ht="15.6">
      <c r="B11" s="6466" t="s">
        <v>2919</v>
      </c>
      <c r="C11" s="6466"/>
      <c r="D11" s="6466"/>
      <c r="E11" s="6466"/>
      <c r="F11" s="6466"/>
    </row>
    <row r="13" spans="1:6" ht="46.8">
      <c r="B13" s="4619" t="s">
        <v>2920</v>
      </c>
      <c r="C13" s="4619" t="s">
        <v>2921</v>
      </c>
      <c r="D13" s="4619" t="s">
        <v>2922</v>
      </c>
      <c r="E13" s="4619" t="s">
        <v>1616</v>
      </c>
    </row>
    <row r="14" spans="1:6">
      <c r="B14" s="4620" t="s">
        <v>2923</v>
      </c>
      <c r="C14" s="4624">
        <v>0.82</v>
      </c>
      <c r="D14" s="4624">
        <v>0.81</v>
      </c>
      <c r="E14" s="4624">
        <f>D14-C14</f>
        <v>-9.9999999999998979E-3</v>
      </c>
    </row>
    <row r="15" spans="1:6">
      <c r="B15" s="4620" t="s">
        <v>2924</v>
      </c>
      <c r="C15" s="4624">
        <v>0.18</v>
      </c>
      <c r="D15" s="4624">
        <f>100%-D14</f>
        <v>0.18999999999999995</v>
      </c>
      <c r="E15" s="4624">
        <f>D15-C15</f>
        <v>9.9999999999999534E-3</v>
      </c>
    </row>
    <row r="16" spans="1:6">
      <c r="B16" s="4620" t="s">
        <v>54</v>
      </c>
      <c r="C16" s="4624">
        <f>C14+C15</f>
        <v>1</v>
      </c>
      <c r="D16" s="4624">
        <f>D14+D15</f>
        <v>1</v>
      </c>
      <c r="E16" s="4624">
        <f>E14+E15</f>
        <v>5.5511151231257827E-17</v>
      </c>
    </row>
    <row r="17" spans="2:7" ht="15.6">
      <c r="B17" s="6466" t="s">
        <v>2925</v>
      </c>
      <c r="C17" s="6466"/>
      <c r="D17" s="6466"/>
      <c r="E17" s="6466"/>
      <c r="F17" s="6466"/>
    </row>
    <row r="18" spans="2:7" ht="15.6">
      <c r="B18" s="4625" t="s">
        <v>2926</v>
      </c>
      <c r="C18" s="4626"/>
      <c r="D18" s="4626"/>
      <c r="E18" s="4626"/>
    </row>
    <row r="19" spans="2:7" customFormat="1" ht="16.8">
      <c r="B19" s="6466" t="s">
        <v>2927</v>
      </c>
      <c r="C19" s="6466"/>
      <c r="D19" s="6466"/>
      <c r="E19" s="6466"/>
      <c r="F19" s="6466"/>
      <c r="G19" s="4627"/>
    </row>
    <row r="20" spans="2:7" customFormat="1" ht="16.8">
      <c r="B20" s="6466" t="s">
        <v>2928</v>
      </c>
      <c r="C20" s="6466"/>
      <c r="D20" s="6466"/>
      <c r="E20" s="6466"/>
      <c r="F20" s="6466"/>
      <c r="G20" s="4627"/>
    </row>
    <row r="21" spans="2:7" customFormat="1" ht="16.8">
      <c r="B21" s="6466" t="s">
        <v>2929</v>
      </c>
      <c r="C21" s="6466"/>
      <c r="D21" s="6466"/>
      <c r="E21" s="6466"/>
      <c r="F21" s="6466"/>
      <c r="G21" s="4627"/>
    </row>
    <row r="22" spans="2:7" customFormat="1" ht="16.8">
      <c r="B22" s="6466" t="s">
        <v>2930</v>
      </c>
      <c r="C22" s="6466"/>
      <c r="D22" s="6466"/>
      <c r="E22" s="6466"/>
      <c r="F22" s="6466"/>
      <c r="G22" s="4627"/>
    </row>
    <row r="23" spans="2:7" s="4614" customFormat="1" ht="15.6">
      <c r="B23" s="4615" t="s">
        <v>2931</v>
      </c>
    </row>
    <row r="24" spans="2:7" ht="15.6">
      <c r="B24" s="4614" t="s">
        <v>2932</v>
      </c>
    </row>
    <row r="25" spans="2:7" ht="15.6">
      <c r="E25" s="4628" t="s">
        <v>2913</v>
      </c>
    </row>
    <row r="26" spans="2:7" ht="62.4">
      <c r="B26" s="4619" t="s">
        <v>2914</v>
      </c>
      <c r="C26" s="4619" t="s">
        <v>2915</v>
      </c>
      <c r="D26" s="4619" t="s">
        <v>2916</v>
      </c>
      <c r="E26" s="4619" t="s">
        <v>2917</v>
      </c>
      <c r="F26" s="4619" t="s">
        <v>2918</v>
      </c>
    </row>
    <row r="27" spans="2:7">
      <c r="B27" s="4629" t="s">
        <v>2218</v>
      </c>
      <c r="C27" s="4621">
        <v>92200</v>
      </c>
      <c r="D27" s="4621">
        <v>129200</v>
      </c>
      <c r="E27" s="4621">
        <f>+D27-C27</f>
        <v>37000</v>
      </c>
      <c r="F27" s="4622">
        <f>D27/C27*100-100</f>
        <v>40.130151843817771</v>
      </c>
    </row>
    <row r="28" spans="2:7">
      <c r="B28" s="4620" t="s">
        <v>2219</v>
      </c>
      <c r="C28" s="4621">
        <v>102500</v>
      </c>
      <c r="D28" s="4621">
        <v>143500</v>
      </c>
      <c r="E28" s="4621">
        <f>+D28-C28</f>
        <v>41000</v>
      </c>
      <c r="F28" s="4622">
        <f>D28/C28*100-100</f>
        <v>40</v>
      </c>
    </row>
    <row r="29" spans="2:7">
      <c r="B29" s="4629" t="s">
        <v>2220</v>
      </c>
      <c r="C29" s="4621">
        <v>143500</v>
      </c>
      <c r="D29" s="4621">
        <v>200900</v>
      </c>
      <c r="E29" s="4621">
        <f>+D29-C29</f>
        <v>57400</v>
      </c>
      <c r="F29" s="4622">
        <f>D29/C29*100-100</f>
        <v>40</v>
      </c>
    </row>
    <row r="30" spans="2:7">
      <c r="B30" s="4629" t="s">
        <v>2221</v>
      </c>
      <c r="C30" s="4621">
        <v>205000</v>
      </c>
      <c r="D30" s="4621">
        <v>287000</v>
      </c>
      <c r="E30" s="4621">
        <f>+D30-C30</f>
        <v>82000</v>
      </c>
      <c r="F30" s="4622">
        <f>D30/C30*100-100</f>
        <v>40</v>
      </c>
    </row>
    <row r="31" spans="2:7" ht="15.6">
      <c r="B31" s="6466" t="s">
        <v>2933</v>
      </c>
      <c r="C31" s="6466"/>
      <c r="D31" s="6466"/>
      <c r="E31" s="6466"/>
      <c r="F31" s="6466"/>
    </row>
    <row r="33" spans="2:6" s="4614" customFormat="1" ht="15.6">
      <c r="B33" s="4615" t="s">
        <v>2934</v>
      </c>
    </row>
    <row r="34" spans="2:6" s="4614" customFormat="1" ht="15.6">
      <c r="B34" s="4614" t="s">
        <v>2935</v>
      </c>
    </row>
    <row r="35" spans="2:6">
      <c r="E35" s="4617" t="s">
        <v>2913</v>
      </c>
    </row>
    <row r="36" spans="2:6" ht="62.4">
      <c r="B36" s="4619" t="s">
        <v>2914</v>
      </c>
      <c r="C36" s="4619" t="s">
        <v>2915</v>
      </c>
      <c r="D36" s="4619" t="s">
        <v>2916</v>
      </c>
      <c r="E36" s="4619" t="s">
        <v>2917</v>
      </c>
      <c r="F36" s="4619" t="s">
        <v>2918</v>
      </c>
    </row>
    <row r="37" spans="2:6">
      <c r="B37" s="4629" t="s">
        <v>2218</v>
      </c>
      <c r="C37" s="4621">
        <v>182700</v>
      </c>
      <c r="D37" s="4621">
        <v>182700</v>
      </c>
      <c r="E37" s="4621">
        <f>+D37-C37</f>
        <v>0</v>
      </c>
      <c r="F37" s="4622">
        <f>D37/C37*100-100</f>
        <v>0</v>
      </c>
    </row>
    <row r="38" spans="2:6">
      <c r="B38" s="4620" t="s">
        <v>2219</v>
      </c>
      <c r="C38" s="4621">
        <v>246900</v>
      </c>
      <c r="D38" s="4621">
        <v>246900</v>
      </c>
      <c r="E38" s="4621">
        <f>+D38-C38</f>
        <v>0</v>
      </c>
      <c r="F38" s="4622">
        <f>D38/C38*100-100</f>
        <v>0</v>
      </c>
    </row>
    <row r="39" spans="2:6">
      <c r="B39" s="4629" t="s">
        <v>2220</v>
      </c>
      <c r="C39" s="4621">
        <v>333300</v>
      </c>
      <c r="D39" s="4621">
        <v>333300</v>
      </c>
      <c r="E39" s="4621">
        <f>+D39-C39</f>
        <v>0</v>
      </c>
      <c r="F39" s="4622">
        <f>D39/C39*100-100</f>
        <v>0</v>
      </c>
    </row>
    <row r="40" spans="2:6">
      <c r="B40" s="4629" t="s">
        <v>2221</v>
      </c>
      <c r="C40" s="4621">
        <v>469100</v>
      </c>
      <c r="D40" s="4621">
        <v>469100</v>
      </c>
      <c r="E40" s="4621">
        <f>+D40-C40</f>
        <v>0</v>
      </c>
      <c r="F40" s="4622">
        <f>D40/C40*100-100</f>
        <v>0</v>
      </c>
    </row>
    <row r="41" spans="2:6" ht="15.6">
      <c r="B41" s="6468" t="s">
        <v>2936</v>
      </c>
      <c r="C41" s="6468"/>
      <c r="D41" s="6468"/>
      <c r="E41" s="6468"/>
      <c r="F41" s="6468"/>
    </row>
    <row r="42" spans="2:6" ht="15.6">
      <c r="B42" s="4625" t="s">
        <v>2926</v>
      </c>
      <c r="C42" s="4626"/>
      <c r="D42" s="4626"/>
      <c r="E42" s="4626"/>
    </row>
    <row r="43" spans="2:6" ht="15.6">
      <c r="B43" s="6468" t="s">
        <v>2937</v>
      </c>
      <c r="C43" s="6468"/>
      <c r="D43" s="6468"/>
      <c r="E43" s="6468"/>
      <c r="F43" s="6468"/>
    </row>
    <row r="44" spans="2:6" s="4614" customFormat="1" ht="15.6">
      <c r="B44" s="4615" t="s">
        <v>2938</v>
      </c>
    </row>
    <row r="45" spans="2:6" s="4614" customFormat="1" ht="15.6">
      <c r="B45" s="4614" t="s">
        <v>2935</v>
      </c>
    </row>
    <row r="46" spans="2:6">
      <c r="E46" s="4617" t="s">
        <v>2913</v>
      </c>
    </row>
    <row r="47" spans="2:6" ht="62.4">
      <c r="B47" s="4619" t="s">
        <v>2914</v>
      </c>
      <c r="C47" s="4619" t="s">
        <v>2915</v>
      </c>
      <c r="D47" s="4619" t="s">
        <v>2916</v>
      </c>
      <c r="E47" s="4619" t="s">
        <v>2917</v>
      </c>
      <c r="F47" s="4619" t="s">
        <v>2918</v>
      </c>
    </row>
    <row r="48" spans="2:6">
      <c r="B48" s="4629" t="s">
        <v>2218</v>
      </c>
      <c r="C48" s="4621">
        <v>52700</v>
      </c>
      <c r="D48" s="4621">
        <v>73800</v>
      </c>
      <c r="E48" s="4621">
        <f>+D48-C48</f>
        <v>21100</v>
      </c>
      <c r="F48" s="4622">
        <f>D48/C48*100-100</f>
        <v>40.037950664136616</v>
      </c>
    </row>
    <row r="49" spans="2:6">
      <c r="B49" s="4629" t="s">
        <v>2939</v>
      </c>
      <c r="C49" s="4621">
        <v>48400</v>
      </c>
      <c r="D49" s="4621">
        <v>67800</v>
      </c>
      <c r="E49" s="4621">
        <f>+D49-C49</f>
        <v>19400</v>
      </c>
      <c r="F49" s="4622">
        <f>D49/C49*100-100</f>
        <v>40.082644628099189</v>
      </c>
    </row>
    <row r="50" spans="2:6">
      <c r="B50" s="4629" t="s">
        <v>2220</v>
      </c>
      <c r="C50" s="4621">
        <v>71600</v>
      </c>
      <c r="D50" s="4621">
        <v>100200</v>
      </c>
      <c r="E50" s="4621">
        <f>+D50-C50</f>
        <v>28600</v>
      </c>
      <c r="F50" s="4622">
        <f>D50/C50*100-100</f>
        <v>39.944134078212301</v>
      </c>
    </row>
    <row r="51" spans="2:6">
      <c r="B51" s="4629" t="s">
        <v>2221</v>
      </c>
      <c r="C51" s="4621">
        <v>87100</v>
      </c>
      <c r="D51" s="4621">
        <v>121900</v>
      </c>
      <c r="E51" s="4621">
        <f>+D51-C51</f>
        <v>34800</v>
      </c>
      <c r="F51" s="4622">
        <f>D51/C51*100-100</f>
        <v>39.954075774971301</v>
      </c>
    </row>
    <row r="53" spans="2:6" ht="15.6">
      <c r="B53" s="6468" t="s">
        <v>2940</v>
      </c>
      <c r="C53" s="6468"/>
      <c r="D53" s="6468"/>
      <c r="E53" s="6468"/>
      <c r="F53" s="6468"/>
    </row>
    <row r="54" spans="2:6">
      <c r="E54" s="4617" t="s">
        <v>2941</v>
      </c>
    </row>
    <row r="55" spans="2:6" ht="62.4">
      <c r="B55" s="4619" t="s">
        <v>2942</v>
      </c>
      <c r="C55" s="4619" t="s">
        <v>2915</v>
      </c>
      <c r="D55" s="4619" t="s">
        <v>2916</v>
      </c>
      <c r="E55" s="4619" t="s">
        <v>2917</v>
      </c>
      <c r="F55" s="4619" t="s">
        <v>2918</v>
      </c>
    </row>
    <row r="56" spans="2:6" s="4614" customFormat="1" ht="15.6">
      <c r="B56" s="4630" t="s">
        <v>2943</v>
      </c>
      <c r="C56" s="4630"/>
      <c r="D56" s="4630"/>
      <c r="E56" s="4630"/>
      <c r="F56" s="4630"/>
    </row>
    <row r="57" spans="2:6" ht="31.2">
      <c r="B57" s="4631" t="s">
        <v>2944</v>
      </c>
      <c r="C57" s="4632">
        <v>2160000000</v>
      </c>
      <c r="D57" s="4632">
        <v>3000000000</v>
      </c>
      <c r="E57" s="4632">
        <f>D57-C57</f>
        <v>840000000</v>
      </c>
      <c r="F57" s="4633">
        <f>D57/C57*100-100</f>
        <v>38.888888888888886</v>
      </c>
    </row>
    <row r="58" spans="2:6" ht="15.6">
      <c r="B58" s="4634" t="s">
        <v>2945</v>
      </c>
      <c r="C58" s="4629">
        <v>1730000000</v>
      </c>
      <c r="D58" s="4629">
        <v>2500000000</v>
      </c>
      <c r="E58" s="4629">
        <f>D58-C58</f>
        <v>770000000</v>
      </c>
      <c r="F58" s="4622">
        <f>D58/C58*100-100</f>
        <v>44.50867052023122</v>
      </c>
    </row>
    <row r="59" spans="2:6" s="4614" customFormat="1" ht="15.6">
      <c r="B59" s="4630" t="s">
        <v>2946</v>
      </c>
      <c r="C59" s="4630"/>
      <c r="D59" s="4630" t="s">
        <v>854</v>
      </c>
      <c r="E59" s="4630"/>
      <c r="F59" s="4622"/>
    </row>
    <row r="60" spans="2:6" ht="31.2">
      <c r="B60" s="4631" t="s">
        <v>2947</v>
      </c>
      <c r="C60" s="4632">
        <v>940000000</v>
      </c>
      <c r="D60" s="4632">
        <v>1200000000</v>
      </c>
      <c r="E60" s="4632">
        <f>D60-C60</f>
        <v>260000000</v>
      </c>
      <c r="F60" s="4633">
        <f>D60/C60*100-100</f>
        <v>27.659574468085111</v>
      </c>
    </row>
    <row r="61" spans="2:6" ht="15.6">
      <c r="B61" s="4634" t="s">
        <v>2948</v>
      </c>
      <c r="C61" s="4629">
        <v>530000000</v>
      </c>
      <c r="D61" s="4629">
        <v>700000000</v>
      </c>
      <c r="E61" s="4629">
        <f>D61-C61</f>
        <v>170000000</v>
      </c>
      <c r="F61" s="4622">
        <f>D61/C61*100-100</f>
        <v>32.075471698113205</v>
      </c>
    </row>
    <row r="62" spans="2:6">
      <c r="B62" s="4635"/>
      <c r="C62" s="4635"/>
      <c r="D62" s="4635"/>
      <c r="E62" s="4635"/>
      <c r="F62" s="4636"/>
    </row>
    <row r="63" spans="2:6" ht="15.6">
      <c r="B63" s="6468" t="s">
        <v>2949</v>
      </c>
      <c r="C63" s="6468"/>
      <c r="D63" s="6468"/>
      <c r="E63" s="6468"/>
      <c r="F63" s="6468"/>
    </row>
    <row r="64" spans="2:6">
      <c r="B64" s="6469"/>
      <c r="C64" s="6470"/>
      <c r="D64" s="6470"/>
      <c r="E64" s="6470"/>
      <c r="F64" s="6470"/>
    </row>
    <row r="65" spans="2:6" ht="46.8">
      <c r="B65" s="4619" t="s">
        <v>2950</v>
      </c>
      <c r="C65" s="4619" t="s">
        <v>2921</v>
      </c>
      <c r="D65" s="4619" t="s">
        <v>2922</v>
      </c>
      <c r="E65" s="4619" t="s">
        <v>1616</v>
      </c>
      <c r="F65" s="4637"/>
    </row>
    <row r="66" spans="2:6">
      <c r="B66" s="4629" t="s">
        <v>2923</v>
      </c>
      <c r="C66" s="4638">
        <v>0.75</v>
      </c>
      <c r="D66" s="4638">
        <v>0.75</v>
      </c>
      <c r="E66" s="4624">
        <f>D66-C66</f>
        <v>0</v>
      </c>
      <c r="F66" s="4637"/>
    </row>
    <row r="67" spans="2:6">
      <c r="B67" s="4629" t="s">
        <v>2951</v>
      </c>
      <c r="C67" s="4638">
        <v>0.25</v>
      </c>
      <c r="D67" s="4638">
        <f>100%-D66</f>
        <v>0.25</v>
      </c>
      <c r="E67" s="4624">
        <f>D67-C67</f>
        <v>0</v>
      </c>
      <c r="F67" s="4637"/>
    </row>
    <row r="68" spans="2:6">
      <c r="B68" s="4639" t="s">
        <v>54</v>
      </c>
      <c r="C68" s="4638">
        <f>C66+C67</f>
        <v>1</v>
      </c>
      <c r="D68" s="4638">
        <f>D66+D67</f>
        <v>1</v>
      </c>
      <c r="E68" s="4624">
        <f>E66+E67</f>
        <v>0</v>
      </c>
      <c r="F68" s="4637"/>
    </row>
    <row r="69" spans="2:6">
      <c r="B69" s="4640"/>
      <c r="C69" s="4637"/>
      <c r="D69" s="4637"/>
      <c r="E69" s="4637"/>
      <c r="F69" s="4637"/>
    </row>
    <row r="70" spans="2:6" s="4614" customFormat="1" ht="15.6">
      <c r="B70" s="4615" t="s">
        <v>2952</v>
      </c>
    </row>
    <row r="71" spans="2:6" ht="15.6">
      <c r="B71" s="4614" t="s">
        <v>2935</v>
      </c>
    </row>
    <row r="72" spans="2:6">
      <c r="E72" s="4617" t="s">
        <v>2913</v>
      </c>
    </row>
    <row r="73" spans="2:6" ht="62.4">
      <c r="B73" s="4619" t="s">
        <v>2914</v>
      </c>
      <c r="C73" s="4619" t="s">
        <v>2915</v>
      </c>
      <c r="D73" s="4619" t="s">
        <v>2916</v>
      </c>
      <c r="E73" s="4619" t="s">
        <v>2917</v>
      </c>
      <c r="F73" s="4619" t="s">
        <v>2918</v>
      </c>
    </row>
    <row r="74" spans="2:6">
      <c r="B74" s="4629" t="s">
        <v>2218</v>
      </c>
      <c r="C74" s="4621">
        <v>26600</v>
      </c>
      <c r="D74" s="4621">
        <v>37200</v>
      </c>
      <c r="E74" s="4621">
        <f>+D74-C74</f>
        <v>10600</v>
      </c>
      <c r="F74" s="4622">
        <f>D74/C74*100-100</f>
        <v>39.849624060150376</v>
      </c>
    </row>
    <row r="75" spans="2:6">
      <c r="B75" s="4620" t="s">
        <v>2219</v>
      </c>
      <c r="C75" s="4621">
        <v>29200</v>
      </c>
      <c r="D75" s="4621">
        <v>40900</v>
      </c>
      <c r="E75" s="4621">
        <f>+D75-C75</f>
        <v>11700</v>
      </c>
      <c r="F75" s="4622">
        <f>D75/C75*100-100</f>
        <v>40.06849315068493</v>
      </c>
    </row>
    <row r="76" spans="2:6">
      <c r="B76" s="4629" t="s">
        <v>2220</v>
      </c>
      <c r="C76" s="4621">
        <v>40900</v>
      </c>
      <c r="D76" s="4621">
        <v>57300</v>
      </c>
      <c r="E76" s="4621">
        <f>+D76-C76</f>
        <v>16400</v>
      </c>
      <c r="F76" s="4622">
        <f>D76/C76*100-100</f>
        <v>40.097799511002449</v>
      </c>
    </row>
    <row r="77" spans="2:6">
      <c r="B77" s="4629" t="s">
        <v>2221</v>
      </c>
      <c r="C77" s="4621">
        <v>56900</v>
      </c>
      <c r="D77" s="4621">
        <v>79700</v>
      </c>
      <c r="E77" s="4621">
        <f>+D77-C77</f>
        <v>22800</v>
      </c>
      <c r="F77" s="4622">
        <f>D77/C77*100-100</f>
        <v>40.07029876977154</v>
      </c>
    </row>
    <row r="78" spans="2:6">
      <c r="B78" s="4635"/>
      <c r="C78" s="4635"/>
      <c r="D78" s="4635"/>
      <c r="E78" s="4635"/>
      <c r="F78" s="4636"/>
    </row>
    <row r="79" spans="2:6" ht="15.6">
      <c r="B79" s="6471" t="s">
        <v>2953</v>
      </c>
      <c r="C79" s="6471"/>
      <c r="D79" s="6471"/>
      <c r="E79" s="6471"/>
      <c r="F79" s="6471"/>
    </row>
    <row r="80" spans="2:6" ht="15.6">
      <c r="B80" s="6468" t="s">
        <v>2954</v>
      </c>
      <c r="C80" s="6468"/>
      <c r="D80" s="6468"/>
      <c r="E80" s="6468"/>
      <c r="F80" s="6468"/>
    </row>
    <row r="82" spans="2:6" s="4614" customFormat="1" ht="15.6">
      <c r="B82" s="4615" t="s">
        <v>2955</v>
      </c>
    </row>
    <row r="83" spans="2:6" ht="15.6">
      <c r="B83" s="4614" t="s">
        <v>2935</v>
      </c>
    </row>
    <row r="84" spans="2:6">
      <c r="E84" s="4617" t="s">
        <v>2913</v>
      </c>
    </row>
    <row r="85" spans="2:6" ht="62.4">
      <c r="B85" s="4619" t="s">
        <v>2914</v>
      </c>
      <c r="C85" s="4619" t="s">
        <v>2915</v>
      </c>
      <c r="D85" s="4619" t="s">
        <v>2916</v>
      </c>
      <c r="E85" s="4619" t="s">
        <v>2917</v>
      </c>
      <c r="F85" s="4619" t="s">
        <v>2918</v>
      </c>
    </row>
    <row r="86" spans="2:6">
      <c r="B86" s="4629" t="s">
        <v>2218</v>
      </c>
      <c r="C86" s="4621">
        <v>15800</v>
      </c>
      <c r="D86" s="4621">
        <v>22100</v>
      </c>
      <c r="E86" s="4621">
        <f>+D86-C86</f>
        <v>6300</v>
      </c>
      <c r="F86" s="4622">
        <f>D86/C86*100-100</f>
        <v>39.87341772151899</v>
      </c>
    </row>
    <row r="87" spans="2:6">
      <c r="B87" s="4620" t="s">
        <v>2219</v>
      </c>
      <c r="C87" s="4621">
        <v>17600</v>
      </c>
      <c r="D87" s="4621">
        <v>24600</v>
      </c>
      <c r="E87" s="4621">
        <f>+D87-C87</f>
        <v>7000</v>
      </c>
      <c r="F87" s="4622">
        <f>D87/C87*100-100</f>
        <v>39.77272727272728</v>
      </c>
    </row>
    <row r="88" spans="2:6">
      <c r="B88" s="4629" t="s">
        <v>2220</v>
      </c>
      <c r="C88" s="4621">
        <v>24600</v>
      </c>
      <c r="D88" s="4621">
        <v>34400</v>
      </c>
      <c r="E88" s="4621">
        <f>+D88-C88</f>
        <v>9800</v>
      </c>
      <c r="F88" s="4622">
        <f>D88/C88*100-100</f>
        <v>39.837398373983746</v>
      </c>
    </row>
    <row r="89" spans="2:6">
      <c r="B89" s="4629" t="s">
        <v>2221</v>
      </c>
      <c r="C89" s="4621">
        <v>34200</v>
      </c>
      <c r="D89" s="4621">
        <v>47900</v>
      </c>
      <c r="E89" s="4621">
        <f>+D89-C89</f>
        <v>13700</v>
      </c>
      <c r="F89" s="4622">
        <f>D89/C89*100-100</f>
        <v>40.058479532163744</v>
      </c>
    </row>
    <row r="90" spans="2:6" ht="15.6">
      <c r="B90" s="6468" t="s">
        <v>2956</v>
      </c>
      <c r="C90" s="6468"/>
      <c r="D90" s="6468"/>
      <c r="E90" s="6468"/>
      <c r="F90" s="6468"/>
    </row>
    <row r="91" spans="2:6">
      <c r="B91" s="4635"/>
      <c r="C91" s="4635"/>
      <c r="D91" s="4635"/>
      <c r="E91" s="4635"/>
      <c r="F91" s="4636"/>
    </row>
    <row r="92" spans="2:6" s="4614" customFormat="1" ht="15.6">
      <c r="B92" s="4615" t="s">
        <v>2957</v>
      </c>
    </row>
    <row r="93" spans="2:6" ht="15.6">
      <c r="B93" s="4614" t="s">
        <v>2935</v>
      </c>
    </row>
    <row r="94" spans="2:6">
      <c r="E94" s="4617" t="s">
        <v>2913</v>
      </c>
    </row>
    <row r="95" spans="2:6" ht="62.4">
      <c r="B95" s="4619" t="s">
        <v>2914</v>
      </c>
      <c r="C95" s="4619" t="s">
        <v>2915</v>
      </c>
      <c r="D95" s="4619" t="s">
        <v>2916</v>
      </c>
      <c r="E95" s="4619" t="s">
        <v>2917</v>
      </c>
      <c r="F95" s="4619" t="s">
        <v>2918</v>
      </c>
    </row>
    <row r="96" spans="2:6">
      <c r="B96" s="4629" t="s">
        <v>2218</v>
      </c>
      <c r="C96" s="4621">
        <v>18600</v>
      </c>
      <c r="D96" s="4621">
        <v>26000</v>
      </c>
      <c r="E96" s="4621">
        <f>+D96-C96</f>
        <v>7400</v>
      </c>
      <c r="F96" s="4622">
        <f>D96/C96*100-100</f>
        <v>39.784946236559136</v>
      </c>
    </row>
    <row r="97" spans="2:6">
      <c r="B97" s="4620" t="s">
        <v>2219</v>
      </c>
      <c r="C97" s="4621">
        <v>13900</v>
      </c>
      <c r="D97" s="4621">
        <v>19500</v>
      </c>
      <c r="E97" s="4621">
        <f>+D97-C97</f>
        <v>5600</v>
      </c>
      <c r="F97" s="4622">
        <f>D97/C97*100-100</f>
        <v>40.287769784172667</v>
      </c>
    </row>
    <row r="98" spans="2:6">
      <c r="B98" s="4629" t="s">
        <v>2220</v>
      </c>
      <c r="C98" s="4621">
        <v>19500</v>
      </c>
      <c r="D98" s="4621">
        <v>27300</v>
      </c>
      <c r="E98" s="4621">
        <f>+D98-C98</f>
        <v>7800</v>
      </c>
      <c r="F98" s="4622">
        <f>D98/C98*100-100</f>
        <v>40</v>
      </c>
    </row>
    <row r="99" spans="2:6">
      <c r="B99" s="4629" t="s">
        <v>2221</v>
      </c>
      <c r="C99" s="4621">
        <v>26400</v>
      </c>
      <c r="D99" s="4621">
        <v>37000</v>
      </c>
      <c r="E99" s="4621">
        <f>+D99-C99</f>
        <v>10600</v>
      </c>
      <c r="F99" s="4622">
        <f>D99/C99*100-100</f>
        <v>40.151515151515156</v>
      </c>
    </row>
    <row r="100" spans="2:6" ht="15.6">
      <c r="B100" s="6468" t="s">
        <v>2958</v>
      </c>
      <c r="C100" s="6468"/>
      <c r="D100" s="6468"/>
      <c r="E100" s="6468"/>
      <c r="F100" s="6468"/>
    </row>
    <row r="102" spans="2:6" s="4614" customFormat="1" ht="15.6">
      <c r="B102" s="4615" t="s">
        <v>2959</v>
      </c>
    </row>
    <row r="103" spans="2:6" ht="15.6">
      <c r="B103" s="4614" t="s">
        <v>2935</v>
      </c>
    </row>
    <row r="104" spans="2:6">
      <c r="E104" s="4617" t="s">
        <v>2913</v>
      </c>
    </row>
    <row r="105" spans="2:6" ht="62.4">
      <c r="B105" s="4619" t="s">
        <v>2914</v>
      </c>
      <c r="C105" s="4619" t="s">
        <v>2915</v>
      </c>
      <c r="D105" s="4619" t="s">
        <v>2916</v>
      </c>
      <c r="E105" s="4619" t="s">
        <v>2917</v>
      </c>
      <c r="F105" s="4619" t="s">
        <v>2918</v>
      </c>
    </row>
    <row r="106" spans="2:6">
      <c r="B106" s="4629" t="s">
        <v>2218</v>
      </c>
      <c r="C106" s="4621">
        <v>31000</v>
      </c>
      <c r="D106" s="4621">
        <v>43400</v>
      </c>
      <c r="E106" s="4621">
        <f>+D106-C106</f>
        <v>12400</v>
      </c>
      <c r="F106" s="4622">
        <f>D106/C106*100-100</f>
        <v>40</v>
      </c>
    </row>
    <row r="107" spans="2:6">
      <c r="B107" s="4620" t="s">
        <v>2219</v>
      </c>
      <c r="C107" s="4621">
        <v>33700</v>
      </c>
      <c r="D107" s="4621">
        <v>47200</v>
      </c>
      <c r="E107" s="4621">
        <f>+D107-C107</f>
        <v>13500</v>
      </c>
      <c r="F107" s="4622">
        <f>D107/C107*100-100</f>
        <v>40.059347181008889</v>
      </c>
    </row>
    <row r="108" spans="2:6">
      <c r="B108" s="4629" t="s">
        <v>2220</v>
      </c>
      <c r="C108" s="4621">
        <v>47200</v>
      </c>
      <c r="D108" s="4621">
        <v>66100</v>
      </c>
      <c r="E108" s="4621">
        <f>+D108-C108</f>
        <v>18900</v>
      </c>
      <c r="F108" s="4622">
        <f>D108/C108*100-100</f>
        <v>40.042372881355931</v>
      </c>
    </row>
    <row r="109" spans="2:6">
      <c r="B109" s="4629" t="s">
        <v>2221</v>
      </c>
      <c r="C109" s="4621">
        <v>57300</v>
      </c>
      <c r="D109" s="4621">
        <v>80200</v>
      </c>
      <c r="E109" s="4621">
        <f>+D109-C109</f>
        <v>22900</v>
      </c>
      <c r="F109" s="4622">
        <f>D109/C109*100-100</f>
        <v>39.965095986038392</v>
      </c>
    </row>
    <row r="111" spans="2:6" ht="15.6">
      <c r="B111" s="4641" t="s">
        <v>2960</v>
      </c>
      <c r="C111" s="4642"/>
      <c r="D111" s="4642"/>
      <c r="E111" s="4642"/>
      <c r="F111" s="4642"/>
    </row>
    <row r="112" spans="2:6" ht="15.6">
      <c r="B112" s="6466" t="s">
        <v>2961</v>
      </c>
      <c r="C112" s="6466"/>
      <c r="D112" s="6466"/>
      <c r="E112" s="6466"/>
      <c r="F112" s="6466"/>
    </row>
    <row r="113" spans="2:6" ht="15.6">
      <c r="B113" s="6466" t="s">
        <v>2962</v>
      </c>
      <c r="C113" s="6466"/>
      <c r="D113" s="6466"/>
      <c r="E113" s="6466"/>
      <c r="F113" s="6466"/>
    </row>
    <row r="114" spans="2:6" ht="15.6">
      <c r="B114" s="6466" t="s">
        <v>2963</v>
      </c>
      <c r="C114" s="6466"/>
      <c r="D114" s="6466"/>
      <c r="E114" s="6466"/>
      <c r="F114" s="6466"/>
    </row>
    <row r="116" spans="2:6" s="4614" customFormat="1" ht="15.6">
      <c r="B116" s="4615" t="s">
        <v>2964</v>
      </c>
    </row>
    <row r="117" spans="2:6" ht="15.6">
      <c r="B117" s="4614" t="s">
        <v>2935</v>
      </c>
    </row>
    <row r="118" spans="2:6">
      <c r="E118" s="4617" t="s">
        <v>2913</v>
      </c>
    </row>
    <row r="119" spans="2:6" ht="62.4">
      <c r="B119" s="4619" t="s">
        <v>2914</v>
      </c>
      <c r="C119" s="4619" t="s">
        <v>2915</v>
      </c>
      <c r="D119" s="4619" t="s">
        <v>2916</v>
      </c>
      <c r="E119" s="4619" t="s">
        <v>2917</v>
      </c>
      <c r="F119" s="4619" t="s">
        <v>2918</v>
      </c>
    </row>
    <row r="120" spans="2:6" s="4614" customFormat="1" ht="15.6">
      <c r="B120" s="4629" t="s">
        <v>2218</v>
      </c>
      <c r="C120" s="4621">
        <v>31800</v>
      </c>
      <c r="D120" s="4621">
        <v>70000</v>
      </c>
      <c r="E120" s="4621">
        <f>+D120-C120</f>
        <v>38200</v>
      </c>
      <c r="F120" s="4622">
        <f>D120/C120*100-100</f>
        <v>120.12578616352201</v>
      </c>
    </row>
    <row r="121" spans="2:6">
      <c r="B121" s="4620" t="s">
        <v>2219</v>
      </c>
      <c r="C121" s="4621">
        <v>31800</v>
      </c>
      <c r="D121" s="4621">
        <v>70000</v>
      </c>
      <c r="E121" s="4621">
        <f>+D121-C121</f>
        <v>38200</v>
      </c>
      <c r="F121" s="4622">
        <f>D121/C121*100-100</f>
        <v>120.12578616352201</v>
      </c>
    </row>
    <row r="122" spans="2:6">
      <c r="B122" s="4629" t="s">
        <v>2220</v>
      </c>
      <c r="C122" s="4621">
        <v>44500</v>
      </c>
      <c r="D122" s="4621">
        <v>97900</v>
      </c>
      <c r="E122" s="4621">
        <f>+D122-C122</f>
        <v>53400</v>
      </c>
      <c r="F122" s="4622">
        <f>D122/C122*100-100</f>
        <v>120.00000000000003</v>
      </c>
    </row>
    <row r="123" spans="2:6">
      <c r="B123" s="4629" t="s">
        <v>2221</v>
      </c>
      <c r="C123" s="4621">
        <v>63600</v>
      </c>
      <c r="D123" s="4621">
        <v>139900</v>
      </c>
      <c r="E123" s="4621">
        <f>+D123-C123</f>
        <v>76300</v>
      </c>
      <c r="F123" s="4622">
        <f>D123/C123*100-100</f>
        <v>119.96855345911951</v>
      </c>
    </row>
    <row r="124" spans="2:6">
      <c r="B124" s="4635"/>
      <c r="C124" s="4635"/>
      <c r="D124" s="4635"/>
      <c r="E124" s="4635"/>
      <c r="F124" s="4636"/>
    </row>
    <row r="125" spans="2:6" ht="15.6">
      <c r="B125" s="4643" t="s">
        <v>2926</v>
      </c>
      <c r="C125" s="4635"/>
      <c r="D125" s="4635"/>
      <c r="E125" s="4635"/>
      <c r="F125" s="4636"/>
    </row>
    <row r="126" spans="2:6" ht="15.6">
      <c r="E126" s="4628" t="s">
        <v>2965</v>
      </c>
    </row>
    <row r="127" spans="2:6" ht="62.4">
      <c r="B127" s="4619" t="s">
        <v>2966</v>
      </c>
      <c r="C127" s="4619" t="s">
        <v>2915</v>
      </c>
      <c r="D127" s="4619" t="s">
        <v>2916</v>
      </c>
      <c r="E127" s="4619" t="s">
        <v>2917</v>
      </c>
      <c r="F127" s="4619" t="s">
        <v>2918</v>
      </c>
    </row>
    <row r="128" spans="2:6" s="4645" customFormat="1" ht="15.6">
      <c r="B128" s="4623" t="s">
        <v>2967</v>
      </c>
      <c r="C128" s="4644"/>
      <c r="D128" s="4644">
        <v>1500</v>
      </c>
      <c r="E128" s="4644">
        <f>+D128-C128</f>
        <v>1500</v>
      </c>
      <c r="F128" s="4644"/>
    </row>
    <row r="129" spans="2:6" ht="15.6">
      <c r="B129" s="4623" t="s">
        <v>2312</v>
      </c>
      <c r="C129" s="4629">
        <v>800</v>
      </c>
      <c r="D129" s="4629">
        <v>1500</v>
      </c>
      <c r="E129" s="4621">
        <f>+D129-C129</f>
        <v>700</v>
      </c>
      <c r="F129" s="4622">
        <f>D129/C129*100-100</f>
        <v>87.5</v>
      </c>
    </row>
    <row r="130" spans="2:6" ht="15.6">
      <c r="B130" s="4623" t="s">
        <v>2968</v>
      </c>
      <c r="C130" s="4629">
        <v>800</v>
      </c>
      <c r="D130" s="4629">
        <v>1500</v>
      </c>
      <c r="E130" s="4621">
        <f>+D130-C130</f>
        <v>700</v>
      </c>
      <c r="F130" s="4622">
        <f>D130/C130*100-100</f>
        <v>87.5</v>
      </c>
    </row>
    <row r="131" spans="2:6" ht="15.6">
      <c r="B131" s="4623" t="s">
        <v>2969</v>
      </c>
      <c r="C131" s="4629">
        <v>0</v>
      </c>
      <c r="D131" s="4629">
        <v>500</v>
      </c>
      <c r="E131" s="4621">
        <f>+D131-C131</f>
        <v>500</v>
      </c>
      <c r="F131" s="4622"/>
    </row>
    <row r="132" spans="2:6" ht="15.6">
      <c r="B132" s="4623" t="s">
        <v>2313</v>
      </c>
      <c r="C132" s="4629">
        <f>800*1.4</f>
        <v>1120</v>
      </c>
      <c r="D132" s="4629">
        <v>2000</v>
      </c>
      <c r="E132" s="4621">
        <f>+D132-C132</f>
        <v>880</v>
      </c>
      <c r="F132" s="4622">
        <f>D132/C132*100-100</f>
        <v>78.571428571428584</v>
      </c>
    </row>
    <row r="133" spans="2:6">
      <c r="B133" s="4646"/>
      <c r="C133" s="4635"/>
      <c r="D133" s="4635"/>
      <c r="E133" s="4635"/>
      <c r="F133" s="4636"/>
    </row>
    <row r="135" spans="2:6" ht="15.6">
      <c r="B135" s="4615" t="s">
        <v>2970</v>
      </c>
      <c r="C135" s="4614"/>
      <c r="D135" s="4614"/>
      <c r="E135" s="4614"/>
      <c r="F135" s="4614"/>
    </row>
    <row r="136" spans="2:6" ht="15.6">
      <c r="B136" s="4614" t="s">
        <v>2935</v>
      </c>
    </row>
    <row r="137" spans="2:6">
      <c r="E137" s="4617" t="s">
        <v>2913</v>
      </c>
    </row>
    <row r="138" spans="2:6" ht="62.4">
      <c r="B138" s="4619" t="s">
        <v>2914</v>
      </c>
      <c r="C138" s="4619" t="s">
        <v>2915</v>
      </c>
      <c r="D138" s="4619" t="s">
        <v>2916</v>
      </c>
      <c r="E138" s="4619" t="s">
        <v>2917</v>
      </c>
      <c r="F138" s="4619" t="s">
        <v>2918</v>
      </c>
    </row>
    <row r="139" spans="2:6">
      <c r="B139" s="4629" t="s">
        <v>2218</v>
      </c>
      <c r="C139" s="4621">
        <v>18200</v>
      </c>
      <c r="D139" s="4621">
        <v>40000</v>
      </c>
      <c r="E139" s="4621">
        <f>+D139-C139</f>
        <v>21800</v>
      </c>
      <c r="F139" s="4622">
        <f>D139/C139*100-100</f>
        <v>119.7802197802198</v>
      </c>
    </row>
    <row r="140" spans="2:6">
      <c r="B140" s="4620" t="s">
        <v>2219</v>
      </c>
      <c r="C140" s="4621">
        <v>13800</v>
      </c>
      <c r="D140" s="4621">
        <v>30400</v>
      </c>
      <c r="E140" s="4621">
        <f>+D140-C140</f>
        <v>16600</v>
      </c>
      <c r="F140" s="4622">
        <f>D140/C140*100-100</f>
        <v>120.28985507246378</v>
      </c>
    </row>
    <row r="141" spans="2:6">
      <c r="B141" s="4629" t="s">
        <v>2220</v>
      </c>
      <c r="C141" s="4621">
        <v>19300</v>
      </c>
      <c r="D141" s="4621">
        <v>42500</v>
      </c>
      <c r="E141" s="4621">
        <f>+D141-C141</f>
        <v>23200</v>
      </c>
      <c r="F141" s="4622">
        <f>D141/C141*100-100</f>
        <v>120.20725388601034</v>
      </c>
    </row>
    <row r="142" spans="2:6">
      <c r="B142" s="4629" t="s">
        <v>2221</v>
      </c>
      <c r="C142" s="4621">
        <v>27600</v>
      </c>
      <c r="D142" s="4621">
        <v>60700</v>
      </c>
      <c r="E142" s="4621">
        <f>+D142-C142</f>
        <v>33100</v>
      </c>
      <c r="F142" s="4622">
        <f>D142/C142*100-100</f>
        <v>119.92753623188409</v>
      </c>
    </row>
    <row r="143" spans="2:6">
      <c r="B143" s="4635"/>
      <c r="C143" s="4635"/>
      <c r="D143" s="4635"/>
      <c r="E143" s="4635"/>
      <c r="F143" s="4636"/>
    </row>
    <row r="144" spans="2:6" ht="15.6">
      <c r="B144" s="4643" t="s">
        <v>2926</v>
      </c>
      <c r="C144" s="4635"/>
      <c r="D144" s="4635"/>
      <c r="E144" s="4635"/>
      <c r="F144" s="4636"/>
    </row>
    <row r="145" spans="2:6">
      <c r="E145" s="4617" t="s">
        <v>2971</v>
      </c>
    </row>
    <row r="146" spans="2:6" ht="62.4">
      <c r="B146" s="4619" t="s">
        <v>2966</v>
      </c>
      <c r="C146" s="4619" t="s">
        <v>2915</v>
      </c>
      <c r="D146" s="4619" t="s">
        <v>2916</v>
      </c>
      <c r="E146" s="4619" t="s">
        <v>2917</v>
      </c>
      <c r="F146" s="4619" t="s">
        <v>2918</v>
      </c>
    </row>
    <row r="147" spans="2:6" ht="15.6">
      <c r="B147" s="4623" t="s">
        <v>2967</v>
      </c>
      <c r="C147" s="4629"/>
      <c r="D147" s="4629">
        <v>5000</v>
      </c>
      <c r="E147" s="4621">
        <f>+D147-C147</f>
        <v>5000</v>
      </c>
      <c r="F147" s="4622"/>
    </row>
    <row r="148" spans="2:6" ht="15.6">
      <c r="B148" s="4623" t="s">
        <v>2312</v>
      </c>
      <c r="C148" s="4629">
        <v>600</v>
      </c>
      <c r="D148" s="4629">
        <v>1500</v>
      </c>
      <c r="E148" s="4621">
        <f>+D148-C148</f>
        <v>900</v>
      </c>
      <c r="F148" s="4622">
        <f>D148/C148*100-100</f>
        <v>150</v>
      </c>
    </row>
    <row r="149" spans="2:6" ht="15.6">
      <c r="B149" s="4623" t="s">
        <v>2968</v>
      </c>
      <c r="C149" s="4629"/>
      <c r="D149" s="4629">
        <v>500</v>
      </c>
      <c r="E149" s="4621">
        <f>+D149-C149</f>
        <v>500</v>
      </c>
      <c r="F149" s="4622"/>
    </row>
    <row r="150" spans="2:6" ht="15.6">
      <c r="B150" s="4623" t="s">
        <v>2969</v>
      </c>
      <c r="C150" s="4629"/>
      <c r="D150" s="4629">
        <v>5000</v>
      </c>
      <c r="E150" s="4621">
        <f>+D150-C150</f>
        <v>5000</v>
      </c>
      <c r="F150" s="4622"/>
    </row>
    <row r="151" spans="2:6" ht="15.6">
      <c r="B151" s="4623" t="s">
        <v>2313</v>
      </c>
      <c r="C151" s="4629">
        <v>840</v>
      </c>
      <c r="D151" s="4629">
        <v>2000</v>
      </c>
      <c r="E151" s="4621">
        <f>+D151-C151</f>
        <v>1160</v>
      </c>
      <c r="F151" s="4622">
        <f>D151/C151*100-100</f>
        <v>138.0952380952381</v>
      </c>
    </row>
    <row r="152" spans="2:6" ht="15.6">
      <c r="B152" s="4647"/>
    </row>
    <row r="153" spans="2:6" s="4614" customFormat="1" ht="15.6">
      <c r="B153" s="4615" t="s">
        <v>2972</v>
      </c>
    </row>
    <row r="154" spans="2:6" ht="15.6">
      <c r="B154" s="6468" t="s">
        <v>2973</v>
      </c>
      <c r="C154" s="6468"/>
      <c r="D154" s="6468"/>
      <c r="E154" s="6468"/>
      <c r="F154" s="6468"/>
    </row>
    <row r="156" spans="2:6" s="4614" customFormat="1" ht="15.6">
      <c r="B156" s="4615" t="s">
        <v>2974</v>
      </c>
    </row>
    <row r="157" spans="2:6" ht="15.6">
      <c r="B157" s="6468" t="s">
        <v>2975</v>
      </c>
      <c r="C157" s="6468"/>
      <c r="D157" s="6468"/>
      <c r="E157" s="6468"/>
      <c r="F157" s="6468"/>
    </row>
    <row r="158" spans="2:6" ht="15.6">
      <c r="B158" s="6471" t="s">
        <v>2976</v>
      </c>
      <c r="C158" s="6471"/>
      <c r="D158" s="6471"/>
      <c r="E158" s="6471"/>
      <c r="F158" s="6471"/>
    </row>
    <row r="159" spans="2:6" ht="15.6">
      <c r="B159" s="4642"/>
      <c r="C159" s="4617" t="s">
        <v>2913</v>
      </c>
      <c r="D159" s="4642"/>
      <c r="E159" s="4642"/>
      <c r="F159" s="4642"/>
    </row>
    <row r="160" spans="2:6" ht="31.2">
      <c r="B160" s="4619" t="s">
        <v>2914</v>
      </c>
      <c r="C160" s="4619" t="s">
        <v>2916</v>
      </c>
      <c r="D160" s="4642"/>
      <c r="E160" s="4642"/>
      <c r="F160" s="4642"/>
    </row>
    <row r="161" spans="2:6" ht="15.6">
      <c r="B161" s="4629" t="s">
        <v>2218</v>
      </c>
      <c r="C161" s="4629">
        <v>372500</v>
      </c>
      <c r="D161" s="4642"/>
      <c r="E161" s="4642"/>
      <c r="F161" s="4642"/>
    </row>
    <row r="162" spans="2:6" ht="15.6">
      <c r="B162" s="4620" t="s">
        <v>2219</v>
      </c>
      <c r="C162" s="4629">
        <v>438200</v>
      </c>
      <c r="D162" s="4642"/>
      <c r="E162" s="4642"/>
      <c r="F162" s="4642"/>
    </row>
    <row r="163" spans="2:6" ht="15.6">
      <c r="B163" s="4629" t="s">
        <v>2220</v>
      </c>
      <c r="C163" s="4629">
        <v>657300</v>
      </c>
      <c r="D163" s="4642"/>
      <c r="E163" s="4642"/>
      <c r="F163" s="4642"/>
    </row>
    <row r="164" spans="2:6" ht="15.6">
      <c r="B164" s="4629" t="s">
        <v>2221</v>
      </c>
      <c r="C164" s="4629">
        <v>876400</v>
      </c>
      <c r="D164" s="4642"/>
      <c r="E164" s="4642"/>
      <c r="F164" s="4642"/>
    </row>
    <row r="165" spans="2:6" ht="15.6">
      <c r="B165" s="4642"/>
      <c r="C165" s="4642"/>
      <c r="D165" s="4642"/>
      <c r="E165" s="4642"/>
      <c r="F165" s="4642"/>
    </row>
    <row r="166" spans="2:6" ht="15.6">
      <c r="B166" s="4648" t="s">
        <v>2926</v>
      </c>
      <c r="C166" s="4637"/>
      <c r="D166" s="4637"/>
      <c r="E166" s="4637"/>
      <c r="F166" s="4637"/>
    </row>
    <row r="167" spans="2:6" ht="15.6">
      <c r="B167" s="6468" t="s">
        <v>2977</v>
      </c>
      <c r="C167" s="6468"/>
      <c r="D167" s="6468"/>
      <c r="E167" s="6468"/>
      <c r="F167" s="6468"/>
    </row>
    <row r="168" spans="2:6" ht="15.6">
      <c r="B168" s="6468" t="s">
        <v>2978</v>
      </c>
      <c r="C168" s="6468"/>
      <c r="D168" s="6468"/>
      <c r="E168" s="6468"/>
      <c r="F168" s="6468"/>
    </row>
    <row r="169" spans="2:6">
      <c r="B169" s="4649"/>
      <c r="C169" s="4637"/>
      <c r="D169" s="4637"/>
      <c r="E169" s="4617" t="s">
        <v>2971</v>
      </c>
      <c r="F169" s="4637"/>
    </row>
    <row r="170" spans="2:6" ht="62.4">
      <c r="B170" s="4619" t="s">
        <v>2979</v>
      </c>
      <c r="C170" s="4619" t="s">
        <v>2915</v>
      </c>
      <c r="D170" s="4619" t="s">
        <v>2916</v>
      </c>
      <c r="E170" s="4619" t="s">
        <v>2917</v>
      </c>
      <c r="F170" s="4619" t="s">
        <v>2918</v>
      </c>
    </row>
    <row r="171" spans="2:6" ht="15.6">
      <c r="B171" s="4623" t="s">
        <v>2980</v>
      </c>
      <c r="C171" s="4629">
        <v>76500</v>
      </c>
      <c r="D171" s="4629">
        <v>140000</v>
      </c>
      <c r="E171" s="4629">
        <f>+D171-C171</f>
        <v>63500</v>
      </c>
      <c r="F171" s="4622">
        <f>D171/C171*100-100</f>
        <v>83.006535947712422</v>
      </c>
    </row>
    <row r="172" spans="2:6">
      <c r="B172" s="4620" t="s">
        <v>2326</v>
      </c>
      <c r="C172" s="4629">
        <v>46500</v>
      </c>
      <c r="D172" s="4629">
        <v>85000</v>
      </c>
      <c r="E172" s="4629">
        <f>+D172-C172</f>
        <v>38500</v>
      </c>
      <c r="F172" s="4622">
        <f>D172/C172*100-100</f>
        <v>82.79569892473117</v>
      </c>
    </row>
    <row r="173" spans="2:6">
      <c r="B173" s="4620" t="s">
        <v>2327</v>
      </c>
      <c r="C173" s="4629">
        <v>12750</v>
      </c>
      <c r="D173" s="4629">
        <v>24000</v>
      </c>
      <c r="E173" s="4629">
        <f>+D173-C173</f>
        <v>11250</v>
      </c>
      <c r="F173" s="4622">
        <f>D173/C173*100-100</f>
        <v>88.235294117647044</v>
      </c>
    </row>
    <row r="174" spans="2:6">
      <c r="B174" s="4620" t="s">
        <v>2328</v>
      </c>
      <c r="C174" s="4629">
        <v>8500</v>
      </c>
      <c r="D174" s="4629">
        <v>17000</v>
      </c>
      <c r="E174" s="4629">
        <f>+D174-C174</f>
        <v>8500</v>
      </c>
      <c r="F174" s="4622">
        <f>D174/C174*100-100</f>
        <v>100</v>
      </c>
    </row>
    <row r="175" spans="2:6" ht="15.6">
      <c r="B175" s="4623" t="s">
        <v>2329</v>
      </c>
      <c r="C175" s="4629">
        <v>5000</v>
      </c>
      <c r="D175" s="4629">
        <v>8500</v>
      </c>
      <c r="E175" s="4629">
        <f>+D175-C175</f>
        <v>3500</v>
      </c>
      <c r="F175" s="4622">
        <f>D175/C175*100-100</f>
        <v>70</v>
      </c>
    </row>
    <row r="176" spans="2:6" ht="15.6">
      <c r="B176" s="6468" t="s">
        <v>2981</v>
      </c>
      <c r="C176" s="6468"/>
      <c r="D176" s="6468"/>
      <c r="E176" s="6468"/>
      <c r="F176" s="6468"/>
    </row>
    <row r="177" spans="2:6" ht="15.6">
      <c r="B177" s="6468" t="s">
        <v>2982</v>
      </c>
      <c r="C177" s="6468"/>
      <c r="D177" s="6468"/>
      <c r="E177" s="6468"/>
      <c r="F177" s="6468"/>
    </row>
    <row r="178" spans="2:6" ht="15.6">
      <c r="B178" s="6468" t="s">
        <v>2983</v>
      </c>
      <c r="C178" s="6468"/>
      <c r="D178" s="6468"/>
      <c r="E178" s="6468"/>
      <c r="F178" s="6468"/>
    </row>
    <row r="179" spans="2:6">
      <c r="B179" s="4649"/>
      <c r="C179" s="4637"/>
      <c r="D179" s="4637"/>
      <c r="E179" s="4637"/>
      <c r="F179" s="4637"/>
    </row>
    <row r="180" spans="2:6" s="4614" customFormat="1" ht="15.6">
      <c r="B180" s="4615" t="s">
        <v>2984</v>
      </c>
    </row>
    <row r="181" spans="2:6" ht="15.6">
      <c r="B181" s="6468" t="s">
        <v>2985</v>
      </c>
      <c r="C181" s="6468"/>
      <c r="D181" s="6468"/>
      <c r="E181" s="6468"/>
      <c r="F181" s="6468"/>
    </row>
    <row r="182" spans="2:6" ht="15.6">
      <c r="B182" s="6472" t="s">
        <v>2986</v>
      </c>
      <c r="C182" s="6468"/>
      <c r="D182" s="6468"/>
      <c r="E182" s="6468"/>
      <c r="F182" s="6468"/>
    </row>
    <row r="183" spans="2:6" ht="15.6">
      <c r="B183" s="6468" t="s">
        <v>2987</v>
      </c>
      <c r="C183" s="6468"/>
      <c r="D183" s="6468"/>
      <c r="E183" s="6468"/>
      <c r="F183" s="6468"/>
    </row>
    <row r="184" spans="2:6" ht="15.6">
      <c r="B184" s="6468" t="s">
        <v>2988</v>
      </c>
      <c r="C184" s="6468"/>
      <c r="D184" s="6468"/>
      <c r="E184" s="6468"/>
      <c r="F184" s="6468"/>
    </row>
    <row r="185" spans="2:6" ht="15.6">
      <c r="B185" s="6472" t="s">
        <v>2989</v>
      </c>
      <c r="C185" s="6468"/>
      <c r="D185" s="6468"/>
      <c r="E185" s="6468"/>
      <c r="F185" s="6468"/>
    </row>
    <row r="186" spans="2:6" ht="15.6">
      <c r="B186" s="6472" t="s">
        <v>2990</v>
      </c>
      <c r="C186" s="6468"/>
      <c r="D186" s="6468"/>
      <c r="E186" s="6468"/>
      <c r="F186" s="6468"/>
    </row>
    <row r="187" spans="2:6" ht="15.6">
      <c r="B187" s="6472" t="s">
        <v>2991</v>
      </c>
      <c r="C187" s="6468"/>
      <c r="D187" s="6468"/>
      <c r="E187" s="6468"/>
      <c r="F187" s="6468"/>
    </row>
    <row r="188" spans="2:6" ht="15.6">
      <c r="B188" s="6472" t="s">
        <v>2992</v>
      </c>
      <c r="C188" s="6468"/>
      <c r="D188" s="6468"/>
      <c r="E188" s="6468"/>
      <c r="F188" s="6468"/>
    </row>
    <row r="190" spans="2:6" s="4614" customFormat="1" ht="15.6">
      <c r="B190" s="4615" t="s">
        <v>2993</v>
      </c>
    </row>
    <row r="191" spans="2:6" ht="15.6">
      <c r="B191" s="6468" t="s">
        <v>2994</v>
      </c>
      <c r="C191" s="6468"/>
      <c r="D191" s="6468"/>
      <c r="E191" s="6468"/>
      <c r="F191" s="6468"/>
    </row>
    <row r="193" spans="2:6" s="4614" customFormat="1" ht="15.6">
      <c r="B193" s="4614" t="s">
        <v>2995</v>
      </c>
      <c r="F193" s="4643"/>
    </row>
    <row r="194" spans="2:6" ht="109.2">
      <c r="B194" s="4619" t="s">
        <v>2996</v>
      </c>
      <c r="C194" s="4619" t="s">
        <v>2997</v>
      </c>
      <c r="D194" s="4619" t="s">
        <v>2998</v>
      </c>
      <c r="E194" s="4619" t="s">
        <v>2917</v>
      </c>
      <c r="F194" s="4650"/>
    </row>
    <row r="195" spans="2:6">
      <c r="B195" s="4620" t="s">
        <v>2999</v>
      </c>
      <c r="C195" s="4624">
        <v>0.09</v>
      </c>
      <c r="D195" s="4624">
        <v>0.15</v>
      </c>
      <c r="E195" s="4624">
        <f>+D195-C195</f>
        <v>0.06</v>
      </c>
      <c r="F195" s="4636"/>
    </row>
    <row r="197" spans="2:6" ht="15.6">
      <c r="B197" s="4615" t="s">
        <v>3000</v>
      </c>
    </row>
    <row r="198" spans="2:6" ht="15.6">
      <c r="B198" s="6468" t="s">
        <v>3001</v>
      </c>
      <c r="C198" s="6468"/>
      <c r="D198" s="6468"/>
      <c r="E198" s="6468"/>
      <c r="F198" s="6468"/>
    </row>
    <row r="199" spans="2:6" s="4614" customFormat="1" ht="15.6">
      <c r="B199" s="4615" t="s">
        <v>3002</v>
      </c>
    </row>
    <row r="200" spans="2:6" s="4645" customFormat="1" ht="15.6">
      <c r="B200" s="6468" t="s">
        <v>3003</v>
      </c>
      <c r="C200" s="6468"/>
      <c r="D200" s="6468"/>
      <c r="E200" s="6468"/>
      <c r="F200" s="6468"/>
    </row>
    <row r="201" spans="2:6" ht="15.6">
      <c r="B201" s="6468" t="s">
        <v>3004</v>
      </c>
      <c r="C201" s="6468"/>
      <c r="D201" s="6468"/>
      <c r="E201" s="6468"/>
      <c r="F201" s="6468"/>
    </row>
    <row r="202" spans="2:6" ht="15.6">
      <c r="B202" s="6466" t="s">
        <v>3005</v>
      </c>
      <c r="C202" s="6466"/>
      <c r="D202" s="6466"/>
      <c r="E202" s="6466"/>
      <c r="F202" s="6466"/>
    </row>
    <row r="203" spans="2:6" ht="15.6">
      <c r="B203" s="6468" t="s">
        <v>3006</v>
      </c>
      <c r="C203" s="6468"/>
      <c r="D203" s="6468"/>
      <c r="E203" s="6468"/>
      <c r="F203" s="6468"/>
    </row>
    <row r="204" spans="2:6" ht="15.6">
      <c r="B204" s="6468" t="s">
        <v>3007</v>
      </c>
      <c r="C204" s="6468"/>
      <c r="D204" s="6468"/>
      <c r="E204" s="6468"/>
      <c r="F204" s="6468"/>
    </row>
    <row r="205" spans="2:6" ht="15.6">
      <c r="B205" s="6473" t="s">
        <v>3008</v>
      </c>
      <c r="C205" s="6473"/>
      <c r="D205" s="6473"/>
      <c r="E205" s="6473"/>
      <c r="F205" s="6473"/>
    </row>
    <row r="207" spans="2:6" ht="15.6">
      <c r="B207" s="4615" t="s">
        <v>3009</v>
      </c>
    </row>
    <row r="208" spans="2:6" ht="15.6">
      <c r="B208" s="6466" t="s">
        <v>3010</v>
      </c>
      <c r="C208" s="6466"/>
      <c r="D208" s="6466"/>
      <c r="E208" s="6466"/>
      <c r="F208" s="6466"/>
    </row>
    <row r="209" spans="2:6" ht="15.6">
      <c r="B209" s="6466" t="s">
        <v>3011</v>
      </c>
      <c r="C209" s="6466"/>
      <c r="D209" s="6466"/>
      <c r="E209" s="6466"/>
      <c r="F209" s="6466"/>
    </row>
    <row r="210" spans="2:6" ht="15.6">
      <c r="B210" s="4615" t="s">
        <v>3012</v>
      </c>
      <c r="C210" s="4642"/>
      <c r="D210" s="4642"/>
      <c r="E210" s="4642"/>
      <c r="F210" s="4642"/>
    </row>
    <row r="211" spans="2:6" ht="15.6">
      <c r="B211" s="6468" t="s">
        <v>3013</v>
      </c>
      <c r="C211" s="6468"/>
      <c r="D211" s="6468"/>
      <c r="E211" s="6468"/>
      <c r="F211" s="6468"/>
    </row>
    <row r="212" spans="2:6" s="4614" customFormat="1" ht="15.6">
      <c r="B212" s="4614" t="s">
        <v>3014</v>
      </c>
    </row>
    <row r="213" spans="2:6" ht="15.6">
      <c r="B213" s="6468" t="s">
        <v>3015</v>
      </c>
      <c r="C213" s="6468"/>
      <c r="D213" s="6468"/>
      <c r="E213" s="6468"/>
      <c r="F213" s="6468"/>
    </row>
    <row r="214" spans="2:6" ht="15.6">
      <c r="B214" s="6468" t="s">
        <v>3016</v>
      </c>
      <c r="C214" s="6468"/>
      <c r="D214" s="6468"/>
      <c r="E214" s="6468"/>
      <c r="F214" s="6468"/>
    </row>
    <row r="215" spans="2:6" ht="15.6">
      <c r="B215" s="6468" t="s">
        <v>3017</v>
      </c>
      <c r="C215" s="6468"/>
      <c r="D215" s="6468"/>
      <c r="E215" s="6468"/>
      <c r="F215" s="6468"/>
    </row>
    <row r="216" spans="2:6" s="4614" customFormat="1" ht="15.6">
      <c r="B216" s="4614" t="s">
        <v>3018</v>
      </c>
    </row>
    <row r="217" spans="2:6" ht="15.6">
      <c r="B217" s="6468" t="s">
        <v>3019</v>
      </c>
      <c r="C217" s="6468"/>
      <c r="D217" s="6468"/>
      <c r="E217" s="6468"/>
      <c r="F217" s="6468"/>
    </row>
    <row r="218" spans="2:6" ht="15.6">
      <c r="B218" s="6468" t="s">
        <v>3020</v>
      </c>
      <c r="C218" s="6468"/>
      <c r="D218" s="6468"/>
      <c r="E218" s="6468"/>
      <c r="F218" s="6468"/>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Danh mục file'!A1" display="Số TT"/>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sheetPr>
  <dimension ref="A1:Z107"/>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18" width="14.33203125" style="47" hidden="1" customWidth="1"/>
    <col min="19" max="20" width="13.5546875" style="47" hidden="1" customWidth="1"/>
    <col min="21" max="21" width="14.33203125" style="47" hidden="1" customWidth="1"/>
    <col min="22" max="23" width="13.5546875" style="47" hidden="1" customWidth="1"/>
    <col min="24" max="24" width="14.33203125" style="47" hidden="1" customWidth="1"/>
    <col min="25" max="26" width="13.5546875" style="47" hidden="1" customWidth="1"/>
    <col min="27" max="16384" width="9.109375" style="47"/>
  </cols>
  <sheetData>
    <row r="1" spans="1:26">
      <c r="A1" s="6080" t="s">
        <v>230</v>
      </c>
      <c r="B1" s="6080"/>
      <c r="C1" s="6080"/>
      <c r="D1" s="6080"/>
      <c r="E1" s="6080"/>
      <c r="F1" s="6080"/>
      <c r="G1" s="6080"/>
      <c r="H1" s="6080"/>
      <c r="I1" s="6080"/>
      <c r="J1" s="6080"/>
      <c r="K1" s="6080"/>
    </row>
    <row r="2" spans="1:26">
      <c r="A2" s="6081" t="s">
        <v>232</v>
      </c>
      <c r="B2" s="6081"/>
      <c r="C2" s="6081"/>
      <c r="D2" s="6081"/>
      <c r="E2" s="6081"/>
      <c r="F2" s="6081"/>
      <c r="G2" s="6081"/>
      <c r="H2" s="6081"/>
      <c r="I2" s="6081"/>
      <c r="J2" s="6081"/>
      <c r="K2" s="6081"/>
    </row>
    <row r="3" spans="1:26">
      <c r="A3" s="6082"/>
      <c r="B3" s="6082"/>
      <c r="C3" s="6082"/>
      <c r="D3" s="6082"/>
      <c r="E3" s="6082"/>
      <c r="F3" s="6082"/>
      <c r="G3" s="6082"/>
      <c r="H3" s="6082"/>
      <c r="I3" s="6082"/>
      <c r="J3" s="6082"/>
      <c r="K3" s="6082"/>
      <c r="L3" s="679"/>
      <c r="M3" s="679"/>
    </row>
    <row r="4" spans="1:26">
      <c r="I4" s="679"/>
      <c r="J4" s="679"/>
      <c r="L4" s="679"/>
      <c r="M4" s="679"/>
      <c r="O4" s="679"/>
      <c r="P4" s="679"/>
      <c r="R4" s="679">
        <f>+R10-T19-T28</f>
        <v>21358175.897346757</v>
      </c>
      <c r="S4" s="679">
        <f>+R4-R33</f>
        <v>-236867.23736638576</v>
      </c>
      <c r="U4" s="679">
        <f>+U10-W19-W28</f>
        <v>23442211.997964147</v>
      </c>
      <c r="V4" s="679">
        <f>+U4-U33</f>
        <v>95129.553009264171</v>
      </c>
      <c r="X4" s="679">
        <f>+X10-Z19-Z28</f>
        <v>25080919.617009349</v>
      </c>
      <c r="Y4" s="679">
        <f>+X4-X33</f>
        <v>90736.159677024931</v>
      </c>
    </row>
    <row r="5" spans="1:26" ht="18.600000000000001" thickBot="1">
      <c r="I5" s="679"/>
      <c r="J5" s="679"/>
      <c r="L5" s="679"/>
    </row>
    <row r="6" spans="1:26" ht="18.600000000000001" thickTop="1">
      <c r="A6" s="6083" t="s">
        <v>200</v>
      </c>
      <c r="B6" s="6085" t="s">
        <v>201</v>
      </c>
      <c r="C6" s="6078" t="s">
        <v>219</v>
      </c>
      <c r="D6" s="6078"/>
      <c r="E6" s="6078"/>
      <c r="F6" s="6078" t="s">
        <v>223</v>
      </c>
      <c r="G6" s="6078"/>
      <c r="H6" s="6078"/>
      <c r="I6" s="6078" t="s">
        <v>224</v>
      </c>
      <c r="J6" s="6078"/>
      <c r="K6" s="6078"/>
      <c r="L6" s="6078" t="s">
        <v>225</v>
      </c>
      <c r="M6" s="6078"/>
      <c r="N6" s="6078"/>
      <c r="O6" s="6078" t="s">
        <v>226</v>
      </c>
      <c r="P6" s="6078"/>
      <c r="Q6" s="6078"/>
      <c r="R6" s="6078" t="s">
        <v>227</v>
      </c>
      <c r="S6" s="6078"/>
      <c r="T6" s="6078"/>
      <c r="U6" s="6078" t="s">
        <v>228</v>
      </c>
      <c r="V6" s="6078"/>
      <c r="W6" s="6078"/>
      <c r="X6" s="6078" t="s">
        <v>229</v>
      </c>
      <c r="Y6" s="6078"/>
      <c r="Z6" s="6079"/>
    </row>
    <row r="7" spans="1:26">
      <c r="A7" s="6084"/>
      <c r="B7" s="6086"/>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0" t="s">
        <v>220</v>
      </c>
      <c r="S7" s="51" t="s">
        <v>221</v>
      </c>
      <c r="T7" s="51" t="s">
        <v>222</v>
      </c>
      <c r="U7" s="50" t="s">
        <v>220</v>
      </c>
      <c r="V7" s="51" t="s">
        <v>221</v>
      </c>
      <c r="W7" s="51" t="s">
        <v>222</v>
      </c>
      <c r="X7" s="50" t="s">
        <v>220</v>
      </c>
      <c r="Y7" s="51" t="s">
        <v>221</v>
      </c>
      <c r="Z7" s="1640" t="s">
        <v>222</v>
      </c>
    </row>
    <row r="8" spans="1:26"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SUM(S8:T8)</f>
        <v>31862853.145346757</v>
      </c>
      <c r="S8" s="1642">
        <f>SUM(S12+S18+S30+S31)</f>
        <v>19476162.111650225</v>
      </c>
      <c r="T8" s="1642">
        <f t="shared" ref="T8" si="5">SUM(T12+T18+T30+T31)</f>
        <v>12386691.033696532</v>
      </c>
      <c r="U8" s="1642">
        <f>SUM(V8:W8)</f>
        <v>33946889.245964147</v>
      </c>
      <c r="V8" s="1642">
        <f>SUM(V12+V18+V30+V31)</f>
        <v>20555494.369332533</v>
      </c>
      <c r="W8" s="1642">
        <f t="shared" ref="W8" si="6">SUM(W12+W18+W30+W31)</f>
        <v>13391394.876631612</v>
      </c>
      <c r="X8" s="1642">
        <f>SUM(Y8:Z8)</f>
        <v>35585596.865009353</v>
      </c>
      <c r="Y8" s="1642">
        <f>SUM(Y12+Y18+Y30+Y31)</f>
        <v>21308662.926719714</v>
      </c>
      <c r="Z8" s="1643">
        <f t="shared" ref="Z8" si="7">SUM(Z12+Z18+Z30+Z31)</f>
        <v>14276933.938289637</v>
      </c>
    </row>
    <row r="9" spans="1:26">
      <c r="A9" s="611"/>
      <c r="B9" s="1923" t="s">
        <v>234</v>
      </c>
      <c r="C9" s="195"/>
      <c r="D9" s="195"/>
      <c r="E9" s="195"/>
      <c r="F9" s="45"/>
      <c r="G9" s="45"/>
      <c r="H9" s="45"/>
      <c r="I9" s="46"/>
      <c r="J9" s="46"/>
      <c r="K9" s="46"/>
      <c r="L9" s="46"/>
      <c r="M9" s="46"/>
      <c r="N9" s="46"/>
      <c r="O9" s="46"/>
      <c r="P9" s="46"/>
      <c r="Q9" s="46"/>
      <c r="R9" s="46"/>
      <c r="S9" s="46"/>
      <c r="T9" s="46"/>
      <c r="U9" s="46"/>
      <c r="V9" s="46"/>
      <c r="W9" s="46"/>
      <c r="X9" s="46"/>
      <c r="Y9" s="46"/>
      <c r="Z9" s="1645"/>
    </row>
    <row r="10" spans="1:26">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45">
        <f>SUM(S10:T10)</f>
        <v>28146603.997346759</v>
      </c>
      <c r="S10" s="195">
        <f>SUM(S12,S19,S28,S30)</f>
        <v>16179379.311650224</v>
      </c>
      <c r="T10" s="195">
        <f>SUM(T12,T19,T28,T30)</f>
        <v>11967224.685696533</v>
      </c>
      <c r="U10" s="45">
        <f>SUM(V10:W10)</f>
        <v>30230640.097964149</v>
      </c>
      <c r="V10" s="195">
        <f>SUM(V12,V19,V28,V30)</f>
        <v>17258711.569332536</v>
      </c>
      <c r="W10" s="195">
        <f>SUM(W12,W19,W28,W30)</f>
        <v>12971928.528631613</v>
      </c>
      <c r="X10" s="45">
        <f>SUM(Y10:Z10)</f>
        <v>31869347.717009351</v>
      </c>
      <c r="Y10" s="195">
        <f>SUM(Y12,Y19,Y28,Y30)</f>
        <v>18011880.126719717</v>
      </c>
      <c r="Z10" s="1646">
        <f>SUM(Z12,Z19,Z28,Z30)</f>
        <v>13857467.590289636</v>
      </c>
    </row>
    <row r="11" spans="1:26">
      <c r="A11" s="611"/>
      <c r="B11" s="1923" t="s">
        <v>236</v>
      </c>
      <c r="C11" s="195">
        <f>SUM(D11:E11)</f>
        <v>17545290.100000001</v>
      </c>
      <c r="D11" s="195">
        <f>D10-D14-D15-D16</f>
        <v>9199353</v>
      </c>
      <c r="E11" s="195">
        <f t="shared" ref="E11" si="8">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9">N10-N14-N15-N16</f>
        <v>9451424.6511519793</v>
      </c>
      <c r="O11" s="45">
        <f>SUM(P11:Q11)</f>
        <v>21698935.497570269</v>
      </c>
      <c r="P11" s="195">
        <f>P10-P14-P15-P16</f>
        <v>12110551.040603476</v>
      </c>
      <c r="Q11" s="195">
        <f t="shared" ref="Q11" si="10">Q10-Q14-Q15-Q16</f>
        <v>9588384.456966795</v>
      </c>
      <c r="R11" s="45">
        <f>SUM(S11:T11)</f>
        <v>23426603.997346759</v>
      </c>
      <c r="S11" s="195">
        <f>S10-S14-S15-S16</f>
        <v>12719379.311650224</v>
      </c>
      <c r="T11" s="195">
        <f t="shared" ref="T11" si="11">T10-T14-T15-T16</f>
        <v>10707224.685696533</v>
      </c>
      <c r="U11" s="45">
        <f>SUM(V11:W11)</f>
        <v>25250640.097964149</v>
      </c>
      <c r="V11" s="195">
        <f>V10-V14-V15-V16</f>
        <v>13628711.569332536</v>
      </c>
      <c r="W11" s="195">
        <f t="shared" ref="W11" si="12">W10-W14-W15-W16</f>
        <v>11621928.528631613</v>
      </c>
      <c r="X11" s="45">
        <f>SUM(Y11:Z11)</f>
        <v>26609347.717009351</v>
      </c>
      <c r="Y11" s="195">
        <f>Y10-Y14-Y15-Y16</f>
        <v>14236880.126719717</v>
      </c>
      <c r="Z11" s="1646">
        <f t="shared" ref="Z11" si="13">Z10-Z14-Z15-Z16</f>
        <v>12372467.590289636</v>
      </c>
    </row>
    <row r="12" spans="1:26"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45">
        <f>SUM(S12:T12)</f>
        <v>11707748.897346757</v>
      </c>
      <c r="S12" s="45">
        <f>'Phụ lục số I'!AM10</f>
        <v>6528952.311650224</v>
      </c>
      <c r="T12" s="45">
        <f>'Phụ lục số I'!AN10</f>
        <v>5178796.5856965333</v>
      </c>
      <c r="U12" s="45">
        <f>SUM(V12:W12)</f>
        <v>12703027.248075902</v>
      </c>
      <c r="V12" s="45">
        <f>'Phụ lục số I'!AS10</f>
        <v>7099857.0338091608</v>
      </c>
      <c r="W12" s="45">
        <f>'Phụ lục số I'!AT10</f>
        <v>5603170.2142667426</v>
      </c>
      <c r="X12" s="45">
        <f>SUM(Y12:Z12)</f>
        <v>13858437.191756535</v>
      </c>
      <c r="Y12" s="45">
        <f>'Phụ lục số I'!AY10</f>
        <v>7546103.2301168721</v>
      </c>
      <c r="Z12" s="1647">
        <f>'Phụ lục số I'!AZ10</f>
        <v>6312333.9616396632</v>
      </c>
    </row>
    <row r="13" spans="1:26" ht="18" customHeight="1">
      <c r="A13" s="611"/>
      <c r="B13" s="1923" t="s">
        <v>186</v>
      </c>
      <c r="C13" s="46"/>
      <c r="D13" s="46"/>
      <c r="E13" s="46"/>
      <c r="F13" s="46"/>
      <c r="G13" s="46"/>
      <c r="H13" s="46"/>
      <c r="I13" s="46"/>
      <c r="J13" s="46"/>
      <c r="K13" s="46"/>
      <c r="L13" s="46"/>
      <c r="M13" s="46"/>
      <c r="N13" s="46"/>
      <c r="O13" s="46"/>
      <c r="P13" s="46"/>
      <c r="Q13" s="46"/>
      <c r="R13" s="46"/>
      <c r="S13" s="46"/>
      <c r="T13" s="46"/>
      <c r="U13" s="46"/>
      <c r="V13" s="46"/>
      <c r="W13" s="46"/>
      <c r="X13" s="46"/>
      <c r="Y13" s="46"/>
      <c r="Z13" s="1645"/>
    </row>
    <row r="14" spans="1:26"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93">
        <f>SUM(S14:T14)</f>
        <v>1800000</v>
      </c>
      <c r="S14" s="193">
        <f>'Phụ lục số I'!AM42</f>
        <v>540000</v>
      </c>
      <c r="T14" s="193">
        <f>'Phụ lục số I'!AN42</f>
        <v>1260000</v>
      </c>
      <c r="U14" s="193">
        <f>SUM(V14:W14)</f>
        <v>1950000</v>
      </c>
      <c r="V14" s="193">
        <f>'Phụ lục số I'!AS42</f>
        <v>600000</v>
      </c>
      <c r="W14" s="193">
        <f>'Phụ lục số I'!AT42</f>
        <v>1350000</v>
      </c>
      <c r="X14" s="193">
        <f>SUM(Y14:Z14)</f>
        <v>2100000</v>
      </c>
      <c r="Y14" s="193">
        <f>'Phụ lục số I'!AY42</f>
        <v>615000</v>
      </c>
      <c r="Z14" s="1648">
        <f>'Phụ lục số I'!AZ42</f>
        <v>1485000</v>
      </c>
    </row>
    <row r="15" spans="1:26" s="1649" customFormat="1">
      <c r="A15" s="614"/>
      <c r="B15" s="1925" t="s">
        <v>243</v>
      </c>
      <c r="C15" s="1639">
        <f>SUM(D15:E15)</f>
        <v>1950000</v>
      </c>
      <c r="D15" s="1639">
        <f>'Phụ lục số I'!H50</f>
        <v>1950000</v>
      </c>
      <c r="E15" s="1639">
        <f>'Phụ lục số I'!I50</f>
        <v>0</v>
      </c>
      <c r="F15" s="193">
        <f t="shared" ref="F15:F17" si="14">SUM(G15:H15)</f>
        <v>1950000</v>
      </c>
      <c r="G15" s="193">
        <f>'Phụ lục số I'!O50</f>
        <v>1950000</v>
      </c>
      <c r="H15" s="193">
        <f>'Phụ lục số I'!P50</f>
        <v>0</v>
      </c>
      <c r="I15" s="193">
        <f t="shared" ref="I15:I17" si="15">SUM(J15:K15)</f>
        <v>1950000</v>
      </c>
      <c r="J15" s="193">
        <f>'Phụ lục số I'!U50</f>
        <v>1950000</v>
      </c>
      <c r="K15" s="193">
        <f>'Phụ lục số I'!V50</f>
        <v>0</v>
      </c>
      <c r="L15" s="193">
        <f t="shared" ref="L15:L17" si="16">SUM(M15:N15)</f>
        <v>1950000</v>
      </c>
      <c r="M15" s="193">
        <f>'Phụ lục số I'!AA50</f>
        <v>1950000</v>
      </c>
      <c r="N15" s="193">
        <f>'Phụ lục số I'!AB50</f>
        <v>0</v>
      </c>
      <c r="O15" s="193">
        <f t="shared" ref="O15:O17" si="17">SUM(P15:Q15)</f>
        <v>2000000</v>
      </c>
      <c r="P15" s="193">
        <f>'Phụ lục số I'!AG50</f>
        <v>2000000</v>
      </c>
      <c r="Q15" s="193">
        <f>'Phụ lục số I'!AH50</f>
        <v>0</v>
      </c>
      <c r="R15" s="193">
        <f t="shared" ref="R15:R17" si="18">SUM(S15:T15)</f>
        <v>2800000</v>
      </c>
      <c r="S15" s="193">
        <f>'Phụ lục số I'!AM50</f>
        <v>2800000</v>
      </c>
      <c r="T15" s="193">
        <f>'Phụ lục số I'!AN50</f>
        <v>0</v>
      </c>
      <c r="U15" s="193">
        <f t="shared" ref="U15:U17" si="19">SUM(V15:W15)</f>
        <v>2900000</v>
      </c>
      <c r="V15" s="193">
        <f>'Phụ lục số I'!AS50</f>
        <v>2900000</v>
      </c>
      <c r="W15" s="193">
        <f>'Phụ lục số I'!AT50</f>
        <v>0</v>
      </c>
      <c r="X15" s="193">
        <f t="shared" ref="X15:X17" si="20">SUM(Y15:Z15)</f>
        <v>3000000</v>
      </c>
      <c r="Y15" s="193">
        <f>'Phụ lục số I'!AY50</f>
        <v>3000000</v>
      </c>
      <c r="Z15" s="1648">
        <f>'Phụ lục số I'!AZ50</f>
        <v>0</v>
      </c>
    </row>
    <row r="16" spans="1:26" s="1649" customFormat="1">
      <c r="A16" s="614"/>
      <c r="B16" s="1925" t="s">
        <v>244</v>
      </c>
      <c r="C16" s="1639">
        <f>SUM(D16:E16)</f>
        <v>445054.16200000001</v>
      </c>
      <c r="D16" s="1639">
        <f>'Phụ lục số I'!H47</f>
        <v>445054.16200000001</v>
      </c>
      <c r="E16" s="1639">
        <f>'Phụ lục số I'!I47</f>
        <v>0</v>
      </c>
      <c r="F16" s="193">
        <f t="shared" si="14"/>
        <v>445054.16200000001</v>
      </c>
      <c r="G16" s="193">
        <f>'Phụ lục số I'!O47</f>
        <v>445054.16200000001</v>
      </c>
      <c r="H16" s="193">
        <f>'Phụ lục số I'!P47</f>
        <v>0</v>
      </c>
      <c r="I16" s="193">
        <f t="shared" si="15"/>
        <v>37000</v>
      </c>
      <c r="J16" s="193">
        <f>'Phụ lục số I'!U47</f>
        <v>37000</v>
      </c>
      <c r="K16" s="193">
        <f>'Phụ lục số I'!V47</f>
        <v>0</v>
      </c>
      <c r="L16" s="193">
        <f t="shared" si="16"/>
        <v>34000</v>
      </c>
      <c r="M16" s="193">
        <f>'Phụ lục số I'!AA47</f>
        <v>34000</v>
      </c>
      <c r="N16" s="193">
        <f>'Phụ lục số I'!AB47</f>
        <v>0</v>
      </c>
      <c r="O16" s="193">
        <f t="shared" si="17"/>
        <v>37000</v>
      </c>
      <c r="P16" s="193">
        <f>'Phụ lục số I'!AG47</f>
        <v>37000</v>
      </c>
      <c r="Q16" s="193">
        <f>'Phụ lục số I'!AH47</f>
        <v>0</v>
      </c>
      <c r="R16" s="193">
        <f t="shared" si="18"/>
        <v>120000</v>
      </c>
      <c r="S16" s="193">
        <f>'Phụ lục số I'!AM47</f>
        <v>120000</v>
      </c>
      <c r="T16" s="193">
        <f>'Phụ lục số I'!AN47</f>
        <v>0</v>
      </c>
      <c r="U16" s="193">
        <f t="shared" si="19"/>
        <v>130000</v>
      </c>
      <c r="V16" s="193">
        <f>'Phụ lục số I'!AS47</f>
        <v>130000</v>
      </c>
      <c r="W16" s="193">
        <f>'Phụ lục số I'!AT47</f>
        <v>0</v>
      </c>
      <c r="X16" s="193">
        <f t="shared" si="20"/>
        <v>160000</v>
      </c>
      <c r="Y16" s="193">
        <f>'Phụ lục số I'!AY47</f>
        <v>160000</v>
      </c>
      <c r="Z16" s="1648">
        <f>'Phụ lục số I'!AZ47</f>
        <v>0</v>
      </c>
    </row>
    <row r="17" spans="1:26" s="1649" customFormat="1">
      <c r="A17" s="614"/>
      <c r="B17" s="1925" t="s">
        <v>245</v>
      </c>
      <c r="C17" s="1639">
        <f t="shared" ref="C17" si="21">SUM(D17:E17)</f>
        <v>4727930</v>
      </c>
      <c r="D17" s="1639">
        <f>D12-D14-D15-D16</f>
        <v>1931850.0000000005</v>
      </c>
      <c r="E17" s="1639">
        <f t="shared" ref="E17" si="22">E12-E14-E15-E16</f>
        <v>2796080</v>
      </c>
      <c r="F17" s="193">
        <f t="shared" si="14"/>
        <v>4156499.8703476484</v>
      </c>
      <c r="G17" s="1639">
        <f>G12-G14-G15-G16</f>
        <v>1881699.3987353877</v>
      </c>
      <c r="H17" s="1639">
        <f t="shared" ref="H17" si="23">H12-H14-H15-H16</f>
        <v>2274800.4716122607</v>
      </c>
      <c r="I17" s="193">
        <f t="shared" si="15"/>
        <v>4795919.8297451045</v>
      </c>
      <c r="J17" s="1639">
        <f>J12-J14-J15-J16</f>
        <v>2329420.0640200041</v>
      </c>
      <c r="K17" s="1639">
        <f t="shared" ref="K17" si="24">K12-K14-K15-K16</f>
        <v>2466499.7657251004</v>
      </c>
      <c r="L17" s="193">
        <f t="shared" si="16"/>
        <v>5049000.4026917564</v>
      </c>
      <c r="M17" s="1639">
        <f>M12-M14-M15-M16</f>
        <v>2386003.8515397776</v>
      </c>
      <c r="N17" s="1639">
        <f t="shared" ref="N17" si="25">N12-N14-N15-N16</f>
        <v>2662996.5511519788</v>
      </c>
      <c r="O17" s="193">
        <f t="shared" si="17"/>
        <v>5260080.397570271</v>
      </c>
      <c r="P17" s="1639">
        <f>P12-P14-P15-P16</f>
        <v>2460124.0406034756</v>
      </c>
      <c r="Q17" s="1639">
        <f t="shared" ref="Q17" si="26">Q12-Q14-Q15-Q16</f>
        <v>2799956.3569667954</v>
      </c>
      <c r="R17" s="193">
        <f t="shared" si="18"/>
        <v>6987748.8973467574</v>
      </c>
      <c r="S17" s="1639">
        <f>S12-S14-S15-S16</f>
        <v>3068952.311650224</v>
      </c>
      <c r="T17" s="1639">
        <f t="shared" ref="T17" si="27">T12-T14-T15-T16</f>
        <v>3918796.5856965333</v>
      </c>
      <c r="U17" s="193">
        <f t="shared" si="19"/>
        <v>7723027.2480759034</v>
      </c>
      <c r="V17" s="1639">
        <f>V12-V14-V15-V16</f>
        <v>3469857.0338091608</v>
      </c>
      <c r="W17" s="1639">
        <f t="shared" ref="W17" si="28">W12-W14-W15-W16</f>
        <v>4253170.2142667426</v>
      </c>
      <c r="X17" s="193">
        <f t="shared" si="20"/>
        <v>8598437.1917565353</v>
      </c>
      <c r="Y17" s="1639">
        <f>Y12-Y14-Y15-Y16</f>
        <v>3771103.2301168721</v>
      </c>
      <c r="Z17" s="1650">
        <f t="shared" ref="Z17" si="29">Z12-Z14-Z15-Z16</f>
        <v>4827333.9616396632</v>
      </c>
    </row>
    <row r="18" spans="1:26">
      <c r="A18" s="611" t="s">
        <v>33</v>
      </c>
      <c r="B18" s="1923" t="s">
        <v>203</v>
      </c>
      <c r="C18" s="195">
        <f>SUM(C19:C20)</f>
        <v>14339802.447999999</v>
      </c>
      <c r="D18" s="195">
        <f t="shared" ref="D18:H18" si="30">SUM(D19:D20)</f>
        <v>9256479</v>
      </c>
      <c r="E18" s="195">
        <f t="shared" si="30"/>
        <v>5083323.4479999999</v>
      </c>
      <c r="F18" s="195">
        <f>SUM(F19:F20)</f>
        <v>15283777.447999999</v>
      </c>
      <c r="G18" s="195">
        <f t="shared" si="30"/>
        <v>9904812</v>
      </c>
      <c r="H18" s="195">
        <f t="shared" si="30"/>
        <v>5378965.4479999999</v>
      </c>
      <c r="I18" s="195">
        <f>SUM(I19:I20)</f>
        <v>20534370.248</v>
      </c>
      <c r="J18" s="195">
        <f>SUM(J19:J20)</f>
        <v>13326475.800000001</v>
      </c>
      <c r="K18" s="195">
        <f t="shared" ref="K18:Z18" si="31">SUM(K19:K20)</f>
        <v>7207894.4479999999</v>
      </c>
      <c r="L18" s="195">
        <f>SUM(L19:L20)</f>
        <v>20534370.248</v>
      </c>
      <c r="M18" s="195">
        <f t="shared" si="31"/>
        <v>13326475.800000001</v>
      </c>
      <c r="N18" s="195">
        <f t="shared" si="31"/>
        <v>7207894.4479999999</v>
      </c>
      <c r="O18" s="195">
        <f>SUM(O19:O20)</f>
        <v>20534370.248</v>
      </c>
      <c r="P18" s="195">
        <f t="shared" si="31"/>
        <v>13326475.800000001</v>
      </c>
      <c r="Q18" s="195">
        <f t="shared" si="31"/>
        <v>7207894.4479999999</v>
      </c>
      <c r="R18" s="195">
        <f>SUM(R19:R20)</f>
        <v>20155104.248</v>
      </c>
      <c r="S18" s="195">
        <f t="shared" si="31"/>
        <v>12947209.800000001</v>
      </c>
      <c r="T18" s="195">
        <f t="shared" si="31"/>
        <v>7207894.4479999999</v>
      </c>
      <c r="U18" s="195">
        <f>SUM(U19:U20)</f>
        <v>20155104.248</v>
      </c>
      <c r="V18" s="195">
        <f t="shared" si="31"/>
        <v>12947209.800000001</v>
      </c>
      <c r="W18" s="195">
        <f t="shared" si="31"/>
        <v>7207894.4479999999</v>
      </c>
      <c r="X18" s="195">
        <f>SUM(X19:X20)</f>
        <v>20155104.248</v>
      </c>
      <c r="Y18" s="195">
        <f t="shared" si="31"/>
        <v>12947209.800000001</v>
      </c>
      <c r="Z18" s="1646">
        <f t="shared" si="31"/>
        <v>7207894.4479999999</v>
      </c>
    </row>
    <row r="19" spans="1:26"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45">
        <f>SUM(S19:T19)</f>
        <v>11048111</v>
      </c>
      <c r="S19" s="45">
        <f>'Phụ lục số I'!AM56</f>
        <v>6617188</v>
      </c>
      <c r="T19" s="45">
        <f>N19</f>
        <v>4430923</v>
      </c>
      <c r="U19" s="45">
        <f>SUM(V19:W19)</f>
        <v>11048111</v>
      </c>
      <c r="V19" s="45">
        <f>'Phụ lục số I'!AS56</f>
        <v>6617188</v>
      </c>
      <c r="W19" s="45">
        <f>T19</f>
        <v>4430923</v>
      </c>
      <c r="X19" s="45">
        <f>SUM(Y19:Z19)</f>
        <v>11048111</v>
      </c>
      <c r="Y19" s="45">
        <f>'Phụ lục số I'!AY56</f>
        <v>6617188</v>
      </c>
      <c r="Z19" s="1647">
        <f>W19</f>
        <v>4430923</v>
      </c>
    </row>
    <row r="20" spans="1:26" s="49" customFormat="1" ht="17.399999999999999">
      <c r="A20" s="611">
        <v>2</v>
      </c>
      <c r="B20" s="1923" t="s">
        <v>207</v>
      </c>
      <c r="C20" s="195">
        <f>SUM(C21,C24,C27)</f>
        <v>3291691.4479999999</v>
      </c>
      <c r="D20" s="195">
        <f t="shared" ref="D20:H20" si="32">SUM(D21,D24,D27)</f>
        <v>2639291</v>
      </c>
      <c r="E20" s="195">
        <f t="shared" si="32"/>
        <v>652400.44799999997</v>
      </c>
      <c r="F20" s="195">
        <f>SUM(F21,F24,F27)</f>
        <v>4235666.4479999999</v>
      </c>
      <c r="G20" s="195">
        <f t="shared" si="32"/>
        <v>3287624</v>
      </c>
      <c r="H20" s="195">
        <f t="shared" si="32"/>
        <v>948042.44799999997</v>
      </c>
      <c r="I20" s="195">
        <f>SUM(I21,I24,I27)</f>
        <v>9486259.2479999997</v>
      </c>
      <c r="J20" s="195">
        <f t="shared" ref="J20:Q20" si="33">SUM(J21,J24,J27)</f>
        <v>6709287.7999999998</v>
      </c>
      <c r="K20" s="195">
        <f t="shared" si="33"/>
        <v>2776971.4479999999</v>
      </c>
      <c r="L20" s="195">
        <f>SUM(L21,L24,L27)</f>
        <v>9486259.2479999997</v>
      </c>
      <c r="M20" s="195">
        <f t="shared" si="33"/>
        <v>6709287.7999999998</v>
      </c>
      <c r="N20" s="195">
        <f t="shared" si="33"/>
        <v>2776971.4479999999</v>
      </c>
      <c r="O20" s="195">
        <f>SUM(O21,O24,O27)</f>
        <v>9486259.2479999997</v>
      </c>
      <c r="P20" s="195">
        <f t="shared" si="33"/>
        <v>6709287.7999999998</v>
      </c>
      <c r="Q20" s="195">
        <f t="shared" si="33"/>
        <v>2776971.4479999999</v>
      </c>
      <c r="R20" s="195">
        <f>SUM(R21,R24,R27)</f>
        <v>9106993.2479999997</v>
      </c>
      <c r="S20" s="195">
        <f t="shared" ref="S20:T20" si="34">SUM(S21,S24,S27)</f>
        <v>6330021.7999999998</v>
      </c>
      <c r="T20" s="195">
        <f t="shared" si="34"/>
        <v>2776971.4479999999</v>
      </c>
      <c r="U20" s="195">
        <f>SUM(U21,U24,U27)</f>
        <v>9106993.2479999997</v>
      </c>
      <c r="V20" s="195">
        <f t="shared" ref="V20:W20" si="35">SUM(V21,V24,V27)</f>
        <v>6330021.7999999998</v>
      </c>
      <c r="W20" s="195">
        <f t="shared" si="35"/>
        <v>2776971.4479999999</v>
      </c>
      <c r="X20" s="195">
        <f>SUM(X21,X24,X27)</f>
        <v>9106993.2479999997</v>
      </c>
      <c r="Y20" s="195">
        <f t="shared" ref="Y20:Z20" si="36">SUM(Y21,Y24,Y27)</f>
        <v>6330021.7999999998</v>
      </c>
      <c r="Z20" s="1646">
        <f t="shared" si="36"/>
        <v>2776971.4479999999</v>
      </c>
    </row>
    <row r="21" spans="1:26">
      <c r="A21" s="1926" t="s">
        <v>204</v>
      </c>
      <c r="B21" s="1927" t="s">
        <v>42</v>
      </c>
      <c r="C21" s="196">
        <f>SUM(C22:C23)</f>
        <v>1814491</v>
      </c>
      <c r="D21" s="196">
        <f t="shared" ref="D21:Q21" si="37">SUM(D22:D23)</f>
        <v>1814491</v>
      </c>
      <c r="E21" s="196">
        <f t="shared" si="37"/>
        <v>0</v>
      </c>
      <c r="F21" s="196">
        <f>SUM(F22:F23)</f>
        <v>1814491</v>
      </c>
      <c r="G21" s="196">
        <f t="shared" si="37"/>
        <v>1814491</v>
      </c>
      <c r="H21" s="196">
        <f t="shared" si="37"/>
        <v>0</v>
      </c>
      <c r="I21" s="196">
        <f>SUM(I22:I23)</f>
        <v>3101719</v>
      </c>
      <c r="J21" s="196">
        <f>SUM(J22:J23)</f>
        <v>3101719</v>
      </c>
      <c r="K21" s="196">
        <f t="shared" si="37"/>
        <v>0</v>
      </c>
      <c r="L21" s="196">
        <f>SUM(L22:L23)</f>
        <v>3101719</v>
      </c>
      <c r="M21" s="196">
        <f t="shared" si="37"/>
        <v>3101719</v>
      </c>
      <c r="N21" s="196">
        <f t="shared" si="37"/>
        <v>0</v>
      </c>
      <c r="O21" s="196">
        <f>SUM(O22:O23)</f>
        <v>3101719</v>
      </c>
      <c r="P21" s="196">
        <f t="shared" si="37"/>
        <v>3101719</v>
      </c>
      <c r="Q21" s="196">
        <f t="shared" si="37"/>
        <v>0</v>
      </c>
      <c r="R21" s="196">
        <f>SUM(R22:R23)</f>
        <v>3101719</v>
      </c>
      <c r="S21" s="196">
        <f t="shared" ref="S21:T21" si="38">SUM(S22:S23)</f>
        <v>3101719</v>
      </c>
      <c r="T21" s="196">
        <f t="shared" si="38"/>
        <v>0</v>
      </c>
      <c r="U21" s="196">
        <f>SUM(U22:U23)</f>
        <v>3101719</v>
      </c>
      <c r="V21" s="196">
        <f t="shared" ref="V21:W21" si="39">SUM(V22:V23)</f>
        <v>3101719</v>
      </c>
      <c r="W21" s="196">
        <f t="shared" si="39"/>
        <v>0</v>
      </c>
      <c r="X21" s="196">
        <f>SUM(X22:X23)</f>
        <v>3101719</v>
      </c>
      <c r="Y21" s="196">
        <f t="shared" ref="Y21:Z21" si="40">SUM(Y22:Y23)</f>
        <v>3101719</v>
      </c>
      <c r="Z21" s="1652">
        <f t="shared" si="40"/>
        <v>0</v>
      </c>
    </row>
    <row r="22" spans="1:26"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46">
        <f>SUM(S22:T22)</f>
        <v>2970480</v>
      </c>
      <c r="S22" s="46">
        <f>'Phụ lục số I'!AM60</f>
        <v>2970480</v>
      </c>
      <c r="T22" s="46"/>
      <c r="U22" s="46">
        <f>SUM(V22:W22)</f>
        <v>2970480</v>
      </c>
      <c r="V22" s="46">
        <f>'Phụ lục số I'!AS60</f>
        <v>2970480</v>
      </c>
      <c r="W22" s="46"/>
      <c r="X22" s="46">
        <f>SUM(Y22:Z22)</f>
        <v>2970480</v>
      </c>
      <c r="Y22" s="46">
        <f>'Phụ lục số I'!AY60</f>
        <v>2970480</v>
      </c>
      <c r="Z22" s="1645"/>
    </row>
    <row r="23" spans="1:26" hidden="1">
      <c r="A23" s="1926" t="s">
        <v>101</v>
      </c>
      <c r="B23" s="1927" t="s">
        <v>102</v>
      </c>
      <c r="C23" s="196">
        <f t="shared" ref="C23" si="41">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46">
        <f>SUM(S23:T23)</f>
        <v>131239</v>
      </c>
      <c r="S23" s="46">
        <f>'Phụ lục số I'!AM61</f>
        <v>131239</v>
      </c>
      <c r="T23" s="46"/>
      <c r="U23" s="46">
        <f>SUM(V23:W23)</f>
        <v>131239</v>
      </c>
      <c r="V23" s="46">
        <f>'Phụ lục số I'!AS61</f>
        <v>131239</v>
      </c>
      <c r="W23" s="46"/>
      <c r="X23" s="46">
        <f>SUM(Y23:Z23)</f>
        <v>131239</v>
      </c>
      <c r="Y23" s="46">
        <f>'Phụ lục số I'!AY61</f>
        <v>131239</v>
      </c>
      <c r="Z23" s="1645"/>
    </row>
    <row r="24" spans="1:26">
      <c r="A24" s="1926" t="s">
        <v>206</v>
      </c>
      <c r="B24" s="1927" t="s">
        <v>43</v>
      </c>
      <c r="C24" s="196">
        <f>SUM(C25:C26)</f>
        <v>500283</v>
      </c>
      <c r="D24" s="196">
        <f t="shared" ref="D24:Z24" si="42">SUM(D25:D26)</f>
        <v>174485</v>
      </c>
      <c r="E24" s="196">
        <f t="shared" si="42"/>
        <v>325798</v>
      </c>
      <c r="F24" s="196">
        <f>SUM(F25:F26)</f>
        <v>500283</v>
      </c>
      <c r="G24" s="196">
        <f t="shared" si="42"/>
        <v>174485</v>
      </c>
      <c r="H24" s="196">
        <f t="shared" si="42"/>
        <v>325798</v>
      </c>
      <c r="I24" s="196">
        <f>SUM(I25:I26)</f>
        <v>520861.8</v>
      </c>
      <c r="J24" s="196">
        <f t="shared" si="42"/>
        <v>195063.8</v>
      </c>
      <c r="K24" s="196">
        <f t="shared" si="42"/>
        <v>325798</v>
      </c>
      <c r="L24" s="196">
        <f>SUM(L25:L26)</f>
        <v>520861.8</v>
      </c>
      <c r="M24" s="196">
        <f t="shared" si="42"/>
        <v>195063.8</v>
      </c>
      <c r="N24" s="196">
        <f t="shared" si="42"/>
        <v>325798</v>
      </c>
      <c r="O24" s="196">
        <f>SUM(O25:O26)</f>
        <v>520861.8</v>
      </c>
      <c r="P24" s="196">
        <f t="shared" si="42"/>
        <v>195063.8</v>
      </c>
      <c r="Q24" s="196">
        <f t="shared" si="42"/>
        <v>325798</v>
      </c>
      <c r="R24" s="196">
        <f>SUM(R25:R26)</f>
        <v>520861.8</v>
      </c>
      <c r="S24" s="196">
        <f t="shared" si="42"/>
        <v>195063.8</v>
      </c>
      <c r="T24" s="196">
        <f t="shared" si="42"/>
        <v>325798</v>
      </c>
      <c r="U24" s="196">
        <f>SUM(U25:U26)</f>
        <v>520861.8</v>
      </c>
      <c r="V24" s="196">
        <f t="shared" si="42"/>
        <v>195063.8</v>
      </c>
      <c r="W24" s="196">
        <f t="shared" si="42"/>
        <v>325798</v>
      </c>
      <c r="X24" s="196">
        <f>SUM(X25:X26)</f>
        <v>520861.8</v>
      </c>
      <c r="Y24" s="196">
        <f t="shared" si="42"/>
        <v>195063.8</v>
      </c>
      <c r="Z24" s="1652">
        <f t="shared" si="42"/>
        <v>325798</v>
      </c>
    </row>
    <row r="25" spans="1:26" hidden="1">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46">
        <f>SUM(S25:T25)</f>
        <v>412760.8</v>
      </c>
      <c r="S25" s="46">
        <f>'Phụ lục số I'!AM63</f>
        <v>86962.8</v>
      </c>
      <c r="T25" s="46">
        <f>N25</f>
        <v>325798</v>
      </c>
      <c r="U25" s="46">
        <f>SUM(V25:W25)</f>
        <v>412760.8</v>
      </c>
      <c r="V25" s="46">
        <f>'Phụ lục số I'!AS63</f>
        <v>86962.8</v>
      </c>
      <c r="W25" s="46">
        <f>T25</f>
        <v>325798</v>
      </c>
      <c r="X25" s="46">
        <f>SUM(Y25:Z25)</f>
        <v>412760.8</v>
      </c>
      <c r="Y25" s="46">
        <f>'Phụ lục số I'!AY63</f>
        <v>86962.8</v>
      </c>
      <c r="Z25" s="1645">
        <f>W25</f>
        <v>325798</v>
      </c>
    </row>
    <row r="26" spans="1:26" hidden="1">
      <c r="A26" s="1926" t="s">
        <v>101</v>
      </c>
      <c r="B26" s="1927" t="s">
        <v>102</v>
      </c>
      <c r="C26" s="196">
        <f t="shared" ref="C26" si="43">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46">
        <f>SUM(S26:T26)</f>
        <v>108101</v>
      </c>
      <c r="S26" s="46">
        <f>'Phụ lục số I'!AM64</f>
        <v>108101</v>
      </c>
      <c r="T26" s="46"/>
      <c r="U26" s="46">
        <f>SUM(V26:W26)</f>
        <v>108101</v>
      </c>
      <c r="V26" s="46">
        <f>'Phụ lục số I'!AS64</f>
        <v>108101</v>
      </c>
      <c r="W26" s="46"/>
      <c r="X26" s="46">
        <f>SUM(Y26:Z26)</f>
        <v>108101</v>
      </c>
      <c r="Y26" s="46">
        <f>'Phụ lục số I'!AY64</f>
        <v>108101</v>
      </c>
      <c r="Z26" s="1645"/>
    </row>
    <row r="27" spans="1:26">
      <c r="A27" s="1926" t="s">
        <v>237</v>
      </c>
      <c r="B27" s="46" t="s">
        <v>106</v>
      </c>
      <c r="C27" s="196">
        <f>SUM(C28:C29)</f>
        <v>976917.44799999997</v>
      </c>
      <c r="D27" s="196">
        <f t="shared" ref="D27:Z27" si="44">SUM(D28:D29)</f>
        <v>650315</v>
      </c>
      <c r="E27" s="196">
        <f t="shared" si="44"/>
        <v>326602.44799999997</v>
      </c>
      <c r="F27" s="196">
        <f>SUM(F28:F29)</f>
        <v>1920892.4480000001</v>
      </c>
      <c r="G27" s="196">
        <f>SUM(G28:G29)</f>
        <v>1298648</v>
      </c>
      <c r="H27" s="196">
        <f t="shared" si="44"/>
        <v>622244.44799999997</v>
      </c>
      <c r="I27" s="196">
        <f>SUM(I28:I29)</f>
        <v>5863678.4479999999</v>
      </c>
      <c r="J27" s="196">
        <f t="shared" si="44"/>
        <v>3412505</v>
      </c>
      <c r="K27" s="196">
        <f t="shared" si="44"/>
        <v>2451173.4479999999</v>
      </c>
      <c r="L27" s="196">
        <f>SUM(L28:L29)</f>
        <v>5863678.4479999999</v>
      </c>
      <c r="M27" s="196">
        <f t="shared" si="44"/>
        <v>3412505</v>
      </c>
      <c r="N27" s="196">
        <f t="shared" si="44"/>
        <v>2451173.4479999999</v>
      </c>
      <c r="O27" s="196">
        <f>SUM(O28:O29)</f>
        <v>5863678.4479999999</v>
      </c>
      <c r="P27" s="196">
        <f t="shared" si="44"/>
        <v>3412505</v>
      </c>
      <c r="Q27" s="196">
        <f t="shared" si="44"/>
        <v>2451173.4479999999</v>
      </c>
      <c r="R27" s="196">
        <f>SUM(R28:R29)</f>
        <v>5484412.4479999999</v>
      </c>
      <c r="S27" s="196">
        <f t="shared" si="44"/>
        <v>3033239</v>
      </c>
      <c r="T27" s="196">
        <f t="shared" si="44"/>
        <v>2451173.4479999999</v>
      </c>
      <c r="U27" s="196">
        <f>SUM(U28:U29)</f>
        <v>5484412.4479999999</v>
      </c>
      <c r="V27" s="196">
        <f t="shared" si="44"/>
        <v>3033239</v>
      </c>
      <c r="W27" s="196">
        <f t="shared" si="44"/>
        <v>2451173.4479999999</v>
      </c>
      <c r="X27" s="196">
        <f>SUM(X28:X29)</f>
        <v>5484412.4479999999</v>
      </c>
      <c r="Y27" s="196">
        <f t="shared" si="44"/>
        <v>3033239</v>
      </c>
      <c r="Z27" s="1652">
        <f t="shared" si="44"/>
        <v>2451173.4479999999</v>
      </c>
    </row>
    <row r="28" spans="1:26">
      <c r="A28" s="1926" t="s">
        <v>99</v>
      </c>
      <c r="B28" s="1927" t="s">
        <v>104</v>
      </c>
      <c r="C28" s="196">
        <f t="shared" ref="C28:C33" si="45">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46">
        <f>SUM(S28:T28)</f>
        <v>5390744.0999999996</v>
      </c>
      <c r="S28" s="46">
        <f>'Phụ lục số I'!AM66</f>
        <v>3033239</v>
      </c>
      <c r="T28" s="46">
        <f>N28</f>
        <v>2357505.1</v>
      </c>
      <c r="U28" s="46">
        <f>SUM(V28:W28)</f>
        <v>5390744.0999999996</v>
      </c>
      <c r="V28" s="46">
        <f>'Phụ lục số I'!AS66</f>
        <v>3033239</v>
      </c>
      <c r="W28" s="46">
        <f>T28</f>
        <v>2357505.1</v>
      </c>
      <c r="X28" s="46">
        <f>SUM(Y28:Z28)</f>
        <v>5390744.0999999996</v>
      </c>
      <c r="Y28" s="46">
        <f>'Phụ lục số I'!AY66</f>
        <v>3033239</v>
      </c>
      <c r="Z28" s="1645">
        <f>W28</f>
        <v>2357505.1</v>
      </c>
    </row>
    <row r="29" spans="1:26">
      <c r="A29" s="1926" t="s">
        <v>101</v>
      </c>
      <c r="B29" s="1927" t="s">
        <v>105</v>
      </c>
      <c r="C29" s="196">
        <f t="shared" si="45"/>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46">
        <f>SUM(S29:T29)</f>
        <v>93668.347999999998</v>
      </c>
      <c r="S29" s="46">
        <f>'Phụ lục số I'!AM67</f>
        <v>0</v>
      </c>
      <c r="T29" s="46">
        <f>N29</f>
        <v>93668.347999999998</v>
      </c>
      <c r="U29" s="46">
        <f>SUM(V29:W29)</f>
        <v>93668.347999999998</v>
      </c>
      <c r="V29" s="46">
        <f>'Phụ lục số I'!AS67</f>
        <v>0</v>
      </c>
      <c r="W29" s="46">
        <f>T29</f>
        <v>93668.347999999998</v>
      </c>
      <c r="X29" s="46">
        <f>SUM(Y29:Z29)</f>
        <v>93668.347999999998</v>
      </c>
      <c r="Y29" s="46">
        <f>'Phụ lục số I'!AY67</f>
        <v>0</v>
      </c>
      <c r="Z29" s="1645">
        <f>W29</f>
        <v>93668.347999999998</v>
      </c>
    </row>
    <row r="30" spans="1:26">
      <c r="A30" s="611" t="s">
        <v>182</v>
      </c>
      <c r="B30" s="45" t="s">
        <v>45</v>
      </c>
      <c r="C30" s="195">
        <f t="shared" si="45"/>
        <v>886000</v>
      </c>
      <c r="D30" s="195">
        <f>'Phụ lục số I'!H68</f>
        <v>0</v>
      </c>
      <c r="E30" s="195">
        <f>'Phụ lục số I'!I68</f>
        <v>886000</v>
      </c>
      <c r="F30" s="45">
        <f>SUM(G30:H30)</f>
        <v>1156399</v>
      </c>
      <c r="G30" s="45">
        <f>'Phụ lục số I'!O68</f>
        <v>0</v>
      </c>
      <c r="H30" s="45">
        <f>'Phụ lục số I'!P68</f>
        <v>1156399</v>
      </c>
      <c r="I30" s="45">
        <f t="shared" ref="I30:I33" si="46">SUM(J30:K30)</f>
        <v>0.40000000001455194</v>
      </c>
      <c r="J30" s="45">
        <f>'Phụ lục số I'!U68</f>
        <v>0.40000000001455194</v>
      </c>
      <c r="K30" s="45">
        <f>'Phụ lục số I'!V68</f>
        <v>0</v>
      </c>
      <c r="L30" s="45">
        <f>SUM(M30:N30)</f>
        <v>0</v>
      </c>
      <c r="M30" s="45">
        <f>'Phụ lục số I'!AA68</f>
        <v>0</v>
      </c>
      <c r="N30" s="45">
        <f>'Phụ lục số I'!AB68</f>
        <v>0</v>
      </c>
      <c r="O30" s="45">
        <f t="shared" ref="O30:O33" si="47">SUM(P30:Q30)</f>
        <v>0</v>
      </c>
      <c r="P30" s="45">
        <f>'Phụ lục số I'!AG68</f>
        <v>0</v>
      </c>
      <c r="Q30" s="45">
        <f>'Phụ lục số I'!AH68</f>
        <v>0</v>
      </c>
      <c r="R30" s="45">
        <f t="shared" ref="R30:R33" si="48">SUM(S30:T30)</f>
        <v>0</v>
      </c>
      <c r="S30" s="45">
        <f>'Phụ lục số I'!AM68</f>
        <v>0</v>
      </c>
      <c r="T30" s="45">
        <f>'Phụ lục số I'!AN68</f>
        <v>0</v>
      </c>
      <c r="U30" s="45">
        <f t="shared" ref="U30:U33" si="49">SUM(V30:W30)</f>
        <v>1088757.7498882432</v>
      </c>
      <c r="V30" s="45">
        <f>'Phụ lục số I'!AS68</f>
        <v>508427.53552337422</v>
      </c>
      <c r="W30" s="45">
        <f>'Phụ lục số I'!AT68</f>
        <v>580330.21436486894</v>
      </c>
      <c r="X30" s="45">
        <f t="shared" ref="X30:X33" si="50">SUM(Y30:Z30)</f>
        <v>1572055.4252528162</v>
      </c>
      <c r="Y30" s="45">
        <f>'Phụ lục số I'!AY68</f>
        <v>815349.89660284261</v>
      </c>
      <c r="Z30" s="1647">
        <f>'Phụ lục số I'!AZ68</f>
        <v>756705.52864997357</v>
      </c>
    </row>
    <row r="31" spans="1:26">
      <c r="A31" s="611" t="s">
        <v>215</v>
      </c>
      <c r="B31" s="45" t="s">
        <v>47</v>
      </c>
      <c r="C31" s="195">
        <f t="shared" si="45"/>
        <v>0</v>
      </c>
      <c r="D31" s="195">
        <f>'Phụ lục số I'!H69</f>
        <v>0</v>
      </c>
      <c r="E31" s="195">
        <f>'Phụ lục số I'!I69</f>
        <v>0</v>
      </c>
      <c r="F31" s="45">
        <f t="shared" ref="F31:F33" si="51">SUM(G31:H31)</f>
        <v>0</v>
      </c>
      <c r="G31" s="45">
        <f>'Phụ lục số I'!O69</f>
        <v>0</v>
      </c>
      <c r="H31" s="45">
        <f>'Phụ lục số I'!P69</f>
        <v>0</v>
      </c>
      <c r="I31" s="45">
        <f t="shared" si="46"/>
        <v>0</v>
      </c>
      <c r="J31" s="45">
        <f>'Phụ lục số I'!U69</f>
        <v>0</v>
      </c>
      <c r="K31" s="45">
        <f>'Phụ lục số I'!V69</f>
        <v>0</v>
      </c>
      <c r="L31" s="45">
        <f t="shared" ref="L31:L32" si="52">SUM(M31:N31)</f>
        <v>0</v>
      </c>
      <c r="M31" s="45">
        <f>'Phụ lục số I'!AA69</f>
        <v>0</v>
      </c>
      <c r="N31" s="46"/>
      <c r="O31" s="45">
        <f t="shared" si="47"/>
        <v>0</v>
      </c>
      <c r="P31" s="45">
        <f>'Phụ lục số I'!AG69</f>
        <v>0</v>
      </c>
      <c r="Q31" s="46"/>
      <c r="R31" s="45">
        <f t="shared" si="48"/>
        <v>0</v>
      </c>
      <c r="S31" s="45">
        <f>'Phụ lục số I'!AM69</f>
        <v>0</v>
      </c>
      <c r="T31" s="46"/>
      <c r="U31" s="45">
        <f t="shared" si="49"/>
        <v>0</v>
      </c>
      <c r="V31" s="45">
        <f>'Phụ lục số I'!AS69</f>
        <v>0</v>
      </c>
      <c r="W31" s="46"/>
      <c r="X31" s="45">
        <f t="shared" si="50"/>
        <v>0</v>
      </c>
      <c r="Y31" s="45">
        <f>'Phụ lục số I'!AY69</f>
        <v>0</v>
      </c>
      <c r="Z31" s="1645"/>
    </row>
    <row r="32" spans="1:26" s="1644" customFormat="1">
      <c r="A32" s="606" t="s">
        <v>37</v>
      </c>
      <c r="B32" s="1928" t="s">
        <v>238</v>
      </c>
      <c r="C32" s="1654">
        <f t="shared" si="45"/>
        <v>24118786.526000001</v>
      </c>
      <c r="D32" s="1654">
        <f>D33+D51+D61+D62</f>
        <v>14210383.177999999</v>
      </c>
      <c r="E32" s="1654">
        <f t="shared" ref="E32" si="53">E33+E51+E61+E62</f>
        <v>9908403.3479999993</v>
      </c>
      <c r="F32" s="1654">
        <f t="shared" si="51"/>
        <v>24761730.542239718</v>
      </c>
      <c r="G32" s="1654">
        <f>G33+G51+G61+G62</f>
        <v>14808565.706989277</v>
      </c>
      <c r="H32" s="1654">
        <f t="shared" ref="H32" si="54">H33+H51+H61+H62</f>
        <v>9953164.8352504428</v>
      </c>
      <c r="I32" s="1654">
        <f t="shared" si="46"/>
        <v>29117290.281801574</v>
      </c>
      <c r="J32" s="1654">
        <f>J33+J51+J61+J62</f>
        <v>18182896.22197248</v>
      </c>
      <c r="K32" s="1654">
        <f t="shared" ref="K32" si="55">K33+K51+K61+K62</f>
        <v>10934394.059829095</v>
      </c>
      <c r="L32" s="1654">
        <f t="shared" si="52"/>
        <v>29267370.52036839</v>
      </c>
      <c r="M32" s="1654">
        <f>M33+M51+M61+M62</f>
        <v>18226479.909110013</v>
      </c>
      <c r="N32" s="1654">
        <f t="shared" ref="N32" si="56">N33+N51+N61+N62</f>
        <v>11040890.611258375</v>
      </c>
      <c r="O32" s="1654">
        <f t="shared" si="47"/>
        <v>29431451.006125256</v>
      </c>
      <c r="P32" s="1654">
        <f>P33+P51+P61+P62</f>
        <v>18343600.005981654</v>
      </c>
      <c r="Q32" s="1654">
        <f t="shared" ref="Q32" si="57">Q33+Q51+Q61+Q62</f>
        <v>11087851.000143604</v>
      </c>
      <c r="R32" s="1654">
        <f t="shared" si="48"/>
        <v>32478986.382713139</v>
      </c>
      <c r="S32" s="1654">
        <f>S33+S51+S61+S62</f>
        <v>19980911.898574758</v>
      </c>
      <c r="T32" s="1654">
        <f t="shared" ref="T32" si="58">T33+T51+T61+T62</f>
        <v>12498074.484138383</v>
      </c>
      <c r="U32" s="1654">
        <f t="shared" si="49"/>
        <v>34231025.692954883</v>
      </c>
      <c r="V32" s="1654">
        <f>V33+V51+V61+V62</f>
        <v>20871337.495845124</v>
      </c>
      <c r="W32" s="1654">
        <f t="shared" ref="W32" si="59">W33+W51+W61+W62</f>
        <v>13359688.197109757</v>
      </c>
      <c r="X32" s="1654">
        <f t="shared" si="50"/>
        <v>35874126.705332324</v>
      </c>
      <c r="Y32" s="1654">
        <f>Y33+Y51+Y61+Y62</f>
        <v>21617710.900453247</v>
      </c>
      <c r="Z32" s="1655">
        <f t="shared" ref="Z32" si="60">Z33+Z51+Z61+Z62</f>
        <v>14256415.804879077</v>
      </c>
    </row>
    <row r="33" spans="1:26">
      <c r="A33" s="611" t="s">
        <v>3</v>
      </c>
      <c r="B33" s="1923" t="s">
        <v>142</v>
      </c>
      <c r="C33" s="195">
        <f t="shared" si="45"/>
        <v>17046487.078000002</v>
      </c>
      <c r="D33" s="195">
        <f>SUM(D34,D40,D45,D46,D47,D48,D49,D50)</f>
        <v>7138083.7300000004</v>
      </c>
      <c r="E33" s="195">
        <f t="shared" ref="E33" si="61">SUM(E34,E40,E45,E46,E47,E48,E49,E50)</f>
        <v>9908403.3479999993</v>
      </c>
      <c r="F33" s="195">
        <f t="shared" si="51"/>
        <v>17255230.094239719</v>
      </c>
      <c r="G33" s="195">
        <f>SUM(G34,G40,G45,G46,G47,G48,G49,G50)</f>
        <v>7302065.2589892773</v>
      </c>
      <c r="H33" s="195">
        <f t="shared" ref="H33" si="62">SUM(H34,H40,H45,H46,H47,H48,H49,H50)</f>
        <v>9953164.8352504428</v>
      </c>
      <c r="I33" s="195">
        <f t="shared" si="46"/>
        <v>18233347.033801578</v>
      </c>
      <c r="J33" s="195">
        <f>SUM(J34,J40,J45,J46,J47,J48,J49,J50)</f>
        <v>7298952.9739724817</v>
      </c>
      <c r="K33" s="195">
        <f t="shared" ref="K33" si="63">SUM(K34,K40,K45,K46,K47,K48,K49,K50)</f>
        <v>10934394.059829095</v>
      </c>
      <c r="L33" s="195">
        <f>SUM(M33:N33)</f>
        <v>18383427.272368386</v>
      </c>
      <c r="M33" s="195">
        <f>SUM(M34,M40,M45,M46,M47,M48,M49,M50)</f>
        <v>7342536.6611100128</v>
      </c>
      <c r="N33" s="195">
        <f t="shared" ref="N33" si="64">SUM(N34,N40,N45,N46,N47,N48,N49,N50)</f>
        <v>11040890.611258375</v>
      </c>
      <c r="O33" s="195">
        <f t="shared" si="47"/>
        <v>18547507.75812526</v>
      </c>
      <c r="P33" s="195">
        <f>SUM(P34,P40,P45,P46,P47,P48,P49,P50)</f>
        <v>7459656.7579816561</v>
      </c>
      <c r="Q33" s="195">
        <f t="shared" ref="Q33" si="65">SUM(Q34,Q40,Q45,Q46,Q47,Q48,Q49,Q50)</f>
        <v>11087851.000143604</v>
      </c>
      <c r="R33" s="195">
        <f t="shared" si="48"/>
        <v>21595043.134713143</v>
      </c>
      <c r="S33" s="195">
        <f>SUM(S34,S40,S45,S46,S47,S48,S49,S50)</f>
        <v>9096968.6505747605</v>
      </c>
      <c r="T33" s="195">
        <f t="shared" ref="T33" si="66">SUM(T34,T40,T45,T46,T47,T48,T49,T50)</f>
        <v>12498074.484138383</v>
      </c>
      <c r="U33" s="195">
        <f t="shared" si="49"/>
        <v>23347082.444954883</v>
      </c>
      <c r="V33" s="195">
        <f>SUM(V34,V40,V45,V46,V47,V48,V49,V50)</f>
        <v>9987394.2478451263</v>
      </c>
      <c r="W33" s="195">
        <f t="shared" ref="W33" si="67">SUM(W34,W40,W45,W46,W47,W48,W49,W50)</f>
        <v>13359688.197109757</v>
      </c>
      <c r="X33" s="195">
        <f t="shared" si="50"/>
        <v>24990183.457332324</v>
      </c>
      <c r="Y33" s="195">
        <f>SUM(Y34,Y40,Y45,Y46,Y47,Y48,Y49,Y50)</f>
        <v>10733767.652453247</v>
      </c>
      <c r="Z33" s="1646">
        <f t="shared" ref="Z33" si="68">SUM(Z34,Z40,Z45,Z46,Z47,Z48,Z49,Z50)</f>
        <v>14256415.804879077</v>
      </c>
    </row>
    <row r="34" spans="1:26">
      <c r="A34" s="611">
        <v>1</v>
      </c>
      <c r="B34" s="1923" t="s">
        <v>208</v>
      </c>
      <c r="C34" s="195">
        <f>SUM(C35:C39)</f>
        <v>5331240.5709698759</v>
      </c>
      <c r="D34" s="195">
        <f t="shared" ref="D34:E34" si="69">SUM(D35:D39)</f>
        <v>3607240.162</v>
      </c>
      <c r="E34" s="195">
        <f t="shared" si="69"/>
        <v>1724000.4089698761</v>
      </c>
      <c r="F34" s="195">
        <f>SUM(F35:F39)</f>
        <v>5331240.5709698759</v>
      </c>
      <c r="G34" s="195">
        <f t="shared" ref="G34:H34" si="70">SUM(G35:G39)</f>
        <v>3607240.162</v>
      </c>
      <c r="H34" s="195">
        <f t="shared" si="70"/>
        <v>1724000.4089698761</v>
      </c>
      <c r="I34" s="195">
        <f>SUM(I35:I39)</f>
        <v>4950795.363429876</v>
      </c>
      <c r="J34" s="195">
        <f t="shared" ref="J34:K34" si="71">SUM(J35:J39)</f>
        <v>3109794.9544600002</v>
      </c>
      <c r="K34" s="195">
        <f t="shared" si="71"/>
        <v>1841000.4089698761</v>
      </c>
      <c r="L34" s="195">
        <f>SUM(L35:L39)</f>
        <v>4892210.8713205801</v>
      </c>
      <c r="M34" s="195">
        <f t="shared" ref="M34:N34" si="72">SUM(M35:M39)</f>
        <v>3141210.4623507038</v>
      </c>
      <c r="N34" s="195">
        <f t="shared" si="72"/>
        <v>1751000.4089698761</v>
      </c>
      <c r="O34" s="195">
        <f>SUM(O35:O39)</f>
        <v>4823362.7382765934</v>
      </c>
      <c r="P34" s="195">
        <f t="shared" ref="P34:Q34" si="73">SUM(P35:P39)</f>
        <v>3154867.4240310052</v>
      </c>
      <c r="Q34" s="195">
        <f t="shared" si="73"/>
        <v>1668495.3142455874</v>
      </c>
      <c r="R34" s="195">
        <f>SUM(R35:R39)</f>
        <v>6043442.1840729155</v>
      </c>
      <c r="S34" s="195">
        <f t="shared" ref="S34:T34" si="74">SUM(S35:S39)</f>
        <v>4112611.9808295001</v>
      </c>
      <c r="T34" s="195">
        <f t="shared" si="74"/>
        <v>1930830.2032434158</v>
      </c>
      <c r="U34" s="195">
        <f>SUM(U35:U39)</f>
        <v>6475781.9322816804</v>
      </c>
      <c r="V34" s="195">
        <f t="shared" ref="V34:W34" si="75">SUM(V35:V39)</f>
        <v>4406297.6668103859</v>
      </c>
      <c r="W34" s="195">
        <f t="shared" si="75"/>
        <v>2069484.2654712955</v>
      </c>
      <c r="X34" s="195">
        <f>SUM(X35:X39)</f>
        <v>6943653.6306009274</v>
      </c>
      <c r="Y34" s="195">
        <f t="shared" ref="Y34:Z34" si="76">SUM(Y35:Y39)</f>
        <v>4655289.839687855</v>
      </c>
      <c r="Z34" s="1646">
        <f t="shared" si="76"/>
        <v>2288363.7909130724</v>
      </c>
    </row>
    <row r="35" spans="1:26">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1656">
        <f>'Phụ lục số II'!AP12</f>
        <v>803363.79091307241</v>
      </c>
    </row>
    <row r="36" spans="1:26">
      <c r="A36" s="603" t="s">
        <v>29</v>
      </c>
      <c r="B36" s="1929" t="s">
        <v>144</v>
      </c>
      <c r="C36" s="196">
        <f t="shared" ref="C36:C39" si="77">SUM(D36:E36)</f>
        <v>1770000</v>
      </c>
      <c r="D36" s="196">
        <f>'Phụ lục số II'!F13</f>
        <v>627000</v>
      </c>
      <c r="E36" s="196">
        <f>'Phụ lục số II'!G13</f>
        <v>1143000</v>
      </c>
      <c r="F36" s="46">
        <f t="shared" ref="F36:F39" si="78">SUM(G36:H36)</f>
        <v>1770000</v>
      </c>
      <c r="G36" s="46">
        <f>'Phụ lục số II'!K13</f>
        <v>627000</v>
      </c>
      <c r="H36" s="46">
        <f>'Phụ lục số II'!L13</f>
        <v>1143000</v>
      </c>
      <c r="I36" s="46">
        <f t="shared" ref="I36:I39" si="79">SUM(J36:K36)</f>
        <v>1660000</v>
      </c>
      <c r="J36" s="328">
        <f>'Phụ lục số II'!P13</f>
        <v>400000</v>
      </c>
      <c r="K36" s="328">
        <f>'Phụ lục số II'!Q13</f>
        <v>1260000</v>
      </c>
      <c r="L36" s="46">
        <f t="shared" ref="L36:L39" si="80">SUM(M36:N36)</f>
        <v>1570000</v>
      </c>
      <c r="M36" s="328">
        <f>'Phụ lục số II'!U13</f>
        <v>400000</v>
      </c>
      <c r="N36" s="328">
        <f>'Phụ lục số II'!V13</f>
        <v>1170000</v>
      </c>
      <c r="O36" s="46">
        <f t="shared" ref="O36:O39" si="81">SUM(P36:Q36)</f>
        <v>1480000</v>
      </c>
      <c r="P36" s="328">
        <f>'Phụ lục số II'!Z13</f>
        <v>400000</v>
      </c>
      <c r="Q36" s="328">
        <f>'Phụ lục số II'!AA13</f>
        <v>1080000</v>
      </c>
      <c r="R36" s="46">
        <f t="shared" ref="R36:R39" si="82">SUM(S36:T36)</f>
        <v>1660000</v>
      </c>
      <c r="S36" s="46">
        <f>'Phụ lục số II'!AE13</f>
        <v>400000</v>
      </c>
      <c r="T36" s="46">
        <f>'Phụ lục số II'!AF13</f>
        <v>1260000</v>
      </c>
      <c r="U36" s="46">
        <f t="shared" ref="U36:U39" si="83">SUM(V36:W36)</f>
        <v>1800000</v>
      </c>
      <c r="V36" s="328">
        <f>'Phụ lục số II'!AJ13</f>
        <v>450000</v>
      </c>
      <c r="W36" s="328">
        <f>'Phụ lục số II'!AK13</f>
        <v>1350000</v>
      </c>
      <c r="X36" s="46">
        <f t="shared" ref="X36:X39" si="84">SUM(Y36:Z36)</f>
        <v>1935000</v>
      </c>
      <c r="Y36" s="328">
        <f>'Phụ lục số II'!AO13</f>
        <v>450000</v>
      </c>
      <c r="Z36" s="1656">
        <f>'Phụ lục số II'!AP13</f>
        <v>1485000</v>
      </c>
    </row>
    <row r="37" spans="1:26">
      <c r="A37" s="603" t="s">
        <v>29</v>
      </c>
      <c r="B37" s="46" t="s">
        <v>145</v>
      </c>
      <c r="C37" s="196">
        <f t="shared" si="77"/>
        <v>1950000</v>
      </c>
      <c r="D37" s="196">
        <f>'Phụ lục số II'!F14</f>
        <v>1950000</v>
      </c>
      <c r="E37" s="196">
        <f>'Phụ lục số II'!G14</f>
        <v>0</v>
      </c>
      <c r="F37" s="46">
        <f t="shared" si="78"/>
        <v>1950000</v>
      </c>
      <c r="G37" s="46">
        <f>'Phụ lục số II'!K14</f>
        <v>1950000</v>
      </c>
      <c r="H37" s="46">
        <f>'Phụ lục số II'!L14</f>
        <v>0</v>
      </c>
      <c r="I37" s="46">
        <f t="shared" si="79"/>
        <v>1850000</v>
      </c>
      <c r="J37" s="328">
        <f>'Phụ lục số II'!P14</f>
        <v>1850000</v>
      </c>
      <c r="K37" s="328">
        <f>'Phụ lục số II'!Q14</f>
        <v>0</v>
      </c>
      <c r="L37" s="46">
        <f t="shared" si="80"/>
        <v>1850000</v>
      </c>
      <c r="M37" s="328">
        <f>'Phụ lục số II'!U14</f>
        <v>1850000</v>
      </c>
      <c r="N37" s="328">
        <f>'Phụ lục số II'!V14</f>
        <v>0</v>
      </c>
      <c r="O37" s="46">
        <f t="shared" si="81"/>
        <v>1850000</v>
      </c>
      <c r="P37" s="328">
        <f>'Phụ lục số II'!Z14</f>
        <v>1850000</v>
      </c>
      <c r="Q37" s="328">
        <f>'Phụ lục số II'!AA14</f>
        <v>0</v>
      </c>
      <c r="R37" s="46">
        <f t="shared" si="82"/>
        <v>2000000</v>
      </c>
      <c r="S37" s="46">
        <f>'Phụ lục số II'!AE14</f>
        <v>2000000</v>
      </c>
      <c r="T37" s="46">
        <f>'Phụ lục số II'!AF14</f>
        <v>0</v>
      </c>
      <c r="U37" s="46">
        <f t="shared" si="83"/>
        <v>2100000</v>
      </c>
      <c r="V37" s="328">
        <f>'Phụ lục số II'!AJ14</f>
        <v>2100000</v>
      </c>
      <c r="W37" s="328">
        <f>'Phụ lục số II'!AK14</f>
        <v>0</v>
      </c>
      <c r="X37" s="46">
        <f t="shared" si="84"/>
        <v>2200000</v>
      </c>
      <c r="Y37" s="328">
        <f>'Phụ lục số II'!AO14</f>
        <v>2200000</v>
      </c>
      <c r="Z37" s="1656">
        <f>'Phụ lục số II'!AP14</f>
        <v>0</v>
      </c>
    </row>
    <row r="38" spans="1:26">
      <c r="A38" s="603" t="s">
        <v>29</v>
      </c>
      <c r="B38" s="46" t="s">
        <v>146</v>
      </c>
      <c r="C38" s="196">
        <f t="shared" si="77"/>
        <v>408054.16200000001</v>
      </c>
      <c r="D38" s="196">
        <f>'Phụ lục số II'!F15</f>
        <v>408054.16200000001</v>
      </c>
      <c r="E38" s="196">
        <f>'Phụ lục số II'!G15</f>
        <v>0</v>
      </c>
      <c r="F38" s="46">
        <f t="shared" si="78"/>
        <v>408054.16200000001</v>
      </c>
      <c r="G38" s="46">
        <f>'Phụ lục số II'!K15</f>
        <v>408054.16200000001</v>
      </c>
      <c r="H38" s="46">
        <f>'Phụ lục số II'!L15</f>
        <v>0</v>
      </c>
      <c r="I38" s="46">
        <f t="shared" si="79"/>
        <v>0</v>
      </c>
      <c r="J38" s="328">
        <f>'Phụ lục số II'!P15</f>
        <v>0</v>
      </c>
      <c r="K38" s="328">
        <f>'Phụ lục số II'!Q15</f>
        <v>0</v>
      </c>
      <c r="L38" s="46">
        <f t="shared" si="80"/>
        <v>0</v>
      </c>
      <c r="M38" s="328">
        <f>'Phụ lục số II'!U15</f>
        <v>0</v>
      </c>
      <c r="N38" s="328">
        <f>'Phụ lục số II'!V15</f>
        <v>0</v>
      </c>
      <c r="O38" s="46">
        <f t="shared" si="81"/>
        <v>0</v>
      </c>
      <c r="P38" s="328">
        <f>'Phụ lục số II'!Z15</f>
        <v>0</v>
      </c>
      <c r="Q38" s="328">
        <f>'Phụ lục số II'!AA15</f>
        <v>0</v>
      </c>
      <c r="R38" s="46">
        <f t="shared" si="82"/>
        <v>0</v>
      </c>
      <c r="S38" s="46">
        <f>'Phụ lục số II'!AE15</f>
        <v>0</v>
      </c>
      <c r="T38" s="46">
        <f>'Phụ lục số II'!AF15</f>
        <v>0</v>
      </c>
      <c r="U38" s="46">
        <f t="shared" si="83"/>
        <v>0</v>
      </c>
      <c r="V38" s="328">
        <f>'Phụ lục số II'!AJ15</f>
        <v>0</v>
      </c>
      <c r="W38" s="328">
        <f>'Phụ lục số II'!AK15</f>
        <v>0</v>
      </c>
      <c r="X38" s="46">
        <f t="shared" si="84"/>
        <v>0</v>
      </c>
      <c r="Y38" s="328">
        <f>'Phụ lục số II'!AO15</f>
        <v>0</v>
      </c>
      <c r="Z38" s="1656">
        <f>'Phụ lục số II'!AP15</f>
        <v>0</v>
      </c>
    </row>
    <row r="39" spans="1:26">
      <c r="A39" s="603" t="s">
        <v>29</v>
      </c>
      <c r="B39" s="46" t="s">
        <v>321</v>
      </c>
      <c r="C39" s="196">
        <f t="shared" si="77"/>
        <v>60000</v>
      </c>
      <c r="D39" s="196">
        <f>'Phụ lục số II'!F16</f>
        <v>60000</v>
      </c>
      <c r="E39" s="196">
        <f>'Phụ lục số II'!G16</f>
        <v>0</v>
      </c>
      <c r="F39" s="46">
        <f t="shared" si="78"/>
        <v>60000</v>
      </c>
      <c r="G39" s="46">
        <f>'Phụ lục số II'!K16</f>
        <v>60000</v>
      </c>
      <c r="H39" s="46">
        <f>'Phụ lục số II'!L16</f>
        <v>0</v>
      </c>
      <c r="I39" s="46">
        <f t="shared" si="79"/>
        <v>270000</v>
      </c>
      <c r="J39" s="328">
        <f>'Phụ lục số II'!P16</f>
        <v>270000</v>
      </c>
      <c r="K39" s="328">
        <f>'Phụ lục số II'!Q16</f>
        <v>0</v>
      </c>
      <c r="L39" s="46">
        <f t="shared" si="80"/>
        <v>300000</v>
      </c>
      <c r="M39" s="328">
        <f>'Phụ lục số II'!U16</f>
        <v>300000</v>
      </c>
      <c r="N39" s="328">
        <f>'Phụ lục số II'!V16</f>
        <v>0</v>
      </c>
      <c r="O39" s="46">
        <f t="shared" si="81"/>
        <v>300000</v>
      </c>
      <c r="P39" s="328">
        <f>'Phụ lục số II'!Z16</f>
        <v>300000</v>
      </c>
      <c r="Q39" s="328">
        <f>'Phụ lục số II'!AA16</f>
        <v>0</v>
      </c>
      <c r="R39" s="46">
        <f t="shared" si="82"/>
        <v>1050000</v>
      </c>
      <c r="S39" s="46">
        <f>'Phụ lục số II'!AE16</f>
        <v>1050000</v>
      </c>
      <c r="T39" s="46">
        <f>'Phụ lục số II'!AF16</f>
        <v>0</v>
      </c>
      <c r="U39" s="46">
        <f t="shared" si="83"/>
        <v>1100000</v>
      </c>
      <c r="V39" s="328">
        <f>'Phụ lục số II'!AJ16</f>
        <v>1100000</v>
      </c>
      <c r="W39" s="328">
        <f>'Phụ lục số II'!AK16</f>
        <v>0</v>
      </c>
      <c r="X39" s="46">
        <f t="shared" si="84"/>
        <v>1200000</v>
      </c>
      <c r="Y39" s="328">
        <f>'Phụ lục số II'!AO16</f>
        <v>1200000</v>
      </c>
      <c r="Z39" s="1656">
        <f>'Phụ lục số II'!AP16</f>
        <v>0</v>
      </c>
    </row>
    <row r="40" spans="1:26">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1657">
        <f>'Phụ lục số II'!AP17</f>
        <v>10763485.913870698</v>
      </c>
    </row>
    <row r="41" spans="1:26">
      <c r="A41" s="611"/>
      <c r="B41" s="1923" t="s">
        <v>234</v>
      </c>
      <c r="C41" s="196"/>
      <c r="D41" s="196"/>
      <c r="E41" s="196"/>
      <c r="F41" s="46"/>
      <c r="G41" s="46"/>
      <c r="H41" s="46"/>
      <c r="I41" s="328"/>
      <c r="J41" s="328"/>
      <c r="K41" s="328"/>
      <c r="L41" s="46"/>
      <c r="M41" s="46"/>
      <c r="N41" s="46"/>
      <c r="O41" s="328">
        <f t="shared" ref="O41:O43" si="85">SUM(P41:Q41)</f>
        <v>0</v>
      </c>
      <c r="P41" s="328"/>
      <c r="Q41" s="328"/>
      <c r="R41" s="46"/>
      <c r="S41" s="46"/>
      <c r="T41" s="46"/>
      <c r="U41" s="297"/>
      <c r="V41" s="297"/>
      <c r="W41" s="297"/>
      <c r="X41" s="328"/>
      <c r="Y41" s="328"/>
      <c r="Z41" s="1656"/>
    </row>
    <row r="42" spans="1:26">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5"/>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1656">
        <f>'Phụ lục số II'!AP18</f>
        <v>5743058.5827228744</v>
      </c>
    </row>
    <row r="43" spans="1:26">
      <c r="A43" s="603" t="s">
        <v>29</v>
      </c>
      <c r="B43" s="1930" t="s">
        <v>241</v>
      </c>
      <c r="C43" s="196">
        <f t="shared" ref="C43:C44" si="86">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5"/>
        <v>34148.038429599939</v>
      </c>
      <c r="P43" s="328">
        <f>'Phụ lục số II'!Z19</f>
        <v>34148.038429599939</v>
      </c>
      <c r="Q43" s="328">
        <f>'Phụ lục số II'!AA19</f>
        <v>0</v>
      </c>
      <c r="R43" s="46">
        <f>SUM(S43:T43)</f>
        <v>35149.814659228985</v>
      </c>
      <c r="S43" s="46">
        <f>'Phụ lục số II'!AE19</f>
        <v>35149.814659228985</v>
      </c>
      <c r="T43" s="46"/>
      <c r="U43" s="297">
        <f t="shared" ref="U43:U44" si="87">SUM(V43:W43)</f>
        <v>36406.277712104355</v>
      </c>
      <c r="V43" s="328">
        <f>'Phụ lục số II'!AJ19</f>
        <v>36406.277712104355</v>
      </c>
      <c r="W43" s="328">
        <f>'Phụ lục số II'!AK19</f>
        <v>0</v>
      </c>
      <c r="X43" s="328">
        <f t="shared" ref="X43:X44" si="88">SUM(Y43:Z43)</f>
        <v>37320.513403256889</v>
      </c>
      <c r="Y43" s="328">
        <f>'Phụ lục số II'!AO19</f>
        <v>37320.513403256889</v>
      </c>
      <c r="Z43" s="1656"/>
    </row>
    <row r="44" spans="1:26">
      <c r="A44" s="603" t="s">
        <v>29</v>
      </c>
      <c r="B44" s="1929" t="s">
        <v>240</v>
      </c>
      <c r="C44" s="196">
        <f t="shared" si="86"/>
        <v>5835814.6115313368</v>
      </c>
      <c r="D44" s="196">
        <f>D40-D42-D43</f>
        <v>2306546</v>
      </c>
      <c r="E44" s="196">
        <f t="shared" ref="E44" si="89">E40-E42-E43</f>
        <v>3529268.6115313368</v>
      </c>
      <c r="F44" s="196">
        <f t="shared" ref="F44" si="90">SUM(G44:H44)</f>
        <v>6164214.0219581444</v>
      </c>
      <c r="G44" s="196">
        <f>G40-G42-G43</f>
        <v>2453609.8404966248</v>
      </c>
      <c r="H44" s="196">
        <f t="shared" ref="H44" si="91">H40-H42-H43</f>
        <v>3710604.1814615196</v>
      </c>
      <c r="I44" s="196">
        <f t="shared" ref="I44" si="92">SUM(J44:K44)</f>
        <v>6820326.0272453995</v>
      </c>
      <c r="J44" s="196">
        <f>J40-J42-J43</f>
        <v>2766832.4740600018</v>
      </c>
      <c r="K44" s="196">
        <f t="shared" ref="K44" si="93">K40-K42-K43</f>
        <v>4053493.5531853978</v>
      </c>
      <c r="L44" s="196">
        <f t="shared" ref="L44" si="94">SUM(M44:N44)</f>
        <v>6971158.3555575442</v>
      </c>
      <c r="M44" s="196">
        <f>M40-M42-M43</f>
        <v>2775599.0719977436</v>
      </c>
      <c r="N44" s="196">
        <f t="shared" ref="N44" si="95">N40-N42-N43</f>
        <v>4195559.2835598001</v>
      </c>
      <c r="O44" s="196">
        <f t="shared" ref="O44" si="96">SUM(P44:Q44)</f>
        <v>7105551.3088786099</v>
      </c>
      <c r="P44" s="196">
        <f>P40-P42-P43</f>
        <v>2846243.4105608924</v>
      </c>
      <c r="Q44" s="196">
        <f>Q40-Q42-Q43</f>
        <v>4259307.898317717</v>
      </c>
      <c r="R44" s="196">
        <f t="shared" ref="R44" si="97">SUM(S44:T44)</f>
        <v>7463552.5087014139</v>
      </c>
      <c r="S44" s="196">
        <f>S40-S42-S43</f>
        <v>2954741.5885987445</v>
      </c>
      <c r="T44" s="196">
        <f>T40-T42-T43</f>
        <v>4508810.9201026689</v>
      </c>
      <c r="U44" s="297">
        <f t="shared" si="87"/>
        <v>7941763.3492903039</v>
      </c>
      <c r="V44" s="196">
        <f>V40-V42-V43</f>
        <v>3150361.5946460278</v>
      </c>
      <c r="W44" s="196">
        <f>W40-W42-W43</f>
        <v>4791401.7546442756</v>
      </c>
      <c r="X44" s="328">
        <f t="shared" si="88"/>
        <v>8374900.9139140751</v>
      </c>
      <c r="Y44" s="196">
        <f>Y40-Y42-Y43</f>
        <v>3354473.5827662521</v>
      </c>
      <c r="Z44" s="1652">
        <f>Z40-Z42-Z43</f>
        <v>5020427.3311478235</v>
      </c>
    </row>
    <row r="45" spans="1:26">
      <c r="A45" s="611">
        <v>3</v>
      </c>
      <c r="B45" s="1931" t="s">
        <v>210</v>
      </c>
      <c r="C45" s="195"/>
      <c r="D45" s="195"/>
      <c r="E45" s="195"/>
      <c r="F45" s="46"/>
      <c r="G45" s="46"/>
      <c r="H45" s="46"/>
      <c r="I45" s="328"/>
      <c r="J45" s="328"/>
      <c r="K45" s="328"/>
      <c r="L45" s="328"/>
      <c r="M45" s="297"/>
      <c r="N45" s="297"/>
      <c r="O45" s="328"/>
      <c r="P45" s="328"/>
      <c r="Q45" s="328"/>
      <c r="R45" s="297"/>
      <c r="S45" s="297"/>
      <c r="T45" s="297"/>
      <c r="U45" s="297"/>
      <c r="V45" s="297"/>
      <c r="W45" s="297"/>
      <c r="X45" s="328"/>
      <c r="Y45" s="328"/>
      <c r="Z45" s="1656"/>
    </row>
    <row r="46" spans="1:26">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1657">
        <f>'Phụ lục số II'!AP34</f>
        <v>984949.50233643386</v>
      </c>
    </row>
    <row r="47" spans="1:26">
      <c r="A47" s="611">
        <v>5</v>
      </c>
      <c r="B47" s="45" t="s">
        <v>212</v>
      </c>
      <c r="C47" s="195">
        <f t="shared" ref="C47:C50" si="98">SUM(D47:E47)</f>
        <v>0</v>
      </c>
      <c r="D47" s="195"/>
      <c r="E47" s="195"/>
      <c r="F47" s="45">
        <f t="shared" ref="F47:F50" si="99">SUM(G47:H47)</f>
        <v>0</v>
      </c>
      <c r="G47" s="45"/>
      <c r="H47" s="45"/>
      <c r="I47" s="328"/>
      <c r="J47" s="328"/>
      <c r="K47" s="328"/>
      <c r="L47" s="328"/>
      <c r="M47" s="297"/>
      <c r="N47" s="297"/>
      <c r="O47" s="328"/>
      <c r="P47" s="328"/>
      <c r="Q47" s="328"/>
      <c r="R47" s="297"/>
      <c r="S47" s="297"/>
      <c r="T47" s="297"/>
      <c r="U47" s="297"/>
      <c r="V47" s="297"/>
      <c r="W47" s="297"/>
      <c r="X47" s="328"/>
      <c r="Y47" s="328"/>
      <c r="Z47" s="1656"/>
    </row>
    <row r="48" spans="1:26">
      <c r="A48" s="611">
        <v>6</v>
      </c>
      <c r="B48" s="1923" t="s">
        <v>174</v>
      </c>
      <c r="C48" s="195">
        <f t="shared" si="98"/>
        <v>2000</v>
      </c>
      <c r="D48" s="195">
        <f>'Phụ lục số II'!F32</f>
        <v>2000</v>
      </c>
      <c r="E48" s="195">
        <f>'Phụ lục số II'!G32</f>
        <v>0</v>
      </c>
      <c r="F48" s="45">
        <f t="shared" si="99"/>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1657"/>
    </row>
    <row r="49" spans="1:26">
      <c r="A49" s="1932">
        <v>7</v>
      </c>
      <c r="B49" s="1923" t="s">
        <v>175</v>
      </c>
      <c r="C49" s="195">
        <f t="shared" si="98"/>
        <v>327868.91231904214</v>
      </c>
      <c r="D49" s="195">
        <f>'Phụ lục số II'!F33</f>
        <v>152264.36799999999</v>
      </c>
      <c r="E49" s="195">
        <f>'Phụ lục số II'!G33</f>
        <v>175604.54431904212</v>
      </c>
      <c r="F49" s="45">
        <f t="shared" si="99"/>
        <v>327868.91231904214</v>
      </c>
      <c r="G49" s="45">
        <f>'Phụ lục số II'!K33</f>
        <v>152264.36799999999</v>
      </c>
      <c r="H49" s="45">
        <f>'Phụ lục số II'!L33</f>
        <v>175604.54431904212</v>
      </c>
      <c r="I49" s="45">
        <f t="shared" ref="I49:I50" si="100">SUM(J49:K49)</f>
        <v>354094.47910195083</v>
      </c>
      <c r="J49" s="329">
        <f>'Phụ lục số II'!P33</f>
        <v>183758.07111247999</v>
      </c>
      <c r="K49" s="329">
        <f>'Phụ lục số II'!Q33</f>
        <v>170336.40798947084</v>
      </c>
      <c r="L49" s="45">
        <f t="shared" ref="L49:L50" si="101">SUM(M49:N49)</f>
        <v>356375.03167890699</v>
      </c>
      <c r="M49" s="329">
        <f>'Phụ lục số II'!U33</f>
        <v>184199.09048314992</v>
      </c>
      <c r="N49" s="329">
        <f>'Phụ lục số II'!V33</f>
        <v>172175.9411957571</v>
      </c>
      <c r="O49" s="329">
        <f t="shared" ref="O49:O50" si="102">SUM(P49:Q49)</f>
        <v>362851.10031049303</v>
      </c>
      <c r="P49" s="329">
        <f>'Phụ lục số II'!Z33</f>
        <v>188454.08947331071</v>
      </c>
      <c r="Q49" s="329">
        <f>'Phụ lục số II'!AA33</f>
        <v>174397.01083718234</v>
      </c>
      <c r="R49" s="329">
        <f t="shared" ref="R49:R50" si="103">SUM(S49:T49)</f>
        <v>388554.57695830194</v>
      </c>
      <c r="S49" s="329">
        <f>'Phụ lục số II'!AE33</f>
        <v>193982.6303761786</v>
      </c>
      <c r="T49" s="329">
        <f>'Phụ lục số II'!AF33</f>
        <v>194571.94658212332</v>
      </c>
      <c r="U49" s="329">
        <f t="shared" ref="U49:U50" si="104">SUM(V49:W49)</f>
        <v>413799.67800673621</v>
      </c>
      <c r="V49" s="329">
        <f>'Phụ lục số II'!AJ33</f>
        <v>210916.72121933621</v>
      </c>
      <c r="W49" s="329">
        <f>'Phụ lục số II'!AK33</f>
        <v>202882.95678739998</v>
      </c>
      <c r="X49" s="329">
        <f t="shared" ref="X49:X50" si="105">SUM(Y49:Z49)</f>
        <v>455829.86689569859</v>
      </c>
      <c r="Y49" s="329">
        <f>'Phụ lục số II'!AO33</f>
        <v>236213.26913682561</v>
      </c>
      <c r="Z49" s="1657">
        <f>'Phụ lục số II'!AP33</f>
        <v>219616.59775887299</v>
      </c>
    </row>
    <row r="50" spans="1:26">
      <c r="A50" s="1932">
        <v>8</v>
      </c>
      <c r="B50" s="1923" t="s">
        <v>213</v>
      </c>
      <c r="C50" s="195">
        <f t="shared" si="98"/>
        <v>3000</v>
      </c>
      <c r="D50" s="195">
        <f>'Phụ lục số II'!F31</f>
        <v>3000</v>
      </c>
      <c r="E50" s="195">
        <f>'Phụ lục số II'!G31</f>
        <v>0</v>
      </c>
      <c r="F50" s="45">
        <f t="shared" si="99"/>
        <v>3000</v>
      </c>
      <c r="G50" s="45">
        <f>'Phụ lục số II'!K31</f>
        <v>3000</v>
      </c>
      <c r="H50" s="45"/>
      <c r="I50" s="45">
        <f t="shared" si="100"/>
        <v>3000</v>
      </c>
      <c r="J50" s="329">
        <f>'Phụ lục số II'!P31</f>
        <v>3000</v>
      </c>
      <c r="K50" s="329">
        <f>'Phụ lục số II'!Q31</f>
        <v>0</v>
      </c>
      <c r="L50" s="45">
        <f t="shared" si="101"/>
        <v>3000</v>
      </c>
      <c r="M50" s="329">
        <f>'Phụ lục số II'!U31</f>
        <v>3000</v>
      </c>
      <c r="N50" s="329">
        <f>'Phụ lục số II'!V31</f>
        <v>0</v>
      </c>
      <c r="O50" s="329">
        <f t="shared" si="102"/>
        <v>3000</v>
      </c>
      <c r="P50" s="329">
        <f>'Phụ lục số II'!Z31</f>
        <v>3000</v>
      </c>
      <c r="Q50" s="329">
        <f>'Phụ lục số II'!AA31</f>
        <v>0</v>
      </c>
      <c r="R50" s="329">
        <f t="shared" si="103"/>
        <v>3000</v>
      </c>
      <c r="S50" s="329">
        <f>'Phụ lục số II'!AE31</f>
        <v>3000</v>
      </c>
      <c r="T50" s="330"/>
      <c r="U50" s="329">
        <f t="shared" si="104"/>
        <v>3000</v>
      </c>
      <c r="V50" s="329">
        <f>'Phụ lục số II'!AJ31</f>
        <v>3000</v>
      </c>
      <c r="W50" s="330"/>
      <c r="X50" s="329">
        <f t="shared" si="105"/>
        <v>3000</v>
      </c>
      <c r="Y50" s="329">
        <f>'Phụ lục số II'!AO31</f>
        <v>3000</v>
      </c>
      <c r="Z50" s="1657"/>
    </row>
    <row r="51" spans="1:26">
      <c r="A51" s="611" t="s">
        <v>33</v>
      </c>
      <c r="B51" s="1923" t="s">
        <v>214</v>
      </c>
      <c r="C51" s="195">
        <f>SUM(D51:E51)</f>
        <v>1988976</v>
      </c>
      <c r="D51" s="195">
        <f>SUM(D52,D55,D58)</f>
        <v>1988976</v>
      </c>
      <c r="E51" s="195">
        <f t="shared" ref="E51" si="106">SUM(E52,E55,E58)</f>
        <v>0</v>
      </c>
      <c r="F51" s="195">
        <f>SUM(G51:H51)</f>
        <v>2127535</v>
      </c>
      <c r="G51" s="195">
        <f>SUM(G52,G55,G58)</f>
        <v>2127535</v>
      </c>
      <c r="H51" s="195">
        <f t="shared" ref="H51" si="107">SUM(H52,H55,H58)</f>
        <v>0</v>
      </c>
      <c r="I51" s="195">
        <f>SUM(J51:K51)</f>
        <v>3676048.8</v>
      </c>
      <c r="J51" s="195">
        <f>SUM(J52,J55,J58)</f>
        <v>3676048.8</v>
      </c>
      <c r="K51" s="195">
        <f t="shared" ref="K51" si="108">SUM(K52,K55,K58)</f>
        <v>0</v>
      </c>
      <c r="L51" s="195">
        <f>SUM(M51:N51)</f>
        <v>3676048.8</v>
      </c>
      <c r="M51" s="195">
        <f>SUM(M52,M55,M58)</f>
        <v>3676048.8</v>
      </c>
      <c r="N51" s="195">
        <f t="shared" ref="N51" si="109">SUM(N52,N55,N58)</f>
        <v>0</v>
      </c>
      <c r="O51" s="195">
        <f>SUM(P51:Q51)</f>
        <v>3676048.8</v>
      </c>
      <c r="P51" s="195">
        <f>SUM(P52,P55,P58)</f>
        <v>3676048.8</v>
      </c>
      <c r="Q51" s="195">
        <f t="shared" ref="Q51" si="110">SUM(Q52,Q55,Q58)</f>
        <v>0</v>
      </c>
      <c r="R51" s="195">
        <f>SUM(S51:T51)</f>
        <v>3676048.8</v>
      </c>
      <c r="S51" s="195">
        <f>SUM(S52,S55,S58)</f>
        <v>3676048.8</v>
      </c>
      <c r="T51" s="195">
        <f t="shared" ref="T51" si="111">SUM(T52,T55,T58)</f>
        <v>0</v>
      </c>
      <c r="U51" s="195">
        <f>SUM(V51:W51)</f>
        <v>3676048.8</v>
      </c>
      <c r="V51" s="195">
        <f>SUM(V52,V55,V58)</f>
        <v>3676048.8</v>
      </c>
      <c r="W51" s="195">
        <f t="shared" ref="W51" si="112">SUM(W52,W55,W58)</f>
        <v>0</v>
      </c>
      <c r="X51" s="195">
        <f>SUM(Y51:Z51)</f>
        <v>3676048.8</v>
      </c>
      <c r="Y51" s="195">
        <f>SUM(Y52,Y55,Y58)</f>
        <v>3676048.8</v>
      </c>
      <c r="Z51" s="1646">
        <f t="shared" ref="Z51" si="113">SUM(Z52,Z55,Z58)</f>
        <v>0</v>
      </c>
    </row>
    <row r="52" spans="1:26">
      <c r="A52" s="603">
        <v>1</v>
      </c>
      <c r="B52" s="46" t="s">
        <v>178</v>
      </c>
      <c r="C52" s="196">
        <f t="shared" ref="C52" si="114">SUM(D52:E52)</f>
        <v>1814491</v>
      </c>
      <c r="D52" s="196">
        <f>SUM(D53:D54)</f>
        <v>1814491</v>
      </c>
      <c r="E52" s="196">
        <f t="shared" ref="E52" si="115">SUM(E53:E54)</f>
        <v>0</v>
      </c>
      <c r="F52" s="196">
        <f t="shared" ref="F52" si="116">SUM(G52:H52)</f>
        <v>1814491</v>
      </c>
      <c r="G52" s="196">
        <f>SUM(G53:G54)</f>
        <v>1814491</v>
      </c>
      <c r="H52" s="196">
        <f t="shared" ref="H52" si="117">SUM(H53:H54)</f>
        <v>0</v>
      </c>
      <c r="I52" s="196">
        <f t="shared" ref="I52" si="118">SUM(J52:K52)</f>
        <v>3101719</v>
      </c>
      <c r="J52" s="196">
        <f>SUM(J53:J54)</f>
        <v>3101719</v>
      </c>
      <c r="K52" s="196">
        <f t="shared" ref="K52" si="119">SUM(K53:K54)</f>
        <v>0</v>
      </c>
      <c r="L52" s="196">
        <f t="shared" ref="L52" si="120">SUM(M52:N52)</f>
        <v>3101719</v>
      </c>
      <c r="M52" s="196">
        <f>SUM(M53:M54)</f>
        <v>3101719</v>
      </c>
      <c r="N52" s="196">
        <f t="shared" ref="N52" si="121">SUM(N53:N54)</f>
        <v>0</v>
      </c>
      <c r="O52" s="328">
        <f>SUM(O53:O54)</f>
        <v>3101719</v>
      </c>
      <c r="P52" s="328">
        <f t="shared" ref="P52" si="122">SUM(P53:P54)</f>
        <v>3101719</v>
      </c>
      <c r="Q52" s="328">
        <f t="shared" ref="Q52" si="123">SUM(Q53:Q54)</f>
        <v>0</v>
      </c>
      <c r="R52" s="328">
        <f>SUM(R53:R54)</f>
        <v>3101719</v>
      </c>
      <c r="S52" s="328">
        <f t="shared" ref="S52" si="124">SUM(S53:S54)</f>
        <v>3101719</v>
      </c>
      <c r="T52" s="328">
        <f t="shared" ref="T52" si="125">SUM(T53:T54)</f>
        <v>0</v>
      </c>
      <c r="U52" s="328">
        <f>SUM(U53:U54)</f>
        <v>3101719</v>
      </c>
      <c r="V52" s="328">
        <f t="shared" ref="V52" si="126">SUM(V53:V54)</f>
        <v>3101719</v>
      </c>
      <c r="W52" s="328">
        <f t="shared" ref="W52" si="127">SUM(W53:W54)</f>
        <v>0</v>
      </c>
      <c r="X52" s="328">
        <f>SUM(X53:X54)</f>
        <v>3101719</v>
      </c>
      <c r="Y52" s="328">
        <f t="shared" ref="Y52" si="128">SUM(Y53:Y54)</f>
        <v>3101719</v>
      </c>
      <c r="Z52" s="1656">
        <f t="shared" ref="Z52" si="129">SUM(Z53:Z54)</f>
        <v>0</v>
      </c>
    </row>
    <row r="53" spans="1:26"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1656"/>
    </row>
    <row r="54" spans="1:26"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1656"/>
    </row>
    <row r="55" spans="1:26">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 si="138">SUM(P56:P57)</f>
        <v>195063.8</v>
      </c>
      <c r="Q55" s="328">
        <f t="shared" ref="Q55" si="139">SUM(Q56:Q57)</f>
        <v>0</v>
      </c>
      <c r="R55" s="328">
        <f>SUM(R56:R57)</f>
        <v>195063.8</v>
      </c>
      <c r="S55" s="328">
        <f t="shared" ref="S55:T55" si="140">SUM(S56:S57)</f>
        <v>195063.8</v>
      </c>
      <c r="T55" s="328">
        <f t="shared" si="140"/>
        <v>0</v>
      </c>
      <c r="U55" s="328">
        <f>SUM(U56:U57)</f>
        <v>195063.8</v>
      </c>
      <c r="V55" s="328">
        <f t="shared" ref="V55" si="141">SUM(V56:V57)</f>
        <v>195063.8</v>
      </c>
      <c r="W55" s="328">
        <f t="shared" ref="W55" si="142">SUM(W56:W57)</f>
        <v>0</v>
      </c>
      <c r="X55" s="328">
        <f>SUM(X56:X57)</f>
        <v>195063.8</v>
      </c>
      <c r="Y55" s="328">
        <f t="shared" ref="Y55" si="143">SUM(Y56:Y57)</f>
        <v>195063.8</v>
      </c>
      <c r="Z55" s="1656">
        <f t="shared" ref="Z55" si="144">SUM(Z56:Z57)</f>
        <v>0</v>
      </c>
    </row>
    <row r="56" spans="1:26"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1656"/>
    </row>
    <row r="57" spans="1:26" hidden="1">
      <c r="A57" s="603" t="s">
        <v>101</v>
      </c>
      <c r="B57" s="46" t="s">
        <v>102</v>
      </c>
      <c r="C57" s="196">
        <f t="shared" ref="C57:C62" si="145">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1656"/>
    </row>
    <row r="58" spans="1:26">
      <c r="A58" s="603">
        <v>3</v>
      </c>
      <c r="B58" s="46" t="s">
        <v>180</v>
      </c>
      <c r="C58" s="196">
        <f t="shared" si="145"/>
        <v>0</v>
      </c>
      <c r="D58" s="196">
        <f>SUM(D59:D60)</f>
        <v>0</v>
      </c>
      <c r="E58" s="196">
        <f t="shared" ref="E58" si="146">SUM(E59:E60)</f>
        <v>0</v>
      </c>
      <c r="F58" s="46">
        <f>SUM(F59:F60)</f>
        <v>138559</v>
      </c>
      <c r="G58" s="46">
        <f t="shared" ref="G58:N58" si="147">SUM(G59:G60)</f>
        <v>138559</v>
      </c>
      <c r="H58" s="46">
        <f t="shared" si="147"/>
        <v>0</v>
      </c>
      <c r="I58" s="46">
        <f>SUM(I59:I60)</f>
        <v>379266</v>
      </c>
      <c r="J58" s="46">
        <f t="shared" si="147"/>
        <v>379266</v>
      </c>
      <c r="K58" s="46">
        <f t="shared" si="147"/>
        <v>0</v>
      </c>
      <c r="L58" s="46">
        <f>SUM(L59:L60)</f>
        <v>379266</v>
      </c>
      <c r="M58" s="46">
        <f t="shared" si="147"/>
        <v>379266</v>
      </c>
      <c r="N58" s="46">
        <f t="shared" si="147"/>
        <v>0</v>
      </c>
      <c r="O58" s="328">
        <f>SUM(O59:O60)</f>
        <v>379266</v>
      </c>
      <c r="P58" s="328">
        <f t="shared" ref="P58:Q58" si="148">SUM(P59:P60)</f>
        <v>379266</v>
      </c>
      <c r="Q58" s="328">
        <f t="shared" si="148"/>
        <v>0</v>
      </c>
      <c r="R58" s="297">
        <f>SUM(R59:R60)</f>
        <v>379266</v>
      </c>
      <c r="S58" s="297">
        <f t="shared" ref="S58:T58" si="149">SUM(S59:S60)</f>
        <v>379266</v>
      </c>
      <c r="T58" s="297">
        <f t="shared" si="149"/>
        <v>0</v>
      </c>
      <c r="U58" s="297">
        <f>SUM(U59:U60)</f>
        <v>379266</v>
      </c>
      <c r="V58" s="297">
        <f t="shared" ref="V58" si="150">SUM(V59:V60)</f>
        <v>379266</v>
      </c>
      <c r="W58" s="297">
        <f t="shared" ref="W58" si="151">SUM(W59:W60)</f>
        <v>0</v>
      </c>
      <c r="X58" s="328">
        <f>SUM(X59:X60)</f>
        <v>379266</v>
      </c>
      <c r="Y58" s="328">
        <f t="shared" ref="Y58" si="152">SUM(Y59:Y60)</f>
        <v>379266</v>
      </c>
      <c r="Z58" s="1656">
        <f t="shared" ref="Z58" si="153">SUM(Z59:Z60)</f>
        <v>0</v>
      </c>
    </row>
    <row r="59" spans="1:26" hidden="1">
      <c r="A59" s="603" t="s">
        <v>99</v>
      </c>
      <c r="B59" s="46" t="s">
        <v>104</v>
      </c>
      <c r="C59" s="196">
        <f t="shared" si="145"/>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328">
        <f>SUM(S59:T59)</f>
        <v>0</v>
      </c>
      <c r="S59" s="328">
        <f>'Phụ lục số II'!AE43</f>
        <v>0</v>
      </c>
      <c r="T59" s="297"/>
      <c r="U59" s="328">
        <f>SUM(V59:W59)</f>
        <v>0</v>
      </c>
      <c r="V59" s="328">
        <f>'Phụ lục số II'!AJ43</f>
        <v>0</v>
      </c>
      <c r="W59" s="297"/>
      <c r="X59" s="328">
        <f>SUM(Y59:Z59)</f>
        <v>0</v>
      </c>
      <c r="Y59" s="328">
        <f>'Phụ lục số II'!AO43</f>
        <v>0</v>
      </c>
      <c r="Z59" s="1656"/>
    </row>
    <row r="60" spans="1:26" hidden="1">
      <c r="A60" s="603" t="s">
        <v>101</v>
      </c>
      <c r="B60" s="46" t="s">
        <v>105</v>
      </c>
      <c r="C60" s="196">
        <f t="shared" si="145"/>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1656"/>
    </row>
    <row r="61" spans="1:26">
      <c r="A61" s="611" t="s">
        <v>182</v>
      </c>
      <c r="B61" s="1933" t="s">
        <v>181</v>
      </c>
      <c r="C61" s="195">
        <f t="shared" si="145"/>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329">
        <f>SUM(S61:T61)</f>
        <v>0</v>
      </c>
      <c r="S61" s="329">
        <f>'Phụ lục số II'!AE45</f>
        <v>0</v>
      </c>
      <c r="T61" s="297"/>
      <c r="U61" s="329">
        <f>SUM(V61:W61)</f>
        <v>0</v>
      </c>
      <c r="V61" s="329">
        <f>'Phụ lục số II'!AJ45</f>
        <v>0</v>
      </c>
      <c r="W61" s="297"/>
      <c r="X61" s="329">
        <f>SUM(Y61:Z61)</f>
        <v>0</v>
      </c>
      <c r="Y61" s="329">
        <f>'Phụ lục số II'!AO45</f>
        <v>0</v>
      </c>
      <c r="Z61" s="1656"/>
    </row>
    <row r="62" spans="1:26">
      <c r="A62" s="611" t="s">
        <v>215</v>
      </c>
      <c r="B62" s="1923" t="s">
        <v>216</v>
      </c>
      <c r="C62" s="195">
        <f t="shared" si="145"/>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329">
        <f>SUM(S62:T62)</f>
        <v>7207894.4479999999</v>
      </c>
      <c r="S62" s="329">
        <f>T18</f>
        <v>7207894.4479999999</v>
      </c>
      <c r="T62" s="330"/>
      <c r="U62" s="329">
        <f>SUM(V62:W62)</f>
        <v>7207894.4479999999</v>
      </c>
      <c r="V62" s="329">
        <f>W18</f>
        <v>7207894.4479999999</v>
      </c>
      <c r="W62" s="330"/>
      <c r="X62" s="329">
        <f>SUM(Y62:Z62)</f>
        <v>7207894.4479999999</v>
      </c>
      <c r="Y62" s="329">
        <f>Z18</f>
        <v>7207894.4479999999</v>
      </c>
      <c r="Z62" s="1659"/>
    </row>
    <row r="63" spans="1:26" s="1644" customFormat="1" ht="18.600000000000001" thickBot="1">
      <c r="A63" s="1935" t="s">
        <v>44</v>
      </c>
      <c r="B63" s="1936" t="s">
        <v>217</v>
      </c>
      <c r="C63" s="1660">
        <f>D63+E63</f>
        <v>8.4000000730156898E-2</v>
      </c>
      <c r="D63" s="1660">
        <f>D8-D32</f>
        <v>-1.5999998897314072E-2</v>
      </c>
      <c r="E63" s="1660">
        <f t="shared" ref="E63" si="154">E8-E32</f>
        <v>9.999999962747097E-2</v>
      </c>
      <c r="F63" s="1660">
        <f>G63+H63</f>
        <v>-6.1892071738839149E-2</v>
      </c>
      <c r="G63" s="1660">
        <f>G8-G32</f>
        <v>-0.14625388942658901</v>
      </c>
      <c r="H63" s="1660">
        <f>H8-H32</f>
        <v>8.4361817687749863E-2</v>
      </c>
      <c r="I63" s="1660">
        <f>J63+K63</f>
        <v>0.19594352878630161</v>
      </c>
      <c r="J63" s="1660">
        <f>J8-J32</f>
        <v>4.2047522962093353E-2</v>
      </c>
      <c r="K63" s="1660">
        <f>K8-K32</f>
        <v>0.15389600582420826</v>
      </c>
      <c r="L63" s="1660">
        <f>M63+N63</f>
        <v>0.13032337091863155</v>
      </c>
      <c r="M63" s="1660">
        <f>M8-M32</f>
        <v>-0.25757023319602013</v>
      </c>
      <c r="N63" s="1660">
        <f>N8-N32</f>
        <v>0.38789360411465168</v>
      </c>
      <c r="O63" s="1660">
        <f>P63+Q63</f>
        <v>-0.36055498383939266</v>
      </c>
      <c r="P63" s="1660">
        <f>P8-P32</f>
        <v>-0.16537817567586899</v>
      </c>
      <c r="Q63" s="1660">
        <f>Q8-Q32</f>
        <v>-0.19517680816352367</v>
      </c>
      <c r="R63" s="1660">
        <f>S63+T63</f>
        <v>-616133.2373663839</v>
      </c>
      <c r="S63" s="1660">
        <f>S8-S32</f>
        <v>-504749.78692453355</v>
      </c>
      <c r="T63" s="1660">
        <f>T8-T32</f>
        <v>-111383.45044185035</v>
      </c>
      <c r="U63" s="1660">
        <f>V63+W63</f>
        <v>-284136.44699073583</v>
      </c>
      <c r="V63" s="1660">
        <f>V8-V32</f>
        <v>-315843.1265125908</v>
      </c>
      <c r="W63" s="1660">
        <f>W8-W32</f>
        <v>31706.679521854967</v>
      </c>
      <c r="X63" s="1660">
        <f>Y63+Z63</f>
        <v>-288529.84032297321</v>
      </c>
      <c r="Y63" s="1660">
        <f>Y8-Y32</f>
        <v>-309047.97373353317</v>
      </c>
      <c r="Z63" s="1661">
        <f>Z8-Z32</f>
        <v>20518.133410559967</v>
      </c>
    </row>
    <row r="64" spans="1:26" ht="18.600000000000001" thickTop="1"/>
    <row r="65" spans="1:26" hidden="1">
      <c r="E65" s="679"/>
      <c r="F65" s="679"/>
      <c r="I65" s="679">
        <f>+I11-I33</f>
        <v>3001428.2959435284</v>
      </c>
      <c r="L65" s="679">
        <f>+L11-L33</f>
        <v>3104428.2303233705</v>
      </c>
      <c r="O65" s="679">
        <f>+O11-O33</f>
        <v>3151427.7394450083</v>
      </c>
      <c r="R65" s="679">
        <f>+R11-R33</f>
        <v>1831560.8626336157</v>
      </c>
      <c r="U65" s="679">
        <f>+U11-U33</f>
        <v>1903557.6530092657</v>
      </c>
      <c r="X65" s="679">
        <f>+X11-X33</f>
        <v>1619164.2596770264</v>
      </c>
    </row>
    <row r="66" spans="1:26" hidden="1">
      <c r="F66" s="679"/>
      <c r="G66" s="679"/>
      <c r="H66" s="679"/>
      <c r="I66" s="679">
        <f>+I33-C33</f>
        <v>1186859.9558015764</v>
      </c>
    </row>
    <row r="67" spans="1:26" hidden="1">
      <c r="F67" s="679"/>
      <c r="H67" s="679"/>
      <c r="J67" s="679">
        <f>-J63</f>
        <v>-4.2047522962093353E-2</v>
      </c>
    </row>
    <row r="68" spans="1:26" hidden="1">
      <c r="G68" s="679"/>
      <c r="H68" s="679"/>
      <c r="J68" s="679">
        <f>+J46-J63</f>
        <v>-4.2047522962093353E-2</v>
      </c>
    </row>
    <row r="69" spans="1:26" s="49" customFormat="1" ht="17.399999999999999" hidden="1">
      <c r="A69" s="319" t="s">
        <v>3</v>
      </c>
      <c r="B69" s="49" t="s">
        <v>291</v>
      </c>
      <c r="F69" s="6080" t="s">
        <v>304</v>
      </c>
      <c r="G69" s="6080"/>
      <c r="H69" s="6080"/>
      <c r="I69" s="6080" t="s">
        <v>297</v>
      </c>
      <c r="J69" s="6080"/>
      <c r="K69" s="6080"/>
      <c r="L69" s="6080" t="s">
        <v>299</v>
      </c>
      <c r="M69" s="6080"/>
      <c r="N69" s="6080"/>
      <c r="O69" s="6080" t="s">
        <v>300</v>
      </c>
      <c r="P69" s="6080"/>
      <c r="Q69" s="6080"/>
      <c r="R69" s="6080" t="s">
        <v>301</v>
      </c>
      <c r="S69" s="6080"/>
      <c r="T69" s="6080"/>
      <c r="U69" s="6080" t="s">
        <v>302</v>
      </c>
      <c r="V69" s="6080"/>
      <c r="W69" s="6080"/>
      <c r="X69" s="6080" t="s">
        <v>303</v>
      </c>
      <c r="Y69" s="6080"/>
      <c r="Z69" s="6080"/>
    </row>
    <row r="70" spans="1:26"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f>SUM(S70:T70)</f>
        <v>2810668.4997764863</v>
      </c>
      <c r="S70" s="321">
        <f>S12-P12</f>
        <v>1511828.2710467484</v>
      </c>
      <c r="T70" s="321">
        <f>T12-Q12</f>
        <v>1298840.2287297379</v>
      </c>
      <c r="U70" s="321">
        <f>SUM(V70:W70)</f>
        <v>995278.35072914604</v>
      </c>
      <c r="V70" s="321">
        <f>V12-S12</f>
        <v>570904.72215893678</v>
      </c>
      <c r="W70" s="321">
        <f>W12-T12</f>
        <v>424373.62857020926</v>
      </c>
      <c r="X70" s="321">
        <f>SUM(Y70:Z70)</f>
        <v>1155409.9436806319</v>
      </c>
      <c r="Y70" s="321">
        <f>Y12-V12</f>
        <v>446246.1963077113</v>
      </c>
      <c r="Z70" s="321">
        <f>Z12-W12</f>
        <v>709163.74737292062</v>
      </c>
    </row>
    <row r="71" spans="1:26" hidden="1">
      <c r="A71" s="317">
        <v>2</v>
      </c>
      <c r="B71" s="47" t="s">
        <v>293</v>
      </c>
      <c r="F71" s="314">
        <f>SUM(F72:F74)</f>
        <v>0</v>
      </c>
      <c r="G71" s="314">
        <f>SUM(G72:G74)</f>
        <v>0</v>
      </c>
      <c r="H71" s="314">
        <f t="shared" ref="H71" si="155">SUM(H72:H74)</f>
        <v>0</v>
      </c>
      <c r="I71" s="314">
        <f>SUM(I72:I74)</f>
        <v>-378054.16200000001</v>
      </c>
      <c r="J71" s="314">
        <f t="shared" ref="J71:K71" si="156">SUM(J72:J74)</f>
        <v>-495054.16200000001</v>
      </c>
      <c r="K71" s="314">
        <f t="shared" si="156"/>
        <v>117000</v>
      </c>
      <c r="L71" s="315">
        <f>SUM(L72:L74)</f>
        <v>-103000</v>
      </c>
      <c r="M71" s="315">
        <f t="shared" ref="M71" si="157">SUM(M72:M74)</f>
        <v>-13000</v>
      </c>
      <c r="N71" s="315">
        <f t="shared" ref="N71" si="158">SUM(N72:N74)</f>
        <v>-90000</v>
      </c>
      <c r="O71" s="314">
        <f>SUM(O72:O74)</f>
        <v>-47000</v>
      </c>
      <c r="P71" s="314">
        <f t="shared" ref="P71:Q71" si="159">SUM(P72:P74)</f>
        <v>43000</v>
      </c>
      <c r="Q71" s="314">
        <f t="shared" si="159"/>
        <v>-90000</v>
      </c>
      <c r="R71" s="314">
        <f>SUM(R72:R74)</f>
        <v>1083000</v>
      </c>
      <c r="S71" s="314">
        <f t="shared" ref="S71" si="160">SUM(S72:S74)</f>
        <v>903000</v>
      </c>
      <c r="T71" s="314">
        <f t="shared" ref="T71" si="161">SUM(T72:T74)</f>
        <v>180000</v>
      </c>
      <c r="U71" s="314">
        <f>SUM(U72:U74)</f>
        <v>260000</v>
      </c>
      <c r="V71" s="314">
        <f t="shared" ref="V71" si="162">SUM(V72:V74)</f>
        <v>170000</v>
      </c>
      <c r="W71" s="314">
        <f t="shared" ref="W71" si="163">SUM(W72:W74)</f>
        <v>90000</v>
      </c>
      <c r="X71" s="314">
        <f>SUM(X72:X74)</f>
        <v>280000</v>
      </c>
      <c r="Y71" s="314">
        <f t="shared" ref="Y71" si="164">SUM(Y72:Y74)</f>
        <v>145000</v>
      </c>
      <c r="Z71" s="314">
        <f t="shared" ref="Z71" si="165">SUM(Z72:Z74)</f>
        <v>135000</v>
      </c>
    </row>
    <row r="72" spans="1:26"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f>SUM(S72:T72)</f>
        <v>200000</v>
      </c>
      <c r="S72" s="314">
        <f>S14-P14</f>
        <v>20000</v>
      </c>
      <c r="T72" s="314">
        <f>T14-Q14</f>
        <v>180000</v>
      </c>
      <c r="U72" s="314">
        <f>SUM(V72:W72)</f>
        <v>150000</v>
      </c>
      <c r="V72" s="314">
        <f>V14-S14</f>
        <v>60000</v>
      </c>
      <c r="W72" s="314">
        <f>W14-T14</f>
        <v>90000</v>
      </c>
      <c r="X72" s="314">
        <f>SUM(Y72:Z72)</f>
        <v>150000</v>
      </c>
      <c r="Y72" s="314">
        <f>Y14-V14</f>
        <v>15000</v>
      </c>
      <c r="Z72" s="314">
        <f>Z14-W14</f>
        <v>135000</v>
      </c>
    </row>
    <row r="73" spans="1:26" hidden="1">
      <c r="A73" s="317"/>
      <c r="B73" s="47" t="s">
        <v>295</v>
      </c>
      <c r="F73" s="314">
        <f t="shared" ref="F73:F74" si="166">SUM(G73:H73)</f>
        <v>0</v>
      </c>
      <c r="G73" s="314">
        <f t="shared" ref="G73:H74" si="167">G15-D15</f>
        <v>0</v>
      </c>
      <c r="H73" s="314">
        <f t="shared" si="167"/>
        <v>0</v>
      </c>
      <c r="I73" s="314">
        <f t="shared" ref="I73:I74" si="168">SUM(J73:K73)</f>
        <v>0</v>
      </c>
      <c r="J73" s="314">
        <f t="shared" ref="J73:K73" si="169">J15-D15</f>
        <v>0</v>
      </c>
      <c r="K73" s="314">
        <f t="shared" si="169"/>
        <v>0</v>
      </c>
      <c r="L73" s="315">
        <f t="shared" ref="L73:L74" si="170">SUM(M73:N73)</f>
        <v>0</v>
      </c>
      <c r="M73" s="315">
        <f t="shared" ref="M73:N74" si="171">M15-J15</f>
        <v>0</v>
      </c>
      <c r="N73" s="315">
        <f t="shared" si="171"/>
        <v>0</v>
      </c>
      <c r="O73" s="314">
        <f t="shared" ref="O73:O74" si="172">SUM(P73:Q73)</f>
        <v>50000</v>
      </c>
      <c r="P73" s="314">
        <f t="shared" ref="P73:Q74" si="173">P15-M15</f>
        <v>50000</v>
      </c>
      <c r="Q73" s="314">
        <f t="shared" si="173"/>
        <v>0</v>
      </c>
      <c r="R73" s="314">
        <f t="shared" ref="R73:R74" si="174">SUM(S73:T73)</f>
        <v>800000</v>
      </c>
      <c r="S73" s="314">
        <f t="shared" ref="S73:T73" si="175">S15-P15</f>
        <v>800000</v>
      </c>
      <c r="T73" s="314">
        <f t="shared" si="175"/>
        <v>0</v>
      </c>
      <c r="U73" s="314">
        <f t="shared" ref="U73:U74" si="176">SUM(V73:W73)</f>
        <v>100000</v>
      </c>
      <c r="V73" s="314">
        <f t="shared" ref="V73:W73" si="177">V15-S15</f>
        <v>100000</v>
      </c>
      <c r="W73" s="314">
        <f t="shared" si="177"/>
        <v>0</v>
      </c>
      <c r="X73" s="314">
        <f t="shared" ref="X73:X74" si="178">SUM(Y73:Z73)</f>
        <v>100000</v>
      </c>
      <c r="Y73" s="314">
        <f t="shared" ref="Y73:Z73" si="179">Y15-V15</f>
        <v>100000</v>
      </c>
      <c r="Z73" s="314">
        <f t="shared" si="179"/>
        <v>0</v>
      </c>
    </row>
    <row r="74" spans="1:26" hidden="1">
      <c r="A74" s="317"/>
      <c r="B74" s="47" t="s">
        <v>296</v>
      </c>
      <c r="F74" s="314">
        <f t="shared" si="166"/>
        <v>0</v>
      </c>
      <c r="G74" s="314">
        <f t="shared" si="167"/>
        <v>0</v>
      </c>
      <c r="H74" s="314">
        <f t="shared" si="167"/>
        <v>0</v>
      </c>
      <c r="I74" s="314">
        <f t="shared" si="168"/>
        <v>-408054.16200000001</v>
      </c>
      <c r="J74" s="314">
        <f t="shared" ref="J74:K74" si="180">J16-D16</f>
        <v>-408054.16200000001</v>
      </c>
      <c r="K74" s="314">
        <f t="shared" si="180"/>
        <v>0</v>
      </c>
      <c r="L74" s="315">
        <f t="shared" si="170"/>
        <v>-3000</v>
      </c>
      <c r="M74" s="315">
        <f t="shared" si="171"/>
        <v>-3000</v>
      </c>
      <c r="N74" s="315">
        <f t="shared" si="171"/>
        <v>0</v>
      </c>
      <c r="O74" s="314">
        <f t="shared" si="172"/>
        <v>3000</v>
      </c>
      <c r="P74" s="314">
        <f t="shared" si="173"/>
        <v>3000</v>
      </c>
      <c r="Q74" s="314">
        <f t="shared" si="173"/>
        <v>0</v>
      </c>
      <c r="R74" s="314">
        <f t="shared" si="174"/>
        <v>83000</v>
      </c>
      <c r="S74" s="314">
        <f t="shared" ref="S74:T74" si="181">S16-P16</f>
        <v>83000</v>
      </c>
      <c r="T74" s="314">
        <f t="shared" si="181"/>
        <v>0</v>
      </c>
      <c r="U74" s="314">
        <f t="shared" si="176"/>
        <v>10000</v>
      </c>
      <c r="V74" s="314">
        <f t="shared" ref="V74:W74" si="182">V16-S16</f>
        <v>10000</v>
      </c>
      <c r="W74" s="314">
        <f t="shared" si="182"/>
        <v>0</v>
      </c>
      <c r="X74" s="314">
        <f t="shared" si="178"/>
        <v>30000</v>
      </c>
      <c r="Y74" s="314">
        <f t="shared" ref="Y74:Z74" si="183">Y16-V16</f>
        <v>30000</v>
      </c>
      <c r="Z74" s="314">
        <f t="shared" si="183"/>
        <v>0</v>
      </c>
    </row>
    <row r="75" spans="1:26"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f>SUM(S75:T75)</f>
        <v>1727668.4997764863</v>
      </c>
      <c r="S75" s="327">
        <f>S70-S71</f>
        <v>608828.27104674838</v>
      </c>
      <c r="T75" s="327">
        <f>T70-T71</f>
        <v>1118840.2287297379</v>
      </c>
      <c r="U75" s="327">
        <f>SUM(V75:W75)</f>
        <v>735278.35072914604</v>
      </c>
      <c r="V75" s="327">
        <f>V70-V71</f>
        <v>400904.72215893678</v>
      </c>
      <c r="W75" s="327">
        <f>W70-W71</f>
        <v>334373.62857020926</v>
      </c>
      <c r="X75" s="327">
        <f>SUM(Y75:Z75)</f>
        <v>875409.94368063193</v>
      </c>
      <c r="Y75" s="327">
        <f>Y70-Y71</f>
        <v>301246.1963077113</v>
      </c>
      <c r="Z75" s="327">
        <f>Z70-Z71</f>
        <v>574163.74737292062</v>
      </c>
    </row>
    <row r="76" spans="1:26"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f>SUM(S76:T76)</f>
        <v>863834.24988824315</v>
      </c>
      <c r="S76" s="314">
        <f>S75*50%</f>
        <v>304414.13552337419</v>
      </c>
      <c r="T76" s="314">
        <f>T75*50%</f>
        <v>559420.11436486896</v>
      </c>
      <c r="U76" s="314">
        <f>SUM(V76:W76)</f>
        <v>367639.17536457302</v>
      </c>
      <c r="V76" s="314">
        <f>V75*50%</f>
        <v>200452.36107946839</v>
      </c>
      <c r="W76" s="314">
        <f>W75*50%</f>
        <v>167186.81428510463</v>
      </c>
      <c r="X76" s="314">
        <f>SUM(Y76:Z76)</f>
        <v>437704.97184031596</v>
      </c>
      <c r="Y76" s="314">
        <f>Y75*50%</f>
        <v>150623.09815385565</v>
      </c>
      <c r="Z76" s="314">
        <f>Z75*50%</f>
        <v>287081.87368646031</v>
      </c>
    </row>
    <row r="77" spans="1:26"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f>SUM(S77:T77)</f>
        <v>1727668.4997764863</v>
      </c>
      <c r="S77" s="321">
        <f>S11-P11</f>
        <v>608828.27104674838</v>
      </c>
      <c r="T77" s="321">
        <f>T11-Q11</f>
        <v>1118840.2287297379</v>
      </c>
      <c r="U77" s="321">
        <f>SUM(V77:W77)</f>
        <v>1824036.100617392</v>
      </c>
      <c r="V77" s="321">
        <f>V11-S11</f>
        <v>909332.25768231228</v>
      </c>
      <c r="W77" s="321">
        <f>W11-T11</f>
        <v>914703.84293507971</v>
      </c>
      <c r="X77" s="321">
        <f>SUM(Y77:Z77)</f>
        <v>1358707.6190452036</v>
      </c>
      <c r="Y77" s="321">
        <f>Y11-V11</f>
        <v>608168.55738718063</v>
      </c>
      <c r="Z77" s="321">
        <f>Z11-W11</f>
        <v>750539.06165802293</v>
      </c>
    </row>
    <row r="78" spans="1:26" s="49" customFormat="1" ht="17.399999999999999" hidden="1">
      <c r="B78" s="318"/>
      <c r="I78" s="321">
        <f t="shared" ref="I78" si="184">I77/2</f>
        <v>1844742.6148725525</v>
      </c>
      <c r="J78" s="321">
        <f>J77/2</f>
        <v>1390247.2320100022</v>
      </c>
      <c r="K78" s="321">
        <f t="shared" ref="K78:Z78" si="185">K77/2</f>
        <v>454495.38286255021</v>
      </c>
      <c r="L78" s="321">
        <f t="shared" si="185"/>
        <v>126540.0864733262</v>
      </c>
      <c r="M78" s="321">
        <f>M77/2</f>
        <v>28291.693759886548</v>
      </c>
      <c r="N78" s="321">
        <f t="shared" si="185"/>
        <v>98248.392713439651</v>
      </c>
      <c r="O78" s="321">
        <f t="shared" si="185"/>
        <v>105539.99743925687</v>
      </c>
      <c r="P78" s="321">
        <f>P77/2</f>
        <v>37060.094531849027</v>
      </c>
      <c r="Q78" s="321">
        <f t="shared" si="185"/>
        <v>68479.902907407843</v>
      </c>
      <c r="R78" s="321">
        <f t="shared" si="185"/>
        <v>863834.24988824315</v>
      </c>
      <c r="S78" s="321">
        <f t="shared" si="185"/>
        <v>304414.13552337419</v>
      </c>
      <c r="T78" s="321">
        <f t="shared" si="185"/>
        <v>559420.11436486896</v>
      </c>
      <c r="U78" s="321">
        <f t="shared" si="185"/>
        <v>912018.05030869599</v>
      </c>
      <c r="V78" s="321">
        <f t="shared" si="185"/>
        <v>454666.12884115614</v>
      </c>
      <c r="W78" s="321">
        <f t="shared" si="185"/>
        <v>457351.92146753985</v>
      </c>
      <c r="X78" s="321">
        <f t="shared" si="185"/>
        <v>679353.80952260178</v>
      </c>
      <c r="Y78" s="321">
        <f t="shared" si="185"/>
        <v>304084.27869359031</v>
      </c>
      <c r="Z78" s="321">
        <f t="shared" si="185"/>
        <v>375269.53082901146</v>
      </c>
    </row>
    <row r="79" spans="1:26" hidden="1">
      <c r="A79" s="1638" t="s">
        <v>33</v>
      </c>
      <c r="B79" s="49" t="s">
        <v>307</v>
      </c>
      <c r="I79" s="320">
        <f>(I78-I76)*2</f>
        <v>3621495.4000000008</v>
      </c>
      <c r="J79" s="320">
        <f>(J78-J76)*2</f>
        <v>2382924.4000000008</v>
      </c>
      <c r="K79" s="320">
        <f>(K78-K76)*2</f>
        <v>1238571</v>
      </c>
    </row>
    <row r="80" spans="1:26"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86">N11/K11</f>
        <v>1.0212315847597895</v>
      </c>
      <c r="O80" s="322">
        <f>O11/L11</f>
        <v>1.0098232229294388</v>
      </c>
      <c r="P80" s="322">
        <f>P11/M11</f>
        <v>1.006157987361695</v>
      </c>
      <c r="Q80" s="322">
        <f t="shared" ref="Q80" si="187">Q11/N11</f>
        <v>1.0144909165411504</v>
      </c>
      <c r="R80" s="322">
        <f>R11/O11</f>
        <v>1.0796199656877152</v>
      </c>
      <c r="S80" s="322">
        <f t="shared" ref="S80:T80" si="188">S11/P11</f>
        <v>1.0502725490364153</v>
      </c>
      <c r="T80" s="322">
        <f t="shared" si="188"/>
        <v>1.1166870429269034</v>
      </c>
      <c r="U80" s="322">
        <f>U11/R11</f>
        <v>1.0778617379123314</v>
      </c>
      <c r="V80" s="322">
        <f t="shared" ref="V80:W80" si="189">V11/S11</f>
        <v>1.0714918735735333</v>
      </c>
      <c r="W80" s="322">
        <f t="shared" si="189"/>
        <v>1.0854286586660506</v>
      </c>
      <c r="X80" s="322">
        <f>X11/U11</f>
        <v>1.0538088386581039</v>
      </c>
      <c r="Y80" s="322">
        <f t="shared" ref="Y80:Z80" si="190">Y11/V11</f>
        <v>1.0446240684083217</v>
      </c>
      <c r="Z80" s="322">
        <f t="shared" si="190"/>
        <v>1.0645795626611372</v>
      </c>
    </row>
    <row r="81" spans="2:26"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Z81" si="191">(K80-1)/2</f>
        <v>5.4457082220587316E-2</v>
      </c>
      <c r="L81" s="323">
        <f t="shared" si="191"/>
        <v>5.959097024025084E-3</v>
      </c>
      <c r="M81" s="323">
        <f t="shared" si="191"/>
        <v>2.3616071777923242E-3</v>
      </c>
      <c r="N81" s="323">
        <f t="shared" si="191"/>
        <v>1.061579237989474E-2</v>
      </c>
      <c r="O81" s="323">
        <f t="shared" si="191"/>
        <v>4.911611464719412E-3</v>
      </c>
      <c r="P81" s="323">
        <f t="shared" si="191"/>
        <v>3.0789936808475193E-3</v>
      </c>
      <c r="Q81" s="323">
        <f t="shared" si="191"/>
        <v>7.2454582705752113E-3</v>
      </c>
      <c r="R81" s="323">
        <f t="shared" si="191"/>
        <v>3.9809982843857616E-2</v>
      </c>
      <c r="S81" s="323">
        <f t="shared" si="191"/>
        <v>2.5136274518207657E-2</v>
      </c>
      <c r="T81" s="323">
        <f t="shared" si="191"/>
        <v>5.8343521463451675E-2</v>
      </c>
      <c r="U81" s="323">
        <f t="shared" si="191"/>
        <v>3.893086895616571E-2</v>
      </c>
      <c r="V81" s="323">
        <f t="shared" si="191"/>
        <v>3.574593678676663E-2</v>
      </c>
      <c r="W81" s="323">
        <f t="shared" si="191"/>
        <v>4.2714329333025325E-2</v>
      </c>
      <c r="X81" s="323">
        <f t="shared" si="191"/>
        <v>2.6904419329051965E-2</v>
      </c>
      <c r="Y81" s="323">
        <f t="shared" si="191"/>
        <v>2.2312034204160835E-2</v>
      </c>
      <c r="Z81" s="323">
        <f t="shared" si="191"/>
        <v>3.228978133056859E-2</v>
      </c>
    </row>
    <row r="82" spans="2:26"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Z82" si="192">1+K81</f>
        <v>1.0544570822205874</v>
      </c>
      <c r="L82" s="325">
        <f t="shared" si="192"/>
        <v>1.0059590970240251</v>
      </c>
      <c r="M82" s="325">
        <f>1+M81</f>
        <v>1.0023616071777923</v>
      </c>
      <c r="N82" s="325">
        <f>1+N81</f>
        <v>1.0106157923798946</v>
      </c>
      <c r="O82" s="325">
        <f t="shared" si="192"/>
        <v>1.0049116114647194</v>
      </c>
      <c r="P82" s="325">
        <f>1+P81</f>
        <v>1.0030789936808475</v>
      </c>
      <c r="Q82" s="325">
        <f t="shared" si="192"/>
        <v>1.0072454582705752</v>
      </c>
      <c r="R82" s="325">
        <f t="shared" si="192"/>
        <v>1.0398099828438576</v>
      </c>
      <c r="S82" s="325">
        <f t="shared" si="192"/>
        <v>1.0251362745182075</v>
      </c>
      <c r="T82" s="325">
        <f t="shared" si="192"/>
        <v>1.0583435214634518</v>
      </c>
      <c r="U82" s="325">
        <f t="shared" si="192"/>
        <v>1.0389308689561658</v>
      </c>
      <c r="V82" s="325">
        <f t="shared" si="192"/>
        <v>1.0357459367867667</v>
      </c>
      <c r="W82" s="325">
        <f t="shared" si="192"/>
        <v>1.0427143293330254</v>
      </c>
      <c r="X82" s="325">
        <f t="shared" si="192"/>
        <v>1.026904419329052</v>
      </c>
      <c r="Y82" s="325">
        <f t="shared" si="192"/>
        <v>1.0223120342041607</v>
      </c>
      <c r="Z82" s="325">
        <f t="shared" si="192"/>
        <v>1.0322897813305687</v>
      </c>
    </row>
    <row r="83" spans="2:26" hidden="1">
      <c r="G83" s="1536">
        <v>0.99646165326710401</v>
      </c>
      <c r="H83" s="1536">
        <v>0.96877046147473722</v>
      </c>
      <c r="J83" s="1535">
        <v>1.0075661772535063</v>
      </c>
      <c r="K83" s="1535">
        <v>0.92711446182149504</v>
      </c>
      <c r="M83" s="325">
        <v>1.0948950321230209</v>
      </c>
      <c r="N83" s="325">
        <v>0.9159158232807536</v>
      </c>
    </row>
    <row r="84" spans="2:26" hidden="1"/>
    <row r="85" spans="2:26" hidden="1">
      <c r="J85" s="1637">
        <f>+J17/D17</f>
        <v>1.2057975847089595</v>
      </c>
      <c r="K85" s="1637">
        <f>+K17/E17</f>
        <v>0.88212775232650731</v>
      </c>
    </row>
    <row r="86" spans="2:26" hidden="1"/>
    <row r="87" spans="2:26" hidden="1">
      <c r="F87" s="679">
        <f>-G63</f>
        <v>0.14625388942658901</v>
      </c>
      <c r="G87" s="47">
        <f>153728</f>
        <v>153728</v>
      </c>
      <c r="J87" s="679">
        <f>+J17-D17</f>
        <v>397570.06402000366</v>
      </c>
      <c r="K87" s="679">
        <f>+K17-E17</f>
        <v>-329580.23427489959</v>
      </c>
      <c r="N87" s="47" t="s">
        <v>117</v>
      </c>
    </row>
    <row r="88" spans="2:26" hidden="1">
      <c r="F88" s="679">
        <f>+F87-G87</f>
        <v>-153727.85374611057</v>
      </c>
      <c r="G88" s="47">
        <v>81641</v>
      </c>
      <c r="J88" s="47">
        <f>J87/2</f>
        <v>198785.03201000183</v>
      </c>
      <c r="K88" s="47">
        <f>K87/2</f>
        <v>-164790.11713744979</v>
      </c>
    </row>
    <row r="89" spans="2:26" hidden="1">
      <c r="G89" s="47">
        <f>+G87-G88</f>
        <v>72087</v>
      </c>
    </row>
    <row r="90" spans="2:26" hidden="1">
      <c r="B90" s="47" t="s">
        <v>117</v>
      </c>
      <c r="G90" s="47">
        <f>+G88-G89</f>
        <v>9554</v>
      </c>
    </row>
    <row r="91" spans="2:26" hidden="1">
      <c r="D91" s="679">
        <f>+D17+D19</f>
        <v>8549038</v>
      </c>
      <c r="E91" s="314">
        <f>+E17+E19</f>
        <v>7227003</v>
      </c>
      <c r="J91" s="679">
        <f>J17+J19</f>
        <v>8946608.0640200041</v>
      </c>
      <c r="K91" s="679">
        <f>K17+K19</f>
        <v>6897422.7657251004</v>
      </c>
    </row>
    <row r="92" spans="2:26" hidden="1">
      <c r="J92" s="47">
        <f>+J91/D91</f>
        <v>1.0465046551459947</v>
      </c>
      <c r="K92" s="47">
        <f>+K91/E91</f>
        <v>0.95439600145801795</v>
      </c>
    </row>
    <row r="93" spans="2:26" hidden="1">
      <c r="J93" s="47">
        <f>+(J92-1)/2</f>
        <v>2.3252327572997333E-2</v>
      </c>
      <c r="K93" s="47">
        <f>+(K92-1)/2</f>
        <v>-2.2801999270991025E-2</v>
      </c>
    </row>
    <row r="94" spans="2:26" hidden="1">
      <c r="J94" s="1536">
        <f>1+J93</f>
        <v>1.0232523275729974</v>
      </c>
      <c r="K94" s="1536">
        <f>1+K93</f>
        <v>0.97719800072900898</v>
      </c>
    </row>
    <row r="95" spans="2:26" hidden="1"/>
    <row r="96" spans="2:26"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row>
    <row r="97" spans="7:17" hidden="1">
      <c r="J97" s="47">
        <f>+J96/D96</f>
        <v>1.3022489151160961</v>
      </c>
      <c r="K97" s="47">
        <f>+K96/E96</f>
        <v>1.1089141644411746</v>
      </c>
      <c r="M97" s="47">
        <f>+M96/J96</f>
        <v>1.0047232143555846</v>
      </c>
      <c r="N97" s="47">
        <f>+N96/K96</f>
        <v>1.0212315847597895</v>
      </c>
      <c r="P97" s="47">
        <f>+P96/M96</f>
        <v>1.006157987361695</v>
      </c>
      <c r="Q97" s="47">
        <f>+Q96/N96</f>
        <v>1.0144909165411504</v>
      </c>
    </row>
    <row r="98" spans="7:17"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7:17" hidden="1">
      <c r="J99" s="1536">
        <f>1+J98</f>
        <v>1.1511244575580482</v>
      </c>
      <c r="K99" s="1536">
        <f>1+K98</f>
        <v>1.0544570822205874</v>
      </c>
      <c r="M99" s="1536">
        <f>1+M98</f>
        <v>1.0023616071777923</v>
      </c>
      <c r="N99" s="1536">
        <f>1+N98</f>
        <v>1.0106157923798946</v>
      </c>
      <c r="P99" s="1536">
        <f>1+P98</f>
        <v>1.0030789936808475</v>
      </c>
      <c r="Q99" s="1536">
        <f>1+Q98</f>
        <v>1.0072454582705752</v>
      </c>
    </row>
    <row r="100" spans="7:17" hidden="1"/>
    <row r="101" spans="7:17" hidden="1"/>
    <row r="106" spans="7:17">
      <c r="G106" s="2088">
        <v>0.75</v>
      </c>
    </row>
    <row r="107" spans="7:17">
      <c r="G107" s="47">
        <f>+G63*G106</f>
        <v>-0.10969041706994176</v>
      </c>
    </row>
  </sheetData>
  <mergeCells count="20">
    <mergeCell ref="X69:Z69"/>
    <mergeCell ref="F69:H69"/>
    <mergeCell ref="I69:K69"/>
    <mergeCell ref="L69:N69"/>
    <mergeCell ref="O69:Q69"/>
    <mergeCell ref="R69:T69"/>
    <mergeCell ref="U69:W69"/>
    <mergeCell ref="A1:K1"/>
    <mergeCell ref="A2:K2"/>
    <mergeCell ref="A3:K3"/>
    <mergeCell ref="A6:A7"/>
    <mergeCell ref="B6:B7"/>
    <mergeCell ref="C6:E6"/>
    <mergeCell ref="F6:H6"/>
    <mergeCell ref="I6:K6"/>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workbookViewId="0">
      <selection activeCell="A3" sqref="A3"/>
    </sheetView>
  </sheetViews>
  <sheetFormatPr defaultRowHeight="14.4"/>
  <cols>
    <col min="1" max="1" width="6.44140625" customWidth="1"/>
    <col min="2" max="2" width="92" customWidth="1"/>
    <col min="3" max="3" width="19.44140625" customWidth="1"/>
    <col min="4" max="4" width="17.44140625" customWidth="1"/>
    <col min="5" max="5" width="17.109375" customWidth="1"/>
  </cols>
  <sheetData>
    <row r="1" spans="1:5" ht="32.25" customHeight="1">
      <c r="A1" s="6133" t="s">
        <v>3023</v>
      </c>
      <c r="B1" s="6133"/>
      <c r="C1" s="6133"/>
      <c r="D1" s="6133"/>
      <c r="E1" s="6133"/>
    </row>
    <row r="3" spans="1:5" ht="111" customHeight="1">
      <c r="A3" s="3036" t="s">
        <v>247</v>
      </c>
      <c r="B3" s="1383" t="s">
        <v>248</v>
      </c>
      <c r="C3" s="1383" t="s">
        <v>3024</v>
      </c>
      <c r="D3" s="1383" t="s">
        <v>3025</v>
      </c>
      <c r="E3" s="1383" t="s">
        <v>3026</v>
      </c>
    </row>
    <row r="4" spans="1:5" ht="15.6">
      <c r="A4" s="1383">
        <v>1</v>
      </c>
      <c r="B4" s="1383">
        <v>2</v>
      </c>
      <c r="C4" s="1383">
        <v>3</v>
      </c>
      <c r="D4" s="1383">
        <v>4</v>
      </c>
      <c r="E4" s="1383" t="s">
        <v>3027</v>
      </c>
    </row>
    <row r="5" spans="1:5" s="2423" customFormat="1" ht="15.6">
      <c r="A5" s="2847"/>
      <c r="B5" s="2847" t="s">
        <v>3028</v>
      </c>
      <c r="C5" s="4651">
        <f>SUM(C6,C13,C36,C37,C38,C39)</f>
        <v>12613289</v>
      </c>
      <c r="D5" s="4651">
        <f>SUM(D6,D13,D36,D37,D38,D39)</f>
        <v>12792680</v>
      </c>
      <c r="E5" s="4651">
        <f>D5-C5</f>
        <v>179391</v>
      </c>
    </row>
    <row r="6" spans="1:5" s="4655" customFormat="1" ht="15.6">
      <c r="A6" s="4652" t="s">
        <v>1</v>
      </c>
      <c r="B6" s="4653" t="s">
        <v>208</v>
      </c>
      <c r="C6" s="4654">
        <f>SUM(C7,C10,C11,C12)</f>
        <v>3313757</v>
      </c>
      <c r="D6" s="4654">
        <f>SUM(D7,D10,D11,D12)</f>
        <v>3374957</v>
      </c>
      <c r="E6" s="4654">
        <f t="shared" ref="E6:E41" si="0">D6-C6</f>
        <v>61200</v>
      </c>
    </row>
    <row r="7" spans="1:5" s="2423" customFormat="1" ht="15.6">
      <c r="A7" s="2850" t="s">
        <v>3</v>
      </c>
      <c r="B7" s="2855" t="s">
        <v>3029</v>
      </c>
      <c r="C7" s="4656">
        <f>951580+23400</f>
        <v>974980</v>
      </c>
      <c r="D7" s="4656">
        <f>1036180</f>
        <v>1036180</v>
      </c>
      <c r="E7" s="4656">
        <f t="shared" si="0"/>
        <v>61200</v>
      </c>
    </row>
    <row r="8" spans="1:5" s="4659" customFormat="1" ht="15.6">
      <c r="A8" s="748"/>
      <c r="B8" s="4657" t="s">
        <v>234</v>
      </c>
      <c r="C8" s="4658"/>
      <c r="D8" s="4658"/>
      <c r="E8" s="4658"/>
    </row>
    <row r="9" spans="1:5" s="4659" customFormat="1" ht="15.6">
      <c r="A9" s="748"/>
      <c r="B9" s="4660" t="s">
        <v>3030</v>
      </c>
      <c r="C9" s="4658">
        <v>23400</v>
      </c>
      <c r="D9" s="4658">
        <f>23400+61200</f>
        <v>84600</v>
      </c>
      <c r="E9" s="4658">
        <f t="shared" si="0"/>
        <v>61200</v>
      </c>
    </row>
    <row r="10" spans="1:5" s="2423" customFormat="1" ht="15.6">
      <c r="A10" s="2850" t="s">
        <v>33</v>
      </c>
      <c r="B10" s="2855" t="s">
        <v>144</v>
      </c>
      <c r="C10" s="4656">
        <v>800000</v>
      </c>
      <c r="D10" s="4656">
        <v>800000</v>
      </c>
      <c r="E10" s="4656">
        <f t="shared" si="0"/>
        <v>0</v>
      </c>
    </row>
    <row r="11" spans="1:5" s="2423" customFormat="1" ht="15.6">
      <c r="A11" s="2850" t="s">
        <v>182</v>
      </c>
      <c r="B11" s="2855" t="s">
        <v>3031</v>
      </c>
      <c r="C11" s="4656">
        <v>1500000</v>
      </c>
      <c r="D11" s="4656">
        <v>1500000</v>
      </c>
      <c r="E11" s="4656">
        <f t="shared" si="0"/>
        <v>0</v>
      </c>
    </row>
    <row r="12" spans="1:5" s="2423" customFormat="1" ht="15.6">
      <c r="A12" s="2850" t="s">
        <v>215</v>
      </c>
      <c r="B12" s="2857" t="s">
        <v>1919</v>
      </c>
      <c r="C12" s="4656">
        <v>38777</v>
      </c>
      <c r="D12" s="4656">
        <v>38777</v>
      </c>
      <c r="E12" s="4656">
        <f t="shared" si="0"/>
        <v>0</v>
      </c>
    </row>
    <row r="13" spans="1:5" s="4655" customFormat="1" ht="15.6">
      <c r="A13" s="4652" t="s">
        <v>37</v>
      </c>
      <c r="B13" s="4653" t="s">
        <v>209</v>
      </c>
      <c r="C13" s="4654">
        <f>SUM(C15,C22,C23)</f>
        <v>9045866</v>
      </c>
      <c r="D13" s="4654">
        <f>SUM(D15,D22,D23)</f>
        <v>9140657</v>
      </c>
      <c r="E13" s="4654">
        <f>D13-C13</f>
        <v>94791</v>
      </c>
    </row>
    <row r="14" spans="1:5" ht="15.6">
      <c r="A14" s="4661"/>
      <c r="B14" s="2851" t="s">
        <v>822</v>
      </c>
      <c r="C14" s="4662"/>
      <c r="D14" s="4662"/>
      <c r="E14" s="4662">
        <f t="shared" si="0"/>
        <v>0</v>
      </c>
    </row>
    <row r="15" spans="1:5" s="2423" customFormat="1" ht="15.6">
      <c r="A15" s="2850" t="s">
        <v>3</v>
      </c>
      <c r="B15" s="2855" t="s">
        <v>3032</v>
      </c>
      <c r="C15" s="4656">
        <f>SUM(C16:C17)</f>
        <v>4090257</v>
      </c>
      <c r="D15" s="4656">
        <f>SUM(D16:D17)</f>
        <v>4090257</v>
      </c>
      <c r="E15" s="4656">
        <f t="shared" si="0"/>
        <v>0</v>
      </c>
    </row>
    <row r="16" spans="1:5" ht="15.6">
      <c r="A16" s="4435">
        <v>1</v>
      </c>
      <c r="B16" s="2851" t="s">
        <v>3033</v>
      </c>
      <c r="C16" s="4662">
        <v>4090257</v>
      </c>
      <c r="D16" s="4662">
        <v>4090257</v>
      </c>
      <c r="E16" s="4662">
        <f t="shared" si="0"/>
        <v>0</v>
      </c>
    </row>
    <row r="17" spans="1:5" ht="15.6">
      <c r="A17" s="4435">
        <v>2</v>
      </c>
      <c r="B17" s="2851" t="s">
        <v>3034</v>
      </c>
      <c r="C17" s="4662">
        <f>SUM(C18:C21)</f>
        <v>0</v>
      </c>
      <c r="D17" s="4662">
        <f>SUM(D18:D21)</f>
        <v>0</v>
      </c>
      <c r="E17" s="4662">
        <f t="shared" si="0"/>
        <v>0</v>
      </c>
    </row>
    <row r="18" spans="1:5" s="4659" customFormat="1" ht="46.8">
      <c r="A18" s="748" t="s">
        <v>99</v>
      </c>
      <c r="B18" s="4657" t="s">
        <v>3035</v>
      </c>
      <c r="C18" s="4658"/>
      <c r="D18" s="4658"/>
      <c r="E18" s="4658">
        <f t="shared" si="0"/>
        <v>0</v>
      </c>
    </row>
    <row r="19" spans="1:5" s="4659" customFormat="1" ht="15.6">
      <c r="A19" s="748" t="s">
        <v>101</v>
      </c>
      <c r="B19" s="4657" t="s">
        <v>3036</v>
      </c>
      <c r="C19" s="4658"/>
      <c r="D19" s="4658"/>
      <c r="E19" s="4658">
        <f t="shared" si="0"/>
        <v>0</v>
      </c>
    </row>
    <row r="20" spans="1:5" s="4659" customFormat="1" ht="15.6">
      <c r="A20" s="748" t="s">
        <v>147</v>
      </c>
      <c r="B20" s="4657" t="s">
        <v>3037</v>
      </c>
      <c r="C20" s="4658"/>
      <c r="D20" s="4658"/>
      <c r="E20" s="4658">
        <f t="shared" si="0"/>
        <v>0</v>
      </c>
    </row>
    <row r="21" spans="1:5" s="4659" customFormat="1" ht="31.2">
      <c r="A21" s="748" t="s">
        <v>148</v>
      </c>
      <c r="B21" s="4657" t="s">
        <v>3038</v>
      </c>
      <c r="C21" s="4658"/>
      <c r="D21" s="4658"/>
      <c r="E21" s="4658">
        <f t="shared" si="0"/>
        <v>0</v>
      </c>
    </row>
    <row r="22" spans="1:5" s="2423" customFormat="1" ht="15.6">
      <c r="A22" s="2850" t="s">
        <v>33</v>
      </c>
      <c r="B22" s="2855" t="s">
        <v>720</v>
      </c>
      <c r="C22" s="4656">
        <f>27026</f>
        <v>27026</v>
      </c>
      <c r="D22" s="4656">
        <v>31000</v>
      </c>
      <c r="E22" s="4656">
        <f t="shared" si="0"/>
        <v>3974</v>
      </c>
    </row>
    <row r="23" spans="1:5" s="2423" customFormat="1" ht="15.6">
      <c r="A23" s="2850" t="s">
        <v>182</v>
      </c>
      <c r="B23" s="2855" t="s">
        <v>740</v>
      </c>
      <c r="C23" s="4656">
        <f>SUM(C24,C25,C32)</f>
        <v>4928583</v>
      </c>
      <c r="D23" s="4656">
        <f>SUM(D24,D25,D32)</f>
        <v>5019400</v>
      </c>
      <c r="E23" s="4656">
        <f>D23-C23</f>
        <v>90817</v>
      </c>
    </row>
    <row r="24" spans="1:5" ht="15.6">
      <c r="A24" s="4435">
        <v>1</v>
      </c>
      <c r="B24" s="2851" t="s">
        <v>3033</v>
      </c>
      <c r="C24" s="4662">
        <f>9045866-C16-C22</f>
        <v>4928583</v>
      </c>
      <c r="D24" s="4662">
        <f>9140657-D16-D22</f>
        <v>5019400</v>
      </c>
      <c r="E24" s="4662">
        <f t="shared" si="0"/>
        <v>90817</v>
      </c>
    </row>
    <row r="25" spans="1:5" ht="15.6">
      <c r="A25" s="4435">
        <v>2</v>
      </c>
      <c r="B25" s="2851" t="s">
        <v>3034</v>
      </c>
      <c r="C25" s="4662">
        <f>SUM(C26:C35)</f>
        <v>0</v>
      </c>
      <c r="D25" s="4662">
        <f>SUM(D26:D35)</f>
        <v>0</v>
      </c>
      <c r="E25" s="4662">
        <f>SUM(E26:E35)</f>
        <v>0</v>
      </c>
    </row>
    <row r="26" spans="1:5" s="4659" customFormat="1" ht="15.6">
      <c r="A26" s="748" t="s">
        <v>99</v>
      </c>
      <c r="B26" s="4663" t="s">
        <v>3039</v>
      </c>
      <c r="C26" s="4658"/>
      <c r="D26" s="4658"/>
      <c r="E26" s="4658">
        <f t="shared" si="0"/>
        <v>0</v>
      </c>
    </row>
    <row r="27" spans="1:5" s="4659" customFormat="1" ht="41.4">
      <c r="A27" s="748" t="s">
        <v>101</v>
      </c>
      <c r="B27" s="4663" t="s">
        <v>3040</v>
      </c>
      <c r="C27" s="4658"/>
      <c r="D27" s="4658"/>
      <c r="E27" s="4658">
        <f t="shared" si="0"/>
        <v>0</v>
      </c>
    </row>
    <row r="28" spans="1:5" s="4659" customFormat="1" ht="41.4">
      <c r="A28" s="748" t="s">
        <v>147</v>
      </c>
      <c r="B28" s="4663" t="s">
        <v>3041</v>
      </c>
      <c r="C28" s="4658"/>
      <c r="D28" s="4658"/>
      <c r="E28" s="4658">
        <f t="shared" si="0"/>
        <v>0</v>
      </c>
    </row>
    <row r="29" spans="1:5" s="4659" customFormat="1" ht="15.6">
      <c r="A29" s="748" t="s">
        <v>148</v>
      </c>
      <c r="B29" s="4663" t="s">
        <v>3042</v>
      </c>
      <c r="C29" s="4658"/>
      <c r="D29" s="4658"/>
      <c r="E29" s="4658">
        <f t="shared" si="0"/>
        <v>0</v>
      </c>
    </row>
    <row r="30" spans="1:5" s="4659" customFormat="1" ht="15.6">
      <c r="A30" s="748" t="s">
        <v>157</v>
      </c>
      <c r="B30" s="4663" t="s">
        <v>3043</v>
      </c>
      <c r="C30" s="4658"/>
      <c r="D30" s="4658"/>
      <c r="E30" s="4658">
        <f t="shared" si="0"/>
        <v>0</v>
      </c>
    </row>
    <row r="31" spans="1:5" s="4659" customFormat="1" ht="15.6">
      <c r="A31" s="748" t="s">
        <v>1688</v>
      </c>
      <c r="B31" s="4663" t="s">
        <v>3044</v>
      </c>
      <c r="C31" s="4658"/>
      <c r="D31" s="4658"/>
      <c r="E31" s="4658">
        <f t="shared" si="0"/>
        <v>0</v>
      </c>
    </row>
    <row r="32" spans="1:5" ht="15.6">
      <c r="A32" s="4435"/>
      <c r="B32" s="2851"/>
      <c r="C32" s="4662"/>
      <c r="D32" s="4662"/>
      <c r="E32" s="4658">
        <f t="shared" si="0"/>
        <v>0</v>
      </c>
    </row>
    <row r="33" spans="1:5" s="4659" customFormat="1" ht="15.6">
      <c r="A33" s="748"/>
      <c r="B33" s="4657"/>
      <c r="C33" s="4658"/>
      <c r="D33" s="4658"/>
      <c r="E33" s="4658">
        <f t="shared" si="0"/>
        <v>0</v>
      </c>
    </row>
    <row r="34" spans="1:5" s="4659" customFormat="1" ht="15.6">
      <c r="A34" s="748"/>
      <c r="B34" s="4657"/>
      <c r="C34" s="4658"/>
      <c r="D34" s="4658"/>
      <c r="E34" s="4658">
        <f t="shared" si="0"/>
        <v>0</v>
      </c>
    </row>
    <row r="35" spans="1:5" s="4659" customFormat="1" ht="15.6">
      <c r="A35" s="748"/>
      <c r="B35" s="4657"/>
      <c r="C35" s="4658"/>
      <c r="D35" s="4658"/>
      <c r="E35" s="4658">
        <f t="shared" si="0"/>
        <v>0</v>
      </c>
    </row>
    <row r="36" spans="1:5" s="2423" customFormat="1" ht="15.6">
      <c r="A36" s="2850" t="s">
        <v>44</v>
      </c>
      <c r="B36" s="2855" t="s">
        <v>3045</v>
      </c>
      <c r="C36" s="4656">
        <v>0</v>
      </c>
      <c r="D36" s="4656">
        <v>2000</v>
      </c>
      <c r="E36" s="4656">
        <f t="shared" si="0"/>
        <v>2000</v>
      </c>
    </row>
    <row r="37" spans="1:5" s="2423" customFormat="1" ht="15.6">
      <c r="A37" s="2850" t="s">
        <v>46</v>
      </c>
      <c r="B37" s="2855" t="s">
        <v>3046</v>
      </c>
      <c r="C37" s="4656">
        <v>1400</v>
      </c>
      <c r="D37" s="4656">
        <v>2000</v>
      </c>
      <c r="E37" s="4656">
        <f t="shared" si="0"/>
        <v>600</v>
      </c>
    </row>
    <row r="38" spans="1:5" s="2423" customFormat="1" ht="15.6">
      <c r="A38" s="2850" t="s">
        <v>725</v>
      </c>
      <c r="B38" s="2855" t="s">
        <v>3047</v>
      </c>
      <c r="C38" s="4656"/>
      <c r="D38" s="4656"/>
      <c r="E38" s="4656">
        <f t="shared" si="0"/>
        <v>0</v>
      </c>
    </row>
    <row r="39" spans="1:5" s="2423" customFormat="1" ht="15.6">
      <c r="A39" s="2850" t="s">
        <v>3048</v>
      </c>
      <c r="B39" s="2855" t="s">
        <v>175</v>
      </c>
      <c r="C39" s="4656">
        <f>SUM(C40:C41)</f>
        <v>252266</v>
      </c>
      <c r="D39" s="4656">
        <f>SUM(D40:D41)</f>
        <v>273066</v>
      </c>
      <c r="E39" s="4656">
        <f t="shared" si="0"/>
        <v>20800</v>
      </c>
    </row>
    <row r="40" spans="1:5" s="1192" customFormat="1" ht="15.6">
      <c r="A40" s="4435">
        <v>1</v>
      </c>
      <c r="B40" s="2851" t="s">
        <v>3033</v>
      </c>
      <c r="C40" s="4664">
        <v>252266</v>
      </c>
      <c r="D40" s="4664">
        <v>273066</v>
      </c>
      <c r="E40" s="4664">
        <f t="shared" si="0"/>
        <v>20800</v>
      </c>
    </row>
    <row r="41" spans="1:5" s="1192" customFormat="1" ht="15.6">
      <c r="A41" s="4435">
        <v>2</v>
      </c>
      <c r="B41" s="2851" t="s">
        <v>3049</v>
      </c>
      <c r="C41" s="4664"/>
      <c r="D41" s="4664"/>
      <c r="E41" s="4664">
        <f t="shared" si="0"/>
        <v>0</v>
      </c>
    </row>
    <row r="42" spans="1:5" s="4659" customFormat="1" ht="15.6">
      <c r="A42" s="4665"/>
      <c r="B42" s="4666"/>
      <c r="C42" s="4667"/>
      <c r="D42" s="4667"/>
      <c r="E42" s="4667"/>
    </row>
    <row r="43" spans="1:5" ht="15.6">
      <c r="A43" s="2423" t="s">
        <v>1717</v>
      </c>
    </row>
    <row r="44" spans="1:5" ht="29.25" customHeight="1">
      <c r="B44" s="4668" t="s">
        <v>3050</v>
      </c>
      <c r="C44" s="4669">
        <v>1036180</v>
      </c>
    </row>
    <row r="45" spans="1:5" ht="15.6">
      <c r="B45" s="1192" t="s">
        <v>3051</v>
      </c>
      <c r="C45" s="4670">
        <f>C44-C7</f>
        <v>61200</v>
      </c>
    </row>
    <row r="47" spans="1:5">
      <c r="C47" s="4670"/>
    </row>
  </sheetData>
  <mergeCells count="1">
    <mergeCell ref="A1:E1"/>
  </mergeCells>
  <hyperlinks>
    <hyperlink ref="A3" location="'Danh mục file'!A1" display="ST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77"/>
  <sheetViews>
    <sheetView workbookViewId="0">
      <selection activeCell="A5" sqref="A5"/>
    </sheetView>
  </sheetViews>
  <sheetFormatPr defaultColWidth="10.5546875" defaultRowHeight="15.6"/>
  <cols>
    <col min="1" max="1" width="8.33203125" style="4671" customWidth="1"/>
    <col min="2" max="2" width="48.5546875" style="4672" customWidth="1"/>
    <col min="3" max="3" width="16.33203125" style="4673" customWidth="1"/>
    <col min="4" max="4" width="33.88671875" style="4675" customWidth="1"/>
    <col min="5" max="6" width="10.5546875" style="4675"/>
    <col min="7" max="8" width="21.109375" style="4675" customWidth="1"/>
    <col min="9" max="16384" width="10.5546875" style="4675"/>
  </cols>
  <sheetData>
    <row r="1" spans="1:15" ht="31.2">
      <c r="D1" s="4674" t="s">
        <v>3052</v>
      </c>
      <c r="F1" s="4676" t="s">
        <v>3053</v>
      </c>
      <c r="G1" s="4676">
        <v>60</v>
      </c>
    </row>
    <row r="2" spans="1:15">
      <c r="A2" s="6478" t="s">
        <v>3054</v>
      </c>
      <c r="B2" s="6478"/>
      <c r="C2" s="6478"/>
      <c r="D2" s="6478"/>
    </row>
    <row r="3" spans="1:15" s="4677" customFormat="1" ht="18" customHeight="1">
      <c r="A3" s="6478" t="s">
        <v>3055</v>
      </c>
      <c r="B3" s="6478"/>
      <c r="C3" s="6478"/>
      <c r="D3" s="6478"/>
    </row>
    <row r="4" spans="1:15" s="4677" customFormat="1" ht="18" customHeight="1">
      <c r="A4" s="4671"/>
      <c r="B4" s="4678"/>
      <c r="C4" s="4679"/>
    </row>
    <row r="5" spans="1:15" s="4677" customFormat="1">
      <c r="A5" s="4680" t="s">
        <v>247</v>
      </c>
      <c r="B5" s="4681" t="s">
        <v>1123</v>
      </c>
      <c r="C5" s="4681" t="s">
        <v>59</v>
      </c>
      <c r="D5" s="4682" t="s">
        <v>861</v>
      </c>
      <c r="G5" s="4677" t="s">
        <v>3056</v>
      </c>
    </row>
    <row r="6" spans="1:15" s="4677" customFormat="1">
      <c r="A6" s="4683">
        <v>1</v>
      </c>
      <c r="B6" s="4684">
        <f>+A6+1</f>
        <v>2</v>
      </c>
      <c r="C6" s="4684">
        <f>+B6+1</f>
        <v>3</v>
      </c>
      <c r="D6" s="4683">
        <f>+C6+1</f>
        <v>4</v>
      </c>
      <c r="H6" s="4677" t="s">
        <v>3057</v>
      </c>
      <c r="I6" s="4677" t="s">
        <v>3058</v>
      </c>
    </row>
    <row r="7" spans="1:15" s="4677" customFormat="1">
      <c r="A7" s="4685" t="s">
        <v>1</v>
      </c>
      <c r="B7" s="4686" t="s">
        <v>3059</v>
      </c>
      <c r="C7" s="4687">
        <f>+C10+C13</f>
        <v>8593985.0258779023</v>
      </c>
      <c r="D7" s="4688"/>
      <c r="F7" s="4689">
        <f>+C7-C8-C9</f>
        <v>4813812.7888039034</v>
      </c>
      <c r="H7" s="4690">
        <v>0.67173634842284391</v>
      </c>
      <c r="I7" s="4690">
        <v>0</v>
      </c>
    </row>
    <row r="8" spans="1:15" s="4677" customFormat="1">
      <c r="A8" s="4691"/>
      <c r="B8" s="4692" t="s">
        <v>3060</v>
      </c>
      <c r="C8" s="4693">
        <f>C11+C17+C20+C23</f>
        <v>3753146.2370739989</v>
      </c>
      <c r="D8" s="4691"/>
    </row>
    <row r="9" spans="1:15" s="4677" customFormat="1">
      <c r="A9" s="4691"/>
      <c r="B9" s="4694" t="s">
        <v>3061</v>
      </c>
      <c r="C9" s="4693">
        <f>C12+C15+C18+C21</f>
        <v>27026</v>
      </c>
      <c r="D9" s="4691"/>
      <c r="G9" s="4689">
        <f>+C7-C8-C9</f>
        <v>4813812.7888039034</v>
      </c>
    </row>
    <row r="10" spans="1:15" s="4677" customFormat="1">
      <c r="A10" s="4695" t="s">
        <v>3</v>
      </c>
      <c r="B10" s="4696" t="s">
        <v>3062</v>
      </c>
      <c r="C10" s="4697">
        <v>8094524</v>
      </c>
      <c r="D10" s="6475" t="s">
        <v>3063</v>
      </c>
    </row>
    <row r="11" spans="1:15" s="4677" customFormat="1">
      <c r="A11" s="4695"/>
      <c r="B11" s="4692" t="s">
        <v>3060</v>
      </c>
      <c r="C11" s="4698">
        <v>3605724</v>
      </c>
      <c r="D11" s="6479"/>
    </row>
    <row r="12" spans="1:15" s="4677" customFormat="1">
      <c r="A12" s="4695"/>
      <c r="B12" s="4694" t="s">
        <v>3061</v>
      </c>
      <c r="C12" s="4698">
        <v>27026</v>
      </c>
      <c r="D12" s="6476"/>
      <c r="G12" s="4699"/>
      <c r="H12" s="4699"/>
      <c r="I12" s="4699"/>
      <c r="J12" s="4700" t="s">
        <v>3064</v>
      </c>
      <c r="K12" s="4699"/>
      <c r="L12" s="4699"/>
    </row>
    <row r="13" spans="1:15" s="4677" customFormat="1">
      <c r="A13" s="4695" t="s">
        <v>33</v>
      </c>
      <c r="B13" s="4696" t="s">
        <v>3065</v>
      </c>
      <c r="C13" s="4697">
        <f>+C16+C19+C22</f>
        <v>499461.02587790298</v>
      </c>
      <c r="D13" s="4701"/>
      <c r="H13" s="4699" t="s">
        <v>3066</v>
      </c>
      <c r="I13" s="4699" t="s">
        <v>960</v>
      </c>
      <c r="J13" s="4699"/>
      <c r="K13" s="6480" t="s">
        <v>960</v>
      </c>
      <c r="L13" s="6481"/>
    </row>
    <row r="14" spans="1:15" s="4677" customFormat="1">
      <c r="A14" s="4695"/>
      <c r="B14" s="4692" t="s">
        <v>3060</v>
      </c>
      <c r="C14" s="4697">
        <f>+C17+C20+C23</f>
        <v>147422.2370739991</v>
      </c>
      <c r="D14" s="4701"/>
      <c r="H14" s="4699"/>
      <c r="I14" s="4699"/>
      <c r="J14" s="4699"/>
      <c r="K14" s="4699" t="s">
        <v>3067</v>
      </c>
      <c r="L14" s="4699" t="s">
        <v>3058</v>
      </c>
    </row>
    <row r="15" spans="1:15" s="4677" customFormat="1">
      <c r="A15" s="4695"/>
      <c r="B15" s="4694" t="s">
        <v>3061</v>
      </c>
      <c r="C15" s="4697">
        <f>+C18+C21</f>
        <v>0</v>
      </c>
      <c r="D15" s="4701"/>
      <c r="H15" s="4702">
        <v>12352.714285714284</v>
      </c>
      <c r="I15" s="4703">
        <f>+H15</f>
        <v>12352.714285714284</v>
      </c>
      <c r="J15" s="4704"/>
      <c r="K15" s="4703">
        <f>+I15</f>
        <v>12352.714285714284</v>
      </c>
      <c r="L15" s="4704"/>
      <c r="O15" s="4677">
        <v>12</v>
      </c>
    </row>
    <row r="16" spans="1:15" s="4677" customFormat="1">
      <c r="A16" s="4695">
        <v>1</v>
      </c>
      <c r="B16" s="4696" t="s">
        <v>3068</v>
      </c>
      <c r="C16" s="4697">
        <v>203211.71428571429</v>
      </c>
      <c r="D16" s="6475" t="s">
        <v>3069</v>
      </c>
      <c r="H16" s="4705">
        <v>22312</v>
      </c>
      <c r="I16" s="4706">
        <f>+H16</f>
        <v>22312</v>
      </c>
      <c r="J16" s="4707"/>
      <c r="K16" s="4707"/>
      <c r="L16" s="4707"/>
      <c r="O16" s="4677">
        <v>13</v>
      </c>
    </row>
    <row r="17" spans="1:15" s="4677" customFormat="1">
      <c r="A17" s="4708"/>
      <c r="B17" s="4692" t="s">
        <v>3060</v>
      </c>
      <c r="C17" s="4698">
        <f>+I16+I20*H7</f>
        <v>135531.14631762507</v>
      </c>
      <c r="D17" s="6479"/>
      <c r="G17" s="4709" t="s">
        <v>954</v>
      </c>
      <c r="H17" s="4705">
        <v>1152</v>
      </c>
      <c r="I17" s="4706">
        <f>+H17</f>
        <v>1152</v>
      </c>
      <c r="J17" s="4707"/>
      <c r="K17" s="4707"/>
      <c r="L17" s="4707"/>
      <c r="O17" s="4677">
        <v>14</v>
      </c>
    </row>
    <row r="18" spans="1:15" s="4677" customFormat="1">
      <c r="A18" s="4708"/>
      <c r="B18" s="4694" t="s">
        <v>3061</v>
      </c>
      <c r="C18" s="4698">
        <f>+I20*I7</f>
        <v>0</v>
      </c>
      <c r="D18" s="6476"/>
      <c r="G18" s="4709" t="s">
        <v>3070</v>
      </c>
      <c r="H18" s="4705">
        <v>167395</v>
      </c>
      <c r="I18" s="4706">
        <f>+H18</f>
        <v>167395</v>
      </c>
      <c r="J18" s="4707"/>
      <c r="K18" s="4707"/>
      <c r="L18" s="4707"/>
      <c r="O18" s="4677">
        <v>15</v>
      </c>
    </row>
    <row r="19" spans="1:15" s="4677" customFormat="1">
      <c r="A19" s="4695">
        <v>2</v>
      </c>
      <c r="B19" s="4696" t="s">
        <v>3071</v>
      </c>
      <c r="C19" s="4697">
        <v>-58428.800727811293</v>
      </c>
      <c r="D19" s="6474" t="s">
        <v>3069</v>
      </c>
      <c r="G19" s="4709" t="s">
        <v>3072</v>
      </c>
      <c r="H19" s="4710">
        <v>0</v>
      </c>
      <c r="I19" s="4711">
        <f>+H19</f>
        <v>0</v>
      </c>
      <c r="J19" s="4709"/>
      <c r="K19" s="4709"/>
      <c r="L19" s="4709"/>
      <c r="O19" s="4677">
        <v>16</v>
      </c>
    </row>
    <row r="20" spans="1:15" s="4677" customFormat="1">
      <c r="A20" s="4712"/>
      <c r="B20" s="4692" t="s">
        <v>3060</v>
      </c>
      <c r="C20" s="4713">
        <f>+C19*H7</f>
        <v>-39248.749243625964</v>
      </c>
      <c r="D20" s="6474"/>
      <c r="G20" s="4714" t="s">
        <v>3073</v>
      </c>
      <c r="H20" s="4715">
        <f>+H17+H18+H19</f>
        <v>168547</v>
      </c>
      <c r="I20" s="4715">
        <f>+I17+I18+I19</f>
        <v>168547</v>
      </c>
      <c r="J20" s="4714"/>
      <c r="K20" s="4716">
        <f>+I20*H7</f>
        <v>113219.14631762507</v>
      </c>
      <c r="L20" s="4716">
        <f>+I20*I7</f>
        <v>0</v>
      </c>
    </row>
    <row r="21" spans="1:15" s="4677" customFormat="1">
      <c r="A21" s="4712"/>
      <c r="B21" s="4694" t="s">
        <v>3061</v>
      </c>
      <c r="C21" s="4713">
        <f>+C19*I7</f>
        <v>0</v>
      </c>
      <c r="D21" s="6474"/>
    </row>
    <row r="22" spans="1:15" ht="31.5" customHeight="1">
      <c r="A22" s="4695">
        <v>3</v>
      </c>
      <c r="B22" s="4696" t="s">
        <v>3074</v>
      </c>
      <c r="C22" s="4697">
        <v>354678.11232000001</v>
      </c>
      <c r="D22" s="6475" t="s">
        <v>3075</v>
      </c>
    </row>
    <row r="23" spans="1:15" s="4719" customFormat="1" ht="24" customHeight="1">
      <c r="A23" s="4717"/>
      <c r="B23" s="4692" t="s">
        <v>3060</v>
      </c>
      <c r="C23" s="4718">
        <v>51139.839999999997</v>
      </c>
      <c r="D23" s="6476"/>
    </row>
    <row r="24" spans="1:15" s="4719" customFormat="1" ht="24" customHeight="1">
      <c r="A24" s="4720"/>
      <c r="B24" s="4721"/>
      <c r="C24" s="4722"/>
      <c r="D24" s="4720"/>
    </row>
    <row r="25" spans="1:15" s="4719" customFormat="1" ht="34.5" customHeight="1">
      <c r="B25" s="6477"/>
      <c r="C25" s="6477"/>
      <c r="D25" s="6477"/>
    </row>
    <row r="26" spans="1:15" s="4719" customFormat="1" ht="24" customHeight="1">
      <c r="B26" s="4723"/>
      <c r="C26" s="4724"/>
    </row>
    <row r="27" spans="1:15" s="4719" customFormat="1" ht="24" customHeight="1">
      <c r="B27" s="4723"/>
      <c r="C27" s="4724"/>
    </row>
    <row r="28" spans="1:15" s="4719" customFormat="1" ht="24" customHeight="1">
      <c r="B28" s="4723"/>
      <c r="C28" s="4724"/>
    </row>
    <row r="29" spans="1:15" s="4719" customFormat="1" ht="24" customHeight="1">
      <c r="B29" s="4723"/>
      <c r="C29" s="4724"/>
    </row>
    <row r="30" spans="1:15" s="4719" customFormat="1" ht="24" customHeight="1">
      <c r="B30" s="4723"/>
      <c r="C30" s="4724"/>
    </row>
    <row r="31" spans="1:15" s="4719" customFormat="1" ht="24" customHeight="1">
      <c r="B31" s="4723"/>
      <c r="C31" s="4724"/>
    </row>
    <row r="32" spans="1:15" s="4719" customFormat="1" ht="24" customHeight="1">
      <c r="B32" s="4723"/>
      <c r="C32" s="4724"/>
    </row>
    <row r="33" spans="1:5" s="4719" customFormat="1">
      <c r="B33" s="4723"/>
      <c r="C33" s="4724"/>
    </row>
    <row r="34" spans="1:5" s="4719" customFormat="1">
      <c r="B34" s="4723"/>
      <c r="C34" s="4724"/>
    </row>
    <row r="35" spans="1:5" s="4719" customFormat="1">
      <c r="B35" s="4723"/>
      <c r="C35" s="4724"/>
    </row>
    <row r="36" spans="1:5" s="4677" customFormat="1">
      <c r="A36" s="4671"/>
      <c r="B36" s="4678"/>
      <c r="C36" s="4674"/>
    </row>
    <row r="40" spans="1:5" s="4671" customFormat="1">
      <c r="B40" s="4672"/>
      <c r="C40" s="4673"/>
      <c r="D40" s="4675"/>
      <c r="E40" s="4675"/>
    </row>
    <row r="41" spans="1:5" s="4671" customFormat="1">
      <c r="B41" s="4672"/>
      <c r="C41" s="4673"/>
      <c r="D41" s="4675"/>
      <c r="E41" s="4675"/>
    </row>
    <row r="42" spans="1:5" s="4671" customFormat="1">
      <c r="B42" s="4672"/>
      <c r="C42" s="4673"/>
      <c r="D42" s="4675"/>
      <c r="E42" s="4675"/>
    </row>
    <row r="43" spans="1:5" s="4671" customFormat="1">
      <c r="B43" s="4672"/>
      <c r="C43" s="4673"/>
      <c r="D43" s="4675"/>
      <c r="E43" s="4675"/>
    </row>
    <row r="44" spans="1:5" s="4671" customFormat="1">
      <c r="B44" s="4672"/>
      <c r="C44" s="4673"/>
      <c r="D44" s="4675"/>
      <c r="E44" s="4675"/>
    </row>
    <row r="45" spans="1:5" s="4671" customFormat="1">
      <c r="B45" s="4672"/>
      <c r="C45" s="4673"/>
      <c r="D45" s="4675"/>
      <c r="E45" s="4675"/>
    </row>
    <row r="46" spans="1:5" s="4671" customFormat="1">
      <c r="B46" s="4672"/>
      <c r="C46" s="4673"/>
      <c r="D46" s="4675"/>
      <c r="E46" s="4675"/>
    </row>
    <row r="47" spans="1:5" s="4671" customFormat="1">
      <c r="B47" s="4672"/>
      <c r="C47" s="4673"/>
      <c r="D47" s="4675"/>
      <c r="E47" s="4675"/>
    </row>
    <row r="48" spans="1:5" s="4671" customFormat="1">
      <c r="B48" s="4672"/>
      <c r="C48" s="4673"/>
      <c r="D48" s="4675"/>
      <c r="E48" s="4675"/>
    </row>
    <row r="49" spans="2:7" s="4671" customFormat="1">
      <c r="B49" s="4672"/>
      <c r="C49" s="4673"/>
      <c r="D49" s="4675"/>
      <c r="E49" s="4675"/>
    </row>
    <row r="50" spans="2:7" s="4671" customFormat="1">
      <c r="B50" s="4672"/>
      <c r="C50" s="4673"/>
      <c r="D50" s="4675"/>
      <c r="E50" s="4675"/>
    </row>
    <row r="51" spans="2:7" s="4671" customFormat="1">
      <c r="B51" s="4672"/>
      <c r="C51" s="4673"/>
      <c r="D51" s="4675"/>
      <c r="E51" s="4675"/>
    </row>
    <row r="52" spans="2:7" s="4671" customFormat="1">
      <c r="B52" s="4672"/>
      <c r="C52" s="4673"/>
      <c r="D52" s="4675"/>
      <c r="E52" s="4675"/>
    </row>
    <row r="53" spans="2:7" s="4671" customFormat="1">
      <c r="B53" s="4672"/>
      <c r="C53" s="4673"/>
      <c r="D53" s="4675"/>
      <c r="E53" s="4675"/>
    </row>
    <row r="54" spans="2:7" s="4671" customFormat="1">
      <c r="B54" s="4672"/>
      <c r="C54" s="4673"/>
      <c r="D54" s="4675"/>
      <c r="E54" s="4675"/>
    </row>
    <row r="55" spans="2:7" s="4671" customFormat="1">
      <c r="B55" s="4672"/>
      <c r="C55" s="4673"/>
      <c r="D55" s="4675"/>
      <c r="E55" s="4675"/>
    </row>
    <row r="57" spans="2:7">
      <c r="D57" s="4675" t="e">
        <f>+#REF!*C57*12*1.21+0.14*1.21*12*#REF!*22</f>
        <v>#REF!</v>
      </c>
    </row>
    <row r="58" spans="2:7">
      <c r="D58" s="4675" t="e">
        <f>+#REF!*C58*12*1.21+0.14*1.21*12*#REF!*20</f>
        <v>#REF!</v>
      </c>
    </row>
    <row r="59" spans="2:7">
      <c r="D59" s="4675" t="e">
        <f>+#REF!*C59*12*1.21+0.14*1.21*12*#REF!*19</f>
        <v>#REF!</v>
      </c>
    </row>
    <row r="62" spans="2:7">
      <c r="G62" s="4671"/>
    </row>
    <row r="63" spans="2:7">
      <c r="G63" s="4671"/>
    </row>
    <row r="64" spans="2:7">
      <c r="G64" s="4671"/>
    </row>
    <row r="65" spans="2:7">
      <c r="G65" s="4671"/>
    </row>
    <row r="72" spans="2:7" s="4671" customFormat="1">
      <c r="B72" s="4672"/>
      <c r="C72" s="4673"/>
      <c r="D72" s="4675"/>
      <c r="E72" s="4675"/>
    </row>
    <row r="73" spans="2:7" s="4671" customFormat="1">
      <c r="B73" s="4672"/>
      <c r="C73" s="4673"/>
      <c r="D73" s="4675"/>
      <c r="E73" s="4675"/>
    </row>
    <row r="74" spans="2:7" s="4671" customFormat="1">
      <c r="B74" s="4672"/>
      <c r="C74" s="4673"/>
      <c r="D74" s="4675"/>
      <c r="E74" s="4675"/>
    </row>
    <row r="75" spans="2:7" s="4671" customFormat="1">
      <c r="B75" s="4672"/>
      <c r="C75" s="4673"/>
      <c r="D75" s="4675"/>
      <c r="E75" s="4675"/>
    </row>
    <row r="76" spans="2:7" s="4671" customFormat="1">
      <c r="B76" s="4672"/>
      <c r="C76" s="4673"/>
      <c r="D76" s="4675"/>
      <c r="E76" s="4675"/>
    </row>
    <row r="77" spans="2:7" s="4671" customFormat="1">
      <c r="B77" s="4672"/>
      <c r="C77" s="4673"/>
      <c r="D77" s="4675"/>
      <c r="E77" s="4675"/>
    </row>
    <row r="78" spans="2:7" s="4671" customFormat="1">
      <c r="B78" s="4672"/>
      <c r="C78" s="4673"/>
      <c r="D78" s="4675"/>
      <c r="E78" s="4675"/>
    </row>
    <row r="79" spans="2:7" s="4671" customFormat="1">
      <c r="B79" s="4672"/>
      <c r="C79" s="4673"/>
      <c r="D79" s="4675"/>
      <c r="E79" s="4675"/>
    </row>
    <row r="80" spans="2:7" s="4671" customFormat="1">
      <c r="B80" s="4672"/>
      <c r="C80" s="4673"/>
      <c r="D80" s="4675"/>
      <c r="E80" s="4675"/>
    </row>
    <row r="81" spans="2:5" s="4671" customFormat="1">
      <c r="B81" s="4672"/>
      <c r="C81" s="4673"/>
      <c r="D81" s="4675"/>
      <c r="E81" s="4675"/>
    </row>
    <row r="82" spans="2:5" s="4671" customFormat="1">
      <c r="B82" s="4672"/>
      <c r="C82" s="4673"/>
      <c r="D82" s="4675"/>
      <c r="E82" s="4675"/>
    </row>
    <row r="83" spans="2:5" s="4671" customFormat="1">
      <c r="B83" s="4672"/>
      <c r="C83" s="4673"/>
      <c r="D83" s="4675"/>
      <c r="E83" s="4675"/>
    </row>
    <row r="84" spans="2:5" s="4671" customFormat="1">
      <c r="B84" s="4672"/>
      <c r="C84" s="4673"/>
      <c r="D84" s="4675"/>
      <c r="E84" s="4675"/>
    </row>
    <row r="85" spans="2:5" s="4671" customFormat="1">
      <c r="B85" s="4672"/>
      <c r="C85" s="4673"/>
      <c r="D85" s="4675"/>
      <c r="E85" s="4675"/>
    </row>
    <row r="86" spans="2:5" s="4671" customFormat="1">
      <c r="B86" s="4672"/>
      <c r="C86" s="4673"/>
      <c r="D86" s="4675"/>
      <c r="E86" s="4675"/>
    </row>
    <row r="87" spans="2:5" s="4671" customFormat="1">
      <c r="B87" s="4672"/>
      <c r="C87" s="4673"/>
      <c r="D87" s="4675"/>
      <c r="E87" s="4675"/>
    </row>
    <row r="88" spans="2:5" s="4671" customFormat="1">
      <c r="B88" s="4672"/>
      <c r="C88" s="4673"/>
      <c r="D88" s="4675"/>
      <c r="E88" s="4675"/>
    </row>
    <row r="89" spans="2:5" s="4671" customFormat="1">
      <c r="B89" s="4672"/>
      <c r="C89" s="4673"/>
      <c r="D89" s="4675"/>
      <c r="E89" s="4675"/>
    </row>
    <row r="90" spans="2:5" s="4671" customFormat="1">
      <c r="B90" s="4672"/>
      <c r="C90" s="4673"/>
      <c r="D90" s="4675"/>
      <c r="E90" s="4675"/>
    </row>
    <row r="91" spans="2:5" s="4671" customFormat="1">
      <c r="B91" s="4672"/>
      <c r="C91" s="4673"/>
      <c r="D91" s="4675"/>
      <c r="E91" s="4675"/>
    </row>
    <row r="92" spans="2:5" s="4671" customFormat="1">
      <c r="B92" s="4672"/>
      <c r="C92" s="4673"/>
      <c r="D92" s="4675"/>
      <c r="E92" s="4675"/>
    </row>
    <row r="93" spans="2:5" s="4671" customFormat="1">
      <c r="B93" s="4672"/>
      <c r="C93" s="4673"/>
      <c r="D93" s="4675"/>
      <c r="E93" s="4675"/>
    </row>
    <row r="94" spans="2:5" s="4671" customFormat="1">
      <c r="B94" s="4672"/>
      <c r="C94" s="4673"/>
      <c r="D94" s="4675"/>
      <c r="E94" s="4675"/>
    </row>
    <row r="95" spans="2:5" s="4671" customFormat="1">
      <c r="B95" s="4672"/>
      <c r="C95" s="4673"/>
      <c r="D95" s="4675"/>
      <c r="E95" s="4675"/>
    </row>
    <row r="96" spans="2:5" s="4671" customFormat="1">
      <c r="B96" s="4672"/>
      <c r="C96" s="4673"/>
      <c r="D96" s="4675"/>
      <c r="E96" s="4675"/>
    </row>
    <row r="97" spans="2:7" s="4671" customFormat="1">
      <c r="B97" s="4672"/>
      <c r="C97" s="4673"/>
      <c r="D97" s="4675"/>
      <c r="E97" s="4675"/>
    </row>
    <row r="98" spans="2:7" s="4671" customFormat="1">
      <c r="B98" s="4672"/>
      <c r="C98" s="4673"/>
      <c r="D98" s="4675"/>
      <c r="E98" s="4675"/>
    </row>
    <row r="99" spans="2:7" s="4671" customFormat="1">
      <c r="B99" s="4672"/>
      <c r="C99" s="4673"/>
      <c r="D99" s="4675"/>
      <c r="E99" s="4675"/>
      <c r="F99" s="4725">
        <f>+G99</f>
        <v>51</v>
      </c>
      <c r="G99" s="4725">
        <v>51</v>
      </c>
    </row>
    <row r="100" spans="2:7" s="4671" customFormat="1">
      <c r="B100" s="4672"/>
      <c r="C100" s="4673"/>
      <c r="D100" s="4675"/>
      <c r="E100" s="4675"/>
      <c r="G100" s="4671">
        <v>476</v>
      </c>
    </row>
    <row r="101" spans="2:7" s="4671" customFormat="1">
      <c r="B101" s="4672"/>
      <c r="C101" s="4673"/>
      <c r="D101" s="4675"/>
      <c r="E101" s="4675"/>
      <c r="G101" s="4671">
        <v>2145</v>
      </c>
    </row>
    <row r="102" spans="2:7" s="4671" customFormat="1">
      <c r="B102" s="4672"/>
      <c r="C102" s="4673"/>
      <c r="D102" s="4675"/>
      <c r="E102" s="4675"/>
    </row>
    <row r="103" spans="2:7" s="4671" customFormat="1">
      <c r="B103" s="4672"/>
      <c r="C103" s="4673"/>
      <c r="D103" s="4675"/>
      <c r="E103" s="4675"/>
    </row>
    <row r="104" spans="2:7" s="4671" customFormat="1">
      <c r="B104" s="4672"/>
      <c r="C104" s="4673"/>
      <c r="D104" s="4675"/>
      <c r="E104" s="4675"/>
    </row>
    <row r="105" spans="2:7" s="4671" customFormat="1">
      <c r="B105" s="4672"/>
      <c r="C105" s="4673"/>
      <c r="D105" s="4675"/>
      <c r="E105" s="4675"/>
    </row>
    <row r="106" spans="2:7" s="4671" customFormat="1">
      <c r="B106" s="4672"/>
      <c r="C106" s="4673"/>
      <c r="D106" s="4675"/>
      <c r="E106" s="4675"/>
    </row>
    <row r="107" spans="2:7" s="4671" customFormat="1">
      <c r="B107" s="4672"/>
      <c r="C107" s="4673"/>
      <c r="D107" s="4675"/>
      <c r="E107" s="4675"/>
    </row>
    <row r="108" spans="2:7" s="4671" customFormat="1">
      <c r="B108" s="4672"/>
      <c r="C108" s="4673"/>
      <c r="D108" s="4675"/>
      <c r="E108" s="4675"/>
    </row>
    <row r="109" spans="2:7" s="4671" customFormat="1">
      <c r="B109" s="4672"/>
      <c r="C109" s="4673"/>
      <c r="D109" s="4675"/>
      <c r="E109" s="4675"/>
    </row>
    <row r="110" spans="2:7" s="4671" customFormat="1">
      <c r="B110" s="4672"/>
      <c r="C110" s="4673"/>
      <c r="D110" s="4675"/>
      <c r="E110" s="4675"/>
    </row>
    <row r="111" spans="2:7" s="4671" customFormat="1">
      <c r="B111" s="4672"/>
      <c r="C111" s="4673"/>
      <c r="D111" s="4675"/>
      <c r="E111" s="4675"/>
    </row>
    <row r="112" spans="2:7" s="4671" customFormat="1">
      <c r="B112" s="4672"/>
      <c r="C112" s="4673"/>
      <c r="D112" s="4675"/>
      <c r="E112" s="4675"/>
    </row>
    <row r="113" spans="2:5" s="4671" customFormat="1">
      <c r="B113" s="4672"/>
      <c r="C113" s="4673"/>
      <c r="D113" s="4675"/>
      <c r="E113" s="4675"/>
    </row>
    <row r="114" spans="2:5" s="4671" customFormat="1">
      <c r="B114" s="4672"/>
      <c r="C114" s="4673"/>
      <c r="D114" s="4675"/>
      <c r="E114" s="4675"/>
    </row>
    <row r="115" spans="2:5" s="4671" customFormat="1">
      <c r="B115" s="4672"/>
      <c r="C115" s="4673"/>
      <c r="D115" s="4675"/>
      <c r="E115" s="4675"/>
    </row>
    <row r="116" spans="2:5" s="4671" customFormat="1">
      <c r="B116" s="4672"/>
      <c r="C116" s="4673"/>
      <c r="D116" s="4675"/>
      <c r="E116" s="4675"/>
    </row>
    <row r="117" spans="2:5" s="4671" customFormat="1">
      <c r="B117" s="4672"/>
      <c r="C117" s="4673"/>
      <c r="D117" s="4675"/>
      <c r="E117" s="4675"/>
    </row>
    <row r="118" spans="2:5" s="4671" customFormat="1">
      <c r="B118" s="4672"/>
      <c r="C118" s="4673"/>
      <c r="D118" s="4675"/>
      <c r="E118" s="4675"/>
    </row>
    <row r="119" spans="2:5" s="4671" customFormat="1">
      <c r="B119" s="4672"/>
      <c r="C119" s="4673"/>
      <c r="D119" s="4675"/>
      <c r="E119" s="4675"/>
    </row>
    <row r="120" spans="2:5" s="4671" customFormat="1">
      <c r="B120" s="4672"/>
      <c r="C120" s="4673"/>
      <c r="D120" s="4675"/>
      <c r="E120" s="4675"/>
    </row>
    <row r="121" spans="2:5" s="4671" customFormat="1">
      <c r="B121" s="4672"/>
      <c r="C121" s="4673"/>
      <c r="D121" s="4675"/>
      <c r="E121" s="4675"/>
    </row>
    <row r="122" spans="2:5" s="4671" customFormat="1">
      <c r="B122" s="4672"/>
      <c r="C122" s="4673"/>
      <c r="D122" s="4675"/>
      <c r="E122" s="4675"/>
    </row>
    <row r="123" spans="2:5" s="4671" customFormat="1">
      <c r="B123" s="4672"/>
      <c r="C123" s="4673"/>
      <c r="D123" s="4675"/>
      <c r="E123" s="4675"/>
    </row>
    <row r="124" spans="2:5" s="4671" customFormat="1">
      <c r="B124" s="4672"/>
      <c r="C124" s="4673"/>
      <c r="D124" s="4675"/>
      <c r="E124" s="4675"/>
    </row>
    <row r="125" spans="2:5" s="4671" customFormat="1">
      <c r="B125" s="4672"/>
      <c r="C125" s="4673"/>
      <c r="D125" s="4675"/>
      <c r="E125" s="4675"/>
    </row>
    <row r="126" spans="2:5" s="4671" customFormat="1">
      <c r="B126" s="4672"/>
      <c r="C126" s="4673"/>
      <c r="D126" s="4675"/>
      <c r="E126" s="4675"/>
    </row>
    <row r="127" spans="2:5" s="4671" customFormat="1">
      <c r="B127" s="4672"/>
      <c r="C127" s="4673"/>
      <c r="D127" s="4675"/>
      <c r="E127" s="4675"/>
    </row>
    <row r="128" spans="2:5" s="4671" customFormat="1">
      <c r="B128" s="4672"/>
      <c r="C128" s="4673"/>
      <c r="D128" s="4675"/>
      <c r="E128" s="4675"/>
    </row>
    <row r="129" spans="2:5" s="4671" customFormat="1">
      <c r="B129" s="4672"/>
      <c r="C129" s="4673"/>
      <c r="D129" s="4675"/>
      <c r="E129" s="4675"/>
    </row>
    <row r="130" spans="2:5" s="4671" customFormat="1">
      <c r="B130" s="4672"/>
      <c r="C130" s="4673"/>
      <c r="D130" s="4675"/>
      <c r="E130" s="4675"/>
    </row>
    <row r="131" spans="2:5" s="4671" customFormat="1">
      <c r="B131" s="4672"/>
      <c r="C131" s="4673"/>
      <c r="D131" s="4675"/>
      <c r="E131" s="4675"/>
    </row>
    <row r="132" spans="2:5" s="4671" customFormat="1">
      <c r="B132" s="4672"/>
      <c r="C132" s="4673"/>
      <c r="D132" s="4675"/>
      <c r="E132" s="4675"/>
    </row>
    <row r="133" spans="2:5" s="4671" customFormat="1">
      <c r="B133" s="4672"/>
      <c r="C133" s="4673"/>
      <c r="D133" s="4675"/>
      <c r="E133" s="4675"/>
    </row>
    <row r="134" spans="2:5" s="4671" customFormat="1">
      <c r="B134" s="4672"/>
      <c r="C134" s="4673"/>
      <c r="D134" s="4675"/>
      <c r="E134" s="4675"/>
    </row>
    <row r="135" spans="2:5" s="4671" customFormat="1">
      <c r="B135" s="4672"/>
      <c r="C135" s="4673"/>
      <c r="D135" s="4675"/>
      <c r="E135" s="4675"/>
    </row>
    <row r="136" spans="2:5" s="4671" customFormat="1">
      <c r="B136" s="4672"/>
      <c r="C136" s="4673"/>
      <c r="D136" s="4675"/>
      <c r="E136" s="4675"/>
    </row>
    <row r="137" spans="2:5" s="4671" customFormat="1">
      <c r="B137" s="4672"/>
      <c r="C137" s="4673"/>
      <c r="D137" s="4675"/>
      <c r="E137" s="4675"/>
    </row>
    <row r="138" spans="2:5" s="4671" customFormat="1">
      <c r="B138" s="4672"/>
      <c r="C138" s="4673"/>
      <c r="D138" s="4675"/>
      <c r="E138" s="4675"/>
    </row>
    <row r="139" spans="2:5" s="4671" customFormat="1">
      <c r="B139" s="4672"/>
      <c r="C139" s="4673"/>
      <c r="D139" s="4675"/>
      <c r="E139" s="4675"/>
    </row>
    <row r="140" spans="2:5" s="4671" customFormat="1">
      <c r="B140" s="4672"/>
      <c r="C140" s="4673"/>
      <c r="D140" s="4675"/>
      <c r="E140" s="4675"/>
    </row>
    <row r="141" spans="2:5" s="4671" customFormat="1">
      <c r="B141" s="4672"/>
      <c r="C141" s="4673"/>
      <c r="D141" s="4675"/>
      <c r="E141" s="4675"/>
    </row>
    <row r="142" spans="2:5" s="4671" customFormat="1">
      <c r="B142" s="4672"/>
      <c r="C142" s="4673"/>
      <c r="D142" s="4675"/>
      <c r="E142" s="4675"/>
    </row>
    <row r="143" spans="2:5" s="4671" customFormat="1">
      <c r="B143" s="4672"/>
      <c r="C143" s="4673"/>
      <c r="D143" s="4675"/>
      <c r="E143" s="4675"/>
    </row>
    <row r="144" spans="2:5" s="4671" customFormat="1">
      <c r="B144" s="4672"/>
      <c r="C144" s="4673"/>
      <c r="D144" s="4675"/>
      <c r="E144" s="4675"/>
    </row>
    <row r="145" spans="2:9" s="4671" customFormat="1">
      <c r="B145" s="4672"/>
      <c r="C145" s="4673"/>
      <c r="D145" s="4675"/>
      <c r="E145" s="4675"/>
    </row>
    <row r="146" spans="2:9" s="4671" customFormat="1">
      <c r="B146" s="4672"/>
      <c r="C146" s="4673"/>
      <c r="D146" s="4675"/>
      <c r="E146" s="4675"/>
    </row>
    <row r="147" spans="2:9" s="4671" customFormat="1">
      <c r="B147" s="4672"/>
      <c r="C147" s="4673"/>
      <c r="D147" s="4675"/>
      <c r="E147" s="4675"/>
    </row>
    <row r="148" spans="2:9" s="4671" customFormat="1">
      <c r="B148" s="4672"/>
      <c r="C148" s="4673"/>
      <c r="D148" s="4675"/>
      <c r="E148" s="4675"/>
    </row>
    <row r="149" spans="2:9" s="4671" customFormat="1">
      <c r="B149" s="4672"/>
      <c r="C149" s="4673"/>
      <c r="D149" s="4675"/>
      <c r="E149" s="4675"/>
    </row>
    <row r="150" spans="2:9" s="4671" customFormat="1">
      <c r="B150" s="4672"/>
      <c r="C150" s="4673"/>
      <c r="D150" s="4675"/>
      <c r="E150" s="4675"/>
    </row>
    <row r="151" spans="2:9" s="4671" customFormat="1">
      <c r="B151" s="4672"/>
      <c r="C151" s="4673"/>
      <c r="D151" s="4675"/>
      <c r="E151" s="4675"/>
    </row>
    <row r="152" spans="2:9" s="4671" customFormat="1">
      <c r="B152" s="4672"/>
      <c r="C152" s="4673"/>
      <c r="D152" s="4675"/>
      <c r="E152" s="4675"/>
    </row>
    <row r="153" spans="2:9" s="4671" customFormat="1">
      <c r="B153" s="4672"/>
      <c r="C153" s="4673"/>
      <c r="D153" s="4675"/>
      <c r="E153" s="4675"/>
    </row>
    <row r="154" spans="2:9" s="4671" customFormat="1">
      <c r="B154" s="4672"/>
      <c r="C154" s="4673"/>
      <c r="D154" s="4675"/>
      <c r="E154" s="4675"/>
    </row>
    <row r="155" spans="2:9" s="4671" customFormat="1">
      <c r="B155" s="4672"/>
      <c r="C155" s="4673"/>
      <c r="D155" s="4675"/>
      <c r="E155" s="4675"/>
    </row>
    <row r="156" spans="2:9" s="4671" customFormat="1">
      <c r="B156" s="4672"/>
      <c r="C156" s="4673"/>
      <c r="D156" s="4675"/>
      <c r="E156" s="4675"/>
    </row>
    <row r="157" spans="2:9" s="4671" customFormat="1">
      <c r="B157" s="4672"/>
      <c r="C157" s="4673"/>
      <c r="D157" s="4675"/>
      <c r="E157" s="4675"/>
      <c r="I157" s="4671">
        <v>27030</v>
      </c>
    </row>
    <row r="158" spans="2:9" s="4671" customFormat="1">
      <c r="B158" s="4672"/>
      <c r="C158" s="4673"/>
      <c r="D158" s="4675"/>
      <c r="E158" s="4675"/>
    </row>
    <row r="159" spans="2:9" s="4671" customFormat="1">
      <c r="B159" s="4672"/>
      <c r="C159" s="4673"/>
      <c r="D159" s="4675"/>
      <c r="E159" s="4675"/>
    </row>
    <row r="160" spans="2:9" s="4671" customFormat="1">
      <c r="B160" s="4672"/>
      <c r="C160" s="4673"/>
      <c r="D160" s="4675"/>
      <c r="E160" s="4675"/>
    </row>
    <row r="161" spans="2:9" s="4671" customFormat="1">
      <c r="B161" s="4672"/>
      <c r="C161" s="4673"/>
      <c r="D161" s="4675"/>
      <c r="E161" s="4675"/>
    </row>
    <row r="162" spans="2:9" s="4671" customFormat="1">
      <c r="B162" s="4672"/>
      <c r="C162" s="4673"/>
      <c r="D162" s="4675"/>
      <c r="E162" s="4675"/>
    </row>
    <row r="163" spans="2:9" s="4671" customFormat="1">
      <c r="B163" s="4672"/>
      <c r="C163" s="4673"/>
      <c r="D163" s="4675"/>
      <c r="E163" s="4675"/>
    </row>
    <row r="164" spans="2:9" s="4671" customFormat="1">
      <c r="B164" s="4672"/>
      <c r="C164" s="4673"/>
      <c r="D164" s="4675"/>
      <c r="E164" s="4675"/>
    </row>
    <row r="165" spans="2:9" s="4671" customFormat="1">
      <c r="B165" s="4672"/>
      <c r="C165" s="4673"/>
      <c r="D165" s="4675"/>
      <c r="E165" s="4675"/>
    </row>
    <row r="166" spans="2:9" s="4671" customFormat="1">
      <c r="B166" s="4672"/>
      <c r="C166" s="4673"/>
      <c r="D166" s="4675"/>
      <c r="E166" s="4675"/>
    </row>
    <row r="167" spans="2:9" s="4671" customFormat="1">
      <c r="B167" s="4672"/>
      <c r="C167" s="4673"/>
      <c r="D167" s="4675"/>
      <c r="E167" s="4675"/>
    </row>
    <row r="168" spans="2:9" s="4671" customFormat="1">
      <c r="B168" s="4672"/>
      <c r="C168" s="4673"/>
      <c r="D168" s="4675"/>
      <c r="E168" s="4675"/>
    </row>
    <row r="169" spans="2:9" s="4671" customFormat="1">
      <c r="B169" s="4672"/>
      <c r="C169" s="4673"/>
      <c r="D169" s="4675"/>
      <c r="E169" s="4675"/>
    </row>
    <row r="170" spans="2:9" s="4671" customFormat="1">
      <c r="B170" s="4672"/>
      <c r="C170" s="4673"/>
      <c r="D170" s="4675"/>
      <c r="E170" s="4675"/>
    </row>
    <row r="171" spans="2:9" s="4671" customFormat="1">
      <c r="B171" s="4672"/>
      <c r="C171" s="4673"/>
      <c r="D171" s="4675"/>
      <c r="E171" s="4675"/>
    </row>
    <row r="172" spans="2:9" s="4671" customFormat="1">
      <c r="B172" s="4672"/>
      <c r="C172" s="4673"/>
      <c r="D172" s="4675"/>
      <c r="E172" s="4675"/>
    </row>
    <row r="173" spans="2:9" s="4671" customFormat="1">
      <c r="B173" s="4672"/>
      <c r="C173" s="4673"/>
      <c r="D173" s="4675"/>
      <c r="E173" s="4675"/>
      <c r="I173" s="4671">
        <v>84182</v>
      </c>
    </row>
    <row r="174" spans="2:9" s="4671" customFormat="1">
      <c r="B174" s="4672"/>
      <c r="C174" s="4673"/>
      <c r="D174" s="4675"/>
      <c r="E174" s="4675"/>
    </row>
    <row r="175" spans="2:9" s="4671" customFormat="1">
      <c r="B175" s="4672"/>
      <c r="C175" s="4673"/>
      <c r="D175" s="4675"/>
      <c r="E175" s="4675"/>
    </row>
    <row r="176" spans="2:9" s="4671" customFormat="1">
      <c r="B176" s="4672"/>
      <c r="C176" s="4673"/>
      <c r="D176" s="4675"/>
      <c r="E176" s="4675"/>
    </row>
    <row r="177" spans="2:5" s="4671" customFormat="1">
      <c r="B177" s="4672"/>
      <c r="C177" s="4673"/>
      <c r="D177" s="4675"/>
      <c r="E177" s="4675"/>
    </row>
  </sheetData>
  <mergeCells count="8">
    <mergeCell ref="K13:L13"/>
    <mergeCell ref="D16:D18"/>
    <mergeCell ref="D19:D21"/>
    <mergeCell ref="D22:D23"/>
    <mergeCell ref="B25:D25"/>
    <mergeCell ref="A2:D2"/>
    <mergeCell ref="A3:D3"/>
    <mergeCell ref="D10:D12"/>
  </mergeCells>
  <hyperlinks>
    <hyperlink ref="A5" location="'Danh mục file'!A1" display="ST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65"/>
  <sheetViews>
    <sheetView workbookViewId="0">
      <selection activeCell="A4" sqref="A4:A5"/>
    </sheetView>
  </sheetViews>
  <sheetFormatPr defaultRowHeight="17.399999999999999"/>
  <cols>
    <col min="1" max="1" width="6.44140625" style="4734" bestFit="1" customWidth="1"/>
    <col min="2" max="2" width="43.5546875" style="4727" customWidth="1"/>
    <col min="3" max="3" width="10.88671875" style="4727" customWidth="1"/>
    <col min="4" max="4" width="12.88671875" style="4727" customWidth="1"/>
    <col min="5" max="5" width="12" style="4727" customWidth="1"/>
    <col min="6" max="6" width="16.5546875" style="4727" customWidth="1"/>
    <col min="7" max="7" width="12.6640625" style="4727" customWidth="1"/>
    <col min="8" max="8" width="12.109375" style="4727" customWidth="1"/>
    <col min="9" max="10" width="11.44140625" style="4727" bestFit="1" customWidth="1"/>
    <col min="11" max="256" width="9.109375" style="4727"/>
    <col min="257" max="257" width="6.44140625" style="4727" bestFit="1" customWidth="1"/>
    <col min="258" max="258" width="43.5546875" style="4727" customWidth="1"/>
    <col min="259" max="259" width="10.88671875" style="4727" customWidth="1"/>
    <col min="260" max="260" width="12.88671875" style="4727" customWidth="1"/>
    <col min="261" max="261" width="12" style="4727" customWidth="1"/>
    <col min="262" max="262" width="16.5546875" style="4727" customWidth="1"/>
    <col min="263" max="263" width="12.6640625" style="4727" customWidth="1"/>
    <col min="264" max="264" width="12.109375" style="4727" customWidth="1"/>
    <col min="265" max="265" width="12.5546875" style="4727" customWidth="1"/>
    <col min="266" max="512" width="9.109375" style="4727"/>
    <col min="513" max="513" width="6.44140625" style="4727" bestFit="1" customWidth="1"/>
    <col min="514" max="514" width="43.5546875" style="4727" customWidth="1"/>
    <col min="515" max="515" width="10.88671875" style="4727" customWidth="1"/>
    <col min="516" max="516" width="12.88671875" style="4727" customWidth="1"/>
    <col min="517" max="517" width="12" style="4727" customWidth="1"/>
    <col min="518" max="518" width="16.5546875" style="4727" customWidth="1"/>
    <col min="519" max="519" width="12.6640625" style="4727" customWidth="1"/>
    <col min="520" max="520" width="12.109375" style="4727" customWidth="1"/>
    <col min="521" max="521" width="12.5546875" style="4727" customWidth="1"/>
    <col min="522" max="768" width="9.109375" style="4727"/>
    <col min="769" max="769" width="6.44140625" style="4727" bestFit="1" customWidth="1"/>
    <col min="770" max="770" width="43.5546875" style="4727" customWidth="1"/>
    <col min="771" max="771" width="10.88671875" style="4727" customWidth="1"/>
    <col min="772" max="772" width="12.88671875" style="4727" customWidth="1"/>
    <col min="773" max="773" width="12" style="4727" customWidth="1"/>
    <col min="774" max="774" width="16.5546875" style="4727" customWidth="1"/>
    <col min="775" max="775" width="12.6640625" style="4727" customWidth="1"/>
    <col min="776" max="776" width="12.109375" style="4727" customWidth="1"/>
    <col min="777" max="777" width="12.5546875" style="4727" customWidth="1"/>
    <col min="778" max="1024" width="9.109375" style="4727"/>
    <col min="1025" max="1025" width="6.44140625" style="4727" bestFit="1" customWidth="1"/>
    <col min="1026" max="1026" width="43.5546875" style="4727" customWidth="1"/>
    <col min="1027" max="1027" width="10.88671875" style="4727" customWidth="1"/>
    <col min="1028" max="1028" width="12.88671875" style="4727" customWidth="1"/>
    <col min="1029" max="1029" width="12" style="4727" customWidth="1"/>
    <col min="1030" max="1030" width="16.5546875" style="4727" customWidth="1"/>
    <col min="1031" max="1031" width="12.6640625" style="4727" customWidth="1"/>
    <col min="1032" max="1032" width="12.109375" style="4727" customWidth="1"/>
    <col min="1033" max="1033" width="12.5546875" style="4727" customWidth="1"/>
    <col min="1034" max="1280" width="9.109375" style="4727"/>
    <col min="1281" max="1281" width="6.44140625" style="4727" bestFit="1" customWidth="1"/>
    <col min="1282" max="1282" width="43.5546875" style="4727" customWidth="1"/>
    <col min="1283" max="1283" width="10.88671875" style="4727" customWidth="1"/>
    <col min="1284" max="1284" width="12.88671875" style="4727" customWidth="1"/>
    <col min="1285" max="1285" width="12" style="4727" customWidth="1"/>
    <col min="1286" max="1286" width="16.5546875" style="4727" customWidth="1"/>
    <col min="1287" max="1287" width="12.6640625" style="4727" customWidth="1"/>
    <col min="1288" max="1288" width="12.109375" style="4727" customWidth="1"/>
    <col min="1289" max="1289" width="12.5546875" style="4727" customWidth="1"/>
    <col min="1290" max="1536" width="9.109375" style="4727"/>
    <col min="1537" max="1537" width="6.44140625" style="4727" bestFit="1" customWidth="1"/>
    <col min="1538" max="1538" width="43.5546875" style="4727" customWidth="1"/>
    <col min="1539" max="1539" width="10.88671875" style="4727" customWidth="1"/>
    <col min="1540" max="1540" width="12.88671875" style="4727" customWidth="1"/>
    <col min="1541" max="1541" width="12" style="4727" customWidth="1"/>
    <col min="1542" max="1542" width="16.5546875" style="4727" customWidth="1"/>
    <col min="1543" max="1543" width="12.6640625" style="4727" customWidth="1"/>
    <col min="1544" max="1544" width="12.109375" style="4727" customWidth="1"/>
    <col min="1545" max="1545" width="12.5546875" style="4727" customWidth="1"/>
    <col min="1546" max="1792" width="9.109375" style="4727"/>
    <col min="1793" max="1793" width="6.44140625" style="4727" bestFit="1" customWidth="1"/>
    <col min="1794" max="1794" width="43.5546875" style="4727" customWidth="1"/>
    <col min="1795" max="1795" width="10.88671875" style="4727" customWidth="1"/>
    <col min="1796" max="1796" width="12.88671875" style="4727" customWidth="1"/>
    <col min="1797" max="1797" width="12" style="4727" customWidth="1"/>
    <col min="1798" max="1798" width="16.5546875" style="4727" customWidth="1"/>
    <col min="1799" max="1799" width="12.6640625" style="4727" customWidth="1"/>
    <col min="1800" max="1800" width="12.109375" style="4727" customWidth="1"/>
    <col min="1801" max="1801" width="12.5546875" style="4727" customWidth="1"/>
    <col min="1802" max="2048" width="9.109375" style="4727"/>
    <col min="2049" max="2049" width="6.44140625" style="4727" bestFit="1" customWidth="1"/>
    <col min="2050" max="2050" width="43.5546875" style="4727" customWidth="1"/>
    <col min="2051" max="2051" width="10.88671875" style="4727" customWidth="1"/>
    <col min="2052" max="2052" width="12.88671875" style="4727" customWidth="1"/>
    <col min="2053" max="2053" width="12" style="4727" customWidth="1"/>
    <col min="2054" max="2054" width="16.5546875" style="4727" customWidth="1"/>
    <col min="2055" max="2055" width="12.6640625" style="4727" customWidth="1"/>
    <col min="2056" max="2056" width="12.109375" style="4727" customWidth="1"/>
    <col min="2057" max="2057" width="12.5546875" style="4727" customWidth="1"/>
    <col min="2058" max="2304" width="9.109375" style="4727"/>
    <col min="2305" max="2305" width="6.44140625" style="4727" bestFit="1" customWidth="1"/>
    <col min="2306" max="2306" width="43.5546875" style="4727" customWidth="1"/>
    <col min="2307" max="2307" width="10.88671875" style="4727" customWidth="1"/>
    <col min="2308" max="2308" width="12.88671875" style="4727" customWidth="1"/>
    <col min="2309" max="2309" width="12" style="4727" customWidth="1"/>
    <col min="2310" max="2310" width="16.5546875" style="4727" customWidth="1"/>
    <col min="2311" max="2311" width="12.6640625" style="4727" customWidth="1"/>
    <col min="2312" max="2312" width="12.109375" style="4727" customWidth="1"/>
    <col min="2313" max="2313" width="12.5546875" style="4727" customWidth="1"/>
    <col min="2314" max="2560" width="9.109375" style="4727"/>
    <col min="2561" max="2561" width="6.44140625" style="4727" bestFit="1" customWidth="1"/>
    <col min="2562" max="2562" width="43.5546875" style="4727" customWidth="1"/>
    <col min="2563" max="2563" width="10.88671875" style="4727" customWidth="1"/>
    <col min="2564" max="2564" width="12.88671875" style="4727" customWidth="1"/>
    <col min="2565" max="2565" width="12" style="4727" customWidth="1"/>
    <col min="2566" max="2566" width="16.5546875" style="4727" customWidth="1"/>
    <col min="2567" max="2567" width="12.6640625" style="4727" customWidth="1"/>
    <col min="2568" max="2568" width="12.109375" style="4727" customWidth="1"/>
    <col min="2569" max="2569" width="12.5546875" style="4727" customWidth="1"/>
    <col min="2570" max="2816" width="9.109375" style="4727"/>
    <col min="2817" max="2817" width="6.44140625" style="4727" bestFit="1" customWidth="1"/>
    <col min="2818" max="2818" width="43.5546875" style="4727" customWidth="1"/>
    <col min="2819" max="2819" width="10.88671875" style="4727" customWidth="1"/>
    <col min="2820" max="2820" width="12.88671875" style="4727" customWidth="1"/>
    <col min="2821" max="2821" width="12" style="4727" customWidth="1"/>
    <col min="2822" max="2822" width="16.5546875" style="4727" customWidth="1"/>
    <col min="2823" max="2823" width="12.6640625" style="4727" customWidth="1"/>
    <col min="2824" max="2824" width="12.109375" style="4727" customWidth="1"/>
    <col min="2825" max="2825" width="12.5546875" style="4727" customWidth="1"/>
    <col min="2826" max="3072" width="9.109375" style="4727"/>
    <col min="3073" max="3073" width="6.44140625" style="4727" bestFit="1" customWidth="1"/>
    <col min="3074" max="3074" width="43.5546875" style="4727" customWidth="1"/>
    <col min="3075" max="3075" width="10.88671875" style="4727" customWidth="1"/>
    <col min="3076" max="3076" width="12.88671875" style="4727" customWidth="1"/>
    <col min="3077" max="3077" width="12" style="4727" customWidth="1"/>
    <col min="3078" max="3078" width="16.5546875" style="4727" customWidth="1"/>
    <col min="3079" max="3079" width="12.6640625" style="4727" customWidth="1"/>
    <col min="3080" max="3080" width="12.109375" style="4727" customWidth="1"/>
    <col min="3081" max="3081" width="12.5546875" style="4727" customWidth="1"/>
    <col min="3082" max="3328" width="9.109375" style="4727"/>
    <col min="3329" max="3329" width="6.44140625" style="4727" bestFit="1" customWidth="1"/>
    <col min="3330" max="3330" width="43.5546875" style="4727" customWidth="1"/>
    <col min="3331" max="3331" width="10.88671875" style="4727" customWidth="1"/>
    <col min="3332" max="3332" width="12.88671875" style="4727" customWidth="1"/>
    <col min="3333" max="3333" width="12" style="4727" customWidth="1"/>
    <col min="3334" max="3334" width="16.5546875" style="4727" customWidth="1"/>
    <col min="3335" max="3335" width="12.6640625" style="4727" customWidth="1"/>
    <col min="3336" max="3336" width="12.109375" style="4727" customWidth="1"/>
    <col min="3337" max="3337" width="12.5546875" style="4727" customWidth="1"/>
    <col min="3338" max="3584" width="9.109375" style="4727"/>
    <col min="3585" max="3585" width="6.44140625" style="4727" bestFit="1" customWidth="1"/>
    <col min="3586" max="3586" width="43.5546875" style="4727" customWidth="1"/>
    <col min="3587" max="3587" width="10.88671875" style="4727" customWidth="1"/>
    <col min="3588" max="3588" width="12.88671875" style="4727" customWidth="1"/>
    <col min="3589" max="3589" width="12" style="4727" customWidth="1"/>
    <col min="3590" max="3590" width="16.5546875" style="4727" customWidth="1"/>
    <col min="3591" max="3591" width="12.6640625" style="4727" customWidth="1"/>
    <col min="3592" max="3592" width="12.109375" style="4727" customWidth="1"/>
    <col min="3593" max="3593" width="12.5546875" style="4727" customWidth="1"/>
    <col min="3594" max="3840" width="9.109375" style="4727"/>
    <col min="3841" max="3841" width="6.44140625" style="4727" bestFit="1" customWidth="1"/>
    <col min="3842" max="3842" width="43.5546875" style="4727" customWidth="1"/>
    <col min="3843" max="3843" width="10.88671875" style="4727" customWidth="1"/>
    <col min="3844" max="3844" width="12.88671875" style="4727" customWidth="1"/>
    <col min="3845" max="3845" width="12" style="4727" customWidth="1"/>
    <col min="3846" max="3846" width="16.5546875" style="4727" customWidth="1"/>
    <col min="3847" max="3847" width="12.6640625" style="4727" customWidth="1"/>
    <col min="3848" max="3848" width="12.109375" style="4727" customWidth="1"/>
    <col min="3849" max="3849" width="12.5546875" style="4727" customWidth="1"/>
    <col min="3850" max="4096" width="9.109375" style="4727"/>
    <col min="4097" max="4097" width="6.44140625" style="4727" bestFit="1" customWidth="1"/>
    <col min="4098" max="4098" width="43.5546875" style="4727" customWidth="1"/>
    <col min="4099" max="4099" width="10.88671875" style="4727" customWidth="1"/>
    <col min="4100" max="4100" width="12.88671875" style="4727" customWidth="1"/>
    <col min="4101" max="4101" width="12" style="4727" customWidth="1"/>
    <col min="4102" max="4102" width="16.5546875" style="4727" customWidth="1"/>
    <col min="4103" max="4103" width="12.6640625" style="4727" customWidth="1"/>
    <col min="4104" max="4104" width="12.109375" style="4727" customWidth="1"/>
    <col min="4105" max="4105" width="12.5546875" style="4727" customWidth="1"/>
    <col min="4106" max="4352" width="9.109375" style="4727"/>
    <col min="4353" max="4353" width="6.44140625" style="4727" bestFit="1" customWidth="1"/>
    <col min="4354" max="4354" width="43.5546875" style="4727" customWidth="1"/>
    <col min="4355" max="4355" width="10.88671875" style="4727" customWidth="1"/>
    <col min="4356" max="4356" width="12.88671875" style="4727" customWidth="1"/>
    <col min="4357" max="4357" width="12" style="4727" customWidth="1"/>
    <col min="4358" max="4358" width="16.5546875" style="4727" customWidth="1"/>
    <col min="4359" max="4359" width="12.6640625" style="4727" customWidth="1"/>
    <col min="4360" max="4360" width="12.109375" style="4727" customWidth="1"/>
    <col min="4361" max="4361" width="12.5546875" style="4727" customWidth="1"/>
    <col min="4362" max="4608" width="9.109375" style="4727"/>
    <col min="4609" max="4609" width="6.44140625" style="4727" bestFit="1" customWidth="1"/>
    <col min="4610" max="4610" width="43.5546875" style="4727" customWidth="1"/>
    <col min="4611" max="4611" width="10.88671875" style="4727" customWidth="1"/>
    <col min="4612" max="4612" width="12.88671875" style="4727" customWidth="1"/>
    <col min="4613" max="4613" width="12" style="4727" customWidth="1"/>
    <col min="4614" max="4614" width="16.5546875" style="4727" customWidth="1"/>
    <col min="4615" max="4615" width="12.6640625" style="4727" customWidth="1"/>
    <col min="4616" max="4616" width="12.109375" style="4727" customWidth="1"/>
    <col min="4617" max="4617" width="12.5546875" style="4727" customWidth="1"/>
    <col min="4618" max="4864" width="9.109375" style="4727"/>
    <col min="4865" max="4865" width="6.44140625" style="4727" bestFit="1" customWidth="1"/>
    <col min="4866" max="4866" width="43.5546875" style="4727" customWidth="1"/>
    <col min="4867" max="4867" width="10.88671875" style="4727" customWidth="1"/>
    <col min="4868" max="4868" width="12.88671875" style="4727" customWidth="1"/>
    <col min="4869" max="4869" width="12" style="4727" customWidth="1"/>
    <col min="4870" max="4870" width="16.5546875" style="4727" customWidth="1"/>
    <col min="4871" max="4871" width="12.6640625" style="4727" customWidth="1"/>
    <col min="4872" max="4872" width="12.109375" style="4727" customWidth="1"/>
    <col min="4873" max="4873" width="12.5546875" style="4727" customWidth="1"/>
    <col min="4874" max="5120" width="9.109375" style="4727"/>
    <col min="5121" max="5121" width="6.44140625" style="4727" bestFit="1" customWidth="1"/>
    <col min="5122" max="5122" width="43.5546875" style="4727" customWidth="1"/>
    <col min="5123" max="5123" width="10.88671875" style="4727" customWidth="1"/>
    <col min="5124" max="5124" width="12.88671875" style="4727" customWidth="1"/>
    <col min="5125" max="5125" width="12" style="4727" customWidth="1"/>
    <col min="5126" max="5126" width="16.5546875" style="4727" customWidth="1"/>
    <col min="5127" max="5127" width="12.6640625" style="4727" customWidth="1"/>
    <col min="5128" max="5128" width="12.109375" style="4727" customWidth="1"/>
    <col min="5129" max="5129" width="12.5546875" style="4727" customWidth="1"/>
    <col min="5130" max="5376" width="9.109375" style="4727"/>
    <col min="5377" max="5377" width="6.44140625" style="4727" bestFit="1" customWidth="1"/>
    <col min="5378" max="5378" width="43.5546875" style="4727" customWidth="1"/>
    <col min="5379" max="5379" width="10.88671875" style="4727" customWidth="1"/>
    <col min="5380" max="5380" width="12.88671875" style="4727" customWidth="1"/>
    <col min="5381" max="5381" width="12" style="4727" customWidth="1"/>
    <col min="5382" max="5382" width="16.5546875" style="4727" customWidth="1"/>
    <col min="5383" max="5383" width="12.6640625" style="4727" customWidth="1"/>
    <col min="5384" max="5384" width="12.109375" style="4727" customWidth="1"/>
    <col min="5385" max="5385" width="12.5546875" style="4727" customWidth="1"/>
    <col min="5386" max="5632" width="9.109375" style="4727"/>
    <col min="5633" max="5633" width="6.44140625" style="4727" bestFit="1" customWidth="1"/>
    <col min="5634" max="5634" width="43.5546875" style="4727" customWidth="1"/>
    <col min="5635" max="5635" width="10.88671875" style="4727" customWidth="1"/>
    <col min="5636" max="5636" width="12.88671875" style="4727" customWidth="1"/>
    <col min="5637" max="5637" width="12" style="4727" customWidth="1"/>
    <col min="5638" max="5638" width="16.5546875" style="4727" customWidth="1"/>
    <col min="5639" max="5639" width="12.6640625" style="4727" customWidth="1"/>
    <col min="5640" max="5640" width="12.109375" style="4727" customWidth="1"/>
    <col min="5641" max="5641" width="12.5546875" style="4727" customWidth="1"/>
    <col min="5642" max="5888" width="9.109375" style="4727"/>
    <col min="5889" max="5889" width="6.44140625" style="4727" bestFit="1" customWidth="1"/>
    <col min="5890" max="5890" width="43.5546875" style="4727" customWidth="1"/>
    <col min="5891" max="5891" width="10.88671875" style="4727" customWidth="1"/>
    <col min="5892" max="5892" width="12.88671875" style="4727" customWidth="1"/>
    <col min="5893" max="5893" width="12" style="4727" customWidth="1"/>
    <col min="5894" max="5894" width="16.5546875" style="4727" customWidth="1"/>
    <col min="5895" max="5895" width="12.6640625" style="4727" customWidth="1"/>
    <col min="5896" max="5896" width="12.109375" style="4727" customWidth="1"/>
    <col min="5897" max="5897" width="12.5546875" style="4727" customWidth="1"/>
    <col min="5898" max="6144" width="9.109375" style="4727"/>
    <col min="6145" max="6145" width="6.44140625" style="4727" bestFit="1" customWidth="1"/>
    <col min="6146" max="6146" width="43.5546875" style="4727" customWidth="1"/>
    <col min="6147" max="6147" width="10.88671875" style="4727" customWidth="1"/>
    <col min="6148" max="6148" width="12.88671875" style="4727" customWidth="1"/>
    <col min="6149" max="6149" width="12" style="4727" customWidth="1"/>
    <col min="6150" max="6150" width="16.5546875" style="4727" customWidth="1"/>
    <col min="6151" max="6151" width="12.6640625" style="4727" customWidth="1"/>
    <col min="6152" max="6152" width="12.109375" style="4727" customWidth="1"/>
    <col min="6153" max="6153" width="12.5546875" style="4727" customWidth="1"/>
    <col min="6154" max="6400" width="9.109375" style="4727"/>
    <col min="6401" max="6401" width="6.44140625" style="4727" bestFit="1" customWidth="1"/>
    <col min="6402" max="6402" width="43.5546875" style="4727" customWidth="1"/>
    <col min="6403" max="6403" width="10.88671875" style="4727" customWidth="1"/>
    <col min="6404" max="6404" width="12.88671875" style="4727" customWidth="1"/>
    <col min="6405" max="6405" width="12" style="4727" customWidth="1"/>
    <col min="6406" max="6406" width="16.5546875" style="4727" customWidth="1"/>
    <col min="6407" max="6407" width="12.6640625" style="4727" customWidth="1"/>
    <col min="6408" max="6408" width="12.109375" style="4727" customWidth="1"/>
    <col min="6409" max="6409" width="12.5546875" style="4727" customWidth="1"/>
    <col min="6410" max="6656" width="9.109375" style="4727"/>
    <col min="6657" max="6657" width="6.44140625" style="4727" bestFit="1" customWidth="1"/>
    <col min="6658" max="6658" width="43.5546875" style="4727" customWidth="1"/>
    <col min="6659" max="6659" width="10.88671875" style="4727" customWidth="1"/>
    <col min="6660" max="6660" width="12.88671875" style="4727" customWidth="1"/>
    <col min="6661" max="6661" width="12" style="4727" customWidth="1"/>
    <col min="6662" max="6662" width="16.5546875" style="4727" customWidth="1"/>
    <col min="6663" max="6663" width="12.6640625" style="4727" customWidth="1"/>
    <col min="6664" max="6664" width="12.109375" style="4727" customWidth="1"/>
    <col min="6665" max="6665" width="12.5546875" style="4727" customWidth="1"/>
    <col min="6666" max="6912" width="9.109375" style="4727"/>
    <col min="6913" max="6913" width="6.44140625" style="4727" bestFit="1" customWidth="1"/>
    <col min="6914" max="6914" width="43.5546875" style="4727" customWidth="1"/>
    <col min="6915" max="6915" width="10.88671875" style="4727" customWidth="1"/>
    <col min="6916" max="6916" width="12.88671875" style="4727" customWidth="1"/>
    <col min="6917" max="6917" width="12" style="4727" customWidth="1"/>
    <col min="6918" max="6918" width="16.5546875" style="4727" customWidth="1"/>
    <col min="6919" max="6919" width="12.6640625" style="4727" customWidth="1"/>
    <col min="6920" max="6920" width="12.109375" style="4727" customWidth="1"/>
    <col min="6921" max="6921" width="12.5546875" style="4727" customWidth="1"/>
    <col min="6922" max="7168" width="9.109375" style="4727"/>
    <col min="7169" max="7169" width="6.44140625" style="4727" bestFit="1" customWidth="1"/>
    <col min="7170" max="7170" width="43.5546875" style="4727" customWidth="1"/>
    <col min="7171" max="7171" width="10.88671875" style="4727" customWidth="1"/>
    <col min="7172" max="7172" width="12.88671875" style="4727" customWidth="1"/>
    <col min="7173" max="7173" width="12" style="4727" customWidth="1"/>
    <col min="7174" max="7174" width="16.5546875" style="4727" customWidth="1"/>
    <col min="7175" max="7175" width="12.6640625" style="4727" customWidth="1"/>
    <col min="7176" max="7176" width="12.109375" style="4727" customWidth="1"/>
    <col min="7177" max="7177" width="12.5546875" style="4727" customWidth="1"/>
    <col min="7178" max="7424" width="9.109375" style="4727"/>
    <col min="7425" max="7425" width="6.44140625" style="4727" bestFit="1" customWidth="1"/>
    <col min="7426" max="7426" width="43.5546875" style="4727" customWidth="1"/>
    <col min="7427" max="7427" width="10.88671875" style="4727" customWidth="1"/>
    <col min="7428" max="7428" width="12.88671875" style="4727" customWidth="1"/>
    <col min="7429" max="7429" width="12" style="4727" customWidth="1"/>
    <col min="7430" max="7430" width="16.5546875" style="4727" customWidth="1"/>
    <col min="7431" max="7431" width="12.6640625" style="4727" customWidth="1"/>
    <col min="7432" max="7432" width="12.109375" style="4727" customWidth="1"/>
    <col min="7433" max="7433" width="12.5546875" style="4727" customWidth="1"/>
    <col min="7434" max="7680" width="9.109375" style="4727"/>
    <col min="7681" max="7681" width="6.44140625" style="4727" bestFit="1" customWidth="1"/>
    <col min="7682" max="7682" width="43.5546875" style="4727" customWidth="1"/>
    <col min="7683" max="7683" width="10.88671875" style="4727" customWidth="1"/>
    <col min="7684" max="7684" width="12.88671875" style="4727" customWidth="1"/>
    <col min="7685" max="7685" width="12" style="4727" customWidth="1"/>
    <col min="7686" max="7686" width="16.5546875" style="4727" customWidth="1"/>
    <col min="7687" max="7687" width="12.6640625" style="4727" customWidth="1"/>
    <col min="7688" max="7688" width="12.109375" style="4727" customWidth="1"/>
    <col min="7689" max="7689" width="12.5546875" style="4727" customWidth="1"/>
    <col min="7690" max="7936" width="9.109375" style="4727"/>
    <col min="7937" max="7937" width="6.44140625" style="4727" bestFit="1" customWidth="1"/>
    <col min="7938" max="7938" width="43.5546875" style="4727" customWidth="1"/>
    <col min="7939" max="7939" width="10.88671875" style="4727" customWidth="1"/>
    <col min="7940" max="7940" width="12.88671875" style="4727" customWidth="1"/>
    <col min="7941" max="7941" width="12" style="4727" customWidth="1"/>
    <col min="7942" max="7942" width="16.5546875" style="4727" customWidth="1"/>
    <col min="7943" max="7943" width="12.6640625" style="4727" customWidth="1"/>
    <col min="7944" max="7944" width="12.109375" style="4727" customWidth="1"/>
    <col min="7945" max="7945" width="12.5546875" style="4727" customWidth="1"/>
    <col min="7946" max="8192" width="9.109375" style="4727"/>
    <col min="8193" max="8193" width="6.44140625" style="4727" bestFit="1" customWidth="1"/>
    <col min="8194" max="8194" width="43.5546875" style="4727" customWidth="1"/>
    <col min="8195" max="8195" width="10.88671875" style="4727" customWidth="1"/>
    <col min="8196" max="8196" width="12.88671875" style="4727" customWidth="1"/>
    <col min="8197" max="8197" width="12" style="4727" customWidth="1"/>
    <col min="8198" max="8198" width="16.5546875" style="4727" customWidth="1"/>
    <col min="8199" max="8199" width="12.6640625" style="4727" customWidth="1"/>
    <col min="8200" max="8200" width="12.109375" style="4727" customWidth="1"/>
    <col min="8201" max="8201" width="12.5546875" style="4727" customWidth="1"/>
    <col min="8202" max="8448" width="9.109375" style="4727"/>
    <col min="8449" max="8449" width="6.44140625" style="4727" bestFit="1" customWidth="1"/>
    <col min="8450" max="8450" width="43.5546875" style="4727" customWidth="1"/>
    <col min="8451" max="8451" width="10.88671875" style="4727" customWidth="1"/>
    <col min="8452" max="8452" width="12.88671875" style="4727" customWidth="1"/>
    <col min="8453" max="8453" width="12" style="4727" customWidth="1"/>
    <col min="8454" max="8454" width="16.5546875" style="4727" customWidth="1"/>
    <col min="8455" max="8455" width="12.6640625" style="4727" customWidth="1"/>
    <col min="8456" max="8456" width="12.109375" style="4727" customWidth="1"/>
    <col min="8457" max="8457" width="12.5546875" style="4727" customWidth="1"/>
    <col min="8458" max="8704" width="9.109375" style="4727"/>
    <col min="8705" max="8705" width="6.44140625" style="4727" bestFit="1" customWidth="1"/>
    <col min="8706" max="8706" width="43.5546875" style="4727" customWidth="1"/>
    <col min="8707" max="8707" width="10.88671875" style="4727" customWidth="1"/>
    <col min="8708" max="8708" width="12.88671875" style="4727" customWidth="1"/>
    <col min="8709" max="8709" width="12" style="4727" customWidth="1"/>
    <col min="8710" max="8710" width="16.5546875" style="4727" customWidth="1"/>
    <col min="8711" max="8711" width="12.6640625" style="4727" customWidth="1"/>
    <col min="8712" max="8712" width="12.109375" style="4727" customWidth="1"/>
    <col min="8713" max="8713" width="12.5546875" style="4727" customWidth="1"/>
    <col min="8714" max="8960" width="9.109375" style="4727"/>
    <col min="8961" max="8961" width="6.44140625" style="4727" bestFit="1" customWidth="1"/>
    <col min="8962" max="8962" width="43.5546875" style="4727" customWidth="1"/>
    <col min="8963" max="8963" width="10.88671875" style="4727" customWidth="1"/>
    <col min="8964" max="8964" width="12.88671875" style="4727" customWidth="1"/>
    <col min="8965" max="8965" width="12" style="4727" customWidth="1"/>
    <col min="8966" max="8966" width="16.5546875" style="4727" customWidth="1"/>
    <col min="8967" max="8967" width="12.6640625" style="4727" customWidth="1"/>
    <col min="8968" max="8968" width="12.109375" style="4727" customWidth="1"/>
    <col min="8969" max="8969" width="12.5546875" style="4727" customWidth="1"/>
    <col min="8970" max="9216" width="9.109375" style="4727"/>
    <col min="9217" max="9217" width="6.44140625" style="4727" bestFit="1" customWidth="1"/>
    <col min="9218" max="9218" width="43.5546875" style="4727" customWidth="1"/>
    <col min="9219" max="9219" width="10.88671875" style="4727" customWidth="1"/>
    <col min="9220" max="9220" width="12.88671875" style="4727" customWidth="1"/>
    <col min="9221" max="9221" width="12" style="4727" customWidth="1"/>
    <col min="9222" max="9222" width="16.5546875" style="4727" customWidth="1"/>
    <col min="9223" max="9223" width="12.6640625" style="4727" customWidth="1"/>
    <col min="9224" max="9224" width="12.109375" style="4727" customWidth="1"/>
    <col min="9225" max="9225" width="12.5546875" style="4727" customWidth="1"/>
    <col min="9226" max="9472" width="9.109375" style="4727"/>
    <col min="9473" max="9473" width="6.44140625" style="4727" bestFit="1" customWidth="1"/>
    <col min="9474" max="9474" width="43.5546875" style="4727" customWidth="1"/>
    <col min="9475" max="9475" width="10.88671875" style="4727" customWidth="1"/>
    <col min="9476" max="9476" width="12.88671875" style="4727" customWidth="1"/>
    <col min="9477" max="9477" width="12" style="4727" customWidth="1"/>
    <col min="9478" max="9478" width="16.5546875" style="4727" customWidth="1"/>
    <col min="9479" max="9479" width="12.6640625" style="4727" customWidth="1"/>
    <col min="9480" max="9480" width="12.109375" style="4727" customWidth="1"/>
    <col min="9481" max="9481" width="12.5546875" style="4727" customWidth="1"/>
    <col min="9482" max="9728" width="9.109375" style="4727"/>
    <col min="9729" max="9729" width="6.44140625" style="4727" bestFit="1" customWidth="1"/>
    <col min="9730" max="9730" width="43.5546875" style="4727" customWidth="1"/>
    <col min="9731" max="9731" width="10.88671875" style="4727" customWidth="1"/>
    <col min="9732" max="9732" width="12.88671875" style="4727" customWidth="1"/>
    <col min="9733" max="9733" width="12" style="4727" customWidth="1"/>
    <col min="9734" max="9734" width="16.5546875" style="4727" customWidth="1"/>
    <col min="9735" max="9735" width="12.6640625" style="4727" customWidth="1"/>
    <col min="9736" max="9736" width="12.109375" style="4727" customWidth="1"/>
    <col min="9737" max="9737" width="12.5546875" style="4727" customWidth="1"/>
    <col min="9738" max="9984" width="9.109375" style="4727"/>
    <col min="9985" max="9985" width="6.44140625" style="4727" bestFit="1" customWidth="1"/>
    <col min="9986" max="9986" width="43.5546875" style="4727" customWidth="1"/>
    <col min="9987" max="9987" width="10.88671875" style="4727" customWidth="1"/>
    <col min="9988" max="9988" width="12.88671875" style="4727" customWidth="1"/>
    <col min="9989" max="9989" width="12" style="4727" customWidth="1"/>
    <col min="9990" max="9990" width="16.5546875" style="4727" customWidth="1"/>
    <col min="9991" max="9991" width="12.6640625" style="4727" customWidth="1"/>
    <col min="9992" max="9992" width="12.109375" style="4727" customWidth="1"/>
    <col min="9993" max="9993" width="12.5546875" style="4727" customWidth="1"/>
    <col min="9994" max="10240" width="9.109375" style="4727"/>
    <col min="10241" max="10241" width="6.44140625" style="4727" bestFit="1" customWidth="1"/>
    <col min="10242" max="10242" width="43.5546875" style="4727" customWidth="1"/>
    <col min="10243" max="10243" width="10.88671875" style="4727" customWidth="1"/>
    <col min="10244" max="10244" width="12.88671875" style="4727" customWidth="1"/>
    <col min="10245" max="10245" width="12" style="4727" customWidth="1"/>
    <col min="10246" max="10246" width="16.5546875" style="4727" customWidth="1"/>
    <col min="10247" max="10247" width="12.6640625" style="4727" customWidth="1"/>
    <col min="10248" max="10248" width="12.109375" style="4727" customWidth="1"/>
    <col min="10249" max="10249" width="12.5546875" style="4727" customWidth="1"/>
    <col min="10250" max="10496" width="9.109375" style="4727"/>
    <col min="10497" max="10497" width="6.44140625" style="4727" bestFit="1" customWidth="1"/>
    <col min="10498" max="10498" width="43.5546875" style="4727" customWidth="1"/>
    <col min="10499" max="10499" width="10.88671875" style="4727" customWidth="1"/>
    <col min="10500" max="10500" width="12.88671875" style="4727" customWidth="1"/>
    <col min="10501" max="10501" width="12" style="4727" customWidth="1"/>
    <col min="10502" max="10502" width="16.5546875" style="4727" customWidth="1"/>
    <col min="10503" max="10503" width="12.6640625" style="4727" customWidth="1"/>
    <col min="10504" max="10504" width="12.109375" style="4727" customWidth="1"/>
    <col min="10505" max="10505" width="12.5546875" style="4727" customWidth="1"/>
    <col min="10506" max="10752" width="9.109375" style="4727"/>
    <col min="10753" max="10753" width="6.44140625" style="4727" bestFit="1" customWidth="1"/>
    <col min="10754" max="10754" width="43.5546875" style="4727" customWidth="1"/>
    <col min="10755" max="10755" width="10.88671875" style="4727" customWidth="1"/>
    <col min="10756" max="10756" width="12.88671875" style="4727" customWidth="1"/>
    <col min="10757" max="10757" width="12" style="4727" customWidth="1"/>
    <col min="10758" max="10758" width="16.5546875" style="4727" customWidth="1"/>
    <col min="10759" max="10759" width="12.6640625" style="4727" customWidth="1"/>
    <col min="10760" max="10760" width="12.109375" style="4727" customWidth="1"/>
    <col min="10761" max="10761" width="12.5546875" style="4727" customWidth="1"/>
    <col min="10762" max="11008" width="9.109375" style="4727"/>
    <col min="11009" max="11009" width="6.44140625" style="4727" bestFit="1" customWidth="1"/>
    <col min="11010" max="11010" width="43.5546875" style="4727" customWidth="1"/>
    <col min="11011" max="11011" width="10.88671875" style="4727" customWidth="1"/>
    <col min="11012" max="11012" width="12.88671875" style="4727" customWidth="1"/>
    <col min="11013" max="11013" width="12" style="4727" customWidth="1"/>
    <col min="11014" max="11014" width="16.5546875" style="4727" customWidth="1"/>
    <col min="11015" max="11015" width="12.6640625" style="4727" customWidth="1"/>
    <col min="11016" max="11016" width="12.109375" style="4727" customWidth="1"/>
    <col min="11017" max="11017" width="12.5546875" style="4727" customWidth="1"/>
    <col min="11018" max="11264" width="9.109375" style="4727"/>
    <col min="11265" max="11265" width="6.44140625" style="4727" bestFit="1" customWidth="1"/>
    <col min="11266" max="11266" width="43.5546875" style="4727" customWidth="1"/>
    <col min="11267" max="11267" width="10.88671875" style="4727" customWidth="1"/>
    <col min="11268" max="11268" width="12.88671875" style="4727" customWidth="1"/>
    <col min="11269" max="11269" width="12" style="4727" customWidth="1"/>
    <col min="11270" max="11270" width="16.5546875" style="4727" customWidth="1"/>
    <col min="11271" max="11271" width="12.6640625" style="4727" customWidth="1"/>
    <col min="11272" max="11272" width="12.109375" style="4727" customWidth="1"/>
    <col min="11273" max="11273" width="12.5546875" style="4727" customWidth="1"/>
    <col min="11274" max="11520" width="9.109375" style="4727"/>
    <col min="11521" max="11521" width="6.44140625" style="4727" bestFit="1" customWidth="1"/>
    <col min="11522" max="11522" width="43.5546875" style="4727" customWidth="1"/>
    <col min="11523" max="11523" width="10.88671875" style="4727" customWidth="1"/>
    <col min="11524" max="11524" width="12.88671875" style="4727" customWidth="1"/>
    <col min="11525" max="11525" width="12" style="4727" customWidth="1"/>
    <col min="11526" max="11526" width="16.5546875" style="4727" customWidth="1"/>
    <col min="11527" max="11527" width="12.6640625" style="4727" customWidth="1"/>
    <col min="11528" max="11528" width="12.109375" style="4727" customWidth="1"/>
    <col min="11529" max="11529" width="12.5546875" style="4727" customWidth="1"/>
    <col min="11530" max="11776" width="9.109375" style="4727"/>
    <col min="11777" max="11777" width="6.44140625" style="4727" bestFit="1" customWidth="1"/>
    <col min="11778" max="11778" width="43.5546875" style="4727" customWidth="1"/>
    <col min="11779" max="11779" width="10.88671875" style="4727" customWidth="1"/>
    <col min="11780" max="11780" width="12.88671875" style="4727" customWidth="1"/>
    <col min="11781" max="11781" width="12" style="4727" customWidth="1"/>
    <col min="11782" max="11782" width="16.5546875" style="4727" customWidth="1"/>
    <col min="11783" max="11783" width="12.6640625" style="4727" customWidth="1"/>
    <col min="11784" max="11784" width="12.109375" style="4727" customWidth="1"/>
    <col min="11785" max="11785" width="12.5546875" style="4727" customWidth="1"/>
    <col min="11786" max="12032" width="9.109375" style="4727"/>
    <col min="12033" max="12033" width="6.44140625" style="4727" bestFit="1" customWidth="1"/>
    <col min="12034" max="12034" width="43.5546875" style="4727" customWidth="1"/>
    <col min="12035" max="12035" width="10.88671875" style="4727" customWidth="1"/>
    <col min="12036" max="12036" width="12.88671875" style="4727" customWidth="1"/>
    <col min="12037" max="12037" width="12" style="4727" customWidth="1"/>
    <col min="12038" max="12038" width="16.5546875" style="4727" customWidth="1"/>
    <col min="12039" max="12039" width="12.6640625" style="4727" customWidth="1"/>
    <col min="12040" max="12040" width="12.109375" style="4727" customWidth="1"/>
    <col min="12041" max="12041" width="12.5546875" style="4727" customWidth="1"/>
    <col min="12042" max="12288" width="9.109375" style="4727"/>
    <col min="12289" max="12289" width="6.44140625" style="4727" bestFit="1" customWidth="1"/>
    <col min="12290" max="12290" width="43.5546875" style="4727" customWidth="1"/>
    <col min="12291" max="12291" width="10.88671875" style="4727" customWidth="1"/>
    <col min="12292" max="12292" width="12.88671875" style="4727" customWidth="1"/>
    <col min="12293" max="12293" width="12" style="4727" customWidth="1"/>
    <col min="12294" max="12294" width="16.5546875" style="4727" customWidth="1"/>
    <col min="12295" max="12295" width="12.6640625" style="4727" customWidth="1"/>
    <col min="12296" max="12296" width="12.109375" style="4727" customWidth="1"/>
    <col min="12297" max="12297" width="12.5546875" style="4727" customWidth="1"/>
    <col min="12298" max="12544" width="9.109375" style="4727"/>
    <col min="12545" max="12545" width="6.44140625" style="4727" bestFit="1" customWidth="1"/>
    <col min="12546" max="12546" width="43.5546875" style="4727" customWidth="1"/>
    <col min="12547" max="12547" width="10.88671875" style="4727" customWidth="1"/>
    <col min="12548" max="12548" width="12.88671875" style="4727" customWidth="1"/>
    <col min="12549" max="12549" width="12" style="4727" customWidth="1"/>
    <col min="12550" max="12550" width="16.5546875" style="4727" customWidth="1"/>
    <col min="12551" max="12551" width="12.6640625" style="4727" customWidth="1"/>
    <col min="12552" max="12552" width="12.109375" style="4727" customWidth="1"/>
    <col min="12553" max="12553" width="12.5546875" style="4727" customWidth="1"/>
    <col min="12554" max="12800" width="9.109375" style="4727"/>
    <col min="12801" max="12801" width="6.44140625" style="4727" bestFit="1" customWidth="1"/>
    <col min="12802" max="12802" width="43.5546875" style="4727" customWidth="1"/>
    <col min="12803" max="12803" width="10.88671875" style="4727" customWidth="1"/>
    <col min="12804" max="12804" width="12.88671875" style="4727" customWidth="1"/>
    <col min="12805" max="12805" width="12" style="4727" customWidth="1"/>
    <col min="12806" max="12806" width="16.5546875" style="4727" customWidth="1"/>
    <col min="12807" max="12807" width="12.6640625" style="4727" customWidth="1"/>
    <col min="12808" max="12808" width="12.109375" style="4727" customWidth="1"/>
    <col min="12809" max="12809" width="12.5546875" style="4727" customWidth="1"/>
    <col min="12810" max="13056" width="9.109375" style="4727"/>
    <col min="13057" max="13057" width="6.44140625" style="4727" bestFit="1" customWidth="1"/>
    <col min="13058" max="13058" width="43.5546875" style="4727" customWidth="1"/>
    <col min="13059" max="13059" width="10.88671875" style="4727" customWidth="1"/>
    <col min="13060" max="13060" width="12.88671875" style="4727" customWidth="1"/>
    <col min="13061" max="13061" width="12" style="4727" customWidth="1"/>
    <col min="13062" max="13062" width="16.5546875" style="4727" customWidth="1"/>
    <col min="13063" max="13063" width="12.6640625" style="4727" customWidth="1"/>
    <col min="13064" max="13064" width="12.109375" style="4727" customWidth="1"/>
    <col min="13065" max="13065" width="12.5546875" style="4727" customWidth="1"/>
    <col min="13066" max="13312" width="9.109375" style="4727"/>
    <col min="13313" max="13313" width="6.44140625" style="4727" bestFit="1" customWidth="1"/>
    <col min="13314" max="13314" width="43.5546875" style="4727" customWidth="1"/>
    <col min="13315" max="13315" width="10.88671875" style="4727" customWidth="1"/>
    <col min="13316" max="13316" width="12.88671875" style="4727" customWidth="1"/>
    <col min="13317" max="13317" width="12" style="4727" customWidth="1"/>
    <col min="13318" max="13318" width="16.5546875" style="4727" customWidth="1"/>
    <col min="13319" max="13319" width="12.6640625" style="4727" customWidth="1"/>
    <col min="13320" max="13320" width="12.109375" style="4727" customWidth="1"/>
    <col min="13321" max="13321" width="12.5546875" style="4727" customWidth="1"/>
    <col min="13322" max="13568" width="9.109375" style="4727"/>
    <col min="13569" max="13569" width="6.44140625" style="4727" bestFit="1" customWidth="1"/>
    <col min="13570" max="13570" width="43.5546875" style="4727" customWidth="1"/>
    <col min="13571" max="13571" width="10.88671875" style="4727" customWidth="1"/>
    <col min="13572" max="13572" width="12.88671875" style="4727" customWidth="1"/>
    <col min="13573" max="13573" width="12" style="4727" customWidth="1"/>
    <col min="13574" max="13574" width="16.5546875" style="4727" customWidth="1"/>
    <col min="13575" max="13575" width="12.6640625" style="4727" customWidth="1"/>
    <col min="13576" max="13576" width="12.109375" style="4727" customWidth="1"/>
    <col min="13577" max="13577" width="12.5546875" style="4727" customWidth="1"/>
    <col min="13578" max="13824" width="9.109375" style="4727"/>
    <col min="13825" max="13825" width="6.44140625" style="4727" bestFit="1" customWidth="1"/>
    <col min="13826" max="13826" width="43.5546875" style="4727" customWidth="1"/>
    <col min="13827" max="13827" width="10.88671875" style="4727" customWidth="1"/>
    <col min="13828" max="13828" width="12.88671875" style="4727" customWidth="1"/>
    <col min="13829" max="13829" width="12" style="4727" customWidth="1"/>
    <col min="13830" max="13830" width="16.5546875" style="4727" customWidth="1"/>
    <col min="13831" max="13831" width="12.6640625" style="4727" customWidth="1"/>
    <col min="13832" max="13832" width="12.109375" style="4727" customWidth="1"/>
    <col min="13833" max="13833" width="12.5546875" style="4727" customWidth="1"/>
    <col min="13834" max="14080" width="9.109375" style="4727"/>
    <col min="14081" max="14081" width="6.44140625" style="4727" bestFit="1" customWidth="1"/>
    <col min="14082" max="14082" width="43.5546875" style="4727" customWidth="1"/>
    <col min="14083" max="14083" width="10.88671875" style="4727" customWidth="1"/>
    <col min="14084" max="14084" width="12.88671875" style="4727" customWidth="1"/>
    <col min="14085" max="14085" width="12" style="4727" customWidth="1"/>
    <col min="14086" max="14086" width="16.5546875" style="4727" customWidth="1"/>
    <col min="14087" max="14087" width="12.6640625" style="4727" customWidth="1"/>
    <col min="14088" max="14088" width="12.109375" style="4727" customWidth="1"/>
    <col min="14089" max="14089" width="12.5546875" style="4727" customWidth="1"/>
    <col min="14090" max="14336" width="9.109375" style="4727"/>
    <col min="14337" max="14337" width="6.44140625" style="4727" bestFit="1" customWidth="1"/>
    <col min="14338" max="14338" width="43.5546875" style="4727" customWidth="1"/>
    <col min="14339" max="14339" width="10.88671875" style="4727" customWidth="1"/>
    <col min="14340" max="14340" width="12.88671875" style="4727" customWidth="1"/>
    <col min="14341" max="14341" width="12" style="4727" customWidth="1"/>
    <col min="14342" max="14342" width="16.5546875" style="4727" customWidth="1"/>
    <col min="14343" max="14343" width="12.6640625" style="4727" customWidth="1"/>
    <col min="14344" max="14344" width="12.109375" style="4727" customWidth="1"/>
    <col min="14345" max="14345" width="12.5546875" style="4727" customWidth="1"/>
    <col min="14346" max="14592" width="9.109375" style="4727"/>
    <col min="14593" max="14593" width="6.44140625" style="4727" bestFit="1" customWidth="1"/>
    <col min="14594" max="14594" width="43.5546875" style="4727" customWidth="1"/>
    <col min="14595" max="14595" width="10.88671875" style="4727" customWidth="1"/>
    <col min="14596" max="14596" width="12.88671875" style="4727" customWidth="1"/>
    <col min="14597" max="14597" width="12" style="4727" customWidth="1"/>
    <col min="14598" max="14598" width="16.5546875" style="4727" customWidth="1"/>
    <col min="14599" max="14599" width="12.6640625" style="4727" customWidth="1"/>
    <col min="14600" max="14600" width="12.109375" style="4727" customWidth="1"/>
    <col min="14601" max="14601" width="12.5546875" style="4727" customWidth="1"/>
    <col min="14602" max="14848" width="9.109375" style="4727"/>
    <col min="14849" max="14849" width="6.44140625" style="4727" bestFit="1" customWidth="1"/>
    <col min="14850" max="14850" width="43.5546875" style="4727" customWidth="1"/>
    <col min="14851" max="14851" width="10.88671875" style="4727" customWidth="1"/>
    <col min="14852" max="14852" width="12.88671875" style="4727" customWidth="1"/>
    <col min="14853" max="14853" width="12" style="4727" customWidth="1"/>
    <col min="14854" max="14854" width="16.5546875" style="4727" customWidth="1"/>
    <col min="14855" max="14855" width="12.6640625" style="4727" customWidth="1"/>
    <col min="14856" max="14856" width="12.109375" style="4727" customWidth="1"/>
    <col min="14857" max="14857" width="12.5546875" style="4727" customWidth="1"/>
    <col min="14858" max="15104" width="9.109375" style="4727"/>
    <col min="15105" max="15105" width="6.44140625" style="4727" bestFit="1" customWidth="1"/>
    <col min="15106" max="15106" width="43.5546875" style="4727" customWidth="1"/>
    <col min="15107" max="15107" width="10.88671875" style="4727" customWidth="1"/>
    <col min="15108" max="15108" width="12.88671875" style="4727" customWidth="1"/>
    <col min="15109" max="15109" width="12" style="4727" customWidth="1"/>
    <col min="15110" max="15110" width="16.5546875" style="4727" customWidth="1"/>
    <col min="15111" max="15111" width="12.6640625" style="4727" customWidth="1"/>
    <col min="15112" max="15112" width="12.109375" style="4727" customWidth="1"/>
    <col min="15113" max="15113" width="12.5546875" style="4727" customWidth="1"/>
    <col min="15114" max="15360" width="9.109375" style="4727"/>
    <col min="15361" max="15361" width="6.44140625" style="4727" bestFit="1" customWidth="1"/>
    <col min="15362" max="15362" width="43.5546875" style="4727" customWidth="1"/>
    <col min="15363" max="15363" width="10.88671875" style="4727" customWidth="1"/>
    <col min="15364" max="15364" width="12.88671875" style="4727" customWidth="1"/>
    <col min="15365" max="15365" width="12" style="4727" customWidth="1"/>
    <col min="15366" max="15366" width="16.5546875" style="4727" customWidth="1"/>
    <col min="15367" max="15367" width="12.6640625" style="4727" customWidth="1"/>
    <col min="15368" max="15368" width="12.109375" style="4727" customWidth="1"/>
    <col min="15369" max="15369" width="12.5546875" style="4727" customWidth="1"/>
    <col min="15370" max="15616" width="9.109375" style="4727"/>
    <col min="15617" max="15617" width="6.44140625" style="4727" bestFit="1" customWidth="1"/>
    <col min="15618" max="15618" width="43.5546875" style="4727" customWidth="1"/>
    <col min="15619" max="15619" width="10.88671875" style="4727" customWidth="1"/>
    <col min="15620" max="15620" width="12.88671875" style="4727" customWidth="1"/>
    <col min="15621" max="15621" width="12" style="4727" customWidth="1"/>
    <col min="15622" max="15622" width="16.5546875" style="4727" customWidth="1"/>
    <col min="15623" max="15623" width="12.6640625" style="4727" customWidth="1"/>
    <col min="15624" max="15624" width="12.109375" style="4727" customWidth="1"/>
    <col min="15625" max="15625" width="12.5546875" style="4727" customWidth="1"/>
    <col min="15626" max="15872" width="9.109375" style="4727"/>
    <col min="15873" max="15873" width="6.44140625" style="4727" bestFit="1" customWidth="1"/>
    <col min="15874" max="15874" width="43.5546875" style="4727" customWidth="1"/>
    <col min="15875" max="15875" width="10.88671875" style="4727" customWidth="1"/>
    <col min="15876" max="15876" width="12.88671875" style="4727" customWidth="1"/>
    <col min="15877" max="15877" width="12" style="4727" customWidth="1"/>
    <col min="15878" max="15878" width="16.5546875" style="4727" customWidth="1"/>
    <col min="15879" max="15879" width="12.6640625" style="4727" customWidth="1"/>
    <col min="15880" max="15880" width="12.109375" style="4727" customWidth="1"/>
    <col min="15881" max="15881" width="12.5546875" style="4727" customWidth="1"/>
    <col min="15882" max="16128" width="9.109375" style="4727"/>
    <col min="16129" max="16129" width="6.44140625" style="4727" bestFit="1" customWidth="1"/>
    <col min="16130" max="16130" width="43.5546875" style="4727" customWidth="1"/>
    <col min="16131" max="16131" width="10.88671875" style="4727" customWidth="1"/>
    <col min="16132" max="16132" width="12.88671875" style="4727" customWidth="1"/>
    <col min="16133" max="16133" width="12" style="4727" customWidth="1"/>
    <col min="16134" max="16134" width="16.5546875" style="4727" customWidth="1"/>
    <col min="16135" max="16135" width="12.6640625" style="4727" customWidth="1"/>
    <col min="16136" max="16136" width="12.109375" style="4727" customWidth="1"/>
    <col min="16137" max="16137" width="12.5546875" style="4727" customWidth="1"/>
    <col min="16138" max="16384" width="9.109375" style="4727"/>
  </cols>
  <sheetData>
    <row r="1" spans="1:10">
      <c r="A1" s="4726"/>
    </row>
    <row r="2" spans="1:10">
      <c r="A2" s="6483" t="s">
        <v>3076</v>
      </c>
      <c r="B2" s="6483"/>
      <c r="C2" s="6483"/>
      <c r="D2" s="6483"/>
      <c r="E2" s="6483"/>
      <c r="F2" s="6483"/>
      <c r="G2" s="6483"/>
      <c r="H2" s="6483"/>
      <c r="I2" s="6483"/>
      <c r="J2" s="6483"/>
    </row>
    <row r="3" spans="1:10">
      <c r="A3" s="4728"/>
      <c r="B3" s="4728"/>
      <c r="C3" s="4729"/>
      <c r="D3" s="4728"/>
      <c r="E3" s="4728"/>
      <c r="F3" s="4728"/>
      <c r="G3" s="4728"/>
      <c r="H3" s="4728"/>
      <c r="I3" s="4728"/>
      <c r="J3" s="4730" t="s">
        <v>372</v>
      </c>
    </row>
    <row r="4" spans="1:10">
      <c r="A4" s="6484" t="s">
        <v>247</v>
      </c>
      <c r="B4" s="6485" t="s">
        <v>248</v>
      </c>
      <c r="C4" s="6486" t="s">
        <v>3077</v>
      </c>
      <c r="D4" s="6488" t="s">
        <v>3078</v>
      </c>
      <c r="E4" s="6489"/>
      <c r="F4" s="6489"/>
      <c r="G4" s="6489"/>
      <c r="H4" s="6489"/>
      <c r="I4" s="6490"/>
      <c r="J4" s="6485" t="s">
        <v>3079</v>
      </c>
    </row>
    <row r="5" spans="1:10">
      <c r="A5" s="6484"/>
      <c r="B5" s="6485"/>
      <c r="C5" s="6487"/>
      <c r="D5" s="4731" t="s">
        <v>3080</v>
      </c>
      <c r="E5" s="4731" t="s">
        <v>77</v>
      </c>
      <c r="F5" s="4731" t="s">
        <v>81</v>
      </c>
      <c r="G5" s="4731" t="s">
        <v>57</v>
      </c>
      <c r="H5" s="4731" t="s">
        <v>58</v>
      </c>
      <c r="I5" s="4731" t="s">
        <v>82</v>
      </c>
      <c r="J5" s="6485"/>
    </row>
    <row r="6" spans="1:10" s="4734" customFormat="1">
      <c r="A6" s="4732" t="s">
        <v>1</v>
      </c>
      <c r="B6" s="4732" t="s">
        <v>37</v>
      </c>
      <c r="C6" s="4733">
        <v>2</v>
      </c>
      <c r="D6" s="4732" t="s">
        <v>3081</v>
      </c>
      <c r="E6" s="4733">
        <v>4</v>
      </c>
      <c r="F6" s="4732">
        <v>5</v>
      </c>
      <c r="G6" s="4733">
        <v>6</v>
      </c>
      <c r="H6" s="4732">
        <v>7</v>
      </c>
      <c r="I6" s="4733">
        <v>8</v>
      </c>
      <c r="J6" s="4732">
        <v>9</v>
      </c>
    </row>
    <row r="7" spans="1:10" s="4734" customFormat="1" ht="33.6">
      <c r="A7" s="4735" t="s">
        <v>1</v>
      </c>
      <c r="B7" s="4736" t="s">
        <v>3082</v>
      </c>
      <c r="C7" s="4737"/>
      <c r="D7" s="4737"/>
      <c r="E7" s="4738"/>
      <c r="F7" s="4738"/>
      <c r="G7" s="4738"/>
      <c r="H7" s="4738"/>
      <c r="I7" s="4738"/>
      <c r="J7" s="4738"/>
    </row>
    <row r="8" spans="1:10" s="4734" customFormat="1">
      <c r="A8" s="4735" t="s">
        <v>37</v>
      </c>
      <c r="B8" s="4736" t="s">
        <v>3083</v>
      </c>
      <c r="C8" s="4737"/>
      <c r="D8" s="4737"/>
      <c r="E8" s="4738"/>
      <c r="F8" s="4738"/>
      <c r="G8" s="4738"/>
      <c r="H8" s="4738"/>
      <c r="I8" s="4738"/>
      <c r="J8" s="4738"/>
    </row>
    <row r="9" spans="1:10">
      <c r="A9" s="4735" t="s">
        <v>29</v>
      </c>
      <c r="B9" s="4739" t="s">
        <v>3084</v>
      </c>
      <c r="C9" s="4740"/>
      <c r="D9" s="4740"/>
      <c r="E9" s="4741"/>
      <c r="F9" s="4741"/>
      <c r="G9" s="4741"/>
      <c r="H9" s="4741"/>
      <c r="I9" s="4741"/>
      <c r="J9" s="4741"/>
    </row>
    <row r="10" spans="1:10" s="4742" customFormat="1">
      <c r="A10" s="4735" t="s">
        <v>29</v>
      </c>
      <c r="B10" s="4739" t="s">
        <v>3085</v>
      </c>
      <c r="C10" s="4740"/>
      <c r="D10" s="4740"/>
      <c r="E10" s="4741"/>
      <c r="F10" s="4741"/>
      <c r="G10" s="4741"/>
      <c r="H10" s="4741"/>
      <c r="I10" s="4741"/>
      <c r="J10" s="4741"/>
    </row>
    <row r="11" spans="1:10" s="4742" customFormat="1">
      <c r="A11" s="4735" t="s">
        <v>29</v>
      </c>
      <c r="B11" s="4739" t="s">
        <v>3086</v>
      </c>
      <c r="C11" s="4740"/>
      <c r="D11" s="4740"/>
      <c r="E11" s="4741"/>
      <c r="F11" s="4741"/>
      <c r="G11" s="4741"/>
      <c r="H11" s="4741"/>
      <c r="I11" s="4741"/>
      <c r="J11" s="4741"/>
    </row>
    <row r="12" spans="1:10" s="4743" customFormat="1">
      <c r="A12" s="4735">
        <v>1</v>
      </c>
      <c r="B12" s="4736" t="s">
        <v>4</v>
      </c>
      <c r="C12" s="4737"/>
      <c r="D12" s="4737"/>
      <c r="E12" s="4738"/>
      <c r="F12" s="4738"/>
      <c r="G12" s="4738"/>
      <c r="H12" s="4738"/>
      <c r="I12" s="4738"/>
      <c r="J12" s="4738"/>
    </row>
    <row r="13" spans="1:10">
      <c r="A13" s="4735" t="s">
        <v>29</v>
      </c>
      <c r="B13" s="4739" t="s">
        <v>3087</v>
      </c>
      <c r="C13" s="4740"/>
      <c r="D13" s="4740"/>
      <c r="E13" s="4741"/>
      <c r="F13" s="4741"/>
      <c r="G13" s="4741"/>
      <c r="H13" s="4741"/>
      <c r="I13" s="4741"/>
      <c r="J13" s="4741"/>
    </row>
    <row r="14" spans="1:10" ht="33.6">
      <c r="A14" s="4735" t="s">
        <v>29</v>
      </c>
      <c r="B14" s="4739" t="s">
        <v>3088</v>
      </c>
      <c r="C14" s="4740"/>
      <c r="D14" s="4740"/>
      <c r="E14" s="4741"/>
      <c r="F14" s="4741"/>
      <c r="G14" s="4741"/>
      <c r="H14" s="4741"/>
      <c r="I14" s="4741"/>
      <c r="J14" s="4741"/>
    </row>
    <row r="15" spans="1:10" s="4742" customFormat="1">
      <c r="A15" s="4744"/>
      <c r="B15" s="4745" t="s">
        <v>1484</v>
      </c>
      <c r="C15" s="4746"/>
      <c r="D15" s="4746"/>
      <c r="E15" s="4747"/>
      <c r="F15" s="4747"/>
      <c r="G15" s="4747"/>
      <c r="H15" s="4747"/>
      <c r="I15" s="4747"/>
      <c r="J15" s="4747"/>
    </row>
    <row r="16" spans="1:10" s="4742" customFormat="1">
      <c r="A16" s="4744"/>
      <c r="B16" s="4745" t="s">
        <v>3089</v>
      </c>
      <c r="C16" s="4746"/>
      <c r="D16" s="4746"/>
      <c r="E16" s="4747"/>
      <c r="F16" s="4747"/>
      <c r="G16" s="4747"/>
      <c r="H16" s="4747"/>
      <c r="I16" s="4747"/>
      <c r="J16" s="4747"/>
    </row>
    <row r="17" spans="1:10" s="4743" customFormat="1">
      <c r="A17" s="4735" t="s">
        <v>33</v>
      </c>
      <c r="B17" s="4736" t="s">
        <v>3090</v>
      </c>
      <c r="C17" s="4737"/>
      <c r="D17" s="4737"/>
      <c r="E17" s="4738"/>
      <c r="F17" s="4738"/>
      <c r="G17" s="4738"/>
      <c r="H17" s="4738"/>
      <c r="I17" s="4738"/>
      <c r="J17" s="4738"/>
    </row>
    <row r="18" spans="1:10" s="4742" customFormat="1">
      <c r="A18" s="4735" t="s">
        <v>29</v>
      </c>
      <c r="B18" s="4739" t="s">
        <v>3087</v>
      </c>
      <c r="C18" s="4740"/>
      <c r="D18" s="4740"/>
      <c r="E18" s="4741"/>
      <c r="F18" s="4741"/>
      <c r="G18" s="4741"/>
      <c r="H18" s="4741"/>
      <c r="I18" s="4741"/>
      <c r="J18" s="4741"/>
    </row>
    <row r="19" spans="1:10" s="4742" customFormat="1" ht="33.6">
      <c r="A19" s="4735" t="s">
        <v>29</v>
      </c>
      <c r="B19" s="4739" t="s">
        <v>3088</v>
      </c>
      <c r="C19" s="4740"/>
      <c r="D19" s="4740"/>
      <c r="E19" s="4741"/>
      <c r="F19" s="4741"/>
      <c r="G19" s="4741"/>
      <c r="H19" s="4741"/>
      <c r="I19" s="4741"/>
      <c r="J19" s="4741"/>
    </row>
    <row r="20" spans="1:10" s="4734" customFormat="1" ht="33.6">
      <c r="A20" s="4735" t="s">
        <v>182</v>
      </c>
      <c r="B20" s="4736" t="s">
        <v>3091</v>
      </c>
      <c r="C20" s="4737"/>
      <c r="D20" s="4737"/>
      <c r="E20" s="4738"/>
      <c r="F20" s="4738"/>
      <c r="G20" s="4738"/>
      <c r="H20" s="4738"/>
      <c r="I20" s="4738"/>
      <c r="J20" s="4738"/>
    </row>
    <row r="21" spans="1:10" s="4742" customFormat="1">
      <c r="A21" s="4735" t="s">
        <v>29</v>
      </c>
      <c r="B21" s="4739" t="s">
        <v>3087</v>
      </c>
      <c r="C21" s="4740"/>
      <c r="D21" s="4740"/>
      <c r="E21" s="4741"/>
      <c r="F21" s="4741"/>
      <c r="G21" s="4741"/>
      <c r="H21" s="4741"/>
      <c r="I21" s="4741"/>
      <c r="J21" s="4741"/>
    </row>
    <row r="22" spans="1:10" ht="33.6">
      <c r="A22" s="4735" t="s">
        <v>29</v>
      </c>
      <c r="B22" s="4739" t="s">
        <v>3088</v>
      </c>
      <c r="C22" s="4740"/>
      <c r="D22" s="4740"/>
      <c r="E22" s="4741"/>
      <c r="F22" s="4741"/>
      <c r="G22" s="4741"/>
      <c r="H22" s="4741"/>
      <c r="I22" s="4741"/>
      <c r="J22" s="4741"/>
    </row>
    <row r="23" spans="1:10" s="4743" customFormat="1">
      <c r="A23" s="4735" t="s">
        <v>215</v>
      </c>
      <c r="B23" s="4736" t="s">
        <v>3092</v>
      </c>
      <c r="C23" s="4737"/>
      <c r="D23" s="4737"/>
      <c r="E23" s="4738"/>
      <c r="F23" s="4738"/>
      <c r="G23" s="4738"/>
      <c r="H23" s="4738"/>
      <c r="I23" s="4738"/>
      <c r="J23" s="4738"/>
    </row>
    <row r="24" spans="1:10">
      <c r="A24" s="4735" t="s">
        <v>29</v>
      </c>
      <c r="B24" s="4739" t="s">
        <v>3087</v>
      </c>
      <c r="C24" s="4740"/>
      <c r="D24" s="4740"/>
      <c r="E24" s="4741"/>
      <c r="F24" s="4741"/>
      <c r="G24" s="4741"/>
      <c r="H24" s="4741"/>
      <c r="I24" s="4741"/>
      <c r="J24" s="4741"/>
    </row>
    <row r="25" spans="1:10" ht="33.6">
      <c r="A25" s="4735" t="s">
        <v>29</v>
      </c>
      <c r="B25" s="4739" t="s">
        <v>3088</v>
      </c>
      <c r="C25" s="4740"/>
      <c r="D25" s="4740"/>
      <c r="E25" s="4741"/>
      <c r="F25" s="4741"/>
      <c r="G25" s="4741"/>
      <c r="H25" s="4741"/>
      <c r="I25" s="4741"/>
      <c r="J25" s="4741"/>
    </row>
    <row r="26" spans="1:10" s="4734" customFormat="1">
      <c r="A26" s="4735" t="s">
        <v>44</v>
      </c>
      <c r="B26" s="4736" t="s">
        <v>3093</v>
      </c>
      <c r="C26" s="4737"/>
      <c r="D26" s="4737"/>
      <c r="E26" s="4738"/>
      <c r="F26" s="4738"/>
      <c r="G26" s="4738"/>
      <c r="H26" s="4738"/>
      <c r="I26" s="4738"/>
      <c r="J26" s="4738"/>
    </row>
    <row r="27" spans="1:10">
      <c r="A27" s="4735" t="s">
        <v>29</v>
      </c>
      <c r="B27" s="4739" t="s">
        <v>3094</v>
      </c>
      <c r="C27" s="4740"/>
      <c r="D27" s="4740"/>
      <c r="E27" s="4741"/>
      <c r="F27" s="4741"/>
      <c r="G27" s="4741"/>
      <c r="H27" s="4741"/>
      <c r="I27" s="4741"/>
      <c r="J27" s="4741"/>
    </row>
    <row r="28" spans="1:10">
      <c r="A28" s="4735" t="s">
        <v>29</v>
      </c>
      <c r="B28" s="4739" t="s">
        <v>3095</v>
      </c>
      <c r="C28" s="4740"/>
      <c r="D28" s="4740"/>
      <c r="E28" s="4741"/>
      <c r="F28" s="4741"/>
      <c r="G28" s="4741"/>
      <c r="H28" s="4741"/>
      <c r="I28" s="4741"/>
      <c r="J28" s="4741"/>
    </row>
    <row r="29" spans="1:10" s="4734" customFormat="1">
      <c r="A29" s="4735" t="s">
        <v>3</v>
      </c>
      <c r="B29" s="4736" t="s">
        <v>3096</v>
      </c>
      <c r="C29" s="4737"/>
      <c r="D29" s="4737"/>
      <c r="E29" s="4738"/>
      <c r="F29" s="4738"/>
      <c r="G29" s="4738"/>
      <c r="H29" s="4738"/>
      <c r="I29" s="4738"/>
      <c r="J29" s="4738"/>
    </row>
    <row r="30" spans="1:10">
      <c r="A30" s="4735" t="s">
        <v>29</v>
      </c>
      <c r="B30" s="4739" t="s">
        <v>3097</v>
      </c>
      <c r="C30" s="4740"/>
      <c r="D30" s="4740"/>
      <c r="E30" s="4741"/>
      <c r="F30" s="4741"/>
      <c r="G30" s="4741"/>
      <c r="H30" s="4741"/>
      <c r="I30" s="4741"/>
      <c r="J30" s="4741"/>
    </row>
    <row r="31" spans="1:10">
      <c r="A31" s="4735" t="s">
        <v>29</v>
      </c>
      <c r="B31" s="4739" t="s">
        <v>3098</v>
      </c>
      <c r="C31" s="4740"/>
      <c r="D31" s="4740"/>
      <c r="E31" s="4741"/>
      <c r="F31" s="4741"/>
      <c r="G31" s="4741"/>
      <c r="H31" s="4741"/>
      <c r="I31" s="4741"/>
      <c r="J31" s="4741"/>
    </row>
    <row r="32" spans="1:10" s="4734" customFormat="1">
      <c r="A32" s="4735" t="s">
        <v>33</v>
      </c>
      <c r="B32" s="4736" t="s">
        <v>3099</v>
      </c>
      <c r="C32" s="4737"/>
      <c r="D32" s="4737"/>
      <c r="E32" s="4738"/>
      <c r="F32" s="4738"/>
      <c r="G32" s="4738"/>
      <c r="H32" s="4738"/>
      <c r="I32" s="4738"/>
      <c r="J32" s="4738"/>
    </row>
    <row r="33" spans="1:10">
      <c r="A33" s="4735" t="s">
        <v>29</v>
      </c>
      <c r="B33" s="4739" t="s">
        <v>3097</v>
      </c>
      <c r="C33" s="4740"/>
      <c r="D33" s="4740"/>
      <c r="E33" s="4741"/>
      <c r="F33" s="4741"/>
      <c r="G33" s="4741"/>
      <c r="H33" s="4741"/>
      <c r="I33" s="4741"/>
      <c r="J33" s="4741"/>
    </row>
    <row r="34" spans="1:10">
      <c r="A34" s="4735" t="s">
        <v>29</v>
      </c>
      <c r="B34" s="4739" t="s">
        <v>3098</v>
      </c>
      <c r="C34" s="4740"/>
      <c r="D34" s="4740"/>
      <c r="E34" s="4741"/>
      <c r="F34" s="4741"/>
      <c r="G34" s="4741"/>
      <c r="H34" s="4741"/>
      <c r="I34" s="4741"/>
      <c r="J34" s="4741"/>
    </row>
    <row r="35" spans="1:10">
      <c r="A35" s="4735" t="s">
        <v>29</v>
      </c>
      <c r="B35" s="4739" t="s">
        <v>3100</v>
      </c>
      <c r="C35" s="4740"/>
      <c r="D35" s="4740"/>
      <c r="E35" s="4741"/>
      <c r="F35" s="4741"/>
      <c r="G35" s="4741"/>
      <c r="H35" s="4741"/>
      <c r="I35" s="4741"/>
      <c r="J35" s="4741"/>
    </row>
    <row r="36" spans="1:10" s="4748" customFormat="1">
      <c r="A36" s="4735" t="s">
        <v>3101</v>
      </c>
      <c r="B36" s="4739" t="s">
        <v>804</v>
      </c>
      <c r="C36" s="4740"/>
      <c r="D36" s="4740"/>
      <c r="E36" s="4741"/>
      <c r="F36" s="4741"/>
      <c r="G36" s="4741"/>
      <c r="H36" s="4741"/>
      <c r="I36" s="4741"/>
      <c r="J36" s="4741"/>
    </row>
    <row r="37" spans="1:10" s="4749" customFormat="1">
      <c r="A37" s="4735" t="s">
        <v>46</v>
      </c>
      <c r="B37" s="4736" t="s">
        <v>3102</v>
      </c>
      <c r="C37" s="4737"/>
      <c r="D37" s="4737"/>
      <c r="E37" s="4738"/>
      <c r="F37" s="4738"/>
      <c r="G37" s="4738"/>
      <c r="H37" s="4738"/>
      <c r="I37" s="4738"/>
      <c r="J37" s="4738"/>
    </row>
    <row r="38" spans="1:10" s="4748" customFormat="1">
      <c r="A38" s="4735" t="s">
        <v>29</v>
      </c>
      <c r="B38" s="4739" t="s">
        <v>3094</v>
      </c>
      <c r="C38" s="4740"/>
      <c r="D38" s="4740"/>
      <c r="E38" s="4741"/>
      <c r="F38" s="4741"/>
      <c r="G38" s="4741"/>
      <c r="H38" s="4741"/>
      <c r="I38" s="4741"/>
      <c r="J38" s="4741"/>
    </row>
    <row r="39" spans="1:10" s="4748" customFormat="1">
      <c r="A39" s="4735" t="s">
        <v>29</v>
      </c>
      <c r="B39" s="4739" t="s">
        <v>3103</v>
      </c>
      <c r="C39" s="4740"/>
      <c r="D39" s="4740"/>
      <c r="E39" s="4741"/>
      <c r="F39" s="4741"/>
      <c r="G39" s="4741"/>
      <c r="H39" s="4741"/>
      <c r="I39" s="4741"/>
      <c r="J39" s="4741"/>
    </row>
    <row r="40" spans="1:10" s="4734" customFormat="1">
      <c r="A40" s="4735" t="s">
        <v>3</v>
      </c>
      <c r="B40" s="4736" t="s">
        <v>1668</v>
      </c>
      <c r="C40" s="4737"/>
      <c r="D40" s="4737"/>
      <c r="E40" s="4738"/>
      <c r="F40" s="4738"/>
      <c r="G40" s="4738"/>
      <c r="H40" s="4738"/>
      <c r="I40" s="4738"/>
      <c r="J40" s="4738"/>
    </row>
    <row r="41" spans="1:10">
      <c r="A41" s="4735" t="s">
        <v>29</v>
      </c>
      <c r="B41" s="4739" t="s">
        <v>3097</v>
      </c>
      <c r="C41" s="4740"/>
      <c r="D41" s="4740"/>
      <c r="E41" s="4741"/>
      <c r="F41" s="4741"/>
      <c r="G41" s="4741"/>
      <c r="H41" s="4741"/>
      <c r="I41" s="4741"/>
      <c r="J41" s="4741"/>
    </row>
    <row r="42" spans="1:10">
      <c r="A42" s="4735" t="s">
        <v>29</v>
      </c>
      <c r="B42" s="4739" t="s">
        <v>3104</v>
      </c>
      <c r="C42" s="4740"/>
      <c r="D42" s="4740"/>
      <c r="E42" s="4741"/>
      <c r="F42" s="4741"/>
      <c r="G42" s="4741"/>
      <c r="H42" s="4741"/>
      <c r="I42" s="4741"/>
      <c r="J42" s="4741"/>
    </row>
    <row r="43" spans="1:10" s="4734" customFormat="1">
      <c r="A43" s="4735" t="s">
        <v>33</v>
      </c>
      <c r="B43" s="4736" t="s">
        <v>209</v>
      </c>
      <c r="C43" s="4737"/>
      <c r="D43" s="4737"/>
      <c r="E43" s="4738"/>
      <c r="F43" s="4738"/>
      <c r="G43" s="4738"/>
      <c r="H43" s="4738"/>
      <c r="I43" s="4738"/>
      <c r="J43" s="4738"/>
    </row>
    <row r="44" spans="1:10">
      <c r="A44" s="4735" t="s">
        <v>29</v>
      </c>
      <c r="B44" s="4739" t="s">
        <v>3097</v>
      </c>
      <c r="C44" s="4740"/>
      <c r="D44" s="4740"/>
      <c r="E44" s="4741"/>
      <c r="F44" s="4741"/>
      <c r="G44" s="4741"/>
      <c r="H44" s="4741"/>
      <c r="I44" s="4741"/>
      <c r="J44" s="4741"/>
    </row>
    <row r="45" spans="1:10">
      <c r="A45" s="4735" t="s">
        <v>29</v>
      </c>
      <c r="B45" s="4739" t="s">
        <v>3104</v>
      </c>
      <c r="C45" s="4740"/>
      <c r="D45" s="4740"/>
      <c r="E45" s="4741"/>
      <c r="F45" s="4741"/>
      <c r="G45" s="4741"/>
      <c r="H45" s="4741"/>
      <c r="I45" s="4741"/>
      <c r="J45" s="4741"/>
    </row>
    <row r="46" spans="1:10" s="4734" customFormat="1" ht="33.6">
      <c r="A46" s="4735" t="s">
        <v>182</v>
      </c>
      <c r="B46" s="4736" t="s">
        <v>3105</v>
      </c>
      <c r="C46" s="4737"/>
      <c r="D46" s="4737"/>
      <c r="E46" s="4738"/>
      <c r="F46" s="4738"/>
      <c r="G46" s="4738"/>
      <c r="H46" s="4738"/>
      <c r="I46" s="4738"/>
      <c r="J46" s="4738"/>
    </row>
    <row r="47" spans="1:10">
      <c r="A47" s="4735" t="s">
        <v>29</v>
      </c>
      <c r="B47" s="4739" t="s">
        <v>3097</v>
      </c>
      <c r="C47" s="4740"/>
      <c r="D47" s="4740"/>
      <c r="E47" s="4741"/>
      <c r="F47" s="4741"/>
      <c r="G47" s="4741"/>
      <c r="H47" s="4741"/>
      <c r="I47" s="4741"/>
      <c r="J47" s="4741"/>
    </row>
    <row r="48" spans="1:10">
      <c r="A48" s="4735" t="s">
        <v>29</v>
      </c>
      <c r="B48" s="4739" t="s">
        <v>3104</v>
      </c>
      <c r="C48" s="4740"/>
      <c r="D48" s="4740"/>
      <c r="E48" s="4741"/>
      <c r="F48" s="4741"/>
      <c r="G48" s="4741"/>
      <c r="H48" s="4741"/>
      <c r="I48" s="4741"/>
      <c r="J48" s="4741"/>
    </row>
    <row r="49" spans="1:10" s="4734" customFormat="1">
      <c r="A49" s="4735" t="s">
        <v>215</v>
      </c>
      <c r="B49" s="4736" t="s">
        <v>210</v>
      </c>
      <c r="C49" s="4737"/>
      <c r="D49" s="4737"/>
      <c r="E49" s="4738"/>
      <c r="F49" s="4738"/>
      <c r="G49" s="4738"/>
      <c r="H49" s="4738"/>
      <c r="I49" s="4738"/>
      <c r="J49" s="4738"/>
    </row>
    <row r="50" spans="1:10" s="4734" customFormat="1">
      <c r="A50" s="4735" t="s">
        <v>725</v>
      </c>
      <c r="B50" s="4736" t="s">
        <v>3106</v>
      </c>
      <c r="C50" s="4737"/>
      <c r="D50" s="4737"/>
      <c r="E50" s="4738"/>
      <c r="F50" s="4738"/>
      <c r="G50" s="4738"/>
      <c r="H50" s="4738"/>
      <c r="I50" s="4738"/>
      <c r="J50" s="4738"/>
    </row>
    <row r="51" spans="1:10" s="4734" customFormat="1" ht="33.6">
      <c r="A51" s="4735" t="s">
        <v>727</v>
      </c>
      <c r="B51" s="4736" t="s">
        <v>2151</v>
      </c>
      <c r="C51" s="4737"/>
      <c r="D51" s="4737"/>
      <c r="E51" s="4738"/>
      <c r="F51" s="4738"/>
      <c r="G51" s="4738"/>
      <c r="H51" s="4738"/>
      <c r="I51" s="4738"/>
      <c r="J51" s="4738"/>
    </row>
    <row r="52" spans="1:10" s="4734" customFormat="1">
      <c r="A52" s="4735" t="s">
        <v>3</v>
      </c>
      <c r="B52" s="4736" t="s">
        <v>2021</v>
      </c>
      <c r="C52" s="4737"/>
      <c r="D52" s="4737"/>
      <c r="E52" s="4738"/>
      <c r="F52" s="4738"/>
      <c r="G52" s="4738"/>
      <c r="H52" s="4738"/>
      <c r="I52" s="4738"/>
      <c r="J52" s="4738"/>
    </row>
    <row r="53" spans="1:10" s="4734" customFormat="1">
      <c r="A53" s="4735" t="s">
        <v>33</v>
      </c>
      <c r="B53" s="4736" t="s">
        <v>2022</v>
      </c>
      <c r="C53" s="4737"/>
      <c r="D53" s="4737"/>
      <c r="E53" s="4738"/>
      <c r="F53" s="4738"/>
      <c r="G53" s="4738"/>
      <c r="H53" s="4738"/>
      <c r="I53" s="4738"/>
      <c r="J53" s="4738"/>
    </row>
    <row r="54" spans="1:10" ht="33.6">
      <c r="A54" s="4735" t="s">
        <v>29</v>
      </c>
      <c r="B54" s="4739" t="s">
        <v>2023</v>
      </c>
      <c r="C54" s="4740"/>
      <c r="D54" s="4740"/>
      <c r="E54" s="4741"/>
      <c r="F54" s="4741"/>
      <c r="G54" s="4741"/>
      <c r="H54" s="4741"/>
      <c r="I54" s="4741"/>
      <c r="J54" s="4741"/>
    </row>
    <row r="55" spans="1:10" ht="33.6">
      <c r="A55" s="4735" t="s">
        <v>29</v>
      </c>
      <c r="B55" s="4739" t="s">
        <v>2024</v>
      </c>
      <c r="C55" s="4740"/>
      <c r="D55" s="4740"/>
      <c r="E55" s="4741"/>
      <c r="F55" s="4741"/>
      <c r="G55" s="4741"/>
      <c r="H55" s="4741"/>
      <c r="I55" s="4741"/>
      <c r="J55" s="4741"/>
    </row>
    <row r="56" spans="1:10" s="4734" customFormat="1">
      <c r="A56" s="4735" t="s">
        <v>182</v>
      </c>
      <c r="B56" s="4736" t="s">
        <v>2025</v>
      </c>
      <c r="C56" s="4737"/>
      <c r="D56" s="4737"/>
      <c r="E56" s="4738"/>
      <c r="F56" s="4738"/>
      <c r="G56" s="4738"/>
      <c r="H56" s="4738"/>
      <c r="I56" s="4738"/>
      <c r="J56" s="4738"/>
    </row>
    <row r="57" spans="1:10">
      <c r="A57" s="4735" t="s">
        <v>29</v>
      </c>
      <c r="B57" s="4739" t="s">
        <v>2026</v>
      </c>
      <c r="C57" s="4740"/>
      <c r="D57" s="4740"/>
      <c r="E57" s="4741"/>
      <c r="F57" s="4741"/>
      <c r="G57" s="4741"/>
      <c r="H57" s="4741"/>
      <c r="I57" s="4741"/>
      <c r="J57" s="4741"/>
    </row>
    <row r="58" spans="1:10" ht="33.6">
      <c r="A58" s="4735" t="s">
        <v>29</v>
      </c>
      <c r="B58" s="4739" t="s">
        <v>2027</v>
      </c>
      <c r="C58" s="4740"/>
      <c r="D58" s="4740"/>
      <c r="E58" s="4741"/>
      <c r="F58" s="4741"/>
      <c r="G58" s="4741"/>
      <c r="H58" s="4741"/>
      <c r="I58" s="4741"/>
      <c r="J58" s="4741"/>
    </row>
    <row r="59" spans="1:10" s="4734" customFormat="1">
      <c r="A59" s="4735" t="s">
        <v>215</v>
      </c>
      <c r="B59" s="4736" t="s">
        <v>2028</v>
      </c>
      <c r="C59" s="4737"/>
      <c r="D59" s="4737"/>
      <c r="E59" s="4738"/>
      <c r="F59" s="4738"/>
      <c r="G59" s="4738"/>
      <c r="H59" s="4738"/>
      <c r="I59" s="4738"/>
      <c r="J59" s="4738"/>
    </row>
    <row r="60" spans="1:10">
      <c r="A60" s="4735" t="s">
        <v>29</v>
      </c>
      <c r="B60" s="4739" t="s">
        <v>2029</v>
      </c>
      <c r="C60" s="4740"/>
      <c r="D60" s="4740"/>
      <c r="E60" s="4741"/>
      <c r="F60" s="4741"/>
      <c r="G60" s="4741"/>
      <c r="H60" s="4741"/>
      <c r="I60" s="4741"/>
      <c r="J60" s="4741"/>
    </row>
    <row r="61" spans="1:10">
      <c r="A61" s="4735" t="s">
        <v>29</v>
      </c>
      <c r="B61" s="4739" t="s">
        <v>2030</v>
      </c>
      <c r="C61" s="4740"/>
      <c r="D61" s="4740"/>
      <c r="E61" s="4741"/>
      <c r="F61" s="4741"/>
      <c r="G61" s="4741"/>
      <c r="H61" s="4741"/>
      <c r="I61" s="4741"/>
      <c r="J61" s="4741"/>
    </row>
    <row r="62" spans="1:10" s="4734" customFormat="1">
      <c r="A62" s="4735" t="s">
        <v>718</v>
      </c>
      <c r="B62" s="4736" t="s">
        <v>2031</v>
      </c>
      <c r="C62" s="4737"/>
      <c r="D62" s="4737"/>
      <c r="E62" s="4738"/>
      <c r="F62" s="4738"/>
      <c r="G62" s="4738"/>
      <c r="H62" s="4738"/>
      <c r="I62" s="4738"/>
      <c r="J62" s="4738"/>
    </row>
    <row r="63" spans="1:10" ht="33.6">
      <c r="A63" s="4750" t="s">
        <v>29</v>
      </c>
      <c r="B63" s="4751" t="s">
        <v>2032</v>
      </c>
      <c r="C63" s="4752"/>
      <c r="D63" s="4752"/>
      <c r="E63" s="4753"/>
      <c r="F63" s="4753"/>
      <c r="G63" s="4753"/>
      <c r="H63" s="4753"/>
      <c r="I63" s="4753"/>
      <c r="J63" s="4753"/>
    </row>
    <row r="64" spans="1:10" ht="33.6">
      <c r="A64" s="4754" t="s">
        <v>29</v>
      </c>
      <c r="B64" s="4755" t="s">
        <v>2033</v>
      </c>
      <c r="C64" s="4756"/>
      <c r="D64" s="4756"/>
      <c r="E64" s="4757"/>
      <c r="F64" s="4757"/>
      <c r="G64" s="4757"/>
      <c r="H64" s="4757"/>
      <c r="I64" s="4757"/>
      <c r="J64" s="4757"/>
    </row>
    <row r="65" spans="1:10">
      <c r="A65" s="6482" t="s">
        <v>3107</v>
      </c>
      <c r="B65" s="6482"/>
      <c r="C65" s="6482"/>
      <c r="D65" s="6482"/>
      <c r="E65" s="6482"/>
      <c r="F65" s="6482"/>
      <c r="G65" s="6482"/>
      <c r="H65" s="6482"/>
      <c r="I65" s="6482"/>
      <c r="J65" s="6482"/>
    </row>
  </sheetData>
  <mergeCells count="7">
    <mergeCell ref="A65:J65"/>
    <mergeCell ref="A2:J2"/>
    <mergeCell ref="A4:A5"/>
    <mergeCell ref="B4:B5"/>
    <mergeCell ref="C4:C5"/>
    <mergeCell ref="D4:I4"/>
    <mergeCell ref="J4:J5"/>
  </mergeCells>
  <hyperlinks>
    <hyperlink ref="A4:A5" location="'Danh mục file'!A1" display="STT"/>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3:P46"/>
  <sheetViews>
    <sheetView zoomScale="90" zoomScaleNormal="90" workbookViewId="0">
      <selection activeCell="G24" sqref="G24"/>
    </sheetView>
  </sheetViews>
  <sheetFormatPr defaultColWidth="9.109375" defaultRowHeight="15.6"/>
  <cols>
    <col min="1" max="1" width="9.109375" style="30"/>
    <col min="2" max="2" width="20.88671875" style="2177" customWidth="1"/>
    <col min="3" max="3" width="27.44140625" style="2177" customWidth="1"/>
    <col min="4" max="4" width="20.88671875" style="2177" customWidth="1"/>
    <col min="5" max="5" width="38.109375" style="2177" customWidth="1"/>
    <col min="6" max="9" width="20.6640625" style="2177" customWidth="1"/>
    <col min="10" max="10" width="20.6640625" style="189" customWidth="1"/>
    <col min="11" max="12" width="20.6640625" style="2177" customWidth="1"/>
    <col min="13" max="13" width="14.6640625" style="30" customWidth="1"/>
    <col min="14" max="14" width="9.109375" style="30"/>
    <col min="15" max="15" width="20.44140625" style="30" customWidth="1"/>
    <col min="16" max="16384" width="9.109375" style="30"/>
  </cols>
  <sheetData>
    <row r="3" spans="1:16" ht="28.5" customHeight="1">
      <c r="A3" s="6240" t="s">
        <v>136</v>
      </c>
      <c r="B3" s="6494" t="s">
        <v>2649</v>
      </c>
      <c r="C3" s="6494"/>
      <c r="D3" s="6495" t="s">
        <v>2650</v>
      </c>
      <c r="E3" s="6495"/>
      <c r="F3" s="6495" t="s">
        <v>2750</v>
      </c>
      <c r="G3" s="6495"/>
      <c r="J3" s="6495" t="s">
        <v>2682</v>
      </c>
      <c r="K3" s="6495"/>
      <c r="L3" s="6493" t="s">
        <v>2678</v>
      </c>
      <c r="M3" s="6240" t="s">
        <v>2828</v>
      </c>
      <c r="N3" s="6240"/>
      <c r="O3" s="4427" t="s">
        <v>2829</v>
      </c>
      <c r="P3" s="4570"/>
    </row>
    <row r="4" spans="1:16" s="4427" customFormat="1">
      <c r="A4" s="6240"/>
      <c r="B4" s="4440" t="s">
        <v>2710</v>
      </c>
      <c r="C4" s="4440" t="s">
        <v>2681</v>
      </c>
      <c r="D4" s="4440" t="s">
        <v>2710</v>
      </c>
      <c r="E4" s="4440" t="s">
        <v>2681</v>
      </c>
      <c r="F4" s="4440" t="s">
        <v>2680</v>
      </c>
      <c r="G4" s="4440" t="s">
        <v>2681</v>
      </c>
      <c r="H4" s="4440" t="s">
        <v>2651</v>
      </c>
      <c r="I4" s="4441" t="s">
        <v>2652</v>
      </c>
      <c r="J4" s="3050" t="s">
        <v>2683</v>
      </c>
      <c r="K4" s="4440" t="s">
        <v>2681</v>
      </c>
      <c r="L4" s="6493"/>
      <c r="M4" s="30"/>
    </row>
    <row r="5" spans="1:16">
      <c r="B5" s="4442" t="s">
        <v>2751</v>
      </c>
      <c r="C5" s="2177" t="s">
        <v>2752</v>
      </c>
      <c r="D5" s="6492" t="s">
        <v>2733</v>
      </c>
      <c r="E5" s="6492"/>
    </row>
    <row r="6" spans="1:16">
      <c r="B6" s="4442" t="s">
        <v>2753</v>
      </c>
      <c r="C6" s="2177" t="s">
        <v>2754</v>
      </c>
      <c r="D6" s="4442" t="s">
        <v>2711</v>
      </c>
      <c r="E6" s="2177" t="s">
        <v>2721</v>
      </c>
      <c r="F6" s="4443" t="s">
        <v>2668</v>
      </c>
      <c r="G6" s="4443"/>
      <c r="H6" s="4443" t="s">
        <v>2663</v>
      </c>
      <c r="I6" s="4443" t="s">
        <v>2653</v>
      </c>
      <c r="J6" s="4444" t="s">
        <v>2684</v>
      </c>
      <c r="K6" s="4443" t="s">
        <v>2685</v>
      </c>
      <c r="L6" s="4445" t="s">
        <v>387</v>
      </c>
      <c r="M6" s="4428" t="s">
        <v>2830</v>
      </c>
      <c r="N6" s="30" t="s">
        <v>2831</v>
      </c>
      <c r="O6" s="4428" t="s">
        <v>2860</v>
      </c>
    </row>
    <row r="7" spans="1:16">
      <c r="B7" s="4442" t="s">
        <v>2755</v>
      </c>
      <c r="C7" s="2177" t="s">
        <v>2756</v>
      </c>
      <c r="D7" s="4442" t="s">
        <v>2712</v>
      </c>
      <c r="E7" s="2177" t="s">
        <v>2720</v>
      </c>
      <c r="F7" s="4443" t="s">
        <v>2669</v>
      </c>
      <c r="G7" s="4443"/>
      <c r="H7" s="4443" t="s">
        <v>2664</v>
      </c>
      <c r="I7" s="4443" t="s">
        <v>2654</v>
      </c>
      <c r="J7" s="4444" t="s">
        <v>2686</v>
      </c>
      <c r="K7" s="4443" t="s">
        <v>2685</v>
      </c>
      <c r="L7" s="4445" t="s">
        <v>251</v>
      </c>
      <c r="M7" s="4429" t="s">
        <v>2832</v>
      </c>
      <c r="N7" s="30" t="s">
        <v>2833</v>
      </c>
      <c r="O7" s="4428" t="s">
        <v>2861</v>
      </c>
    </row>
    <row r="8" spans="1:16">
      <c r="B8" s="4442" t="s">
        <v>2757</v>
      </c>
      <c r="C8" s="2177" t="s">
        <v>2758</v>
      </c>
      <c r="D8" s="4442" t="s">
        <v>2722</v>
      </c>
      <c r="E8" s="2177" t="s">
        <v>2723</v>
      </c>
      <c r="F8" s="4443" t="s">
        <v>2670</v>
      </c>
      <c r="G8" s="4443"/>
      <c r="H8" s="4443" t="s">
        <v>2665</v>
      </c>
      <c r="I8" s="4443" t="s">
        <v>2655</v>
      </c>
      <c r="J8" s="4444" t="s">
        <v>2687</v>
      </c>
      <c r="K8" s="4443" t="s">
        <v>2685</v>
      </c>
      <c r="L8" s="4445" t="s">
        <v>252</v>
      </c>
      <c r="M8" s="4428" t="s">
        <v>2834</v>
      </c>
      <c r="N8" s="30" t="s">
        <v>2759</v>
      </c>
      <c r="O8" s="4428" t="s">
        <v>2862</v>
      </c>
    </row>
    <row r="9" spans="1:16">
      <c r="B9" s="4442" t="s">
        <v>2760</v>
      </c>
      <c r="C9" s="2177" t="s">
        <v>2759</v>
      </c>
      <c r="D9" s="4442" t="s">
        <v>2724</v>
      </c>
      <c r="E9" s="2177" t="s">
        <v>2725</v>
      </c>
      <c r="F9" s="4443" t="s">
        <v>2671</v>
      </c>
      <c r="G9" s="4443"/>
      <c r="H9" s="4443" t="s">
        <v>2666</v>
      </c>
      <c r="I9" s="4443" t="s">
        <v>2656</v>
      </c>
      <c r="J9" s="4444" t="s">
        <v>2688</v>
      </c>
      <c r="K9" s="4443" t="s">
        <v>2685</v>
      </c>
      <c r="L9" s="4445" t="s">
        <v>253</v>
      </c>
      <c r="M9" s="4428" t="s">
        <v>2834</v>
      </c>
      <c r="N9" s="30" t="s">
        <v>2835</v>
      </c>
      <c r="O9" s="4428" t="s">
        <v>2863</v>
      </c>
    </row>
    <row r="10" spans="1:16">
      <c r="B10" s="4442" t="s">
        <v>2761</v>
      </c>
      <c r="C10" s="2177" t="s">
        <v>2762</v>
      </c>
      <c r="D10" s="4442" t="s">
        <v>2713</v>
      </c>
      <c r="E10" s="2177" t="s">
        <v>2726</v>
      </c>
      <c r="F10" s="4443" t="s">
        <v>2672</v>
      </c>
      <c r="G10" s="4443"/>
      <c r="H10" s="4443" t="s">
        <v>2667</v>
      </c>
      <c r="I10" s="4443" t="s">
        <v>2657</v>
      </c>
      <c r="J10" s="4444" t="s">
        <v>2689</v>
      </c>
      <c r="K10" s="4443" t="s">
        <v>2685</v>
      </c>
      <c r="L10" s="4445" t="s">
        <v>254</v>
      </c>
    </row>
    <row r="11" spans="1:16">
      <c r="B11" s="4442" t="s">
        <v>2763</v>
      </c>
      <c r="C11" s="2177" t="s">
        <v>2764</v>
      </c>
      <c r="D11" s="4442" t="s">
        <v>2714</v>
      </c>
      <c r="E11" s="2177" t="s">
        <v>2727</v>
      </c>
      <c r="F11" s="4443" t="s">
        <v>2673</v>
      </c>
      <c r="G11" s="4443"/>
      <c r="H11" s="4446"/>
      <c r="I11" s="4443" t="s">
        <v>2658</v>
      </c>
      <c r="J11" s="4444" t="s">
        <v>2690</v>
      </c>
      <c r="K11" s="4443" t="s">
        <v>2685</v>
      </c>
      <c r="L11" s="4445" t="s">
        <v>255</v>
      </c>
    </row>
    <row r="12" spans="1:16">
      <c r="B12" s="4442" t="s">
        <v>2765</v>
      </c>
      <c r="C12" s="2177" t="s">
        <v>2772</v>
      </c>
      <c r="D12" s="4442" t="s">
        <v>2715</v>
      </c>
      <c r="E12" s="2177" t="s">
        <v>2728</v>
      </c>
      <c r="F12" s="4443" t="s">
        <v>2674</v>
      </c>
      <c r="G12" s="4443"/>
      <c r="H12" s="4446"/>
      <c r="I12" s="4443" t="s">
        <v>2659</v>
      </c>
      <c r="J12" s="4444" t="s">
        <v>2691</v>
      </c>
      <c r="K12" s="4443" t="s">
        <v>2685</v>
      </c>
      <c r="L12" s="4445" t="s">
        <v>256</v>
      </c>
    </row>
    <row r="13" spans="1:16">
      <c r="B13" s="4442" t="s">
        <v>2766</v>
      </c>
      <c r="C13" s="2177" t="s">
        <v>2773</v>
      </c>
      <c r="D13" s="4442" t="s">
        <v>2716</v>
      </c>
      <c r="E13" s="2177" t="s">
        <v>2729</v>
      </c>
      <c r="F13" s="4443" t="s">
        <v>2675</v>
      </c>
      <c r="G13" s="4443"/>
      <c r="H13" s="4446"/>
      <c r="I13" s="4443" t="s">
        <v>2660</v>
      </c>
      <c r="J13" s="4444" t="s">
        <v>2692</v>
      </c>
      <c r="K13" s="4443" t="s">
        <v>2685</v>
      </c>
      <c r="L13" s="4445" t="s">
        <v>257</v>
      </c>
    </row>
    <row r="14" spans="1:16">
      <c r="B14" s="4442" t="s">
        <v>2767</v>
      </c>
      <c r="C14" s="2177" t="s">
        <v>2774</v>
      </c>
      <c r="D14" s="4442" t="s">
        <v>2717</v>
      </c>
      <c r="E14" s="2177" t="s">
        <v>2730</v>
      </c>
      <c r="F14" s="4443" t="s">
        <v>2676</v>
      </c>
      <c r="G14" s="4443"/>
      <c r="H14" s="4446"/>
      <c r="I14" s="4443" t="s">
        <v>2661</v>
      </c>
      <c r="J14" s="4444" t="s">
        <v>2693</v>
      </c>
      <c r="K14" s="4443" t="s">
        <v>2685</v>
      </c>
      <c r="L14" s="4445" t="s">
        <v>258</v>
      </c>
    </row>
    <row r="15" spans="1:16">
      <c r="B15" s="4442" t="s">
        <v>2768</v>
      </c>
      <c r="C15" s="2177" t="s">
        <v>2775</v>
      </c>
      <c r="D15" s="4442" t="s">
        <v>2718</v>
      </c>
      <c r="E15" s="2177" t="s">
        <v>2731</v>
      </c>
      <c r="F15" s="4443" t="s">
        <v>2677</v>
      </c>
      <c r="G15" s="4443"/>
      <c r="H15" s="4446"/>
      <c r="I15" s="4443" t="s">
        <v>2662</v>
      </c>
      <c r="J15" s="4444" t="s">
        <v>2694</v>
      </c>
      <c r="K15" s="4443" t="s">
        <v>2685</v>
      </c>
      <c r="L15" s="4445" t="s">
        <v>259</v>
      </c>
    </row>
    <row r="16" spans="1:16">
      <c r="B16" s="4442" t="s">
        <v>2769</v>
      </c>
      <c r="C16" s="2177" t="s">
        <v>2776</v>
      </c>
      <c r="D16" s="4442" t="s">
        <v>2719</v>
      </c>
      <c r="E16" s="2177" t="s">
        <v>2732</v>
      </c>
      <c r="J16" s="4444" t="s">
        <v>2695</v>
      </c>
      <c r="K16" s="4443" t="s">
        <v>2685</v>
      </c>
      <c r="L16" s="4445" t="s">
        <v>2679</v>
      </c>
    </row>
    <row r="17" spans="2:12">
      <c r="B17" s="4442" t="s">
        <v>2770</v>
      </c>
      <c r="C17" s="2177" t="s">
        <v>2777</v>
      </c>
      <c r="J17" s="4444" t="s">
        <v>2696</v>
      </c>
      <c r="K17" s="4443" t="s">
        <v>2685</v>
      </c>
      <c r="L17" s="4445" t="s">
        <v>261</v>
      </c>
    </row>
    <row r="18" spans="2:12">
      <c r="B18" s="4442" t="s">
        <v>2771</v>
      </c>
      <c r="C18" s="2177" t="s">
        <v>2778</v>
      </c>
      <c r="D18" s="6492" t="s">
        <v>2734</v>
      </c>
      <c r="E18" s="6492"/>
      <c r="J18" s="4444" t="s">
        <v>2697</v>
      </c>
      <c r="K18" s="4443" t="s">
        <v>2685</v>
      </c>
      <c r="L18" s="4445" t="s">
        <v>262</v>
      </c>
    </row>
    <row r="19" spans="2:12">
      <c r="B19" s="4442" t="s">
        <v>2779</v>
      </c>
      <c r="C19" s="2177" t="s">
        <v>2780</v>
      </c>
      <c r="D19" s="4442" t="s">
        <v>2735</v>
      </c>
      <c r="E19" s="2177" t="s">
        <v>2736</v>
      </c>
      <c r="J19" s="4444" t="s">
        <v>2698</v>
      </c>
      <c r="K19" s="4443" t="s">
        <v>2685</v>
      </c>
    </row>
    <row r="20" spans="2:12">
      <c r="B20" s="4442" t="s">
        <v>2781</v>
      </c>
      <c r="C20" s="2177" t="s">
        <v>2782</v>
      </c>
      <c r="D20" s="4442" t="s">
        <v>2737</v>
      </c>
      <c r="E20" s="2177" t="s">
        <v>2738</v>
      </c>
      <c r="J20" s="4444" t="s">
        <v>2699</v>
      </c>
      <c r="K20" s="4443" t="s">
        <v>2685</v>
      </c>
    </row>
    <row r="21" spans="2:12">
      <c r="B21" s="4442" t="s">
        <v>2783</v>
      </c>
      <c r="C21" s="2177" t="s">
        <v>2784</v>
      </c>
      <c r="D21" s="4442" t="s">
        <v>2739</v>
      </c>
      <c r="E21" s="2177" t="s">
        <v>2740</v>
      </c>
      <c r="J21" s="4444" t="s">
        <v>2700</v>
      </c>
      <c r="K21" s="4443" t="s">
        <v>2685</v>
      </c>
    </row>
    <row r="22" spans="2:12">
      <c r="B22" s="4442" t="s">
        <v>2785</v>
      </c>
      <c r="C22" s="2177" t="s">
        <v>2786</v>
      </c>
      <c r="D22" s="4442" t="s">
        <v>2741</v>
      </c>
      <c r="E22" s="2177" t="s">
        <v>2749</v>
      </c>
      <c r="J22" s="4444" t="s">
        <v>2701</v>
      </c>
      <c r="K22" s="4443" t="s">
        <v>2685</v>
      </c>
    </row>
    <row r="23" spans="2:12">
      <c r="B23" s="4442" t="s">
        <v>2793</v>
      </c>
      <c r="C23" s="2177" t="s">
        <v>2798</v>
      </c>
      <c r="D23" s="4442" t="s">
        <v>2742</v>
      </c>
      <c r="E23" s="2177" t="s">
        <v>1802</v>
      </c>
      <c r="J23" s="4444" t="s">
        <v>2702</v>
      </c>
      <c r="K23" s="4443" t="s">
        <v>2685</v>
      </c>
    </row>
    <row r="24" spans="2:12">
      <c r="B24" s="4442" t="s">
        <v>2794</v>
      </c>
      <c r="C24" s="2177" t="s">
        <v>2799</v>
      </c>
      <c r="D24" s="4442" t="s">
        <v>2743</v>
      </c>
      <c r="E24" s="2177" t="s">
        <v>2744</v>
      </c>
      <c r="J24" s="4444" t="s">
        <v>2703</v>
      </c>
      <c r="K24" s="4443" t="s">
        <v>2685</v>
      </c>
    </row>
    <row r="25" spans="2:12">
      <c r="B25" s="4442" t="s">
        <v>2795</v>
      </c>
      <c r="C25" s="2177" t="s">
        <v>2800</v>
      </c>
      <c r="D25" s="4442" t="s">
        <v>2745</v>
      </c>
      <c r="E25" s="2177" t="s">
        <v>2746</v>
      </c>
      <c r="J25" s="4444" t="s">
        <v>2704</v>
      </c>
      <c r="K25" s="4443" t="s">
        <v>2685</v>
      </c>
    </row>
    <row r="26" spans="2:12">
      <c r="B26" s="4442" t="s">
        <v>2796</v>
      </c>
      <c r="C26" s="2177" t="s">
        <v>2801</v>
      </c>
      <c r="D26" s="4442" t="s">
        <v>2747</v>
      </c>
      <c r="E26" s="2177" t="s">
        <v>2748</v>
      </c>
      <c r="J26" s="4444" t="s">
        <v>2705</v>
      </c>
      <c r="K26" s="4443" t="s">
        <v>2685</v>
      </c>
    </row>
    <row r="27" spans="2:12">
      <c r="B27" s="4442" t="s">
        <v>2797</v>
      </c>
      <c r="C27" s="2177" t="s">
        <v>2802</v>
      </c>
      <c r="J27" s="4444" t="s">
        <v>2706</v>
      </c>
    </row>
    <row r="28" spans="2:12">
      <c r="B28" s="4442" t="s">
        <v>2788</v>
      </c>
      <c r="C28" s="2177" t="s">
        <v>2789</v>
      </c>
      <c r="D28" s="6492" t="s">
        <v>2790</v>
      </c>
      <c r="E28" s="6492"/>
      <c r="J28" s="4444" t="s">
        <v>2707</v>
      </c>
    </row>
    <row r="29" spans="2:12">
      <c r="B29" s="4442" t="s">
        <v>2787</v>
      </c>
      <c r="J29" s="4444" t="s">
        <v>2708</v>
      </c>
    </row>
    <row r="30" spans="2:12">
      <c r="B30" s="4442" t="s">
        <v>2791</v>
      </c>
      <c r="C30" s="2177" t="s">
        <v>2792</v>
      </c>
      <c r="D30" s="4442" t="s">
        <v>2807</v>
      </c>
      <c r="E30" s="6491" t="s">
        <v>2812</v>
      </c>
      <c r="J30" s="4444" t="s">
        <v>2709</v>
      </c>
    </row>
    <row r="31" spans="2:12">
      <c r="B31" s="4442" t="s">
        <v>2864</v>
      </c>
      <c r="C31" s="2177" t="s">
        <v>2865</v>
      </c>
      <c r="D31" s="4442" t="s">
        <v>2808</v>
      </c>
      <c r="E31" s="6491"/>
    </row>
    <row r="32" spans="2:12">
      <c r="B32" s="4442" t="s">
        <v>2908</v>
      </c>
      <c r="C32" s="2177" t="s">
        <v>2909</v>
      </c>
      <c r="D32" s="4442" t="s">
        <v>2809</v>
      </c>
      <c r="E32" s="6491"/>
    </row>
    <row r="33" spans="2:5">
      <c r="B33" s="4442" t="s">
        <v>2803</v>
      </c>
      <c r="C33" s="2177" t="s">
        <v>2804</v>
      </c>
      <c r="D33" s="4442" t="s">
        <v>2810</v>
      </c>
      <c r="E33" s="6491"/>
    </row>
    <row r="34" spans="2:5">
      <c r="B34" s="4442" t="s">
        <v>2805</v>
      </c>
      <c r="C34" s="2177" t="s">
        <v>2806</v>
      </c>
      <c r="D34" s="4442" t="s">
        <v>2811</v>
      </c>
      <c r="E34" s="6491"/>
    </row>
    <row r="35" spans="2:5">
      <c r="B35" s="4442" t="s">
        <v>3021</v>
      </c>
      <c r="C35" s="2177" t="s">
        <v>3022</v>
      </c>
      <c r="D35" s="4442" t="s">
        <v>2813</v>
      </c>
    </row>
    <row r="36" spans="2:5">
      <c r="B36" s="4442" t="s">
        <v>3108</v>
      </c>
      <c r="C36" s="2177" t="s">
        <v>3109</v>
      </c>
      <c r="D36" s="4442" t="s">
        <v>2814</v>
      </c>
    </row>
    <row r="37" spans="2:5">
      <c r="B37" s="4442" t="s">
        <v>3110</v>
      </c>
      <c r="C37" s="2177" t="s">
        <v>3112</v>
      </c>
      <c r="D37" s="4442" t="s">
        <v>2815</v>
      </c>
    </row>
    <row r="38" spans="2:5">
      <c r="B38" s="4442" t="s">
        <v>3111</v>
      </c>
      <c r="D38" s="4442" t="s">
        <v>2817</v>
      </c>
    </row>
    <row r="39" spans="2:5">
      <c r="D39" s="4442" t="s">
        <v>2816</v>
      </c>
    </row>
    <row r="40" spans="2:5">
      <c r="D40" s="4442" t="s">
        <v>2818</v>
      </c>
    </row>
    <row r="41" spans="2:5">
      <c r="D41" s="4442" t="s">
        <v>2819</v>
      </c>
      <c r="E41" s="2177" t="s">
        <v>2824</v>
      </c>
    </row>
    <row r="42" spans="2:5">
      <c r="D42" s="4442" t="s">
        <v>2820</v>
      </c>
      <c r="E42" s="2177" t="s">
        <v>2825</v>
      </c>
    </row>
    <row r="43" spans="2:5">
      <c r="D43" s="4442" t="s">
        <v>2821</v>
      </c>
      <c r="E43" s="2177" t="s">
        <v>2826</v>
      </c>
    </row>
    <row r="44" spans="2:5">
      <c r="D44" s="4442" t="s">
        <v>2827</v>
      </c>
    </row>
    <row r="45" spans="2:5">
      <c r="D45" s="4442" t="s">
        <v>2822</v>
      </c>
    </row>
    <row r="46" spans="2:5">
      <c r="D46" s="4442" t="s">
        <v>2823</v>
      </c>
    </row>
  </sheetData>
  <mergeCells count="11">
    <mergeCell ref="M3:N3"/>
    <mergeCell ref="E30:E34"/>
    <mergeCell ref="A3:A4"/>
    <mergeCell ref="D5:E5"/>
    <mergeCell ref="D28:E28"/>
    <mergeCell ref="L3:L4"/>
    <mergeCell ref="D18:E18"/>
    <mergeCell ref="B3:C3"/>
    <mergeCell ref="F3:G3"/>
    <mergeCell ref="J3:K3"/>
    <mergeCell ref="D3:E3"/>
  </mergeCells>
  <hyperlinks>
    <hyperlink ref="I6" location="'Phụ lục 1-CKNS'!A1" display="Phụ lục 1-CKNS"/>
    <hyperlink ref="I7" location="'Phụ lục 2-CKNS'!A1" display="Phụ lục 2-CKNS"/>
    <hyperlink ref="I8" location="'Phụ lục 3-CKNS'!A1" display="Phụ lục 3-CKNS"/>
    <hyperlink ref="I9" location="'Phụ lục 4-CKNS'!A1" display="Phụ lục 4-CKNS"/>
    <hyperlink ref="I10" location="'Phụ lục 5-CKNS'!A1" display="Phụ lục 5-CKNS"/>
    <hyperlink ref="I11" location="'Phụ lục 6-CKNS'!A1" display="Phụ lục 6-CKNS"/>
    <hyperlink ref="I12" location="'Phụ lục 7-CKNS'!A1" display="Phụ lục 7-CKNS"/>
    <hyperlink ref="I13" location="'Phụ lục 8-CKNS'!A1" display="Phụ lục 8-CKNS"/>
    <hyperlink ref="I14" location="'Phụ lục 9-CKNS'!A1" display="Phụ lục 9-CKNS"/>
    <hyperlink ref="I15" location="'Phụ lục 10-CKNS'!A1" display="Phụ lục 10-CKNS"/>
    <hyperlink ref="H6" location="'Phụ lục 1-KQPB'!A1" display="Phụ lục 1-KQPB"/>
    <hyperlink ref="H7" location="'Phụ lục 2-KQPB'!A1" display="Phụ lục 2-KQPB"/>
    <hyperlink ref="H8" location="'Phụ lục 3-KQPB'!A1" display="Phụ lục 3-KQPB"/>
    <hyperlink ref="H9" location="'Phụ lục 4-KQPB'!A1" display="Phụ lục 4-KQPB"/>
    <hyperlink ref="H10" location="'Phụ lục 5-KQPB'!A1" display="Phụ lục 5-KQPB"/>
    <hyperlink ref="F6" location="'Phụ lục 1-HĐND'!A1" display="Phụ lục 1-HĐND"/>
    <hyperlink ref="F7" location="'Phụ lục 2-HĐND'!A1" display="Phụ lục 2-HĐND"/>
    <hyperlink ref="F8" location="'Phụ lục 3-HĐND'!A1" display="Phụ lục 3-HĐND"/>
    <hyperlink ref="F9" location="'Phụ lục 4-HĐND'!A1" display="Phụ lục 4-HĐND"/>
    <hyperlink ref="F10" location="'Phụ lục 5-HĐND'!A1" display="Phụ lục 5-HĐND"/>
    <hyperlink ref="F11" location="'Phụ lục 6-HĐND'!A1" display="Phụ lục 6-HĐND"/>
    <hyperlink ref="F12" location="'Phụ lục 7-HĐND'!A1" display="Phụ lục 7-HĐND"/>
    <hyperlink ref="F13" location="'Phụ lục 8-HĐND'!A1" display="Phụ lục 8-HĐND"/>
    <hyperlink ref="F14" location="'Phụ lục 9-HĐND'!A1" display="Phụ lục 9-HĐND"/>
    <hyperlink ref="F15" location="'Phụ lục 10-HĐND'!A1" display="Phụ lục 10-HĐND"/>
    <hyperlink ref="L6" location="'TỔNG CỘNG'!A1" display="Tổng cộng"/>
    <hyperlink ref="L7" location="'H. HỒNG NGỰ'!A1" display="H. Hồng Ngự"/>
    <hyperlink ref="L8" location="'TP.  HỒNG NGỰ'!A1" display="TP. Hồng Ngự"/>
    <hyperlink ref="L9" location="'H. TÂN HỒNG'!A1" display="H. Tân Hồng"/>
    <hyperlink ref="L10" location="'H. TAM NÔNG'!A1" display="H. Tam Nông"/>
    <hyperlink ref="L11" location="'H. THANH BÌNH'!A1" display="H. Thanh Bình"/>
    <hyperlink ref="L12" location="'TP. CAO LÃNH'!A1" display="TP. Cao Lãnh"/>
    <hyperlink ref="L13" location="'H. CAO LÃNH'!A1" display="H. Cao Lãnh"/>
    <hyperlink ref="L14" location="'H. THÁP MƯỜI'!A1" display="H. Tháp Mười"/>
    <hyperlink ref="L15" location="'H. LẤP VÒ'!A1" display="H. Lấp Vò"/>
    <hyperlink ref="L16" location="'H. LAI VUNG'!A1" display="H. Lai vung"/>
    <hyperlink ref="L17" location="'TP. SA ĐÉC'!A1" display="TP. Sa Đéc"/>
    <hyperlink ref="L18" location="'H. CHÂU THÀNH'!A1" display="H. Châu Thành"/>
    <hyperlink ref="J6" location="'Biểu 33-CK-NSNN'!A1" display="Biểu 33-CK-NSNN"/>
    <hyperlink ref="J7" location="'Biểu 34-CK-NSNN'!A1" display="Biểu 34-CK-NSNN"/>
    <hyperlink ref="J8" location="'Biểu 35-CK-NSNN'!A1" display="Biểu 35-CK-NSNN"/>
    <hyperlink ref="J9" location="'Biểu 36-CK-NSNN'!A1" display="Biểu 36-CK-NSNN"/>
    <hyperlink ref="J10" location="'Biểu 37-CK-NSNN'!A1" display="Biểu 37-CK-NSNN"/>
    <hyperlink ref="J11" location="'Biểu 38-CK-NSNN'!A1" display="Biểu 38-CK-NSNN"/>
    <hyperlink ref="J12" location="'Biểu 39-CK-NSNN'!A1" display="Biểu 39-CK-NSNN"/>
    <hyperlink ref="J13" location="'Biểu 40-CK-NSNN'!A1" display="Biểu 40-CK-NSNN"/>
    <hyperlink ref="J14" location="'Biểu 41-CK-NSNN'!A1" display="Biểu 41-CK-NSNN"/>
    <hyperlink ref="J15" location="'Biểu 42-CK-NSNN'!A1" display="Biểu 42-CK-NSNN"/>
    <hyperlink ref="J16" location="'Biểu 43-CK-NSNN'!A1" display="Biểu 43-CK-NSNN"/>
    <hyperlink ref="J17" location="'Biểu 44-CK-NSNN'!A1" display="Biểu 44-CK-NSNN"/>
    <hyperlink ref="J18" location="'Biểu 45-CK-NSNN'!A1" display="Biểu 45-CK-NSNN"/>
    <hyperlink ref="J19" location="'Biểu 46-CK-NSNN'!A1" display="Biểu 46-CK-NSNN "/>
    <hyperlink ref="J20" location="'Biểu 47-CK-NSNN'!A1" display="Biểu 47-CK-NSNN"/>
    <hyperlink ref="J21" location="'Biểu 48-CK-NSNN'!A1" display="Biểu 48-CK-NSNN"/>
    <hyperlink ref="J22" location="'Biểu 49-CK-NSNN'!A1" display="Biểu 49-CK-NSNN"/>
    <hyperlink ref="J23" location="'Biểu 50-CK-NSNN'!A1" display="Biểu 50-CK-NSNN"/>
    <hyperlink ref="J24" location="'Biểu 51-CK-NSNN'!A1" display="Biểu 51-CK-NSNN"/>
    <hyperlink ref="J25" location="'Biểu 52-CK-NSNN'!A1" display="Biểu 52-CK-NSNN "/>
    <hyperlink ref="J26" location="'Biểu 53-CK-NSNN '!A1" display="Biểu 53-CK-NSNN "/>
    <hyperlink ref="J27" location="'Biểu 54-CK-NSNN'!A1" display="Biểu 54-CK-NSNN"/>
    <hyperlink ref="J28" location="'Biểu 55-CK-NSNN'!A1" display="Biểu 55-CK-NSNN"/>
    <hyperlink ref="J29" location="'Biểu 56-CK-NSNN'!A1" display="Biểu 56-CK-NSNN"/>
    <hyperlink ref="J30" location="'Biểu 57-CK-NSNN'!A1" display="Biểu 57-CK-NSNN"/>
    <hyperlink ref="D6" location="'Phụ lục số 1'!A1" display="Phụ lục số 1"/>
    <hyperlink ref="D7" location="'Phụ lục số 2'!A1" display="Phụ lục số 2"/>
    <hyperlink ref="D8" location="'Phụ lục số 3-CĐC'!A1" display="Phụ lục số 3-CĐC"/>
    <hyperlink ref="D9" location="'Phụ lục số 3-CĐC(-BS)'!A1" display="Phụ lục số 3-CĐC (-BS)"/>
    <hyperlink ref="D10" location="'Phụ lục số 4'!A1" display="Phụ lục số 4"/>
    <hyperlink ref="D11" location="'Phụ lục số 5'!A1" display="Phụ lục số 5"/>
    <hyperlink ref="D12" location="'Phụ lục số 6'!A1" display="Phụ lục số 6"/>
    <hyperlink ref="D13" location="'Phụ lục số 7'!A1" display="Phụ lục số 7"/>
    <hyperlink ref="D14" location="'Phụ lục số 8'!A1" display="Phụ lục số 8"/>
    <hyperlink ref="D15" location="'Phụ lục số 9'!A1" display="Phụ lục số 9"/>
    <hyperlink ref="D16" location="'Phụ lục số 10'!A1" display="Phụ lục số 10"/>
    <hyperlink ref="D19" location="'Phụ lục số 3.1-Phân bổ'!A1" display="Phụ lục số 3.1"/>
    <hyperlink ref="D20" location="'Phụ lục số 7.1'!A1" display="Phụ lục số 7.1"/>
    <hyperlink ref="D21" location="'Phụ lục số 7.2 - đất - thuê đất'!A1" display="Phụ lục số 7.2"/>
    <hyperlink ref="D22" location="'Phụ lục số 8.1'!A1" display="Phụ lục số 8.1"/>
    <hyperlink ref="D23" location="'Phụ lục số 8.2-CCTL'!A1" display="Phụ lục số 8.2"/>
    <hyperlink ref="D24" location="'Phụ lục số 8.3-CĐCS'!A1" display="Phụ lục số 8.3"/>
    <hyperlink ref="D25" location="'Phụ lục số 8.4-10%TK'!A1" display="Phụ lục số 8.4"/>
    <hyperlink ref="D26" location="'Phụ lục số 9.1'!A1" display="Phụ lục số 9.1"/>
    <hyperlink ref="B5" location="'KT-XH GĐ'!A1" display="KT-XH GĐ"/>
    <hyperlink ref="B6" location="'KT-XH NAM'!A1" display="KT-XH N.."/>
    <hyperlink ref="B7" location="'Phụ lục số I'!A1" display="Phụ lục số I"/>
    <hyperlink ref="B8" location="'Phụ lục số II'!A1" display="Phụ lục số II"/>
    <hyperlink ref="B9" location="'Phụ lục số III-CĐC'!A1" display="Phụ lục số III-CĐC"/>
    <hyperlink ref="B10" location="'Phụ lục số III-CĐC(-BS)'!A1" display="Phụ lục số III-CĐC-(BS)"/>
    <hyperlink ref="B11" location="'Phụ lục số IV'!A1" display="Phụ lục số IV"/>
    <hyperlink ref="B12" location="'Phụ lục số IVa'!A1" display="Phụ lục số IVa"/>
    <hyperlink ref="B13" location="'Phụ lục số IVb'!A1" display="Phụ lục số IVb"/>
    <hyperlink ref="B14" location="'Phụ lục số IVd'!A1" display="Phụ lục số IVd"/>
    <hyperlink ref="B15" location="'Phụ lục số IVk'!A1" display="Phụ lục số IVk"/>
    <hyperlink ref="B16" location="'Phụ lục số IVL'!A1" display="Phụ lục số IVl"/>
    <hyperlink ref="B17" location="'Phụ lục số IVm'!A1" display="Phụ lục số IVm"/>
    <hyperlink ref="B18" location="'Phụ lục số IVn'!A1" display="Phụ lục số IVn"/>
    <hyperlink ref="B19" location="'Phụ lục số V-CCTL'!A1" display="Phụ lục số V"/>
    <hyperlink ref="B20" location="'Phụ lục số VI-DPDTr'!A1" display="Phụ lục số VI"/>
    <hyperlink ref="B21" location="'Phụ lục số VII-Vaytrano'!A1" display="Phụ lục số VII"/>
    <hyperlink ref="B22" location="'Phụ lục VIII-QUYTC'!A1" display="Phụ lục số VIII"/>
    <hyperlink ref="B23" location="'Phụ lục số IX'!A1" display="Phụ lục số IX"/>
    <hyperlink ref="B24" location="'Phụ lục số X'!A1" display="Phụ lục số X"/>
    <hyperlink ref="B25" location="'Phụ lục số XI năm -CĐC'!A1" display="Phụ lục số XI"/>
    <hyperlink ref="B26" location="'Phụ lục số XI-CĐC(-BS)'!A1" display="Phụ lục số XII"/>
    <hyperlink ref="B27" location="'Phụ lục số XIII'!A1" display="Phụ lục số XIII"/>
    <hyperlink ref="B28" location="'BIỂU MẪU SỐ 03-RUT VON'!A1" display="Biểu mẫu số 03"/>
    <hyperlink ref="B29" location="'Biểu Nợ vay'!A1" display="Biểu Nợ vay"/>
    <hyperlink ref="B30" location="'PL-Chithuongxuyen'!A1" display="PL-Chi thường xuyên"/>
    <hyperlink ref="B33" location="'SosanhThuTW-ĐP'!A1" display="SosanhThuTW-ĐP"/>
    <hyperlink ref="B34" location="'SosanhTW-ĐP'!A1" display="SoanhTW-ĐP"/>
    <hyperlink ref="D30" location="'Thu 3n'!A1" display="Thu 03 năm"/>
    <hyperlink ref="D31" location="'Chi 3n'!A1" display="Chi 03 năm"/>
    <hyperlink ref="D32" location="CĐ3n!A1" display="CĐ 03 năm"/>
    <hyperlink ref="D33" location="CĐDP3nBS!A1" display="CĐC 03 năm"/>
    <hyperlink ref="D34" location="'CĐĐP3n-BS'!A1" display="CĐC 03 năm - BS"/>
    <hyperlink ref="D35" location="'PL-BSMTTW'!A1" display="PL-BSMTTTW"/>
    <hyperlink ref="D36" location="'Phụ luc 1.1'!A1" display="Phụ lục 1.1"/>
    <hyperlink ref="D37" location="'Phụ lục 2.1'!A1" display="Phụ lục 2.1"/>
    <hyperlink ref="D38" location="'PLThu 21-25'!A1" display="PL thu 21-25"/>
    <hyperlink ref="D39" location="'PLChi 21-25'!A1" display="PL chi 21-25"/>
    <hyperlink ref="D40" location="'PLCĐ 21-25'!A1" display="PLCĐ 21-25"/>
    <hyperlink ref="D41" location="'Biểu số 1'!A1" display="Biểu số 1"/>
    <hyperlink ref="D42" location="'Biểu số 2'!A1" display="Biểu số 2"/>
    <hyperlink ref="D43" location="'Biểu số 3'!A1" display="Biểu số 3"/>
    <hyperlink ref="D44" location="'Biểu số 1 (2)'!A1" display="Biểu số 1(2)"/>
    <hyperlink ref="D45" location="'Biểu số 4-ĐTC 21-25'!A1" display="Biểu số 4-ĐTC 21-25"/>
    <hyperlink ref="D46" location="'Biểu số 4.1-ĐTC 2026-2030'!A1" display="Biểu số 4.1-ĐTC 2026-2030"/>
    <hyperlink ref="M6" location="'PHỤ LỤC 1 TRÌNH '!A1" display="PHỤ LỤC 1"/>
    <hyperlink ref="M7" location="'PHỤ LỤC 2 TRÌNH'!A1" display="PHỤ LỤC 2"/>
    <hyperlink ref="M8" location="'PHỤ LỤC 3 - CĐC TRINH'!A1" display="PHỤ LỤC 3"/>
    <hyperlink ref="M9" location="'PHỤ LỤC 3-CĐC(-BS) TRINH'!A1" display="PHỤ LỤC 3"/>
    <hyperlink ref="O6" location="'Phụ lục thu-6T'!A1" display="Phụ lục thu - 6T"/>
    <hyperlink ref="O7" location="'Phụ lục chi-6T'!A1" display="Phụ lục chi - 6T"/>
    <hyperlink ref="O8" location="'Phụ lục CĐC-6T'!A1" display="Phụ lục CĐC - 6T"/>
    <hyperlink ref="O9" location="'Phụ lục CĐC-6T-BS'!A1" display="Phụ lục CĐC - 6T - BS"/>
    <hyperlink ref="B31" location="'Biểu mẫu số 04'!A1" display="Biểu mẫu số 04"/>
    <hyperlink ref="B32" location="'Biểu mẫu số 05'!A1" display="Biểu mẫu số 05"/>
    <hyperlink ref="B35" location="'PL so sanh ĐM'!A1" display="PL so sánh ĐM"/>
    <hyperlink ref="B36" location="'PL xác định lại ĐM'!A1" display="PL xac định lại ĐM"/>
    <hyperlink ref="B37" location="'PL xác định lại ĐM-TW'!A1" display="PL xác định lại ĐM-TW"/>
    <hyperlink ref="B38" location="'Biểu KH05 năm'!A1" display="Biểu KH05 năm"/>
  </hyperlink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6"/>
  <sheetViews>
    <sheetView workbookViewId="0">
      <selection activeCell="M28" sqref="M28"/>
    </sheetView>
  </sheetViews>
  <sheetFormatPr defaultRowHeight="14.4"/>
  <sheetData>
    <row r="6" spans="1:1" ht="17.399999999999999">
      <c r="A6" s="4434" t="s">
        <v>136</v>
      </c>
    </row>
  </sheetData>
  <hyperlinks>
    <hyperlink ref="A6" location="'Danh mục file'!A1" display="Số TT"/>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57"/>
  <sheetViews>
    <sheetView zoomScale="80" zoomScaleNormal="80" workbookViewId="0">
      <pane xSplit="10" ySplit="12" topLeftCell="K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5.6"/>
  <cols>
    <col min="1" max="1" width="6.44140625" style="1" customWidth="1"/>
    <col min="2" max="2" width="65.5546875" style="1" customWidth="1"/>
    <col min="3" max="3" width="11.6640625" style="1" customWidth="1"/>
    <col min="4" max="4" width="12.88671875" style="1" customWidth="1"/>
    <col min="5" max="5" width="10.6640625" style="1" customWidth="1"/>
    <col min="6" max="8" width="10.6640625" style="1" hidden="1" customWidth="1"/>
    <col min="9" max="9" width="11.6640625" style="1" hidden="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34" width="10.6640625" style="1" customWidth="1"/>
    <col min="35" max="52" width="10.6640625" style="1" hidden="1" customWidth="1"/>
    <col min="53" max="54" width="9.109375" style="1"/>
    <col min="55" max="55" width="12.33203125" style="1" bestFit="1" customWidth="1"/>
    <col min="56" max="56" width="9.109375" style="1"/>
    <col min="57" max="57" width="12.33203125" style="1" bestFit="1" customWidth="1"/>
    <col min="58" max="59" width="9.109375" style="1"/>
    <col min="60" max="60" width="13.88671875" style="1" customWidth="1"/>
    <col min="61" max="64" width="9.109375" style="1"/>
    <col min="65" max="65" width="10.33203125" style="1" customWidth="1"/>
    <col min="66" max="66" width="11.6640625" style="1" bestFit="1" customWidth="1"/>
    <col min="67" max="68" width="9.109375" style="1"/>
    <col min="69" max="69" width="10.5546875" style="1" bestFit="1" customWidth="1"/>
    <col min="70" max="70" width="9.109375" style="1"/>
    <col min="71" max="71" width="12.109375" style="1" customWidth="1"/>
    <col min="72" max="72" width="9.109375" style="1"/>
    <col min="73" max="73" width="10.109375" style="1" bestFit="1" customWidth="1"/>
    <col min="74" max="74" width="10.5546875" style="1" customWidth="1"/>
    <col min="75" max="16384" width="9.109375" style="1"/>
  </cols>
  <sheetData>
    <row r="1" spans="1:74">
      <c r="A1" s="6056" t="s">
        <v>1411</v>
      </c>
      <c r="B1" s="6056"/>
      <c r="C1" s="6056"/>
      <c r="D1" s="6056"/>
      <c r="E1" s="6056"/>
      <c r="F1" s="6056"/>
      <c r="G1" s="6056"/>
      <c r="H1" s="6056"/>
      <c r="I1" s="6056"/>
      <c r="J1" s="6056"/>
      <c r="K1" s="6056"/>
      <c r="L1" s="6056"/>
      <c r="M1" s="6056"/>
      <c r="N1" s="6056"/>
      <c r="O1" s="6056"/>
      <c r="P1" s="6056"/>
      <c r="Q1" s="6056"/>
      <c r="R1" s="6056"/>
      <c r="S1" s="6056"/>
      <c r="T1" s="6056"/>
      <c r="U1" s="6056"/>
      <c r="V1" s="6056"/>
      <c r="W1" s="6056"/>
      <c r="X1" s="6056"/>
      <c r="Y1" s="6056"/>
      <c r="Z1" s="6056"/>
      <c r="AA1" s="6056"/>
      <c r="AB1" s="6056"/>
      <c r="AC1" s="6056"/>
      <c r="AD1" s="6056"/>
      <c r="AE1" s="6056"/>
      <c r="AF1" s="6056"/>
      <c r="AG1" s="6056"/>
      <c r="AH1" s="6056"/>
      <c r="AI1" s="6056"/>
      <c r="AJ1" s="6056"/>
      <c r="AK1" s="6056"/>
      <c r="AL1" s="6056"/>
      <c r="AM1" s="6056"/>
      <c r="AN1" s="6056"/>
      <c r="AO1" s="6056"/>
      <c r="AP1" s="6056"/>
      <c r="AQ1" s="6056"/>
      <c r="AR1" s="6056"/>
    </row>
    <row r="2" spans="1:74">
      <c r="A2" s="6056" t="s">
        <v>3266</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row>
    <row r="3" spans="1:74">
      <c r="A3" s="6059" t="s">
        <v>3208</v>
      </c>
      <c r="B3" s="6059"/>
      <c r="C3" s="6059"/>
      <c r="D3" s="6059"/>
      <c r="E3" s="6059"/>
      <c r="F3" s="6059"/>
      <c r="G3" s="6059"/>
      <c r="H3" s="6059"/>
      <c r="I3" s="6059"/>
      <c r="J3" s="6059"/>
      <c r="K3" s="6059"/>
      <c r="L3" s="6059"/>
      <c r="M3" s="6059"/>
      <c r="N3" s="6059"/>
      <c r="O3" s="6059"/>
      <c r="P3" s="6059"/>
      <c r="Q3" s="6059"/>
      <c r="R3" s="6059"/>
      <c r="S3" s="6059"/>
      <c r="T3" s="6059"/>
      <c r="U3" s="6059"/>
      <c r="V3" s="6059"/>
      <c r="W3" s="6059"/>
      <c r="X3" s="6059"/>
      <c r="Y3" s="6059"/>
      <c r="Z3" s="6059"/>
      <c r="AA3" s="6059"/>
      <c r="AB3" s="6059"/>
      <c r="AC3" s="6059"/>
      <c r="AD3" s="6059"/>
      <c r="AE3" s="6059"/>
      <c r="AF3" s="6059"/>
      <c r="AG3" s="6059"/>
      <c r="AH3" s="6059"/>
      <c r="AI3" s="6059"/>
      <c r="AJ3" s="6059"/>
      <c r="AK3" s="6059"/>
      <c r="AL3" s="6059"/>
      <c r="AM3" s="6059"/>
      <c r="AN3" s="6059"/>
      <c r="AO3" s="6059"/>
      <c r="AP3" s="6059"/>
      <c r="AQ3" s="6059"/>
      <c r="AR3" s="6059"/>
    </row>
    <row r="4" spans="1:74">
      <c r="R4" s="6"/>
      <c r="T4" s="1704"/>
      <c r="V4" s="6">
        <f>+V10-'Phụ lục số 7.1'!J9</f>
        <v>0</v>
      </c>
      <c r="AA4" s="6"/>
    </row>
    <row r="5" spans="1:74" ht="16.2" thickBot="1">
      <c r="D5" s="1700"/>
      <c r="J5" s="1662">
        <f>410000-J51</f>
        <v>0.43058333400404081</v>
      </c>
      <c r="K5" s="6"/>
      <c r="M5" s="6"/>
      <c r="N5" s="6"/>
      <c r="Q5" s="1704"/>
      <c r="R5" s="1704"/>
      <c r="S5" s="1704"/>
      <c r="U5" s="1" t="s">
        <v>117</v>
      </c>
      <c r="Z5" s="6"/>
      <c r="AA5" s="6"/>
      <c r="AF5" s="6529" t="s">
        <v>246</v>
      </c>
      <c r="AG5" s="6529"/>
      <c r="AH5" s="6529"/>
    </row>
    <row r="6" spans="1:74" ht="16.2" thickTop="1">
      <c r="A6" s="6530" t="s">
        <v>0</v>
      </c>
      <c r="B6" s="6532" t="s">
        <v>49</v>
      </c>
      <c r="C6" s="6533" t="s">
        <v>50</v>
      </c>
      <c r="D6" s="6533"/>
      <c r="E6" s="6533"/>
      <c r="F6" s="6533"/>
      <c r="G6" s="6533"/>
      <c r="H6" s="6533"/>
      <c r="I6" s="6533"/>
      <c r="J6" s="6527" t="s">
        <v>120</v>
      </c>
      <c r="K6" s="6527"/>
      <c r="L6" s="6527"/>
      <c r="M6" s="6527"/>
      <c r="N6" s="6527"/>
      <c r="O6" s="6527"/>
      <c r="P6" s="6527"/>
      <c r="Q6" s="6527" t="s">
        <v>121</v>
      </c>
      <c r="R6" s="6527"/>
      <c r="S6" s="6527"/>
      <c r="T6" s="6527"/>
      <c r="U6" s="6527"/>
      <c r="V6" s="6527"/>
      <c r="W6" s="6527" t="s">
        <v>125</v>
      </c>
      <c r="X6" s="6527"/>
      <c r="Y6" s="6527"/>
      <c r="Z6" s="6527"/>
      <c r="AA6" s="6527"/>
      <c r="AB6" s="6527"/>
      <c r="AC6" s="6527" t="s">
        <v>126</v>
      </c>
      <c r="AD6" s="6527"/>
      <c r="AE6" s="6527"/>
      <c r="AF6" s="6527"/>
      <c r="AG6" s="6527"/>
      <c r="AH6" s="6528"/>
      <c r="AI6" s="6224" t="s">
        <v>127</v>
      </c>
      <c r="AJ6" s="6065"/>
      <c r="AK6" s="6065"/>
      <c r="AL6" s="6065"/>
      <c r="AM6" s="6065"/>
      <c r="AN6" s="6065"/>
      <c r="AO6" s="6065" t="s">
        <v>128</v>
      </c>
      <c r="AP6" s="6065"/>
      <c r="AQ6" s="6065"/>
      <c r="AR6" s="6065"/>
      <c r="AS6" s="6065"/>
      <c r="AT6" s="6065"/>
      <c r="AU6" s="6065" t="s">
        <v>129</v>
      </c>
      <c r="AV6" s="6065"/>
      <c r="AW6" s="6065"/>
      <c r="AX6" s="6065"/>
      <c r="AY6" s="6065"/>
      <c r="AZ6" s="6065"/>
    </row>
    <row r="7" spans="1:74">
      <c r="A7" s="6531"/>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c r="W7" s="6064" t="s">
        <v>51</v>
      </c>
      <c r="X7" s="6064" t="s">
        <v>131</v>
      </c>
      <c r="Y7" s="6061" t="s">
        <v>53</v>
      </c>
      <c r="Z7" s="6061" t="s">
        <v>124</v>
      </c>
      <c r="AA7" s="6061"/>
      <c r="AB7" s="6061"/>
      <c r="AC7" s="6064" t="s">
        <v>51</v>
      </c>
      <c r="AD7" s="6064" t="s">
        <v>132</v>
      </c>
      <c r="AE7" s="6061" t="s">
        <v>53</v>
      </c>
      <c r="AF7" s="6061" t="s">
        <v>124</v>
      </c>
      <c r="AG7" s="6061"/>
      <c r="AH7" s="6526"/>
      <c r="AI7" s="6525" t="s">
        <v>51</v>
      </c>
      <c r="AJ7" s="6064" t="s">
        <v>133</v>
      </c>
      <c r="AK7" s="6061" t="s">
        <v>53</v>
      </c>
      <c r="AL7" s="6061" t="s">
        <v>124</v>
      </c>
      <c r="AM7" s="6061"/>
      <c r="AN7" s="6061"/>
      <c r="AO7" s="6064" t="s">
        <v>51</v>
      </c>
      <c r="AP7" s="6064" t="s">
        <v>130</v>
      </c>
      <c r="AQ7" s="6061" t="s">
        <v>53</v>
      </c>
      <c r="AR7" s="6061" t="s">
        <v>124</v>
      </c>
      <c r="AS7" s="6061"/>
      <c r="AT7" s="6061"/>
      <c r="AU7" s="6064" t="s">
        <v>51</v>
      </c>
      <c r="AV7" s="6064" t="s">
        <v>134</v>
      </c>
      <c r="AW7" s="6061" t="s">
        <v>53</v>
      </c>
      <c r="AX7" s="6061" t="s">
        <v>124</v>
      </c>
      <c r="AY7" s="6061"/>
      <c r="AZ7" s="6061"/>
      <c r="BM7" s="6056" t="s">
        <v>1841</v>
      </c>
      <c r="BN7" s="6056"/>
      <c r="BO7" s="6056"/>
      <c r="BP7" s="6056"/>
      <c r="BQ7" s="6056"/>
    </row>
    <row r="8" spans="1:74" ht="31.2">
      <c r="A8" s="6531"/>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c r="W8" s="6064"/>
      <c r="X8" s="6064"/>
      <c r="Y8" s="6064"/>
      <c r="Z8" s="1538" t="s">
        <v>54</v>
      </c>
      <c r="AA8" s="1538" t="s">
        <v>55</v>
      </c>
      <c r="AB8" s="130" t="s">
        <v>56</v>
      </c>
      <c r="AC8" s="6064"/>
      <c r="AD8" s="6064"/>
      <c r="AE8" s="6064"/>
      <c r="AF8" s="1538" t="s">
        <v>54</v>
      </c>
      <c r="AG8" s="1538" t="s">
        <v>55</v>
      </c>
      <c r="AH8" s="5529" t="s">
        <v>56</v>
      </c>
      <c r="AI8" s="6525"/>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c r="BM8" s="851" t="s">
        <v>1464</v>
      </c>
      <c r="BN8" s="851" t="s">
        <v>1837</v>
      </c>
      <c r="BO8" s="851" t="s">
        <v>1838</v>
      </c>
      <c r="BP8" s="851" t="s">
        <v>1839</v>
      </c>
      <c r="BQ8" s="851" t="s">
        <v>1840</v>
      </c>
      <c r="BU8" s="1" t="s">
        <v>87</v>
      </c>
    </row>
    <row r="9" spans="1:74">
      <c r="A9" s="5530">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5531"/>
      <c r="AI9" s="5518"/>
      <c r="AJ9" s="10"/>
      <c r="AK9" s="10"/>
      <c r="AL9" s="10"/>
      <c r="AM9" s="10"/>
      <c r="AN9" s="10"/>
      <c r="AO9" s="10"/>
      <c r="AP9" s="10"/>
      <c r="AQ9" s="10"/>
      <c r="AR9" s="10"/>
      <c r="AS9" s="10"/>
      <c r="AT9" s="10"/>
      <c r="AU9" s="10"/>
      <c r="AV9" s="10"/>
      <c r="AW9" s="10"/>
      <c r="AX9" s="10"/>
      <c r="AY9" s="10"/>
      <c r="AZ9" s="10"/>
    </row>
    <row r="10" spans="1:74" s="4" customFormat="1">
      <c r="A10" s="5797" t="s">
        <v>1</v>
      </c>
      <c r="B10" s="5798" t="s">
        <v>2</v>
      </c>
      <c r="C10" s="5799">
        <f t="shared" ref="C10:D10" si="0">SUM(C11+C51)</f>
        <v>8914000</v>
      </c>
      <c r="D10" s="5799">
        <f t="shared" si="0"/>
        <v>9674054.1620000005</v>
      </c>
      <c r="E10" s="5800"/>
      <c r="F10" s="5801">
        <f>SUM(F11+F51)</f>
        <v>781100</v>
      </c>
      <c r="G10" s="5801">
        <f>SUM(G11+G51)</f>
        <v>8892984.1620000005</v>
      </c>
      <c r="H10" s="5801">
        <f>SUM(H11+H51)</f>
        <v>4953904.1620000005</v>
      </c>
      <c r="I10" s="5801">
        <f>SUM(I11+I51)</f>
        <v>3939080</v>
      </c>
      <c r="J10" s="5799">
        <f>SUM(J11+J51)</f>
        <v>9675053.6514166668</v>
      </c>
      <c r="K10" s="5802">
        <f>J10/C10*100</f>
        <v>108.53773447853563</v>
      </c>
      <c r="L10" s="5803">
        <f>J10/D10*100</f>
        <v>100.01033164999834</v>
      </c>
      <c r="M10" s="5804">
        <f t="shared" ref="M10:N10" si="1">SUM(M11+M51)</f>
        <v>955042.50578139594</v>
      </c>
      <c r="N10" s="5804">
        <f t="shared" si="1"/>
        <v>8720011.1456352696</v>
      </c>
      <c r="O10" s="5804">
        <f t="shared" ref="O10:P10" si="2">SUM(O11+O51)</f>
        <v>5155870.4856352694</v>
      </c>
      <c r="P10" s="5804">
        <f t="shared" si="2"/>
        <v>3564140.66</v>
      </c>
      <c r="Q10" s="5799">
        <f>+Q11+Q51+Q56</f>
        <v>10100553.796</v>
      </c>
      <c r="R10" s="5805">
        <f>Q10/J10*100</f>
        <v>104.3979099229184</v>
      </c>
      <c r="S10" s="5799">
        <f>+S11+S51+S56</f>
        <v>1385035</v>
      </c>
      <c r="T10" s="5799">
        <f>+T11+T51+T56</f>
        <v>8715518.7960000001</v>
      </c>
      <c r="U10" s="5799">
        <f>+U11+U51+U56</f>
        <v>4983218.7960000001</v>
      </c>
      <c r="V10" s="5799">
        <f>+V11+V51+V56</f>
        <v>3732300</v>
      </c>
      <c r="W10" s="5799">
        <f>SUM(W11+W51)+W56</f>
        <v>11087000</v>
      </c>
      <c r="X10" s="5802">
        <f>W10/Q10*100</f>
        <v>109.76625860248031</v>
      </c>
      <c r="Y10" s="5799">
        <f>SUM(Y11+Y51)+Y56</f>
        <v>1201955.025536566</v>
      </c>
      <c r="Z10" s="5799">
        <f>SUM(Z11+Z51)+Z56</f>
        <v>9885044.974463433</v>
      </c>
      <c r="AA10" s="5799">
        <f>SUM(AA11+AA51)+AA56</f>
        <v>5511695.4648282835</v>
      </c>
      <c r="AB10" s="5799">
        <f>SUM(AB11+AB51)+AB56</f>
        <v>4373349.5096351504</v>
      </c>
      <c r="AC10" s="5799">
        <f t="shared" ref="AC10" si="3">SUM(AC11+AC51)</f>
        <v>11812000</v>
      </c>
      <c r="AD10" s="5806">
        <f>AC10/W10*100</f>
        <v>106.53919004239198</v>
      </c>
      <c r="AE10" s="5799">
        <f t="shared" ref="AE10:AI10" si="4">SUM(AE11+AE51)</f>
        <v>1282977.652689477</v>
      </c>
      <c r="AF10" s="5799">
        <f t="shared" si="4"/>
        <v>10529022.347310523</v>
      </c>
      <c r="AG10" s="5799">
        <f t="shared" si="4"/>
        <v>5765742.4464954007</v>
      </c>
      <c r="AH10" s="5807">
        <f t="shared" si="4"/>
        <v>4763279.9008151218</v>
      </c>
      <c r="AI10" s="5519">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B10" s="5516">
        <f>((Q10/J10)*(W10/Q10)*(AC10/W10))^(1/3)</f>
        <v>1.0687841848035315</v>
      </c>
      <c r="BC10" s="1729">
        <f>+AC10+W10+Q10</f>
        <v>32999553.796</v>
      </c>
      <c r="BE10" s="1729">
        <f>+AF10+Z10+T10</f>
        <v>29129586.117773954</v>
      </c>
      <c r="BM10" s="1663">
        <f t="shared" ref="BM10:BQ10" si="8">SUM(BM11+BM51)</f>
        <v>999.48941666586325</v>
      </c>
      <c r="BN10" s="1663">
        <f t="shared" si="8"/>
        <v>173942.50578139588</v>
      </c>
      <c r="BO10" s="1663">
        <f>SUM(BO11+BO51)</f>
        <v>-172973.01636473002</v>
      </c>
      <c r="BP10" s="1663">
        <f t="shared" si="8"/>
        <v>201966.32363527006</v>
      </c>
      <c r="BQ10" s="1663">
        <f t="shared" si="8"/>
        <v>-374939.34000000008</v>
      </c>
      <c r="BR10" s="1671"/>
    </row>
    <row r="11" spans="1:74" s="4" customFormat="1">
      <c r="A11" s="5534" t="s">
        <v>3</v>
      </c>
      <c r="B11" s="1713" t="s">
        <v>4</v>
      </c>
      <c r="C11" s="173">
        <f>SUM(C13+C19+C25+C30+C36+C37+C38+C39+C40+C41+C42+C43+C44+C45+C46+C47+C49+C50)</f>
        <v>8757000</v>
      </c>
      <c r="D11" s="173">
        <f t="shared" ref="D11" si="9">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0">SUM(O13+O19+O25+O30+O36+O37+O38+O39+O40+O41+O42+O43+O44+O45+O46+O47+O49+O50)</f>
        <v>5155870.4856352694</v>
      </c>
      <c r="P11" s="1673">
        <f t="shared" si="10"/>
        <v>3564140.66</v>
      </c>
      <c r="Q11" s="173">
        <f>SUM(Q13+Q19+Q25+Q30+Q36+Q37+Q38+Q39+Q40+Q41+Q42+Q43+Q44+Q45+Q46+Q47+Q49+Q50)</f>
        <v>9595000</v>
      </c>
      <c r="R11" s="1674">
        <f t="shared" ref="R11:R13" si="11">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173">
        <f>SUM(V13+V19+V25+V30+V36+V37+V38+V39+V40+V41+V42+V43+V44+V45+V46+V47+V49+V50)</f>
        <v>3732300</v>
      </c>
      <c r="W11" s="173">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5535">
        <f>SUM(AH13+AH19+AH25+AH30+AH36+AH37+AH38+AH39+AH40+AH41+AH42+AH43+AH44+AH45+AH46+AH47+AH49+AH50)</f>
        <v>4763279.9008151218</v>
      </c>
      <c r="AI11" s="5520">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B11" s="5516">
        <f t="shared" ref="BB11:BB56" si="12">((Q11/J11)*(W11/Q11)*(AC11/W11))^(1/3)</f>
        <v>1.075001627206412</v>
      </c>
      <c r="BC11" s="1729">
        <f t="shared" ref="BC11:BC73" si="13">+AC11+W11+Q11</f>
        <v>31905000</v>
      </c>
      <c r="BE11" s="1729">
        <f t="shared" ref="BE11:BE73" si="14">+AF11+Z11+T11</f>
        <v>29124032.321773954</v>
      </c>
      <c r="BM11" s="173">
        <f t="shared" ref="BM11:BQ11" si="15">SUM(BM13+BM19+BM25+BM30+BM36+BM37+BM38+BM39+BM40+BM41+BM42+BM43+BM44+BM45+BM46+BM47+BM49+BM50)</f>
        <v>-209000.08000000013</v>
      </c>
      <c r="BN11" s="173">
        <f t="shared" si="15"/>
        <v>-36057.063635270046</v>
      </c>
      <c r="BO11" s="173">
        <f>SUM(BO13+BO19+BO25+BO30+BO36+BO37+BO38+BO39+BO40+BO41+BO42+BO43+BO44+BO45+BO46+BO47+BO49+BO50)</f>
        <v>-172973.01636473008</v>
      </c>
      <c r="BP11" s="173">
        <f t="shared" si="15"/>
        <v>201966.32363527</v>
      </c>
      <c r="BQ11" s="173">
        <f t="shared" si="15"/>
        <v>-374939.34000000008</v>
      </c>
      <c r="BR11" s="1671"/>
    </row>
    <row r="12" spans="1:74"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1676">
        <f>V11-V42-V50-V47</f>
        <v>2638800</v>
      </c>
      <c r="W12" s="1678">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5795">
        <f>AH11-AH42-AH50-AH47</f>
        <v>3503279.9008151218</v>
      </c>
      <c r="AI12" s="5521">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B12" s="5516">
        <f t="shared" si="12"/>
        <v>1.1464521560470748</v>
      </c>
      <c r="BC12" s="1729">
        <f t="shared" si="13"/>
        <v>19962000</v>
      </c>
      <c r="BE12" s="1729">
        <f t="shared" si="14"/>
        <v>17181032.321773954</v>
      </c>
      <c r="BM12" s="1676">
        <f>BM11-BM42-BM50-BM47</f>
        <v>-398068.08000000013</v>
      </c>
      <c r="BN12" s="1676">
        <f t="shared" ref="BN12" si="16">BN11-BN42-BN50-BN47</f>
        <v>-36057.063635270046</v>
      </c>
      <c r="BO12" s="1676">
        <f>BO11-BO42-BO50-BO47</f>
        <v>-362041.01636473008</v>
      </c>
      <c r="BP12" s="1676">
        <f t="shared" ref="BP12:BQ12" si="17">BP11-BP42-BP50-BP47</f>
        <v>12898.323635270004</v>
      </c>
      <c r="BQ12" s="1676">
        <f t="shared" si="17"/>
        <v>-374939.34000000008</v>
      </c>
      <c r="BR12" s="1671"/>
      <c r="BS12" s="1729">
        <f>+BQ12+BP12</f>
        <v>-362041.01636473008</v>
      </c>
    </row>
    <row r="13" spans="1:74">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8">SUM(O14:O18)</f>
        <v>252000.4</v>
      </c>
      <c r="P13" s="150">
        <f t="shared" si="18"/>
        <v>0</v>
      </c>
      <c r="Q13" s="147">
        <f>SUM(Q14:Q18)</f>
        <v>255000</v>
      </c>
      <c r="R13" s="1674">
        <f t="shared" si="11"/>
        <v>101.19031557092765</v>
      </c>
      <c r="S13" s="147">
        <f>SUM(S14:S18)</f>
        <v>0</v>
      </c>
      <c r="T13" s="150">
        <f t="shared" ref="T13:V13" si="19">SUM(T14:T18)</f>
        <v>255000</v>
      </c>
      <c r="U13" s="150">
        <f t="shared" si="19"/>
        <v>255000</v>
      </c>
      <c r="V13" s="150">
        <f t="shared" si="19"/>
        <v>0</v>
      </c>
      <c r="W13" s="147">
        <f>SUM(W14:W18)</f>
        <v>300000</v>
      </c>
      <c r="X13" s="141">
        <f>W13/Q13*100</f>
        <v>117.64705882352942</v>
      </c>
      <c r="Y13" s="147">
        <f>SUM(Y14:Y18)</f>
        <v>0</v>
      </c>
      <c r="Z13" s="147">
        <f t="shared" ref="Z13:AB13" si="20">SUM(Z14:Z18)</f>
        <v>300000</v>
      </c>
      <c r="AA13" s="147">
        <f t="shared" si="20"/>
        <v>300000</v>
      </c>
      <c r="AB13" s="147">
        <f t="shared" si="20"/>
        <v>0</v>
      </c>
      <c r="AC13" s="147">
        <f>SUM(AC14:AC18)</f>
        <v>370000</v>
      </c>
      <c r="AD13" s="142">
        <f>AC13/W13*100</f>
        <v>123.33333333333334</v>
      </c>
      <c r="AE13" s="147">
        <f>SUM(AE14:AE18)</f>
        <v>0</v>
      </c>
      <c r="AF13" s="147">
        <f t="shared" ref="AF13:AH13" si="21">SUM(AF14:AF18)</f>
        <v>370000</v>
      </c>
      <c r="AG13" s="147">
        <f t="shared" si="21"/>
        <v>370000</v>
      </c>
      <c r="AH13" s="5674">
        <f t="shared" si="21"/>
        <v>0</v>
      </c>
      <c r="AI13" s="5522">
        <f>SUM(AI14:AI18)</f>
        <v>410000</v>
      </c>
      <c r="AJ13" s="142">
        <f>AI13/AC13*100</f>
        <v>110.81081081081081</v>
      </c>
      <c r="AK13" s="147">
        <f>SUM(AK14:AK18)</f>
        <v>0</v>
      </c>
      <c r="AL13" s="147">
        <f t="shared" ref="AL13:AN13" si="22">SUM(AL14:AL18)</f>
        <v>410000</v>
      </c>
      <c r="AM13" s="147">
        <f t="shared" si="22"/>
        <v>410000</v>
      </c>
      <c r="AN13" s="147">
        <f t="shared" si="22"/>
        <v>0</v>
      </c>
      <c r="AO13" s="147">
        <f>SUM(AO14:AO18)</f>
        <v>455000</v>
      </c>
      <c r="AP13" s="142">
        <f>AO13/AI13*100</f>
        <v>110.97560975609757</v>
      </c>
      <c r="AQ13" s="147">
        <f>SUM(AQ14:AQ18)</f>
        <v>0</v>
      </c>
      <c r="AR13" s="147">
        <f t="shared" ref="AR13:AT13" si="23">SUM(AR14:AR18)</f>
        <v>455000</v>
      </c>
      <c r="AS13" s="147">
        <f t="shared" si="23"/>
        <v>455000</v>
      </c>
      <c r="AT13" s="147">
        <f t="shared" si="23"/>
        <v>0</v>
      </c>
      <c r="AU13" s="147">
        <f>SUM(AU14:AU18)</f>
        <v>510000</v>
      </c>
      <c r="AV13" s="142">
        <f>AU13/AO13*100</f>
        <v>112.08791208791209</v>
      </c>
      <c r="AW13" s="147">
        <f>SUM(AW14:AW18)</f>
        <v>0</v>
      </c>
      <c r="AX13" s="147">
        <f t="shared" ref="AX13:AZ13" si="24">SUM(AX14:AX18)</f>
        <v>510000</v>
      </c>
      <c r="AY13" s="147">
        <f t="shared" si="24"/>
        <v>510000</v>
      </c>
      <c r="AZ13" s="147">
        <f t="shared" si="24"/>
        <v>0</v>
      </c>
      <c r="BB13" s="5516">
        <f t="shared" si="12"/>
        <v>1.1365804056334279</v>
      </c>
      <c r="BC13" s="1729">
        <f t="shared" si="13"/>
        <v>925000</v>
      </c>
      <c r="BE13" s="1729">
        <f t="shared" si="14"/>
        <v>925000</v>
      </c>
      <c r="BM13" s="147">
        <f>SUM(BM14:BM18)</f>
        <v>22000.399999999994</v>
      </c>
      <c r="BN13" s="147">
        <f t="shared" ref="BN13:BQ13" si="25">SUM(BN14:BN18)</f>
        <v>0</v>
      </c>
      <c r="BO13" s="147">
        <f t="shared" si="25"/>
        <v>22000.399999999994</v>
      </c>
      <c r="BP13" s="147">
        <f t="shared" si="25"/>
        <v>22000.399999999994</v>
      </c>
      <c r="BQ13" s="147">
        <f t="shared" si="25"/>
        <v>0</v>
      </c>
      <c r="BR13" s="4"/>
      <c r="BU13" s="6">
        <f>+'Biểu số 1'!AZ13</f>
        <v>209114</v>
      </c>
      <c r="BV13" s="816">
        <f>+J13/BU13-100%</f>
        <v>0.20508622091299489</v>
      </c>
    </row>
    <row r="14" spans="1:74" hidden="1">
      <c r="A14" s="5538"/>
      <c r="B14" s="1716" t="s">
        <v>7</v>
      </c>
      <c r="C14" s="152">
        <f>+'Phụ lục số 1'!C14</f>
        <v>170000</v>
      </c>
      <c r="D14" s="152">
        <f>+'Phụ lục số 1'!D14</f>
        <v>170000</v>
      </c>
      <c r="E14" s="153"/>
      <c r="F14" s="154">
        <f>+'Phụ lục số 1'!F14</f>
        <v>0</v>
      </c>
      <c r="G14" s="154">
        <f>SUM(H14:I14)</f>
        <v>170000</v>
      </c>
      <c r="H14" s="154">
        <f>+'Phụ lục số 1'!H14</f>
        <v>170000</v>
      </c>
      <c r="I14" s="154">
        <f>+'Phụ lục số 1'!I14</f>
        <v>0</v>
      </c>
      <c r="J14" s="5420">
        <f>+'Phụ lục số 1'!J14</f>
        <v>165389.4</v>
      </c>
      <c r="K14" s="155"/>
      <c r="L14" s="155"/>
      <c r="M14" s="1680">
        <f>+'Phụ lục số 1'!M14</f>
        <v>0</v>
      </c>
      <c r="N14" s="1680">
        <f>SUM(O14:P14)</f>
        <v>165389.4</v>
      </c>
      <c r="O14" s="1680">
        <f>+'Phụ lục số 1'!O14</f>
        <v>165389.4</v>
      </c>
      <c r="P14" s="1680">
        <f>+'Phụ lục số 1'!P14</f>
        <v>0</v>
      </c>
      <c r="Q14" s="157">
        <f>+'Phụ lục số 1'!Q14</f>
        <v>169500</v>
      </c>
      <c r="R14" s="199"/>
      <c r="S14" s="199">
        <f>+'Phụ lục số 1'!S14</f>
        <v>0</v>
      </c>
      <c r="T14" s="1681">
        <f>SUM(U14:V14)</f>
        <v>169500</v>
      </c>
      <c r="U14" s="1681">
        <f>+'Phụ lục số 1'!U14</f>
        <v>169500</v>
      </c>
      <c r="V14" s="1681">
        <f>+'Phụ lục số 1'!V14</f>
        <v>0</v>
      </c>
      <c r="W14" s="157">
        <f>+'Phụ lục số 1'!W14</f>
        <v>218000</v>
      </c>
      <c r="X14" s="155"/>
      <c r="Y14" s="157">
        <f>+'Phụ lục số 1'!Y14</f>
        <v>0</v>
      </c>
      <c r="Z14" s="157">
        <f>SUM(AA14:AB14)</f>
        <v>218000</v>
      </c>
      <c r="AA14" s="157">
        <f>+'Phụ lục số 1'!AA14</f>
        <v>218000</v>
      </c>
      <c r="AB14" s="157">
        <f>+'Phụ lục số 1'!AB14</f>
        <v>0</v>
      </c>
      <c r="AC14" s="157">
        <f>+'Phụ lục số 1'!AC14</f>
        <v>282000</v>
      </c>
      <c r="AD14" s="157"/>
      <c r="AE14" s="157">
        <f>+'Phụ lục số 1'!AE14</f>
        <v>0</v>
      </c>
      <c r="AF14" s="157">
        <f>SUM(AG14:AH14)</f>
        <v>282000</v>
      </c>
      <c r="AG14" s="157">
        <f>+'Phụ lục số 1'!AG14</f>
        <v>282000</v>
      </c>
      <c r="AH14" s="5547">
        <f>+'Phụ lục số 1'!AH14</f>
        <v>0</v>
      </c>
      <c r="AI14" s="5523">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B14" s="5516">
        <f t="shared" si="12"/>
        <v>1.1946677650158817</v>
      </c>
      <c r="BC14" s="1729">
        <f t="shared" si="13"/>
        <v>669500</v>
      </c>
      <c r="BE14" s="1729">
        <f t="shared" si="14"/>
        <v>669500</v>
      </c>
      <c r="BM14" s="6">
        <f>SUM(BN14:BO14)</f>
        <v>-4610.6000000000058</v>
      </c>
      <c r="BN14" s="6">
        <f>+M14-F14</f>
        <v>0</v>
      </c>
      <c r="BO14" s="6">
        <f>SUM(BP14:BQ14)</f>
        <v>-4610.6000000000058</v>
      </c>
      <c r="BP14" s="1703">
        <f t="shared" ref="BP14:BQ18" si="26">+O14-H14</f>
        <v>-4610.6000000000058</v>
      </c>
      <c r="BQ14" s="1703">
        <f t="shared" si="26"/>
        <v>0</v>
      </c>
      <c r="BR14" s="4"/>
    </row>
    <row r="15" spans="1:74" hidden="1">
      <c r="A15" s="5538"/>
      <c r="B15" s="1716" t="s">
        <v>8</v>
      </c>
      <c r="C15" s="152">
        <f>+'Phụ lục số 1'!C15</f>
        <v>20000</v>
      </c>
      <c r="D15" s="152">
        <f>+'Phụ lục số 1'!D15</f>
        <v>20000</v>
      </c>
      <c r="E15" s="153"/>
      <c r="F15" s="154">
        <f>+'Phụ lục số 1'!F15</f>
        <v>0</v>
      </c>
      <c r="G15" s="154">
        <f t="shared" ref="G15:G18" si="27">SUM(H15:I15)</f>
        <v>20000</v>
      </c>
      <c r="H15" s="154">
        <f>+'Phụ lục số 1'!H15</f>
        <v>20000</v>
      </c>
      <c r="I15" s="154">
        <f>+'Phụ lục số 1'!I15</f>
        <v>0</v>
      </c>
      <c r="J15" s="5420">
        <f>+'Phụ lục số 1'!J15</f>
        <v>31353</v>
      </c>
      <c r="K15" s="155"/>
      <c r="L15" s="155"/>
      <c r="M15" s="1680">
        <f>+'Phụ lục số 1'!M15</f>
        <v>0</v>
      </c>
      <c r="N15" s="1680">
        <f t="shared" ref="N15:N18" si="28">SUM(O15:P15)</f>
        <v>31353</v>
      </c>
      <c r="O15" s="1680">
        <f>+'Phụ lục số 1'!O15</f>
        <v>31353</v>
      </c>
      <c r="P15" s="1680">
        <f>+'Phụ lục số 1'!P15</f>
        <v>0</v>
      </c>
      <c r="Q15" s="157">
        <f>+'Phụ lục số 1'!Q15</f>
        <v>35000</v>
      </c>
      <c r="R15" s="199"/>
      <c r="S15" s="199">
        <f>+'Phụ lục số 1'!S15</f>
        <v>0</v>
      </c>
      <c r="T15" s="1681">
        <f t="shared" ref="T15:T29" si="29">SUM(U15:V15)</f>
        <v>35000</v>
      </c>
      <c r="U15" s="1681">
        <f>+'Phụ lục số 1'!U15</f>
        <v>35000</v>
      </c>
      <c r="V15" s="1681">
        <f>+'Phụ lục số 1'!V15</f>
        <v>0</v>
      </c>
      <c r="W15" s="157">
        <f>+'Phụ lục số 1'!W15</f>
        <v>25000</v>
      </c>
      <c r="X15" s="155"/>
      <c r="Y15" s="157">
        <f>+'Phụ lục số 1'!Y15</f>
        <v>0</v>
      </c>
      <c r="Z15" s="157">
        <f t="shared" ref="Z15:Z18" si="30">SUM(AA15:AB15)</f>
        <v>25000</v>
      </c>
      <c r="AA15" s="157">
        <f>+'Phụ lục số 1'!AA15</f>
        <v>25000</v>
      </c>
      <c r="AB15" s="157">
        <f>+'Phụ lục số 1'!AB15</f>
        <v>0</v>
      </c>
      <c r="AC15" s="157">
        <f>+'Phụ lục số 1'!AC15</f>
        <v>26000</v>
      </c>
      <c r="AD15" s="157"/>
      <c r="AE15" s="157">
        <f>+'Phụ lục số 1'!AE15</f>
        <v>0</v>
      </c>
      <c r="AF15" s="157">
        <f t="shared" ref="AF15:AF18" si="31">SUM(AG15:AH15)</f>
        <v>26000</v>
      </c>
      <c r="AG15" s="157">
        <f>+'Phụ lục số 1'!AG15</f>
        <v>26000</v>
      </c>
      <c r="AH15" s="5547">
        <f>+'Phụ lục số 1'!AH15</f>
        <v>0</v>
      </c>
      <c r="AI15" s="5523">
        <v>27000</v>
      </c>
      <c r="AJ15" s="157"/>
      <c r="AK15" s="157"/>
      <c r="AL15" s="157">
        <f t="shared" ref="AL15:AL16" si="32">SUM(AM15:AN15)</f>
        <v>27000</v>
      </c>
      <c r="AM15" s="157">
        <f t="shared" ref="AM15:AM18" si="33">AI15-AK15-AN15</f>
        <v>27000</v>
      </c>
      <c r="AN15" s="157"/>
      <c r="AO15" s="157">
        <v>29000</v>
      </c>
      <c r="AP15" s="157"/>
      <c r="AQ15" s="157"/>
      <c r="AR15" s="157">
        <f t="shared" ref="AR15:AR16" si="34">SUM(AS15:AT15)</f>
        <v>29000</v>
      </c>
      <c r="AS15" s="157">
        <f t="shared" ref="AS15:AS18" si="35">AO15-AQ15-AT15</f>
        <v>29000</v>
      </c>
      <c r="AT15" s="157"/>
      <c r="AU15" s="157">
        <v>30000</v>
      </c>
      <c r="AV15" s="157"/>
      <c r="AW15" s="157"/>
      <c r="AX15" s="157">
        <f t="shared" ref="AX15:AX16" si="36">SUM(AY15:AZ15)</f>
        <v>30000</v>
      </c>
      <c r="AY15" s="157">
        <f t="shared" ref="AY15:AY18" si="37">AU15-AW15-AZ15</f>
        <v>30000</v>
      </c>
      <c r="AZ15" s="157"/>
      <c r="BB15" s="5516">
        <f t="shared" si="12"/>
        <v>0.93950280664358632</v>
      </c>
      <c r="BC15" s="1729">
        <f t="shared" si="13"/>
        <v>86000</v>
      </c>
      <c r="BE15" s="1729">
        <f t="shared" si="14"/>
        <v>86000</v>
      </c>
      <c r="BM15" s="6">
        <f t="shared" ref="BM15:BM18" si="38">SUM(BN15:BO15)</f>
        <v>11353</v>
      </c>
      <c r="BN15" s="6">
        <f t="shared" ref="BN15:BN18" si="39">+M15-F15</f>
        <v>0</v>
      </c>
      <c r="BO15" s="6">
        <f t="shared" ref="BO15:BO18" si="40">SUM(BP15:BQ15)</f>
        <v>11353</v>
      </c>
      <c r="BP15" s="1703">
        <f t="shared" si="26"/>
        <v>11353</v>
      </c>
      <c r="BQ15" s="1703">
        <f t="shared" si="26"/>
        <v>0</v>
      </c>
      <c r="BR15" s="4"/>
    </row>
    <row r="16" spans="1:74" hidden="1">
      <c r="A16" s="5538"/>
      <c r="B16" s="1716" t="s">
        <v>9</v>
      </c>
      <c r="C16" s="152">
        <f>+'Phụ lục số 1'!C16</f>
        <v>40000</v>
      </c>
      <c r="D16" s="152">
        <f>+'Phụ lục số 1'!D16</f>
        <v>40000</v>
      </c>
      <c r="E16" s="153"/>
      <c r="F16" s="154">
        <f>+'Phụ lục số 1'!F16</f>
        <v>0</v>
      </c>
      <c r="G16" s="154">
        <f t="shared" si="27"/>
        <v>40000</v>
      </c>
      <c r="H16" s="154">
        <f>+'Phụ lục số 1'!H16</f>
        <v>40000</v>
      </c>
      <c r="I16" s="154">
        <f>+'Phụ lục số 1'!I16</f>
        <v>0</v>
      </c>
      <c r="J16" s="5420">
        <f>+'Phụ lục số 1'!J16</f>
        <v>44657</v>
      </c>
      <c r="K16" s="155"/>
      <c r="L16" s="155"/>
      <c r="M16" s="1680">
        <f>+'Phụ lục số 1'!M16</f>
        <v>0</v>
      </c>
      <c r="N16" s="1680">
        <f t="shared" si="28"/>
        <v>44657</v>
      </c>
      <c r="O16" s="1680">
        <f>+'Phụ lục số 1'!O16</f>
        <v>44657</v>
      </c>
      <c r="P16" s="1680">
        <f>+'Phụ lục số 1'!P16</f>
        <v>0</v>
      </c>
      <c r="Q16" s="157">
        <f>+'Phụ lục số 1'!Q16</f>
        <v>42000</v>
      </c>
      <c r="R16" s="199"/>
      <c r="S16" s="199">
        <f>+'Phụ lục số 1'!S16</f>
        <v>0</v>
      </c>
      <c r="T16" s="1681">
        <f t="shared" si="29"/>
        <v>42000</v>
      </c>
      <c r="U16" s="1681">
        <f>+'Phụ lục số 1'!U16</f>
        <v>42000</v>
      </c>
      <c r="V16" s="1681">
        <f>+'Phụ lục số 1'!V16</f>
        <v>0</v>
      </c>
      <c r="W16" s="157">
        <f>+'Phụ lục số 1'!W16</f>
        <v>57000</v>
      </c>
      <c r="X16" s="155"/>
      <c r="Y16" s="157">
        <f>+'Phụ lục số 1'!Y16</f>
        <v>0</v>
      </c>
      <c r="Z16" s="157">
        <f t="shared" si="30"/>
        <v>57000</v>
      </c>
      <c r="AA16" s="157">
        <f>+'Phụ lục số 1'!AA16</f>
        <v>57000</v>
      </c>
      <c r="AB16" s="157">
        <f>+'Phụ lục số 1'!AB16</f>
        <v>0</v>
      </c>
      <c r="AC16" s="157">
        <f>+'Phụ lục số 1'!AC16</f>
        <v>62000</v>
      </c>
      <c r="AD16" s="157"/>
      <c r="AE16" s="157">
        <f>+'Phụ lục số 1'!AE16</f>
        <v>0</v>
      </c>
      <c r="AF16" s="157">
        <f t="shared" si="31"/>
        <v>62000</v>
      </c>
      <c r="AG16" s="157">
        <f>+'Phụ lục số 1'!AG16</f>
        <v>62000</v>
      </c>
      <c r="AH16" s="5547">
        <f>+'Phụ lục số 1'!AH16</f>
        <v>0</v>
      </c>
      <c r="AI16" s="5523">
        <v>68000</v>
      </c>
      <c r="AJ16" s="157"/>
      <c r="AK16" s="157"/>
      <c r="AL16" s="157">
        <f t="shared" si="32"/>
        <v>68000</v>
      </c>
      <c r="AM16" s="157">
        <f t="shared" si="33"/>
        <v>68000</v>
      </c>
      <c r="AN16" s="157"/>
      <c r="AO16" s="157">
        <v>75000</v>
      </c>
      <c r="AP16" s="157"/>
      <c r="AQ16" s="157"/>
      <c r="AR16" s="157">
        <f t="shared" si="34"/>
        <v>75000</v>
      </c>
      <c r="AS16" s="157">
        <f t="shared" si="35"/>
        <v>75000</v>
      </c>
      <c r="AT16" s="157"/>
      <c r="AU16" s="157">
        <v>84000</v>
      </c>
      <c r="AV16" s="157"/>
      <c r="AW16" s="157"/>
      <c r="AX16" s="157">
        <f t="shared" si="36"/>
        <v>84000</v>
      </c>
      <c r="AY16" s="157">
        <f t="shared" si="37"/>
        <v>84000</v>
      </c>
      <c r="AZ16" s="157"/>
      <c r="BB16" s="5516">
        <f t="shared" si="12"/>
        <v>1.1155799880933424</v>
      </c>
      <c r="BC16" s="1729">
        <f t="shared" si="13"/>
        <v>161000</v>
      </c>
      <c r="BE16" s="1729">
        <f t="shared" si="14"/>
        <v>161000</v>
      </c>
      <c r="BM16" s="6">
        <f t="shared" si="38"/>
        <v>4657</v>
      </c>
      <c r="BN16" s="6">
        <f t="shared" si="39"/>
        <v>0</v>
      </c>
      <c r="BO16" s="6">
        <f t="shared" si="40"/>
        <v>4657</v>
      </c>
      <c r="BP16" s="1703">
        <f t="shared" si="26"/>
        <v>4657</v>
      </c>
      <c r="BQ16" s="1703">
        <f t="shared" si="26"/>
        <v>0</v>
      </c>
      <c r="BR16" s="4"/>
    </row>
    <row r="17" spans="1:74" hidden="1">
      <c r="A17" s="5538"/>
      <c r="B17" s="1716" t="s">
        <v>10</v>
      </c>
      <c r="C17" s="152">
        <f>+'Phụ lục số 1'!C17</f>
        <v>0</v>
      </c>
      <c r="D17" s="152">
        <f>+'Phụ lục số 1'!D17</f>
        <v>0</v>
      </c>
      <c r="E17" s="153"/>
      <c r="F17" s="154">
        <f>+'Phụ lục số 1'!F17</f>
        <v>0</v>
      </c>
      <c r="G17" s="154">
        <f t="shared" si="27"/>
        <v>0</v>
      </c>
      <c r="H17" s="154">
        <f>+'Phụ lục số 1'!H17</f>
        <v>0</v>
      </c>
      <c r="I17" s="154">
        <f>+'Phụ lục số 1'!I17</f>
        <v>0</v>
      </c>
      <c r="J17" s="5420">
        <f>+'Phụ lục số 1'!J17</f>
        <v>10601</v>
      </c>
      <c r="K17" s="155"/>
      <c r="L17" s="155"/>
      <c r="M17" s="1680">
        <f>+'Phụ lục số 1'!M17</f>
        <v>0</v>
      </c>
      <c r="N17" s="1680">
        <f t="shared" si="28"/>
        <v>10601</v>
      </c>
      <c r="O17" s="1680">
        <f>+'Phụ lục số 1'!O17</f>
        <v>10601</v>
      </c>
      <c r="P17" s="1680">
        <f>+'Phụ lục số 1'!P17</f>
        <v>0</v>
      </c>
      <c r="Q17" s="157">
        <f>+'Phụ lục số 1'!Q17</f>
        <v>8500</v>
      </c>
      <c r="R17" s="199"/>
      <c r="S17" s="199">
        <f>+'Phụ lục số 1'!S17</f>
        <v>0</v>
      </c>
      <c r="T17" s="1681">
        <f t="shared" si="29"/>
        <v>8500</v>
      </c>
      <c r="U17" s="1681">
        <f>+'Phụ lục số 1'!U17</f>
        <v>8500</v>
      </c>
      <c r="V17" s="1681">
        <f>+'Phụ lục số 1'!V17</f>
        <v>0</v>
      </c>
      <c r="W17" s="157">
        <f>+'Phụ lục số 1'!W17</f>
        <v>0</v>
      </c>
      <c r="X17" s="155"/>
      <c r="Y17" s="157">
        <f>+'Phụ lục số 1'!Y17</f>
        <v>0</v>
      </c>
      <c r="Z17" s="157">
        <f t="shared" si="30"/>
        <v>0</v>
      </c>
      <c r="AA17" s="157">
        <f>+'Phụ lục số 1'!AA17</f>
        <v>0</v>
      </c>
      <c r="AB17" s="157">
        <f>+'Phụ lục số 1'!AB17</f>
        <v>0</v>
      </c>
      <c r="AC17" s="157">
        <f>+'Phụ lục số 1'!AC17</f>
        <v>0</v>
      </c>
      <c r="AD17" s="157"/>
      <c r="AE17" s="157">
        <f>+'Phụ lục số 1'!AE17</f>
        <v>0</v>
      </c>
      <c r="AF17" s="157">
        <f t="shared" si="31"/>
        <v>0</v>
      </c>
      <c r="AG17" s="157">
        <f>+'Phụ lục số 1'!AG17</f>
        <v>0</v>
      </c>
      <c r="AH17" s="5547">
        <f>+'Phụ lục số 1'!AH17</f>
        <v>0</v>
      </c>
      <c r="AI17" s="5523"/>
      <c r="AJ17" s="157"/>
      <c r="AK17" s="157"/>
      <c r="AL17" s="157"/>
      <c r="AM17" s="157">
        <f t="shared" si="33"/>
        <v>0</v>
      </c>
      <c r="AN17" s="157"/>
      <c r="AO17" s="157"/>
      <c r="AP17" s="157"/>
      <c r="AQ17" s="157"/>
      <c r="AR17" s="157"/>
      <c r="AS17" s="157">
        <f t="shared" si="35"/>
        <v>0</v>
      </c>
      <c r="AT17" s="157"/>
      <c r="AU17" s="157"/>
      <c r="AV17" s="157"/>
      <c r="AW17" s="157"/>
      <c r="AX17" s="157"/>
      <c r="AY17" s="157">
        <f t="shared" si="37"/>
        <v>0</v>
      </c>
      <c r="AZ17" s="157"/>
      <c r="BB17" s="5516" t="e">
        <f t="shared" si="12"/>
        <v>#DIV/0!</v>
      </c>
      <c r="BC17" s="1729">
        <f t="shared" si="13"/>
        <v>8500</v>
      </c>
      <c r="BE17" s="1729">
        <f t="shared" si="14"/>
        <v>8500</v>
      </c>
      <c r="BM17" s="6">
        <f t="shared" si="38"/>
        <v>10601</v>
      </c>
      <c r="BN17" s="6">
        <f t="shared" si="39"/>
        <v>0</v>
      </c>
      <c r="BO17" s="6">
        <f t="shared" si="40"/>
        <v>10601</v>
      </c>
      <c r="BP17" s="1703">
        <f t="shared" si="26"/>
        <v>10601</v>
      </c>
      <c r="BQ17" s="1703">
        <f t="shared" si="26"/>
        <v>0</v>
      </c>
      <c r="BR17" s="4"/>
    </row>
    <row r="18" spans="1:74" hidden="1">
      <c r="A18" s="5538"/>
      <c r="B18" s="1716" t="s">
        <v>11</v>
      </c>
      <c r="C18" s="152">
        <f>+'Phụ lục số 1'!C18</f>
        <v>0</v>
      </c>
      <c r="D18" s="152">
        <f>+'Phụ lục số 1'!D18</f>
        <v>0</v>
      </c>
      <c r="E18" s="153"/>
      <c r="F18" s="154">
        <f>+'Phụ lục số 1'!F18</f>
        <v>0</v>
      </c>
      <c r="G18" s="154">
        <f t="shared" si="27"/>
        <v>0</v>
      </c>
      <c r="H18" s="154">
        <f>+'Phụ lục số 1'!H18</f>
        <v>0</v>
      </c>
      <c r="I18" s="154">
        <f>+'Phụ lục số 1'!I18</f>
        <v>0</v>
      </c>
      <c r="J18" s="5420">
        <f>+'Phụ lục số 1'!J18</f>
        <v>0</v>
      </c>
      <c r="K18" s="155"/>
      <c r="L18" s="155"/>
      <c r="M18" s="1680">
        <f>+'Phụ lục số 1'!M18</f>
        <v>0</v>
      </c>
      <c r="N18" s="1680">
        <f t="shared" si="28"/>
        <v>0</v>
      </c>
      <c r="O18" s="1680">
        <f>+'Phụ lục số 1'!O18</f>
        <v>0</v>
      </c>
      <c r="P18" s="1680">
        <f>+'Phụ lục số 1'!P18</f>
        <v>0</v>
      </c>
      <c r="Q18" s="157">
        <f>+'Phụ lục số 1'!Q18</f>
        <v>0</v>
      </c>
      <c r="R18" s="199"/>
      <c r="S18" s="199">
        <f>+'Phụ lục số 1'!S18</f>
        <v>0</v>
      </c>
      <c r="T18" s="1681">
        <f t="shared" si="29"/>
        <v>0</v>
      </c>
      <c r="U18" s="1681">
        <f>+'Phụ lục số 1'!U18</f>
        <v>0</v>
      </c>
      <c r="V18" s="1681">
        <f>+'Phụ lục số 1'!V18</f>
        <v>0</v>
      </c>
      <c r="W18" s="157">
        <f>+'Phụ lục số 1'!W18</f>
        <v>0</v>
      </c>
      <c r="X18" s="155"/>
      <c r="Y18" s="157">
        <f>+'Phụ lục số 1'!Y18</f>
        <v>0</v>
      </c>
      <c r="Z18" s="157">
        <f t="shared" si="30"/>
        <v>0</v>
      </c>
      <c r="AA18" s="157">
        <f>+'Phụ lục số 1'!AA18</f>
        <v>0</v>
      </c>
      <c r="AB18" s="157">
        <f>+'Phụ lục số 1'!AB18</f>
        <v>0</v>
      </c>
      <c r="AC18" s="157">
        <f>+'Phụ lục số 1'!AC18</f>
        <v>0</v>
      </c>
      <c r="AD18" s="157"/>
      <c r="AE18" s="157">
        <f>+'Phụ lục số 1'!AE18</f>
        <v>0</v>
      </c>
      <c r="AF18" s="157">
        <f t="shared" si="31"/>
        <v>0</v>
      </c>
      <c r="AG18" s="157">
        <f>+'Phụ lục số 1'!AG18</f>
        <v>0</v>
      </c>
      <c r="AH18" s="5547">
        <f>+'Phụ lục số 1'!AH18</f>
        <v>0</v>
      </c>
      <c r="AI18" s="5523"/>
      <c r="AJ18" s="157"/>
      <c r="AK18" s="157"/>
      <c r="AL18" s="157"/>
      <c r="AM18" s="157">
        <f t="shared" si="33"/>
        <v>0</v>
      </c>
      <c r="AN18" s="157"/>
      <c r="AO18" s="157"/>
      <c r="AP18" s="157"/>
      <c r="AQ18" s="157"/>
      <c r="AR18" s="157"/>
      <c r="AS18" s="157">
        <f t="shared" si="35"/>
        <v>0</v>
      </c>
      <c r="AT18" s="157"/>
      <c r="AU18" s="157"/>
      <c r="AV18" s="157"/>
      <c r="AW18" s="157"/>
      <c r="AX18" s="157"/>
      <c r="AY18" s="157">
        <f t="shared" si="37"/>
        <v>0</v>
      </c>
      <c r="AZ18" s="157"/>
      <c r="BB18" s="5516" t="e">
        <f t="shared" si="12"/>
        <v>#DIV/0!</v>
      </c>
      <c r="BC18" s="1729">
        <f t="shared" si="13"/>
        <v>0</v>
      </c>
      <c r="BE18" s="1729">
        <f t="shared" si="14"/>
        <v>0</v>
      </c>
      <c r="BM18" s="6">
        <f t="shared" si="38"/>
        <v>0</v>
      </c>
      <c r="BN18" s="6">
        <f t="shared" si="39"/>
        <v>0</v>
      </c>
      <c r="BO18" s="6">
        <f t="shared" si="40"/>
        <v>0</v>
      </c>
      <c r="BP18" s="1703">
        <f t="shared" si="26"/>
        <v>0</v>
      </c>
      <c r="BQ18" s="1703">
        <f t="shared" si="26"/>
        <v>0</v>
      </c>
      <c r="BR18" s="4"/>
    </row>
    <row r="19" spans="1:74">
      <c r="A19" s="5538">
        <v>2</v>
      </c>
      <c r="B19" s="165" t="s">
        <v>12</v>
      </c>
      <c r="C19" s="147">
        <f>SUM(C20:C24)</f>
        <v>300000</v>
      </c>
      <c r="D19" s="147">
        <f>SUM(D20:D24)</f>
        <v>300000</v>
      </c>
      <c r="E19" s="148"/>
      <c r="F19" s="149">
        <f>SUM(F20:F24)</f>
        <v>0</v>
      </c>
      <c r="G19" s="149">
        <f>SUM(G20:G24)</f>
        <v>300000</v>
      </c>
      <c r="H19" s="149">
        <f t="shared" ref="H19:I19" si="41">SUM(H20:H24)</f>
        <v>300000</v>
      </c>
      <c r="I19" s="149">
        <f t="shared" si="41"/>
        <v>0</v>
      </c>
      <c r="J19" s="147">
        <f>SUM(J20:J24)</f>
        <v>300000.2</v>
      </c>
      <c r="K19" s="141">
        <f>J19/C19*100</f>
        <v>100.00006666666667</v>
      </c>
      <c r="L19" s="1672">
        <f>J19/D19*100</f>
        <v>100.00006666666667</v>
      </c>
      <c r="M19" s="150">
        <f>SUM(M20:M24)</f>
        <v>0</v>
      </c>
      <c r="N19" s="150">
        <f>SUM(N20:N24)</f>
        <v>300000.2</v>
      </c>
      <c r="O19" s="150">
        <f t="shared" ref="O19:P19" si="42">SUM(O20:O24)</f>
        <v>300000.2</v>
      </c>
      <c r="P19" s="150">
        <f t="shared" si="42"/>
        <v>0</v>
      </c>
      <c r="Q19" s="142">
        <f>SUM(Q20:Q24)</f>
        <v>360000</v>
      </c>
      <c r="R19" s="1674">
        <f t="shared" ref="R19" si="43">Q19/J19*100</f>
        <v>119.99992000005332</v>
      </c>
      <c r="S19" s="1682">
        <f>SUM(S20:S24)</f>
        <v>0</v>
      </c>
      <c r="T19" s="1683">
        <f t="shared" ref="T19:V19" si="44">SUM(T20:T24)</f>
        <v>360000</v>
      </c>
      <c r="U19" s="1683">
        <f t="shared" si="44"/>
        <v>360000</v>
      </c>
      <c r="V19" s="1683">
        <f t="shared" si="44"/>
        <v>0</v>
      </c>
      <c r="W19" s="142">
        <f>SUM(W20:W24)</f>
        <v>510000</v>
      </c>
      <c r="X19" s="141">
        <f>W19/Q19*100</f>
        <v>141.66666666666669</v>
      </c>
      <c r="Y19" s="142">
        <f>SUM(Y20:Y24)</f>
        <v>0</v>
      </c>
      <c r="Z19" s="142">
        <f t="shared" ref="Z19:AB19" si="45">SUM(Z20:Z24)</f>
        <v>510000</v>
      </c>
      <c r="AA19" s="142">
        <f t="shared" si="45"/>
        <v>510000</v>
      </c>
      <c r="AB19" s="142">
        <f t="shared" si="45"/>
        <v>0</v>
      </c>
      <c r="AC19" s="142">
        <f>SUM(AC20:AC24)</f>
        <v>560000</v>
      </c>
      <c r="AD19" s="142">
        <f>AC19/W19*100</f>
        <v>109.80392156862746</v>
      </c>
      <c r="AE19" s="142">
        <f>SUM(AE20:AE24)</f>
        <v>0</v>
      </c>
      <c r="AF19" s="142">
        <f t="shared" ref="AF19:AH19" si="46">SUM(AF20:AF24)</f>
        <v>560000</v>
      </c>
      <c r="AG19" s="142">
        <f t="shared" si="46"/>
        <v>560000</v>
      </c>
      <c r="AH19" s="5548">
        <f t="shared" si="46"/>
        <v>0</v>
      </c>
      <c r="AI19" s="5524">
        <f>SUM(AI20:AI24)</f>
        <v>620000</v>
      </c>
      <c r="AJ19" s="142">
        <f>AI19/AC19*100</f>
        <v>110.71428571428572</v>
      </c>
      <c r="AK19" s="142">
        <f>SUM(AK20:AK24)</f>
        <v>0</v>
      </c>
      <c r="AL19" s="142">
        <f t="shared" ref="AL19:AN19" si="47">SUM(AL20:AL24)</f>
        <v>620000</v>
      </c>
      <c r="AM19" s="142">
        <f t="shared" si="47"/>
        <v>620000</v>
      </c>
      <c r="AN19" s="142">
        <f t="shared" si="47"/>
        <v>0</v>
      </c>
      <c r="AO19" s="142">
        <f>SUM(AO20:AO24)</f>
        <v>690000</v>
      </c>
      <c r="AP19" s="142">
        <f>AO19/AI19*100</f>
        <v>111.29032258064515</v>
      </c>
      <c r="AQ19" s="142">
        <f>SUM(AQ20:AQ24)</f>
        <v>0</v>
      </c>
      <c r="AR19" s="142">
        <f t="shared" ref="AR19:AT19" si="48">SUM(AR20:AR24)</f>
        <v>690000</v>
      </c>
      <c r="AS19" s="142">
        <f t="shared" si="48"/>
        <v>690000</v>
      </c>
      <c r="AT19" s="142">
        <f t="shared" si="48"/>
        <v>0</v>
      </c>
      <c r="AU19" s="142">
        <f>SUM(AU20:AU24)</f>
        <v>770000</v>
      </c>
      <c r="AV19" s="142">
        <f>AU19/AO19*100</f>
        <v>111.59420289855073</v>
      </c>
      <c r="AW19" s="142">
        <f>SUM(AW20:AW24)</f>
        <v>0</v>
      </c>
      <c r="AX19" s="142">
        <f t="shared" ref="AX19:AZ19" si="49">SUM(AX20:AX24)</f>
        <v>770000</v>
      </c>
      <c r="AY19" s="142">
        <f t="shared" si="49"/>
        <v>770000</v>
      </c>
      <c r="AZ19" s="142">
        <f t="shared" si="49"/>
        <v>0</v>
      </c>
      <c r="BB19" s="5516">
        <f t="shared" si="12"/>
        <v>1.2312762266816772</v>
      </c>
      <c r="BC19" s="1729">
        <f t="shared" si="13"/>
        <v>1430000</v>
      </c>
      <c r="BE19" s="1729">
        <f t="shared" si="14"/>
        <v>1430000</v>
      </c>
      <c r="BM19" s="142">
        <f>SUM(BM20:BM24)</f>
        <v>0.19999999999708962</v>
      </c>
      <c r="BN19" s="142">
        <f t="shared" ref="BN19:BQ19" si="50">SUM(BN20:BN24)</f>
        <v>0</v>
      </c>
      <c r="BO19" s="142">
        <f t="shared" si="50"/>
        <v>0.19999999999708962</v>
      </c>
      <c r="BP19" s="142">
        <f t="shared" si="50"/>
        <v>0.19999999999708962</v>
      </c>
      <c r="BQ19" s="142">
        <f t="shared" si="50"/>
        <v>0</v>
      </c>
      <c r="BR19" s="4"/>
      <c r="BU19" s="6">
        <f>+'Biểu số 1'!AZ19</f>
        <v>281821</v>
      </c>
      <c r="BV19" s="816">
        <f>+J19/BU19-100%</f>
        <v>6.4506193647740906E-2</v>
      </c>
    </row>
    <row r="20" spans="1:74" hidden="1">
      <c r="A20" s="5538"/>
      <c r="B20" s="1716" t="s">
        <v>7</v>
      </c>
      <c r="C20" s="152">
        <f>+'Phụ lục số 1'!C20</f>
        <v>110000</v>
      </c>
      <c r="D20" s="152">
        <f>+'Phụ lục số 1'!D20</f>
        <v>110000</v>
      </c>
      <c r="E20" s="153"/>
      <c r="F20" s="154">
        <f>+'Phụ lục số 1'!F20</f>
        <v>0</v>
      </c>
      <c r="G20" s="154">
        <f t="shared" ref="G20" si="51">SUM(H20:I20)</f>
        <v>110000</v>
      </c>
      <c r="H20" s="154">
        <f>+'Phụ lục số 1'!H20</f>
        <v>110000</v>
      </c>
      <c r="I20" s="154">
        <f>+'Phụ lục số 1'!I20</f>
        <v>0</v>
      </c>
      <c r="J20" s="1679">
        <f>+'Phụ lục số 1'!J20</f>
        <v>190966.65</v>
      </c>
      <c r="K20" s="155"/>
      <c r="L20" s="155"/>
      <c r="M20" s="1680">
        <f>+'Phụ lục số 1'!M20</f>
        <v>0</v>
      </c>
      <c r="N20" s="1680">
        <f t="shared" ref="N20" si="52">SUM(O20:P20)</f>
        <v>190966.65</v>
      </c>
      <c r="O20" s="1680">
        <f>+'Phụ lục số 1'!O20</f>
        <v>190966.65</v>
      </c>
      <c r="P20" s="1680">
        <f>+'Phụ lục số 1'!P20</f>
        <v>0</v>
      </c>
      <c r="Q20" s="157">
        <f>+'Phụ lục số 1'!Q20</f>
        <v>200000</v>
      </c>
      <c r="R20" s="199"/>
      <c r="S20" s="199">
        <f>+'Phụ lục số 1'!S20</f>
        <v>0</v>
      </c>
      <c r="T20" s="1681">
        <f t="shared" si="29"/>
        <v>200000</v>
      </c>
      <c r="U20" s="1681">
        <f>+'Phụ lục số 1'!U20</f>
        <v>200000</v>
      </c>
      <c r="V20" s="1681">
        <f>+'Phụ lục số 1'!V20</f>
        <v>0</v>
      </c>
      <c r="W20" s="157">
        <f>+'Phụ lục số 1'!W20</f>
        <v>305000</v>
      </c>
      <c r="X20" s="155"/>
      <c r="Y20" s="157">
        <f>+'Phụ lục số 1'!Y20</f>
        <v>0</v>
      </c>
      <c r="Z20" s="157">
        <f t="shared" ref="Z20:Z24" si="53">SUM(AA20:AB20)</f>
        <v>305000</v>
      </c>
      <c r="AA20" s="157">
        <f>+'Phụ lục số 1'!AA20</f>
        <v>305000</v>
      </c>
      <c r="AB20" s="157">
        <f>+'Phụ lục số 1'!AB20</f>
        <v>0</v>
      </c>
      <c r="AC20" s="157">
        <f>+'Phụ lục số 1'!AC20</f>
        <v>338000</v>
      </c>
      <c r="AD20" s="157"/>
      <c r="AE20" s="157">
        <f>+'Phụ lục số 1'!AE20</f>
        <v>0</v>
      </c>
      <c r="AF20" s="157">
        <f t="shared" ref="AF20:AF24" si="54">SUM(AG20:AH20)</f>
        <v>338000</v>
      </c>
      <c r="AG20" s="157">
        <f>+'Phụ lục số 1'!AG20</f>
        <v>338000</v>
      </c>
      <c r="AH20" s="5547">
        <f>+'Phụ lục số 1'!AH20</f>
        <v>0</v>
      </c>
      <c r="AI20" s="5523">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B20" s="5516">
        <f t="shared" si="12"/>
        <v>1.2096314139950852</v>
      </c>
      <c r="BC20" s="1729">
        <f t="shared" si="13"/>
        <v>843000</v>
      </c>
      <c r="BE20" s="1729">
        <f t="shared" si="14"/>
        <v>843000</v>
      </c>
      <c r="BM20" s="6">
        <f t="shared" ref="BM20:BM24" si="55">+J20-D20</f>
        <v>80966.649999999994</v>
      </c>
      <c r="BN20" s="6">
        <f t="shared" ref="BN20:BN24" si="56">+M20-F20</f>
        <v>0</v>
      </c>
      <c r="BO20" s="6">
        <f t="shared" ref="BO20" si="57">SUM(BP20:BQ20)</f>
        <v>80966.649999999994</v>
      </c>
      <c r="BP20" s="1703">
        <f t="shared" ref="BP20:BQ24" si="58">+O20-H20</f>
        <v>80966.649999999994</v>
      </c>
      <c r="BQ20" s="1703">
        <f t="shared" si="58"/>
        <v>0</v>
      </c>
      <c r="BR20" s="4"/>
    </row>
    <row r="21" spans="1:74" hidden="1">
      <c r="A21" s="5538"/>
      <c r="B21" s="1716" t="s">
        <v>8</v>
      </c>
      <c r="C21" s="152">
        <f>+'Phụ lục số 1'!C21</f>
        <v>106000</v>
      </c>
      <c r="D21" s="152">
        <f>+'Phụ lục số 1'!D21</f>
        <v>106000</v>
      </c>
      <c r="E21" s="153"/>
      <c r="F21" s="154">
        <f>+'Phụ lục số 1'!F21</f>
        <v>0</v>
      </c>
      <c r="G21" s="154">
        <f t="shared" ref="G21:G24" si="59">SUM(H21:I21)</f>
        <v>106000</v>
      </c>
      <c r="H21" s="154">
        <f>+'Phụ lục số 1'!H21</f>
        <v>106000</v>
      </c>
      <c r="I21" s="154">
        <f>+'Phụ lục số 1'!I21</f>
        <v>0</v>
      </c>
      <c r="J21" s="1679">
        <f>+'Phụ lục số 1'!J21</f>
        <v>76431.55</v>
      </c>
      <c r="K21" s="155"/>
      <c r="L21" s="155"/>
      <c r="M21" s="1680">
        <f>+'Phụ lục số 1'!M21</f>
        <v>0</v>
      </c>
      <c r="N21" s="1680">
        <f t="shared" ref="N21:N24" si="60">SUM(O21:P21)</f>
        <v>76431.55</v>
      </c>
      <c r="O21" s="1680">
        <f>+'Phụ lục số 1'!O21</f>
        <v>76431.55</v>
      </c>
      <c r="P21" s="1680">
        <f>+'Phụ lục số 1'!P21</f>
        <v>0</v>
      </c>
      <c r="Q21" s="157">
        <f>+'Phụ lục số 1'!Q21</f>
        <v>80000</v>
      </c>
      <c r="R21" s="199"/>
      <c r="S21" s="199">
        <f>+'Phụ lục số 1'!S21</f>
        <v>0</v>
      </c>
      <c r="T21" s="1681">
        <f t="shared" si="29"/>
        <v>80000</v>
      </c>
      <c r="U21" s="1681">
        <f>+'Phụ lục số 1'!U21</f>
        <v>80000</v>
      </c>
      <c r="V21" s="1681">
        <f>+'Phụ lục số 1'!V21</f>
        <v>0</v>
      </c>
      <c r="W21" s="157">
        <f>+'Phụ lục số 1'!W21</f>
        <v>110000</v>
      </c>
      <c r="X21" s="155"/>
      <c r="Y21" s="157">
        <f>+'Phụ lục số 1'!Y21</f>
        <v>0</v>
      </c>
      <c r="Z21" s="157">
        <f t="shared" si="53"/>
        <v>110000</v>
      </c>
      <c r="AA21" s="157">
        <f>+'Phụ lục số 1'!AA21</f>
        <v>110000</v>
      </c>
      <c r="AB21" s="157">
        <f>+'Phụ lục số 1'!AB21</f>
        <v>0</v>
      </c>
      <c r="AC21" s="157">
        <f>+'Phụ lục số 1'!AC21</f>
        <v>122000</v>
      </c>
      <c r="AD21" s="157"/>
      <c r="AE21" s="157">
        <f>+'Phụ lục số 1'!AE21</f>
        <v>0</v>
      </c>
      <c r="AF21" s="157">
        <f t="shared" si="54"/>
        <v>122000</v>
      </c>
      <c r="AG21" s="157">
        <f>+'Phụ lục số 1'!AG21</f>
        <v>122000</v>
      </c>
      <c r="AH21" s="5547">
        <f>+'Phụ lục số 1'!AH21</f>
        <v>0</v>
      </c>
      <c r="AI21" s="5523">
        <v>135000</v>
      </c>
      <c r="AJ21" s="157"/>
      <c r="AK21" s="157"/>
      <c r="AL21" s="157">
        <f t="shared" ref="AL21:AL24" si="61">SUM(AM21:AN21)</f>
        <v>135000</v>
      </c>
      <c r="AM21" s="157">
        <f t="shared" ref="AM21:AM24" si="62">AI21-AK21-AN21</f>
        <v>135000</v>
      </c>
      <c r="AN21" s="157"/>
      <c r="AO21" s="157">
        <v>150000</v>
      </c>
      <c r="AP21" s="157"/>
      <c r="AQ21" s="157"/>
      <c r="AR21" s="157">
        <f t="shared" ref="AR21:AR24" si="63">SUM(AS21:AT21)</f>
        <v>150000</v>
      </c>
      <c r="AS21" s="157">
        <f t="shared" ref="AS21:AS24" si="64">AO21-AQ21-AT21</f>
        <v>150000</v>
      </c>
      <c r="AT21" s="157"/>
      <c r="AU21" s="157">
        <v>166000</v>
      </c>
      <c r="AV21" s="157"/>
      <c r="AW21" s="157"/>
      <c r="AX21" s="157">
        <f t="shared" ref="AX21:AX24" si="65">SUM(AY21:AZ21)</f>
        <v>166000</v>
      </c>
      <c r="AY21" s="157">
        <f t="shared" ref="AY21:AY24" si="66">AU21-AW21-AZ21</f>
        <v>166000</v>
      </c>
      <c r="AZ21" s="157"/>
      <c r="BB21" s="5516">
        <f t="shared" si="12"/>
        <v>1.168680294255126</v>
      </c>
      <c r="BC21" s="1729">
        <f t="shared" si="13"/>
        <v>312000</v>
      </c>
      <c r="BE21" s="1729">
        <f t="shared" si="14"/>
        <v>312000</v>
      </c>
      <c r="BM21" s="6">
        <f t="shared" si="55"/>
        <v>-29568.449999999997</v>
      </c>
      <c r="BN21" s="6">
        <f t="shared" si="56"/>
        <v>0</v>
      </c>
      <c r="BO21" s="6">
        <f t="shared" ref="BO21:BO24" si="67">SUM(BP21:BQ21)</f>
        <v>-29568.449999999997</v>
      </c>
      <c r="BP21" s="1703">
        <f t="shared" si="58"/>
        <v>-29568.449999999997</v>
      </c>
      <c r="BQ21" s="1703">
        <f t="shared" si="58"/>
        <v>0</v>
      </c>
      <c r="BR21" s="4"/>
    </row>
    <row r="22" spans="1:74" hidden="1">
      <c r="A22" s="5538"/>
      <c r="B22" s="1716" t="s">
        <v>9</v>
      </c>
      <c r="C22" s="152">
        <f>+'Phụ lục số 1'!C22</f>
        <v>0</v>
      </c>
      <c r="D22" s="152">
        <f>+'Phụ lục số 1'!D22</f>
        <v>0</v>
      </c>
      <c r="E22" s="153"/>
      <c r="F22" s="154">
        <f>+'Phụ lục số 1'!F22</f>
        <v>0</v>
      </c>
      <c r="G22" s="154">
        <f t="shared" si="59"/>
        <v>0</v>
      </c>
      <c r="H22" s="154">
        <f>+'Phụ lục số 1'!H22</f>
        <v>0</v>
      </c>
      <c r="I22" s="154">
        <f>+'Phụ lục số 1'!I22</f>
        <v>0</v>
      </c>
      <c r="J22" s="1679">
        <f>+'Phụ lục số 1'!J22</f>
        <v>0</v>
      </c>
      <c r="K22" s="155"/>
      <c r="L22" s="155"/>
      <c r="M22" s="1680">
        <f>+'Phụ lục số 1'!M22</f>
        <v>0</v>
      </c>
      <c r="N22" s="1680">
        <f t="shared" si="60"/>
        <v>0</v>
      </c>
      <c r="O22" s="1680">
        <f>+'Phụ lục số 1'!O22</f>
        <v>0</v>
      </c>
      <c r="P22" s="1680">
        <f>+'Phụ lục số 1'!P22</f>
        <v>0</v>
      </c>
      <c r="Q22" s="157">
        <f>+'Phụ lục số 1'!Q22</f>
        <v>0</v>
      </c>
      <c r="R22" s="199"/>
      <c r="S22" s="199">
        <f>+'Phụ lục số 1'!S22</f>
        <v>0</v>
      </c>
      <c r="T22" s="1681">
        <f t="shared" si="29"/>
        <v>0</v>
      </c>
      <c r="U22" s="1681">
        <f>+'Phụ lục số 1'!U22</f>
        <v>0</v>
      </c>
      <c r="V22" s="1681">
        <f>+'Phụ lục số 1'!V22</f>
        <v>0</v>
      </c>
      <c r="W22" s="157">
        <f>+'Phụ lục số 1'!W22</f>
        <v>0</v>
      </c>
      <c r="X22" s="155"/>
      <c r="Y22" s="157">
        <f>+'Phụ lục số 1'!Y22</f>
        <v>0</v>
      </c>
      <c r="Z22" s="157">
        <f t="shared" si="53"/>
        <v>0</v>
      </c>
      <c r="AA22" s="157">
        <f>+'Phụ lục số 1'!AA22</f>
        <v>0</v>
      </c>
      <c r="AB22" s="157">
        <f>+'Phụ lục số 1'!AB22</f>
        <v>0</v>
      </c>
      <c r="AC22" s="157">
        <f>+'Phụ lục số 1'!AC22</f>
        <v>0</v>
      </c>
      <c r="AD22" s="157"/>
      <c r="AE22" s="157">
        <f>+'Phụ lục số 1'!AE22</f>
        <v>0</v>
      </c>
      <c r="AF22" s="157">
        <f t="shared" si="54"/>
        <v>0</v>
      </c>
      <c r="AG22" s="157">
        <f>+'Phụ lục số 1'!AG22</f>
        <v>0</v>
      </c>
      <c r="AH22" s="5547">
        <f>+'Phụ lục số 1'!AH22</f>
        <v>0</v>
      </c>
      <c r="AI22" s="5523"/>
      <c r="AJ22" s="157"/>
      <c r="AK22" s="157"/>
      <c r="AL22" s="157">
        <f t="shared" si="61"/>
        <v>0</v>
      </c>
      <c r="AM22" s="157">
        <f t="shared" si="62"/>
        <v>0</v>
      </c>
      <c r="AN22" s="157"/>
      <c r="AO22" s="157"/>
      <c r="AP22" s="157"/>
      <c r="AQ22" s="157"/>
      <c r="AR22" s="157">
        <f t="shared" si="63"/>
        <v>0</v>
      </c>
      <c r="AS22" s="157">
        <f t="shared" si="64"/>
        <v>0</v>
      </c>
      <c r="AT22" s="157"/>
      <c r="AU22" s="157"/>
      <c r="AV22" s="157"/>
      <c r="AW22" s="157"/>
      <c r="AX22" s="157">
        <f t="shared" si="65"/>
        <v>0</v>
      </c>
      <c r="AY22" s="157">
        <f t="shared" si="66"/>
        <v>0</v>
      </c>
      <c r="AZ22" s="157"/>
      <c r="BB22" s="5516" t="e">
        <f t="shared" si="12"/>
        <v>#DIV/0!</v>
      </c>
      <c r="BC22" s="1729">
        <f t="shared" si="13"/>
        <v>0</v>
      </c>
      <c r="BE22" s="1729">
        <f t="shared" si="14"/>
        <v>0</v>
      </c>
      <c r="BM22" s="6">
        <f t="shared" si="55"/>
        <v>0</v>
      </c>
      <c r="BN22" s="6">
        <f t="shared" si="56"/>
        <v>0</v>
      </c>
      <c r="BO22" s="6">
        <f t="shared" si="67"/>
        <v>0</v>
      </c>
      <c r="BP22" s="1703">
        <f t="shared" si="58"/>
        <v>0</v>
      </c>
      <c r="BQ22" s="1703">
        <f t="shared" si="58"/>
        <v>0</v>
      </c>
      <c r="BR22" s="4"/>
    </row>
    <row r="23" spans="1:74" hidden="1">
      <c r="A23" s="5538"/>
      <c r="B23" s="1716" t="s">
        <v>10</v>
      </c>
      <c r="C23" s="152">
        <f>+'Phụ lục số 1'!C23</f>
        <v>84000</v>
      </c>
      <c r="D23" s="152">
        <f>+'Phụ lục số 1'!D23</f>
        <v>84000</v>
      </c>
      <c r="E23" s="153"/>
      <c r="F23" s="154">
        <f>+'Phụ lục số 1'!F23</f>
        <v>0</v>
      </c>
      <c r="G23" s="154">
        <f t="shared" si="59"/>
        <v>84000</v>
      </c>
      <c r="H23" s="154">
        <f>+'Phụ lục số 1'!H23</f>
        <v>84000</v>
      </c>
      <c r="I23" s="154">
        <f>+'Phụ lục số 1'!I23</f>
        <v>0</v>
      </c>
      <c r="J23" s="1679">
        <f>+'Phụ lục số 1'!J23</f>
        <v>32602</v>
      </c>
      <c r="K23" s="155"/>
      <c r="L23" s="155"/>
      <c r="M23" s="1680">
        <f>+'Phụ lục số 1'!M23</f>
        <v>0</v>
      </c>
      <c r="N23" s="1680">
        <f t="shared" si="60"/>
        <v>32602</v>
      </c>
      <c r="O23" s="1680">
        <f>+'Phụ lục số 1'!O23</f>
        <v>32602</v>
      </c>
      <c r="P23" s="1680">
        <f>+'Phụ lục số 1'!P23</f>
        <v>0</v>
      </c>
      <c r="Q23" s="157">
        <f>+'Phụ lục số 1'!Q23</f>
        <v>80000</v>
      </c>
      <c r="R23" s="199"/>
      <c r="S23" s="199">
        <f>+'Phụ lục số 1'!S23</f>
        <v>0</v>
      </c>
      <c r="T23" s="1681">
        <f t="shared" si="29"/>
        <v>80000</v>
      </c>
      <c r="U23" s="1681">
        <f>+'Phụ lục số 1'!U23</f>
        <v>80000</v>
      </c>
      <c r="V23" s="1681">
        <f>+'Phụ lục số 1'!V23</f>
        <v>0</v>
      </c>
      <c r="W23" s="157">
        <f>+'Phụ lục số 1'!W23</f>
        <v>95000</v>
      </c>
      <c r="X23" s="155"/>
      <c r="Y23" s="157">
        <f>+'Phụ lục số 1'!Y23</f>
        <v>0</v>
      </c>
      <c r="Z23" s="157">
        <f t="shared" si="53"/>
        <v>95000</v>
      </c>
      <c r="AA23" s="157">
        <f>+'Phụ lục số 1'!AA23</f>
        <v>95000</v>
      </c>
      <c r="AB23" s="157">
        <f>+'Phụ lục số 1'!AB23</f>
        <v>0</v>
      </c>
      <c r="AC23" s="157">
        <f>+'Phụ lục số 1'!AC23</f>
        <v>100000</v>
      </c>
      <c r="AD23" s="157"/>
      <c r="AE23" s="157">
        <f>+'Phụ lục số 1'!AE23</f>
        <v>0</v>
      </c>
      <c r="AF23" s="157">
        <f t="shared" si="54"/>
        <v>100000</v>
      </c>
      <c r="AG23" s="157">
        <f>+'Phụ lục số 1'!AG23</f>
        <v>100000</v>
      </c>
      <c r="AH23" s="5547">
        <f>+'Phụ lục số 1'!AH23</f>
        <v>0</v>
      </c>
      <c r="AI23" s="5523">
        <v>110000</v>
      </c>
      <c r="AJ23" s="157"/>
      <c r="AK23" s="157"/>
      <c r="AL23" s="157">
        <f t="shared" si="61"/>
        <v>110000</v>
      </c>
      <c r="AM23" s="157">
        <f t="shared" si="62"/>
        <v>110000</v>
      </c>
      <c r="AN23" s="157"/>
      <c r="AO23" s="157">
        <v>120000</v>
      </c>
      <c r="AP23" s="157"/>
      <c r="AQ23" s="157"/>
      <c r="AR23" s="157">
        <f t="shared" si="63"/>
        <v>120000</v>
      </c>
      <c r="AS23" s="157">
        <f t="shared" si="64"/>
        <v>120000</v>
      </c>
      <c r="AT23" s="157"/>
      <c r="AU23" s="157">
        <v>135000</v>
      </c>
      <c r="AV23" s="157"/>
      <c r="AW23" s="157"/>
      <c r="AX23" s="157">
        <f t="shared" si="65"/>
        <v>135000</v>
      </c>
      <c r="AY23" s="157">
        <f t="shared" si="66"/>
        <v>135000</v>
      </c>
      <c r="AZ23" s="157"/>
      <c r="BB23" s="5516">
        <f t="shared" si="12"/>
        <v>1.4529541808709405</v>
      </c>
      <c r="BC23" s="1729">
        <f t="shared" si="13"/>
        <v>275000</v>
      </c>
      <c r="BE23" s="1729">
        <f t="shared" si="14"/>
        <v>275000</v>
      </c>
      <c r="BM23" s="6">
        <f t="shared" si="55"/>
        <v>-51398</v>
      </c>
      <c r="BN23" s="6">
        <f t="shared" si="56"/>
        <v>0</v>
      </c>
      <c r="BO23" s="6">
        <f t="shared" si="67"/>
        <v>-51398</v>
      </c>
      <c r="BP23" s="1703">
        <f t="shared" si="58"/>
        <v>-51398</v>
      </c>
      <c r="BQ23" s="1703">
        <f t="shared" si="58"/>
        <v>0</v>
      </c>
      <c r="BR23" s="4"/>
    </row>
    <row r="24" spans="1:74" hidden="1">
      <c r="A24" s="5538"/>
      <c r="B24" s="1716" t="s">
        <v>11</v>
      </c>
      <c r="C24" s="152">
        <f>+'Phụ lục số 1'!C24</f>
        <v>0</v>
      </c>
      <c r="D24" s="152">
        <f>+'Phụ lục số 1'!D24</f>
        <v>0</v>
      </c>
      <c r="E24" s="153"/>
      <c r="F24" s="154">
        <f>+'Phụ lục số 1'!F24</f>
        <v>0</v>
      </c>
      <c r="G24" s="154">
        <f t="shared" si="59"/>
        <v>0</v>
      </c>
      <c r="H24" s="154">
        <f>+'Phụ lục số 1'!H24</f>
        <v>0</v>
      </c>
      <c r="I24" s="154">
        <f>+'Phụ lục số 1'!I24</f>
        <v>0</v>
      </c>
      <c r="J24" s="1679">
        <f>+'Phụ lục số 1'!J24</f>
        <v>0</v>
      </c>
      <c r="K24" s="155"/>
      <c r="L24" s="155"/>
      <c r="M24" s="1680">
        <f>+'Phụ lục số 1'!M24</f>
        <v>0</v>
      </c>
      <c r="N24" s="1680">
        <f t="shared" si="60"/>
        <v>0</v>
      </c>
      <c r="O24" s="1680">
        <f>+'Phụ lục số 1'!O24</f>
        <v>0</v>
      </c>
      <c r="P24" s="1680">
        <f>+'Phụ lục số 1'!P24</f>
        <v>0</v>
      </c>
      <c r="Q24" s="157">
        <f>+'Phụ lục số 1'!Q24</f>
        <v>0</v>
      </c>
      <c r="R24" s="199"/>
      <c r="S24" s="199">
        <f>+'Phụ lục số 1'!S24</f>
        <v>0</v>
      </c>
      <c r="T24" s="1681">
        <f t="shared" si="29"/>
        <v>0</v>
      </c>
      <c r="U24" s="1681">
        <f>+'Phụ lục số 1'!U24</f>
        <v>0</v>
      </c>
      <c r="V24" s="1681">
        <f>+'Phụ lục số 1'!V24</f>
        <v>0</v>
      </c>
      <c r="W24" s="157">
        <f>+'Phụ lục số 1'!W24</f>
        <v>0</v>
      </c>
      <c r="X24" s="155"/>
      <c r="Y24" s="157">
        <f>+'Phụ lục số 1'!Y24</f>
        <v>0</v>
      </c>
      <c r="Z24" s="157">
        <f t="shared" si="53"/>
        <v>0</v>
      </c>
      <c r="AA24" s="157">
        <f>+'Phụ lục số 1'!AA24</f>
        <v>0</v>
      </c>
      <c r="AB24" s="157">
        <f>+'Phụ lục số 1'!AB24</f>
        <v>0</v>
      </c>
      <c r="AC24" s="157">
        <f>+'Phụ lục số 1'!AC24</f>
        <v>0</v>
      </c>
      <c r="AD24" s="157"/>
      <c r="AE24" s="157">
        <f>+'Phụ lục số 1'!AE24</f>
        <v>0</v>
      </c>
      <c r="AF24" s="157">
        <f t="shared" si="54"/>
        <v>0</v>
      </c>
      <c r="AG24" s="157">
        <f>+'Phụ lục số 1'!AG24</f>
        <v>0</v>
      </c>
      <c r="AH24" s="5547">
        <f>+'Phụ lục số 1'!AH24</f>
        <v>0</v>
      </c>
      <c r="AI24" s="5523"/>
      <c r="AJ24" s="157"/>
      <c r="AK24" s="157"/>
      <c r="AL24" s="157">
        <f t="shared" si="61"/>
        <v>0</v>
      </c>
      <c r="AM24" s="157">
        <f t="shared" si="62"/>
        <v>0</v>
      </c>
      <c r="AN24" s="157"/>
      <c r="AO24" s="157"/>
      <c r="AP24" s="157"/>
      <c r="AQ24" s="157"/>
      <c r="AR24" s="157">
        <f t="shared" si="63"/>
        <v>0</v>
      </c>
      <c r="AS24" s="157">
        <f t="shared" si="64"/>
        <v>0</v>
      </c>
      <c r="AT24" s="157"/>
      <c r="AU24" s="157"/>
      <c r="AV24" s="157"/>
      <c r="AW24" s="157"/>
      <c r="AX24" s="157">
        <f t="shared" si="65"/>
        <v>0</v>
      </c>
      <c r="AY24" s="157">
        <f t="shared" si="66"/>
        <v>0</v>
      </c>
      <c r="AZ24" s="157"/>
      <c r="BB24" s="5516" t="e">
        <f t="shared" si="12"/>
        <v>#DIV/0!</v>
      </c>
      <c r="BC24" s="1729">
        <f t="shared" si="13"/>
        <v>0</v>
      </c>
      <c r="BE24" s="1729">
        <f t="shared" si="14"/>
        <v>0</v>
      </c>
      <c r="BM24" s="6">
        <f t="shared" si="55"/>
        <v>0</v>
      </c>
      <c r="BN24" s="6">
        <f t="shared" si="56"/>
        <v>0</v>
      </c>
      <c r="BO24" s="6">
        <f t="shared" si="67"/>
        <v>0</v>
      </c>
      <c r="BP24" s="1703">
        <f t="shared" si="58"/>
        <v>0</v>
      </c>
      <c r="BQ24" s="1703">
        <f t="shared" si="58"/>
        <v>0</v>
      </c>
      <c r="BR24" s="4"/>
    </row>
    <row r="25" spans="1:74">
      <c r="A25" s="5538">
        <v>3</v>
      </c>
      <c r="B25" s="165" t="s">
        <v>13</v>
      </c>
      <c r="C25" s="147">
        <f>SUM(C26:C29)</f>
        <v>75000</v>
      </c>
      <c r="D25" s="147">
        <f>SUM(D26:D29)</f>
        <v>75000</v>
      </c>
      <c r="E25" s="148"/>
      <c r="F25" s="149">
        <f>SUM(F26:F29)</f>
        <v>0</v>
      </c>
      <c r="G25" s="149">
        <f>SUM(G26:G29)</f>
        <v>75000</v>
      </c>
      <c r="H25" s="149">
        <f t="shared" ref="H25:I25" si="68">SUM(H26:H29)</f>
        <v>75000</v>
      </c>
      <c r="I25" s="149">
        <f t="shared" si="68"/>
        <v>0</v>
      </c>
      <c r="J25" s="185">
        <f>SUM(J26:J29)</f>
        <v>107000</v>
      </c>
      <c r="K25" s="141">
        <f>J25/C25*100</f>
        <v>142.66666666666669</v>
      </c>
      <c r="L25" s="1672">
        <f>J25/D25*100</f>
        <v>142.66666666666669</v>
      </c>
      <c r="M25" s="150">
        <f>SUM(M26:M29)</f>
        <v>0</v>
      </c>
      <c r="N25" s="150">
        <f t="shared" ref="N25:P25" si="69">SUM(N26:N29)</f>
        <v>107000</v>
      </c>
      <c r="O25" s="150">
        <f t="shared" si="69"/>
        <v>107000</v>
      </c>
      <c r="P25" s="150">
        <f t="shared" si="69"/>
        <v>0</v>
      </c>
      <c r="Q25" s="142">
        <f>SUM(Q26:Q29)</f>
        <v>70000</v>
      </c>
      <c r="R25" s="1674">
        <f>Q25/J25*100</f>
        <v>65.420560747663544</v>
      </c>
      <c r="S25" s="1682">
        <f>SUM(S26:S29)</f>
        <v>0</v>
      </c>
      <c r="T25" s="1683">
        <f t="shared" ref="T25:V25" si="70">SUM(T26:T29)</f>
        <v>70000</v>
      </c>
      <c r="U25" s="1683">
        <f t="shared" si="70"/>
        <v>70000</v>
      </c>
      <c r="V25" s="1683">
        <f t="shared" si="70"/>
        <v>0</v>
      </c>
      <c r="W25" s="142">
        <f>SUM(W26:W29)</f>
        <v>110000</v>
      </c>
      <c r="X25" s="141">
        <f>W25/Q25*100</f>
        <v>157.14285714285714</v>
      </c>
      <c r="Y25" s="142">
        <f>SUM(Y26:Y29)</f>
        <v>0</v>
      </c>
      <c r="Z25" s="142">
        <f t="shared" ref="Z25:AB25" si="71">SUM(Z26:Z29)</f>
        <v>110000</v>
      </c>
      <c r="AA25" s="142">
        <f t="shared" si="71"/>
        <v>110000</v>
      </c>
      <c r="AB25" s="142">
        <f t="shared" si="71"/>
        <v>0</v>
      </c>
      <c r="AC25" s="142">
        <f>SUM(AC26:AC29)</f>
        <v>120000</v>
      </c>
      <c r="AD25" s="142">
        <f>AC25/W25*100</f>
        <v>109.09090909090908</v>
      </c>
      <c r="AE25" s="142">
        <f>SUM(AE26:AE29)</f>
        <v>0</v>
      </c>
      <c r="AF25" s="142">
        <f t="shared" ref="AF25:AH25" si="72">SUM(AF26:AF29)</f>
        <v>120000</v>
      </c>
      <c r="AG25" s="142">
        <f t="shared" si="72"/>
        <v>120000</v>
      </c>
      <c r="AH25" s="5548">
        <f t="shared" si="72"/>
        <v>0</v>
      </c>
      <c r="AI25" s="5524">
        <f>SUM(AI26:AI29)</f>
        <v>130000</v>
      </c>
      <c r="AJ25" s="142">
        <f>AI25/AC25*100</f>
        <v>108.33333333333333</v>
      </c>
      <c r="AK25" s="142">
        <f>SUM(AK26:AK29)</f>
        <v>0</v>
      </c>
      <c r="AL25" s="142">
        <f t="shared" ref="AL25:AN25" si="73">SUM(AL26:AL29)</f>
        <v>130000</v>
      </c>
      <c r="AM25" s="142">
        <f t="shared" si="73"/>
        <v>0</v>
      </c>
      <c r="AN25" s="142">
        <f t="shared" si="73"/>
        <v>130000</v>
      </c>
      <c r="AO25" s="142">
        <f>SUM(AO26:AO29)</f>
        <v>140000</v>
      </c>
      <c r="AP25" s="142">
        <f>AO25/AI25*100</f>
        <v>107.69230769230769</v>
      </c>
      <c r="AQ25" s="142">
        <f>SUM(AQ26:AQ29)</f>
        <v>0</v>
      </c>
      <c r="AR25" s="142">
        <f t="shared" ref="AR25:AT25" si="74">SUM(AR26:AR29)</f>
        <v>140000</v>
      </c>
      <c r="AS25" s="142">
        <f t="shared" si="74"/>
        <v>140000</v>
      </c>
      <c r="AT25" s="142">
        <f t="shared" si="74"/>
        <v>0</v>
      </c>
      <c r="AU25" s="142">
        <f>SUM(AU26:AU29)</f>
        <v>153000</v>
      </c>
      <c r="AV25" s="142">
        <f>AU25/AO25*100</f>
        <v>109.28571428571428</v>
      </c>
      <c r="AW25" s="142">
        <f>SUM(AW26:AW29)</f>
        <v>0</v>
      </c>
      <c r="AX25" s="142">
        <f t="shared" ref="AX25:AZ25" si="75">SUM(AX26:AX29)</f>
        <v>153000</v>
      </c>
      <c r="AY25" s="142">
        <f t="shared" si="75"/>
        <v>153000</v>
      </c>
      <c r="AZ25" s="142">
        <f t="shared" si="75"/>
        <v>0</v>
      </c>
      <c r="BB25" s="5516">
        <f t="shared" si="12"/>
        <v>1.038960786098575</v>
      </c>
      <c r="BC25" s="1729">
        <f t="shared" si="13"/>
        <v>300000</v>
      </c>
      <c r="BE25" s="1729">
        <f t="shared" si="14"/>
        <v>300000</v>
      </c>
      <c r="BM25" s="142">
        <f>SUM(BM26:BM29)</f>
        <v>32000</v>
      </c>
      <c r="BN25" s="142">
        <f t="shared" ref="BN25" si="76">SUM(BN26:BN29)</f>
        <v>0</v>
      </c>
      <c r="BO25" s="142">
        <f>SUM(BO26:BO29)</f>
        <v>32000</v>
      </c>
      <c r="BP25" s="142">
        <f t="shared" ref="BP25:BQ25" si="77">SUM(BP26:BP29)</f>
        <v>32000</v>
      </c>
      <c r="BQ25" s="142">
        <f t="shared" si="77"/>
        <v>0</v>
      </c>
      <c r="BR25" s="4"/>
      <c r="BU25" s="6">
        <f>+'Biểu số 1'!AZ25</f>
        <v>63555</v>
      </c>
      <c r="BV25" s="816">
        <f>+J25/BU25-100%</f>
        <v>0.68358115018487919</v>
      </c>
    </row>
    <row r="26" spans="1:74" hidden="1">
      <c r="A26" s="5538"/>
      <c r="B26" s="1716" t="s">
        <v>7</v>
      </c>
      <c r="C26" s="152">
        <f>+'Phụ lục số 1'!C26</f>
        <v>16000</v>
      </c>
      <c r="D26" s="152">
        <f>+'Phụ lục số 1'!D26</f>
        <v>16000</v>
      </c>
      <c r="E26" s="153"/>
      <c r="F26" s="154">
        <f>+'Phụ lục số 1'!F26</f>
        <v>0</v>
      </c>
      <c r="G26" s="154">
        <f t="shared" ref="G26" si="78">SUM(H26:I26)</f>
        <v>16000</v>
      </c>
      <c r="H26" s="154">
        <f>+'Phụ lục số 1'!H26</f>
        <v>16000</v>
      </c>
      <c r="I26" s="154">
        <f>+'Phụ lục số 1'!I26</f>
        <v>0</v>
      </c>
      <c r="J26" s="1679">
        <f>+'Phụ lục số 1'!J26</f>
        <v>9893</v>
      </c>
      <c r="K26" s="155"/>
      <c r="L26" s="155"/>
      <c r="M26" s="1680">
        <f>+'Phụ lục số 1'!M26</f>
        <v>0</v>
      </c>
      <c r="N26" s="1680">
        <f t="shared" ref="N26" si="79">SUM(O26:P26)</f>
        <v>9893</v>
      </c>
      <c r="O26" s="1680">
        <f>+'Phụ lục số 1'!O26</f>
        <v>9893</v>
      </c>
      <c r="P26" s="1680">
        <f>+'Phụ lục số 1'!P26</f>
        <v>0</v>
      </c>
      <c r="Q26" s="157">
        <f>+'Phụ lục số 1'!Q26</f>
        <v>16000</v>
      </c>
      <c r="R26" s="199"/>
      <c r="S26" s="199">
        <f>+'Phụ lục số 1'!S26</f>
        <v>0</v>
      </c>
      <c r="T26" s="1681">
        <f t="shared" si="29"/>
        <v>16000</v>
      </c>
      <c r="U26" s="1681">
        <f>+'Phụ lục số 1'!U26</f>
        <v>16000</v>
      </c>
      <c r="V26" s="1681">
        <f>+'Phụ lục số 1'!V26</f>
        <v>0</v>
      </c>
      <c r="W26" s="157">
        <f>+'Phụ lục số 1'!W26</f>
        <v>24000</v>
      </c>
      <c r="X26" s="155"/>
      <c r="Y26" s="157">
        <f>+'Phụ lục số 1'!Y26</f>
        <v>0</v>
      </c>
      <c r="Z26" s="157">
        <f t="shared" ref="Z26:Z29" si="80">SUM(AA26:AB26)</f>
        <v>24000</v>
      </c>
      <c r="AA26" s="157">
        <f>+'Phụ lục số 1'!AA26</f>
        <v>24000</v>
      </c>
      <c r="AB26" s="157">
        <f>+'Phụ lục số 1'!AB26</f>
        <v>0</v>
      </c>
      <c r="AC26" s="157">
        <f>+'Phụ lục số 1'!AC26</f>
        <v>26000</v>
      </c>
      <c r="AD26" s="157"/>
      <c r="AE26" s="157">
        <f>+'Phụ lục số 1'!AE26</f>
        <v>0</v>
      </c>
      <c r="AF26" s="157">
        <f t="shared" ref="AF26:AF29" si="81">SUM(AG26:AH26)</f>
        <v>26000</v>
      </c>
      <c r="AG26" s="157">
        <f>+'Phụ lục số 1'!AG26</f>
        <v>26000</v>
      </c>
      <c r="AH26" s="5547">
        <f>+'Phụ lục số 1'!AH26</f>
        <v>0</v>
      </c>
      <c r="AI26" s="5523">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B26" s="5516">
        <f t="shared" si="12"/>
        <v>1.3800085579461416</v>
      </c>
      <c r="BC26" s="1729">
        <f t="shared" si="13"/>
        <v>66000</v>
      </c>
      <c r="BE26" s="1729">
        <f t="shared" si="14"/>
        <v>66000</v>
      </c>
      <c r="BM26" s="6">
        <f t="shared" ref="BM26:BM29" si="82">+J26-D26</f>
        <v>-6107</v>
      </c>
      <c r="BN26" s="6">
        <f t="shared" ref="BN26:BN29" si="83">+M26-F26</f>
        <v>0</v>
      </c>
      <c r="BO26" s="6">
        <f t="shared" ref="BO26" si="84">SUM(BP26:BQ26)</f>
        <v>-6107</v>
      </c>
      <c r="BP26" s="1703">
        <f t="shared" ref="BP26:BQ29" si="85">+O26-H26</f>
        <v>-6107</v>
      </c>
      <c r="BQ26" s="1703">
        <f t="shared" si="85"/>
        <v>0</v>
      </c>
      <c r="BR26" s="4"/>
    </row>
    <row r="27" spans="1:74" hidden="1">
      <c r="A27" s="5538"/>
      <c r="B27" s="1716" t="s">
        <v>8</v>
      </c>
      <c r="C27" s="152">
        <f>+'Phụ lục số 1'!C27</f>
        <v>59000</v>
      </c>
      <c r="D27" s="152">
        <f>+'Phụ lục số 1'!D27</f>
        <v>59000</v>
      </c>
      <c r="E27" s="153"/>
      <c r="F27" s="154">
        <f>+'Phụ lục số 1'!F27</f>
        <v>0</v>
      </c>
      <c r="G27" s="154">
        <f t="shared" ref="G27:G29" si="86">SUM(H27:I27)</f>
        <v>59000</v>
      </c>
      <c r="H27" s="154">
        <f>+'Phụ lục số 1'!H27</f>
        <v>59000</v>
      </c>
      <c r="I27" s="154">
        <f>+'Phụ lục số 1'!I27</f>
        <v>0</v>
      </c>
      <c r="J27" s="1679">
        <f>+'Phụ lục số 1'!J27</f>
        <v>97094</v>
      </c>
      <c r="K27" s="155"/>
      <c r="L27" s="155"/>
      <c r="M27" s="1680">
        <f>+'Phụ lục số 1'!M27</f>
        <v>0</v>
      </c>
      <c r="N27" s="1680">
        <f t="shared" ref="N27:N29" si="87">SUM(O27:P27)</f>
        <v>97094</v>
      </c>
      <c r="O27" s="1680">
        <f>+'Phụ lục số 1'!O27</f>
        <v>97094</v>
      </c>
      <c r="P27" s="1680">
        <f>+'Phụ lục số 1'!P27</f>
        <v>0</v>
      </c>
      <c r="Q27" s="157">
        <f>+'Phụ lục số 1'!Q27</f>
        <v>54000</v>
      </c>
      <c r="R27" s="199"/>
      <c r="S27" s="199">
        <f>+'Phụ lục số 1'!S27</f>
        <v>0</v>
      </c>
      <c r="T27" s="1681">
        <f t="shared" si="29"/>
        <v>54000</v>
      </c>
      <c r="U27" s="1681">
        <f>+'Phụ lục số 1'!U27</f>
        <v>54000</v>
      </c>
      <c r="V27" s="1681">
        <f>+'Phụ lục số 1'!V27</f>
        <v>0</v>
      </c>
      <c r="W27" s="157">
        <f>+'Phụ lục số 1'!W27</f>
        <v>86000</v>
      </c>
      <c r="X27" s="155"/>
      <c r="Y27" s="157">
        <f>+'Phụ lục số 1'!Y27</f>
        <v>0</v>
      </c>
      <c r="Z27" s="157">
        <f t="shared" si="80"/>
        <v>86000</v>
      </c>
      <c r="AA27" s="157">
        <f>+'Phụ lục số 1'!AA27</f>
        <v>86000</v>
      </c>
      <c r="AB27" s="157">
        <f>+'Phụ lục số 1'!AB27</f>
        <v>0</v>
      </c>
      <c r="AC27" s="157">
        <f>+'Phụ lục số 1'!AC27</f>
        <v>94000</v>
      </c>
      <c r="AD27" s="157"/>
      <c r="AE27" s="157">
        <f>+'Phụ lục số 1'!AE27</f>
        <v>0</v>
      </c>
      <c r="AF27" s="157">
        <f t="shared" si="81"/>
        <v>94000</v>
      </c>
      <c r="AG27" s="157">
        <f>+'Phụ lục số 1'!AG27</f>
        <v>94000</v>
      </c>
      <c r="AH27" s="5547">
        <f>+'Phụ lục số 1'!AH27</f>
        <v>0</v>
      </c>
      <c r="AI27" s="5523">
        <v>102000</v>
      </c>
      <c r="AJ27" s="157"/>
      <c r="AK27" s="157"/>
      <c r="AL27" s="157">
        <f t="shared" ref="AL27:AL29" si="88">SUM(AM27:AN27)</f>
        <v>102000</v>
      </c>
      <c r="AM27" s="157">
        <f t="shared" ref="AM27:AM29" si="89">AI27-AK27-AN27</f>
        <v>0</v>
      </c>
      <c r="AN27" s="157">
        <f>AI27</f>
        <v>102000</v>
      </c>
      <c r="AO27" s="157">
        <v>110000</v>
      </c>
      <c r="AP27" s="157"/>
      <c r="AQ27" s="157"/>
      <c r="AR27" s="157">
        <f t="shared" ref="AR27:AR29" si="90">SUM(AS27:AT27)</f>
        <v>110000</v>
      </c>
      <c r="AS27" s="157">
        <f t="shared" ref="AS27:AS29" si="91">AO27-AQ27-AT27</f>
        <v>110000</v>
      </c>
      <c r="AT27" s="157"/>
      <c r="AU27" s="157">
        <v>120500</v>
      </c>
      <c r="AV27" s="157"/>
      <c r="AW27" s="157"/>
      <c r="AX27" s="157">
        <f t="shared" ref="AX27:AX29" si="92">SUM(AY27:AZ27)</f>
        <v>120500</v>
      </c>
      <c r="AY27" s="157">
        <f t="shared" ref="AY27:AY29" si="93">AU27-AW27-AZ27</f>
        <v>120500</v>
      </c>
      <c r="AZ27" s="157"/>
      <c r="BB27" s="5516">
        <f t="shared" si="12"/>
        <v>0.98926312314739162</v>
      </c>
      <c r="BC27" s="1729">
        <f t="shared" si="13"/>
        <v>234000</v>
      </c>
      <c r="BE27" s="1729">
        <f t="shared" si="14"/>
        <v>234000</v>
      </c>
      <c r="BM27" s="6">
        <f t="shared" si="82"/>
        <v>38094</v>
      </c>
      <c r="BN27" s="6">
        <f t="shared" si="83"/>
        <v>0</v>
      </c>
      <c r="BO27" s="6">
        <f t="shared" ref="BO27:BO28" si="94">SUM(BP27:BQ27)</f>
        <v>38094</v>
      </c>
      <c r="BP27" s="1703">
        <f t="shared" si="85"/>
        <v>38094</v>
      </c>
      <c r="BQ27" s="1703">
        <f t="shared" si="85"/>
        <v>0</v>
      </c>
      <c r="BR27" s="4"/>
    </row>
    <row r="28" spans="1:74" hidden="1">
      <c r="A28" s="5538"/>
      <c r="B28" s="1716" t="s">
        <v>10</v>
      </c>
      <c r="C28" s="152">
        <f>+'Phụ lục số 1'!C28</f>
        <v>0</v>
      </c>
      <c r="D28" s="152">
        <f>+'Phụ lục số 1'!D28</f>
        <v>0</v>
      </c>
      <c r="E28" s="153"/>
      <c r="F28" s="154">
        <f>+'Phụ lục số 1'!F28</f>
        <v>0</v>
      </c>
      <c r="G28" s="154">
        <f t="shared" si="86"/>
        <v>0</v>
      </c>
      <c r="H28" s="154">
        <f>+'Phụ lục số 1'!H28</f>
        <v>0</v>
      </c>
      <c r="I28" s="154">
        <f>+'Phụ lục số 1'!I28</f>
        <v>0</v>
      </c>
      <c r="J28" s="1679">
        <f>+'Phụ lục số 1'!J28</f>
        <v>13</v>
      </c>
      <c r="K28" s="155"/>
      <c r="L28" s="155"/>
      <c r="M28" s="1680">
        <f>+'Phụ lục số 1'!M28</f>
        <v>0</v>
      </c>
      <c r="N28" s="1680">
        <f t="shared" si="87"/>
        <v>13</v>
      </c>
      <c r="O28" s="1680">
        <f>+'Phụ lục số 1'!O28</f>
        <v>13</v>
      </c>
      <c r="P28" s="1680">
        <f>+'Phụ lục số 1'!P28</f>
        <v>0</v>
      </c>
      <c r="Q28" s="157">
        <f>+'Phụ lục số 1'!Q28</f>
        <v>0</v>
      </c>
      <c r="R28" s="199"/>
      <c r="S28" s="199">
        <f>+'Phụ lục số 1'!S28</f>
        <v>0</v>
      </c>
      <c r="T28" s="1681">
        <f t="shared" si="29"/>
        <v>0</v>
      </c>
      <c r="U28" s="1681">
        <f>+'Phụ lục số 1'!U28</f>
        <v>0</v>
      </c>
      <c r="V28" s="1681">
        <f>+'Phụ lục số 1'!V28</f>
        <v>0</v>
      </c>
      <c r="W28" s="157">
        <f>+'Phụ lục số 1'!W28</f>
        <v>0</v>
      </c>
      <c r="X28" s="155"/>
      <c r="Y28" s="157">
        <f>+'Phụ lục số 1'!Y28</f>
        <v>0</v>
      </c>
      <c r="Z28" s="157">
        <f t="shared" si="80"/>
        <v>0</v>
      </c>
      <c r="AA28" s="157">
        <f>+'Phụ lục số 1'!AA28</f>
        <v>0</v>
      </c>
      <c r="AB28" s="157">
        <f>+'Phụ lục số 1'!AB28</f>
        <v>0</v>
      </c>
      <c r="AC28" s="157">
        <f>+'Phụ lục số 1'!AC28</f>
        <v>0</v>
      </c>
      <c r="AD28" s="157"/>
      <c r="AE28" s="157">
        <f>+'Phụ lục số 1'!AE28</f>
        <v>0</v>
      </c>
      <c r="AF28" s="157">
        <f t="shared" si="81"/>
        <v>0</v>
      </c>
      <c r="AG28" s="157">
        <f>+'Phụ lục số 1'!AG28</f>
        <v>0</v>
      </c>
      <c r="AH28" s="5547">
        <f>+'Phụ lục số 1'!AH28</f>
        <v>0</v>
      </c>
      <c r="AI28" s="5523">
        <v>0</v>
      </c>
      <c r="AJ28" s="157"/>
      <c r="AK28" s="157"/>
      <c r="AL28" s="157">
        <f t="shared" si="88"/>
        <v>0</v>
      </c>
      <c r="AM28" s="157">
        <f t="shared" si="89"/>
        <v>0</v>
      </c>
      <c r="AN28" s="157"/>
      <c r="AO28" s="157"/>
      <c r="AP28" s="157"/>
      <c r="AQ28" s="157"/>
      <c r="AR28" s="157">
        <f t="shared" si="90"/>
        <v>0</v>
      </c>
      <c r="AS28" s="157">
        <f t="shared" si="91"/>
        <v>0</v>
      </c>
      <c r="AT28" s="157"/>
      <c r="AU28" s="157"/>
      <c r="AV28" s="157"/>
      <c r="AW28" s="157"/>
      <c r="AX28" s="157">
        <f t="shared" si="92"/>
        <v>0</v>
      </c>
      <c r="AY28" s="157">
        <f t="shared" si="93"/>
        <v>0</v>
      </c>
      <c r="AZ28" s="157"/>
      <c r="BB28" s="5516" t="e">
        <f t="shared" si="12"/>
        <v>#DIV/0!</v>
      </c>
      <c r="BC28" s="1729">
        <f t="shared" si="13"/>
        <v>0</v>
      </c>
      <c r="BE28" s="1729">
        <f t="shared" si="14"/>
        <v>0</v>
      </c>
      <c r="BM28" s="6">
        <f t="shared" si="82"/>
        <v>13</v>
      </c>
      <c r="BN28" s="6">
        <f t="shared" si="83"/>
        <v>0</v>
      </c>
      <c r="BO28" s="6">
        <f t="shared" si="94"/>
        <v>13</v>
      </c>
      <c r="BP28" s="1703">
        <f t="shared" si="85"/>
        <v>13</v>
      </c>
      <c r="BQ28" s="1703">
        <f t="shared" si="85"/>
        <v>0</v>
      </c>
      <c r="BR28" s="4"/>
    </row>
    <row r="29" spans="1:74" hidden="1">
      <c r="A29" s="5538"/>
      <c r="B29" s="1716" t="s">
        <v>14</v>
      </c>
      <c r="C29" s="152">
        <f>+'Phụ lục số 1'!C29</f>
        <v>0</v>
      </c>
      <c r="D29" s="152">
        <f>+'Phụ lục số 1'!D29</f>
        <v>0</v>
      </c>
      <c r="E29" s="153"/>
      <c r="F29" s="154">
        <f>+'Phụ lục số 1'!F29</f>
        <v>0</v>
      </c>
      <c r="G29" s="154">
        <f t="shared" si="86"/>
        <v>0</v>
      </c>
      <c r="H29" s="154">
        <f>+'Phụ lục số 1'!H29</f>
        <v>0</v>
      </c>
      <c r="I29" s="154">
        <f>+'Phụ lục số 1'!I29</f>
        <v>0</v>
      </c>
      <c r="J29" s="1679">
        <f>+'Phụ lục số 1'!J29</f>
        <v>0</v>
      </c>
      <c r="K29" s="155"/>
      <c r="L29" s="155"/>
      <c r="M29" s="1680">
        <f>+'Phụ lục số 1'!M29</f>
        <v>0</v>
      </c>
      <c r="N29" s="1680">
        <f t="shared" si="87"/>
        <v>0</v>
      </c>
      <c r="O29" s="1680">
        <f>+'Phụ lục số 1'!O29</f>
        <v>0</v>
      </c>
      <c r="P29" s="1680">
        <f>+'Phụ lục số 1'!P29</f>
        <v>0</v>
      </c>
      <c r="Q29" s="157">
        <f>+'Phụ lục số 1'!Q29</f>
        <v>0</v>
      </c>
      <c r="R29" s="199"/>
      <c r="S29" s="199">
        <f>+'Phụ lục số 1'!S29</f>
        <v>0</v>
      </c>
      <c r="T29" s="1681">
        <f t="shared" si="29"/>
        <v>0</v>
      </c>
      <c r="U29" s="1681">
        <f>+'Phụ lục số 1'!U29</f>
        <v>0</v>
      </c>
      <c r="V29" s="1681">
        <f>+'Phụ lục số 1'!V29</f>
        <v>0</v>
      </c>
      <c r="W29" s="157">
        <f>+'Phụ lục số 1'!W29</f>
        <v>0</v>
      </c>
      <c r="X29" s="155"/>
      <c r="Y29" s="157">
        <f>+'Phụ lục số 1'!Y29</f>
        <v>0</v>
      </c>
      <c r="Z29" s="157">
        <f t="shared" si="80"/>
        <v>0</v>
      </c>
      <c r="AA29" s="157">
        <f>+'Phụ lục số 1'!AA29</f>
        <v>0</v>
      </c>
      <c r="AB29" s="157">
        <f>+'Phụ lục số 1'!AB29</f>
        <v>0</v>
      </c>
      <c r="AC29" s="157">
        <f>+'Phụ lục số 1'!AC29</f>
        <v>0</v>
      </c>
      <c r="AD29" s="157"/>
      <c r="AE29" s="157">
        <f>+'Phụ lục số 1'!AE29</f>
        <v>0</v>
      </c>
      <c r="AF29" s="157">
        <f t="shared" si="81"/>
        <v>0</v>
      </c>
      <c r="AG29" s="157">
        <f>+'Phụ lục số 1'!AG29</f>
        <v>0</v>
      </c>
      <c r="AH29" s="5547">
        <f>+'Phụ lục số 1'!AH29</f>
        <v>0</v>
      </c>
      <c r="AI29" s="5523">
        <v>0</v>
      </c>
      <c r="AJ29" s="157"/>
      <c r="AK29" s="157"/>
      <c r="AL29" s="157">
        <f t="shared" si="88"/>
        <v>0</v>
      </c>
      <c r="AM29" s="157">
        <f t="shared" si="89"/>
        <v>0</v>
      </c>
      <c r="AN29" s="157"/>
      <c r="AO29" s="157"/>
      <c r="AP29" s="157"/>
      <c r="AQ29" s="157"/>
      <c r="AR29" s="157">
        <f t="shared" si="90"/>
        <v>0</v>
      </c>
      <c r="AS29" s="157">
        <f t="shared" si="91"/>
        <v>0</v>
      </c>
      <c r="AT29" s="157"/>
      <c r="AU29" s="157"/>
      <c r="AV29" s="157"/>
      <c r="AW29" s="157"/>
      <c r="AX29" s="157">
        <f t="shared" si="92"/>
        <v>0</v>
      </c>
      <c r="AY29" s="157">
        <f t="shared" si="93"/>
        <v>0</v>
      </c>
      <c r="AZ29" s="157"/>
      <c r="BB29" s="5516" t="e">
        <f t="shared" si="12"/>
        <v>#DIV/0!</v>
      </c>
      <c r="BC29" s="1729">
        <f t="shared" si="13"/>
        <v>0</v>
      </c>
      <c r="BE29" s="1729">
        <f t="shared" si="14"/>
        <v>0</v>
      </c>
      <c r="BM29" s="6">
        <f t="shared" si="82"/>
        <v>0</v>
      </c>
      <c r="BN29" s="6">
        <f t="shared" si="83"/>
        <v>0</v>
      </c>
      <c r="BO29" s="6">
        <f>SUM(BP29:BQ29)</f>
        <v>0</v>
      </c>
      <c r="BP29" s="1703">
        <f t="shared" si="85"/>
        <v>0</v>
      </c>
      <c r="BQ29" s="1703">
        <f t="shared" si="85"/>
        <v>0</v>
      </c>
      <c r="BR29" s="4"/>
    </row>
    <row r="30" spans="1:74">
      <c r="A30" s="5538">
        <v>4</v>
      </c>
      <c r="B30" s="165" t="s">
        <v>15</v>
      </c>
      <c r="C30" s="147">
        <f>SUM(C31:C35)</f>
        <v>1652000</v>
      </c>
      <c r="D30" s="147">
        <f>SUM(D31:D35)</f>
        <v>1701000</v>
      </c>
      <c r="E30" s="148"/>
      <c r="F30" s="149">
        <f>SUM(F31:F35)</f>
        <v>0</v>
      </c>
      <c r="G30" s="149">
        <f>SUM(G31:G35)</f>
        <v>1701000</v>
      </c>
      <c r="H30" s="149">
        <f>SUM(H31:H35)</f>
        <v>70920</v>
      </c>
      <c r="I30" s="149">
        <f>SUM(I31:I35)</f>
        <v>1630080</v>
      </c>
      <c r="J30" s="185">
        <f>SUM(J31:J35)</f>
        <v>1400000.3199999998</v>
      </c>
      <c r="K30" s="141">
        <f>J30/C30*100</f>
        <v>84.745782082324453</v>
      </c>
      <c r="L30" s="1672">
        <f>J30/D30*100</f>
        <v>82.304545561434438</v>
      </c>
      <c r="M30" s="150">
        <f>SUM(M31:M35)</f>
        <v>0</v>
      </c>
      <c r="N30" s="150">
        <f t="shared" ref="N30:P30" si="95">SUM(N31:N35)</f>
        <v>1400000.3199999998</v>
      </c>
      <c r="O30" s="150">
        <f t="shared" si="95"/>
        <v>92385.659999999989</v>
      </c>
      <c r="P30" s="150">
        <f t="shared" si="95"/>
        <v>1307614.6599999999</v>
      </c>
      <c r="Q30" s="142">
        <f>SUM(Q31:Q35)</f>
        <v>1550000</v>
      </c>
      <c r="R30" s="1674">
        <f t="shared" ref="R30" si="96">Q30/J30*100</f>
        <v>110.71426040816905</v>
      </c>
      <c r="S30" s="1682">
        <f>SUM(S31:S35)</f>
        <v>0</v>
      </c>
      <c r="T30" s="1683">
        <f t="shared" ref="T30:V30" si="97">SUM(T31:T35)</f>
        <v>1550000</v>
      </c>
      <c r="U30" s="1683">
        <f t="shared" si="97"/>
        <v>73000</v>
      </c>
      <c r="V30" s="1683">
        <f t="shared" si="97"/>
        <v>1477000</v>
      </c>
      <c r="W30" s="142">
        <f>SUM(W31:W35)</f>
        <v>1770000</v>
      </c>
      <c r="X30" s="141">
        <f>W30/Q30*100</f>
        <v>114.19354838709677</v>
      </c>
      <c r="Y30" s="142">
        <f>SUM(Y31:Y35)</f>
        <v>0</v>
      </c>
      <c r="Z30" s="142">
        <f t="shared" ref="Z30:AB30" si="98">SUM(Z31:Z35)</f>
        <v>1770000</v>
      </c>
      <c r="AA30" s="142">
        <f t="shared" si="98"/>
        <v>92900</v>
      </c>
      <c r="AB30" s="142">
        <f t="shared" si="98"/>
        <v>1677100</v>
      </c>
      <c r="AC30" s="142">
        <f>SUM(AC31:AC35)</f>
        <v>1980000</v>
      </c>
      <c r="AD30" s="142">
        <f>AC30/W30*100</f>
        <v>111.86440677966101</v>
      </c>
      <c r="AE30" s="142">
        <f>SUM(AE31:AE35)</f>
        <v>0</v>
      </c>
      <c r="AF30" s="142">
        <f t="shared" ref="AF30:AH30" si="99">SUM(AF31:AF35)</f>
        <v>1980000</v>
      </c>
      <c r="AG30" s="142">
        <f t="shared" si="99"/>
        <v>98900</v>
      </c>
      <c r="AH30" s="5548">
        <f t="shared" si="99"/>
        <v>1881100</v>
      </c>
      <c r="AI30" s="5524">
        <f>SUM(AI31:AI35)</f>
        <v>2190000</v>
      </c>
      <c r="AJ30" s="142">
        <f>AI30/AC30*100</f>
        <v>110.60606060606059</v>
      </c>
      <c r="AK30" s="142">
        <f>SUM(AK31:AK35)</f>
        <v>0</v>
      </c>
      <c r="AL30" s="142">
        <f t="shared" ref="AL30:AN30" si="100">SUM(AL31:AL35)</f>
        <v>2190000</v>
      </c>
      <c r="AM30" s="142">
        <f t="shared" si="100"/>
        <v>105900</v>
      </c>
      <c r="AN30" s="142">
        <f t="shared" si="100"/>
        <v>2084100</v>
      </c>
      <c r="AO30" s="142">
        <f>SUM(AO31:AO35)</f>
        <v>2430000</v>
      </c>
      <c r="AP30" s="142">
        <f>AO30/AI30*100</f>
        <v>110.95890410958904</v>
      </c>
      <c r="AQ30" s="142">
        <f>SUM(AQ31:AQ35)</f>
        <v>0</v>
      </c>
      <c r="AR30" s="142">
        <f t="shared" ref="AR30:AT30" si="101">SUM(AR31:AR35)</f>
        <v>2430000</v>
      </c>
      <c r="AS30" s="142">
        <f t="shared" si="101"/>
        <v>114900</v>
      </c>
      <c r="AT30" s="142">
        <f t="shared" si="101"/>
        <v>2315100</v>
      </c>
      <c r="AU30" s="142">
        <f>SUM(AU31:AU35)</f>
        <v>2730000</v>
      </c>
      <c r="AV30" s="142">
        <f>AU30/AO30*100</f>
        <v>112.34567901234568</v>
      </c>
      <c r="AW30" s="142">
        <f>SUM(AW31:AW35)</f>
        <v>0</v>
      </c>
      <c r="AX30" s="142">
        <f t="shared" ref="AX30:AZ30" si="102">SUM(AX31:AX35)</f>
        <v>2730000</v>
      </c>
      <c r="AY30" s="142">
        <f t="shared" si="102"/>
        <v>124900</v>
      </c>
      <c r="AZ30" s="142">
        <f t="shared" si="102"/>
        <v>2605100</v>
      </c>
      <c r="BB30" s="5516">
        <f t="shared" si="12"/>
        <v>1.1224810514660537</v>
      </c>
      <c r="BC30" s="1729">
        <f t="shared" si="13"/>
        <v>5300000</v>
      </c>
      <c r="BE30" s="1729">
        <f t="shared" si="14"/>
        <v>5300000</v>
      </c>
      <c r="BM30" s="142">
        <f>SUM(BM31:BM35)</f>
        <v>-300999.68000000011</v>
      </c>
      <c r="BN30" s="142">
        <f t="shared" ref="BN30:BP30" si="103">SUM(BN31:BN35)</f>
        <v>0</v>
      </c>
      <c r="BO30" s="142">
        <f>SUM(BO31:BO35)</f>
        <v>-300999.68000000011</v>
      </c>
      <c r="BP30" s="142">
        <f t="shared" si="103"/>
        <v>21465.659999999989</v>
      </c>
      <c r="BQ30" s="142">
        <f>SUM(BQ31:BQ35)</f>
        <v>-322465.34000000008</v>
      </c>
      <c r="BR30" s="4"/>
      <c r="BU30" s="6">
        <f>+'Biểu số 1'!AZ30</f>
        <v>1585808</v>
      </c>
      <c r="BV30" s="816">
        <f>+J30/BU30-100%</f>
        <v>-0.11716908982676355</v>
      </c>
    </row>
    <row r="31" spans="1:74" hidden="1">
      <c r="A31" s="5538"/>
      <c r="B31" s="1716" t="s">
        <v>7</v>
      </c>
      <c r="C31" s="152">
        <f>+'Phụ lục số 1'!C31</f>
        <v>752500</v>
      </c>
      <c r="D31" s="152">
        <f>+'Phụ lục số 1'!D31</f>
        <v>724290</v>
      </c>
      <c r="E31" s="153"/>
      <c r="F31" s="149">
        <f>+'Phụ lục số 1'!F31</f>
        <v>0</v>
      </c>
      <c r="G31" s="154">
        <f t="shared" ref="G31" si="104">SUM(H31:I31)</f>
        <v>724290</v>
      </c>
      <c r="H31" s="154">
        <f>+'Phụ lục số 1'!H31</f>
        <v>0</v>
      </c>
      <c r="I31" s="154">
        <f>+'Phụ lục số 1'!I31</f>
        <v>724290</v>
      </c>
      <c r="J31" s="1679">
        <f>+'Phụ lục số 1'!J31</f>
        <v>709366.96</v>
      </c>
      <c r="K31" s="155"/>
      <c r="L31" s="155"/>
      <c r="M31" s="5493">
        <f>+'Phụ lục số 1'!M31</f>
        <v>0</v>
      </c>
      <c r="N31" s="1680">
        <f t="shared" ref="N31" si="105">SUM(O31:P31)</f>
        <v>709366.96</v>
      </c>
      <c r="O31" s="1680">
        <f>+'Phụ lục số 1'!O31</f>
        <v>0</v>
      </c>
      <c r="P31" s="1680">
        <f>+'Phụ lục số 1'!P31</f>
        <v>709366.96</v>
      </c>
      <c r="Q31" s="157">
        <f>+'Phụ lục số 1'!Q31</f>
        <v>757000</v>
      </c>
      <c r="R31" s="199"/>
      <c r="S31" s="199">
        <f>+'Phụ lục số 1'!S31</f>
        <v>0</v>
      </c>
      <c r="T31" s="1681">
        <f>SUM(U31:V31)</f>
        <v>757000</v>
      </c>
      <c r="U31" s="1681">
        <f>+'Phụ lục số 1'!U31</f>
        <v>0</v>
      </c>
      <c r="V31" s="1681">
        <f>+'Phụ lục số 1'!V31</f>
        <v>757000</v>
      </c>
      <c r="W31" s="157">
        <f>+'Phụ lục số 1'!W31</f>
        <v>877100</v>
      </c>
      <c r="X31" s="155"/>
      <c r="Y31" s="157">
        <f>+'Phụ lục số 1'!Y31</f>
        <v>0</v>
      </c>
      <c r="Z31" s="157">
        <f t="shared" ref="Z31:Z36" si="106">SUM(AA31:AB31)</f>
        <v>877100</v>
      </c>
      <c r="AA31" s="157">
        <f>+'Phụ lục số 1'!AA31</f>
        <v>0</v>
      </c>
      <c r="AB31" s="157">
        <f>+'Phụ lục số 1'!AB31</f>
        <v>877100</v>
      </c>
      <c r="AC31" s="157">
        <f>+'Phụ lục số 1'!AC31</f>
        <v>1031100</v>
      </c>
      <c r="AD31" s="157"/>
      <c r="AE31" s="157">
        <f>+'Phụ lục số 1'!AE31</f>
        <v>0</v>
      </c>
      <c r="AF31" s="157">
        <f t="shared" ref="AF31:AF36" si="107">SUM(AG31:AH31)</f>
        <v>1031100</v>
      </c>
      <c r="AG31" s="157">
        <f>+'Phụ lục số 1'!AG31</f>
        <v>0</v>
      </c>
      <c r="AH31" s="5547">
        <f>+'Phụ lục số 1'!AH31</f>
        <v>1031100</v>
      </c>
      <c r="AI31" s="5523">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B31" s="5516">
        <f t="shared" si="12"/>
        <v>1.1327740115880951</v>
      </c>
      <c r="BC31" s="1729">
        <f t="shared" si="13"/>
        <v>2665200</v>
      </c>
      <c r="BE31" s="1729">
        <f t="shared" si="14"/>
        <v>2665200</v>
      </c>
      <c r="BM31" s="6">
        <f t="shared" ref="BM31:BM51" si="108">+J31-D31</f>
        <v>-14923.040000000037</v>
      </c>
      <c r="BN31" s="6">
        <f t="shared" ref="BN31:BN51" si="109">+M31-F31</f>
        <v>0</v>
      </c>
      <c r="BO31" s="6">
        <f t="shared" ref="BO31" si="110">SUM(BP31:BQ31)</f>
        <v>-14923.040000000037</v>
      </c>
      <c r="BP31" s="1703">
        <f t="shared" ref="BP31:BP46" si="111">+O31-H31</f>
        <v>0</v>
      </c>
      <c r="BQ31" s="1703">
        <f t="shared" ref="BQ31:BQ46" si="112">+P31-I31</f>
        <v>-14923.040000000037</v>
      </c>
      <c r="BR31" s="4"/>
    </row>
    <row r="32" spans="1:74" hidden="1">
      <c r="A32" s="5538"/>
      <c r="B32" s="1716" t="s">
        <v>8</v>
      </c>
      <c r="C32" s="152">
        <f>+'Phụ lục số 1'!C32</f>
        <v>822000</v>
      </c>
      <c r="D32" s="152">
        <f>+'Phụ lục số 1'!D32</f>
        <v>905790</v>
      </c>
      <c r="E32" s="153"/>
      <c r="F32" s="149">
        <f>+'Phụ lục số 1'!F32</f>
        <v>0</v>
      </c>
      <c r="G32" s="154">
        <f t="shared" ref="G32:G36" si="113">SUM(H32:I32)</f>
        <v>905790</v>
      </c>
      <c r="H32" s="154">
        <f>+'Phụ lục số 1'!H32</f>
        <v>0</v>
      </c>
      <c r="I32" s="154">
        <f>+'Phụ lục số 1'!I32</f>
        <v>905790</v>
      </c>
      <c r="J32" s="1679">
        <f>+'Phụ lục số 1'!J32</f>
        <v>598247.69999999995</v>
      </c>
      <c r="K32" s="155"/>
      <c r="L32" s="155"/>
      <c r="M32" s="5493">
        <f>+'Phụ lục số 1'!M32</f>
        <v>0</v>
      </c>
      <c r="N32" s="1680">
        <f t="shared" ref="N32:N35" si="114">SUM(O32:P32)</f>
        <v>598247.69999999995</v>
      </c>
      <c r="O32" s="1680">
        <f>+'Phụ lục số 1'!O32</f>
        <v>0</v>
      </c>
      <c r="P32" s="1680">
        <f>+'Phụ lục số 1'!P32</f>
        <v>598247.69999999995</v>
      </c>
      <c r="Q32" s="157">
        <f>+'Phụ lục số 1'!Q32</f>
        <v>720000</v>
      </c>
      <c r="R32" s="199"/>
      <c r="S32" s="199">
        <f>+'Phụ lục số 1'!S32</f>
        <v>0</v>
      </c>
      <c r="T32" s="1681">
        <f t="shared" ref="T32:T35" si="115">SUM(U32:V32)</f>
        <v>720000</v>
      </c>
      <c r="U32" s="1681">
        <f>+'Phụ lục số 1'!U32</f>
        <v>0</v>
      </c>
      <c r="V32" s="1681">
        <f>+'Phụ lục số 1'!V32</f>
        <v>720000</v>
      </c>
      <c r="W32" s="157">
        <f>+'Phụ lục số 1'!W32</f>
        <v>800000</v>
      </c>
      <c r="X32" s="155"/>
      <c r="Y32" s="157">
        <f>+'Phụ lục số 1'!Y32</f>
        <v>0</v>
      </c>
      <c r="Z32" s="157">
        <f t="shared" si="106"/>
        <v>800000</v>
      </c>
      <c r="AA32" s="157">
        <f>+'Phụ lục số 1'!AA32</f>
        <v>0</v>
      </c>
      <c r="AB32" s="157">
        <f>+'Phụ lục số 1'!AB32</f>
        <v>800000</v>
      </c>
      <c r="AC32" s="157">
        <f>+'Phụ lục số 1'!AC32</f>
        <v>850000</v>
      </c>
      <c r="AD32" s="157"/>
      <c r="AE32" s="157">
        <f>+'Phụ lục số 1'!AE32</f>
        <v>0</v>
      </c>
      <c r="AF32" s="157">
        <f t="shared" si="107"/>
        <v>850000</v>
      </c>
      <c r="AG32" s="157">
        <f>+'Phụ lục số 1'!AG32</f>
        <v>0</v>
      </c>
      <c r="AH32" s="5547">
        <f>+'Phụ lục số 1'!AH32</f>
        <v>850000</v>
      </c>
      <c r="AI32" s="5523">
        <v>935000</v>
      </c>
      <c r="AJ32" s="157"/>
      <c r="AK32" s="157"/>
      <c r="AL32" s="157">
        <f t="shared" ref="AL32:AL47" si="116">SUM(AM32:AN32)</f>
        <v>935000</v>
      </c>
      <c r="AM32" s="157">
        <f t="shared" ref="AM32:AM47" si="117">AI32-AK32-AN32</f>
        <v>0</v>
      </c>
      <c r="AN32" s="157">
        <f>AI32</f>
        <v>935000</v>
      </c>
      <c r="AO32" s="157">
        <v>1030000</v>
      </c>
      <c r="AP32" s="157"/>
      <c r="AQ32" s="157"/>
      <c r="AR32" s="157">
        <f t="shared" ref="AR32:AR47" si="118">SUM(AS32:AT32)</f>
        <v>1030000</v>
      </c>
      <c r="AS32" s="157">
        <f t="shared" ref="AS32:AS47" si="119">AO32-AQ32-AT32</f>
        <v>0</v>
      </c>
      <c r="AT32" s="157">
        <f>AO32</f>
        <v>1030000</v>
      </c>
      <c r="AU32" s="157">
        <v>1170000</v>
      </c>
      <c r="AV32" s="157"/>
      <c r="AW32" s="157"/>
      <c r="AX32" s="157">
        <f t="shared" ref="AX32:AX47" si="120">SUM(AY32:AZ32)</f>
        <v>1170000</v>
      </c>
      <c r="AY32" s="157">
        <f t="shared" ref="AY32:AY47" si="121">AU32-AW32-AZ32</f>
        <v>0</v>
      </c>
      <c r="AZ32" s="157">
        <f>AU32</f>
        <v>1170000</v>
      </c>
      <c r="BB32" s="5516">
        <f t="shared" si="12"/>
        <v>1.1242061653142061</v>
      </c>
      <c r="BC32" s="1729">
        <f t="shared" si="13"/>
        <v>2370000</v>
      </c>
      <c r="BE32" s="1729">
        <f t="shared" si="14"/>
        <v>2370000</v>
      </c>
      <c r="BM32" s="6">
        <f t="shared" si="108"/>
        <v>-307542.30000000005</v>
      </c>
      <c r="BN32" s="6">
        <f t="shared" si="109"/>
        <v>0</v>
      </c>
      <c r="BO32" s="6">
        <f t="shared" ref="BO32:BO35" si="122">SUM(BP32:BQ32)</f>
        <v>-307542.30000000005</v>
      </c>
      <c r="BP32" s="1703">
        <f t="shared" si="111"/>
        <v>0</v>
      </c>
      <c r="BQ32" s="1703">
        <f t="shared" si="112"/>
        <v>-307542.30000000005</v>
      </c>
      <c r="BR32" s="4"/>
    </row>
    <row r="33" spans="1:74" hidden="1">
      <c r="A33" s="5538"/>
      <c r="B33" s="1716" t="s">
        <v>9</v>
      </c>
      <c r="C33" s="152">
        <f>+'Phụ lục số 1'!C33</f>
        <v>72000</v>
      </c>
      <c r="D33" s="152">
        <f>+'Phụ lục số 1'!D33</f>
        <v>63450</v>
      </c>
      <c r="E33" s="153"/>
      <c r="F33" s="149">
        <f>+'Phụ lục số 1'!F33</f>
        <v>0</v>
      </c>
      <c r="G33" s="154">
        <f t="shared" si="113"/>
        <v>63450</v>
      </c>
      <c r="H33" s="154">
        <f>+'Phụ lục số 1'!H33</f>
        <v>63450</v>
      </c>
      <c r="I33" s="154">
        <f>+'Phụ lục số 1'!I33</f>
        <v>0</v>
      </c>
      <c r="J33" s="1679">
        <f>+'Phụ lục số 1'!J33</f>
        <v>23183.05</v>
      </c>
      <c r="K33" s="155"/>
      <c r="L33" s="155"/>
      <c r="M33" s="5493">
        <f>+'Phụ lục số 1'!M33</f>
        <v>0</v>
      </c>
      <c r="N33" s="1680">
        <f t="shared" si="114"/>
        <v>23183.05</v>
      </c>
      <c r="O33" s="1680">
        <f>+'Phụ lục số 1'!O33</f>
        <v>23183.05</v>
      </c>
      <c r="P33" s="1680">
        <f>+'Phụ lục số 1'!P33</f>
        <v>0</v>
      </c>
      <c r="Q33" s="157">
        <f>+'Phụ lục số 1'!Q33</f>
        <v>28650</v>
      </c>
      <c r="R33" s="199"/>
      <c r="S33" s="199">
        <f>+'Phụ lục số 1'!S33</f>
        <v>0</v>
      </c>
      <c r="T33" s="1681">
        <f t="shared" si="115"/>
        <v>28650</v>
      </c>
      <c r="U33" s="1681">
        <f>+'Phụ lục số 1'!U33</f>
        <v>28650</v>
      </c>
      <c r="V33" s="1681">
        <f>+'Phụ lục số 1'!V33</f>
        <v>0</v>
      </c>
      <c r="W33" s="157">
        <f>+'Phụ lục số 1'!W33</f>
        <v>47000</v>
      </c>
      <c r="X33" s="155"/>
      <c r="Y33" s="157">
        <f>+'Phụ lục số 1'!Y33</f>
        <v>0</v>
      </c>
      <c r="Z33" s="157">
        <f t="shared" si="106"/>
        <v>47000</v>
      </c>
      <c r="AA33" s="157">
        <f>+'Phụ lục số 1'!AA33</f>
        <v>47000</v>
      </c>
      <c r="AB33" s="157">
        <f>+'Phụ lục số 1'!AB33</f>
        <v>0</v>
      </c>
      <c r="AC33" s="157">
        <f>+'Phụ lục số 1'!AC33</f>
        <v>50000</v>
      </c>
      <c r="AD33" s="157"/>
      <c r="AE33" s="157">
        <f>+'Phụ lục số 1'!AE33</f>
        <v>0</v>
      </c>
      <c r="AF33" s="157">
        <f t="shared" si="107"/>
        <v>50000</v>
      </c>
      <c r="AG33" s="157">
        <f>+'Phụ lục số 1'!AG33</f>
        <v>50000</v>
      </c>
      <c r="AH33" s="5547">
        <f>+'Phụ lục số 1'!AH33</f>
        <v>0</v>
      </c>
      <c r="AI33" s="5523">
        <v>55000</v>
      </c>
      <c r="AJ33" s="157"/>
      <c r="AK33" s="157"/>
      <c r="AL33" s="157">
        <f t="shared" si="116"/>
        <v>55000</v>
      </c>
      <c r="AM33" s="157">
        <f t="shared" si="117"/>
        <v>55000</v>
      </c>
      <c r="AN33" s="157"/>
      <c r="AO33" s="157">
        <v>59000</v>
      </c>
      <c r="AP33" s="157"/>
      <c r="AQ33" s="157"/>
      <c r="AR33" s="157">
        <f t="shared" si="118"/>
        <v>59000</v>
      </c>
      <c r="AS33" s="157">
        <f t="shared" si="119"/>
        <v>59000</v>
      </c>
      <c r="AT33" s="157"/>
      <c r="AU33" s="157">
        <v>64000</v>
      </c>
      <c r="AV33" s="157"/>
      <c r="AW33" s="157"/>
      <c r="AX33" s="157">
        <f t="shared" si="120"/>
        <v>64000</v>
      </c>
      <c r="AY33" s="157">
        <f t="shared" si="121"/>
        <v>64000</v>
      </c>
      <c r="AZ33" s="157"/>
      <c r="BB33" s="5516">
        <f t="shared" si="12"/>
        <v>1.2920117921996974</v>
      </c>
      <c r="BC33" s="1729">
        <f t="shared" si="13"/>
        <v>125650</v>
      </c>
      <c r="BE33" s="1729">
        <f t="shared" si="14"/>
        <v>125650</v>
      </c>
      <c r="BM33" s="6">
        <f t="shared" si="108"/>
        <v>-40266.949999999997</v>
      </c>
      <c r="BN33" s="6">
        <f t="shared" si="109"/>
        <v>0</v>
      </c>
      <c r="BO33" s="6">
        <f t="shared" si="122"/>
        <v>-40266.949999999997</v>
      </c>
      <c r="BP33" s="1703">
        <f t="shared" si="111"/>
        <v>-40266.949999999997</v>
      </c>
      <c r="BQ33" s="1703">
        <f t="shared" si="112"/>
        <v>0</v>
      </c>
      <c r="BR33" s="4"/>
    </row>
    <row r="34" spans="1:74" hidden="1">
      <c r="A34" s="5538"/>
      <c r="B34" s="1716" t="s">
        <v>10</v>
      </c>
      <c r="C34" s="152">
        <f>+'Phụ lục số 1'!C34</f>
        <v>5500</v>
      </c>
      <c r="D34" s="152">
        <f>+'Phụ lục số 1'!D34</f>
        <v>5970</v>
      </c>
      <c r="E34" s="153"/>
      <c r="F34" s="149">
        <f>+'Phụ lục số 1'!F34</f>
        <v>0</v>
      </c>
      <c r="G34" s="154">
        <f t="shared" si="113"/>
        <v>5970</v>
      </c>
      <c r="H34" s="154">
        <f>+'Phụ lục số 1'!H34</f>
        <v>5970</v>
      </c>
      <c r="I34" s="154">
        <f>+'Phụ lục số 1'!I34</f>
        <v>0</v>
      </c>
      <c r="J34" s="1679">
        <f>+'Phụ lục số 1'!J34</f>
        <v>69029.609999999986</v>
      </c>
      <c r="K34" s="155"/>
      <c r="L34" s="155"/>
      <c r="M34" s="5493">
        <f>+'Phụ lục số 1'!M34</f>
        <v>0</v>
      </c>
      <c r="N34" s="1680">
        <f t="shared" si="114"/>
        <v>69029.609999999986</v>
      </c>
      <c r="O34" s="1680">
        <f>+'Phụ lục số 1'!O34</f>
        <v>69029.609999999986</v>
      </c>
      <c r="P34" s="1680">
        <f>+'Phụ lục số 1'!P34</f>
        <v>0</v>
      </c>
      <c r="Q34" s="157">
        <f>+'Phụ lục số 1'!Q34</f>
        <v>44350</v>
      </c>
      <c r="R34" s="199"/>
      <c r="S34" s="199">
        <f>+'Phụ lục số 1'!S34</f>
        <v>0</v>
      </c>
      <c r="T34" s="1681">
        <f t="shared" si="115"/>
        <v>44350</v>
      </c>
      <c r="U34" s="1681">
        <f>+'Phụ lục số 1'!U34</f>
        <v>44350</v>
      </c>
      <c r="V34" s="1681">
        <f>+'Phụ lục số 1'!V34</f>
        <v>0</v>
      </c>
      <c r="W34" s="157">
        <f>+'Phụ lục số 1'!W34</f>
        <v>45900</v>
      </c>
      <c r="X34" s="155"/>
      <c r="Y34" s="157">
        <f>+'Phụ lục số 1'!Y34</f>
        <v>0</v>
      </c>
      <c r="Z34" s="157">
        <f t="shared" si="106"/>
        <v>45900</v>
      </c>
      <c r="AA34" s="157">
        <f>+'Phụ lục số 1'!AA34</f>
        <v>45900</v>
      </c>
      <c r="AB34" s="157">
        <f>+'Phụ lục số 1'!AB34</f>
        <v>0</v>
      </c>
      <c r="AC34" s="157">
        <f>+'Phụ lục số 1'!AC34</f>
        <v>48900</v>
      </c>
      <c r="AD34" s="157"/>
      <c r="AE34" s="157">
        <f>+'Phụ lục số 1'!AE34</f>
        <v>0</v>
      </c>
      <c r="AF34" s="157">
        <f t="shared" si="107"/>
        <v>48900</v>
      </c>
      <c r="AG34" s="157">
        <f>+'Phụ lục số 1'!AG34</f>
        <v>48900</v>
      </c>
      <c r="AH34" s="5547">
        <f>+'Phụ lục số 1'!AH34</f>
        <v>0</v>
      </c>
      <c r="AI34" s="5523">
        <v>50900</v>
      </c>
      <c r="AJ34" s="157"/>
      <c r="AK34" s="157"/>
      <c r="AL34" s="157">
        <f t="shared" si="116"/>
        <v>50900</v>
      </c>
      <c r="AM34" s="157">
        <f t="shared" si="117"/>
        <v>50900</v>
      </c>
      <c r="AN34" s="157"/>
      <c r="AO34" s="157">
        <v>55900</v>
      </c>
      <c r="AP34" s="157"/>
      <c r="AQ34" s="157"/>
      <c r="AR34" s="157">
        <f t="shared" si="118"/>
        <v>55900</v>
      </c>
      <c r="AS34" s="157">
        <f t="shared" si="119"/>
        <v>55900</v>
      </c>
      <c r="AT34" s="157"/>
      <c r="AU34" s="157">
        <v>60900</v>
      </c>
      <c r="AV34" s="157"/>
      <c r="AW34" s="157"/>
      <c r="AX34" s="157">
        <f t="shared" si="120"/>
        <v>60900</v>
      </c>
      <c r="AY34" s="157">
        <f t="shared" si="121"/>
        <v>60900</v>
      </c>
      <c r="AZ34" s="157"/>
      <c r="BB34" s="5516">
        <f t="shared" si="12"/>
        <v>0.89143800681041463</v>
      </c>
      <c r="BC34" s="1729">
        <f t="shared" si="13"/>
        <v>139150</v>
      </c>
      <c r="BE34" s="1729">
        <f t="shared" si="14"/>
        <v>139150</v>
      </c>
      <c r="BM34" s="6">
        <f t="shared" si="108"/>
        <v>63059.609999999986</v>
      </c>
      <c r="BN34" s="6">
        <f t="shared" si="109"/>
        <v>0</v>
      </c>
      <c r="BO34" s="6">
        <f t="shared" si="122"/>
        <v>63059.609999999986</v>
      </c>
      <c r="BP34" s="1703">
        <f t="shared" si="111"/>
        <v>63059.609999999986</v>
      </c>
      <c r="BQ34" s="1703">
        <f t="shared" si="112"/>
        <v>0</v>
      </c>
      <c r="BR34" s="4"/>
    </row>
    <row r="35" spans="1:74" hidden="1">
      <c r="A35" s="5538"/>
      <c r="B35" s="1716" t="s">
        <v>16</v>
      </c>
      <c r="C35" s="152">
        <f>+'Phụ lục số 1'!C35</f>
        <v>0</v>
      </c>
      <c r="D35" s="152">
        <f>+'Phụ lục số 1'!D35</f>
        <v>1500</v>
      </c>
      <c r="E35" s="153"/>
      <c r="F35" s="149">
        <f>+'Phụ lục số 1'!F35</f>
        <v>0</v>
      </c>
      <c r="G35" s="154">
        <f t="shared" si="113"/>
        <v>1500</v>
      </c>
      <c r="H35" s="154">
        <f>+'Phụ lục số 1'!H35</f>
        <v>1500</v>
      </c>
      <c r="I35" s="154">
        <f>+'Phụ lục số 1'!I35</f>
        <v>0</v>
      </c>
      <c r="J35" s="5492">
        <f>+'Phụ lục số 1'!J35</f>
        <v>173</v>
      </c>
      <c r="K35" s="158"/>
      <c r="L35" s="158"/>
      <c r="M35" s="5493">
        <f>+'Phụ lục số 1'!M35</f>
        <v>0</v>
      </c>
      <c r="N35" s="5493">
        <f t="shared" si="114"/>
        <v>173</v>
      </c>
      <c r="O35" s="5493">
        <f>+'Phụ lục số 1'!O35</f>
        <v>173</v>
      </c>
      <c r="P35" s="5493">
        <f>+'Phụ lục số 1'!P35</f>
        <v>0</v>
      </c>
      <c r="Q35" s="157">
        <f>+'Phụ lục số 1'!Q35</f>
        <v>0</v>
      </c>
      <c r="R35" s="199"/>
      <c r="S35" s="199">
        <f>+'Phụ lục số 1'!S35</f>
        <v>0</v>
      </c>
      <c r="T35" s="1681">
        <f t="shared" si="115"/>
        <v>0</v>
      </c>
      <c r="U35" s="1681">
        <f>+'Phụ lục số 1'!U35</f>
        <v>0</v>
      </c>
      <c r="V35" s="1681">
        <f>+'Phụ lục số 1'!V35</f>
        <v>0</v>
      </c>
      <c r="W35" s="157">
        <f>+'Phụ lục số 1'!W35</f>
        <v>0</v>
      </c>
      <c r="X35" s="155"/>
      <c r="Y35" s="157">
        <f>+'Phụ lục số 1'!Y35</f>
        <v>0</v>
      </c>
      <c r="Z35" s="157">
        <f t="shared" si="106"/>
        <v>0</v>
      </c>
      <c r="AA35" s="157">
        <f>+'Phụ lục số 1'!AA35</f>
        <v>0</v>
      </c>
      <c r="AB35" s="157">
        <f>+'Phụ lục số 1'!AB35</f>
        <v>0</v>
      </c>
      <c r="AC35" s="157">
        <f>+'Phụ lục số 1'!AC35</f>
        <v>0</v>
      </c>
      <c r="AD35" s="157"/>
      <c r="AE35" s="157">
        <f>+'Phụ lục số 1'!AE35</f>
        <v>0</v>
      </c>
      <c r="AF35" s="157">
        <f t="shared" si="107"/>
        <v>0</v>
      </c>
      <c r="AG35" s="157">
        <f>+'Phụ lục số 1'!AG35</f>
        <v>0</v>
      </c>
      <c r="AH35" s="5547">
        <f>+'Phụ lục số 1'!AH35</f>
        <v>0</v>
      </c>
      <c r="AI35" s="5523"/>
      <c r="AJ35" s="157"/>
      <c r="AK35" s="157"/>
      <c r="AL35" s="157">
        <f t="shared" si="116"/>
        <v>0</v>
      </c>
      <c r="AM35" s="157">
        <f t="shared" si="117"/>
        <v>0</v>
      </c>
      <c r="AN35" s="157"/>
      <c r="AO35" s="157"/>
      <c r="AP35" s="157"/>
      <c r="AQ35" s="157"/>
      <c r="AR35" s="157">
        <f t="shared" si="118"/>
        <v>0</v>
      </c>
      <c r="AS35" s="157">
        <f t="shared" si="119"/>
        <v>0</v>
      </c>
      <c r="AT35" s="157"/>
      <c r="AU35" s="157"/>
      <c r="AV35" s="157"/>
      <c r="AW35" s="157"/>
      <c r="AX35" s="157">
        <f t="shared" si="120"/>
        <v>0</v>
      </c>
      <c r="AY35" s="157">
        <f t="shared" si="121"/>
        <v>0</v>
      </c>
      <c r="AZ35" s="157"/>
      <c r="BB35" s="5516" t="e">
        <f t="shared" si="12"/>
        <v>#DIV/0!</v>
      </c>
      <c r="BC35" s="1729">
        <f t="shared" si="13"/>
        <v>0</v>
      </c>
      <c r="BE35" s="1729">
        <f t="shared" si="14"/>
        <v>0</v>
      </c>
      <c r="BM35" s="6">
        <f t="shared" si="108"/>
        <v>-1327</v>
      </c>
      <c r="BN35" s="6">
        <f t="shared" si="109"/>
        <v>0</v>
      </c>
      <c r="BO35" s="6">
        <f t="shared" si="122"/>
        <v>-1327</v>
      </c>
      <c r="BP35" s="1703">
        <f t="shared" si="111"/>
        <v>-1327</v>
      </c>
      <c r="BQ35" s="1703">
        <f t="shared" si="112"/>
        <v>0</v>
      </c>
      <c r="BR35" s="4"/>
    </row>
    <row r="36" spans="1:74">
      <c r="A36" s="5538">
        <v>5</v>
      </c>
      <c r="B36" s="165" t="s">
        <v>17</v>
      </c>
      <c r="C36" s="147">
        <f>+'Phụ lục số 1'!C36</f>
        <v>350000</v>
      </c>
      <c r="D36" s="147">
        <f>+'Phụ lục số 1'!D36</f>
        <v>350000</v>
      </c>
      <c r="E36" s="148"/>
      <c r="F36" s="149">
        <f>+'Phụ lục số 1'!F36</f>
        <v>0</v>
      </c>
      <c r="G36" s="149">
        <f t="shared" si="113"/>
        <v>350000</v>
      </c>
      <c r="H36" s="149">
        <f>+'Phụ lục số 1'!H36</f>
        <v>0</v>
      </c>
      <c r="I36" s="149">
        <f>+'Phụ lục số 1'!I36</f>
        <v>350000</v>
      </c>
      <c r="J36" s="5492">
        <f>+'Phụ lục số 1'!J36</f>
        <v>313000</v>
      </c>
      <c r="K36" s="158"/>
      <c r="L36" s="158"/>
      <c r="M36" s="5493">
        <f>+'Phụ lục số 1'!M36</f>
        <v>0</v>
      </c>
      <c r="N36" s="5493">
        <f t="shared" ref="N36:N51" si="123">SUM(O36:P36)</f>
        <v>313000</v>
      </c>
      <c r="O36" s="5493">
        <f>+'Phụ lục số 1'!O36</f>
        <v>0</v>
      </c>
      <c r="P36" s="5493">
        <f>+'Phụ lục số 1'!P36</f>
        <v>313000</v>
      </c>
      <c r="Q36" s="142">
        <f>+'Phụ lục số 1'!Q36</f>
        <v>330000</v>
      </c>
      <c r="R36" s="142"/>
      <c r="S36" s="142">
        <f>+'Phụ lục số 1'!S36</f>
        <v>0</v>
      </c>
      <c r="T36" s="1686">
        <f t="shared" ref="T36:T55" si="124">SUM(U36:V36)</f>
        <v>330000</v>
      </c>
      <c r="U36" s="1686">
        <f>+'Phụ lục số 1'!U36</f>
        <v>0</v>
      </c>
      <c r="V36" s="1686">
        <f>+'Phụ lục số 1'!V36</f>
        <v>330000</v>
      </c>
      <c r="W36" s="142">
        <f>+'Phụ lục số 1'!W36</f>
        <v>480000</v>
      </c>
      <c r="X36" s="158"/>
      <c r="Y36" s="142">
        <f>+'Phụ lục số 1'!Y36</f>
        <v>0</v>
      </c>
      <c r="Z36" s="142">
        <f t="shared" si="106"/>
        <v>480000</v>
      </c>
      <c r="AA36" s="142">
        <f>+'Phụ lục số 1'!AA36</f>
        <v>0</v>
      </c>
      <c r="AB36" s="142">
        <f>+'Phụ lục số 1'!AB36</f>
        <v>480000</v>
      </c>
      <c r="AC36" s="142">
        <f>+'Phụ lục số 1'!AC36</f>
        <v>528000</v>
      </c>
      <c r="AD36" s="142"/>
      <c r="AE36" s="142">
        <f>+'Phụ lục số 1'!AE36</f>
        <v>0</v>
      </c>
      <c r="AF36" s="142">
        <f t="shared" si="107"/>
        <v>528000</v>
      </c>
      <c r="AG36" s="142">
        <f>+'Phụ lục số 1'!AG36</f>
        <v>0</v>
      </c>
      <c r="AH36" s="5548">
        <f>+'Phụ lục số 1'!AH36</f>
        <v>528000</v>
      </c>
      <c r="AI36" s="5524">
        <v>585000</v>
      </c>
      <c r="AJ36" s="142">
        <f>AI36/AC36*100</f>
        <v>110.79545454545455</v>
      </c>
      <c r="AK36" s="157"/>
      <c r="AL36" s="142">
        <f t="shared" si="116"/>
        <v>585000</v>
      </c>
      <c r="AM36" s="142">
        <f t="shared" si="117"/>
        <v>0</v>
      </c>
      <c r="AN36" s="142">
        <f>AI36</f>
        <v>585000</v>
      </c>
      <c r="AO36" s="142">
        <v>650000</v>
      </c>
      <c r="AP36" s="142">
        <f>AO36/AI36*100</f>
        <v>111.11111111111111</v>
      </c>
      <c r="AQ36" s="157"/>
      <c r="AR36" s="142">
        <f t="shared" si="118"/>
        <v>650000</v>
      </c>
      <c r="AS36" s="142">
        <f t="shared" si="119"/>
        <v>0</v>
      </c>
      <c r="AT36" s="142">
        <f>AO36</f>
        <v>650000</v>
      </c>
      <c r="AU36" s="142">
        <v>750000</v>
      </c>
      <c r="AV36" s="142">
        <f>AU36/AO36*100</f>
        <v>115.38461538461537</v>
      </c>
      <c r="AW36" s="157"/>
      <c r="AX36" s="142">
        <f t="shared" si="120"/>
        <v>750000</v>
      </c>
      <c r="AY36" s="142">
        <f t="shared" si="121"/>
        <v>0</v>
      </c>
      <c r="AZ36" s="142">
        <f>AU36</f>
        <v>750000</v>
      </c>
      <c r="BB36" s="5516">
        <f t="shared" si="12"/>
        <v>1.1904098953903399</v>
      </c>
      <c r="BC36" s="1729">
        <f t="shared" si="13"/>
        <v>1338000</v>
      </c>
      <c r="BE36" s="1729">
        <f t="shared" si="14"/>
        <v>1338000</v>
      </c>
      <c r="BM36" s="1729">
        <f t="shared" si="108"/>
        <v>-37000</v>
      </c>
      <c r="BN36" s="1729">
        <f t="shared" si="109"/>
        <v>0</v>
      </c>
      <c r="BO36" s="1729">
        <f>SUM(BP36:BQ36)</f>
        <v>-37000</v>
      </c>
      <c r="BP36" s="5293">
        <f t="shared" si="111"/>
        <v>0</v>
      </c>
      <c r="BQ36" s="5293">
        <f t="shared" si="112"/>
        <v>-37000</v>
      </c>
      <c r="BR36" s="4"/>
      <c r="BU36" s="6">
        <f>+'Biểu số 1'!AZ36</f>
        <v>299939</v>
      </c>
      <c r="BV36" s="816">
        <f t="shared" ref="BV36:BV51" si="125">+J36/BU36-100%</f>
        <v>4.3545520922587677E-2</v>
      </c>
    </row>
    <row r="37" spans="1:74">
      <c r="A37" s="5538">
        <v>6</v>
      </c>
      <c r="B37" s="165" t="s">
        <v>18</v>
      </c>
      <c r="C37" s="147">
        <f>+'Phụ lục số 1'!C37</f>
        <v>0</v>
      </c>
      <c r="D37" s="147">
        <f>+'Phụ lục số 1'!D37</f>
        <v>0</v>
      </c>
      <c r="E37" s="148"/>
      <c r="F37" s="149">
        <f>+'Phụ lục số 1'!F37</f>
        <v>0</v>
      </c>
      <c r="G37" s="149">
        <f t="shared" ref="G37:G51" si="126">SUM(H37:I37)</f>
        <v>0</v>
      </c>
      <c r="H37" s="149">
        <f>+'Phụ lục số 1'!H37</f>
        <v>0</v>
      </c>
      <c r="I37" s="149">
        <f>+'Phụ lục số 1'!I37</f>
        <v>0</v>
      </c>
      <c r="J37" s="5492">
        <f>+'Phụ lục số 1'!J37</f>
        <v>13</v>
      </c>
      <c r="K37" s="158"/>
      <c r="L37" s="158"/>
      <c r="M37" s="5493">
        <f>+'Phụ lục số 1'!M37</f>
        <v>0</v>
      </c>
      <c r="N37" s="5493">
        <f t="shared" si="123"/>
        <v>13</v>
      </c>
      <c r="O37" s="5493">
        <f>+'Phụ lục số 1'!O37</f>
        <v>0</v>
      </c>
      <c r="P37" s="5493">
        <f>+'Phụ lục số 1'!P37</f>
        <v>13</v>
      </c>
      <c r="Q37" s="142">
        <f>+'Phụ lục số 1'!Q37</f>
        <v>0</v>
      </c>
      <c r="R37" s="142"/>
      <c r="S37" s="142">
        <f>+'Phụ lục số 1'!S37</f>
        <v>0</v>
      </c>
      <c r="T37" s="1686">
        <f t="shared" si="124"/>
        <v>0</v>
      </c>
      <c r="U37" s="1686">
        <f>+'Phụ lục số 1'!U37</f>
        <v>0</v>
      </c>
      <c r="V37" s="1686">
        <f>+'Phụ lục số 1'!V37</f>
        <v>0</v>
      </c>
      <c r="W37" s="142">
        <f>+'Phụ lục số 1'!W37</f>
        <v>0</v>
      </c>
      <c r="X37" s="158"/>
      <c r="Y37" s="142">
        <f>+'Phụ lục số 1'!Y37</f>
        <v>0</v>
      </c>
      <c r="Z37" s="142">
        <f t="shared" ref="Z37:Z51" si="127">SUM(AA37:AB37)</f>
        <v>0</v>
      </c>
      <c r="AA37" s="142">
        <f>+'Phụ lục số 1'!AA37</f>
        <v>0</v>
      </c>
      <c r="AB37" s="142">
        <f>+'Phụ lục số 1'!AB37</f>
        <v>0</v>
      </c>
      <c r="AC37" s="142">
        <f>+'Phụ lục số 1'!AC37</f>
        <v>0</v>
      </c>
      <c r="AD37" s="142"/>
      <c r="AE37" s="142">
        <f>+'Phụ lục số 1'!AE37</f>
        <v>0</v>
      </c>
      <c r="AF37" s="142">
        <f t="shared" ref="AF37:AF51" si="128">SUM(AG37:AH37)</f>
        <v>0</v>
      </c>
      <c r="AG37" s="142">
        <f>+'Phụ lục số 1'!AG37</f>
        <v>0</v>
      </c>
      <c r="AH37" s="5548">
        <f>+'Phụ lục số 1'!AH37</f>
        <v>0</v>
      </c>
      <c r="AI37" s="5523">
        <v>0</v>
      </c>
      <c r="AJ37" s="142" t="e">
        <f t="shared" ref="AJ37:AJ47" si="129">AI37/AC37*100</f>
        <v>#DIV/0!</v>
      </c>
      <c r="AK37" s="157"/>
      <c r="AL37" s="142">
        <f t="shared" si="116"/>
        <v>0</v>
      </c>
      <c r="AM37" s="142">
        <f t="shared" si="117"/>
        <v>0</v>
      </c>
      <c r="AN37" s="157"/>
      <c r="AO37" s="157"/>
      <c r="AP37" s="142" t="e">
        <f t="shared" ref="AP37:AP47" si="130">AO37/AI37*100</f>
        <v>#DIV/0!</v>
      </c>
      <c r="AQ37" s="157"/>
      <c r="AR37" s="142">
        <f t="shared" si="118"/>
        <v>0</v>
      </c>
      <c r="AS37" s="142">
        <f t="shared" si="119"/>
        <v>0</v>
      </c>
      <c r="AT37" s="157"/>
      <c r="AU37" s="157"/>
      <c r="AV37" s="142" t="e">
        <f t="shared" ref="AV37:AV47" si="131">AU37/AO37*100</f>
        <v>#DIV/0!</v>
      </c>
      <c r="AW37" s="157"/>
      <c r="AX37" s="142">
        <f t="shared" si="120"/>
        <v>0</v>
      </c>
      <c r="AY37" s="142">
        <f t="shared" si="121"/>
        <v>0</v>
      </c>
      <c r="AZ37" s="157"/>
      <c r="BB37" s="5516" t="e">
        <f t="shared" si="12"/>
        <v>#DIV/0!</v>
      </c>
      <c r="BC37" s="1729">
        <f t="shared" si="13"/>
        <v>0</v>
      </c>
      <c r="BE37" s="1729">
        <f t="shared" si="14"/>
        <v>0</v>
      </c>
      <c r="BM37" s="1729">
        <f t="shared" si="108"/>
        <v>13</v>
      </c>
      <c r="BN37" s="1729">
        <f t="shared" si="109"/>
        <v>0</v>
      </c>
      <c r="BO37" s="1729">
        <f t="shared" ref="BO37:BO49" si="132">SUM(BP37:BQ37)</f>
        <v>13</v>
      </c>
      <c r="BP37" s="5293">
        <f t="shared" si="111"/>
        <v>0</v>
      </c>
      <c r="BQ37" s="5293">
        <f t="shared" si="112"/>
        <v>13</v>
      </c>
      <c r="BR37" s="4"/>
      <c r="BU37" s="6">
        <f>+'Biểu số 1'!AZ37</f>
        <v>342</v>
      </c>
      <c r="BV37" s="816">
        <f t="shared" si="125"/>
        <v>-0.96198830409356728</v>
      </c>
    </row>
    <row r="38" spans="1:74">
      <c r="A38" s="5538">
        <v>7</v>
      </c>
      <c r="B38" s="165" t="s">
        <v>19</v>
      </c>
      <c r="C38" s="147">
        <f>+'Phụ lục số 1'!C38</f>
        <v>15000</v>
      </c>
      <c r="D38" s="147">
        <f>+'Phụ lục số 1'!D38</f>
        <v>15000</v>
      </c>
      <c r="E38" s="148"/>
      <c r="F38" s="149">
        <f>+'Phụ lục số 1'!F38</f>
        <v>0</v>
      </c>
      <c r="G38" s="149">
        <f t="shared" si="126"/>
        <v>15000</v>
      </c>
      <c r="H38" s="149">
        <f>+'Phụ lục số 1'!H38</f>
        <v>0</v>
      </c>
      <c r="I38" s="149">
        <f>+'Phụ lục số 1'!I38</f>
        <v>15000</v>
      </c>
      <c r="J38" s="5492">
        <f>+'Phụ lục số 1'!J38</f>
        <v>18918</v>
      </c>
      <c r="K38" s="158"/>
      <c r="L38" s="158"/>
      <c r="M38" s="5493">
        <f>+'Phụ lục số 1'!M38</f>
        <v>0</v>
      </c>
      <c r="N38" s="5493">
        <f t="shared" si="123"/>
        <v>18918</v>
      </c>
      <c r="O38" s="5493">
        <f>+'Phụ lục số 1'!O38</f>
        <v>0</v>
      </c>
      <c r="P38" s="5493">
        <f>+'Phụ lục số 1'!P38</f>
        <v>18918</v>
      </c>
      <c r="Q38" s="142">
        <f>+'Phụ lục số 1'!Q38</f>
        <v>17000</v>
      </c>
      <c r="R38" s="142"/>
      <c r="S38" s="142">
        <f>+'Phụ lục số 1'!S38</f>
        <v>0</v>
      </c>
      <c r="T38" s="1686">
        <f t="shared" si="124"/>
        <v>17000</v>
      </c>
      <c r="U38" s="1686">
        <f>+'Phụ lục số 1'!U38</f>
        <v>0</v>
      </c>
      <c r="V38" s="1686">
        <f>+'Phụ lục số 1'!V38</f>
        <v>17000</v>
      </c>
      <c r="W38" s="142">
        <f>+'Phụ lục số 1'!W38</f>
        <v>16000</v>
      </c>
      <c r="X38" s="158"/>
      <c r="Y38" s="142">
        <f>+'Phụ lục số 1'!Y38</f>
        <v>0</v>
      </c>
      <c r="Z38" s="142">
        <f t="shared" si="127"/>
        <v>16000</v>
      </c>
      <c r="AA38" s="142">
        <f>+'Phụ lục số 1'!AA38</f>
        <v>0</v>
      </c>
      <c r="AB38" s="142">
        <f>+'Phụ lục số 1'!AB38</f>
        <v>16000</v>
      </c>
      <c r="AC38" s="142">
        <f>+'Phụ lục số 1'!AC38</f>
        <v>16000</v>
      </c>
      <c r="AD38" s="142"/>
      <c r="AE38" s="142">
        <f>+'Phụ lục số 1'!AE38</f>
        <v>0</v>
      </c>
      <c r="AF38" s="142">
        <f t="shared" si="128"/>
        <v>16000</v>
      </c>
      <c r="AG38" s="142">
        <f>+'Phụ lục số 1'!AG38</f>
        <v>0</v>
      </c>
      <c r="AH38" s="5548">
        <f>+'Phụ lục số 1'!AH38</f>
        <v>16000</v>
      </c>
      <c r="AI38" s="5524">
        <v>16000</v>
      </c>
      <c r="AJ38" s="142">
        <f t="shared" si="129"/>
        <v>100</v>
      </c>
      <c r="AK38" s="157"/>
      <c r="AL38" s="142">
        <f t="shared" si="116"/>
        <v>16000</v>
      </c>
      <c r="AM38" s="142">
        <f t="shared" si="117"/>
        <v>0</v>
      </c>
      <c r="AN38" s="142">
        <f>AI38</f>
        <v>16000</v>
      </c>
      <c r="AO38" s="142">
        <v>16000</v>
      </c>
      <c r="AP38" s="142">
        <f t="shared" si="130"/>
        <v>100</v>
      </c>
      <c r="AQ38" s="157"/>
      <c r="AR38" s="142">
        <f t="shared" si="118"/>
        <v>16000</v>
      </c>
      <c r="AS38" s="142">
        <f t="shared" si="119"/>
        <v>0</v>
      </c>
      <c r="AT38" s="142">
        <f>AO38</f>
        <v>16000</v>
      </c>
      <c r="AU38" s="142">
        <v>15000</v>
      </c>
      <c r="AV38" s="142">
        <f t="shared" si="131"/>
        <v>93.75</v>
      </c>
      <c r="AW38" s="157"/>
      <c r="AX38" s="142">
        <f t="shared" si="120"/>
        <v>15000</v>
      </c>
      <c r="AY38" s="142">
        <f t="shared" si="121"/>
        <v>0</v>
      </c>
      <c r="AZ38" s="142">
        <f>AU38</f>
        <v>15000</v>
      </c>
      <c r="BB38" s="5516">
        <f>((Q38/J38)*(W38/Q38)*(AC38/W38))^(1/3)</f>
        <v>0.94568881789836023</v>
      </c>
      <c r="BC38" s="1729">
        <f t="shared" si="13"/>
        <v>49000</v>
      </c>
      <c r="BE38" s="1729">
        <f t="shared" si="14"/>
        <v>49000</v>
      </c>
      <c r="BM38" s="1729">
        <f t="shared" si="108"/>
        <v>3918</v>
      </c>
      <c r="BN38" s="1729">
        <f t="shared" si="109"/>
        <v>0</v>
      </c>
      <c r="BO38" s="1729">
        <f t="shared" si="132"/>
        <v>3918</v>
      </c>
      <c r="BP38" s="5293">
        <f t="shared" si="111"/>
        <v>0</v>
      </c>
      <c r="BQ38" s="5293">
        <f t="shared" si="112"/>
        <v>3918</v>
      </c>
      <c r="BR38" s="4"/>
      <c r="BU38" s="6">
        <f>+'Biểu số 1'!AZ38</f>
        <v>17533</v>
      </c>
      <c r="BV38" s="816">
        <f t="shared" si="125"/>
        <v>7.8993897222380705E-2</v>
      </c>
    </row>
    <row r="39" spans="1:74">
      <c r="A39" s="5538">
        <v>8</v>
      </c>
      <c r="B39" s="165" t="s">
        <v>20</v>
      </c>
      <c r="C39" s="147">
        <f>+'Phụ lục số 1'!C39</f>
        <v>730000</v>
      </c>
      <c r="D39" s="147">
        <f>+'Phụ lục số 1'!D39</f>
        <v>730000</v>
      </c>
      <c r="E39" s="148"/>
      <c r="F39" s="149">
        <f>+'Phụ lục số 1'!F39</f>
        <v>0</v>
      </c>
      <c r="G39" s="149">
        <f t="shared" si="126"/>
        <v>730000</v>
      </c>
      <c r="H39" s="149">
        <f>+'Phụ lục số 1'!H39</f>
        <v>408000</v>
      </c>
      <c r="I39" s="149">
        <f>+'Phụ lục số 1'!I39</f>
        <v>322000</v>
      </c>
      <c r="J39" s="5492">
        <f>+'Phụ lục số 1'!J39</f>
        <v>720000</v>
      </c>
      <c r="K39" s="158"/>
      <c r="L39" s="158"/>
      <c r="M39" s="5493">
        <f>+'Phụ lục số 1'!M39</f>
        <v>0</v>
      </c>
      <c r="N39" s="5493">
        <f t="shared" si="123"/>
        <v>720000</v>
      </c>
      <c r="O39" s="5493">
        <f>+'Phụ lục số 1'!O39</f>
        <v>402500</v>
      </c>
      <c r="P39" s="5493">
        <f>+'Phụ lục số 1'!P39</f>
        <v>317500</v>
      </c>
      <c r="Q39" s="142">
        <f>+'Phụ lục số 1'!Q39</f>
        <v>785000</v>
      </c>
      <c r="R39" s="142"/>
      <c r="S39" s="142">
        <f>+'Phụ lục số 1'!S39</f>
        <v>0</v>
      </c>
      <c r="T39" s="1686">
        <f t="shared" si="124"/>
        <v>785000</v>
      </c>
      <c r="U39" s="1686">
        <f>+'Phụ lục số 1'!U39</f>
        <v>432000</v>
      </c>
      <c r="V39" s="1686">
        <f>+'Phụ lục số 1'!V39</f>
        <v>353000</v>
      </c>
      <c r="W39" s="142">
        <f>+'Phụ lục số 1'!W39</f>
        <v>890000</v>
      </c>
      <c r="X39" s="158"/>
      <c r="Y39" s="142">
        <f>+'Phụ lục số 1'!Y39</f>
        <v>0</v>
      </c>
      <c r="Z39" s="142">
        <f t="shared" si="127"/>
        <v>890000</v>
      </c>
      <c r="AA39" s="142">
        <f>+'Phụ lục số 1'!AA39</f>
        <v>489800.43949044583</v>
      </c>
      <c r="AB39" s="142">
        <f>+'Phụ lục số 1'!AB39</f>
        <v>400199.56050955417</v>
      </c>
      <c r="AC39" s="142">
        <f>+'Phụ lục số 1'!AC39</f>
        <v>970000</v>
      </c>
      <c r="AD39" s="142"/>
      <c r="AE39" s="142">
        <f>+'Phụ lục số 1'!AE39</f>
        <v>0</v>
      </c>
      <c r="AF39" s="142">
        <f t="shared" si="128"/>
        <v>970000</v>
      </c>
      <c r="AG39" s="142">
        <f>+'Phụ lục số 1'!AG39</f>
        <v>533830.44528733985</v>
      </c>
      <c r="AH39" s="5548">
        <f>+'Phụ lục số 1'!AH39</f>
        <v>436169.55471266015</v>
      </c>
      <c r="AI39" s="5524">
        <v>1050000</v>
      </c>
      <c r="AJ39" s="142">
        <f t="shared" si="129"/>
        <v>108.24742268041237</v>
      </c>
      <c r="AK39" s="157"/>
      <c r="AL39" s="142">
        <f t="shared" si="116"/>
        <v>1050000</v>
      </c>
      <c r="AM39" s="142">
        <f t="shared" si="117"/>
        <v>577859.69850691431</v>
      </c>
      <c r="AN39" s="142">
        <f>(AJ39*AH39)/100-2</f>
        <v>472140.30149308569</v>
      </c>
      <c r="AO39" s="142">
        <v>1130000</v>
      </c>
      <c r="AP39" s="142">
        <f t="shared" si="130"/>
        <v>107.61904761904762</v>
      </c>
      <c r="AQ39" s="157"/>
      <c r="AR39" s="142">
        <f t="shared" si="118"/>
        <v>1130000</v>
      </c>
      <c r="AS39" s="142">
        <f t="shared" si="119"/>
        <v>621880.10410744115</v>
      </c>
      <c r="AT39" s="142">
        <f>(AP39*AN39)/100+7</f>
        <v>508119.89589255891</v>
      </c>
      <c r="AU39" s="142">
        <v>1200000</v>
      </c>
      <c r="AV39" s="142">
        <f t="shared" si="131"/>
        <v>106.19469026548674</v>
      </c>
      <c r="AW39" s="157"/>
      <c r="AX39" s="142">
        <f t="shared" si="120"/>
        <v>1200000</v>
      </c>
      <c r="AY39" s="142">
        <f t="shared" si="121"/>
        <v>660399.65037958336</v>
      </c>
      <c r="AZ39" s="142">
        <f>(AT39*AV39)/100+4</f>
        <v>539600.34962041664</v>
      </c>
      <c r="BB39" s="5516">
        <f t="shared" si="12"/>
        <v>1.1044508979127781</v>
      </c>
      <c r="BC39" s="1729">
        <f t="shared" si="13"/>
        <v>2645000</v>
      </c>
      <c r="BE39" s="1729">
        <f t="shared" si="14"/>
        <v>2645000</v>
      </c>
      <c r="BM39" s="1729">
        <f t="shared" si="108"/>
        <v>-10000</v>
      </c>
      <c r="BN39" s="1729">
        <f t="shared" si="109"/>
        <v>0</v>
      </c>
      <c r="BO39" s="1729">
        <f t="shared" si="132"/>
        <v>-10000</v>
      </c>
      <c r="BP39" s="5293">
        <f t="shared" si="111"/>
        <v>-5500</v>
      </c>
      <c r="BQ39" s="5293">
        <f t="shared" si="112"/>
        <v>-4500</v>
      </c>
      <c r="BR39" s="4"/>
      <c r="BU39" s="6">
        <f>+'Biểu số 1'!AZ39</f>
        <v>694807</v>
      </c>
      <c r="BV39" s="816">
        <f t="shared" si="125"/>
        <v>3.6258989906549521E-2</v>
      </c>
    </row>
    <row r="40" spans="1:74">
      <c r="A40" s="5538">
        <v>9</v>
      </c>
      <c r="B40" s="165" t="s">
        <v>21</v>
      </c>
      <c r="C40" s="147">
        <f>+'Phụ lục số 1'!C40</f>
        <v>1065000</v>
      </c>
      <c r="D40" s="147">
        <f>+'Phụ lục số 1'!D40</f>
        <v>1065000</v>
      </c>
      <c r="E40" s="148"/>
      <c r="F40" s="149">
        <f>+'Phụ lục số 1'!F40</f>
        <v>426000</v>
      </c>
      <c r="G40" s="149">
        <f t="shared" si="126"/>
        <v>639000</v>
      </c>
      <c r="H40" s="149">
        <f>+'Phụ lục số 1'!H40</f>
        <v>639000</v>
      </c>
      <c r="I40" s="149">
        <f>+'Phụ lục số 1'!I40</f>
        <v>0</v>
      </c>
      <c r="J40" s="5492">
        <f>+'Phụ lục số 1'!J40</f>
        <v>950000</v>
      </c>
      <c r="K40" s="158"/>
      <c r="L40" s="158"/>
      <c r="M40" s="5493">
        <f>+'Phụ lục số 1'!M40</f>
        <v>380000</v>
      </c>
      <c r="N40" s="5493">
        <f t="shared" si="123"/>
        <v>570000</v>
      </c>
      <c r="O40" s="5493">
        <f>+'Phụ lục số 1'!O40</f>
        <v>570000</v>
      </c>
      <c r="P40" s="5493">
        <f>+'Phụ lục số 1'!P40</f>
        <v>0</v>
      </c>
      <c r="Q40" s="142">
        <f>+'Phụ lục số 1'!Q40</f>
        <v>1720000</v>
      </c>
      <c r="R40" s="142"/>
      <c r="S40" s="142">
        <f>+'Phụ lục số 1'!S40</f>
        <v>688000</v>
      </c>
      <c r="T40" s="1686">
        <f t="shared" si="124"/>
        <v>1032000</v>
      </c>
      <c r="U40" s="1686">
        <f>+'Phụ lục số 1'!U40</f>
        <v>1032000</v>
      </c>
      <c r="V40" s="1686">
        <f>+'Phụ lục số 1'!V40</f>
        <v>0</v>
      </c>
      <c r="W40" s="142">
        <f>+'Phụ lục số 1'!W40</f>
        <v>1720000</v>
      </c>
      <c r="X40" s="158"/>
      <c r="Y40" s="142">
        <f>+'Phụ lục số 1'!Y40</f>
        <v>688000</v>
      </c>
      <c r="Z40" s="142">
        <f t="shared" si="127"/>
        <v>1032000</v>
      </c>
      <c r="AA40" s="142">
        <f>+'Phụ lục số 1'!AA40</f>
        <v>1032000</v>
      </c>
      <c r="AB40" s="142">
        <f>+'Phụ lục số 1'!AB40</f>
        <v>0</v>
      </c>
      <c r="AC40" s="142">
        <f>+'Phụ lục số 1'!AC40</f>
        <v>1800000</v>
      </c>
      <c r="AD40" s="142"/>
      <c r="AE40" s="142">
        <f>+'Phụ lục số 1'!AE40</f>
        <v>720000</v>
      </c>
      <c r="AF40" s="142">
        <f t="shared" si="128"/>
        <v>1080000</v>
      </c>
      <c r="AG40" s="142">
        <f>+'Phụ lục số 1'!AG40</f>
        <v>1080000</v>
      </c>
      <c r="AH40" s="5548">
        <f>+'Phụ lục số 1'!AH40</f>
        <v>0</v>
      </c>
      <c r="AI40" s="5524">
        <f>1800000</f>
        <v>1800000</v>
      </c>
      <c r="AJ40" s="142">
        <f t="shared" si="129"/>
        <v>100</v>
      </c>
      <c r="AK40" s="142">
        <f>AI40*40%</f>
        <v>720000</v>
      </c>
      <c r="AL40" s="142">
        <f t="shared" si="116"/>
        <v>1080000</v>
      </c>
      <c r="AM40" s="142">
        <f t="shared" si="117"/>
        <v>1080000</v>
      </c>
      <c r="AN40" s="157"/>
      <c r="AO40" s="142">
        <v>1900000</v>
      </c>
      <c r="AP40" s="142">
        <f t="shared" si="130"/>
        <v>105.55555555555556</v>
      </c>
      <c r="AQ40" s="142">
        <f>(40%*AO40)</f>
        <v>760000</v>
      </c>
      <c r="AR40" s="142">
        <f t="shared" si="118"/>
        <v>1140000</v>
      </c>
      <c r="AS40" s="142">
        <f t="shared" si="119"/>
        <v>1140000</v>
      </c>
      <c r="AT40" s="157"/>
      <c r="AU40" s="142">
        <f>2000000</f>
        <v>2000000</v>
      </c>
      <c r="AV40" s="142">
        <f t="shared" si="131"/>
        <v>105.26315789473684</v>
      </c>
      <c r="AW40" s="142">
        <f>(AU40*40%)</f>
        <v>800000</v>
      </c>
      <c r="AX40" s="142">
        <f t="shared" si="120"/>
        <v>1200000</v>
      </c>
      <c r="AY40" s="142">
        <f t="shared" si="121"/>
        <v>1200000</v>
      </c>
      <c r="AZ40" s="157"/>
      <c r="BB40" s="5516">
        <f t="shared" si="12"/>
        <v>1.2374176318157031</v>
      </c>
      <c r="BC40" s="1729">
        <f t="shared" si="13"/>
        <v>5240000</v>
      </c>
      <c r="BE40" s="1729">
        <f t="shared" si="14"/>
        <v>3144000</v>
      </c>
      <c r="BM40" s="1729">
        <f t="shared" si="108"/>
        <v>-115000</v>
      </c>
      <c r="BN40" s="1729">
        <f t="shared" si="109"/>
        <v>-46000</v>
      </c>
      <c r="BO40" s="1729">
        <f t="shared" si="132"/>
        <v>-69000</v>
      </c>
      <c r="BP40" s="5293">
        <f t="shared" si="111"/>
        <v>-69000</v>
      </c>
      <c r="BQ40" s="5293">
        <f t="shared" si="112"/>
        <v>0</v>
      </c>
      <c r="BR40" s="4"/>
      <c r="BU40" s="6">
        <f>+'Biểu số 1'!AZ40</f>
        <v>946183</v>
      </c>
      <c r="BV40" s="816">
        <f t="shared" si="125"/>
        <v>4.0341033394173387E-3</v>
      </c>
    </row>
    <row r="41" spans="1:74">
      <c r="A41" s="5538">
        <v>10</v>
      </c>
      <c r="B41" s="165" t="s">
        <v>22</v>
      </c>
      <c r="C41" s="147">
        <f>+'Phụ lục số 1'!C41</f>
        <v>170000</v>
      </c>
      <c r="D41" s="147">
        <f>+'Phụ lục số 1'!D41</f>
        <v>170000</v>
      </c>
      <c r="E41" s="148"/>
      <c r="F41" s="149">
        <f>+'Phụ lục số 1'!F41</f>
        <v>60000</v>
      </c>
      <c r="G41" s="149">
        <f t="shared" si="126"/>
        <v>110000</v>
      </c>
      <c r="H41" s="149">
        <f>+'Phụ lục số 1'!H41</f>
        <v>47600</v>
      </c>
      <c r="I41" s="149">
        <f>+'Phụ lục số 1'!I41</f>
        <v>62400</v>
      </c>
      <c r="J41" s="5492">
        <f>+'Phụ lục số 1'!J41</f>
        <v>178000</v>
      </c>
      <c r="K41" s="158"/>
      <c r="L41" s="158"/>
      <c r="M41" s="5493">
        <f>+'Phụ lục số 1'!M41</f>
        <v>49999.529411764714</v>
      </c>
      <c r="N41" s="5493">
        <f t="shared" si="123"/>
        <v>128000.47058823529</v>
      </c>
      <c r="O41" s="5493">
        <f>+'Phụ lục số 1'!O41</f>
        <v>63405.470588235286</v>
      </c>
      <c r="P41" s="5493">
        <f>+'Phụ lục số 1'!P41</f>
        <v>64595</v>
      </c>
      <c r="Q41" s="142">
        <f>+'Phụ lục số 1'!Q41</f>
        <v>170000</v>
      </c>
      <c r="R41" s="142"/>
      <c r="S41" s="142">
        <f>+'Phụ lục số 1'!S41</f>
        <v>50000</v>
      </c>
      <c r="T41" s="1686">
        <f t="shared" si="124"/>
        <v>120000</v>
      </c>
      <c r="U41" s="1686">
        <f>+'Phụ lục số 1'!U41</f>
        <v>47600</v>
      </c>
      <c r="V41" s="1686">
        <f>+'Phụ lục số 1'!V41</f>
        <v>72400</v>
      </c>
      <c r="W41" s="142">
        <f>+'Phụ lục số 1'!W41</f>
        <v>232000</v>
      </c>
      <c r="X41" s="158"/>
      <c r="Y41" s="142">
        <f>+'Phụ lục số 1'!Y41</f>
        <v>68000.294117647049</v>
      </c>
      <c r="Z41" s="142">
        <f t="shared" si="127"/>
        <v>163999.70588235295</v>
      </c>
      <c r="AA41" s="142">
        <f>+'Phụ lục số 1'!AA41</f>
        <v>65190</v>
      </c>
      <c r="AB41" s="142">
        <f>+'Phụ lục số 1'!AB41</f>
        <v>98809.705882352951</v>
      </c>
      <c r="AC41" s="142">
        <f>+'Phụ lục số 1'!AC41</f>
        <v>245000</v>
      </c>
      <c r="AD41" s="142"/>
      <c r="AE41" s="142">
        <f>+'Phụ lục số 1'!AE41</f>
        <v>71819.655425963487</v>
      </c>
      <c r="AF41" s="142">
        <f t="shared" si="128"/>
        <v>173180.34457403651</v>
      </c>
      <c r="AG41" s="142">
        <f>+'Phụ lục số 1'!AG41</f>
        <v>68829.887931034464</v>
      </c>
      <c r="AH41" s="5548">
        <f>+'Phụ lục số 1'!AH41</f>
        <v>104350.45664300205</v>
      </c>
      <c r="AI41" s="5524">
        <f>270000</f>
        <v>270000</v>
      </c>
      <c r="AJ41" s="142">
        <f t="shared" si="129"/>
        <v>110.20408163265304</v>
      </c>
      <c r="AK41" s="142">
        <f>(AJ41*AE41)/100+2</f>
        <v>79150.191693918925</v>
      </c>
      <c r="AL41" s="142">
        <f t="shared" si="116"/>
        <v>190849.80830608107</v>
      </c>
      <c r="AM41" s="142">
        <f t="shared" si="117"/>
        <v>75849.345883180882</v>
      </c>
      <c r="AN41" s="142">
        <f>(AH41*AJ41)/100+2</f>
        <v>115000.46242290019</v>
      </c>
      <c r="AO41" s="142">
        <v>300000</v>
      </c>
      <c r="AP41" s="142">
        <f t="shared" si="130"/>
        <v>111.11111111111111</v>
      </c>
      <c r="AQ41" s="142">
        <f>(AP41*AK41)/100+5</f>
        <v>87949.657437687696</v>
      </c>
      <c r="AR41" s="142">
        <f t="shared" si="118"/>
        <v>212050.34256231232</v>
      </c>
      <c r="AS41" s="142">
        <f t="shared" si="119"/>
        <v>84270.050981312103</v>
      </c>
      <c r="AT41" s="142">
        <f>(AP41*AN41)/100+2</f>
        <v>127780.29158100022</v>
      </c>
      <c r="AU41" s="142">
        <f>350000</f>
        <v>350000</v>
      </c>
      <c r="AV41" s="142">
        <f t="shared" si="131"/>
        <v>116.66666666666667</v>
      </c>
      <c r="AW41" s="142">
        <f>(AV41*AQ41)/100+2</f>
        <v>102609.93367730232</v>
      </c>
      <c r="AX41" s="142">
        <f t="shared" si="120"/>
        <v>247390.06632269768</v>
      </c>
      <c r="AY41" s="142">
        <f t="shared" si="121"/>
        <v>98310.059478197421</v>
      </c>
      <c r="AZ41" s="142">
        <f>(AV41*AT41)/100+3</f>
        <v>149080.00684450025</v>
      </c>
      <c r="BB41" s="5516">
        <f t="shared" si="12"/>
        <v>1.1123685306934914</v>
      </c>
      <c r="BC41" s="1729">
        <f t="shared" si="13"/>
        <v>647000</v>
      </c>
      <c r="BE41" s="1729">
        <f t="shared" si="14"/>
        <v>457180.05045638944</v>
      </c>
      <c r="BH41" s="1729">
        <f>+AU41+AO41+AI41+AC41+W41</f>
        <v>1397000</v>
      </c>
      <c r="BM41" s="1729">
        <f t="shared" si="108"/>
        <v>8000</v>
      </c>
      <c r="BN41" s="1729">
        <f t="shared" si="109"/>
        <v>-10000.470588235286</v>
      </c>
      <c r="BO41" s="1729">
        <f t="shared" si="132"/>
        <v>18000.470588235286</v>
      </c>
      <c r="BP41" s="5293">
        <f t="shared" si="111"/>
        <v>15805.470588235286</v>
      </c>
      <c r="BQ41" s="5293">
        <f t="shared" si="112"/>
        <v>2195</v>
      </c>
      <c r="BR41" s="4"/>
      <c r="BU41" s="6">
        <f>+'Biểu số 1'!AZ41</f>
        <v>154887</v>
      </c>
      <c r="BV41" s="816">
        <f t="shared" si="125"/>
        <v>0.14922491881177891</v>
      </c>
    </row>
    <row r="42" spans="1:74">
      <c r="A42" s="5538">
        <v>11</v>
      </c>
      <c r="B42" s="165" t="s">
        <v>23</v>
      </c>
      <c r="C42" s="147">
        <f>+'Phụ lục số 1'!C42</f>
        <v>1770000</v>
      </c>
      <c r="D42" s="147">
        <f>+'Phụ lục số 1'!D42</f>
        <v>1770000</v>
      </c>
      <c r="E42" s="148"/>
      <c r="F42" s="149">
        <f>+'Phụ lục số 1'!F42</f>
        <v>0</v>
      </c>
      <c r="G42" s="149">
        <f t="shared" si="126"/>
        <v>1770000</v>
      </c>
      <c r="H42" s="149">
        <f>+'Phụ lục số 1'!H42</f>
        <v>627000</v>
      </c>
      <c r="I42" s="149">
        <f>+'Phụ lục số 1'!I42</f>
        <v>1143000</v>
      </c>
      <c r="J42" s="5492">
        <f>+'Phụ lục số 1'!J42</f>
        <v>1770000</v>
      </c>
      <c r="K42" s="158"/>
      <c r="L42" s="158"/>
      <c r="M42" s="5493">
        <f>+'Phụ lục số 1'!M42</f>
        <v>0</v>
      </c>
      <c r="N42" s="5493">
        <f t="shared" si="123"/>
        <v>1770000</v>
      </c>
      <c r="O42" s="5493">
        <f>+'Phụ lục số 1'!O42</f>
        <v>627000</v>
      </c>
      <c r="P42" s="1683">
        <f>+'Phụ lục số 1'!P42</f>
        <v>1143000</v>
      </c>
      <c r="Q42" s="142">
        <f>+'Phụ lục số 1'!Q42</f>
        <v>1600000</v>
      </c>
      <c r="R42" s="142"/>
      <c r="S42" s="142">
        <f>+'Phụ lục số 1'!S42</f>
        <v>0</v>
      </c>
      <c r="T42" s="1686">
        <f t="shared" si="124"/>
        <v>1600000</v>
      </c>
      <c r="U42" s="1686">
        <f>+'Phụ lục số 1'!U42</f>
        <v>506500</v>
      </c>
      <c r="V42" s="1686">
        <f>+'Phụ lục số 1'!V42</f>
        <v>1093500</v>
      </c>
      <c r="W42" s="142">
        <f>+'Phụ lục số 1'!W42</f>
        <v>1800000</v>
      </c>
      <c r="X42" s="158"/>
      <c r="Y42" s="142">
        <f>+'Phụ lục số 1'!Y42</f>
        <v>0</v>
      </c>
      <c r="Z42" s="142">
        <f t="shared" si="127"/>
        <v>1800000</v>
      </c>
      <c r="AA42" s="142">
        <f>+'Phụ lục số 1'!AA42</f>
        <v>540000</v>
      </c>
      <c r="AB42" s="142">
        <f>+'Phụ lục số 1'!AB42</f>
        <v>1260000</v>
      </c>
      <c r="AC42" s="142">
        <f>+'Phụ lục số 1'!AC42</f>
        <v>1800000</v>
      </c>
      <c r="AD42" s="142"/>
      <c r="AE42" s="142">
        <f>+'Phụ lục số 1'!AE42</f>
        <v>0</v>
      </c>
      <c r="AF42" s="142">
        <f t="shared" si="128"/>
        <v>1800000</v>
      </c>
      <c r="AG42" s="142">
        <f>+'Phụ lục số 1'!AG42</f>
        <v>540000</v>
      </c>
      <c r="AH42" s="5548">
        <f>+'Phụ lục số 1'!AH42</f>
        <v>1260000</v>
      </c>
      <c r="AI42" s="5524">
        <v>1800000</v>
      </c>
      <c r="AJ42" s="142">
        <f t="shared" si="129"/>
        <v>100</v>
      </c>
      <c r="AK42" s="157"/>
      <c r="AL42" s="142">
        <f t="shared" si="116"/>
        <v>1800000</v>
      </c>
      <c r="AM42" s="142">
        <f t="shared" si="117"/>
        <v>540000</v>
      </c>
      <c r="AN42" s="1683">
        <f>(1400000)-(1400000*10%)</f>
        <v>1260000</v>
      </c>
      <c r="AO42" s="142">
        <v>1950000</v>
      </c>
      <c r="AP42" s="142">
        <f t="shared" si="130"/>
        <v>108.33333333333333</v>
      </c>
      <c r="AQ42" s="157"/>
      <c r="AR42" s="142">
        <f t="shared" si="118"/>
        <v>1950000</v>
      </c>
      <c r="AS42" s="142">
        <f t="shared" si="119"/>
        <v>600000</v>
      </c>
      <c r="AT42" s="142">
        <f>(1500000)-(1500000*10%)</f>
        <v>1350000</v>
      </c>
      <c r="AU42" s="142">
        <f>2100000</f>
        <v>2100000</v>
      </c>
      <c r="AV42" s="142">
        <f t="shared" si="131"/>
        <v>107.69230769230769</v>
      </c>
      <c r="AW42" s="157"/>
      <c r="AX42" s="142">
        <f t="shared" si="120"/>
        <v>2100000</v>
      </c>
      <c r="AY42" s="142">
        <f t="shared" si="121"/>
        <v>615000</v>
      </c>
      <c r="AZ42" s="142">
        <f>(1650000)-(1650000*10%)</f>
        <v>1485000</v>
      </c>
      <c r="BB42" s="5516">
        <f t="shared" si="12"/>
        <v>1.0056180954101128</v>
      </c>
      <c r="BC42" s="1729">
        <f t="shared" si="13"/>
        <v>5200000</v>
      </c>
      <c r="BE42" s="1729">
        <f t="shared" si="14"/>
        <v>5200000</v>
      </c>
      <c r="BH42" s="1729">
        <f>+AU42+AO42+AI42+AC42+W42</f>
        <v>9450000</v>
      </c>
      <c r="BM42" s="1729">
        <f t="shared" si="108"/>
        <v>0</v>
      </c>
      <c r="BN42" s="1729">
        <f t="shared" si="109"/>
        <v>0</v>
      </c>
      <c r="BO42" s="1729">
        <f t="shared" si="132"/>
        <v>0</v>
      </c>
      <c r="BP42" s="5293">
        <f t="shared" si="111"/>
        <v>0</v>
      </c>
      <c r="BQ42" s="5293">
        <f t="shared" si="112"/>
        <v>0</v>
      </c>
      <c r="BR42" s="4"/>
      <c r="BU42" s="6">
        <f>+'Biểu số 1'!AZ42</f>
        <v>1157443</v>
      </c>
      <c r="BV42" s="816">
        <f t="shared" si="125"/>
        <v>0.52923297302761352</v>
      </c>
    </row>
    <row r="43" spans="1:74">
      <c r="A43" s="5538">
        <v>12</v>
      </c>
      <c r="B43" s="165" t="s">
        <v>24</v>
      </c>
      <c r="C43" s="147">
        <f>+'Phụ lục số 1'!C43</f>
        <v>155000</v>
      </c>
      <c r="D43" s="147">
        <f>+'Phụ lục số 1'!D43</f>
        <v>315000</v>
      </c>
      <c r="E43" s="148"/>
      <c r="F43" s="149">
        <f>+'Phụ lục số 1'!F43</f>
        <v>0</v>
      </c>
      <c r="G43" s="149">
        <f t="shared" si="126"/>
        <v>315000</v>
      </c>
      <c r="H43" s="149">
        <f>+'Phụ lục số 1'!H43</f>
        <v>45900</v>
      </c>
      <c r="I43" s="149">
        <f>+'Phụ lục số 1'!I43</f>
        <v>269100</v>
      </c>
      <c r="J43" s="5492">
        <f>+'Phụ lục số 1'!J43</f>
        <v>240000</v>
      </c>
      <c r="K43" s="158"/>
      <c r="L43" s="158"/>
      <c r="M43" s="5493">
        <f>+'Phụ lục số 1'!M43</f>
        <v>0</v>
      </c>
      <c r="N43" s="5493">
        <f t="shared" si="123"/>
        <v>240000</v>
      </c>
      <c r="O43" s="5493">
        <f>+'Phụ lục số 1'!O43</f>
        <v>24000</v>
      </c>
      <c r="P43" s="5493">
        <f>+'Phụ lục số 1'!P43</f>
        <v>216000</v>
      </c>
      <c r="Q43" s="142">
        <f>+'Phụ lục số 1'!Q43</f>
        <v>201000</v>
      </c>
      <c r="R43" s="142"/>
      <c r="S43" s="142">
        <f>+'Phụ lục số 1'!S43</f>
        <v>0</v>
      </c>
      <c r="T43" s="1686">
        <f t="shared" si="124"/>
        <v>201000</v>
      </c>
      <c r="U43" s="1686">
        <f>+'Phụ lục số 1'!U43</f>
        <v>20100</v>
      </c>
      <c r="V43" s="1686">
        <f>+'Phụ lục số 1'!V43</f>
        <v>180900</v>
      </c>
      <c r="W43" s="142">
        <f>+'Phụ lục số 1'!W43</f>
        <v>240000</v>
      </c>
      <c r="X43" s="158"/>
      <c r="Y43" s="142">
        <f>+'Phụ lục số 1'!Y43</f>
        <v>0</v>
      </c>
      <c r="Z43" s="142">
        <f t="shared" si="127"/>
        <v>240000</v>
      </c>
      <c r="AA43" s="142">
        <f>+'Phụ lục số 1'!AA43</f>
        <v>24000.000000000029</v>
      </c>
      <c r="AB43" s="142">
        <f>+'Phụ lục số 1'!AB43</f>
        <v>215999.99999999997</v>
      </c>
      <c r="AC43" s="142">
        <f>+'Phụ lục số 1'!AC43</f>
        <v>300000</v>
      </c>
      <c r="AD43" s="142"/>
      <c r="AE43" s="142">
        <f>+'Phụ lục số 1'!AE43</f>
        <v>0</v>
      </c>
      <c r="AF43" s="142">
        <f t="shared" si="128"/>
        <v>300000</v>
      </c>
      <c r="AG43" s="142">
        <f>+'Phụ lục số 1'!AG43</f>
        <v>30000.000000000058</v>
      </c>
      <c r="AH43" s="5548">
        <f>+'Phụ lục số 1'!AH43</f>
        <v>269999.99999999994</v>
      </c>
      <c r="AI43" s="5524">
        <v>365000</v>
      </c>
      <c r="AJ43" s="142">
        <f t="shared" si="129"/>
        <v>121.66666666666666</v>
      </c>
      <c r="AK43" s="157"/>
      <c r="AL43" s="142">
        <f t="shared" si="116"/>
        <v>365000</v>
      </c>
      <c r="AM43" s="142">
        <f t="shared" si="117"/>
        <v>36500.000000000116</v>
      </c>
      <c r="AN43" s="142">
        <f>(AJ43*AH43)/100</f>
        <v>328499.99999999988</v>
      </c>
      <c r="AO43" s="142">
        <v>487000</v>
      </c>
      <c r="AP43" s="142">
        <f t="shared" si="130"/>
        <v>133.42465753424656</v>
      </c>
      <c r="AQ43" s="157"/>
      <c r="AR43" s="142">
        <f t="shared" si="118"/>
        <v>487000</v>
      </c>
      <c r="AS43" s="142">
        <f t="shared" si="119"/>
        <v>48700.000000000233</v>
      </c>
      <c r="AT43" s="142">
        <f>(AP43*AN43)/100</f>
        <v>438299.99999999977</v>
      </c>
      <c r="AU43" s="142">
        <v>620000</v>
      </c>
      <c r="AV43" s="142">
        <f t="shared" si="131"/>
        <v>127.31006160164272</v>
      </c>
      <c r="AW43" s="157"/>
      <c r="AX43" s="142">
        <f t="shared" si="120"/>
        <v>620000</v>
      </c>
      <c r="AY43" s="142">
        <f t="shared" si="121"/>
        <v>62000.000000000349</v>
      </c>
      <c r="AZ43" s="142">
        <f>(AV43*AT43)/100</f>
        <v>557999.99999999965</v>
      </c>
      <c r="BB43" s="5516">
        <f t="shared" si="12"/>
        <v>1.0772173450159417</v>
      </c>
      <c r="BC43" s="1729">
        <f t="shared" si="13"/>
        <v>741000</v>
      </c>
      <c r="BE43" s="1729">
        <f t="shared" si="14"/>
        <v>741000</v>
      </c>
      <c r="BM43" s="1729">
        <f t="shared" si="108"/>
        <v>-75000</v>
      </c>
      <c r="BN43" s="1729">
        <f t="shared" si="109"/>
        <v>0</v>
      </c>
      <c r="BO43" s="1729">
        <f t="shared" si="132"/>
        <v>-75000</v>
      </c>
      <c r="BP43" s="5293">
        <f t="shared" si="111"/>
        <v>-21900</v>
      </c>
      <c r="BQ43" s="5293">
        <f t="shared" si="112"/>
        <v>-53100</v>
      </c>
      <c r="BR43" s="4"/>
      <c r="BU43" s="6">
        <f>+'Biểu số 1'!AZ43</f>
        <v>118474</v>
      </c>
      <c r="BV43" s="816">
        <f t="shared" si="125"/>
        <v>1.025760926447997</v>
      </c>
    </row>
    <row r="44" spans="1:74">
      <c r="A44" s="5538">
        <v>13</v>
      </c>
      <c r="B44" s="165" t="s">
        <v>25</v>
      </c>
      <c r="C44" s="147">
        <f>+'Phụ lục số 1'!C44</f>
        <v>0</v>
      </c>
      <c r="D44" s="147">
        <f>+'Phụ lục số 1'!D44</f>
        <v>0</v>
      </c>
      <c r="E44" s="148"/>
      <c r="F44" s="149">
        <f>+'Phụ lục số 1'!F44</f>
        <v>0</v>
      </c>
      <c r="G44" s="149">
        <f t="shared" si="126"/>
        <v>0</v>
      </c>
      <c r="H44" s="149">
        <f>+'Phụ lục số 1'!H44</f>
        <v>0</v>
      </c>
      <c r="I44" s="149">
        <f>+'Phụ lục số 1'!I44</f>
        <v>0</v>
      </c>
      <c r="J44" s="5492">
        <f>+'Phụ lục số 1'!J44</f>
        <v>0</v>
      </c>
      <c r="K44" s="158"/>
      <c r="L44" s="158"/>
      <c r="M44" s="5493">
        <f>+'Phụ lục số 1'!M44</f>
        <v>0</v>
      </c>
      <c r="N44" s="5493">
        <f t="shared" si="123"/>
        <v>0</v>
      </c>
      <c r="O44" s="5493">
        <f>+'Phụ lục số 1'!O44</f>
        <v>0</v>
      </c>
      <c r="P44" s="5493">
        <f>+'Phụ lục số 1'!P44</f>
        <v>0</v>
      </c>
      <c r="Q44" s="142">
        <f>+'Phụ lục số 1'!Q44</f>
        <v>0</v>
      </c>
      <c r="R44" s="142"/>
      <c r="S44" s="142">
        <f>+'Phụ lục số 1'!S44</f>
        <v>0</v>
      </c>
      <c r="T44" s="1686">
        <f t="shared" si="124"/>
        <v>0</v>
      </c>
      <c r="U44" s="1686">
        <f>+'Phụ lục số 1'!U44</f>
        <v>0</v>
      </c>
      <c r="V44" s="1686">
        <f>+'Phụ lục số 1'!V44</f>
        <v>0</v>
      </c>
      <c r="W44" s="142">
        <f>+'Phụ lục số 1'!W44</f>
        <v>0</v>
      </c>
      <c r="X44" s="158"/>
      <c r="Y44" s="142">
        <f>+'Phụ lục số 1'!Y44</f>
        <v>0</v>
      </c>
      <c r="Z44" s="142">
        <f t="shared" si="127"/>
        <v>0</v>
      </c>
      <c r="AA44" s="142">
        <f>+'Phụ lục số 1'!AA44</f>
        <v>0</v>
      </c>
      <c r="AB44" s="142">
        <f>+'Phụ lục số 1'!AB44</f>
        <v>0</v>
      </c>
      <c r="AC44" s="142">
        <f>+'Phụ lục số 1'!AC44</f>
        <v>0</v>
      </c>
      <c r="AD44" s="142"/>
      <c r="AE44" s="142">
        <f>+'Phụ lục số 1'!AE44</f>
        <v>0</v>
      </c>
      <c r="AF44" s="142">
        <f t="shared" si="128"/>
        <v>0</v>
      </c>
      <c r="AG44" s="142">
        <f>+'Phụ lục số 1'!AG44</f>
        <v>0</v>
      </c>
      <c r="AH44" s="5548">
        <f>+'Phụ lục số 1'!AH44</f>
        <v>0</v>
      </c>
      <c r="AI44" s="5523"/>
      <c r="AJ44" s="142" t="e">
        <f t="shared" si="129"/>
        <v>#DIV/0!</v>
      </c>
      <c r="AK44" s="157"/>
      <c r="AL44" s="142">
        <f t="shared" si="116"/>
        <v>0</v>
      </c>
      <c r="AM44" s="142">
        <f t="shared" si="117"/>
        <v>0</v>
      </c>
      <c r="AN44" s="157"/>
      <c r="AO44" s="157"/>
      <c r="AP44" s="142" t="e">
        <f t="shared" si="130"/>
        <v>#DIV/0!</v>
      </c>
      <c r="AQ44" s="157"/>
      <c r="AR44" s="142">
        <f t="shared" si="118"/>
        <v>0</v>
      </c>
      <c r="AS44" s="142">
        <f t="shared" si="119"/>
        <v>0</v>
      </c>
      <c r="AT44" s="157"/>
      <c r="AU44" s="157"/>
      <c r="AV44" s="142" t="e">
        <f t="shared" si="131"/>
        <v>#DIV/0!</v>
      </c>
      <c r="AW44" s="157"/>
      <c r="AX44" s="142">
        <f t="shared" si="120"/>
        <v>0</v>
      </c>
      <c r="AY44" s="142">
        <f t="shared" si="121"/>
        <v>0</v>
      </c>
      <c r="AZ44" s="157"/>
      <c r="BB44" s="5516" t="e">
        <f t="shared" si="12"/>
        <v>#DIV/0!</v>
      </c>
      <c r="BC44" s="1729">
        <f t="shared" si="13"/>
        <v>0</v>
      </c>
      <c r="BE44" s="1729">
        <f t="shared" si="14"/>
        <v>0</v>
      </c>
      <c r="BM44" s="1729">
        <f t="shared" si="108"/>
        <v>0</v>
      </c>
      <c r="BN44" s="1729">
        <f t="shared" si="109"/>
        <v>0</v>
      </c>
      <c r="BO44" s="1729">
        <f t="shared" si="132"/>
        <v>0</v>
      </c>
      <c r="BP44" s="5293">
        <f t="shared" si="111"/>
        <v>0</v>
      </c>
      <c r="BQ44" s="5293">
        <f t="shared" si="112"/>
        <v>0</v>
      </c>
      <c r="BR44" s="4"/>
      <c r="BU44" s="6">
        <f>+'Biểu số 1'!AZ44</f>
        <v>33</v>
      </c>
      <c r="BV44" s="816">
        <f t="shared" si="125"/>
        <v>-1</v>
      </c>
    </row>
    <row r="45" spans="1:74">
      <c r="A45" s="5538">
        <v>14</v>
      </c>
      <c r="B45" s="165" t="s">
        <v>26</v>
      </c>
      <c r="C45" s="147">
        <f>+'Phụ lục số 1'!C45</f>
        <v>326000</v>
      </c>
      <c r="D45" s="147">
        <f>+'Phụ lục số 1'!D45</f>
        <v>326000</v>
      </c>
      <c r="E45" s="148"/>
      <c r="F45" s="149">
        <f>+'Phụ lục số 1'!F45</f>
        <v>95000</v>
      </c>
      <c r="G45" s="149">
        <f t="shared" si="126"/>
        <v>231030</v>
      </c>
      <c r="H45" s="149">
        <f>+'Phụ lục số 1'!H45</f>
        <v>85530</v>
      </c>
      <c r="I45" s="149">
        <f>+'Phụ lục số 1'!I45</f>
        <v>145500</v>
      </c>
      <c r="J45" s="5492">
        <f>+'Phụ lục số 1'!J45</f>
        <v>387000</v>
      </c>
      <c r="K45" s="158"/>
      <c r="L45" s="158"/>
      <c r="M45" s="5493">
        <f>+'Phụ lục số 1'!M45</f>
        <v>115000.0736196319</v>
      </c>
      <c r="N45" s="5493">
        <f t="shared" si="123"/>
        <v>271999.92638036807</v>
      </c>
      <c r="O45" s="5493">
        <f>+'Phụ lục số 1'!O45</f>
        <v>90499.926380368066</v>
      </c>
      <c r="P45" s="5493">
        <f>+'Phụ lục số 1'!P45</f>
        <v>181500</v>
      </c>
      <c r="Q45" s="142">
        <f>+'Phụ lục số 1'!Q45</f>
        <v>370000</v>
      </c>
      <c r="R45" s="142"/>
      <c r="S45" s="142">
        <f>+'Phụ lục số 1'!S45</f>
        <v>147000</v>
      </c>
      <c r="T45" s="1686">
        <f t="shared" si="124"/>
        <v>223000</v>
      </c>
      <c r="U45" s="1686">
        <f>+'Phụ lục số 1'!U45</f>
        <v>16500</v>
      </c>
      <c r="V45" s="1686">
        <f>+'Phụ lục số 1'!V45</f>
        <v>206500</v>
      </c>
      <c r="W45" s="142">
        <f>+'Phụ lục số 1'!W45</f>
        <v>400000</v>
      </c>
      <c r="X45" s="158"/>
      <c r="Y45" s="142">
        <f>+'Phụ lục số 1'!Y45</f>
        <v>158919.91891891893</v>
      </c>
      <c r="Z45" s="142">
        <f t="shared" si="127"/>
        <v>241080.08108108107</v>
      </c>
      <c r="AA45" s="142">
        <f>+'Phụ lục số 1'!AA45</f>
        <v>17839.837837837811</v>
      </c>
      <c r="AB45" s="142">
        <f>+'Phụ lục số 1'!AB45</f>
        <v>223240.24324324325</v>
      </c>
      <c r="AC45" s="142">
        <f>+'Phụ lục số 1'!AC45</f>
        <v>476000</v>
      </c>
      <c r="AD45" s="142"/>
      <c r="AE45" s="142">
        <f>+'Phụ lục số 1'!AE45</f>
        <v>189119.70351351355</v>
      </c>
      <c r="AF45" s="142">
        <f t="shared" si="128"/>
        <v>286880.29648648645</v>
      </c>
      <c r="AG45" s="142">
        <f>+'Phụ lục số 1'!AG45</f>
        <v>21220.407027026988</v>
      </c>
      <c r="AH45" s="5548">
        <f>+'Phụ lục số 1'!AH45</f>
        <v>265659.88945945946</v>
      </c>
      <c r="AI45" s="5524">
        <f>510000</f>
        <v>510000</v>
      </c>
      <c r="AJ45" s="142">
        <f t="shared" si="129"/>
        <v>107.14285714285714</v>
      </c>
      <c r="AK45" s="142">
        <f>(AJ45*AE45)/100+2</f>
        <v>202630.25376447878</v>
      </c>
      <c r="AL45" s="142">
        <f t="shared" si="116"/>
        <v>307369.74623552122</v>
      </c>
      <c r="AM45" s="142">
        <f t="shared" si="117"/>
        <v>22730.150386100402</v>
      </c>
      <c r="AN45" s="142">
        <f>(AJ45*AH45)/100+4</f>
        <v>284639.59584942082</v>
      </c>
      <c r="AO45" s="142">
        <v>550000</v>
      </c>
      <c r="AP45" s="142">
        <f t="shared" si="130"/>
        <v>107.84313725490196</v>
      </c>
      <c r="AQ45" s="142">
        <f>(AP45*AK45)/100+7</f>
        <v>218529.82268718298</v>
      </c>
      <c r="AR45" s="142">
        <f t="shared" si="118"/>
        <v>331470.17731281702</v>
      </c>
      <c r="AS45" s="142">
        <f t="shared" si="119"/>
        <v>24509.907279127918</v>
      </c>
      <c r="AT45" s="142">
        <f>(AP45*AN45)/100-4</f>
        <v>306960.2700336891</v>
      </c>
      <c r="AU45" s="142">
        <v>600000</v>
      </c>
      <c r="AV45" s="142">
        <f t="shared" si="131"/>
        <v>109.09090909090908</v>
      </c>
      <c r="AW45" s="142">
        <f>(AV45*AQ45)/100+4</f>
        <v>238400.17020419959</v>
      </c>
      <c r="AX45" s="142">
        <f t="shared" si="120"/>
        <v>361599.82979580038</v>
      </c>
      <c r="AY45" s="142">
        <f t="shared" si="121"/>
        <v>26730.080668139562</v>
      </c>
      <c r="AZ45" s="142">
        <f>(AV45*AT45)/100+4</f>
        <v>334869.74912766082</v>
      </c>
      <c r="BB45" s="5516">
        <f t="shared" si="12"/>
        <v>1.0714337667057328</v>
      </c>
      <c r="BC45" s="1729">
        <f t="shared" si="13"/>
        <v>1246000</v>
      </c>
      <c r="BE45" s="1729">
        <f t="shared" si="14"/>
        <v>750960.37756756751</v>
      </c>
      <c r="BM45" s="1729">
        <f t="shared" si="108"/>
        <v>61000</v>
      </c>
      <c r="BN45" s="1729">
        <f t="shared" si="109"/>
        <v>20000.073619631905</v>
      </c>
      <c r="BO45" s="1729">
        <f t="shared" si="132"/>
        <v>40969.926380368066</v>
      </c>
      <c r="BP45" s="5293">
        <f t="shared" si="111"/>
        <v>4969.926380368066</v>
      </c>
      <c r="BQ45" s="5293">
        <f t="shared" si="112"/>
        <v>36000</v>
      </c>
      <c r="BR45" s="4"/>
      <c r="BU45" s="6">
        <f>+'Biểu số 1'!AZ45</f>
        <v>377228</v>
      </c>
      <c r="BV45" s="816">
        <f t="shared" si="125"/>
        <v>2.5904757865269801E-2</v>
      </c>
    </row>
    <row r="46" spans="1:74">
      <c r="A46" s="5538">
        <v>15</v>
      </c>
      <c r="B46" s="165" t="s">
        <v>27</v>
      </c>
      <c r="C46" s="147">
        <f>+'Phụ lục số 1'!C46</f>
        <v>30000</v>
      </c>
      <c r="D46" s="147">
        <f>+'Phụ lục số 1'!D46</f>
        <v>30000</v>
      </c>
      <c r="E46" s="148"/>
      <c r="F46" s="149">
        <f>+'Phụ lục số 1'!F46</f>
        <v>100</v>
      </c>
      <c r="G46" s="149">
        <f t="shared" si="126"/>
        <v>29900</v>
      </c>
      <c r="H46" s="149">
        <f>+'Phụ lục số 1'!H46</f>
        <v>29900</v>
      </c>
      <c r="I46" s="149">
        <f>+'Phụ lục số 1'!I46</f>
        <v>0</v>
      </c>
      <c r="J46" s="5492">
        <f>+'Phụ lục số 1'!J46</f>
        <v>43000</v>
      </c>
      <c r="K46" s="158"/>
      <c r="L46" s="158"/>
      <c r="M46" s="5493">
        <f>+'Phụ lục số 1'!M46</f>
        <v>43.333333333333343</v>
      </c>
      <c r="N46" s="5493">
        <f t="shared" si="123"/>
        <v>42956.666666666664</v>
      </c>
      <c r="O46" s="5493">
        <f>+'Phụ lục số 1'!O46</f>
        <v>42956.666666666664</v>
      </c>
      <c r="P46" s="5493">
        <f>+'Phụ lục số 1'!P46</f>
        <v>0</v>
      </c>
      <c r="Q46" s="142">
        <f>+'Phụ lục số 1'!Q46</f>
        <v>32000</v>
      </c>
      <c r="R46" s="142"/>
      <c r="S46" s="142">
        <f>+'Phụ lục số 1'!S46</f>
        <v>35</v>
      </c>
      <c r="T46" s="1686">
        <f t="shared" si="124"/>
        <v>31965</v>
      </c>
      <c r="U46" s="1686">
        <f>+'Phụ lục số 1'!U46</f>
        <v>31965</v>
      </c>
      <c r="V46" s="1686">
        <f>+'Phụ lục số 1'!V46</f>
        <v>0</v>
      </c>
      <c r="W46" s="142">
        <f>+'Phụ lục số 1'!W46</f>
        <v>30000</v>
      </c>
      <c r="X46" s="158"/>
      <c r="Y46" s="142">
        <f>+'Phụ lục số 1'!Y46</f>
        <v>34.8125</v>
      </c>
      <c r="Z46" s="142">
        <f t="shared" si="127"/>
        <v>29965.1875</v>
      </c>
      <c r="AA46" s="142">
        <f>+'Phụ lục số 1'!AA46</f>
        <v>29965.1875</v>
      </c>
      <c r="AB46" s="142">
        <f>+'Phụ lục số 1'!AB46</f>
        <v>0</v>
      </c>
      <c r="AC46" s="142">
        <f>+'Phụ lục số 1'!AC46</f>
        <v>33000</v>
      </c>
      <c r="AD46" s="142"/>
      <c r="AE46" s="142">
        <f>+'Phụ lục số 1'!AE46</f>
        <v>38.293750000000003</v>
      </c>
      <c r="AF46" s="142">
        <f t="shared" si="128"/>
        <v>32961.706250000003</v>
      </c>
      <c r="AG46" s="142">
        <f>+'Phụ lục số 1'!AG46</f>
        <v>32961.706250000003</v>
      </c>
      <c r="AH46" s="5548">
        <f>+'Phụ lục số 1'!AH46</f>
        <v>0</v>
      </c>
      <c r="AI46" s="5524">
        <v>42000</v>
      </c>
      <c r="AJ46" s="142">
        <f t="shared" si="129"/>
        <v>127.27272727272727</v>
      </c>
      <c r="AK46" s="142">
        <f>(AJ46*AE46)/100</f>
        <v>48.737499999999997</v>
      </c>
      <c r="AL46" s="142">
        <f t="shared" si="116"/>
        <v>41951.262499999997</v>
      </c>
      <c r="AM46" s="142">
        <f t="shared" si="117"/>
        <v>41951.262499999997</v>
      </c>
      <c r="AN46" s="157"/>
      <c r="AO46" s="142">
        <v>40000</v>
      </c>
      <c r="AP46" s="142">
        <f t="shared" si="130"/>
        <v>95.238095238095227</v>
      </c>
      <c r="AQ46" s="142">
        <f>(AP46*AK46)/100</f>
        <v>46.416666666666657</v>
      </c>
      <c r="AR46" s="142">
        <f t="shared" si="118"/>
        <v>39953.583333333336</v>
      </c>
      <c r="AS46" s="142">
        <f t="shared" si="119"/>
        <v>39953.583333333336</v>
      </c>
      <c r="AT46" s="157"/>
      <c r="AU46" s="142">
        <v>40000</v>
      </c>
      <c r="AV46" s="142">
        <f t="shared" si="131"/>
        <v>100</v>
      </c>
      <c r="AW46" s="142">
        <f>(AV46*AQ46)/100</f>
        <v>46.416666666666657</v>
      </c>
      <c r="AX46" s="142">
        <f t="shared" si="120"/>
        <v>39953.583333333336</v>
      </c>
      <c r="AY46" s="142">
        <f t="shared" si="121"/>
        <v>39953.583333333336</v>
      </c>
      <c r="AZ46" s="157"/>
      <c r="BB46" s="5516">
        <f t="shared" si="12"/>
        <v>0.91554949643425942</v>
      </c>
      <c r="BC46" s="1729">
        <f t="shared" si="13"/>
        <v>95000</v>
      </c>
      <c r="BE46" s="1729">
        <f t="shared" si="14"/>
        <v>94891.893750000003</v>
      </c>
      <c r="BM46" s="1729">
        <f t="shared" si="108"/>
        <v>13000</v>
      </c>
      <c r="BN46" s="1729">
        <f t="shared" si="109"/>
        <v>-56.666666666666657</v>
      </c>
      <c r="BO46" s="1729">
        <f t="shared" si="132"/>
        <v>13056.666666666664</v>
      </c>
      <c r="BP46" s="5293">
        <f t="shared" si="111"/>
        <v>13056.666666666664</v>
      </c>
      <c r="BQ46" s="5293">
        <f t="shared" si="112"/>
        <v>0</v>
      </c>
      <c r="BR46" s="4"/>
      <c r="BU46" s="6">
        <f>+'Biểu số 1'!AZ46</f>
        <v>52181</v>
      </c>
      <c r="BV46" s="816">
        <f t="shared" si="125"/>
        <v>-0.17594526743450678</v>
      </c>
    </row>
    <row r="47" spans="1:74" s="204" customFormat="1">
      <c r="A47" s="5538">
        <v>16</v>
      </c>
      <c r="B47" s="147" t="s">
        <v>3118</v>
      </c>
      <c r="C47" s="147">
        <f>+'Phụ lục số 1'!C47</f>
        <v>37000</v>
      </c>
      <c r="D47" s="147">
        <f>+'Phụ lục số 1'!D47</f>
        <v>445054.16200000001</v>
      </c>
      <c r="E47" s="148"/>
      <c r="F47" s="149">
        <f>+'Phụ lục số 1'!F47</f>
        <v>0</v>
      </c>
      <c r="G47" s="149">
        <f t="shared" si="126"/>
        <v>445054.16200000001</v>
      </c>
      <c r="H47" s="149">
        <f>+'Phụ lục số 1'!H47</f>
        <v>445054.16200000001</v>
      </c>
      <c r="I47" s="149">
        <f>+'Phụ lục số 1'!I47</f>
        <v>0</v>
      </c>
      <c r="J47" s="5492">
        <f>+'Phụ lục số 1'!J47</f>
        <v>434122.16200000001</v>
      </c>
      <c r="K47" s="158"/>
      <c r="L47" s="158"/>
      <c r="M47" s="5493">
        <f>+'Phụ lục số 1'!M47</f>
        <v>0</v>
      </c>
      <c r="N47" s="5493">
        <f t="shared" si="123"/>
        <v>434122.16200000001</v>
      </c>
      <c r="O47" s="5493">
        <f>+'Phụ lục số 1'!O47</f>
        <v>434122.16200000001</v>
      </c>
      <c r="P47" s="5493">
        <f>+'Phụ lục số 1'!P47</f>
        <v>0</v>
      </c>
      <c r="Q47" s="142">
        <f>+'Phụ lục số 1'!Q47</f>
        <v>33000</v>
      </c>
      <c r="R47" s="142"/>
      <c r="S47" s="142">
        <f>+'Phụ lục số 1'!S47</f>
        <v>0</v>
      </c>
      <c r="T47" s="1686">
        <f t="shared" si="124"/>
        <v>33000</v>
      </c>
      <c r="U47" s="1686">
        <f>+'Phụ lục số 1'!U47</f>
        <v>33000</v>
      </c>
      <c r="V47" s="1686">
        <f>+'Phụ lục số 1'!V47</f>
        <v>0</v>
      </c>
      <c r="W47" s="142">
        <f>+'Phụ lục số 1'!W47</f>
        <v>100000</v>
      </c>
      <c r="X47" s="158"/>
      <c r="Y47" s="142">
        <f>+'Phụ lục số 1'!Y47</f>
        <v>0</v>
      </c>
      <c r="Z47" s="142">
        <f t="shared" si="127"/>
        <v>100000</v>
      </c>
      <c r="AA47" s="142">
        <f>+'Phụ lục số 1'!AA47</f>
        <v>100000</v>
      </c>
      <c r="AB47" s="142">
        <f>+'Phụ lục số 1'!AB47</f>
        <v>0</v>
      </c>
      <c r="AC47" s="142">
        <f>+'Phụ lục số 1'!AC47</f>
        <v>110000</v>
      </c>
      <c r="AD47" s="142"/>
      <c r="AE47" s="142">
        <f>+'Phụ lục số 1'!AE47</f>
        <v>0</v>
      </c>
      <c r="AF47" s="142">
        <f t="shared" si="128"/>
        <v>110000</v>
      </c>
      <c r="AG47" s="142">
        <f>+'Phụ lục số 1'!AG47</f>
        <v>110000</v>
      </c>
      <c r="AH47" s="5548">
        <f>+'Phụ lục số 1'!AH47</f>
        <v>0</v>
      </c>
      <c r="AI47" s="5522">
        <f>120000+AI48</f>
        <v>120000</v>
      </c>
      <c r="AJ47" s="147">
        <f t="shared" si="129"/>
        <v>109.09090909090908</v>
      </c>
      <c r="AK47" s="152"/>
      <c r="AL47" s="147">
        <f t="shared" si="116"/>
        <v>120000</v>
      </c>
      <c r="AM47" s="147">
        <f t="shared" si="117"/>
        <v>120000</v>
      </c>
      <c r="AN47" s="152"/>
      <c r="AO47" s="147">
        <f>130000+AO48</f>
        <v>130000</v>
      </c>
      <c r="AP47" s="147">
        <f t="shared" si="130"/>
        <v>108.33333333333333</v>
      </c>
      <c r="AQ47" s="152"/>
      <c r="AR47" s="147">
        <f t="shared" si="118"/>
        <v>130000</v>
      </c>
      <c r="AS47" s="147">
        <f t="shared" si="119"/>
        <v>130000</v>
      </c>
      <c r="AT47" s="152"/>
      <c r="AU47" s="147">
        <f>160000+AU48</f>
        <v>160000</v>
      </c>
      <c r="AV47" s="147">
        <f t="shared" si="131"/>
        <v>123.07692307692308</v>
      </c>
      <c r="AW47" s="152"/>
      <c r="AX47" s="147">
        <f t="shared" si="120"/>
        <v>160000</v>
      </c>
      <c r="AY47" s="147">
        <f t="shared" si="121"/>
        <v>160000</v>
      </c>
      <c r="AZ47" s="152"/>
      <c r="BB47" s="5516">
        <f t="shared" si="12"/>
        <v>0.63279092563359962</v>
      </c>
      <c r="BC47" s="1729">
        <f t="shared" si="13"/>
        <v>243000</v>
      </c>
      <c r="BE47" s="1729">
        <f t="shared" si="14"/>
        <v>243000</v>
      </c>
      <c r="BM47" s="5297">
        <f t="shared" si="108"/>
        <v>-10932</v>
      </c>
      <c r="BN47" s="1729">
        <f t="shared" si="109"/>
        <v>0</v>
      </c>
      <c r="BO47" s="1729">
        <f t="shared" si="132"/>
        <v>-10932</v>
      </c>
      <c r="BP47" s="5293">
        <f>+O47-H47</f>
        <v>-10932</v>
      </c>
      <c r="BQ47" s="5293">
        <f t="shared" ref="BQ47:BQ51" si="133">+P47-I47</f>
        <v>0</v>
      </c>
      <c r="BR47" s="738"/>
      <c r="BU47" s="5298">
        <f>+'Biểu số 1'!AZ47</f>
        <v>80341</v>
      </c>
      <c r="BV47" s="5299">
        <f t="shared" si="125"/>
        <v>4.4034946291432773</v>
      </c>
    </row>
    <row r="48" spans="1:74">
      <c r="A48" s="5546" t="s">
        <v>29</v>
      </c>
      <c r="B48" s="1690" t="s">
        <v>30</v>
      </c>
      <c r="C48" s="147">
        <f>+'Phụ lục số 1'!C48</f>
        <v>0</v>
      </c>
      <c r="D48" s="147">
        <f>+'Phụ lục số 1'!D48</f>
        <v>408054.16200000001</v>
      </c>
      <c r="E48" s="148"/>
      <c r="F48" s="149">
        <f>+'Phụ lục số 1'!F48</f>
        <v>0</v>
      </c>
      <c r="G48" s="149">
        <f t="shared" si="126"/>
        <v>408054.16200000001</v>
      </c>
      <c r="H48" s="149">
        <f>+'Phụ lục số 1'!H48</f>
        <v>408054.16200000001</v>
      </c>
      <c r="I48" s="149">
        <f>+'Phụ lục số 1'!I48</f>
        <v>0</v>
      </c>
      <c r="J48" s="5492">
        <f>+'Phụ lục số 1'!J48</f>
        <v>408054.16200000001</v>
      </c>
      <c r="K48" s="158"/>
      <c r="L48" s="158"/>
      <c r="M48" s="5493">
        <f>+'Phụ lục số 1'!M48</f>
        <v>0</v>
      </c>
      <c r="N48" s="5493">
        <f t="shared" si="123"/>
        <v>408054.16200000001</v>
      </c>
      <c r="O48" s="5493">
        <f>+'Phụ lục số 1'!O48</f>
        <v>408054.16200000001</v>
      </c>
      <c r="P48" s="5493">
        <f>+'Phụ lục số 1'!P48</f>
        <v>0</v>
      </c>
      <c r="Q48" s="142">
        <f>+'Phụ lục số 1'!Q48</f>
        <v>0</v>
      </c>
      <c r="R48" s="142"/>
      <c r="S48" s="142">
        <f>+'Phụ lục số 1'!S48</f>
        <v>0</v>
      </c>
      <c r="T48" s="1686">
        <f t="shared" si="124"/>
        <v>0</v>
      </c>
      <c r="U48" s="1686">
        <f>+'Phụ lục số 1'!U48</f>
        <v>0</v>
      </c>
      <c r="V48" s="1686">
        <f>+'Phụ lục số 1'!V48</f>
        <v>0</v>
      </c>
      <c r="W48" s="142">
        <f>+'Phụ lục số 1'!W48</f>
        <v>0</v>
      </c>
      <c r="X48" s="158"/>
      <c r="Y48" s="142">
        <f>+'Phụ lục số 1'!Y48</f>
        <v>0</v>
      </c>
      <c r="Z48" s="142">
        <f t="shared" si="127"/>
        <v>0</v>
      </c>
      <c r="AA48" s="142">
        <f>+'Phụ lục số 1'!AA48</f>
        <v>0</v>
      </c>
      <c r="AB48" s="142">
        <f>+'Phụ lục số 1'!AB48</f>
        <v>0</v>
      </c>
      <c r="AC48" s="142">
        <f>+'Phụ lục số 1'!AC48</f>
        <v>0</v>
      </c>
      <c r="AD48" s="142"/>
      <c r="AE48" s="142">
        <f>+'Phụ lục số 1'!AE48</f>
        <v>0</v>
      </c>
      <c r="AF48" s="142">
        <f t="shared" si="128"/>
        <v>0</v>
      </c>
      <c r="AG48" s="142">
        <f>+'Phụ lục số 1'!AG48</f>
        <v>0</v>
      </c>
      <c r="AH48" s="5548">
        <f>+'Phụ lục số 1'!AH48</f>
        <v>0</v>
      </c>
      <c r="AI48" s="5523"/>
      <c r="AJ48" s="157"/>
      <c r="AK48" s="157"/>
      <c r="AL48" s="157"/>
      <c r="AM48" s="157"/>
      <c r="AN48" s="157"/>
      <c r="AO48" s="157"/>
      <c r="AP48" s="157"/>
      <c r="AQ48" s="157"/>
      <c r="AR48" s="157"/>
      <c r="AS48" s="157"/>
      <c r="AT48" s="157"/>
      <c r="AU48" s="157"/>
      <c r="AV48" s="157"/>
      <c r="AW48" s="157"/>
      <c r="AX48" s="157"/>
      <c r="AY48" s="157"/>
      <c r="AZ48" s="157"/>
      <c r="BB48" s="5516" t="e">
        <f t="shared" si="12"/>
        <v>#DIV/0!</v>
      </c>
      <c r="BC48" s="1729">
        <f t="shared" si="13"/>
        <v>0</v>
      </c>
      <c r="BE48" s="1729">
        <f t="shared" si="14"/>
        <v>0</v>
      </c>
      <c r="BM48" s="1729">
        <f t="shared" si="108"/>
        <v>0</v>
      </c>
      <c r="BN48" s="1729">
        <f t="shared" si="109"/>
        <v>0</v>
      </c>
      <c r="BO48" s="1729">
        <f t="shared" si="132"/>
        <v>0</v>
      </c>
      <c r="BP48" s="5293">
        <f t="shared" ref="BP48:BP51" si="134">+O48-H48</f>
        <v>0</v>
      </c>
      <c r="BQ48" s="5293">
        <f t="shared" si="133"/>
        <v>0</v>
      </c>
      <c r="BU48" s="1">
        <v>0</v>
      </c>
      <c r="BV48" s="816" t="e">
        <f t="shared" si="125"/>
        <v>#DIV/0!</v>
      </c>
    </row>
    <row r="49" spans="1:74">
      <c r="A49" s="5538">
        <v>17</v>
      </c>
      <c r="B49" s="165" t="s">
        <v>31</v>
      </c>
      <c r="C49" s="147">
        <f>+'Phụ lục số 1'!C49</f>
        <v>2000</v>
      </c>
      <c r="D49" s="147">
        <f>+'Phụ lục số 1'!D49</f>
        <v>2000</v>
      </c>
      <c r="E49" s="148"/>
      <c r="F49" s="149">
        <f>+'Phụ lục số 1'!F49</f>
        <v>0</v>
      </c>
      <c r="G49" s="149">
        <f t="shared" si="126"/>
        <v>2000</v>
      </c>
      <c r="H49" s="149">
        <f>+'Phụ lục số 1'!H49</f>
        <v>0</v>
      </c>
      <c r="I49" s="149">
        <f>+'Phụ lục số 1'!I49</f>
        <v>2000</v>
      </c>
      <c r="J49" s="5492">
        <f>+'Phụ lục số 1'!J49</f>
        <v>2000</v>
      </c>
      <c r="K49" s="158"/>
      <c r="L49" s="158"/>
      <c r="M49" s="5493">
        <f>+'Phụ lục số 1'!M49</f>
        <v>0</v>
      </c>
      <c r="N49" s="5493">
        <f t="shared" si="123"/>
        <v>2000</v>
      </c>
      <c r="O49" s="5493">
        <f>+'Phụ lục số 1'!O49</f>
        <v>0</v>
      </c>
      <c r="P49" s="5493">
        <f>+'Phụ lục số 1'!P49</f>
        <v>2000</v>
      </c>
      <c r="Q49" s="142">
        <f>+'Phụ lục số 1'!Q49</f>
        <v>2000</v>
      </c>
      <c r="R49" s="142"/>
      <c r="S49" s="142">
        <f>+'Phụ lục số 1'!S49</f>
        <v>0</v>
      </c>
      <c r="T49" s="1686">
        <f t="shared" si="124"/>
        <v>2000</v>
      </c>
      <c r="U49" s="1686">
        <f>+'Phụ lục số 1'!U49</f>
        <v>0</v>
      </c>
      <c r="V49" s="1686">
        <f>+'Phụ lục số 1'!V49</f>
        <v>2000</v>
      </c>
      <c r="W49" s="142">
        <f>+'Phụ lục số 1'!W49</f>
        <v>2000</v>
      </c>
      <c r="X49" s="158"/>
      <c r="Y49" s="142">
        <f>+'Phụ lục số 1'!Y49</f>
        <v>0</v>
      </c>
      <c r="Z49" s="142">
        <f t="shared" si="127"/>
        <v>2000</v>
      </c>
      <c r="AA49" s="142">
        <f>+'Phụ lục số 1'!AA49</f>
        <v>0</v>
      </c>
      <c r="AB49" s="142">
        <f>+'Phụ lục số 1'!AB49</f>
        <v>2000</v>
      </c>
      <c r="AC49" s="142">
        <f>+'Phụ lục số 1'!AC49</f>
        <v>2000</v>
      </c>
      <c r="AD49" s="142"/>
      <c r="AE49" s="142">
        <f>+'Phụ lục số 1'!AE49</f>
        <v>0</v>
      </c>
      <c r="AF49" s="142">
        <f t="shared" si="128"/>
        <v>2000</v>
      </c>
      <c r="AG49" s="142">
        <f>+'Phụ lục số 1'!AG49</f>
        <v>0</v>
      </c>
      <c r="AH49" s="5548">
        <f>+'Phụ lục số 1'!AH49</f>
        <v>2000</v>
      </c>
      <c r="AI49" s="5524">
        <v>2000</v>
      </c>
      <c r="AJ49" s="142">
        <f t="shared" ref="AJ49:AJ50" si="135">AI49/AC49*100</f>
        <v>100</v>
      </c>
      <c r="AK49" s="157"/>
      <c r="AL49" s="142">
        <f t="shared" ref="AL49:AL50" si="136">SUM(AM49:AN49)</f>
        <v>2000</v>
      </c>
      <c r="AM49" s="142">
        <f t="shared" ref="AM49:AM50" si="137">AI49-AK49-AN49</f>
        <v>0</v>
      </c>
      <c r="AN49" s="142">
        <f>AI49</f>
        <v>2000</v>
      </c>
      <c r="AO49" s="142">
        <v>2000</v>
      </c>
      <c r="AP49" s="142">
        <f t="shared" ref="AP49:AP50" si="138">AO49/AI49*100</f>
        <v>100</v>
      </c>
      <c r="AQ49" s="157"/>
      <c r="AR49" s="142">
        <f t="shared" ref="AR49:AR50" si="139">SUM(AS49:AT49)</f>
        <v>2000</v>
      </c>
      <c r="AS49" s="142">
        <f t="shared" ref="AS49:AS50" si="140">AO49-AQ49-AT49</f>
        <v>0</v>
      </c>
      <c r="AT49" s="142">
        <f>AO49</f>
        <v>2000</v>
      </c>
      <c r="AU49" s="142">
        <v>2000</v>
      </c>
      <c r="AV49" s="142">
        <f t="shared" ref="AV49:AV50" si="141">AU49/AO49*100</f>
        <v>100</v>
      </c>
      <c r="AW49" s="157"/>
      <c r="AX49" s="142">
        <f t="shared" ref="AX49:AX50" si="142">SUM(AY49:AZ49)</f>
        <v>2000</v>
      </c>
      <c r="AY49" s="142">
        <f t="shared" ref="AY49:AY50" si="143">AU49-AW49-AZ49</f>
        <v>0</v>
      </c>
      <c r="AZ49" s="142">
        <f>AU49</f>
        <v>2000</v>
      </c>
      <c r="BB49" s="5516">
        <f t="shared" si="12"/>
        <v>1</v>
      </c>
      <c r="BC49" s="1729">
        <f t="shared" si="13"/>
        <v>6000</v>
      </c>
      <c r="BE49" s="1729">
        <f t="shared" si="14"/>
        <v>6000</v>
      </c>
      <c r="BM49" s="1729">
        <f t="shared" si="108"/>
        <v>0</v>
      </c>
      <c r="BN49" s="1729">
        <f t="shared" si="109"/>
        <v>0</v>
      </c>
      <c r="BO49" s="1729">
        <f t="shared" si="132"/>
        <v>0</v>
      </c>
      <c r="BP49" s="5293">
        <f t="shared" si="134"/>
        <v>0</v>
      </c>
      <c r="BQ49" s="5293">
        <f t="shared" si="133"/>
        <v>0</v>
      </c>
      <c r="BR49" s="4"/>
      <c r="BU49" s="6">
        <f>+'Biểu số 1'!AZ49</f>
        <v>2116</v>
      </c>
      <c r="BV49" s="816">
        <f t="shared" si="125"/>
        <v>-5.4820415879016982E-2</v>
      </c>
    </row>
    <row r="50" spans="1:74">
      <c r="A50" s="5538">
        <v>18</v>
      </c>
      <c r="B50" s="165" t="s">
        <v>32</v>
      </c>
      <c r="C50" s="147">
        <f>+'Phụ lục số 1'!C50</f>
        <v>1850000</v>
      </c>
      <c r="D50" s="147">
        <f>+'Phụ lục số 1'!D50</f>
        <v>1950000</v>
      </c>
      <c r="E50" s="148"/>
      <c r="F50" s="149">
        <f>+'Phụ lục số 1'!F50</f>
        <v>0</v>
      </c>
      <c r="G50" s="149">
        <f t="shared" si="126"/>
        <v>1950000</v>
      </c>
      <c r="H50" s="149">
        <f>+'Phụ lục số 1'!H50</f>
        <v>1950000</v>
      </c>
      <c r="I50" s="149">
        <f>+'Phụ lục số 1'!I50</f>
        <v>0</v>
      </c>
      <c r="J50" s="5492">
        <f>+'Phụ lục số 1'!J50</f>
        <v>2150000</v>
      </c>
      <c r="K50" s="158"/>
      <c r="L50" s="158"/>
      <c r="M50" s="5493">
        <f>+'Phụ lục số 1'!M50</f>
        <v>0</v>
      </c>
      <c r="N50" s="5493">
        <f t="shared" si="123"/>
        <v>2150000</v>
      </c>
      <c r="O50" s="5493">
        <f>+'Phụ lục số 1'!O50</f>
        <v>2150000</v>
      </c>
      <c r="P50" s="5493">
        <f>+'Phụ lục số 1'!P50</f>
        <v>0</v>
      </c>
      <c r="Q50" s="142">
        <f>+'Phụ lục số 1'!Q50</f>
        <v>2100000</v>
      </c>
      <c r="R50" s="142"/>
      <c r="S50" s="142">
        <f>+'Phụ lục số 1'!S50</f>
        <v>0</v>
      </c>
      <c r="T50" s="1686">
        <f t="shared" si="124"/>
        <v>2100000</v>
      </c>
      <c r="U50" s="1686">
        <f>+'Phụ lục số 1'!U50</f>
        <v>2100000</v>
      </c>
      <c r="V50" s="1686">
        <f>+'Phụ lục số 1'!V50</f>
        <v>0</v>
      </c>
      <c r="W50" s="142">
        <f>+'Phụ lục số 1'!W50</f>
        <v>2200000</v>
      </c>
      <c r="X50" s="158"/>
      <c r="Y50" s="142">
        <f>+'Phụ lục số 1'!Y50</f>
        <v>0</v>
      </c>
      <c r="Z50" s="142">
        <f t="shared" si="127"/>
        <v>2200000</v>
      </c>
      <c r="AA50" s="142">
        <f>+'Phụ lục số 1'!AA50</f>
        <v>2200000</v>
      </c>
      <c r="AB50" s="142">
        <f>+'Phụ lục số 1'!AB50</f>
        <v>0</v>
      </c>
      <c r="AC50" s="142">
        <f>+'Phụ lục số 1'!AC50</f>
        <v>2200000</v>
      </c>
      <c r="AD50" s="142"/>
      <c r="AE50" s="142">
        <f>+'Phụ lục số 1'!AE50</f>
        <v>0</v>
      </c>
      <c r="AF50" s="142">
        <f t="shared" si="128"/>
        <v>2200000</v>
      </c>
      <c r="AG50" s="142">
        <f>+'Phụ lục số 1'!AG50</f>
        <v>2200000</v>
      </c>
      <c r="AH50" s="5548">
        <f>+'Phụ lục số 1'!AH50</f>
        <v>0</v>
      </c>
      <c r="AI50" s="5524">
        <v>2300000</v>
      </c>
      <c r="AJ50" s="142">
        <f t="shared" si="135"/>
        <v>104.54545454545455</v>
      </c>
      <c r="AK50" s="157"/>
      <c r="AL50" s="142">
        <f t="shared" si="136"/>
        <v>2300000</v>
      </c>
      <c r="AM50" s="142">
        <f t="shared" si="137"/>
        <v>2300000</v>
      </c>
      <c r="AN50" s="157"/>
      <c r="AO50" s="142">
        <v>2450000</v>
      </c>
      <c r="AP50" s="142">
        <f t="shared" si="138"/>
        <v>106.5217391304348</v>
      </c>
      <c r="AQ50" s="157"/>
      <c r="AR50" s="142">
        <f t="shared" si="139"/>
        <v>2450000</v>
      </c>
      <c r="AS50" s="142">
        <f t="shared" si="140"/>
        <v>2450000</v>
      </c>
      <c r="AT50" s="157"/>
      <c r="AU50" s="142">
        <v>3000000</v>
      </c>
      <c r="AV50" s="142">
        <f t="shared" si="141"/>
        <v>122.44897959183673</v>
      </c>
      <c r="AW50" s="157"/>
      <c r="AX50" s="142">
        <f t="shared" si="142"/>
        <v>3000000</v>
      </c>
      <c r="AY50" s="142">
        <f t="shared" si="143"/>
        <v>3000000</v>
      </c>
      <c r="AZ50" s="157"/>
      <c r="BB50" s="5516">
        <f t="shared" si="12"/>
        <v>1.0076926099960117</v>
      </c>
      <c r="BC50" s="1729">
        <f t="shared" si="13"/>
        <v>6500000</v>
      </c>
      <c r="BE50" s="1729">
        <f t="shared" si="14"/>
        <v>6500000</v>
      </c>
      <c r="BH50" s="1729">
        <f>+AU50+AO50+AI50+AC50+W50</f>
        <v>12150000</v>
      </c>
      <c r="BM50" s="1729">
        <f t="shared" si="108"/>
        <v>200000</v>
      </c>
      <c r="BN50" s="1729">
        <f t="shared" si="109"/>
        <v>0</v>
      </c>
      <c r="BO50" s="1729">
        <f>SUM(BP50:BQ50)</f>
        <v>200000</v>
      </c>
      <c r="BP50" s="5293">
        <f t="shared" si="134"/>
        <v>200000</v>
      </c>
      <c r="BQ50" s="5293">
        <f t="shared" si="133"/>
        <v>0</v>
      </c>
      <c r="BR50" s="4"/>
      <c r="BU50" s="6">
        <f>+'Biểu số 1'!AZ50</f>
        <v>2017388</v>
      </c>
      <c r="BV50" s="816">
        <f t="shared" si="125"/>
        <v>6.5734504220308576E-2</v>
      </c>
    </row>
    <row r="51" spans="1:74" s="5302" customFormat="1">
      <c r="A51" s="5534" t="s">
        <v>33</v>
      </c>
      <c r="B51" s="1713" t="s">
        <v>34</v>
      </c>
      <c r="C51" s="173">
        <f>+'Phụ lục số 1'!C51</f>
        <v>157000</v>
      </c>
      <c r="D51" s="173">
        <f>+'Phụ lục số 1'!D51</f>
        <v>200000</v>
      </c>
      <c r="E51" s="148"/>
      <c r="F51" s="174">
        <f>+'Phụ lục số 1'!F51</f>
        <v>200000</v>
      </c>
      <c r="G51" s="174">
        <f t="shared" si="126"/>
        <v>0</v>
      </c>
      <c r="H51" s="174">
        <f>+'Phụ lục số 1'!H51</f>
        <v>0</v>
      </c>
      <c r="I51" s="174">
        <f>+'Phụ lục số 1'!I51</f>
        <v>0</v>
      </c>
      <c r="J51" s="5494">
        <f>+'Phụ lục số 1'!J51</f>
        <v>409999.569416666</v>
      </c>
      <c r="K51" s="5495"/>
      <c r="L51" s="5495"/>
      <c r="M51" s="5496">
        <f>+'Phụ lục số 1'!M51</f>
        <v>409999.56941666594</v>
      </c>
      <c r="N51" s="5493">
        <f t="shared" si="123"/>
        <v>5.8207660913467407E-11</v>
      </c>
      <c r="O51" s="5493">
        <f>+'Phụ lục số 1'!O51</f>
        <v>5.8207660913467407E-11</v>
      </c>
      <c r="P51" s="5493">
        <f>+'Phụ lục số 1'!P51</f>
        <v>0</v>
      </c>
      <c r="Q51" s="142">
        <f>+'Phụ lục số 1'!Q51</f>
        <v>500000</v>
      </c>
      <c r="R51" s="142"/>
      <c r="S51" s="142">
        <f>+'Phụ lục số 1'!S51</f>
        <v>500000</v>
      </c>
      <c r="T51" s="1686">
        <f t="shared" si="124"/>
        <v>0</v>
      </c>
      <c r="U51" s="1686">
        <f>+'Phụ lục số 1'!U51</f>
        <v>0</v>
      </c>
      <c r="V51" s="1686">
        <f>+'Phụ lục số 1'!V51</f>
        <v>0</v>
      </c>
      <c r="W51" s="142">
        <f>+'Phụ lục số 1'!W51</f>
        <v>287000</v>
      </c>
      <c r="X51" s="158"/>
      <c r="Y51" s="142">
        <f>+'Phụ lục số 1'!Y51</f>
        <v>287000</v>
      </c>
      <c r="Z51" s="142">
        <f t="shared" si="127"/>
        <v>0</v>
      </c>
      <c r="AA51" s="142">
        <f>+'Phụ lục số 1'!AA51</f>
        <v>0</v>
      </c>
      <c r="AB51" s="142">
        <f>+'Phụ lục số 1'!AB51</f>
        <v>0</v>
      </c>
      <c r="AC51" s="142">
        <f>+'Phụ lục số 1'!AC51</f>
        <v>302000</v>
      </c>
      <c r="AD51" s="142"/>
      <c r="AE51" s="142">
        <f>+'Phụ lục số 1'!AE51</f>
        <v>302000</v>
      </c>
      <c r="AF51" s="142">
        <f t="shared" si="128"/>
        <v>0</v>
      </c>
      <c r="AG51" s="142">
        <f>+'Phụ lục số 1'!AG51</f>
        <v>0</v>
      </c>
      <c r="AH51" s="5548">
        <f>+'Phụ lục số 1'!AH51</f>
        <v>0</v>
      </c>
      <c r="AI51" s="5525">
        <f>SUM(AI52:AI54)</f>
        <v>318000</v>
      </c>
      <c r="AJ51" s="758">
        <f>AI51/AC51*100</f>
        <v>105.29801324503312</v>
      </c>
      <c r="AK51" s="758">
        <f>SUM(AK52:AK54)</f>
        <v>318000</v>
      </c>
      <c r="AL51" s="758">
        <f t="shared" ref="AL51:AN51" si="144">SUM(AL52:AL54)</f>
        <v>0</v>
      </c>
      <c r="AM51" s="758">
        <f t="shared" si="144"/>
        <v>0</v>
      </c>
      <c r="AN51" s="758">
        <f t="shared" si="144"/>
        <v>0</v>
      </c>
      <c r="AO51" s="758">
        <f>SUM(AO52:AO54)</f>
        <v>335000</v>
      </c>
      <c r="AP51" s="758">
        <f>AO51/AI51*100</f>
        <v>105.34591194968554</v>
      </c>
      <c r="AQ51" s="758">
        <f>SUM(AQ52:AQ54)</f>
        <v>335000</v>
      </c>
      <c r="AR51" s="758">
        <f t="shared" ref="AR51:AT51" si="145">SUM(AR52:AR54)</f>
        <v>0</v>
      </c>
      <c r="AS51" s="758">
        <f t="shared" si="145"/>
        <v>0</v>
      </c>
      <c r="AT51" s="758">
        <f t="shared" si="145"/>
        <v>0</v>
      </c>
      <c r="AU51" s="758">
        <f>SUM(AU52:AU54)</f>
        <v>352000</v>
      </c>
      <c r="AV51" s="758">
        <f>AU51/AO51*100</f>
        <v>105.07462686567163</v>
      </c>
      <c r="AW51" s="758">
        <f>SUM(AW52:AW54)</f>
        <v>352000</v>
      </c>
      <c r="AX51" s="758">
        <f t="shared" ref="AX51:AZ51" si="146">SUM(AX52:AX54)</f>
        <v>0</v>
      </c>
      <c r="AY51" s="758">
        <f t="shared" si="146"/>
        <v>0</v>
      </c>
      <c r="AZ51" s="758">
        <f t="shared" si="146"/>
        <v>0</v>
      </c>
      <c r="BB51" s="5516">
        <f>((Q51/J51)*(W51/Q51)*(AC51/W51))^(1/3)</f>
        <v>0.90311110129146399</v>
      </c>
      <c r="BC51" s="1729">
        <f t="shared" si="13"/>
        <v>1089000</v>
      </c>
      <c r="BE51" s="1729">
        <f t="shared" si="14"/>
        <v>0</v>
      </c>
      <c r="BH51" s="3145">
        <f>+'[29]Phụ lục số 1'!$BC$50</f>
        <v>13750000</v>
      </c>
      <c r="BM51" s="3145">
        <f t="shared" si="108"/>
        <v>209999.569416666</v>
      </c>
      <c r="BN51" s="1729">
        <f t="shared" si="109"/>
        <v>209999.56941666594</v>
      </c>
      <c r="BO51" s="1729">
        <f>SUM(BP51:BQ51)</f>
        <v>5.8207660913467407E-11</v>
      </c>
      <c r="BP51" s="5293">
        <f t="shared" si="134"/>
        <v>5.8207660913467407E-11</v>
      </c>
      <c r="BQ51" s="5293">
        <f t="shared" si="133"/>
        <v>0</v>
      </c>
      <c r="BR51" s="739"/>
      <c r="BU51" s="5415">
        <f>+'Biểu số 1'!AZ51</f>
        <v>281887.67128599994</v>
      </c>
      <c r="BV51" s="5416">
        <f t="shared" si="125"/>
        <v>0.45447854298205614</v>
      </c>
    </row>
    <row r="52" spans="1:74" hidden="1">
      <c r="A52" s="5538"/>
      <c r="B52" s="1716" t="s">
        <v>35</v>
      </c>
      <c r="C52" s="152">
        <v>35000</v>
      </c>
      <c r="D52" s="152">
        <f>C52+9000</f>
        <v>44000</v>
      </c>
      <c r="E52" s="153"/>
      <c r="F52" s="149">
        <f>+'Phụ lục số 1'!F52</f>
        <v>44000</v>
      </c>
      <c r="G52" s="154"/>
      <c r="H52" s="154">
        <f>D52-F52-I52</f>
        <v>0</v>
      </c>
      <c r="I52" s="154">
        <v>0</v>
      </c>
      <c r="J52" s="157">
        <f>102880.399083333+20000+35000+26000</f>
        <v>183880.399083333</v>
      </c>
      <c r="K52" s="157">
        <f t="shared" ref="K52:K54" si="147">J52/C52*100</f>
        <v>525.37256880952293</v>
      </c>
      <c r="L52" s="1693">
        <f>J52/D52*100</f>
        <v>417.90999791666587</v>
      </c>
      <c r="M52" s="1684">
        <f>F52*L52/100</f>
        <v>183880.39908333297</v>
      </c>
      <c r="N52" s="1684">
        <f t="shared" ref="N52:N54" si="148">SUM(O52:P52)</f>
        <v>2.9103830456733704E-11</v>
      </c>
      <c r="O52" s="1684">
        <f t="shared" ref="O52:O54" si="149">J52-M52-P52</f>
        <v>2.9103830456733704E-11</v>
      </c>
      <c r="P52" s="1684">
        <f>I52*L52/100</f>
        <v>0</v>
      </c>
      <c r="Q52" s="142">
        <f>+'Phụ lục số 1'!Q52</f>
        <v>343000</v>
      </c>
      <c r="R52" s="142"/>
      <c r="S52" s="142">
        <f>+'Phụ lục số 1'!S52</f>
        <v>343000</v>
      </c>
      <c r="T52" s="1686">
        <f t="shared" si="124"/>
        <v>0</v>
      </c>
      <c r="U52" s="1686">
        <f>+'Phụ lục số 1'!U52</f>
        <v>0</v>
      </c>
      <c r="V52" s="1686">
        <f>+'Phụ lục số 1'!V52</f>
        <v>0</v>
      </c>
      <c r="W52" s="157">
        <v>200000</v>
      </c>
      <c r="X52" s="175">
        <f>W52/Q52*100</f>
        <v>58.309037900874635</v>
      </c>
      <c r="Y52" s="157">
        <f>+W52</f>
        <v>200000</v>
      </c>
      <c r="Z52" s="157">
        <f t="shared" ref="Z52:Z54" si="150">SUM(AA52:AB52)</f>
        <v>0</v>
      </c>
      <c r="AA52" s="157">
        <f t="shared" ref="AA52:AA54" si="151">W52-Y52-AB52</f>
        <v>0</v>
      </c>
      <c r="AB52" s="157"/>
      <c r="AC52" s="142">
        <f>+'Phụ lục số 1'!AC52</f>
        <v>205000</v>
      </c>
      <c r="AD52" s="142"/>
      <c r="AE52" s="142">
        <f>+'Phụ lục số 1'!AE52</f>
        <v>205000</v>
      </c>
      <c r="AF52" s="142">
        <f t="shared" ref="AF52:AF56" si="152">SUM(AG52:AH52)</f>
        <v>0</v>
      </c>
      <c r="AG52" s="142">
        <f>+'Phụ lục số 1'!AG52</f>
        <v>0</v>
      </c>
      <c r="AH52" s="5548">
        <f>+'Phụ lục số 1'!AH52</f>
        <v>0</v>
      </c>
      <c r="AI52" s="5523">
        <v>212000</v>
      </c>
      <c r="AJ52" s="157">
        <f>AI52/AC52*100</f>
        <v>103.41463414634147</v>
      </c>
      <c r="AK52" s="157">
        <f>+AI52</f>
        <v>212000</v>
      </c>
      <c r="AL52" s="157">
        <f t="shared" ref="AL52:AL54" si="153">SUM(AM52:AN52)</f>
        <v>0</v>
      </c>
      <c r="AM52" s="157"/>
      <c r="AN52" s="157"/>
      <c r="AO52" s="157">
        <v>217000</v>
      </c>
      <c r="AP52" s="157">
        <f>AO52/AI52*100</f>
        <v>102.35849056603774</v>
      </c>
      <c r="AQ52" s="157">
        <f>+AO52</f>
        <v>217000</v>
      </c>
      <c r="AR52" s="157">
        <f t="shared" ref="AR52:AR54" si="154">SUM(AS52:AT52)</f>
        <v>0</v>
      </c>
      <c r="AS52" s="157"/>
      <c r="AT52" s="157"/>
      <c r="AU52" s="157">
        <v>225000</v>
      </c>
      <c r="AV52" s="157">
        <f>AU52/AO52*100</f>
        <v>103.68663594470047</v>
      </c>
      <c r="AW52" s="157">
        <f>AU52</f>
        <v>225000</v>
      </c>
      <c r="AX52" s="157">
        <f t="shared" ref="AX52:AX54" si="155">SUM(AY52:AZ52)</f>
        <v>0</v>
      </c>
      <c r="AY52" s="157">
        <f t="shared" ref="AY52:AY54" si="156">AU52-AW52-AZ52</f>
        <v>0</v>
      </c>
      <c r="AZ52" s="157"/>
      <c r="BB52" s="5516">
        <f t="shared" si="12"/>
        <v>1.0369062076312157</v>
      </c>
      <c r="BC52" s="1729">
        <f t="shared" si="13"/>
        <v>748000</v>
      </c>
      <c r="BE52" s="1729">
        <f t="shared" si="14"/>
        <v>0</v>
      </c>
      <c r="BH52" s="1729">
        <f>+BH50-BH51</f>
        <v>-1600000</v>
      </c>
    </row>
    <row r="53" spans="1:74" hidden="1">
      <c r="A53" s="5538"/>
      <c r="B53" s="1716" t="s">
        <v>36</v>
      </c>
      <c r="C53" s="152">
        <v>121000</v>
      </c>
      <c r="D53" s="152">
        <f>C53+33000</f>
        <v>154000</v>
      </c>
      <c r="E53" s="153"/>
      <c r="F53" s="149">
        <f>+'Phụ lục số 1'!F53</f>
        <v>154000</v>
      </c>
      <c r="G53" s="154"/>
      <c r="H53" s="154">
        <f t="shared" ref="H53:H54" si="157">D53-F53-I53</f>
        <v>0</v>
      </c>
      <c r="I53" s="154">
        <v>0</v>
      </c>
      <c r="J53" s="157">
        <f>106188.436333333+28800+35000+50000</f>
        <v>219988.436333333</v>
      </c>
      <c r="K53" s="157">
        <f t="shared" si="147"/>
        <v>181.80862506887024</v>
      </c>
      <c r="L53" s="1693">
        <f t="shared" ref="L53:L54" si="158">J53/D53*100</f>
        <v>142.84963398268374</v>
      </c>
      <c r="M53" s="1684">
        <f t="shared" ref="M53:M54" si="159">F53*L53/100</f>
        <v>219988.43633333297</v>
      </c>
      <c r="N53" s="1684">
        <f t="shared" si="148"/>
        <v>2.9103830456733704E-11</v>
      </c>
      <c r="O53" s="1684">
        <f t="shared" si="149"/>
        <v>2.9103830456733704E-11</v>
      </c>
      <c r="P53" s="1684">
        <f t="shared" ref="P53:P54" si="160">I53*L53/100</f>
        <v>0</v>
      </c>
      <c r="Q53" s="142">
        <f>+'Phụ lục số 1'!Q53</f>
        <v>152000</v>
      </c>
      <c r="R53" s="142"/>
      <c r="S53" s="142">
        <f>+'Phụ lục số 1'!S53</f>
        <v>152000</v>
      </c>
      <c r="T53" s="1686">
        <f t="shared" si="124"/>
        <v>0</v>
      </c>
      <c r="U53" s="1686">
        <f>+'Phụ lục số 1'!U53</f>
        <v>0</v>
      </c>
      <c r="V53" s="1686">
        <f>+'Phụ lục số 1'!V53</f>
        <v>0</v>
      </c>
      <c r="W53" s="157">
        <v>83000</v>
      </c>
      <c r="X53" s="175">
        <f t="shared" ref="X53:X54" si="161">W53/Q53*100</f>
        <v>54.605263157894733</v>
      </c>
      <c r="Y53" s="157">
        <f>+W53</f>
        <v>83000</v>
      </c>
      <c r="Z53" s="157">
        <f t="shared" si="150"/>
        <v>0</v>
      </c>
      <c r="AA53" s="157">
        <f t="shared" si="151"/>
        <v>0</v>
      </c>
      <c r="AB53" s="157"/>
      <c r="AC53" s="142">
        <f>+'Phụ lục số 1'!AC53</f>
        <v>92000</v>
      </c>
      <c r="AD53" s="142"/>
      <c r="AE53" s="142">
        <f>+'Phụ lục số 1'!AE53</f>
        <v>92000</v>
      </c>
      <c r="AF53" s="142">
        <f t="shared" si="152"/>
        <v>0</v>
      </c>
      <c r="AG53" s="142">
        <f>+'Phụ lục số 1'!AG53</f>
        <v>0</v>
      </c>
      <c r="AH53" s="5548">
        <f>+'Phụ lục số 1'!AH53</f>
        <v>0</v>
      </c>
      <c r="AI53" s="5523">
        <v>100000</v>
      </c>
      <c r="AJ53" s="157">
        <f t="shared" ref="AJ53:AJ54" si="162">AI53/AC53*100</f>
        <v>108.69565217391303</v>
      </c>
      <c r="AK53" s="157">
        <f>+AI53</f>
        <v>100000</v>
      </c>
      <c r="AL53" s="157">
        <f t="shared" si="153"/>
        <v>0</v>
      </c>
      <c r="AM53" s="157"/>
      <c r="AN53" s="157"/>
      <c r="AO53" s="157">
        <v>111000</v>
      </c>
      <c r="AP53" s="157">
        <f t="shared" ref="AP53:AP54" si="163">AO53/AI53*100</f>
        <v>111.00000000000001</v>
      </c>
      <c r="AQ53" s="157">
        <f>+AO53</f>
        <v>111000</v>
      </c>
      <c r="AR53" s="157">
        <f t="shared" si="154"/>
        <v>0</v>
      </c>
      <c r="AS53" s="157"/>
      <c r="AT53" s="157"/>
      <c r="AU53" s="157">
        <v>120000</v>
      </c>
      <c r="AV53" s="157">
        <f t="shared" ref="AV53:AV54" si="164">AU53/AO53*100</f>
        <v>108.10810810810811</v>
      </c>
      <c r="AW53" s="157">
        <f t="shared" ref="AW53:AW54" si="165">AU53</f>
        <v>120000</v>
      </c>
      <c r="AX53" s="157">
        <f t="shared" si="155"/>
        <v>0</v>
      </c>
      <c r="AY53" s="157">
        <f t="shared" si="156"/>
        <v>0</v>
      </c>
      <c r="AZ53" s="157"/>
      <c r="BB53" s="5516">
        <f t="shared" si="12"/>
        <v>0.74781813275376863</v>
      </c>
      <c r="BC53" s="1729">
        <f t="shared" si="13"/>
        <v>327000</v>
      </c>
      <c r="BE53" s="1729">
        <f t="shared" si="14"/>
        <v>0</v>
      </c>
    </row>
    <row r="54" spans="1:74" hidden="1">
      <c r="A54" s="5538"/>
      <c r="B54" s="1716" t="s">
        <v>135</v>
      </c>
      <c r="C54" s="152">
        <v>1000</v>
      </c>
      <c r="D54" s="152">
        <v>2000</v>
      </c>
      <c r="E54" s="153"/>
      <c r="F54" s="149">
        <f>+'Phụ lục số 1'!F54</f>
        <v>2000</v>
      </c>
      <c r="G54" s="154"/>
      <c r="H54" s="154">
        <f t="shared" si="157"/>
        <v>0</v>
      </c>
      <c r="I54" s="154"/>
      <c r="J54" s="157">
        <f>930.734+1200+4000</f>
        <v>6130.7340000000004</v>
      </c>
      <c r="K54" s="157">
        <f t="shared" si="147"/>
        <v>613.07339999999999</v>
      </c>
      <c r="L54" s="1693">
        <f t="shared" si="158"/>
        <v>306.5367</v>
      </c>
      <c r="M54" s="1684">
        <f t="shared" si="159"/>
        <v>6130.7340000000004</v>
      </c>
      <c r="N54" s="1684">
        <f t="shared" si="148"/>
        <v>0</v>
      </c>
      <c r="O54" s="1684">
        <f t="shared" si="149"/>
        <v>0</v>
      </c>
      <c r="P54" s="1684">
        <f t="shared" si="160"/>
        <v>0</v>
      </c>
      <c r="Q54" s="142">
        <f>+'Phụ lục số 1'!Q54</f>
        <v>4000</v>
      </c>
      <c r="R54" s="142"/>
      <c r="S54" s="142">
        <f>+'Phụ lục số 1'!S54</f>
        <v>4000</v>
      </c>
      <c r="T54" s="1686">
        <f t="shared" si="124"/>
        <v>0</v>
      </c>
      <c r="U54" s="1686">
        <f>+'Phụ lục số 1'!U54</f>
        <v>0</v>
      </c>
      <c r="V54" s="1686">
        <f>+'Phụ lục số 1'!V54</f>
        <v>0</v>
      </c>
      <c r="W54" s="157">
        <v>4000</v>
      </c>
      <c r="X54" s="175">
        <f t="shared" si="161"/>
        <v>100</v>
      </c>
      <c r="Y54" s="157">
        <f>+W54</f>
        <v>4000</v>
      </c>
      <c r="Z54" s="157">
        <f t="shared" si="150"/>
        <v>0</v>
      </c>
      <c r="AA54" s="157">
        <f t="shared" si="151"/>
        <v>0</v>
      </c>
      <c r="AB54" s="157"/>
      <c r="AC54" s="142">
        <f>+'Phụ lục số 1'!AC54</f>
        <v>5000</v>
      </c>
      <c r="AD54" s="142"/>
      <c r="AE54" s="142">
        <f>+'Phụ lục số 1'!AE54</f>
        <v>5000</v>
      </c>
      <c r="AF54" s="142">
        <f t="shared" si="152"/>
        <v>0</v>
      </c>
      <c r="AG54" s="142">
        <f>+'Phụ lục số 1'!AG54</f>
        <v>0</v>
      </c>
      <c r="AH54" s="5548">
        <f>+'Phụ lục số 1'!AH54</f>
        <v>0</v>
      </c>
      <c r="AI54" s="5523">
        <v>6000</v>
      </c>
      <c r="AJ54" s="157">
        <f t="shared" si="162"/>
        <v>120</v>
      </c>
      <c r="AK54" s="157">
        <f>+AI54</f>
        <v>6000</v>
      </c>
      <c r="AL54" s="157">
        <f t="shared" si="153"/>
        <v>0</v>
      </c>
      <c r="AM54" s="157"/>
      <c r="AN54" s="157"/>
      <c r="AO54" s="157">
        <v>7000</v>
      </c>
      <c r="AP54" s="157">
        <f t="shared" si="163"/>
        <v>116.66666666666667</v>
      </c>
      <c r="AQ54" s="157">
        <f>+AO54</f>
        <v>7000</v>
      </c>
      <c r="AR54" s="157">
        <f t="shared" si="154"/>
        <v>0</v>
      </c>
      <c r="AS54" s="157"/>
      <c r="AT54" s="157"/>
      <c r="AU54" s="157">
        <v>7000</v>
      </c>
      <c r="AV54" s="157">
        <f t="shared" si="164"/>
        <v>100</v>
      </c>
      <c r="AW54" s="157">
        <f t="shared" si="165"/>
        <v>7000</v>
      </c>
      <c r="AX54" s="157">
        <f t="shared" si="155"/>
        <v>0</v>
      </c>
      <c r="AY54" s="157">
        <f t="shared" si="156"/>
        <v>0</v>
      </c>
      <c r="AZ54" s="157"/>
      <c r="BB54" s="5516">
        <f t="shared" si="12"/>
        <v>0.93429891316532587</v>
      </c>
      <c r="BC54" s="1729">
        <f t="shared" si="13"/>
        <v>13000</v>
      </c>
      <c r="BE54" s="1729">
        <f t="shared" si="14"/>
        <v>0</v>
      </c>
    </row>
    <row r="55" spans="1:74" hidden="1">
      <c r="A55" s="5538"/>
      <c r="B55" s="1716" t="s">
        <v>114</v>
      </c>
      <c r="C55" s="152"/>
      <c r="D55" s="152"/>
      <c r="E55" s="153"/>
      <c r="F55" s="149">
        <f>+'Phụ lục số 1'!F55</f>
        <v>0</v>
      </c>
      <c r="G55" s="154"/>
      <c r="H55" s="154"/>
      <c r="I55" s="154"/>
      <c r="J55" s="157"/>
      <c r="K55" s="157"/>
      <c r="L55" s="1693"/>
      <c r="M55" s="1684"/>
      <c r="N55" s="1684"/>
      <c r="O55" s="1684"/>
      <c r="P55" s="1684"/>
      <c r="Q55" s="142">
        <f>+'Phụ lục số 1'!Q55</f>
        <v>1000</v>
      </c>
      <c r="R55" s="142"/>
      <c r="S55" s="142">
        <f>+'Phụ lục số 1'!S55</f>
        <v>1000</v>
      </c>
      <c r="T55" s="1686">
        <f t="shared" si="124"/>
        <v>0</v>
      </c>
      <c r="U55" s="1686">
        <f>+'Phụ lục số 1'!U55</f>
        <v>0</v>
      </c>
      <c r="V55" s="1686">
        <f>+'Phụ lục số 1'!V55</f>
        <v>0</v>
      </c>
      <c r="W55" s="157"/>
      <c r="X55" s="175"/>
      <c r="Y55" s="157"/>
      <c r="Z55" s="157"/>
      <c r="AA55" s="157"/>
      <c r="AB55" s="157"/>
      <c r="AC55" s="142">
        <f>+'Phụ lục số 1'!AC55</f>
        <v>0</v>
      </c>
      <c r="AD55" s="142"/>
      <c r="AE55" s="142">
        <f>+'Phụ lục số 1'!AE55</f>
        <v>0</v>
      </c>
      <c r="AF55" s="142">
        <f t="shared" si="152"/>
        <v>0</v>
      </c>
      <c r="AG55" s="142">
        <f>+'Phụ lục số 1'!AG55</f>
        <v>0</v>
      </c>
      <c r="AH55" s="5548">
        <f>+'Phụ lục số 1'!AH55</f>
        <v>0</v>
      </c>
      <c r="AI55" s="5523"/>
      <c r="AJ55" s="157"/>
      <c r="AK55" s="157"/>
      <c r="AL55" s="157"/>
      <c r="AM55" s="157"/>
      <c r="AN55" s="157"/>
      <c r="AO55" s="157"/>
      <c r="AP55" s="157"/>
      <c r="AQ55" s="157"/>
      <c r="AR55" s="157"/>
      <c r="AS55" s="157"/>
      <c r="AT55" s="157"/>
      <c r="AU55" s="157"/>
      <c r="AV55" s="157"/>
      <c r="AW55" s="157"/>
      <c r="AX55" s="157"/>
      <c r="AY55" s="157"/>
      <c r="AZ55" s="157"/>
      <c r="BB55" s="5516" t="e">
        <f t="shared" si="12"/>
        <v>#DIV/0!</v>
      </c>
      <c r="BC55" s="1729">
        <f t="shared" si="13"/>
        <v>1000</v>
      </c>
      <c r="BE55" s="1729">
        <f t="shared" si="14"/>
        <v>0</v>
      </c>
    </row>
    <row r="56" spans="1:74" s="4" customFormat="1">
      <c r="A56" s="5538" t="s">
        <v>182</v>
      </c>
      <c r="B56" s="165" t="s">
        <v>3231</v>
      </c>
      <c r="C56" s="147"/>
      <c r="D56" s="147"/>
      <c r="E56" s="148"/>
      <c r="F56" s="149"/>
      <c r="G56" s="149"/>
      <c r="H56" s="149"/>
      <c r="I56" s="149"/>
      <c r="J56" s="142"/>
      <c r="K56" s="142"/>
      <c r="L56" s="1687"/>
      <c r="M56" s="1686"/>
      <c r="N56" s="1686"/>
      <c r="O56" s="1686"/>
      <c r="P56" s="1686"/>
      <c r="Q56" s="142">
        <f>+'Phụ lục số 1'!Q56</f>
        <v>5553.7960000000003</v>
      </c>
      <c r="R56" s="142"/>
      <c r="S56" s="142">
        <f>+'Phụ lục số 1'!S56</f>
        <v>0</v>
      </c>
      <c r="T56" s="1686">
        <f>SUM(U56:V56)</f>
        <v>5553.7960000000003</v>
      </c>
      <c r="U56" s="1686">
        <f>+'Phụ lục số 1'!U56</f>
        <v>5553.7960000000003</v>
      </c>
      <c r="V56" s="1686">
        <f>+'Phụ lục số 1'!V56</f>
        <v>0</v>
      </c>
      <c r="W56" s="142"/>
      <c r="X56" s="141"/>
      <c r="Y56" s="142"/>
      <c r="Z56" s="142"/>
      <c r="AA56" s="142"/>
      <c r="AB56" s="142"/>
      <c r="AC56" s="142">
        <f>+'Phụ lục số 1'!AC56</f>
        <v>0</v>
      </c>
      <c r="AD56" s="142"/>
      <c r="AE56" s="142">
        <f>+'Phụ lục số 1'!AE56</f>
        <v>0</v>
      </c>
      <c r="AF56" s="142">
        <f t="shared" si="152"/>
        <v>0</v>
      </c>
      <c r="AG56" s="142">
        <f>+'Phụ lục số 1'!AG56</f>
        <v>0</v>
      </c>
      <c r="AH56" s="5548">
        <f>+'Phụ lục số 1'!AH56</f>
        <v>0</v>
      </c>
      <c r="AI56" s="5524"/>
      <c r="AJ56" s="142"/>
      <c r="AK56" s="142"/>
      <c r="AL56" s="142"/>
      <c r="AM56" s="142"/>
      <c r="AN56" s="142"/>
      <c r="AO56" s="142"/>
      <c r="AP56" s="142"/>
      <c r="AQ56" s="142"/>
      <c r="AR56" s="142"/>
      <c r="AS56" s="142"/>
      <c r="AT56" s="142"/>
      <c r="AU56" s="142"/>
      <c r="AV56" s="142"/>
      <c r="AW56" s="142"/>
      <c r="AX56" s="142"/>
      <c r="AY56" s="142"/>
      <c r="AZ56" s="142"/>
      <c r="BB56" s="5516" t="e">
        <f t="shared" si="12"/>
        <v>#DIV/0!</v>
      </c>
      <c r="BC56" s="1729">
        <f t="shared" si="13"/>
        <v>5553.7960000000003</v>
      </c>
      <c r="BE56" s="1729">
        <f t="shared" si="14"/>
        <v>5553.7960000000003</v>
      </c>
    </row>
    <row r="57" spans="1:74">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166">R58+R61+R60</f>
        <v>0</v>
      </c>
      <c r="S57" s="173">
        <f t="shared" si="166"/>
        <v>0</v>
      </c>
      <c r="T57" s="173">
        <f>T58+T61+T60</f>
        <v>11903075</v>
      </c>
      <c r="U57" s="173">
        <f>U58+U61+U60</f>
        <v>11903075</v>
      </c>
      <c r="V57" s="173">
        <f t="shared" si="166"/>
        <v>0</v>
      </c>
      <c r="W57" s="173">
        <f>W58+W61+W60</f>
        <v>11903075</v>
      </c>
      <c r="X57" s="173">
        <f t="shared" si="166"/>
        <v>0</v>
      </c>
      <c r="Y57" s="173">
        <f t="shared" si="166"/>
        <v>0</v>
      </c>
      <c r="Z57" s="173">
        <f t="shared" si="166"/>
        <v>11903075</v>
      </c>
      <c r="AA57" s="173">
        <f t="shared" si="166"/>
        <v>11903075</v>
      </c>
      <c r="AB57" s="173">
        <f t="shared" si="166"/>
        <v>0</v>
      </c>
      <c r="AC57" s="173">
        <f t="shared" si="166"/>
        <v>11903075</v>
      </c>
      <c r="AD57" s="173">
        <f t="shared" si="166"/>
        <v>0</v>
      </c>
      <c r="AE57" s="173">
        <f t="shared" si="166"/>
        <v>0</v>
      </c>
      <c r="AF57" s="173">
        <f t="shared" si="166"/>
        <v>11903075</v>
      </c>
      <c r="AG57" s="173">
        <f t="shared" si="166"/>
        <v>11903075</v>
      </c>
      <c r="AH57" s="5535">
        <f t="shared" si="166"/>
        <v>0</v>
      </c>
      <c r="AI57" s="5520">
        <f t="shared" si="166"/>
        <v>11903075</v>
      </c>
      <c r="AJ57" s="173">
        <f t="shared" si="166"/>
        <v>0</v>
      </c>
      <c r="AK57" s="173">
        <f t="shared" si="166"/>
        <v>0</v>
      </c>
      <c r="AL57" s="173">
        <f t="shared" si="166"/>
        <v>11903075</v>
      </c>
      <c r="AM57" s="173">
        <f t="shared" si="166"/>
        <v>11903075</v>
      </c>
      <c r="AN57" s="173">
        <f t="shared" si="166"/>
        <v>0</v>
      </c>
      <c r="AO57" s="173">
        <f t="shared" si="166"/>
        <v>11903075</v>
      </c>
      <c r="AP57" s="173">
        <f t="shared" si="166"/>
        <v>0</v>
      </c>
      <c r="AQ57" s="173">
        <f t="shared" si="166"/>
        <v>0</v>
      </c>
      <c r="AR57" s="173">
        <f t="shared" si="166"/>
        <v>11903075</v>
      </c>
      <c r="AS57" s="173">
        <f t="shared" si="166"/>
        <v>11903075</v>
      </c>
      <c r="AT57" s="173">
        <f t="shared" si="166"/>
        <v>0</v>
      </c>
      <c r="AU57" s="173">
        <f t="shared" si="166"/>
        <v>11903075</v>
      </c>
      <c r="AV57" s="173">
        <f t="shared" si="166"/>
        <v>0</v>
      </c>
      <c r="AW57" s="173">
        <f t="shared" si="166"/>
        <v>0</v>
      </c>
      <c r="AX57" s="173">
        <f t="shared" si="166"/>
        <v>11903075</v>
      </c>
      <c r="AY57" s="173">
        <f t="shared" si="166"/>
        <v>11903075</v>
      </c>
      <c r="AZ57" s="173">
        <f t="shared" si="166"/>
        <v>0</v>
      </c>
      <c r="BC57" s="1729">
        <f t="shared" si="13"/>
        <v>35709225</v>
      </c>
      <c r="BE57" s="1729">
        <f t="shared" si="14"/>
        <v>35709225</v>
      </c>
    </row>
    <row r="58" spans="1:74" s="5302" customFormat="1">
      <c r="A58" s="5534" t="s">
        <v>3</v>
      </c>
      <c r="B58" s="1713" t="s">
        <v>39</v>
      </c>
      <c r="C58" s="173">
        <f>+'Phụ lục số 1'!C58</f>
        <v>6617188</v>
      </c>
      <c r="D58" s="173">
        <f>+'Phụ lục số 1'!D58</f>
        <v>6617188</v>
      </c>
      <c r="E58" s="176"/>
      <c r="F58" s="174"/>
      <c r="G58" s="174">
        <f>SUM(H58:I58)</f>
        <v>6617188</v>
      </c>
      <c r="H58" s="174">
        <f>+'Phụ lục số 1'!H58</f>
        <v>6617188</v>
      </c>
      <c r="I58" s="174">
        <f>+'Phụ lục số 1'!I58</f>
        <v>0</v>
      </c>
      <c r="J58" s="173">
        <f>+'Phụ lục số 1'!J58</f>
        <v>6617188</v>
      </c>
      <c r="K58" s="5300"/>
      <c r="L58" s="5300"/>
      <c r="M58" s="5300"/>
      <c r="N58" s="173">
        <f>6487488+N59</f>
        <v>6617188</v>
      </c>
      <c r="O58" s="5496">
        <f>+'Phụ lục số 1'!O58</f>
        <v>6617188</v>
      </c>
      <c r="P58" s="5496">
        <f>+'Phụ lục số 1'!P58</f>
        <v>0</v>
      </c>
      <c r="Q58" s="142">
        <f>+'Phụ lục số 1'!Q58</f>
        <v>6749488</v>
      </c>
      <c r="R58" s="142"/>
      <c r="S58" s="142">
        <f>+'Phụ lục số 1'!S58</f>
        <v>0</v>
      </c>
      <c r="T58" s="1686">
        <f>SUM(U58:V58)</f>
        <v>6749488</v>
      </c>
      <c r="U58" s="1686">
        <f>+'Phụ lục số 1'!U58</f>
        <v>6749488</v>
      </c>
      <c r="V58" s="1686">
        <f>+'Phụ lục số 1'!V58</f>
        <v>0</v>
      </c>
      <c r="W58" s="758">
        <f>+'Phụ lục số 1'!W58</f>
        <v>6749488</v>
      </c>
      <c r="X58" s="5495"/>
      <c r="Y58" s="758">
        <f>+'Phụ lục số 1'!Y58</f>
        <v>0</v>
      </c>
      <c r="Z58" s="758">
        <f t="shared" ref="Z58" si="167">SUM(AA58:AB58)</f>
        <v>6749488</v>
      </c>
      <c r="AA58" s="758">
        <f>+'Phụ lục số 1'!AA58</f>
        <v>6749488</v>
      </c>
      <c r="AB58" s="758">
        <f>+'Phụ lục số 1'!AB58</f>
        <v>0</v>
      </c>
      <c r="AC58" s="142">
        <f>+'Phụ lục số 1'!AC58</f>
        <v>6749488</v>
      </c>
      <c r="AD58" s="142"/>
      <c r="AE58" s="142">
        <f>+'Phụ lục số 1'!AE58</f>
        <v>0</v>
      </c>
      <c r="AF58" s="142">
        <f t="shared" ref="AF58" si="168">SUM(AG58:AH58)</f>
        <v>6749488</v>
      </c>
      <c r="AG58" s="142">
        <f>+'Phụ lục số 1'!AG58</f>
        <v>6749488</v>
      </c>
      <c r="AH58" s="5548">
        <f>+'Phụ lục số 1'!AH58</f>
        <v>0</v>
      </c>
      <c r="AI58" s="5520">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c r="BC58" s="1729">
        <f t="shared" si="13"/>
        <v>20248464</v>
      </c>
      <c r="BE58" s="1729">
        <f t="shared" si="14"/>
        <v>20248464</v>
      </c>
    </row>
    <row r="59" spans="1:74" s="5" customFormat="1" hidden="1">
      <c r="A59" s="5550"/>
      <c r="B59" s="1723" t="s">
        <v>40</v>
      </c>
      <c r="C59" s="173">
        <f>+'Phụ lục số 1'!C59</f>
        <v>129700</v>
      </c>
      <c r="D59" s="173">
        <f>+'Phụ lục số 1'!D59</f>
        <v>129700</v>
      </c>
      <c r="E59" s="180"/>
      <c r="F59" s="181"/>
      <c r="G59" s="181">
        <f>SUM(H59:I59)</f>
        <v>129700</v>
      </c>
      <c r="H59" s="174">
        <f>+'Phụ lục số 1'!H59</f>
        <v>129700</v>
      </c>
      <c r="I59" s="174">
        <f>+'Phụ lục số 1'!I59</f>
        <v>0</v>
      </c>
      <c r="J59" s="173">
        <f>+'Phụ lục số 1'!J59</f>
        <v>129700</v>
      </c>
      <c r="K59" s="171"/>
      <c r="L59" s="171"/>
      <c r="M59" s="171"/>
      <c r="N59" s="171">
        <f>SUM(O59:P59)</f>
        <v>129700</v>
      </c>
      <c r="O59" s="5496">
        <f>+'Phụ lục số 1'!O59</f>
        <v>129700</v>
      </c>
      <c r="P59" s="5496">
        <f>+'Phụ lục số 1'!P59</f>
        <v>0</v>
      </c>
      <c r="Q59" s="171">
        <v>132300</v>
      </c>
      <c r="R59" s="171"/>
      <c r="S59" s="171"/>
      <c r="T59" s="171">
        <f>SUM(U59:V59)</f>
        <v>132300</v>
      </c>
      <c r="U59" s="171">
        <f>Q59</f>
        <v>132300</v>
      </c>
      <c r="V59" s="171"/>
      <c r="W59" s="171">
        <v>132300</v>
      </c>
      <c r="X59" s="182"/>
      <c r="Y59" s="171"/>
      <c r="Z59" s="171">
        <f>SUM(AA59:AB59)</f>
        <v>132300</v>
      </c>
      <c r="AA59" s="171">
        <f>W59</f>
        <v>132300</v>
      </c>
      <c r="AB59" s="171"/>
      <c r="AC59" s="171">
        <v>132300</v>
      </c>
      <c r="AD59" s="171"/>
      <c r="AE59" s="171"/>
      <c r="AF59" s="171">
        <f>SUM(AG59:AH59)</f>
        <v>132300</v>
      </c>
      <c r="AG59" s="171">
        <f>AC59</f>
        <v>132300</v>
      </c>
      <c r="AH59" s="5551"/>
      <c r="AI59" s="5526">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c r="BC59" s="1729">
        <f t="shared" si="13"/>
        <v>396900</v>
      </c>
      <c r="BE59" s="1729">
        <f t="shared" si="14"/>
        <v>396900</v>
      </c>
    </row>
    <row r="60" spans="1:74" s="739" customFormat="1" ht="17.399999999999999">
      <c r="A60" s="5534" t="s">
        <v>33</v>
      </c>
      <c r="B60" s="1928" t="s">
        <v>3187</v>
      </c>
      <c r="C60" s="173">
        <f>+'Phụ lục số 1'!C60</f>
        <v>650315</v>
      </c>
      <c r="D60" s="173">
        <f>+'Phụ lục số 1'!D60</f>
        <v>650315</v>
      </c>
      <c r="E60" s="176"/>
      <c r="F60" s="174"/>
      <c r="G60" s="174">
        <f>SUM(H60:I60)</f>
        <v>650315</v>
      </c>
      <c r="H60" s="174">
        <f>+'Phụ lục số 1'!H60</f>
        <v>650315</v>
      </c>
      <c r="I60" s="174">
        <f>+'Phụ lục số 1'!I60</f>
        <v>0</v>
      </c>
      <c r="J60" s="173">
        <f>+'Phụ lục số 1'!J60</f>
        <v>813783</v>
      </c>
      <c r="K60" s="758"/>
      <c r="L60" s="758"/>
      <c r="M60" s="758"/>
      <c r="N60" s="758">
        <f>SUM(O60:P60)</f>
        <v>813783</v>
      </c>
      <c r="O60" s="5496">
        <f>+'Phụ lục số 1'!O60</f>
        <v>813783</v>
      </c>
      <c r="P60" s="5496">
        <f>+'Phụ lục số 1'!P60</f>
        <v>0</v>
      </c>
      <c r="Q60" s="142">
        <f>+'Phụ lục số 1'!Q60</f>
        <v>2116595</v>
      </c>
      <c r="R60" s="142"/>
      <c r="S60" s="142">
        <f>+'Phụ lục số 1'!S60</f>
        <v>0</v>
      </c>
      <c r="T60" s="1686">
        <f>SUM(U60:V60)</f>
        <v>2116595</v>
      </c>
      <c r="U60" s="1686">
        <f>+'Phụ lục số 1'!U60</f>
        <v>2116595</v>
      </c>
      <c r="V60" s="1686">
        <f>+'Phụ lục số 1'!V60</f>
        <v>0</v>
      </c>
      <c r="W60" s="758">
        <f>+'Phụ lục số 1'!W60</f>
        <v>2116595</v>
      </c>
      <c r="X60" s="5495"/>
      <c r="Y60" s="758">
        <f>+'Phụ lục số 1'!Y60</f>
        <v>0</v>
      </c>
      <c r="Z60" s="758">
        <f t="shared" ref="Z60" si="169">SUM(AA60:AB60)</f>
        <v>2116595</v>
      </c>
      <c r="AA60" s="758">
        <f>+'Phụ lục số 1'!AA60</f>
        <v>2116595</v>
      </c>
      <c r="AB60" s="758">
        <f>+'Phụ lục số 1'!AB60</f>
        <v>0</v>
      </c>
      <c r="AC60" s="142">
        <f>+'Phụ lục số 1'!AC60</f>
        <v>2116595</v>
      </c>
      <c r="AD60" s="142"/>
      <c r="AE60" s="142">
        <f>+'Phụ lục số 1'!AE60</f>
        <v>0</v>
      </c>
      <c r="AF60" s="142">
        <f t="shared" ref="AF60" si="170">SUM(AG60:AH60)</f>
        <v>2116595</v>
      </c>
      <c r="AG60" s="142">
        <f>+'Phụ lục số 1'!AG60</f>
        <v>2116595</v>
      </c>
      <c r="AH60" s="5548">
        <f>+'Phụ lục số 1'!AH60</f>
        <v>0</v>
      </c>
      <c r="AI60" s="5525">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c r="BC60" s="1729">
        <f t="shared" si="13"/>
        <v>6349785</v>
      </c>
      <c r="BE60" s="1729">
        <f t="shared" si="14"/>
        <v>6349785</v>
      </c>
    </row>
    <row r="61" spans="1:74">
      <c r="A61" s="5534" t="s">
        <v>182</v>
      </c>
      <c r="B61" s="1713" t="s">
        <v>41</v>
      </c>
      <c r="C61" s="173">
        <f>SUM(C62,C65,C68)</f>
        <v>1988976</v>
      </c>
      <c r="D61" s="173">
        <f t="shared" ref="D61" si="171">SUM(D62,D65,D68)</f>
        <v>1988976</v>
      </c>
      <c r="E61" s="176"/>
      <c r="F61" s="174">
        <f>SUM(F62:F68)</f>
        <v>0</v>
      </c>
      <c r="G61" s="174">
        <f t="shared" ref="G61:I61" si="172">SUM(G62,G65,G68)</f>
        <v>1988976</v>
      </c>
      <c r="H61" s="174">
        <f t="shared" si="172"/>
        <v>1988976</v>
      </c>
      <c r="I61" s="174">
        <f t="shared" si="172"/>
        <v>0</v>
      </c>
      <c r="J61" s="173">
        <f>SUM(J62,J65,J68)</f>
        <v>2127535</v>
      </c>
      <c r="K61" s="157"/>
      <c r="L61" s="157"/>
      <c r="M61" s="157"/>
      <c r="N61" s="173">
        <f t="shared" ref="N61:P61" si="173">SUM(N62,N65,N68)</f>
        <v>2127535</v>
      </c>
      <c r="O61" s="173">
        <f t="shared" si="173"/>
        <v>2127535</v>
      </c>
      <c r="P61" s="173">
        <f t="shared" si="173"/>
        <v>0</v>
      </c>
      <c r="Q61" s="173">
        <f>SUM(Q62,Q65,Q68)</f>
        <v>3036992</v>
      </c>
      <c r="R61" s="157"/>
      <c r="S61" s="157"/>
      <c r="T61" s="173">
        <f t="shared" ref="T61:W61" si="174">SUM(T62,T65,T68)</f>
        <v>3036992</v>
      </c>
      <c r="U61" s="173">
        <f t="shared" si="174"/>
        <v>3036992</v>
      </c>
      <c r="V61" s="173">
        <f t="shared" si="174"/>
        <v>0</v>
      </c>
      <c r="W61" s="173">
        <f t="shared" si="174"/>
        <v>3036992</v>
      </c>
      <c r="X61" s="157"/>
      <c r="Y61" s="157"/>
      <c r="Z61" s="173">
        <f t="shared" ref="Z61:AC61" si="175">SUM(Z62,Z65,Z68)</f>
        <v>3036992</v>
      </c>
      <c r="AA61" s="173">
        <f t="shared" si="175"/>
        <v>3036992</v>
      </c>
      <c r="AB61" s="173">
        <f t="shared" si="175"/>
        <v>0</v>
      </c>
      <c r="AC61" s="173">
        <f t="shared" si="175"/>
        <v>3036992</v>
      </c>
      <c r="AD61" s="157"/>
      <c r="AE61" s="157"/>
      <c r="AF61" s="173">
        <f t="shared" ref="AF61:AI61" si="176">SUM(AF62,AF65,AF68)</f>
        <v>3036992</v>
      </c>
      <c r="AG61" s="173">
        <f t="shared" si="176"/>
        <v>3036992</v>
      </c>
      <c r="AH61" s="5535">
        <f t="shared" si="176"/>
        <v>0</v>
      </c>
      <c r="AI61" s="5520">
        <f t="shared" si="176"/>
        <v>3036992</v>
      </c>
      <c r="AJ61" s="157"/>
      <c r="AK61" s="157"/>
      <c r="AL61" s="173">
        <f t="shared" ref="AL61:AO61" si="177">SUM(AL62,AL65,AL68)</f>
        <v>3036992</v>
      </c>
      <c r="AM61" s="173">
        <f t="shared" si="177"/>
        <v>3036992</v>
      </c>
      <c r="AN61" s="173">
        <f t="shared" si="177"/>
        <v>0</v>
      </c>
      <c r="AO61" s="173">
        <f t="shared" si="177"/>
        <v>3036992</v>
      </c>
      <c r="AP61" s="157"/>
      <c r="AQ61" s="157"/>
      <c r="AR61" s="173">
        <f t="shared" ref="AR61:AU61" si="178">SUM(AR62,AR65,AR68)</f>
        <v>3036992</v>
      </c>
      <c r="AS61" s="173">
        <f t="shared" si="178"/>
        <v>3036992</v>
      </c>
      <c r="AT61" s="173">
        <f t="shared" si="178"/>
        <v>0</v>
      </c>
      <c r="AU61" s="173">
        <f t="shared" si="178"/>
        <v>3036992</v>
      </c>
      <c r="AV61" s="157"/>
      <c r="AW61" s="157"/>
      <c r="AX61" s="173">
        <f t="shared" ref="AX61:AZ61" si="179">SUM(AX62,AX65,AX68)</f>
        <v>3036992</v>
      </c>
      <c r="AY61" s="173">
        <f t="shared" si="179"/>
        <v>3036992</v>
      </c>
      <c r="AZ61" s="173">
        <f t="shared" si="179"/>
        <v>0</v>
      </c>
      <c r="BC61" s="1729">
        <f t="shared" si="13"/>
        <v>9110976</v>
      </c>
      <c r="BE61" s="1729">
        <f t="shared" si="14"/>
        <v>9110976</v>
      </c>
    </row>
    <row r="62" spans="1:74" s="204" customFormat="1">
      <c r="A62" s="5538">
        <v>1</v>
      </c>
      <c r="B62" s="1716" t="s">
        <v>42</v>
      </c>
      <c r="C62" s="152">
        <f>SUM(C63:C64)</f>
        <v>1814491</v>
      </c>
      <c r="D62" s="152">
        <f t="shared" ref="D62" si="180">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181">SUM(P63:P64)</f>
        <v>0</v>
      </c>
      <c r="Q62" s="152">
        <f>SUM(Q63:Q64)</f>
        <v>2530494</v>
      </c>
      <c r="R62" s="152"/>
      <c r="S62" s="152"/>
      <c r="T62" s="152">
        <f>SUM(T63:T64)</f>
        <v>2530494</v>
      </c>
      <c r="U62" s="152">
        <f>SUM(U63:U64)</f>
        <v>2530494</v>
      </c>
      <c r="V62" s="152">
        <f t="shared" ref="V62" si="182">SUM(V63:V64)</f>
        <v>0</v>
      </c>
      <c r="W62" s="152">
        <f>SUM(W63:W64)</f>
        <v>2530494</v>
      </c>
      <c r="X62" s="152"/>
      <c r="Y62" s="152"/>
      <c r="Z62" s="152">
        <f>SUM(Z63:Z64)</f>
        <v>2530494</v>
      </c>
      <c r="AA62" s="152">
        <f t="shared" ref="AA62:AB62" si="183">SUM(AA63:AA64)</f>
        <v>2530494</v>
      </c>
      <c r="AB62" s="152">
        <f t="shared" si="183"/>
        <v>0</v>
      </c>
      <c r="AC62" s="152">
        <f>SUM(AC63:AC64)</f>
        <v>2530494</v>
      </c>
      <c r="AD62" s="152"/>
      <c r="AE62" s="152"/>
      <c r="AF62" s="152">
        <f>SUM(AF63:AF64)</f>
        <v>2530494</v>
      </c>
      <c r="AG62" s="152">
        <f t="shared" ref="AG62:AH62" si="184">SUM(AG63:AG64)</f>
        <v>2530494</v>
      </c>
      <c r="AH62" s="5552">
        <f t="shared" si="184"/>
        <v>0</v>
      </c>
      <c r="AI62" s="5527">
        <f>SUM(AI63:AI64)</f>
        <v>2530494</v>
      </c>
      <c r="AJ62" s="152"/>
      <c r="AK62" s="152"/>
      <c r="AL62" s="152">
        <f>SUM(AL63:AL64)</f>
        <v>2530494</v>
      </c>
      <c r="AM62" s="152">
        <f t="shared" ref="AM62:AN62" si="185">SUM(AM63:AM64)</f>
        <v>2530494</v>
      </c>
      <c r="AN62" s="152">
        <f t="shared" si="185"/>
        <v>0</v>
      </c>
      <c r="AO62" s="152">
        <f>SUM(AO63:AO64)</f>
        <v>2530494</v>
      </c>
      <c r="AP62" s="152"/>
      <c r="AQ62" s="152"/>
      <c r="AR62" s="152">
        <f>SUM(AR63:AR64)</f>
        <v>2530494</v>
      </c>
      <c r="AS62" s="152">
        <f t="shared" ref="AS62:AT62" si="186">SUM(AS63:AS64)</f>
        <v>2530494</v>
      </c>
      <c r="AT62" s="152">
        <f t="shared" si="186"/>
        <v>0</v>
      </c>
      <c r="AU62" s="152">
        <f>SUM(AU63:AU64)</f>
        <v>2530494</v>
      </c>
      <c r="AV62" s="152"/>
      <c r="AW62" s="152"/>
      <c r="AX62" s="152">
        <f>SUM(AX63:AX64)</f>
        <v>2530494</v>
      </c>
      <c r="AY62" s="152">
        <f t="shared" ref="AY62:AZ62" si="187">SUM(AY63:AY64)</f>
        <v>2530494</v>
      </c>
      <c r="AZ62" s="152">
        <f t="shared" si="187"/>
        <v>0</v>
      </c>
      <c r="BC62" s="1729">
        <f t="shared" si="13"/>
        <v>7591482</v>
      </c>
      <c r="BE62" s="1729">
        <f t="shared" si="14"/>
        <v>7591482</v>
      </c>
    </row>
    <row r="63" spans="1:74" s="5" customFormat="1" hidden="1">
      <c r="A63" s="5546" t="s">
        <v>99</v>
      </c>
      <c r="B63" s="1690" t="s">
        <v>100</v>
      </c>
      <c r="C63" s="263">
        <f>+'Phụ lục số 1'!C63</f>
        <v>1681570</v>
      </c>
      <c r="D63" s="263">
        <f>+'Phụ lục số 1'!D63</f>
        <v>1681570</v>
      </c>
      <c r="E63" s="1533"/>
      <c r="F63" s="170"/>
      <c r="G63" s="170">
        <f>SUM(H63:I63)</f>
        <v>1681570</v>
      </c>
      <c r="H63" s="170">
        <f>+'Phụ lục số 1'!H63</f>
        <v>1681570</v>
      </c>
      <c r="I63" s="170">
        <f>+'Phụ lục số 1'!I63</f>
        <v>0</v>
      </c>
      <c r="J63" s="182">
        <f>+'Phụ lục số 1'!J63</f>
        <v>1681570</v>
      </c>
      <c r="K63" s="258"/>
      <c r="L63" s="258"/>
      <c r="M63" s="182"/>
      <c r="N63" s="171">
        <f>SUM(O63:P63)</f>
        <v>1681570</v>
      </c>
      <c r="O63" s="5498">
        <f>+'Phụ lục số 1'!O63</f>
        <v>1681570</v>
      </c>
      <c r="P63" s="5498">
        <f>+'Phụ lục số 1'!P63</f>
        <v>0</v>
      </c>
      <c r="Q63" s="171">
        <f>+'Phụ lục số 1'!Q63</f>
        <v>2399255</v>
      </c>
      <c r="R63" s="171"/>
      <c r="S63" s="171">
        <f>+'Phụ lục số 1'!S63</f>
        <v>0</v>
      </c>
      <c r="T63" s="1684">
        <f>SUM(U63:V63)</f>
        <v>2399255</v>
      </c>
      <c r="U63" s="1691">
        <f>+'Phụ lục số 1'!U63</f>
        <v>2399255</v>
      </c>
      <c r="V63" s="1691">
        <f>+'Phụ lục số 1'!V63</f>
        <v>0</v>
      </c>
      <c r="W63" s="157">
        <f>+'Phụ lục số 1'!W63</f>
        <v>2399255</v>
      </c>
      <c r="X63" s="155"/>
      <c r="Y63" s="157">
        <f>+'Phụ lục số 1'!Y63</f>
        <v>0</v>
      </c>
      <c r="Z63" s="157">
        <f t="shared" ref="Z63:Z64" si="188">SUM(AA63:AB63)</f>
        <v>2399255</v>
      </c>
      <c r="AA63" s="157">
        <f>+'Phụ lục số 1'!AA63</f>
        <v>2399255</v>
      </c>
      <c r="AB63" s="157">
        <f>+'Phụ lục số 1'!AB63</f>
        <v>0</v>
      </c>
      <c r="AC63" s="157">
        <f>+'Phụ lục số 1'!AC63</f>
        <v>2399255</v>
      </c>
      <c r="AD63" s="157"/>
      <c r="AE63" s="157">
        <f>+'Phụ lục số 1'!AE63</f>
        <v>0</v>
      </c>
      <c r="AF63" s="157">
        <f t="shared" ref="AF63:AF64" si="189">SUM(AG63:AH63)</f>
        <v>2399255</v>
      </c>
      <c r="AG63" s="157">
        <f>+'Phụ lục số 1'!AG63</f>
        <v>2399255</v>
      </c>
      <c r="AH63" s="5547">
        <f>+'Phụ lục số 1'!AH63</f>
        <v>0</v>
      </c>
      <c r="AI63" s="5526">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c r="BC63" s="1729">
        <f t="shared" si="13"/>
        <v>7197765</v>
      </c>
      <c r="BE63" s="1729">
        <f t="shared" si="14"/>
        <v>7197765</v>
      </c>
    </row>
    <row r="64" spans="1:74" s="5" customFormat="1" hidden="1">
      <c r="A64" s="5546" t="s">
        <v>101</v>
      </c>
      <c r="B64" s="1690" t="s">
        <v>102</v>
      </c>
      <c r="C64" s="263">
        <f>+'Phụ lục số 1'!C64</f>
        <v>132921</v>
      </c>
      <c r="D64" s="263">
        <f>+'Phụ lục số 1'!D64</f>
        <v>132921</v>
      </c>
      <c r="E64" s="1533"/>
      <c r="F64" s="170"/>
      <c r="G64" s="170">
        <f t="shared" ref="G64" si="190">SUM(H64:I64)</f>
        <v>132921</v>
      </c>
      <c r="H64" s="170">
        <f>+'Phụ lục số 1'!H64</f>
        <v>132921</v>
      </c>
      <c r="I64" s="170">
        <f>+'Phụ lục số 1'!I64</f>
        <v>0</v>
      </c>
      <c r="J64" s="182">
        <f>+'Phụ lục số 1'!J64</f>
        <v>132921</v>
      </c>
      <c r="K64" s="258"/>
      <c r="L64" s="258"/>
      <c r="M64" s="182"/>
      <c r="N64" s="171">
        <f t="shared" ref="N64" si="191">SUM(O64:P64)</f>
        <v>132921</v>
      </c>
      <c r="O64" s="5498">
        <f>+'Phụ lục số 1'!O64</f>
        <v>132921</v>
      </c>
      <c r="P64" s="5498">
        <f>+'Phụ lục số 1'!P64</f>
        <v>0</v>
      </c>
      <c r="Q64" s="171">
        <f>+'Phụ lục số 1'!Q64</f>
        <v>131239</v>
      </c>
      <c r="R64" s="171"/>
      <c r="S64" s="171">
        <f>+'Phụ lục số 1'!S64</f>
        <v>0</v>
      </c>
      <c r="T64" s="1684">
        <f>SUM(U64:V64)</f>
        <v>131239</v>
      </c>
      <c r="U64" s="1691">
        <f>+'Phụ lục số 1'!U64</f>
        <v>131239</v>
      </c>
      <c r="V64" s="1691">
        <f>+'Phụ lục số 1'!V64</f>
        <v>0</v>
      </c>
      <c r="W64" s="157">
        <f>+'Phụ lục số 1'!W64</f>
        <v>131239</v>
      </c>
      <c r="X64" s="155"/>
      <c r="Y64" s="157">
        <f>+'Phụ lục số 1'!Y64</f>
        <v>0</v>
      </c>
      <c r="Z64" s="157">
        <f t="shared" si="188"/>
        <v>131239</v>
      </c>
      <c r="AA64" s="157">
        <f>+'Phụ lục số 1'!AA64</f>
        <v>131239</v>
      </c>
      <c r="AB64" s="157">
        <f>+'Phụ lục số 1'!AB64</f>
        <v>0</v>
      </c>
      <c r="AC64" s="157">
        <f>+'Phụ lục số 1'!AC64</f>
        <v>131239</v>
      </c>
      <c r="AD64" s="157"/>
      <c r="AE64" s="157">
        <f>+'Phụ lục số 1'!AE64</f>
        <v>0</v>
      </c>
      <c r="AF64" s="157">
        <f t="shared" si="189"/>
        <v>131239</v>
      </c>
      <c r="AG64" s="157">
        <f>+'Phụ lục số 1'!AG64</f>
        <v>131239</v>
      </c>
      <c r="AH64" s="5547">
        <f>+'Phụ lục số 1'!AH64</f>
        <v>0</v>
      </c>
      <c r="AI64" s="5526">
        <f t="shared" ref="AI64" si="192">AG64</f>
        <v>131239</v>
      </c>
      <c r="AJ64" s="171"/>
      <c r="AK64" s="171"/>
      <c r="AL64" s="171">
        <f>SUM(AM64:AN64)</f>
        <v>131239</v>
      </c>
      <c r="AM64" s="171">
        <f>AI64</f>
        <v>131239</v>
      </c>
      <c r="AN64" s="171"/>
      <c r="AO64" s="171">
        <f t="shared" ref="AO64" si="193">AM64</f>
        <v>131239</v>
      </c>
      <c r="AP64" s="171"/>
      <c r="AQ64" s="171"/>
      <c r="AR64" s="171">
        <f>SUM(AS64:AT64)</f>
        <v>131239</v>
      </c>
      <c r="AS64" s="171">
        <f>AO64</f>
        <v>131239</v>
      </c>
      <c r="AT64" s="171"/>
      <c r="AU64" s="171">
        <f t="shared" ref="AU64" si="194">AS64</f>
        <v>131239</v>
      </c>
      <c r="AV64" s="171"/>
      <c r="AW64" s="171"/>
      <c r="AX64" s="171">
        <f>SUM(AY64:AZ64)</f>
        <v>131239</v>
      </c>
      <c r="AY64" s="171">
        <f>AU64</f>
        <v>131239</v>
      </c>
      <c r="AZ64" s="171"/>
      <c r="BC64" s="1729">
        <f t="shared" si="13"/>
        <v>393717</v>
      </c>
      <c r="BE64" s="1729">
        <f t="shared" si="14"/>
        <v>393717</v>
      </c>
    </row>
    <row r="65" spans="1:57" s="204" customFormat="1">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195">SUM(O66:O67)</f>
        <v>174485</v>
      </c>
      <c r="P65" s="202">
        <f t="shared" si="195"/>
        <v>0</v>
      </c>
      <c r="Q65" s="152">
        <f>SUM(Q66:Q67)</f>
        <v>221912</v>
      </c>
      <c r="R65" s="152"/>
      <c r="S65" s="152"/>
      <c r="T65" s="152">
        <f>SUM(T66:T67)</f>
        <v>221912</v>
      </c>
      <c r="U65" s="152">
        <f>SUM(U66:U67)</f>
        <v>221912</v>
      </c>
      <c r="V65" s="152">
        <f t="shared" ref="V65" si="196">SUM(V66:V67)</f>
        <v>0</v>
      </c>
      <c r="W65" s="152">
        <f>SUM(W66:W67)</f>
        <v>221912</v>
      </c>
      <c r="X65" s="152"/>
      <c r="Y65" s="152"/>
      <c r="Z65" s="152">
        <f>SUM(Z66:Z67)</f>
        <v>221912</v>
      </c>
      <c r="AA65" s="152">
        <f t="shared" ref="AA65:AB65" si="197">SUM(AA66:AA67)</f>
        <v>221912</v>
      </c>
      <c r="AB65" s="152">
        <f t="shared" si="197"/>
        <v>0</v>
      </c>
      <c r="AC65" s="152">
        <f>SUM(AC66:AC67)</f>
        <v>221912</v>
      </c>
      <c r="AD65" s="152"/>
      <c r="AE65" s="152"/>
      <c r="AF65" s="152">
        <f>SUM(AF66:AF67)</f>
        <v>221912</v>
      </c>
      <c r="AG65" s="152">
        <f t="shared" ref="AG65:AH65" si="198">SUM(AG66:AG67)</f>
        <v>221912</v>
      </c>
      <c r="AH65" s="5552">
        <f t="shared" si="198"/>
        <v>0</v>
      </c>
      <c r="AI65" s="5527">
        <f>SUM(AI66:AI67)</f>
        <v>221912</v>
      </c>
      <c r="AJ65" s="152"/>
      <c r="AK65" s="152"/>
      <c r="AL65" s="152">
        <f>SUM(AL66:AL67)</f>
        <v>221912</v>
      </c>
      <c r="AM65" s="152">
        <f t="shared" ref="AM65:AN65" si="199">SUM(AM66:AM67)</f>
        <v>221912</v>
      </c>
      <c r="AN65" s="152">
        <f t="shared" si="199"/>
        <v>0</v>
      </c>
      <c r="AO65" s="152">
        <f>SUM(AO66:AO67)</f>
        <v>221912</v>
      </c>
      <c r="AP65" s="152"/>
      <c r="AQ65" s="152"/>
      <c r="AR65" s="152">
        <f>SUM(AR66:AR67)</f>
        <v>221912</v>
      </c>
      <c r="AS65" s="152">
        <f t="shared" ref="AS65:AT65" si="200">SUM(AS66:AS67)</f>
        <v>221912</v>
      </c>
      <c r="AT65" s="152">
        <f t="shared" si="200"/>
        <v>0</v>
      </c>
      <c r="AU65" s="152">
        <f>SUM(AU66:AU67)</f>
        <v>221912</v>
      </c>
      <c r="AV65" s="152"/>
      <c r="AW65" s="152"/>
      <c r="AX65" s="152">
        <f>SUM(AX66:AX67)</f>
        <v>221912</v>
      </c>
      <c r="AY65" s="152">
        <f t="shared" ref="AY65:AZ65" si="201">SUM(AY66:AY67)</f>
        <v>221912</v>
      </c>
      <c r="AZ65" s="152">
        <f t="shared" si="201"/>
        <v>0</v>
      </c>
      <c r="BC65" s="1729">
        <f t="shared" si="13"/>
        <v>665736</v>
      </c>
      <c r="BE65" s="1729">
        <f t="shared" si="14"/>
        <v>665736</v>
      </c>
    </row>
    <row r="66" spans="1:57" s="5" customFormat="1" hidden="1">
      <c r="A66" s="5546" t="s">
        <v>99</v>
      </c>
      <c r="B66" s="1690" t="s">
        <v>103</v>
      </c>
      <c r="C66" s="263">
        <f>+'Phụ lục số 1'!C66</f>
        <v>72469</v>
      </c>
      <c r="D66" s="263">
        <f>+'Phụ lục số 1'!D66</f>
        <v>72469</v>
      </c>
      <c r="E66" s="1533"/>
      <c r="F66" s="170"/>
      <c r="G66" s="170">
        <f t="shared" ref="G66:G67" si="202">SUM(H66:I66)</f>
        <v>72469</v>
      </c>
      <c r="H66" s="170">
        <f>+'Phụ lục số 1'!H66</f>
        <v>72469</v>
      </c>
      <c r="I66" s="170">
        <f>+'Phụ lục số 1'!I66</f>
        <v>0</v>
      </c>
      <c r="J66" s="182">
        <f>+'Phụ lục số 1'!J66</f>
        <v>72469</v>
      </c>
      <c r="K66" s="258"/>
      <c r="L66" s="258"/>
      <c r="M66" s="182"/>
      <c r="N66" s="171">
        <f>SUM(O66:P66)</f>
        <v>72469</v>
      </c>
      <c r="O66" s="5498">
        <f>+'Phụ lục số 1'!O66</f>
        <v>72469</v>
      </c>
      <c r="P66" s="5498">
        <f>+'Phụ lục số 1'!P66</f>
        <v>0</v>
      </c>
      <c r="Q66" s="171">
        <f>+'Phụ lục số 1'!Q66</f>
        <v>186007</v>
      </c>
      <c r="R66" s="171"/>
      <c r="S66" s="171">
        <f>+'Phụ lục số 1'!S66</f>
        <v>0</v>
      </c>
      <c r="T66" s="1684">
        <f>SUM(U66:V66)</f>
        <v>186007</v>
      </c>
      <c r="U66" s="1691">
        <f>+'Phụ lục số 1'!U66</f>
        <v>186007</v>
      </c>
      <c r="V66" s="1691">
        <f>+'Phụ lục số 1'!V66</f>
        <v>0</v>
      </c>
      <c r="W66" s="157">
        <f>+'Phụ lục số 1'!W66</f>
        <v>186007</v>
      </c>
      <c r="X66" s="155"/>
      <c r="Y66" s="157">
        <f>+'Phụ lục số 1'!Y66</f>
        <v>0</v>
      </c>
      <c r="Z66" s="157">
        <f t="shared" ref="Z66:Z67" si="203">SUM(AA66:AB66)</f>
        <v>186007</v>
      </c>
      <c r="AA66" s="157">
        <f>+'Phụ lục số 1'!AA66</f>
        <v>186007</v>
      </c>
      <c r="AB66" s="157">
        <f>+'Phụ lục số 1'!AB66</f>
        <v>0</v>
      </c>
      <c r="AC66" s="157">
        <f>+'Phụ lục số 1'!AC66</f>
        <v>186007</v>
      </c>
      <c r="AD66" s="157"/>
      <c r="AE66" s="157">
        <f>+'Phụ lục số 1'!AE66</f>
        <v>0</v>
      </c>
      <c r="AF66" s="157">
        <f t="shared" ref="AF66:AF67" si="204">SUM(AG66:AH66)</f>
        <v>186007</v>
      </c>
      <c r="AG66" s="157">
        <f>+'Phụ lục số 1'!AG66</f>
        <v>186007</v>
      </c>
      <c r="AH66" s="5547">
        <f>+'Phụ lục số 1'!AH66</f>
        <v>0</v>
      </c>
      <c r="AI66" s="5526">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c r="BC66" s="1729">
        <f t="shared" si="13"/>
        <v>558021</v>
      </c>
      <c r="BE66" s="1729">
        <f t="shared" si="14"/>
        <v>558021</v>
      </c>
    </row>
    <row r="67" spans="1:57" s="5" customFormat="1" hidden="1">
      <c r="A67" s="5546" t="s">
        <v>101</v>
      </c>
      <c r="B67" s="1690" t="s">
        <v>102</v>
      </c>
      <c r="C67" s="263">
        <f>+'Phụ lục số 1'!C67</f>
        <v>102016</v>
      </c>
      <c r="D67" s="263">
        <f>+'Phụ lục số 1'!D67</f>
        <v>102016</v>
      </c>
      <c r="E67" s="1533"/>
      <c r="F67" s="170"/>
      <c r="G67" s="170">
        <f t="shared" si="202"/>
        <v>102016</v>
      </c>
      <c r="H67" s="170">
        <f>+'Phụ lục số 1'!H67</f>
        <v>102016</v>
      </c>
      <c r="I67" s="170">
        <f>+'Phụ lục số 1'!I67</f>
        <v>0</v>
      </c>
      <c r="J67" s="182">
        <f>+'Phụ lục số 1'!J67</f>
        <v>102016</v>
      </c>
      <c r="K67" s="258"/>
      <c r="L67" s="258"/>
      <c r="M67" s="182"/>
      <c r="N67" s="171">
        <f t="shared" ref="N67" si="205">SUM(O67:P67)</f>
        <v>102016</v>
      </c>
      <c r="O67" s="1680">
        <f>+'Phụ lục số 1'!O67</f>
        <v>102016</v>
      </c>
      <c r="P67" s="1680">
        <f>+'Phụ lục số 1'!P67</f>
        <v>0</v>
      </c>
      <c r="Q67" s="171">
        <f>+'Phụ lục số 6'!E18</f>
        <v>35905</v>
      </c>
      <c r="R67" s="171"/>
      <c r="S67" s="171"/>
      <c r="T67" s="171">
        <f>SUM(U67:V67)</f>
        <v>35905</v>
      </c>
      <c r="U67" s="171">
        <f>Q67</f>
        <v>35905</v>
      </c>
      <c r="V67" s="171"/>
      <c r="W67" s="157">
        <f>+'Phụ lục số 1'!W67</f>
        <v>35905</v>
      </c>
      <c r="X67" s="155"/>
      <c r="Y67" s="157">
        <f>+'Phụ lục số 1'!Y67</f>
        <v>0</v>
      </c>
      <c r="Z67" s="157">
        <f t="shared" si="203"/>
        <v>35905</v>
      </c>
      <c r="AA67" s="157">
        <f>+'Phụ lục số 1'!AA67</f>
        <v>35905</v>
      </c>
      <c r="AB67" s="157">
        <f>+'Phụ lục số 1'!AB67</f>
        <v>0</v>
      </c>
      <c r="AC67" s="157">
        <f>+'Phụ lục số 1'!AC67</f>
        <v>35905</v>
      </c>
      <c r="AD67" s="157"/>
      <c r="AE67" s="157">
        <f>+'Phụ lục số 1'!AE67</f>
        <v>0</v>
      </c>
      <c r="AF67" s="157">
        <f t="shared" si="204"/>
        <v>35905</v>
      </c>
      <c r="AG67" s="157">
        <f>+'Phụ lục số 1'!AG67</f>
        <v>35905</v>
      </c>
      <c r="AH67" s="5547">
        <f>+'Phụ lục số 1'!AH67</f>
        <v>0</v>
      </c>
      <c r="AI67" s="5526">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c r="BC67" s="1729">
        <f t="shared" si="13"/>
        <v>107715</v>
      </c>
      <c r="BE67" s="1729">
        <f t="shared" si="14"/>
        <v>107715</v>
      </c>
    </row>
    <row r="68" spans="1:57" s="204" customFormat="1">
      <c r="A68" s="5538">
        <v>3</v>
      </c>
      <c r="B68" s="1725" t="s">
        <v>106</v>
      </c>
      <c r="C68" s="152">
        <f>SUM(C69:C70)</f>
        <v>0</v>
      </c>
      <c r="D68" s="152">
        <f t="shared" ref="D68:I68" si="206">SUM(D69:D70)</f>
        <v>0</v>
      </c>
      <c r="E68" s="153"/>
      <c r="F68" s="154">
        <f t="shared" si="206"/>
        <v>0</v>
      </c>
      <c r="G68" s="154">
        <f t="shared" si="206"/>
        <v>0</v>
      </c>
      <c r="H68" s="154">
        <f t="shared" si="206"/>
        <v>0</v>
      </c>
      <c r="I68" s="154">
        <f t="shared" si="206"/>
        <v>0</v>
      </c>
      <c r="J68" s="202">
        <f>SUM(J69:J70)</f>
        <v>138559</v>
      </c>
      <c r="K68" s="203"/>
      <c r="L68" s="203"/>
      <c r="M68" s="202"/>
      <c r="N68" s="152">
        <f>SUM(N69:N70)</f>
        <v>138559</v>
      </c>
      <c r="O68" s="152">
        <f t="shared" ref="O68:P68" si="207">SUM(O69:O70)</f>
        <v>138559</v>
      </c>
      <c r="P68" s="202">
        <f t="shared" si="207"/>
        <v>0</v>
      </c>
      <c r="Q68" s="152">
        <f>SUM(Q69:Q70)</f>
        <v>284586</v>
      </c>
      <c r="R68" s="152"/>
      <c r="S68" s="152"/>
      <c r="T68" s="152">
        <f>SUM(T69:T70)</f>
        <v>284586</v>
      </c>
      <c r="U68" s="152">
        <f>SUM(U69:U70)</f>
        <v>284586</v>
      </c>
      <c r="V68" s="152">
        <f t="shared" ref="V68" si="208">SUM(V69:V70)</f>
        <v>0</v>
      </c>
      <c r="W68" s="152">
        <f>SUM(W69:W70)</f>
        <v>284586</v>
      </c>
      <c r="X68" s="152"/>
      <c r="Y68" s="152"/>
      <c r="Z68" s="152">
        <f>SUM(Z69:Z70)</f>
        <v>284586</v>
      </c>
      <c r="AA68" s="152">
        <f t="shared" ref="AA68:AB68" si="209">SUM(AA69:AA70)</f>
        <v>284586</v>
      </c>
      <c r="AB68" s="152">
        <f t="shared" si="209"/>
        <v>0</v>
      </c>
      <c r="AC68" s="152">
        <f>SUM(AC69:AC70)</f>
        <v>284586</v>
      </c>
      <c r="AD68" s="152"/>
      <c r="AE68" s="152"/>
      <c r="AF68" s="152">
        <f>SUM(AF69:AF70)</f>
        <v>284586</v>
      </c>
      <c r="AG68" s="152">
        <f t="shared" ref="AG68:AH68" si="210">SUM(AG69:AG70)</f>
        <v>284586</v>
      </c>
      <c r="AH68" s="5552">
        <f t="shared" si="210"/>
        <v>0</v>
      </c>
      <c r="AI68" s="5527">
        <f>SUM(AI69:AI70)</f>
        <v>284586</v>
      </c>
      <c r="AJ68" s="152"/>
      <c r="AK68" s="152"/>
      <c r="AL68" s="152">
        <f>SUM(AL69:AL70)</f>
        <v>284586</v>
      </c>
      <c r="AM68" s="152">
        <f t="shared" ref="AM68:AN68" si="211">SUM(AM69:AM70)</f>
        <v>284586</v>
      </c>
      <c r="AN68" s="152">
        <f t="shared" si="211"/>
        <v>0</v>
      </c>
      <c r="AO68" s="152">
        <f>SUM(AO69:AO70)</f>
        <v>284586</v>
      </c>
      <c r="AP68" s="152"/>
      <c r="AQ68" s="152"/>
      <c r="AR68" s="152">
        <f>SUM(AR69:AR70)</f>
        <v>284586</v>
      </c>
      <c r="AS68" s="152">
        <f t="shared" ref="AS68:AT68" si="212">SUM(AS69:AS70)</f>
        <v>284586</v>
      </c>
      <c r="AT68" s="152">
        <f t="shared" si="212"/>
        <v>0</v>
      </c>
      <c r="AU68" s="152">
        <f>SUM(AU69:AU70)</f>
        <v>284586</v>
      </c>
      <c r="AV68" s="152"/>
      <c r="AW68" s="152"/>
      <c r="AX68" s="152">
        <f>SUM(AX69:AX70)</f>
        <v>284586</v>
      </c>
      <c r="AY68" s="152">
        <f t="shared" ref="AY68:AZ68" si="213">SUM(AY69:AY70)</f>
        <v>284586</v>
      </c>
      <c r="AZ68" s="152">
        <f t="shared" si="213"/>
        <v>0</v>
      </c>
      <c r="BC68" s="1729">
        <f t="shared" si="13"/>
        <v>853758</v>
      </c>
      <c r="BE68" s="1729">
        <f t="shared" si="14"/>
        <v>853758</v>
      </c>
    </row>
    <row r="69" spans="1:57" s="5" customFormat="1" ht="16.2" hidden="1">
      <c r="A69" s="5546" t="s">
        <v>99</v>
      </c>
      <c r="B69" s="1690" t="s">
        <v>104</v>
      </c>
      <c r="C69" s="263">
        <f>+'Phụ lục số 1'!C69</f>
        <v>0</v>
      </c>
      <c r="D69" s="263">
        <f>+'Phụ lục số 1'!D69</f>
        <v>0</v>
      </c>
      <c r="E69" s="1533"/>
      <c r="F69" s="170"/>
      <c r="G69" s="170">
        <f t="shared" ref="G69:G72" si="214">SUM(H69:I69)</f>
        <v>0</v>
      </c>
      <c r="H69" s="170">
        <f>+'Phụ lục số 1'!H69</f>
        <v>0</v>
      </c>
      <c r="I69" s="170">
        <f>+'Phụ lục số 1'!I69</f>
        <v>0</v>
      </c>
      <c r="J69" s="1726">
        <f>C69+319368+190406-(319368+190406)</f>
        <v>0</v>
      </c>
      <c r="K69" s="258"/>
      <c r="L69" s="258"/>
      <c r="M69" s="182"/>
      <c r="N69" s="249">
        <f>SUM(O69:P69)</f>
        <v>0</v>
      </c>
      <c r="O69" s="1680">
        <f>+'Phụ lục số 1'!O69</f>
        <v>0</v>
      </c>
      <c r="P69" s="1680">
        <f>+'Phụ lục số 1'!P69</f>
        <v>0</v>
      </c>
      <c r="Q69" s="142">
        <f>+'Phụ lục số 1'!Q69</f>
        <v>0</v>
      </c>
      <c r="R69" s="142"/>
      <c r="S69" s="142">
        <f>+'Phụ lục số 1'!S69</f>
        <v>0</v>
      </c>
      <c r="T69" s="1686"/>
      <c r="U69" s="1686">
        <f>+'Phụ lục số 1'!U69</f>
        <v>0</v>
      </c>
      <c r="V69" s="1686">
        <f>+'Phụ lục số 1'!V69</f>
        <v>0</v>
      </c>
      <c r="W69" s="157">
        <f>+'Phụ lục số 1'!W69</f>
        <v>0</v>
      </c>
      <c r="X69" s="155"/>
      <c r="Y69" s="157">
        <f>+'Phụ lục số 1'!Y69</f>
        <v>0</v>
      </c>
      <c r="Z69" s="157">
        <f t="shared" ref="Z69:Z72" si="215">SUM(AA69:AB69)</f>
        <v>0</v>
      </c>
      <c r="AA69" s="157">
        <f>+'Phụ lục số 1'!AA69</f>
        <v>0</v>
      </c>
      <c r="AB69" s="157">
        <f>+'Phụ lục số 1'!AB69</f>
        <v>0</v>
      </c>
      <c r="AC69" s="157">
        <f>+'Phụ lục số 1'!AC69</f>
        <v>0</v>
      </c>
      <c r="AD69" s="157"/>
      <c r="AE69" s="157">
        <f>+'Phụ lục số 1'!AE69</f>
        <v>0</v>
      </c>
      <c r="AF69" s="157">
        <f t="shared" ref="AF69:AF70" si="216">SUM(AG69:AH69)</f>
        <v>0</v>
      </c>
      <c r="AG69" s="157">
        <f>+'Phụ lục số 1'!AG69</f>
        <v>0</v>
      </c>
      <c r="AH69" s="5547">
        <f>+'Phụ lục số 1'!AH69</f>
        <v>0</v>
      </c>
      <c r="AI69" s="5526">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c r="BC69" s="1729">
        <f t="shared" si="13"/>
        <v>0</v>
      </c>
      <c r="BE69" s="1729">
        <f t="shared" si="14"/>
        <v>0</v>
      </c>
    </row>
    <row r="70" spans="1:57" s="5" customFormat="1" ht="16.2" hidden="1">
      <c r="A70" s="5546" t="s">
        <v>101</v>
      </c>
      <c r="B70" s="1690" t="s">
        <v>105</v>
      </c>
      <c r="C70" s="263">
        <f>+'Phụ lục số 1'!C70</f>
        <v>0</v>
      </c>
      <c r="D70" s="263">
        <f>+'Phụ lục số 1'!D70</f>
        <v>0</v>
      </c>
      <c r="E70" s="1533"/>
      <c r="F70" s="170"/>
      <c r="G70" s="170">
        <f t="shared" si="214"/>
        <v>0</v>
      </c>
      <c r="H70" s="170">
        <f>+'Phụ lục số 1'!H70</f>
        <v>0</v>
      </c>
      <c r="I70" s="170">
        <f>+'Phụ lục số 1'!I70</f>
        <v>0</v>
      </c>
      <c r="J70" s="182">
        <f>+'Phụ lục số 1'!J70</f>
        <v>138559</v>
      </c>
      <c r="K70" s="258"/>
      <c r="L70" s="258"/>
      <c r="M70" s="182"/>
      <c r="N70" s="171">
        <f>SUM(O70:P70)</f>
        <v>138559</v>
      </c>
      <c r="O70" s="1680">
        <f>+'Phụ lục số 1'!O70</f>
        <v>138559</v>
      </c>
      <c r="P70" s="1680">
        <f>+'Phụ lục số 1'!P70</f>
        <v>0</v>
      </c>
      <c r="Q70" s="249">
        <f>+'Phụ lục số 1'!Q70</f>
        <v>284586</v>
      </c>
      <c r="R70" s="249"/>
      <c r="S70" s="249">
        <f>+'Phụ lục số 1'!S70</f>
        <v>0</v>
      </c>
      <c r="T70" s="1684">
        <f>SUM(U70:V70)</f>
        <v>284586</v>
      </c>
      <c r="U70" s="5497">
        <f>+'Phụ lục số 1'!U70</f>
        <v>284586</v>
      </c>
      <c r="V70" s="5497">
        <f>+'Phụ lục số 1'!V70</f>
        <v>0</v>
      </c>
      <c r="W70" s="157">
        <f>+'Phụ lục số 1'!W70</f>
        <v>284586</v>
      </c>
      <c r="X70" s="155"/>
      <c r="Y70" s="157">
        <f>+'Phụ lục số 1'!Y70</f>
        <v>0</v>
      </c>
      <c r="Z70" s="157">
        <f t="shared" si="215"/>
        <v>284586</v>
      </c>
      <c r="AA70" s="157">
        <f>+'Phụ lục số 1'!AA70</f>
        <v>284586</v>
      </c>
      <c r="AB70" s="157">
        <f>+'Phụ lục số 1'!AB70</f>
        <v>0</v>
      </c>
      <c r="AC70" s="157">
        <f>+'Phụ lục số 1'!AC70</f>
        <v>284586</v>
      </c>
      <c r="AD70" s="157"/>
      <c r="AE70" s="157">
        <f>+'Phụ lục số 1'!AE70</f>
        <v>0</v>
      </c>
      <c r="AF70" s="157">
        <f t="shared" si="216"/>
        <v>284586</v>
      </c>
      <c r="AG70" s="157">
        <f>+'Phụ lục số 1'!AG70</f>
        <v>284586</v>
      </c>
      <c r="AH70" s="5547">
        <f>+'Phụ lục số 1'!AH70</f>
        <v>0</v>
      </c>
      <c r="AI70" s="5526">
        <f>+AC70</f>
        <v>284586</v>
      </c>
      <c r="AJ70" s="171"/>
      <c r="AK70" s="171"/>
      <c r="AL70" s="171">
        <f>SUM(AM70:AN70)</f>
        <v>284586</v>
      </c>
      <c r="AM70" s="171">
        <f t="shared" ref="AM70" si="217">AI70</f>
        <v>284586</v>
      </c>
      <c r="AN70" s="171"/>
      <c r="AO70" s="171">
        <f>+AI70</f>
        <v>284586</v>
      </c>
      <c r="AP70" s="171"/>
      <c r="AQ70" s="171"/>
      <c r="AR70" s="171">
        <f>SUM(AS70:AT70)</f>
        <v>284586</v>
      </c>
      <c r="AS70" s="171">
        <f t="shared" ref="AS70" si="218">AO70</f>
        <v>284586</v>
      </c>
      <c r="AT70" s="171"/>
      <c r="AU70" s="171">
        <f>+AO70</f>
        <v>284586</v>
      </c>
      <c r="AV70" s="171"/>
      <c r="AW70" s="171"/>
      <c r="AX70" s="171">
        <f>SUM(AY70:AZ70)</f>
        <v>284586</v>
      </c>
      <c r="AY70" s="171">
        <f t="shared" ref="AY70" si="219">AU70</f>
        <v>284586</v>
      </c>
      <c r="AZ70" s="171"/>
      <c r="BC70" s="1729">
        <f t="shared" si="13"/>
        <v>853758</v>
      </c>
      <c r="BE70" s="1729">
        <f t="shared" si="14"/>
        <v>853758</v>
      </c>
    </row>
    <row r="71" spans="1:57" s="4" customFormat="1">
      <c r="A71" s="5534" t="s">
        <v>44</v>
      </c>
      <c r="B71" s="1713" t="s">
        <v>45</v>
      </c>
      <c r="C71" s="147">
        <f>+'Phụ lục số 1'!C71</f>
        <v>0</v>
      </c>
      <c r="D71" s="173">
        <f>+'Phụ lục số 1'!D71</f>
        <v>886000</v>
      </c>
      <c r="E71" s="176"/>
      <c r="F71" s="174"/>
      <c r="G71" s="174">
        <f t="shared" si="214"/>
        <v>886000</v>
      </c>
      <c r="H71" s="174">
        <f>+'Phụ lục số 1'!H71</f>
        <v>0</v>
      </c>
      <c r="I71" s="174">
        <f>+'Phụ lục số 1'!I71</f>
        <v>886000</v>
      </c>
      <c r="J71" s="744">
        <f>+'Phụ lục số 1'!J71</f>
        <v>1072301</v>
      </c>
      <c r="K71" s="158"/>
      <c r="L71" s="158"/>
      <c r="M71" s="161"/>
      <c r="N71" s="161">
        <f>SUM(O71:P71)</f>
        <v>1072301</v>
      </c>
      <c r="O71" s="5493">
        <f>+'Phụ lục số 1'!O71</f>
        <v>0</v>
      </c>
      <c r="P71" s="1683">
        <f>+'Phụ lục số 1'!P71</f>
        <v>1072301</v>
      </c>
      <c r="Q71" s="142">
        <f>+'Phụ lục số 1'!Q71</f>
        <v>941000.4</v>
      </c>
      <c r="R71" s="142"/>
      <c r="S71" s="142">
        <f>+'Phụ lục số 1'!S71</f>
        <v>0</v>
      </c>
      <c r="T71" s="1684">
        <f>SUM(U71:V71)</f>
        <v>941000.4</v>
      </c>
      <c r="U71" s="1686">
        <f>+'Phụ lục số 1'!U71</f>
        <v>0.40000000001455194</v>
      </c>
      <c r="V71" s="1686">
        <f>+'Phụ lục số 1'!V71</f>
        <v>941000</v>
      </c>
      <c r="W71" s="157">
        <f>+'Phụ lục số 1'!W71</f>
        <v>519900</v>
      </c>
      <c r="X71" s="155"/>
      <c r="Y71" s="157">
        <f>+'Phụ lục số 1'!Y71</f>
        <v>0</v>
      </c>
      <c r="Z71" s="157">
        <f t="shared" si="215"/>
        <v>519900</v>
      </c>
      <c r="AA71" s="157">
        <f>+'Phụ lục số 1'!AA71</f>
        <v>0</v>
      </c>
      <c r="AB71" s="157">
        <f>+'Phụ lục số 1'!AB71</f>
        <v>519900</v>
      </c>
      <c r="AC71" s="157">
        <f>+'Phụ lục số 1'!AC71</f>
        <v>626117.15251171635</v>
      </c>
      <c r="AD71" s="157"/>
      <c r="AE71" s="157">
        <f>+'Phụ lục số 1'!AE71</f>
        <v>0</v>
      </c>
      <c r="AF71" s="157">
        <f t="shared" ref="AF71:AF72" si="220">SUM(AG71:AH71)</f>
        <v>626117.15251171635</v>
      </c>
      <c r="AG71" s="157">
        <f>+'Phụ lục số 1'!AG71</f>
        <v>202308.50969414107</v>
      </c>
      <c r="AH71" s="5547">
        <f>+'Phụ lục số 1'!AH71</f>
        <v>423808.64281757525</v>
      </c>
      <c r="AI71" s="5524">
        <f>AL71</f>
        <v>0</v>
      </c>
      <c r="AJ71" s="142"/>
      <c r="AK71" s="142"/>
      <c r="AL71" s="142">
        <f>SUM(AM71:AN71)</f>
        <v>0</v>
      </c>
      <c r="AM71" s="142">
        <f>'Phụ lục số II'!Z34</f>
        <v>0</v>
      </c>
      <c r="AN71" s="142">
        <f>'Phụ lục số II'!AA34</f>
        <v>0</v>
      </c>
      <c r="AO71" s="142">
        <f>AR71</f>
        <v>0</v>
      </c>
      <c r="AP71" s="142"/>
      <c r="AQ71" s="142"/>
      <c r="AR71" s="142">
        <f>SUM(AS71:AT71)</f>
        <v>0</v>
      </c>
      <c r="AS71" s="142"/>
      <c r="AT71" s="142"/>
      <c r="AU71" s="142">
        <f>AX71</f>
        <v>0</v>
      </c>
      <c r="AV71" s="142"/>
      <c r="AW71" s="142"/>
      <c r="AX71" s="142">
        <f>SUM(AY71:AZ71)</f>
        <v>0</v>
      </c>
      <c r="AY71" s="142"/>
      <c r="AZ71" s="142"/>
      <c r="BC71" s="1729">
        <f t="shared" si="13"/>
        <v>2087017.5525117163</v>
      </c>
      <c r="BE71" s="1729">
        <f t="shared" si="14"/>
        <v>2087017.5525117163</v>
      </c>
    </row>
    <row r="72" spans="1:57" s="4" customFormat="1">
      <c r="A72" s="5534" t="s">
        <v>46</v>
      </c>
      <c r="B72" s="1713" t="s">
        <v>47</v>
      </c>
      <c r="C72" s="147">
        <f>+'Phụ lục số 1'!C72</f>
        <v>0</v>
      </c>
      <c r="D72" s="263">
        <f>+'Phụ lục số 1'!D72</f>
        <v>0</v>
      </c>
      <c r="E72" s="1533"/>
      <c r="F72" s="170"/>
      <c r="G72" s="170">
        <f t="shared" si="214"/>
        <v>0</v>
      </c>
      <c r="H72" s="170">
        <f>+'Phụ lục số 1'!H72</f>
        <v>0</v>
      </c>
      <c r="I72" s="170">
        <f>+'Phụ lục số 1'!I72</f>
        <v>0</v>
      </c>
      <c r="J72" s="160">
        <f>+'Phụ lục số 1'!J72</f>
        <v>0</v>
      </c>
      <c r="K72" s="158"/>
      <c r="L72" s="158"/>
      <c r="M72" s="161"/>
      <c r="N72" s="161">
        <f>SUM(O72:P72)</f>
        <v>0</v>
      </c>
      <c r="O72" s="5493">
        <f>+'Phụ lục số 1'!O72</f>
        <v>0</v>
      </c>
      <c r="P72" s="5493">
        <f>+'Phụ lục số 1'!P72</f>
        <v>0</v>
      </c>
      <c r="Q72" s="142">
        <f>+'Phụ lục số 1'!Q72</f>
        <v>0</v>
      </c>
      <c r="R72" s="142"/>
      <c r="S72" s="142">
        <f>+'Phụ lục số 1'!S72</f>
        <v>0</v>
      </c>
      <c r="T72" s="1686"/>
      <c r="U72" s="1686">
        <f>+'Phụ lục số 1'!U72</f>
        <v>0</v>
      </c>
      <c r="V72" s="1686">
        <f>+'Phụ lục số 1'!V72</f>
        <v>0</v>
      </c>
      <c r="W72" s="157">
        <f>+'Phụ lục số 1'!W72</f>
        <v>0</v>
      </c>
      <c r="X72" s="155"/>
      <c r="Y72" s="157">
        <f>+'Phụ lục số 1'!Y72</f>
        <v>0</v>
      </c>
      <c r="Z72" s="157">
        <f t="shared" si="215"/>
        <v>0</v>
      </c>
      <c r="AA72" s="157">
        <f>+'Phụ lục số 1'!AA72</f>
        <v>0</v>
      </c>
      <c r="AB72" s="157">
        <f>+'Phụ lục số 1'!AB72</f>
        <v>0</v>
      </c>
      <c r="AC72" s="157">
        <f>+'Phụ lục số 1'!AC72</f>
        <v>0</v>
      </c>
      <c r="AD72" s="157"/>
      <c r="AE72" s="157">
        <f>+'Phụ lục số 1'!AE72</f>
        <v>0</v>
      </c>
      <c r="AF72" s="157">
        <f t="shared" si="220"/>
        <v>0</v>
      </c>
      <c r="AG72" s="157">
        <f>+'Phụ lục số 1'!AG72</f>
        <v>0</v>
      </c>
      <c r="AH72" s="5547">
        <f>+'Phụ lục số 1'!AH72</f>
        <v>0</v>
      </c>
      <c r="AI72" s="5524">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c r="BC72" s="1729">
        <f t="shared" si="13"/>
        <v>0</v>
      </c>
      <c r="BE72" s="1729">
        <f t="shared" si="14"/>
        <v>0</v>
      </c>
    </row>
    <row r="73" spans="1:57"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1610">
        <f>SUM(V10,V57,V71,V72)</f>
        <v>4673300</v>
      </c>
      <c r="W73" s="1610">
        <f>SUM(W10,W57,W71,W72)</f>
        <v>23509975</v>
      </c>
      <c r="X73" s="5796"/>
      <c r="Y73" s="1610">
        <f>SUM(Y10,Y57,Y71,Y72)</f>
        <v>1201955.025536566</v>
      </c>
      <c r="Z73" s="1610">
        <f>SUM(Z10,Z57,Z71,Z72)</f>
        <v>22308019.974463433</v>
      </c>
      <c r="AA73" s="1610">
        <f>SUM(AA10,AA57,AA71,AA72)</f>
        <v>17414770.464828283</v>
      </c>
      <c r="AB73" s="1610">
        <f>SUM(AB10,AB57,AB71,AB72)</f>
        <v>4893249.5096351504</v>
      </c>
      <c r="AC73" s="1610">
        <f>SUM(AC10,AC57,AC71,AC72)</f>
        <v>24341192.152511716</v>
      </c>
      <c r="AD73" s="5557"/>
      <c r="AE73" s="1610">
        <f>SUM(AE10,AE57,AE71,AE72)</f>
        <v>1282977.652689477</v>
      </c>
      <c r="AF73" s="1610">
        <f>SUM(AF10,AF57,AF71,AF72)</f>
        <v>23058214.499822237</v>
      </c>
      <c r="AG73" s="1610">
        <f>SUM(AG10,AG57,AG71,AG72)</f>
        <v>17871125.956189539</v>
      </c>
      <c r="AH73" s="5558">
        <f>SUM(AH10,AH57,AH71,AH72)</f>
        <v>5187088.5436326973</v>
      </c>
      <c r="AI73" s="5528">
        <f>SUM(AI10,AI57,AI71,AI72)</f>
        <v>24431075</v>
      </c>
      <c r="AJ73" s="184"/>
      <c r="AK73" s="1696">
        <f>SUM(AK10,AK57,AK71,AK72)</f>
        <v>1319829.1829583978</v>
      </c>
      <c r="AL73" s="1696">
        <f>SUM(AL10,AL57,AL71,AL72)</f>
        <v>23111245.817041602</v>
      </c>
      <c r="AM73" s="1696">
        <f>SUM(AM10,AM57,AM71,AM72)</f>
        <v>17833865.457276195</v>
      </c>
      <c r="AN73" s="1696">
        <f>SUM(AN10,AN57,AN71,AN72)</f>
        <v>5277380.3597654067</v>
      </c>
      <c r="AO73" s="1696">
        <f>SUM(AO10,AO57,AO71,AO72)</f>
        <v>25558075</v>
      </c>
      <c r="AP73" s="184"/>
      <c r="AQ73" s="1696">
        <f>SUM(AQ10,AQ57,AQ71,AQ72)</f>
        <v>1401525.8967915375</v>
      </c>
      <c r="AR73" s="1696">
        <f>SUM(AR10,AR57,AR71,AR72)</f>
        <v>24156549.103208464</v>
      </c>
      <c r="AS73" s="1696">
        <f>SUM(AS10,AS57,AS71,AS72)</f>
        <v>18442288.645701215</v>
      </c>
      <c r="AT73" s="1696">
        <f>SUM(AT10,AT57,AT71,AT72)</f>
        <v>5714260.457507249</v>
      </c>
      <c r="AU73" s="1696">
        <f>SUM(AU10,AU57,AU71,AU72)</f>
        <v>27255075</v>
      </c>
      <c r="AV73" s="184"/>
      <c r="AW73" s="1696">
        <f>SUM(AW10,AW57,AW71,AW72)</f>
        <v>1493056.5205481686</v>
      </c>
      <c r="AX73" s="1696">
        <f>SUM(AX10,AX57,AX71,AX72)</f>
        <v>25762018.479451831</v>
      </c>
      <c r="AY73" s="1696">
        <f>SUM(AY10,AY57,AY71,AY72)</f>
        <v>19323368.373859253</v>
      </c>
      <c r="AZ73" s="1696">
        <f>SUM(AZ10,AZ57,AZ71,AZ72)</f>
        <v>6438650.1055925777</v>
      </c>
      <c r="BC73" s="1729">
        <f t="shared" si="13"/>
        <v>70795796.348511711</v>
      </c>
      <c r="BE73" s="1729">
        <f t="shared" si="14"/>
        <v>66925828.670285672</v>
      </c>
    </row>
    <row r="74" spans="1:57" ht="16.2" thickTop="1"/>
    <row r="75" spans="1:57">
      <c r="L75" s="1" t="s">
        <v>117</v>
      </c>
      <c r="T75" s="8"/>
    </row>
    <row r="76" spans="1:57">
      <c r="B76" s="1" t="str">
        <f>+'Phụ lục 1-HĐND'!B18</f>
        <v>Các khoản thu NSĐP hưởng 100 %</v>
      </c>
      <c r="G76" s="1703">
        <f>+G10-G77</f>
        <v>5309454.1620000005</v>
      </c>
      <c r="N76" s="1703">
        <f>+N10-N77</f>
        <v>5483415.8356352691</v>
      </c>
      <c r="T76" s="1703">
        <f>+T10-T77</f>
        <v>4796368.7960000001</v>
      </c>
      <c r="U76" s="1703">
        <f>+U10-U77</f>
        <v>2894068.7960000001</v>
      </c>
      <c r="V76" s="1703">
        <f>+V10-V77</f>
        <v>1902300</v>
      </c>
      <c r="Z76" s="1703">
        <f>+Z10-Z77</f>
        <v>5413944.974463433</v>
      </c>
      <c r="AF76" s="1703">
        <f>+AF10-AF77</f>
        <v>5597922.3473105226</v>
      </c>
    </row>
    <row r="77" spans="1:57">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1703">
        <f>+T14+T15+T16+T20+T21+T22+T26+T27+T31+T32+T33+T40+T28+T39</f>
        <v>3919150</v>
      </c>
      <c r="U77" s="1703">
        <f>+U14+U15+U16+U20+U21+U22+U26+U27+U31+U32+U33+U40+U28+U39</f>
        <v>2089150</v>
      </c>
      <c r="V77" s="1703">
        <f>+V14+V15+V16+V20+V21+V22+V26+V27+V31+V32+V33+V40+V28+V39</f>
        <v>1830000</v>
      </c>
      <c r="Z77" s="1703">
        <f>+Z14+Z15+Z16+Z20+Z21+Z22+Z26+Z27+Z31+Z32+Z33+Z40+Z28+Z39</f>
        <v>4471100</v>
      </c>
      <c r="AF77" s="1703">
        <f>+AF14+AF15+AF16+AF20+AF21+AF22+AF26+AF27+AF31+AF32+AF33+AF40+AF28+AF39</f>
        <v>4931100</v>
      </c>
    </row>
    <row r="78" spans="1:57">
      <c r="G78" s="6">
        <f>+G77-'Phụ lục 1-HĐND'!C19</f>
        <v>-342070</v>
      </c>
      <c r="J78" s="6">
        <f>132300+J58</f>
        <v>6749488</v>
      </c>
      <c r="Q78" s="6"/>
      <c r="T78" s="6"/>
    </row>
    <row r="79" spans="1:57">
      <c r="J79" s="1">
        <f>+J58*2%</f>
        <v>132343.76</v>
      </c>
      <c r="Q79" s="6">
        <f>+Q10-Q56</f>
        <v>10095000</v>
      </c>
      <c r="T79" s="1703"/>
    </row>
    <row r="80" spans="1:57">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21">+U84-U85</f>
        <v>13626048</v>
      </c>
      <c r="V86" s="16">
        <f t="shared" si="221"/>
        <v>3732300</v>
      </c>
      <c r="Z86" s="6"/>
      <c r="AF86" s="6"/>
      <c r="AL86" s="6"/>
      <c r="AR86" s="6"/>
      <c r="AX86" s="6"/>
    </row>
    <row r="87" spans="7:50">
      <c r="J87" s="1700"/>
      <c r="N87" s="6"/>
      <c r="T87" s="198">
        <f>+T61</f>
        <v>3036992</v>
      </c>
      <c r="U87" s="198">
        <f>+U61</f>
        <v>3036992</v>
      </c>
      <c r="V87" s="198">
        <f t="shared" ref="V87" si="222">+V61</f>
        <v>0</v>
      </c>
      <c r="Z87" s="6"/>
      <c r="AF87" s="6"/>
      <c r="AL87" s="6"/>
      <c r="AR87" s="6"/>
      <c r="AX87" s="6"/>
    </row>
    <row r="88" spans="7:50">
      <c r="J88" s="1700"/>
      <c r="N88" s="6"/>
      <c r="Q88" s="1" t="s">
        <v>641</v>
      </c>
      <c r="T88" s="16">
        <f>+T87+T86</f>
        <v>20395340</v>
      </c>
      <c r="U88" s="16">
        <f t="shared" ref="U88:V88" si="223">+U87+U86</f>
        <v>16663040</v>
      </c>
      <c r="V88" s="16">
        <f t="shared" si="223"/>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24">+U71+U60+U58+U10</f>
        <v>13849302.196</v>
      </c>
      <c r="V90" s="1729">
        <f t="shared" si="224"/>
        <v>4673300</v>
      </c>
      <c r="Z90" s="6"/>
      <c r="AF90" s="6"/>
      <c r="AL90" s="6"/>
      <c r="AR90" s="6"/>
      <c r="AX90" s="6"/>
    </row>
    <row r="91" spans="7:50">
      <c r="J91" s="5425">
        <f>+J90+J89</f>
        <v>9668054</v>
      </c>
      <c r="N91" s="6"/>
      <c r="Q91" s="1" t="s">
        <v>3259</v>
      </c>
      <c r="T91" s="6">
        <f>+T90-T84</f>
        <v>977554.19600000232</v>
      </c>
      <c r="U91" s="6">
        <f t="shared" ref="U91:V91" si="225">+U90-U84</f>
        <v>36554.196000000462</v>
      </c>
      <c r="V91" s="6">
        <f t="shared" si="225"/>
        <v>941000</v>
      </c>
      <c r="Z91" s="6"/>
      <c r="AF91" s="6"/>
      <c r="AL91" s="6"/>
      <c r="AR91" s="6"/>
      <c r="AX91" s="6"/>
    </row>
    <row r="92" spans="7:50">
      <c r="J92" s="1705">
        <f>+J91/D10</f>
        <v>0.99937976758249203</v>
      </c>
      <c r="N92" s="6"/>
      <c r="Q92" s="4" t="s">
        <v>641</v>
      </c>
      <c r="T92" s="1729">
        <f>+T90+T61</f>
        <v>21559594.196000002</v>
      </c>
      <c r="U92" s="1729">
        <f t="shared" ref="U92:V92" si="226">+U90+U61</f>
        <v>16886294.196000002</v>
      </c>
      <c r="V92" s="1729">
        <f t="shared" si="226"/>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27">+U92-U93-U94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28">+V95+V94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55" t="s">
        <v>1421</v>
      </c>
      <c r="N111" s="6055"/>
      <c r="O111" s="6055"/>
      <c r="P111" s="6055"/>
      <c r="S111" s="6057" t="s">
        <v>1423</v>
      </c>
      <c r="T111" s="6057"/>
      <c r="U111" s="6057"/>
      <c r="V111" s="6057"/>
      <c r="Y111" s="6055" t="s">
        <v>1426</v>
      </c>
      <c r="Z111" s="6055"/>
      <c r="AA111" s="6055"/>
      <c r="AB111" s="6055"/>
      <c r="AE111" s="6055" t="s">
        <v>1426</v>
      </c>
      <c r="AF111" s="6055"/>
      <c r="AG111" s="6055"/>
      <c r="AH111" s="6055"/>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29">+U116/2</f>
        <v>214867.5</v>
      </c>
      <c r="V117" s="1729">
        <f t="shared" si="229"/>
        <v>14150</v>
      </c>
      <c r="Y117" s="189" t="s">
        <v>1420</v>
      </c>
      <c r="Z117" s="1729">
        <f>+Z116/2</f>
        <v>404039.98723171698</v>
      </c>
      <c r="AA117" s="1729">
        <f t="shared" ref="AA117:AB117" si="230">+AA116/2</f>
        <v>166765.23241414176</v>
      </c>
      <c r="AB117" s="1729">
        <f t="shared" si="230"/>
        <v>237274.75481757522</v>
      </c>
      <c r="AE117" s="189" t="s">
        <v>1420</v>
      </c>
      <c r="AF117" s="1729">
        <f>+AF116/2</f>
        <v>316988.68642354431</v>
      </c>
      <c r="AG117" s="1729">
        <f>+AG116/2</f>
        <v>122023.49083355861</v>
      </c>
      <c r="AH117" s="1729">
        <f t="shared" ref="AH117" si="231">+AH116/2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55" t="s">
        <v>1422</v>
      </c>
      <c r="N119" s="6055"/>
      <c r="O119" s="6055"/>
      <c r="P119" s="6055"/>
      <c r="S119" s="6057" t="s">
        <v>1425</v>
      </c>
      <c r="T119" s="6057"/>
      <c r="U119" s="6057"/>
      <c r="V119" s="6057"/>
      <c r="Y119" s="6055" t="s">
        <v>1427</v>
      </c>
      <c r="Z119" s="6055"/>
      <c r="AA119" s="6055"/>
      <c r="AB119" s="6055"/>
      <c r="AE119" s="6055" t="s">
        <v>1427</v>
      </c>
      <c r="AF119" s="6055"/>
      <c r="AG119" s="6055"/>
      <c r="AH119" s="6055"/>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32">V122/P122</f>
        <v>0.94374982117822093</v>
      </c>
      <c r="Z123" s="1704">
        <f>Z122/T122</f>
        <v>1.1623640058677194</v>
      </c>
      <c r="AA123" s="1704">
        <f t="shared" ref="AA123:AB123" si="233">AA122/U122</f>
        <v>1.1426462481596822</v>
      </c>
      <c r="AB123" s="1704">
        <f t="shared" si="233"/>
        <v>1.1798353454733783</v>
      </c>
      <c r="AF123" s="1704">
        <f>AF122/Z122</f>
        <v>1.1095890136802073</v>
      </c>
      <c r="AG123" s="1704">
        <f t="shared" ref="AG123:AH123" si="234">AG122/AA122</f>
        <v>1.0913453591099325</v>
      </c>
      <c r="AH123" s="1704">
        <f t="shared" si="234"/>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56" t="s">
        <v>1428</v>
      </c>
      <c r="N128" s="6056"/>
      <c r="O128" s="6056"/>
      <c r="P128" s="6056"/>
      <c r="S128" s="6056" t="s">
        <v>1429</v>
      </c>
      <c r="T128" s="6056"/>
      <c r="U128" s="6056"/>
      <c r="V128" s="6056"/>
      <c r="Y128" s="6056" t="s">
        <v>1429</v>
      </c>
      <c r="Z128" s="6056"/>
      <c r="AA128" s="6056"/>
      <c r="AB128" s="6056"/>
      <c r="AE128" s="6056" t="s">
        <v>1429</v>
      </c>
      <c r="AF128" s="6056"/>
      <c r="AG128" s="6056"/>
      <c r="AH128" s="6056"/>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35">+U117*10%</f>
        <v>21486.75</v>
      </c>
      <c r="V134" s="6">
        <f t="shared" si="235"/>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62">
    <mergeCell ref="A1:V1"/>
    <mergeCell ref="A2:V2"/>
    <mergeCell ref="A3:V3"/>
    <mergeCell ref="AF5:AH5"/>
    <mergeCell ref="A6:A8"/>
    <mergeCell ref="B6:B8"/>
    <mergeCell ref="C6:I6"/>
    <mergeCell ref="J6:P6"/>
    <mergeCell ref="Q6:V6"/>
    <mergeCell ref="K7:L7"/>
    <mergeCell ref="W1:AR1"/>
    <mergeCell ref="W2:AR2"/>
    <mergeCell ref="W3:AR3"/>
    <mergeCell ref="AJ7:AJ8"/>
    <mergeCell ref="AK7:AK8"/>
    <mergeCell ref="AL7:AN7"/>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W7:AW8"/>
    <mergeCell ref="AX7:AZ7"/>
    <mergeCell ref="BM7:BQ7"/>
    <mergeCell ref="M111:P111"/>
    <mergeCell ref="S111:V111"/>
    <mergeCell ref="Y111:AB111"/>
    <mergeCell ref="AE111:AH111"/>
    <mergeCell ref="AO7:AO8"/>
    <mergeCell ref="AP7:AP8"/>
    <mergeCell ref="AQ7:AQ8"/>
    <mergeCell ref="AR7:AT7"/>
    <mergeCell ref="AU7:AU8"/>
    <mergeCell ref="AV7:AV8"/>
    <mergeCell ref="AE7:AE8"/>
    <mergeCell ref="AF7:AH7"/>
    <mergeCell ref="W7:W8"/>
    <mergeCell ref="M128:P128"/>
    <mergeCell ref="S128:V128"/>
    <mergeCell ref="Y128:AB128"/>
    <mergeCell ref="AE128:AH128"/>
    <mergeCell ref="AI7:AI8"/>
    <mergeCell ref="M119:P119"/>
    <mergeCell ref="S119:V119"/>
    <mergeCell ref="Y119:AB119"/>
    <mergeCell ref="AE119:AH119"/>
    <mergeCell ref="AD7:AD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55" orientation="landscape" r:id="rId1"/>
  <headerFooter>
    <oddHeader>&amp;R&amp;A</oddHeader>
    <oddFooter>&amp;C&amp;P/&amp;N</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0"/>
  <sheetViews>
    <sheetView workbookViewId="0">
      <selection activeCell="N30" sqref="N30"/>
    </sheetView>
  </sheetViews>
  <sheetFormatPr defaultColWidth="9.109375" defaultRowHeight="13.8"/>
  <cols>
    <col min="1" max="1" width="4.109375" style="1731" customWidth="1"/>
    <col min="2" max="2" width="71.44140625" style="30" customWidth="1"/>
    <col min="3" max="17" width="9.109375" style="30" customWidth="1"/>
    <col min="18" max="27" width="9.6640625" style="30" customWidth="1"/>
    <col min="28" max="42" width="8.33203125" style="30" hidden="1" customWidth="1"/>
    <col min="43" max="43" width="9.109375" style="30"/>
    <col min="44" max="44" width="11.33203125" style="30" bestFit="1" customWidth="1"/>
    <col min="45" max="16384" width="9.109375" style="30"/>
  </cols>
  <sheetData>
    <row r="1" spans="1:44" s="1" customFormat="1" ht="15.6">
      <c r="A1" s="6056" t="s">
        <v>1415</v>
      </c>
      <c r="B1" s="6056"/>
      <c r="C1" s="6056"/>
      <c r="D1" s="6056"/>
      <c r="E1" s="6056"/>
      <c r="F1" s="6056"/>
      <c r="G1" s="6056"/>
      <c r="H1" s="6056"/>
      <c r="I1" s="6056"/>
      <c r="J1" s="6056"/>
      <c r="K1" s="6056"/>
      <c r="L1" s="6056"/>
      <c r="M1" s="6056"/>
      <c r="N1" s="6056"/>
      <c r="O1" s="6056"/>
      <c r="P1" s="6056"/>
      <c r="Q1" s="6056"/>
      <c r="R1" s="6056"/>
      <c r="S1" s="6056"/>
      <c r="T1" s="6056"/>
      <c r="U1" s="6056"/>
      <c r="V1" s="6056"/>
      <c r="W1" s="6056"/>
      <c r="X1" s="6056"/>
      <c r="Y1" s="6056"/>
      <c r="Z1" s="6056"/>
      <c r="AA1" s="6056"/>
      <c r="AB1" s="6056"/>
      <c r="AC1" s="6056"/>
      <c r="AD1" s="6056"/>
      <c r="AE1" s="6056"/>
      <c r="AF1" s="6056"/>
      <c r="AG1" s="6056"/>
      <c r="AH1" s="6056"/>
    </row>
    <row r="2" spans="1:44" s="1" customFormat="1" ht="15.6">
      <c r="A2" s="6056" t="s">
        <v>3267</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row>
    <row r="3" spans="1:44" s="1" customFormat="1" ht="15.6">
      <c r="A3" s="6059" t="str">
        <f>+'Phụ lục số 1'!A3:V3</f>
        <v>(Kèm theo Báo cáo số     462/BC-UBND ngày 22 tháng 11 năm 2024 của Ủy ban nhân dân tỉnh Đồng Tháp)</v>
      </c>
      <c r="B3" s="6059"/>
      <c r="C3" s="6059"/>
      <c r="D3" s="6059"/>
      <c r="E3" s="6059"/>
      <c r="F3" s="6059"/>
      <c r="G3" s="6059"/>
      <c r="H3" s="6059"/>
      <c r="I3" s="6059"/>
      <c r="J3" s="6059"/>
      <c r="K3" s="6059"/>
      <c r="L3" s="6059"/>
      <c r="M3" s="6059"/>
      <c r="N3" s="6059"/>
      <c r="O3" s="6059"/>
      <c r="P3" s="6059"/>
      <c r="Q3" s="6059"/>
      <c r="R3" s="6059"/>
      <c r="S3" s="6059"/>
      <c r="T3" s="6059"/>
      <c r="U3" s="6059"/>
      <c r="V3" s="6059"/>
      <c r="W3" s="6059"/>
      <c r="X3" s="6059"/>
      <c r="Y3" s="6059"/>
      <c r="Z3" s="6059"/>
      <c r="AA3" s="6059"/>
      <c r="AB3" s="6059"/>
      <c r="AC3" s="6059"/>
      <c r="AD3" s="6059"/>
      <c r="AE3" s="6059"/>
      <c r="AF3" s="6059"/>
      <c r="AG3" s="6059"/>
      <c r="AH3" s="6059"/>
    </row>
    <row r="4" spans="1:44">
      <c r="B4" s="30" t="s">
        <v>117</v>
      </c>
      <c r="H4" s="32"/>
      <c r="K4" s="30" t="s">
        <v>117</v>
      </c>
      <c r="L4" s="1807"/>
      <c r="M4" s="4802"/>
      <c r="N4" s="4801"/>
      <c r="O4" s="1734"/>
      <c r="P4" s="1733"/>
      <c r="W4" s="32"/>
    </row>
    <row r="5" spans="1:44" ht="14.4" thickBot="1">
      <c r="C5" s="2172"/>
      <c r="D5" s="1732"/>
      <c r="E5" s="32"/>
      <c r="H5" s="2194"/>
      <c r="I5" s="2195">
        <f>+H24/C24</f>
        <v>1.1805673046257137</v>
      </c>
      <c r="J5" s="2195">
        <f>+H24/D24</f>
        <v>1.1443970047408194</v>
      </c>
      <c r="K5" s="5427"/>
      <c r="L5" s="2194"/>
      <c r="M5" s="2196" t="s">
        <v>417</v>
      </c>
      <c r="N5" s="2195" t="s">
        <v>417</v>
      </c>
      <c r="O5" s="6537" t="s">
        <v>246</v>
      </c>
      <c r="P5" s="6538"/>
      <c r="Q5" s="6538"/>
      <c r="W5" s="32"/>
      <c r="AB5" s="32">
        <f>+AB12-W12</f>
        <v>145192.33059160877</v>
      </c>
      <c r="AH5" s="32">
        <f>+AG12-AB12</f>
        <v>147933.86194426846</v>
      </c>
      <c r="AM5" s="32">
        <f>+AL12-AG12</f>
        <v>137051.38857663446</v>
      </c>
    </row>
    <row r="6" spans="1:44" s="1735" customFormat="1" ht="15" customHeight="1" thickTop="1">
      <c r="A6" s="6539" t="s">
        <v>136</v>
      </c>
      <c r="B6" s="6541" t="s">
        <v>137</v>
      </c>
      <c r="C6" s="6542" t="s">
        <v>140</v>
      </c>
      <c r="D6" s="6543"/>
      <c r="E6" s="6543"/>
      <c r="F6" s="6543"/>
      <c r="G6" s="6544"/>
      <c r="H6" s="6545" t="s">
        <v>120</v>
      </c>
      <c r="I6" s="6545"/>
      <c r="J6" s="6545"/>
      <c r="K6" s="6545"/>
      <c r="L6" s="6545"/>
      <c r="M6" s="6545" t="s">
        <v>121</v>
      </c>
      <c r="N6" s="6545"/>
      <c r="O6" s="6545"/>
      <c r="P6" s="6545"/>
      <c r="Q6" s="6545"/>
      <c r="R6" s="6535" t="s">
        <v>187</v>
      </c>
      <c r="S6" s="6535"/>
      <c r="T6" s="6535"/>
      <c r="U6" s="6535"/>
      <c r="V6" s="6535"/>
      <c r="W6" s="6535" t="s">
        <v>188</v>
      </c>
      <c r="X6" s="6535"/>
      <c r="Y6" s="6535"/>
      <c r="Z6" s="6535"/>
      <c r="AA6" s="6536"/>
      <c r="AB6" s="6076" t="s">
        <v>189</v>
      </c>
      <c r="AC6" s="6077"/>
      <c r="AD6" s="6077"/>
      <c r="AE6" s="6077"/>
      <c r="AF6" s="6077"/>
      <c r="AG6" s="6077" t="s">
        <v>190</v>
      </c>
      <c r="AH6" s="6077"/>
      <c r="AI6" s="6077"/>
      <c r="AJ6" s="6077"/>
      <c r="AK6" s="6077"/>
      <c r="AL6" s="6077" t="s">
        <v>193</v>
      </c>
      <c r="AM6" s="6077"/>
      <c r="AN6" s="6077"/>
      <c r="AO6" s="6077"/>
      <c r="AP6" s="6077"/>
    </row>
    <row r="7" spans="1:44" s="29" customFormat="1" ht="15" customHeight="1">
      <c r="A7" s="6540"/>
      <c r="B7" s="6071"/>
      <c r="C7" s="6070" t="s">
        <v>119</v>
      </c>
      <c r="D7" s="6070" t="s">
        <v>118</v>
      </c>
      <c r="E7" s="6070" t="s">
        <v>69</v>
      </c>
      <c r="F7" s="6074" t="s">
        <v>186</v>
      </c>
      <c r="G7" s="6076"/>
      <c r="H7" s="6077" t="s">
        <v>59</v>
      </c>
      <c r="I7" s="6077" t="s">
        <v>69</v>
      </c>
      <c r="J7" s="6077" t="s">
        <v>1417</v>
      </c>
      <c r="K7" s="6077" t="s">
        <v>186</v>
      </c>
      <c r="L7" s="6077"/>
      <c r="M7" s="6077" t="s">
        <v>59</v>
      </c>
      <c r="N7" s="6077" t="s">
        <v>69</v>
      </c>
      <c r="O7" s="6077" t="s">
        <v>194</v>
      </c>
      <c r="P7" s="6077" t="s">
        <v>186</v>
      </c>
      <c r="Q7" s="6077"/>
      <c r="R7" s="6077" t="s">
        <v>59</v>
      </c>
      <c r="S7" s="6077" t="s">
        <v>69</v>
      </c>
      <c r="T7" s="6077" t="s">
        <v>195</v>
      </c>
      <c r="U7" s="6077" t="s">
        <v>186</v>
      </c>
      <c r="V7" s="6077"/>
      <c r="W7" s="6077" t="s">
        <v>59</v>
      </c>
      <c r="X7" s="6077" t="s">
        <v>69</v>
      </c>
      <c r="Y7" s="6077" t="s">
        <v>196</v>
      </c>
      <c r="Z7" s="6077" t="s">
        <v>186</v>
      </c>
      <c r="AA7" s="6534"/>
      <c r="AB7" s="6076" t="s">
        <v>59</v>
      </c>
      <c r="AC7" s="6077" t="s">
        <v>69</v>
      </c>
      <c r="AD7" s="6077" t="s">
        <v>197</v>
      </c>
      <c r="AE7" s="6077" t="s">
        <v>186</v>
      </c>
      <c r="AF7" s="6077"/>
      <c r="AG7" s="6077" t="s">
        <v>59</v>
      </c>
      <c r="AH7" s="6077" t="s">
        <v>69</v>
      </c>
      <c r="AI7" s="6077" t="s">
        <v>198</v>
      </c>
      <c r="AJ7" s="6077" t="s">
        <v>186</v>
      </c>
      <c r="AK7" s="6077"/>
      <c r="AL7" s="6077" t="s">
        <v>59</v>
      </c>
      <c r="AM7" s="6077" t="s">
        <v>69</v>
      </c>
      <c r="AN7" s="6077" t="s">
        <v>199</v>
      </c>
      <c r="AO7" s="6077" t="s">
        <v>186</v>
      </c>
      <c r="AP7" s="6077"/>
    </row>
    <row r="8" spans="1:44" s="29" customFormat="1" ht="96" customHeight="1">
      <c r="A8" s="6540"/>
      <c r="B8" s="6072"/>
      <c r="C8" s="6072"/>
      <c r="D8" s="6072"/>
      <c r="E8" s="6072"/>
      <c r="F8" s="1736" t="s">
        <v>138</v>
      </c>
      <c r="G8" s="1736" t="s">
        <v>139</v>
      </c>
      <c r="H8" s="6077"/>
      <c r="I8" s="6077"/>
      <c r="J8" s="6077"/>
      <c r="K8" s="1736" t="s">
        <v>138</v>
      </c>
      <c r="L8" s="1736" t="s">
        <v>139</v>
      </c>
      <c r="M8" s="6077"/>
      <c r="N8" s="6077"/>
      <c r="O8" s="6077"/>
      <c r="P8" s="1736" t="s">
        <v>138</v>
      </c>
      <c r="Q8" s="1736" t="s">
        <v>139</v>
      </c>
      <c r="R8" s="6077"/>
      <c r="S8" s="6077"/>
      <c r="T8" s="6077"/>
      <c r="U8" s="1736" t="s">
        <v>138</v>
      </c>
      <c r="V8" s="1736" t="s">
        <v>139</v>
      </c>
      <c r="W8" s="6077"/>
      <c r="X8" s="6077"/>
      <c r="Y8" s="6077"/>
      <c r="Z8" s="1736" t="s">
        <v>138</v>
      </c>
      <c r="AA8" s="5574" t="s">
        <v>139</v>
      </c>
      <c r="AB8" s="6076"/>
      <c r="AC8" s="6077"/>
      <c r="AD8" s="6077"/>
      <c r="AE8" s="1736" t="s">
        <v>138</v>
      </c>
      <c r="AF8" s="1736" t="s">
        <v>139</v>
      </c>
      <c r="AG8" s="6077"/>
      <c r="AH8" s="6077"/>
      <c r="AI8" s="6077"/>
      <c r="AJ8" s="1736" t="s">
        <v>138</v>
      </c>
      <c r="AK8" s="1736" t="s">
        <v>139</v>
      </c>
      <c r="AL8" s="6077"/>
      <c r="AM8" s="6077"/>
      <c r="AN8" s="6077"/>
      <c r="AO8" s="1736" t="s">
        <v>138</v>
      </c>
      <c r="AP8" s="1736" t="s">
        <v>139</v>
      </c>
    </row>
    <row r="9" spans="1:44" s="124" customFormat="1">
      <c r="A9" s="5575" t="s">
        <v>1</v>
      </c>
      <c r="B9" s="1737" t="s">
        <v>191</v>
      </c>
      <c r="C9" s="194">
        <f>C10+C41+C51</f>
        <v>17419409</v>
      </c>
      <c r="D9" s="194">
        <f>D10+D41+D51</f>
        <v>19035462.956711084</v>
      </c>
      <c r="E9" s="1739">
        <f>D9/$D$9*100</f>
        <v>100</v>
      </c>
      <c r="F9" s="194">
        <f>F10+F41+F51</f>
        <v>9127060.061999999</v>
      </c>
      <c r="G9" s="194">
        <f>G10+G41+G51</f>
        <v>9908402.8947110809</v>
      </c>
      <c r="H9" s="194">
        <f>H10+H41+H51</f>
        <v>19712858.656711083</v>
      </c>
      <c r="I9" s="1740">
        <f>H9/$H$9*100</f>
        <v>100</v>
      </c>
      <c r="J9" s="1741">
        <f>H9/D9</f>
        <v>1.0355859850396325</v>
      </c>
      <c r="K9" s="194">
        <f>K10+K41+K51</f>
        <v>9618154.7620000001</v>
      </c>
      <c r="L9" s="194">
        <f>L10+L41+L51</f>
        <v>10094703.894711081</v>
      </c>
      <c r="M9" s="1742">
        <f>M10+M41+M51+M52</f>
        <v>21372894.196000002</v>
      </c>
      <c r="N9" s="1740">
        <f>M9/$M$9*100</f>
        <v>100</v>
      </c>
      <c r="O9" s="1743">
        <f>M9/D9</f>
        <v>1.122793506236466</v>
      </c>
      <c r="P9" s="1742">
        <f>P10+P41+P51+P52</f>
        <v>9621242.2890000008</v>
      </c>
      <c r="Q9" s="1742">
        <f>Q10+Q41+Q51+Q52</f>
        <v>11751651.907000003</v>
      </c>
      <c r="R9" s="194">
        <f>R10+R41+R51</f>
        <v>22308019.975340258</v>
      </c>
      <c r="S9" s="1740">
        <f>R9/$R$9*100</f>
        <v>100</v>
      </c>
      <c r="T9" s="1741">
        <f>R9/M9</f>
        <v>1.0437528848814153</v>
      </c>
      <c r="U9" s="194">
        <f>U10+U41+U51</f>
        <v>10336418.558390718</v>
      </c>
      <c r="V9" s="194">
        <f>V10+V41+V51</f>
        <v>11971601.41694954</v>
      </c>
      <c r="W9" s="194">
        <f>W10+W41+W51</f>
        <v>23058214.497882977</v>
      </c>
      <c r="X9" s="1740">
        <f>W9/$W$9*100</f>
        <v>100</v>
      </c>
      <c r="Y9" s="1744">
        <f>W9/R9</f>
        <v>1.0336289156712248</v>
      </c>
      <c r="Z9" s="194">
        <f>Z10+Z41+Z51</f>
        <v>10792774.046539402</v>
      </c>
      <c r="AA9" s="5811">
        <f>AA10+AA41+AA51</f>
        <v>12265440.451343574</v>
      </c>
      <c r="AB9" s="5559">
        <f>AB10+AB41+AB51</f>
        <v>25500649.511732548</v>
      </c>
      <c r="AC9" s="1740">
        <f>AB9/$AB$9*100</f>
        <v>100</v>
      </c>
      <c r="AD9" s="1745">
        <f>AB9/W9</f>
        <v>1.10592472431349</v>
      </c>
      <c r="AE9" s="194">
        <f>AE10+AE41+AE51</f>
        <v>12239086.103691427</v>
      </c>
      <c r="AF9" s="194">
        <f>AF10+AF41+AF51</f>
        <v>13261563.408041129</v>
      </c>
      <c r="AG9" s="194">
        <f>AG10+AG41+AG51</f>
        <v>27267151.853870638</v>
      </c>
      <c r="AH9" s="1740">
        <f>AG9/$AG$9*100</f>
        <v>100</v>
      </c>
      <c r="AI9" s="1746">
        <f>AG9/AB9</f>
        <v>1.0692728372006894</v>
      </c>
      <c r="AJ9" s="194">
        <f>AJ10+AJ41+AJ51</f>
        <v>13128257.672114309</v>
      </c>
      <c r="AK9" s="194">
        <f>AK10+AK41+AK51</f>
        <v>14138894.181756323</v>
      </c>
      <c r="AL9" s="194">
        <f>AL10+AL41+AL51</f>
        <v>28922074.478782006</v>
      </c>
      <c r="AM9" s="1740">
        <f>AL9/$AL$9*100</f>
        <v>100</v>
      </c>
      <c r="AN9" s="1746">
        <f>AL9/AG9</f>
        <v>1.0606929038199657</v>
      </c>
      <c r="AO9" s="194">
        <f>AO10+AO41+AO51</f>
        <v>13873718.612223394</v>
      </c>
      <c r="AP9" s="194">
        <f>AP10+AP41+AP51</f>
        <v>15048355.866558606</v>
      </c>
      <c r="AR9" s="5138">
        <f>+W9+R9+M9</f>
        <v>66739128.669223242</v>
      </c>
    </row>
    <row r="10" spans="1:44" s="31" customFormat="1">
      <c r="A10" s="5577" t="s">
        <v>3</v>
      </c>
      <c r="B10" s="34" t="s">
        <v>192</v>
      </c>
      <c r="C10" s="1570">
        <f>C11+C23+C37+C38+C39+C40</f>
        <v>15430433</v>
      </c>
      <c r="D10" s="1570">
        <f>D11+D23+D37+D38+D39+D40</f>
        <v>17046486.956711084</v>
      </c>
      <c r="E10" s="1748">
        <f>D10/$D$9*100</f>
        <v>89.551207635332176</v>
      </c>
      <c r="F10" s="1570">
        <f>F11+F23+F37+F38+F39+F40</f>
        <v>7138084.0619999999</v>
      </c>
      <c r="G10" s="1570">
        <f>G11+G23+G37+G38+G39+G40</f>
        <v>9908402.8947110809</v>
      </c>
      <c r="H10" s="195">
        <f>H11+H23+H37+H38+H39+H40</f>
        <v>17585323.656711083</v>
      </c>
      <c r="I10" s="1749">
        <f>H10/$H$9*100</f>
        <v>89.207374551555986</v>
      </c>
      <c r="J10" s="1750">
        <f>H10/D10</f>
        <v>1.0316098385179513</v>
      </c>
      <c r="K10" s="195">
        <f>K11+K23+K37+K38+K39+K40</f>
        <v>7490619.7620000001</v>
      </c>
      <c r="L10" s="195">
        <f>L11+L23+L37+L38+L39+L40</f>
        <v>10094703.894711081</v>
      </c>
      <c r="M10" s="1751">
        <f>M11+M23+M37+M38+M39+M40</f>
        <v>18330348.400000002</v>
      </c>
      <c r="N10" s="1749">
        <f>M10/$M$9*100</f>
        <v>85.76446517678724</v>
      </c>
      <c r="O10" s="1752">
        <f t="shared" ref="O10:O41" si="0">M10/D10</f>
        <v>1.075315309632374</v>
      </c>
      <c r="P10" s="1751">
        <f>P11+P23+P37+P38+P39+P40</f>
        <v>6833081.4930000007</v>
      </c>
      <c r="Q10" s="1751">
        <f>Q11+Q23+Q37+Q38+Q39+Q40</f>
        <v>11497266.907000003</v>
      </c>
      <c r="R10" s="1570">
        <f>R11+R23+R37+R38+R39+R40</f>
        <v>19271027.975340258</v>
      </c>
      <c r="S10" s="1753">
        <f>R10/$R$9*100</f>
        <v>86.386097899512578</v>
      </c>
      <c r="T10" s="1754">
        <f>R10/M10</f>
        <v>1.0513181503598839</v>
      </c>
      <c r="U10" s="1570">
        <f>U11+U23+U37+U38+U39+U40</f>
        <v>7553811.558390717</v>
      </c>
      <c r="V10" s="1570">
        <f>V11+V23+V37+V38+V39+V40</f>
        <v>11717216.41694954</v>
      </c>
      <c r="W10" s="1570">
        <f>W11+W23+W37+W38+W39+W40</f>
        <v>20021222.497882977</v>
      </c>
      <c r="X10" s="1753">
        <f>W10/$W$9*100</f>
        <v>86.829023555666751</v>
      </c>
      <c r="Y10" s="1755">
        <f>W10/R10</f>
        <v>1.0389286198693026</v>
      </c>
      <c r="Z10" s="1570">
        <f>Z11+Z23+Z37+Z38+Z39+Z40</f>
        <v>8010167.0465394016</v>
      </c>
      <c r="AA10" s="1837">
        <f>AA11+AA23+AA37+AA38+AA39+AA40</f>
        <v>12011055.451343574</v>
      </c>
      <c r="AB10" s="5560">
        <f>AB11+AB23+AB37+AB38+AB39+AB40</f>
        <v>22718042.511732548</v>
      </c>
      <c r="AC10" s="1753">
        <f>AB10/$AB$9*100</f>
        <v>89.088093623969243</v>
      </c>
      <c r="AD10" s="1756">
        <f>AB10/W10</f>
        <v>1.1346980692180375</v>
      </c>
      <c r="AE10" s="1570">
        <f>AE11+AE23+AE37+AE38+AE39+AE40</f>
        <v>9456479.103691427</v>
      </c>
      <c r="AF10" s="1570">
        <f>AF11+AF23+AF37+AF38+AF39+AF40</f>
        <v>13261563.408041129</v>
      </c>
      <c r="AG10" s="1570">
        <f>AG11+AG23+AG37+AG38+AG39+AG40</f>
        <v>24484544.853870638</v>
      </c>
      <c r="AH10" s="1753">
        <f>AG10/$AG$9*100</f>
        <v>89.79502144223764</v>
      </c>
      <c r="AI10" s="1757">
        <f>AG10/AB10</f>
        <v>1.0777576827416269</v>
      </c>
      <c r="AJ10" s="1570">
        <f>AJ11+AJ23+AJ37+AJ38+AJ39+AJ40</f>
        <v>10345650.672114309</v>
      </c>
      <c r="AK10" s="1570">
        <f>AK11+AK23+AK37+AK38+AK39+AK40</f>
        <v>14138894.181756323</v>
      </c>
      <c r="AL10" s="1570">
        <f>AL11+AL23+AL37+AL38+AL39+AL40</f>
        <v>26139467.478782006</v>
      </c>
      <c r="AM10" s="1753">
        <f>AL10/$AL$9*100</f>
        <v>90.378950852777194</v>
      </c>
      <c r="AN10" s="1757">
        <f>AL10/AG10</f>
        <v>1.0675904998352359</v>
      </c>
      <c r="AO10" s="1570">
        <f>AO11+AO23+AO37+AO38+AO39+AO40</f>
        <v>11091111.612223394</v>
      </c>
      <c r="AP10" s="1570">
        <f>AP11+AP23+AP37+AP38+AP39+AP40</f>
        <v>15048355.866558606</v>
      </c>
      <c r="AR10" s="5138">
        <f t="shared" ref="AR10:AR54" si="1">+W10+R10+M10</f>
        <v>57622598.873223245</v>
      </c>
    </row>
    <row r="11" spans="1:44">
      <c r="A11" s="5577">
        <v>1</v>
      </c>
      <c r="B11" s="1759" t="s">
        <v>150</v>
      </c>
      <c r="C11" s="1760">
        <f>SUM(C12:C18)</f>
        <v>4690186</v>
      </c>
      <c r="D11" s="1760">
        <f>SUM(D12:D18)</f>
        <v>5331240.1620000005</v>
      </c>
      <c r="E11" s="1748">
        <f t="shared" ref="E11:E47" si="2">D11/$D$9*100</f>
        <v>28.00688469791293</v>
      </c>
      <c r="F11" s="1760">
        <f>SUM(F12:F18)</f>
        <v>3607240.162</v>
      </c>
      <c r="G11" s="1760">
        <f>SUM(G12:G18)</f>
        <v>1724000</v>
      </c>
      <c r="H11" s="1761">
        <f>SUM(H12:H18)</f>
        <v>5531240.1620000005</v>
      </c>
      <c r="I11" s="1749">
        <f>H11/$H$9*100</f>
        <v>28.059046424080837</v>
      </c>
      <c r="J11" s="1750">
        <f t="shared" ref="J11:J54" si="3">H11/D11</f>
        <v>1.0375147233894206</v>
      </c>
      <c r="K11" s="1761">
        <f>SUM(K12:K18)</f>
        <v>3807240.162</v>
      </c>
      <c r="L11" s="1761">
        <f>SUM(L12:L18)</f>
        <v>1724000</v>
      </c>
      <c r="M11" s="1762">
        <f>+M12+M13+M15+M17+M18</f>
        <v>4666890</v>
      </c>
      <c r="N11" s="1749">
        <f>M11/$M$9*100</f>
        <v>21.835554685305191</v>
      </c>
      <c r="O11" s="1752">
        <f t="shared" si="0"/>
        <v>0.87538543719426598</v>
      </c>
      <c r="P11" s="1762">
        <f>+P12+P13+P15+P17+P18</f>
        <v>2983390</v>
      </c>
      <c r="Q11" s="1762">
        <f>+Q12+Q13+Q15+Q17+Q18</f>
        <v>1683500</v>
      </c>
      <c r="R11" s="1762">
        <f>+R12+R13+R15+R17+R18</f>
        <v>5207212.043456913</v>
      </c>
      <c r="S11" s="1753">
        <f>R11/$R$9*100</f>
        <v>23.342331812563696</v>
      </c>
      <c r="T11" s="1754">
        <f>R11/M11</f>
        <v>1.1157777542339573</v>
      </c>
      <c r="U11" s="1762">
        <f>+U12+U13+U15+U17+U18</f>
        <v>3357212.043456913</v>
      </c>
      <c r="V11" s="1762">
        <f>+V12+V13+V15+V17+V18</f>
        <v>1850000</v>
      </c>
      <c r="W11" s="1762">
        <f>+W12+W13+W15+W17+W18</f>
        <v>5338707.7565428363</v>
      </c>
      <c r="X11" s="1753">
        <f>W11/$W$9*100</f>
        <v>23.153170671705713</v>
      </c>
      <c r="Y11" s="1755">
        <f>W11/R11</f>
        <v>1.0252526134884701</v>
      </c>
      <c r="Z11" s="1762">
        <f>+Z12+Z13+Z15+Z17+Z18</f>
        <v>3460943.7757059</v>
      </c>
      <c r="AA11" s="5578">
        <f>+AA12+AA13+AA15+AA17+AA18</f>
        <v>1877763.9808369365</v>
      </c>
      <c r="AB11" s="5568">
        <f>SUM(AB12:AB18)</f>
        <v>6193900.0871344451</v>
      </c>
      <c r="AC11" s="1753">
        <f>AB11/$AB$9*100</f>
        <v>24.289185592252093</v>
      </c>
      <c r="AD11" s="1756">
        <f>AB11/W11</f>
        <v>1.1601871407071367</v>
      </c>
      <c r="AE11" s="1760">
        <f>SUM(AE12:AE18)</f>
        <v>4232093.5802222006</v>
      </c>
      <c r="AF11" s="1760">
        <f>SUM(AF12:AF18)</f>
        <v>1961806.5069122438</v>
      </c>
      <c r="AG11" s="1760">
        <f>SUM(AG12:AG18)</f>
        <v>6631833.9490787135</v>
      </c>
      <c r="AH11" s="1763">
        <f>AG11/$AG$9*100</f>
        <v>24.321696613639201</v>
      </c>
      <c r="AI11" s="1757">
        <f>AG11/AB11</f>
        <v>1.0707040565368362</v>
      </c>
      <c r="AJ11" s="1760">
        <f>SUM(AJ12:AJ18)</f>
        <v>4530050.2479021605</v>
      </c>
      <c r="AK11" s="1760">
        <f>SUM(AK12:AK18)</f>
        <v>2101783.7011765535</v>
      </c>
      <c r="AL11" s="1760">
        <f>SUM(AL12:AL18)</f>
        <v>7103885.3376553478</v>
      </c>
      <c r="AM11" s="1753">
        <f>AL11/$AL$9*100</f>
        <v>24.562156987967597</v>
      </c>
      <c r="AN11" s="1757">
        <f>AL11/AG11</f>
        <v>1.071179615201646</v>
      </c>
      <c r="AO11" s="1760">
        <f>SUM(AO12:AO18)</f>
        <v>4782150.0998288589</v>
      </c>
      <c r="AP11" s="1760">
        <f>SUM(AP12:AP18)</f>
        <v>2321735.2378264889</v>
      </c>
      <c r="AR11" s="5138">
        <f t="shared" si="1"/>
        <v>15212809.799999749</v>
      </c>
    </row>
    <row r="12" spans="1:44">
      <c r="A12" s="5579" t="s">
        <v>99</v>
      </c>
      <c r="B12" s="1784" t="s">
        <v>143</v>
      </c>
      <c r="C12" s="1765">
        <f>+'Phụ lục số 2'!C11</f>
        <v>1070186</v>
      </c>
      <c r="D12" s="1765">
        <f>+'Phụ lục số 2'!D11</f>
        <v>1143186</v>
      </c>
      <c r="E12" s="1766">
        <f t="shared" si="2"/>
        <v>6.0055592164989191</v>
      </c>
      <c r="F12" s="1765">
        <f>+'Phụ lục số 2'!F11</f>
        <v>562186</v>
      </c>
      <c r="G12" s="1765">
        <f>+'Phụ lục số 2'!G11</f>
        <v>581000</v>
      </c>
      <c r="H12" s="196">
        <f>SUM(K12:L12)</f>
        <v>1143186</v>
      </c>
      <c r="I12" s="1767">
        <f t="shared" ref="I12:I42" si="4">H12/$H$9*100</f>
        <v>5.7991893510118162</v>
      </c>
      <c r="J12" s="1768">
        <f t="shared" si="3"/>
        <v>1</v>
      </c>
      <c r="K12" s="196">
        <f>+'Phụ lục số 2'!K11</f>
        <v>562186</v>
      </c>
      <c r="L12" s="196">
        <f>+'Phụ lục số 2'!L11</f>
        <v>581000</v>
      </c>
      <c r="M12" s="1769">
        <f>SUM(P12:Q12)</f>
        <v>966890</v>
      </c>
      <c r="N12" s="1767">
        <f>M12/$M$9*100</f>
        <v>4.5239076707774846</v>
      </c>
      <c r="O12" s="1770">
        <f>M12/D12</f>
        <v>0.84578537525826947</v>
      </c>
      <c r="P12" s="4789">
        <f>+'Phụ lục số 2'!P11</f>
        <v>376890</v>
      </c>
      <c r="Q12" s="4789">
        <f>+'Phụ lục số 2'!Q11</f>
        <v>590000</v>
      </c>
      <c r="R12" s="1584">
        <f>SUM(U12:V12)</f>
        <v>1207212.043456913</v>
      </c>
      <c r="S12" s="1771">
        <f>R12/$R$9*100</f>
        <v>5.4115607068282614</v>
      </c>
      <c r="T12" s="1772">
        <f>R12/M12</f>
        <v>1.2485515864854462</v>
      </c>
      <c r="U12" s="196">
        <f>+'Phụ lục số 2'!U11</f>
        <v>617212.04345691297</v>
      </c>
      <c r="V12" s="196">
        <f>+'Phụ lục số 2'!V11</f>
        <v>590000</v>
      </c>
      <c r="W12" s="1584">
        <f>SUM(Z12:AA12)</f>
        <v>1338707.7565428363</v>
      </c>
      <c r="X12" s="1771">
        <f>W12/$W$9*100</f>
        <v>5.805773715331453</v>
      </c>
      <c r="Y12" s="1773">
        <f>W12/R12</f>
        <v>1.1089251170070991</v>
      </c>
      <c r="Z12" s="5309">
        <f>+'Phụ lục số 2'!Z11</f>
        <v>720943.77570589993</v>
      </c>
      <c r="AA12" s="5812">
        <f>+'Phụ lục số 2'!AA11</f>
        <v>617763.98083693651</v>
      </c>
      <c r="AB12" s="5562">
        <f>SUM(AE12:AF12)</f>
        <v>1483900.0871344451</v>
      </c>
      <c r="AC12" s="1771">
        <f>AB12/$AB$9*100</f>
        <v>5.8190678102207558</v>
      </c>
      <c r="AD12" s="1774">
        <f>AB12/W12</f>
        <v>1.1084570772687257</v>
      </c>
      <c r="AE12" s="1584">
        <f>Z12*$AE$57+20000+10000+10000</f>
        <v>782093.58022220118</v>
      </c>
      <c r="AF12" s="1584">
        <f>$AF$57*AA12+20000+14000+14000</f>
        <v>701806.50691224379</v>
      </c>
      <c r="AG12" s="1584">
        <f>SUM(AJ12:AK12)</f>
        <v>1631833.9490787135</v>
      </c>
      <c r="AH12" s="1775">
        <f>AG12/$AG$9*100</f>
        <v>5.9846145935006065</v>
      </c>
      <c r="AI12" s="1776">
        <f>AG12/AB12</f>
        <v>1.0996926027748559</v>
      </c>
      <c r="AJ12" s="1584">
        <f>AE12*$AJ$57+30000+20000+20000</f>
        <v>880050.24790216004</v>
      </c>
      <c r="AK12" s="1584">
        <f>AF12*$AK$57+20000</f>
        <v>751783.70117655362</v>
      </c>
      <c r="AL12" s="1584">
        <f>SUM(AO12:AP12)</f>
        <v>1768885.337655348</v>
      </c>
      <c r="AM12" s="1771">
        <f>AL12/$AL$9*100</f>
        <v>6.1160389409585711</v>
      </c>
      <c r="AN12" s="1776">
        <f>AL12/AG12</f>
        <v>1.0839861118553207</v>
      </c>
      <c r="AO12" s="1584">
        <f>AJ12*$AO$57+30000</f>
        <v>932150.09982885909</v>
      </c>
      <c r="AP12" s="1584">
        <f>AK12*$AP$57+30000+30000</f>
        <v>836735.23782648891</v>
      </c>
      <c r="AR12" s="5138">
        <f t="shared" si="1"/>
        <v>3512809.7999997493</v>
      </c>
    </row>
    <row r="13" spans="1:44">
      <c r="A13" s="5579" t="s">
        <v>101</v>
      </c>
      <c r="B13" s="1784" t="s">
        <v>144</v>
      </c>
      <c r="C13" s="1765">
        <f>+'Phụ lục số 2'!C12</f>
        <v>1770000</v>
      </c>
      <c r="D13" s="1765">
        <f>+'Phụ lục số 2'!D12</f>
        <v>1770000</v>
      </c>
      <c r="E13" s="1766">
        <f t="shared" si="2"/>
        <v>9.298434212108166</v>
      </c>
      <c r="F13" s="1765">
        <f>+'Phụ lục số 2'!F12</f>
        <v>627000</v>
      </c>
      <c r="G13" s="1765">
        <f>+'Phụ lục số 2'!G12</f>
        <v>1143000</v>
      </c>
      <c r="H13" s="196">
        <f t="shared" ref="H13:H17" si="5">SUM(K13:L13)</f>
        <v>1770000</v>
      </c>
      <c r="I13" s="1767">
        <f t="shared" si="4"/>
        <v>8.9789108257894288</v>
      </c>
      <c r="J13" s="1768">
        <f>H13/D13</f>
        <v>1</v>
      </c>
      <c r="K13" s="196">
        <f>+'Phụ lục số 2'!K12</f>
        <v>627000</v>
      </c>
      <c r="L13" s="196">
        <f>+'Phụ lục số 2'!L12</f>
        <v>1143000</v>
      </c>
      <c r="M13" s="1769">
        <f t="shared" ref="M13:M17" si="6">SUM(P13:Q13)</f>
        <v>1600000</v>
      </c>
      <c r="N13" s="1767">
        <f t="shared" ref="N13:N42" si="7">M13/$M$9*100</f>
        <v>7.4861176279038739</v>
      </c>
      <c r="O13" s="1770">
        <f t="shared" si="0"/>
        <v>0.903954802259887</v>
      </c>
      <c r="P13" s="4789">
        <f>+'Phụ lục số 2'!P12</f>
        <v>506500</v>
      </c>
      <c r="Q13" s="4789">
        <f>+'Phụ lục số 2'!Q12</f>
        <v>1093500</v>
      </c>
      <c r="R13" s="1584">
        <f>SUM(U13:V13)</f>
        <v>1800000</v>
      </c>
      <c r="S13" s="1771">
        <f t="shared" ref="S13:S17" si="8">R13/$R$9*100</f>
        <v>8.0688469975809465</v>
      </c>
      <c r="T13" s="1772">
        <f>R13/M13</f>
        <v>1.125</v>
      </c>
      <c r="U13" s="196">
        <f>+'Phụ lục số 2'!U12</f>
        <v>540000</v>
      </c>
      <c r="V13" s="196">
        <f>+'Phụ lục số 2'!V12</f>
        <v>1260000</v>
      </c>
      <c r="W13" s="1584">
        <f>SUM(Z13:AA13)</f>
        <v>1800000</v>
      </c>
      <c r="X13" s="1771">
        <f t="shared" ref="X13:X40" si="9">W13/$W$9*100</f>
        <v>7.8063286303684167</v>
      </c>
      <c r="Y13" s="1773">
        <f t="shared" ref="Y13:Y40" si="10">W13/R13</f>
        <v>1</v>
      </c>
      <c r="Z13" s="5309">
        <f>+'Phụ lục số 2'!Z12</f>
        <v>540000</v>
      </c>
      <c r="AA13" s="5812">
        <f>+'Phụ lục số 2'!AA12</f>
        <v>1260000</v>
      </c>
      <c r="AB13" s="5562">
        <f t="shared" ref="AB13:AB18" si="11">SUM(AE13:AF13)</f>
        <v>1660000</v>
      </c>
      <c r="AC13" s="1771">
        <f t="shared" ref="AC13:AC40" si="12">AB13/$AB$9*100</f>
        <v>6.5096381142615751</v>
      </c>
      <c r="AD13" s="1774">
        <f t="shared" ref="AD13:AD40" si="13">AB13/W13</f>
        <v>0.92222222222222228</v>
      </c>
      <c r="AE13" s="1584">
        <f>'Phụ lục số I'!AM42-AE68</f>
        <v>400000</v>
      </c>
      <c r="AF13" s="1584">
        <f>'Phụ lục số I'!AN42</f>
        <v>1260000</v>
      </c>
      <c r="AG13" s="1584">
        <f t="shared" ref="AG13:AG18" si="14">SUM(AJ13:AK13)</f>
        <v>1800000</v>
      </c>
      <c r="AH13" s="1775">
        <f t="shared" ref="AH13:AH40" si="15">AG13/$AG$9*100</f>
        <v>6.6013495272498934</v>
      </c>
      <c r="AI13" s="1776">
        <f t="shared" ref="AI13:AI40" si="16">AG13/AB13</f>
        <v>1.0843373493975903</v>
      </c>
      <c r="AJ13" s="1584">
        <f>'Phụ lục số I'!AS42-AJ68</f>
        <v>450000</v>
      </c>
      <c r="AK13" s="1584">
        <f>'Phụ lục số I'!AT42-AK68</f>
        <v>1350000</v>
      </c>
      <c r="AL13" s="1584">
        <f t="shared" ref="AL13:AL18" si="17">SUM(AO13:AP13)</f>
        <v>1935000</v>
      </c>
      <c r="AM13" s="1771">
        <f t="shared" ref="AM13:AM40" si="18">AL13/$AL$9*100</f>
        <v>6.6903914566002758</v>
      </c>
      <c r="AN13" s="1776">
        <f t="shared" ref="AN13:AN40" si="19">AL13/AG13</f>
        <v>1.075</v>
      </c>
      <c r="AO13" s="1584">
        <f>'Phụ lục số I'!AY42-AO68</f>
        <v>450000</v>
      </c>
      <c r="AP13" s="1584">
        <f>'Phụ lục số I'!AZ42</f>
        <v>1485000</v>
      </c>
      <c r="AR13" s="5138">
        <f t="shared" si="1"/>
        <v>5200000</v>
      </c>
    </row>
    <row r="14" spans="1:44" s="29" customFormat="1" ht="69">
      <c r="A14" s="5581" t="s">
        <v>29</v>
      </c>
      <c r="B14" s="5231" t="s">
        <v>3189</v>
      </c>
      <c r="C14" s="1765">
        <f>+'Phụ lục số 2'!C13</f>
        <v>0</v>
      </c>
      <c r="D14" s="1765">
        <f>+'Phụ lục số 2'!D13</f>
        <v>0</v>
      </c>
      <c r="E14" s="1766"/>
      <c r="F14" s="5309">
        <f>+'Phụ lục số 2'!F13</f>
        <v>0</v>
      </c>
      <c r="G14" s="5309">
        <f>+'Phụ lục số 2'!G13</f>
        <v>0</v>
      </c>
      <c r="H14" s="196"/>
      <c r="I14" s="1767"/>
      <c r="J14" s="1768"/>
      <c r="K14" s="196">
        <f>+'Phụ lục số 2'!K13</f>
        <v>0</v>
      </c>
      <c r="L14" s="196">
        <f>+'Phụ lục số 2'!L13</f>
        <v>0</v>
      </c>
      <c r="M14" s="4789">
        <f t="shared" si="6"/>
        <v>160000</v>
      </c>
      <c r="N14" s="1767"/>
      <c r="O14" s="1770"/>
      <c r="P14" s="4789">
        <f>+'Phụ lục số 2'!P13</f>
        <v>160000</v>
      </c>
      <c r="Q14" s="4789">
        <f>+'Phụ lục số 2'!Q13</f>
        <v>0</v>
      </c>
      <c r="R14" s="1620">
        <f>SUM(U14:V14)</f>
        <v>180000</v>
      </c>
      <c r="S14" s="4943"/>
      <c r="T14" s="4944"/>
      <c r="U14" s="1620">
        <f>+'Phụ lục số 2'!U13</f>
        <v>180000</v>
      </c>
      <c r="V14" s="1620">
        <f>+'Phụ lục số 2'!V13</f>
        <v>0</v>
      </c>
      <c r="W14" s="1620">
        <f>SUM(Z14:AA14)</f>
        <v>180000</v>
      </c>
      <c r="X14" s="1767"/>
      <c r="Y14" s="5310"/>
      <c r="Z14" s="1639">
        <f>+'Phụ lục số 2'!Z13</f>
        <v>180000</v>
      </c>
      <c r="AA14" s="1650">
        <f>+'Phụ lục số 2'!AA13</f>
        <v>0</v>
      </c>
      <c r="AB14" s="1831"/>
      <c r="AC14" s="1767"/>
      <c r="AD14" s="5311"/>
      <c r="AE14" s="196"/>
      <c r="AF14" s="196"/>
      <c r="AG14" s="196"/>
      <c r="AH14" s="5312"/>
      <c r="AI14" s="1777"/>
      <c r="AJ14" s="196"/>
      <c r="AK14" s="196"/>
      <c r="AL14" s="196"/>
      <c r="AM14" s="1767"/>
      <c r="AN14" s="1777"/>
      <c r="AO14" s="196"/>
      <c r="AP14" s="196"/>
      <c r="AR14" s="5138">
        <f t="shared" si="1"/>
        <v>520000</v>
      </c>
    </row>
    <row r="15" spans="1:44">
      <c r="A15" s="5579" t="s">
        <v>147</v>
      </c>
      <c r="B15" s="1784" t="s">
        <v>145</v>
      </c>
      <c r="C15" s="1765">
        <f>+'Phụ lục số 2'!C14</f>
        <v>1850000</v>
      </c>
      <c r="D15" s="1765">
        <f>+'Phụ lục số 2'!D14</f>
        <v>1950000</v>
      </c>
      <c r="E15" s="1766">
        <f t="shared" si="2"/>
        <v>10.244037691305605</v>
      </c>
      <c r="F15" s="1765">
        <f>+'Phụ lục số 2'!F14</f>
        <v>1950000</v>
      </c>
      <c r="G15" s="1765">
        <f>+'Phụ lục số 2'!G14</f>
        <v>0</v>
      </c>
      <c r="H15" s="196">
        <f t="shared" si="5"/>
        <v>2150000</v>
      </c>
      <c r="I15" s="1767">
        <f t="shared" si="4"/>
        <v>10.906586596297894</v>
      </c>
      <c r="J15" s="1768">
        <f t="shared" si="3"/>
        <v>1.1025641025641026</v>
      </c>
      <c r="K15" s="196">
        <f>+'Phụ lục số 2'!K14</f>
        <v>2150000</v>
      </c>
      <c r="L15" s="196">
        <f>+'Phụ lục số 2'!L14</f>
        <v>0</v>
      </c>
      <c r="M15" s="1769">
        <f t="shared" si="6"/>
        <v>2100000</v>
      </c>
      <c r="N15" s="1767">
        <f t="shared" si="7"/>
        <v>9.8255293866238347</v>
      </c>
      <c r="O15" s="1770">
        <f t="shared" si="0"/>
        <v>1.0769230769230769</v>
      </c>
      <c r="P15" s="4789">
        <f>+'Phụ lục số 2'!P14</f>
        <v>2100000</v>
      </c>
      <c r="Q15" s="4789">
        <f>+'Phụ lục số 2'!Q14</f>
        <v>0</v>
      </c>
      <c r="R15" s="1584">
        <f>SUM(U15:V15)</f>
        <v>2200000</v>
      </c>
      <c r="S15" s="1771">
        <f t="shared" si="8"/>
        <v>9.8619241081544899</v>
      </c>
      <c r="T15" s="1772">
        <f t="shared" ref="T15:T40" si="20">R15/M15</f>
        <v>1.0476190476190477</v>
      </c>
      <c r="U15" s="196">
        <f>+'Phụ lục số 2'!U14</f>
        <v>2200000</v>
      </c>
      <c r="V15" s="196">
        <f>+'Phụ lục số 2'!V14</f>
        <v>0</v>
      </c>
      <c r="W15" s="1584">
        <f>SUM(Z15:AA15)</f>
        <v>2200000</v>
      </c>
      <c r="X15" s="1771">
        <f t="shared" si="9"/>
        <v>9.5410683260058438</v>
      </c>
      <c r="Y15" s="1773">
        <f t="shared" si="10"/>
        <v>1</v>
      </c>
      <c r="Z15" s="5309">
        <f>+'Phụ lục số 2'!Z14</f>
        <v>2200000</v>
      </c>
      <c r="AA15" s="5812">
        <f>+'Phụ lục số 2'!AA14</f>
        <v>0</v>
      </c>
      <c r="AB15" s="5562">
        <f t="shared" si="11"/>
        <v>2000000</v>
      </c>
      <c r="AC15" s="1771">
        <f t="shared" si="12"/>
        <v>7.8429374870621373</v>
      </c>
      <c r="AD15" s="1774">
        <f t="shared" si="13"/>
        <v>0.90909090909090906</v>
      </c>
      <c r="AE15" s="1584">
        <f>'Phụ lục số I'!AM50-AE69</f>
        <v>2000000</v>
      </c>
      <c r="AF15" s="1584"/>
      <c r="AG15" s="1584">
        <f t="shared" si="14"/>
        <v>2100000</v>
      </c>
      <c r="AH15" s="1775">
        <f t="shared" si="15"/>
        <v>7.7015744484582092</v>
      </c>
      <c r="AI15" s="1776">
        <f t="shared" si="16"/>
        <v>1.05</v>
      </c>
      <c r="AJ15" s="1584">
        <f>'Phụ lục số I'!AS50-AJ69</f>
        <v>2100000</v>
      </c>
      <c r="AK15" s="1584">
        <f>'Phụ lục số I'!AT50</f>
        <v>0</v>
      </c>
      <c r="AL15" s="1584">
        <f t="shared" si="17"/>
        <v>2200000</v>
      </c>
      <c r="AM15" s="1771">
        <f t="shared" si="18"/>
        <v>7.6066466173233112</v>
      </c>
      <c r="AN15" s="1776">
        <f t="shared" si="19"/>
        <v>1.0476190476190477</v>
      </c>
      <c r="AO15" s="1584">
        <f>'Phụ lục số I'!AY50-AO69</f>
        <v>2200000</v>
      </c>
      <c r="AP15" s="1584"/>
      <c r="AR15" s="5138">
        <f t="shared" si="1"/>
        <v>6500000</v>
      </c>
    </row>
    <row r="16" spans="1:44" s="5328" customFormat="1" ht="27.6">
      <c r="A16" s="5583" t="s">
        <v>29</v>
      </c>
      <c r="B16" s="5232" t="s">
        <v>3188</v>
      </c>
      <c r="C16" s="1765">
        <f>+'Phụ lục số 2'!C15</f>
        <v>0</v>
      </c>
      <c r="D16" s="1765">
        <f>+'Phụ lục số 2'!D15</f>
        <v>0</v>
      </c>
      <c r="E16" s="4942"/>
      <c r="F16" s="1765">
        <f>+'Phụ lục số 2'!F15</f>
        <v>0</v>
      </c>
      <c r="G16" s="1765">
        <f>+'Phụ lục số 2'!G15</f>
        <v>0</v>
      </c>
      <c r="H16" s="1620"/>
      <c r="I16" s="4943"/>
      <c r="J16" s="4944"/>
      <c r="K16" s="196">
        <f>+'Phụ lục số 2'!K15</f>
        <v>0</v>
      </c>
      <c r="L16" s="196">
        <f>+'Phụ lục số 2'!L15</f>
        <v>0</v>
      </c>
      <c r="M16" s="4789">
        <f t="shared" si="6"/>
        <v>100000</v>
      </c>
      <c r="N16" s="1767"/>
      <c r="O16" s="1770"/>
      <c r="P16" s="4789">
        <f>+'Phụ lục số 2'!P15</f>
        <v>100000</v>
      </c>
      <c r="Q16" s="4789">
        <f>+'Phụ lục số 2'!Q15</f>
        <v>0</v>
      </c>
      <c r="R16" s="1620">
        <f>SUM(U16:V16)</f>
        <v>120000</v>
      </c>
      <c r="S16" s="4943"/>
      <c r="T16" s="4944"/>
      <c r="U16" s="1620">
        <f>+'Phụ lục số 2'!U15</f>
        <v>120000</v>
      </c>
      <c r="V16" s="1620">
        <f>+'Phụ lục số 2'!V15</f>
        <v>0</v>
      </c>
      <c r="W16" s="1620">
        <f>SUM(Z16:AA16)</f>
        <v>135000</v>
      </c>
      <c r="X16" s="4943"/>
      <c r="Y16" s="5324"/>
      <c r="Z16" s="1639">
        <f>+'Phụ lục số 2'!Z15</f>
        <v>135000</v>
      </c>
      <c r="AA16" s="1650">
        <f>+'Phụ lục số 2'!AA15</f>
        <v>0</v>
      </c>
      <c r="AB16" s="5563"/>
      <c r="AC16" s="4943"/>
      <c r="AD16" s="5325"/>
      <c r="AE16" s="1620"/>
      <c r="AF16" s="1620"/>
      <c r="AG16" s="1620"/>
      <c r="AH16" s="5326"/>
      <c r="AI16" s="5327"/>
      <c r="AJ16" s="1620"/>
      <c r="AK16" s="1620"/>
      <c r="AL16" s="1620"/>
      <c r="AM16" s="4943"/>
      <c r="AN16" s="5327"/>
      <c r="AO16" s="1620"/>
      <c r="AP16" s="1620"/>
      <c r="AR16" s="5138">
        <f t="shared" si="1"/>
        <v>355000</v>
      </c>
    </row>
    <row r="17" spans="1:44">
      <c r="A17" s="5579" t="s">
        <v>148</v>
      </c>
      <c r="B17" s="196" t="s">
        <v>146</v>
      </c>
      <c r="C17" s="1765">
        <f>+'Phụ lục số 2'!C16</f>
        <v>0</v>
      </c>
      <c r="D17" s="1765">
        <f>+'Phụ lục số 2'!D16</f>
        <v>408054.16200000001</v>
      </c>
      <c r="E17" s="1766">
        <f t="shared" si="2"/>
        <v>2.1436524182677559</v>
      </c>
      <c r="F17" s="1765">
        <f>+'Phụ lục số 2'!F16</f>
        <v>408054.16200000001</v>
      </c>
      <c r="G17" s="1765">
        <f>+'Phụ lục số 2'!G16</f>
        <v>0</v>
      </c>
      <c r="H17" s="196">
        <f t="shared" si="5"/>
        <v>408054.16200000001</v>
      </c>
      <c r="I17" s="1767">
        <f t="shared" si="4"/>
        <v>2.0699897924803579</v>
      </c>
      <c r="J17" s="1768">
        <f t="shared" si="3"/>
        <v>1</v>
      </c>
      <c r="K17" s="196">
        <f>+'Phụ lục số 2'!K16</f>
        <v>408054.16200000001</v>
      </c>
      <c r="L17" s="196">
        <f>+'Phụ lục số 2'!L16</f>
        <v>0</v>
      </c>
      <c r="M17" s="1769">
        <f t="shared" si="6"/>
        <v>0</v>
      </c>
      <c r="N17" s="1767">
        <f t="shared" si="7"/>
        <v>0</v>
      </c>
      <c r="O17" s="1770">
        <f t="shared" si="0"/>
        <v>0</v>
      </c>
      <c r="P17" s="4789">
        <f>+'Phụ lục số 2'!P16</f>
        <v>0</v>
      </c>
      <c r="Q17" s="4789">
        <f>+'Phụ lục số 2'!Q16</f>
        <v>0</v>
      </c>
      <c r="R17" s="196">
        <f t="shared" ref="R17" si="21">SUM(U17:V17)</f>
        <v>0</v>
      </c>
      <c r="S17" s="1771">
        <f t="shared" si="8"/>
        <v>0</v>
      </c>
      <c r="T17" s="1772" t="e">
        <f t="shared" si="20"/>
        <v>#DIV/0!</v>
      </c>
      <c r="U17" s="196">
        <f>+'Phụ lục số 2'!U16</f>
        <v>0</v>
      </c>
      <c r="V17" s="196">
        <f>+'Phụ lục số 2'!V16</f>
        <v>0</v>
      </c>
      <c r="W17" s="196">
        <f t="shared" ref="W17" si="22">SUM(Z17:AA17)</f>
        <v>0</v>
      </c>
      <c r="X17" s="1771">
        <f t="shared" si="9"/>
        <v>0</v>
      </c>
      <c r="Y17" s="1773" t="e">
        <f t="shared" si="10"/>
        <v>#DIV/0!</v>
      </c>
      <c r="Z17" s="5309">
        <f>+'Phụ lục số 2'!Z16</f>
        <v>0</v>
      </c>
      <c r="AA17" s="5812">
        <f>+'Phụ lục số 2'!AA16</f>
        <v>0</v>
      </c>
      <c r="AB17" s="5562">
        <f t="shared" si="11"/>
        <v>0</v>
      </c>
      <c r="AC17" s="1771">
        <f t="shared" si="12"/>
        <v>0</v>
      </c>
      <c r="AD17" s="1774" t="e">
        <f t="shared" si="13"/>
        <v>#DIV/0!</v>
      </c>
      <c r="AE17" s="1584"/>
      <c r="AF17" s="1584"/>
      <c r="AG17" s="1584">
        <f t="shared" si="14"/>
        <v>0</v>
      </c>
      <c r="AH17" s="1775">
        <f t="shared" si="15"/>
        <v>0</v>
      </c>
      <c r="AI17" s="1776" t="e">
        <f t="shared" si="16"/>
        <v>#DIV/0!</v>
      </c>
      <c r="AJ17" s="1584"/>
      <c r="AK17" s="1584"/>
      <c r="AL17" s="1584">
        <f t="shared" si="17"/>
        <v>0</v>
      </c>
      <c r="AM17" s="1771">
        <f t="shared" si="18"/>
        <v>0</v>
      </c>
      <c r="AN17" s="1776" t="e">
        <f t="shared" si="19"/>
        <v>#DIV/0!</v>
      </c>
      <c r="AO17" s="1584"/>
      <c r="AP17" s="1584"/>
      <c r="AR17" s="5138">
        <f t="shared" si="1"/>
        <v>0</v>
      </c>
    </row>
    <row r="18" spans="1:44">
      <c r="A18" s="5581" t="s">
        <v>149</v>
      </c>
      <c r="B18" s="1784" t="s">
        <v>185</v>
      </c>
      <c r="C18" s="1765">
        <f>+'Phụ lục số 2'!C17</f>
        <v>0</v>
      </c>
      <c r="D18" s="1765">
        <f>+'Phụ lục số 2'!D17</f>
        <v>60000</v>
      </c>
      <c r="E18" s="1766">
        <f>D18/$D$9*100</f>
        <v>0.3152011597324802</v>
      </c>
      <c r="F18" s="1765">
        <f>+'Phụ lục số 2'!F17</f>
        <v>60000</v>
      </c>
      <c r="G18" s="1765">
        <f>+'Phụ lục số 2'!G17</f>
        <v>0</v>
      </c>
      <c r="H18" s="196">
        <f>SUM(H19:H22)</f>
        <v>60000</v>
      </c>
      <c r="I18" s="1767">
        <f t="shared" si="4"/>
        <v>0.30436985850133658</v>
      </c>
      <c r="J18" s="1768">
        <f t="shared" si="3"/>
        <v>1</v>
      </c>
      <c r="K18" s="196">
        <f>+'Phụ lục số 2'!K17</f>
        <v>60000</v>
      </c>
      <c r="L18" s="196">
        <f>+'Phụ lục số 2'!L17</f>
        <v>0</v>
      </c>
      <c r="M18" s="4789">
        <f>SUM(M19:M22)</f>
        <v>0</v>
      </c>
      <c r="N18" s="4790">
        <f t="shared" si="7"/>
        <v>0</v>
      </c>
      <c r="O18" s="1770">
        <f t="shared" si="0"/>
        <v>0</v>
      </c>
      <c r="P18" s="4789">
        <f>+'Phụ lục số 2'!P17</f>
        <v>0</v>
      </c>
      <c r="Q18" s="4789">
        <f>+'Phụ lục số 2'!Q17</f>
        <v>0</v>
      </c>
      <c r="R18" s="4789">
        <f>SUM(R19:R22)</f>
        <v>0</v>
      </c>
      <c r="S18" s="1771">
        <f>R18/$R$9*100</f>
        <v>0</v>
      </c>
      <c r="T18" s="1772" t="e">
        <f t="shared" si="20"/>
        <v>#DIV/0!</v>
      </c>
      <c r="U18" s="196">
        <f>+'Phụ lục số 2'!U17</f>
        <v>0</v>
      </c>
      <c r="V18" s="196">
        <f>+'Phụ lục số 2'!V17</f>
        <v>0</v>
      </c>
      <c r="W18" s="4789">
        <f>SUM(W19:W22)</f>
        <v>0</v>
      </c>
      <c r="X18" s="1771">
        <f t="shared" si="9"/>
        <v>0</v>
      </c>
      <c r="Y18" s="1773" t="e">
        <f t="shared" si="10"/>
        <v>#DIV/0!</v>
      </c>
      <c r="Z18" s="5309">
        <f>+'Phụ lục số 2'!Z17</f>
        <v>0</v>
      </c>
      <c r="AA18" s="5812">
        <f>+'Phụ lục số 2'!AA17</f>
        <v>0</v>
      </c>
      <c r="AB18" s="5562">
        <f t="shared" si="11"/>
        <v>1050000</v>
      </c>
      <c r="AC18" s="1771">
        <f t="shared" si="12"/>
        <v>4.1175421807076225</v>
      </c>
      <c r="AD18" s="1774" t="e">
        <f t="shared" si="13"/>
        <v>#DIV/0!</v>
      </c>
      <c r="AE18" s="1584">
        <f>AE66</f>
        <v>1050000</v>
      </c>
      <c r="AF18" s="1584"/>
      <c r="AG18" s="1584">
        <f t="shared" si="14"/>
        <v>1100000</v>
      </c>
      <c r="AH18" s="1775">
        <f t="shared" si="15"/>
        <v>4.034158044430491</v>
      </c>
      <c r="AI18" s="1776">
        <f t="shared" si="16"/>
        <v>1.0476190476190477</v>
      </c>
      <c r="AJ18" s="1584">
        <f>AJ66</f>
        <v>1100000</v>
      </c>
      <c r="AK18" s="1584"/>
      <c r="AL18" s="1584">
        <f t="shared" si="17"/>
        <v>1200000</v>
      </c>
      <c r="AM18" s="1771">
        <f t="shared" si="18"/>
        <v>4.149079973085442</v>
      </c>
      <c r="AN18" s="1776">
        <f t="shared" si="19"/>
        <v>1.0909090909090908</v>
      </c>
      <c r="AO18" s="1584">
        <f>AO66</f>
        <v>1200000</v>
      </c>
      <c r="AP18" s="1584">
        <f>AP66</f>
        <v>0</v>
      </c>
      <c r="AR18" s="5138">
        <f t="shared" si="1"/>
        <v>0</v>
      </c>
    </row>
    <row r="19" spans="1:44" s="4954" customFormat="1" ht="27.6" hidden="1">
      <c r="A19" s="5585" t="s">
        <v>3126</v>
      </c>
      <c r="B19" s="4781" t="s">
        <v>3142</v>
      </c>
      <c r="C19" s="1765">
        <f>+'Phụ lục số 2'!C18</f>
        <v>0</v>
      </c>
      <c r="D19" s="1765">
        <f>+'Phụ lục số 2'!D18</f>
        <v>60000</v>
      </c>
      <c r="E19" s="4942"/>
      <c r="F19" s="1639">
        <v>60000</v>
      </c>
      <c r="G19" s="4941"/>
      <c r="H19" s="1620">
        <f>SUM(K19:L19)</f>
        <v>60000</v>
      </c>
      <c r="I19" s="4943">
        <f t="shared" si="4"/>
        <v>0.30436985850133658</v>
      </c>
      <c r="J19" s="4944">
        <f t="shared" si="3"/>
        <v>1</v>
      </c>
      <c r="K19" s="1620">
        <v>60000</v>
      </c>
      <c r="L19" s="1620"/>
      <c r="M19" s="4945">
        <f>SUM(P19:Q19)</f>
        <v>0</v>
      </c>
      <c r="N19" s="4946">
        <f t="shared" si="7"/>
        <v>0</v>
      </c>
      <c r="O19" s="4947">
        <f t="shared" si="0"/>
        <v>0</v>
      </c>
      <c r="P19" s="4945"/>
      <c r="Q19" s="4945"/>
      <c r="R19" s="4945"/>
      <c r="S19" s="4948"/>
      <c r="T19" s="4949"/>
      <c r="U19" s="1622"/>
      <c r="V19" s="1622"/>
      <c r="W19" s="1622"/>
      <c r="X19" s="4948"/>
      <c r="Y19" s="4950"/>
      <c r="Z19" s="1622"/>
      <c r="AA19" s="5813"/>
      <c r="AB19" s="5566"/>
      <c r="AC19" s="4948"/>
      <c r="AD19" s="4951"/>
      <c r="AE19" s="1622"/>
      <c r="AF19" s="1622"/>
      <c r="AG19" s="1622"/>
      <c r="AH19" s="4952"/>
      <c r="AI19" s="4953"/>
      <c r="AJ19" s="1622"/>
      <c r="AK19" s="1622"/>
      <c r="AL19" s="1622"/>
      <c r="AM19" s="4948"/>
      <c r="AN19" s="4953"/>
      <c r="AO19" s="1622"/>
      <c r="AP19" s="1622"/>
      <c r="AR19" s="5138">
        <f t="shared" si="1"/>
        <v>0</v>
      </c>
    </row>
    <row r="20" spans="1:44" s="4954" customFormat="1" ht="69" hidden="1">
      <c r="A20" s="5585" t="s">
        <v>3127</v>
      </c>
      <c r="B20" s="4781" t="s">
        <v>3141</v>
      </c>
      <c r="C20" s="1765">
        <f>+'Phụ lục số 2'!C19</f>
        <v>0</v>
      </c>
      <c r="D20" s="1765">
        <f>+'Phụ lục số 2'!D19</f>
        <v>0</v>
      </c>
      <c r="E20" s="4942"/>
      <c r="F20" s="4941"/>
      <c r="G20" s="4941"/>
      <c r="H20" s="1620">
        <f>SUM(K20:L20)</f>
        <v>0</v>
      </c>
      <c r="I20" s="4943"/>
      <c r="J20" s="4944"/>
      <c r="K20" s="1620"/>
      <c r="L20" s="1620"/>
      <c r="M20" s="4945">
        <f>SUM(P20:Q20)</f>
        <v>0</v>
      </c>
      <c r="N20" s="4943"/>
      <c r="O20" s="4947"/>
      <c r="P20" s="4945"/>
      <c r="Q20" s="4955"/>
      <c r="R20" s="1622"/>
      <c r="S20" s="4948"/>
      <c r="T20" s="4949"/>
      <c r="U20" s="1622"/>
      <c r="V20" s="1622"/>
      <c r="W20" s="1622"/>
      <c r="X20" s="4948"/>
      <c r="Y20" s="4950"/>
      <c r="Z20" s="1622"/>
      <c r="AA20" s="5813"/>
      <c r="AB20" s="5566"/>
      <c r="AC20" s="4948"/>
      <c r="AD20" s="4951"/>
      <c r="AE20" s="1622"/>
      <c r="AF20" s="1622"/>
      <c r="AG20" s="1622"/>
      <c r="AH20" s="4952"/>
      <c r="AI20" s="4953"/>
      <c r="AJ20" s="1622"/>
      <c r="AK20" s="1622"/>
      <c r="AL20" s="1622"/>
      <c r="AM20" s="4948"/>
      <c r="AN20" s="4953"/>
      <c r="AO20" s="1622"/>
      <c r="AP20" s="1622"/>
      <c r="AR20" s="5138">
        <f t="shared" si="1"/>
        <v>0</v>
      </c>
    </row>
    <row r="21" spans="1:44" hidden="1">
      <c r="A21" s="4892" t="s">
        <v>3143</v>
      </c>
      <c r="B21" s="4780"/>
      <c r="C21" s="1765">
        <f>+'Phụ lục số 2'!C20</f>
        <v>0</v>
      </c>
      <c r="D21" s="1765">
        <f>+'Phụ lục số 2'!D20</f>
        <v>0</v>
      </c>
      <c r="E21" s="1766"/>
      <c r="F21" s="1765"/>
      <c r="G21" s="1765"/>
      <c r="H21" s="196"/>
      <c r="I21" s="1767"/>
      <c r="J21" s="1768"/>
      <c r="K21" s="196"/>
      <c r="L21" s="196"/>
      <c r="M21" s="1769"/>
      <c r="N21" s="1767"/>
      <c r="O21" s="1770"/>
      <c r="P21" s="1769"/>
      <c r="Q21" s="1769"/>
      <c r="R21" s="1584"/>
      <c r="S21" s="1771"/>
      <c r="T21" s="1772"/>
      <c r="U21" s="1584"/>
      <c r="V21" s="1584"/>
      <c r="W21" s="1584"/>
      <c r="X21" s="1771"/>
      <c r="Y21" s="1773"/>
      <c r="Z21" s="1584"/>
      <c r="AA21" s="5814"/>
      <c r="AB21" s="5562"/>
      <c r="AC21" s="1771"/>
      <c r="AD21" s="1774"/>
      <c r="AE21" s="1584"/>
      <c r="AF21" s="1584"/>
      <c r="AG21" s="1584"/>
      <c r="AH21" s="1775"/>
      <c r="AI21" s="1776"/>
      <c r="AJ21" s="1584"/>
      <c r="AK21" s="1584"/>
      <c r="AL21" s="1584"/>
      <c r="AM21" s="1771"/>
      <c r="AN21" s="1776"/>
      <c r="AO21" s="1584"/>
      <c r="AP21" s="1584"/>
      <c r="AR21" s="5138">
        <f t="shared" si="1"/>
        <v>0</v>
      </c>
    </row>
    <row r="22" spans="1:44" hidden="1">
      <c r="A22" s="4892" t="s">
        <v>3144</v>
      </c>
      <c r="B22" s="4780"/>
      <c r="C22" s="1765">
        <f>+'Phụ lục số 2'!C21</f>
        <v>0</v>
      </c>
      <c r="D22" s="1765">
        <f>+'Phụ lục số 2'!D21</f>
        <v>0</v>
      </c>
      <c r="E22" s="1766"/>
      <c r="F22" s="1765"/>
      <c r="G22" s="1765"/>
      <c r="H22" s="196"/>
      <c r="I22" s="1767"/>
      <c r="J22" s="1768"/>
      <c r="K22" s="196"/>
      <c r="L22" s="196"/>
      <c r="M22" s="1769"/>
      <c r="N22" s="1767"/>
      <c r="O22" s="1770"/>
      <c r="P22" s="1769"/>
      <c r="Q22" s="1769"/>
      <c r="R22" s="1584"/>
      <c r="S22" s="1771"/>
      <c r="T22" s="1772"/>
      <c r="U22" s="1584"/>
      <c r="V22" s="1584"/>
      <c r="W22" s="1584"/>
      <c r="X22" s="1771"/>
      <c r="Y22" s="1773"/>
      <c r="Z22" s="1584"/>
      <c r="AA22" s="5814"/>
      <c r="AB22" s="5562"/>
      <c r="AC22" s="1771"/>
      <c r="AD22" s="1774"/>
      <c r="AE22" s="1584"/>
      <c r="AF22" s="1584"/>
      <c r="AG22" s="1584"/>
      <c r="AH22" s="1775"/>
      <c r="AI22" s="1776"/>
      <c r="AJ22" s="1584"/>
      <c r="AK22" s="1584"/>
      <c r="AL22" s="1584"/>
      <c r="AM22" s="1771"/>
      <c r="AN22" s="1776"/>
      <c r="AO22" s="1584"/>
      <c r="AP22" s="1584"/>
      <c r="AR22" s="5138">
        <f t="shared" si="1"/>
        <v>0</v>
      </c>
    </row>
    <row r="23" spans="1:44" s="31" customFormat="1">
      <c r="A23" s="5577">
        <v>2</v>
      </c>
      <c r="B23" s="1759" t="s">
        <v>151</v>
      </c>
      <c r="C23" s="1570">
        <v>10426978</v>
      </c>
      <c r="D23" s="1570">
        <f>SUM(D24:D36)</f>
        <v>10664978.794711081</v>
      </c>
      <c r="E23" s="1748">
        <f t="shared" si="2"/>
        <v>56.026894743587363</v>
      </c>
      <c r="F23" s="1570">
        <f>SUM(F24:F36)</f>
        <v>3294440.4</v>
      </c>
      <c r="G23" s="1570">
        <f>SUM(G24:G36)</f>
        <v>7370538.3947110809</v>
      </c>
      <c r="H23" s="1570">
        <f>SUM(H24:H36)</f>
        <v>11721214.294711081</v>
      </c>
      <c r="I23" s="1749">
        <f t="shared" si="4"/>
        <v>59.459738939084261</v>
      </c>
      <c r="J23" s="1750">
        <f>H23/D23</f>
        <v>1.0990377496600183</v>
      </c>
      <c r="K23" s="1570">
        <f>SUM(K24:K36)</f>
        <v>3526114.9</v>
      </c>
      <c r="L23" s="1570">
        <f>SUM(L24:L36)</f>
        <v>8195099.3947110809</v>
      </c>
      <c r="M23" s="1570">
        <f>SUM(M24:M36)</f>
        <v>12761657.450000003</v>
      </c>
      <c r="N23" s="1749">
        <f t="shared" si="7"/>
        <v>59.709542998572388</v>
      </c>
      <c r="O23" s="1752">
        <f>M23/D23</f>
        <v>1.1965947326898292</v>
      </c>
      <c r="P23" s="1570">
        <f>SUM(P24:P36)</f>
        <v>3680232.0929999999</v>
      </c>
      <c r="Q23" s="1570">
        <f>SUM(Q24:Q36)</f>
        <v>9081425.3570000026</v>
      </c>
      <c r="R23" s="1570">
        <f>SUM(R24:R36)</f>
        <v>13049829.156114889</v>
      </c>
      <c r="S23" s="1753">
        <f>R23/$R$9*100</f>
        <v>58.498374891812169</v>
      </c>
      <c r="T23" s="1754">
        <f t="shared" si="20"/>
        <v>1.0225810563591711</v>
      </c>
      <c r="U23" s="1570">
        <f>SUM(U24:U36)</f>
        <v>3820034.4829255408</v>
      </c>
      <c r="V23" s="1570">
        <f>SUM(V24:V36)</f>
        <v>9229794.6731893476</v>
      </c>
      <c r="W23" s="1570">
        <f>SUM(W24:W36)</f>
        <v>13492052.394947087</v>
      </c>
      <c r="X23" s="1753">
        <f t="shared" si="9"/>
        <v>58.51299716283679</v>
      </c>
      <c r="Y23" s="1755">
        <f t="shared" si="10"/>
        <v>1.0338872818595468</v>
      </c>
      <c r="Z23" s="1570">
        <f>SUM(Z24:Z36)</f>
        <v>3974345.9902827819</v>
      </c>
      <c r="AA23" s="1837">
        <f>SUM(AA24:AA36)</f>
        <v>9517706.4046643022</v>
      </c>
      <c r="AB23" s="5560">
        <f>SUM(AB24:AB36)</f>
        <v>14216941.40785172</v>
      </c>
      <c r="AC23" s="1753">
        <f t="shared" si="12"/>
        <v>55.751291359503107</v>
      </c>
      <c r="AD23" s="1756">
        <f t="shared" si="13"/>
        <v>1.053727112205413</v>
      </c>
      <c r="AE23" s="1570">
        <f>SUM(AE24:AE36)</f>
        <v>4135938.4952840558</v>
      </c>
      <c r="AF23" s="1570">
        <f>SUM(AF24:AF36)</f>
        <v>10081002.91256767</v>
      </c>
      <c r="AG23" s="1570">
        <f>SUM(AG24:AG36)</f>
        <v>15035387.68227271</v>
      </c>
      <c r="AH23" s="1763">
        <f t="shared" si="15"/>
        <v>55.141027426883241</v>
      </c>
      <c r="AI23" s="1757">
        <f t="shared" si="16"/>
        <v>1.057568379227404</v>
      </c>
      <c r="AJ23" s="1570">
        <f>SUM(AJ24:AJ36)</f>
        <v>4403781.4912904343</v>
      </c>
      <c r="AK23" s="1570">
        <f>SUM(AK24:AK36)</f>
        <v>10631606.190982271</v>
      </c>
      <c r="AL23" s="1570">
        <f>SUM(AL24:AL36)</f>
        <v>15733835.878381064</v>
      </c>
      <c r="AM23" s="1753">
        <f t="shared" si="18"/>
        <v>54.400786119003399</v>
      </c>
      <c r="AN23" s="1757">
        <f t="shared" si="19"/>
        <v>1.0464536206759638</v>
      </c>
      <c r="AO23" s="1570">
        <f>SUM(AO24:AO36)</f>
        <v>4659369.4027273692</v>
      </c>
      <c r="AP23" s="1570">
        <f>SUM(AP24:AP36)</f>
        <v>11074466.475653693</v>
      </c>
      <c r="AR23" s="5138">
        <f t="shared" si="1"/>
        <v>39303539.001061976</v>
      </c>
    </row>
    <row r="24" spans="1:44">
      <c r="A24" s="5587" t="s">
        <v>99</v>
      </c>
      <c r="B24" s="1811" t="s">
        <v>152</v>
      </c>
      <c r="C24" s="1584">
        <f>+'Phụ lục số 2'!C23</f>
        <v>4650946</v>
      </c>
      <c r="D24" s="1584">
        <f>+'Phụ lục số 2'!D23</f>
        <v>4797945.7831797441</v>
      </c>
      <c r="E24" s="1766">
        <f>D24/$D$9*100</f>
        <v>25.205301253196971</v>
      </c>
      <c r="F24" s="1584">
        <f>+'Phụ lục số 2'!F23</f>
        <v>956676</v>
      </c>
      <c r="G24" s="1584">
        <f>+'Phụ lục số 2'!G23</f>
        <v>3841269.7831797441</v>
      </c>
      <c r="H24" s="1584">
        <f>SUM(K24:L24)</f>
        <v>5490754.7831797441</v>
      </c>
      <c r="I24" s="1767">
        <f t="shared" si="4"/>
        <v>27.853670940365927</v>
      </c>
      <c r="J24" s="1768">
        <f t="shared" si="3"/>
        <v>1.1443970047408194</v>
      </c>
      <c r="K24" s="196">
        <f>+'Phụ lục số 2'!K23</f>
        <v>1049198</v>
      </c>
      <c r="L24" s="196">
        <f>+'Phụ lục số 2'!L23</f>
        <v>4441556.7831797441</v>
      </c>
      <c r="M24" s="1584">
        <f t="shared" ref="M24:M32" si="23">SUM(P24:Q24)</f>
        <v>5859513.0000000009</v>
      </c>
      <c r="N24" s="1767">
        <f>M24/$M$9*100</f>
        <v>27.415627225144945</v>
      </c>
      <c r="O24" s="1770">
        <f>M24/D24</f>
        <v>1.2212545253307809</v>
      </c>
      <c r="P24" s="1769">
        <f>+'Phụ lục số 2'!P23</f>
        <v>1106650</v>
      </c>
      <c r="Q24" s="1769">
        <f>+'Phụ lục số 2'!Q23</f>
        <v>4752863.0000000009</v>
      </c>
      <c r="R24" s="1584">
        <f t="shared" ref="R24:R37" si="24">SUM(U24:V24)</f>
        <v>5918101.9564761929</v>
      </c>
      <c r="S24" s="1771">
        <f>R24/$R$9*100</f>
        <v>26.529032890494914</v>
      </c>
      <c r="T24" s="1772">
        <f t="shared" si="20"/>
        <v>1.0099989464100843</v>
      </c>
      <c r="U24" s="1584">
        <f>+'Phụ lục số 2'!U23</f>
        <v>1139028.3534760615</v>
      </c>
      <c r="V24" s="1584">
        <f>+'Phụ lục số 2'!V23</f>
        <v>4779073.6030001314</v>
      </c>
      <c r="W24" s="1584">
        <f t="shared" ref="W24:W37" si="25">SUM(Z24:AA24)</f>
        <v>6106259.8643117491</v>
      </c>
      <c r="X24" s="1771">
        <f t="shared" si="9"/>
        <v>26.481928446247988</v>
      </c>
      <c r="Y24" s="1773">
        <f t="shared" si="10"/>
        <v>1.0317936239049843</v>
      </c>
      <c r="Z24" s="1765">
        <f>+'Phụ lục số 2'!Z23</f>
        <v>1183093.2973419931</v>
      </c>
      <c r="AA24" s="5595">
        <f>+'Phụ lục số 2'!AA23</f>
        <v>4923166.566969756</v>
      </c>
      <c r="AB24" s="5562">
        <f t="shared" ref="AB24:AB37" si="26">SUM(AE24:AF24)</f>
        <v>6455202.2883313727</v>
      </c>
      <c r="AC24" s="1771">
        <f t="shared" si="12"/>
        <v>25.31387400686171</v>
      </c>
      <c r="AD24" s="1774">
        <f t="shared" si="13"/>
        <v>1.0571450334203807</v>
      </c>
      <c r="AE24" s="1584">
        <f>Z24*$AE$57+20000</f>
        <v>1237800.847093469</v>
      </c>
      <c r="AF24" s="1584">
        <f>$AF$57*AA24+7000</f>
        <v>5217401.4412379041</v>
      </c>
      <c r="AG24" s="1584">
        <f t="shared" ref="AG24:AG37" si="27">SUM(AJ24:AK24)</f>
        <v>6782306.4425898204</v>
      </c>
      <c r="AH24" s="1775">
        <f t="shared" si="15"/>
        <v>24.87354190469679</v>
      </c>
      <c r="AI24" s="1776">
        <f t="shared" si="16"/>
        <v>1.0506729517756139</v>
      </c>
      <c r="AJ24" s="1584">
        <f>AE24*$AJ$57+30000</f>
        <v>1312047.1979282785</v>
      </c>
      <c r="AK24" s="1584">
        <f>AF24*$AK$57+30000</f>
        <v>5470259.2446615417</v>
      </c>
      <c r="AL24" s="1584">
        <f t="shared" ref="AL24:AL37" si="28">SUM(AO24:AP24)</f>
        <v>7036810.9248535056</v>
      </c>
      <c r="AM24" s="1771">
        <f t="shared" si="18"/>
        <v>24.330242735582107</v>
      </c>
      <c r="AN24" s="1776">
        <f t="shared" si="19"/>
        <v>1.0375247689584641</v>
      </c>
      <c r="AO24" s="1584">
        <f>AJ24*$AO$57+20000</f>
        <v>1364995.3720401265</v>
      </c>
      <c r="AP24" s="1584">
        <f>AK24*$AP$57+20000-(0.4)</f>
        <v>5671815.5528133791</v>
      </c>
      <c r="AR24" s="5138">
        <f t="shared" si="1"/>
        <v>17883874.820787944</v>
      </c>
    </row>
    <row r="25" spans="1:44">
      <c r="A25" s="5587" t="s">
        <v>101</v>
      </c>
      <c r="B25" s="1811" t="s">
        <v>153</v>
      </c>
      <c r="C25" s="1584">
        <f>+'Phụ lục số 2'!C24</f>
        <v>29314</v>
      </c>
      <c r="D25" s="1584">
        <f>+'Phụ lục số 2'!D24</f>
        <v>31218</v>
      </c>
      <c r="E25" s="1766">
        <f t="shared" si="2"/>
        <v>0.16399916340880943</v>
      </c>
      <c r="F25" s="1584">
        <f>+'Phụ lục số 2'!F24</f>
        <v>31218</v>
      </c>
      <c r="G25" s="1584">
        <f>+'Phụ lục số 2'!G24</f>
        <v>0</v>
      </c>
      <c r="H25" s="1584">
        <f t="shared" ref="H25:H37" si="29">SUM(K25:L25)</f>
        <v>30790</v>
      </c>
      <c r="I25" s="1767">
        <f t="shared" si="4"/>
        <v>0.1561924657209359</v>
      </c>
      <c r="J25" s="1768">
        <f t="shared" si="3"/>
        <v>0.98628996091998211</v>
      </c>
      <c r="K25" s="196">
        <f>+'Phụ lục số 2'!K24</f>
        <v>30790</v>
      </c>
      <c r="L25" s="196">
        <f>+'Phụ lục số 2'!L24</f>
        <v>0</v>
      </c>
      <c r="M25" s="1584">
        <f t="shared" si="23"/>
        <v>31307</v>
      </c>
      <c r="N25" s="1767">
        <f t="shared" si="7"/>
        <v>0.1464799278604916</v>
      </c>
      <c r="O25" s="1770">
        <f t="shared" si="0"/>
        <v>1.0028509193414057</v>
      </c>
      <c r="P25" s="1769">
        <f>+'Phụ lục số 2'!P24</f>
        <v>31307</v>
      </c>
      <c r="Q25" s="1769">
        <f>+'Phụ lục số 2'!Q24</f>
        <v>0</v>
      </c>
      <c r="R25" s="1584">
        <f t="shared" si="24"/>
        <v>32222.979860186198</v>
      </c>
      <c r="S25" s="1771">
        <f t="shared" ref="S25:S40" si="30">R25/$R$9*100</f>
        <v>0.14444571905443038</v>
      </c>
      <c r="T25" s="1772">
        <f t="shared" si="20"/>
        <v>1.029257988954106</v>
      </c>
      <c r="U25" s="1584">
        <f>+'Phụ lục số 2'!U24</f>
        <v>32222.979860186198</v>
      </c>
      <c r="V25" s="1584">
        <f>+'Phụ lục số 2'!V24</f>
        <v>0</v>
      </c>
      <c r="W25" s="1584">
        <f t="shared" si="25"/>
        <v>33469.572005499278</v>
      </c>
      <c r="X25" s="1771">
        <f t="shared" si="9"/>
        <v>0.14515248788483681</v>
      </c>
      <c r="Y25" s="1773">
        <f t="shared" si="10"/>
        <v>1.0386864328104346</v>
      </c>
      <c r="Z25" s="1765">
        <f>+'Phụ lục số 2'!Z24</f>
        <v>33469.572005499278</v>
      </c>
      <c r="AA25" s="5595">
        <f>+'Phụ lục số 2'!AA24</f>
        <v>0</v>
      </c>
      <c r="AB25" s="5562">
        <f t="shared" si="26"/>
        <v>34451.444557859519</v>
      </c>
      <c r="AC25" s="1771">
        <f t="shared" si="12"/>
        <v>0.13510026300313965</v>
      </c>
      <c r="AD25" s="1774">
        <f t="shared" si="13"/>
        <v>1.0293362745182075</v>
      </c>
      <c r="AE25" s="1584">
        <f>Z25*$AE$57</f>
        <v>34451.444557859519</v>
      </c>
      <c r="AF25" s="1584">
        <f>$AF$57*AA25</f>
        <v>0</v>
      </c>
      <c r="AG25" s="1584">
        <f t="shared" si="27"/>
        <v>35682.943717237562</v>
      </c>
      <c r="AH25" s="1775">
        <f t="shared" si="15"/>
        <v>0.13086421313259486</v>
      </c>
      <c r="AI25" s="1776">
        <f t="shared" si="16"/>
        <v>1.0357459367867667</v>
      </c>
      <c r="AJ25" s="1584">
        <f>AE25*$AJ$57</f>
        <v>35682.943717237562</v>
      </c>
      <c r="AK25" s="1584">
        <f>AF25*$AK$57</f>
        <v>0</v>
      </c>
      <c r="AL25" s="1584">
        <f t="shared" si="28"/>
        <v>36579.015020369974</v>
      </c>
      <c r="AM25" s="1771">
        <f t="shared" si="18"/>
        <v>0.12647438221350721</v>
      </c>
      <c r="AN25" s="1776">
        <f t="shared" si="19"/>
        <v>1.0251120342041606</v>
      </c>
      <c r="AO25" s="1584">
        <f>AJ25*$AO$57</f>
        <v>36579.015020369974</v>
      </c>
      <c r="AP25" s="1584">
        <f>AK25*$AP$57</f>
        <v>0</v>
      </c>
      <c r="AR25" s="5138">
        <f t="shared" si="1"/>
        <v>96999.551865685469</v>
      </c>
    </row>
    <row r="26" spans="1:44">
      <c r="A26" s="5587" t="s">
        <v>147</v>
      </c>
      <c r="B26" s="1811" t="s">
        <v>3125</v>
      </c>
      <c r="C26" s="1584">
        <f>+'Phụ lục số 2'!C25</f>
        <v>0</v>
      </c>
      <c r="D26" s="1584">
        <f>+'Phụ lục số 2'!D25</f>
        <v>367327</v>
      </c>
      <c r="E26" s="1766">
        <f t="shared" si="2"/>
        <v>1.9296982733508792</v>
      </c>
      <c r="F26" s="1584">
        <f>+'Phụ lục số 2'!F25</f>
        <v>148327</v>
      </c>
      <c r="G26" s="1584">
        <f>+'Phụ lục số 2'!G25</f>
        <v>219000</v>
      </c>
      <c r="H26" s="1584">
        <f t="shared" si="29"/>
        <v>367097</v>
      </c>
      <c r="I26" s="1767">
        <f t="shared" si="4"/>
        <v>1.8622210324377524</v>
      </c>
      <c r="J26" s="1768">
        <f t="shared" si="3"/>
        <v>0.99937385490312447</v>
      </c>
      <c r="K26" s="196">
        <f>+'Phụ lục số 2'!K25</f>
        <v>148097</v>
      </c>
      <c r="L26" s="196">
        <f>+'Phụ lục số 2'!L25</f>
        <v>219000</v>
      </c>
      <c r="M26" s="1584">
        <f t="shared" si="23"/>
        <v>386782.8</v>
      </c>
      <c r="N26" s="1767">
        <f t="shared" si="7"/>
        <v>1.8096884607812613</v>
      </c>
      <c r="O26" s="1770">
        <f>M26/D26</f>
        <v>1.0529658859817002</v>
      </c>
      <c r="P26" s="1769">
        <f>+'Phụ lục số 2'!P25</f>
        <v>150000</v>
      </c>
      <c r="Q26" s="1769">
        <f>+'Phụ lục số 2'!Q25</f>
        <v>236782.8</v>
      </c>
      <c r="R26" s="1584">
        <f t="shared" si="24"/>
        <v>392477.28392289369</v>
      </c>
      <c r="S26" s="1771">
        <f t="shared" si="30"/>
        <v>1.7593550855555362</v>
      </c>
      <c r="T26" s="1772">
        <f t="shared" si="20"/>
        <v>1.0147226917093874</v>
      </c>
      <c r="U26" s="1584">
        <f>+'Phụ lục số 2'!U25</f>
        <v>154388.69834311592</v>
      </c>
      <c r="V26" s="1584">
        <f>+'Phụ lục số 2'!V25</f>
        <v>238088.58557977778</v>
      </c>
      <c r="W26" s="1584">
        <f t="shared" si="25"/>
        <v>405628.59682019101</v>
      </c>
      <c r="X26" s="1771">
        <f t="shared" si="9"/>
        <v>1.7591500714742359</v>
      </c>
      <c r="Y26" s="1773">
        <f t="shared" si="10"/>
        <v>1.033508468989204</v>
      </c>
      <c r="Z26" s="1765">
        <f>+'Phụ lục số 2'!Z25</f>
        <v>160361.44634825733</v>
      </c>
      <c r="AA26" s="5595">
        <f>+'Phụ lục số 2'!AA25</f>
        <v>245267.15047193368</v>
      </c>
      <c r="AB26" s="5562">
        <f t="shared" si="26"/>
        <v>424642.75349023927</v>
      </c>
      <c r="AC26" s="1771">
        <f t="shared" si="12"/>
        <v>1.6652232849789419</v>
      </c>
      <c r="AD26" s="1774">
        <f t="shared" si="13"/>
        <v>1.0468757795162971</v>
      </c>
      <c r="AE26" s="1584">
        <f>Z26*$AE$57</f>
        <v>165065.85376046662</v>
      </c>
      <c r="AF26" s="1584">
        <f>$AF$57*AA26</f>
        <v>259576.89972977262</v>
      </c>
      <c r="AG26" s="1584">
        <f t="shared" si="27"/>
        <v>441630.84024671779</v>
      </c>
      <c r="AH26" s="1775">
        <f t="shared" si="15"/>
        <v>1.6196441880453576</v>
      </c>
      <c r="AI26" s="1776">
        <f t="shared" si="16"/>
        <v>1.040005596744203</v>
      </c>
      <c r="AJ26" s="1584">
        <f>AE26*$AJ$57</f>
        <v>170966.28733464194</v>
      </c>
      <c r="AK26" s="1584">
        <f>AF26*$AK$57</f>
        <v>270664.55291207583</v>
      </c>
      <c r="AL26" s="1584">
        <f t="shared" si="28"/>
        <v>454907.44882711151</v>
      </c>
      <c r="AM26" s="1771">
        <f t="shared" si="18"/>
        <v>1.5728728212799656</v>
      </c>
      <c r="AN26" s="1776">
        <f t="shared" si="19"/>
        <v>1.0300626844198124</v>
      </c>
      <c r="AO26" s="1584">
        <f>AJ26*$AO$57</f>
        <v>175259.59858994783</v>
      </c>
      <c r="AP26" s="1584">
        <f>AK26*$AP$57</f>
        <v>279647.85023716372</v>
      </c>
      <c r="AR26" s="5138">
        <f t="shared" si="1"/>
        <v>1184888.6807430848</v>
      </c>
    </row>
    <row r="27" spans="1:44" hidden="1">
      <c r="A27" s="5588"/>
      <c r="B27" s="5217"/>
      <c r="C27" s="1584">
        <f>+'Phụ lục số 2'!C26</f>
        <v>0</v>
      </c>
      <c r="D27" s="1584">
        <f>+'Phụ lục số 2'!D26</f>
        <v>0</v>
      </c>
      <c r="E27" s="5220"/>
      <c r="F27" s="1584">
        <f>+'Phụ lục số 2'!F26</f>
        <v>0</v>
      </c>
      <c r="G27" s="1584">
        <f>+'Phụ lục số 2'!G26</f>
        <v>0</v>
      </c>
      <c r="H27" s="5218"/>
      <c r="I27" s="5222"/>
      <c r="J27" s="5223"/>
      <c r="K27" s="196">
        <f>+'Phụ lục số 2'!K26</f>
        <v>0</v>
      </c>
      <c r="L27" s="196">
        <f>+'Phụ lục số 2'!L26</f>
        <v>0</v>
      </c>
      <c r="M27" s="5218"/>
      <c r="N27" s="5222"/>
      <c r="O27" s="5225"/>
      <c r="P27" s="1769">
        <f>+'Phụ lục số 2'!P26</f>
        <v>0</v>
      </c>
      <c r="Q27" s="1769">
        <f>+'Phụ lục số 2'!Q26</f>
        <v>0</v>
      </c>
      <c r="R27" s="5218"/>
      <c r="S27" s="5227"/>
      <c r="T27" s="5228"/>
      <c r="U27" s="1584">
        <f>+'Phụ lục số 2'!U26</f>
        <v>0</v>
      </c>
      <c r="V27" s="1584">
        <f>+'Phụ lục số 2'!V26</f>
        <v>0</v>
      </c>
      <c r="W27" s="5218"/>
      <c r="X27" s="5227"/>
      <c r="Y27" s="5229"/>
      <c r="Z27" s="1765">
        <f>+'Phụ lục số 2'!Z26</f>
        <v>0</v>
      </c>
      <c r="AA27" s="5595">
        <f>+'Phụ lục số 2'!AA26</f>
        <v>0</v>
      </c>
      <c r="AB27" s="5562">
        <f t="shared" si="26"/>
        <v>0</v>
      </c>
      <c r="AC27" s="1771">
        <f t="shared" si="12"/>
        <v>0</v>
      </c>
      <c r="AD27" s="1774" t="e">
        <f t="shared" si="13"/>
        <v>#DIV/0!</v>
      </c>
      <c r="AE27" s="1584">
        <f t="shared" ref="AE27" si="31">Z27*$AE$57</f>
        <v>0</v>
      </c>
      <c r="AF27" s="1584">
        <f t="shared" ref="AF27" si="32">$AF$57*AA27</f>
        <v>0</v>
      </c>
      <c r="AG27" s="1584">
        <f t="shared" si="27"/>
        <v>0</v>
      </c>
      <c r="AH27" s="1775">
        <f t="shared" si="15"/>
        <v>0</v>
      </c>
      <c r="AI27" s="1776" t="e">
        <f t="shared" si="16"/>
        <v>#DIV/0!</v>
      </c>
      <c r="AJ27" s="1584">
        <f t="shared" ref="AJ27" si="33">AE27*$AJ$57</f>
        <v>0</v>
      </c>
      <c r="AK27" s="1584">
        <f t="shared" ref="AK27" si="34">AF27*$AK$57</f>
        <v>0</v>
      </c>
      <c r="AL27" s="1584">
        <f t="shared" si="28"/>
        <v>0</v>
      </c>
      <c r="AM27" s="1771">
        <f t="shared" si="18"/>
        <v>0</v>
      </c>
      <c r="AN27" s="1776" t="e">
        <f t="shared" si="19"/>
        <v>#DIV/0!</v>
      </c>
      <c r="AO27" s="1584">
        <f t="shared" ref="AO27" si="35">AJ27*$AO$57</f>
        <v>0</v>
      </c>
      <c r="AP27" s="1584">
        <f t="shared" ref="AP27" si="36">AK27*$AP$57</f>
        <v>0</v>
      </c>
      <c r="AR27" s="5138">
        <f t="shared" si="1"/>
        <v>0</v>
      </c>
    </row>
    <row r="28" spans="1:44">
      <c r="A28" s="5587" t="s">
        <v>149</v>
      </c>
      <c r="B28" s="1811" t="s">
        <v>156</v>
      </c>
      <c r="C28" s="1584">
        <f>+'Phụ lục số 2'!C27</f>
        <v>0</v>
      </c>
      <c r="D28" s="1584">
        <f>+'Phụ lục số 2'!D27</f>
        <v>828538</v>
      </c>
      <c r="E28" s="1766">
        <f t="shared" si="2"/>
        <v>4.3526023080404945</v>
      </c>
      <c r="F28" s="1584">
        <f>+'Phụ lục số 2'!F27</f>
        <v>828538</v>
      </c>
      <c r="G28" s="1584">
        <f>+'Phụ lục số 2'!G27</f>
        <v>0</v>
      </c>
      <c r="H28" s="1584">
        <f t="shared" si="29"/>
        <v>921765</v>
      </c>
      <c r="I28" s="1767">
        <f t="shared" si="4"/>
        <v>4.6759580436914083</v>
      </c>
      <c r="J28" s="1768">
        <f t="shared" si="3"/>
        <v>1.1125198844229234</v>
      </c>
      <c r="K28" s="196">
        <f>+'Phụ lục số 2'!K27</f>
        <v>921765</v>
      </c>
      <c r="L28" s="196">
        <f>+'Phụ lục số 2'!L27</f>
        <v>0</v>
      </c>
      <c r="M28" s="1584">
        <f t="shared" si="23"/>
        <v>997261</v>
      </c>
      <c r="N28" s="1767">
        <f t="shared" si="7"/>
        <v>4.6660082198256525</v>
      </c>
      <c r="O28" s="1770">
        <f t="shared" si="0"/>
        <v>1.20363942269395</v>
      </c>
      <c r="P28" s="1769">
        <f>+'Phụ lục số 2'!P27</f>
        <v>997261</v>
      </c>
      <c r="Q28" s="1769">
        <f>+'Phụ lục số 2'!Q27</f>
        <v>0</v>
      </c>
      <c r="R28" s="1584">
        <f t="shared" si="24"/>
        <v>1026438.8513223607</v>
      </c>
      <c r="S28" s="1771">
        <f t="shared" si="30"/>
        <v>4.6012100242738132</v>
      </c>
      <c r="T28" s="1772">
        <f t="shared" si="20"/>
        <v>1.029257988954106</v>
      </c>
      <c r="U28" s="1584">
        <f>+'Phụ lục số 2'!U27</f>
        <v>1026438.8513223607</v>
      </c>
      <c r="V28" s="1584">
        <f>+'Phụ lục số 2'!V27</f>
        <v>0</v>
      </c>
      <c r="W28" s="1584">
        <f t="shared" si="25"/>
        <v>1066148.1089780629</v>
      </c>
      <c r="X28" s="1771">
        <f t="shared" si="9"/>
        <v>4.6237236151825556</v>
      </c>
      <c r="Y28" s="1773">
        <f t="shared" si="10"/>
        <v>1.0386864328104346</v>
      </c>
      <c r="Z28" s="1765">
        <f>+'Phụ lục số 2'!Z27</f>
        <v>1066148.1089780629</v>
      </c>
      <c r="AA28" s="5595">
        <f>+'Phụ lục số 2'!AA27</f>
        <v>0</v>
      </c>
      <c r="AB28" s="5562">
        <f t="shared" si="26"/>
        <v>1097424.9225801111</v>
      </c>
      <c r="AC28" s="1771">
        <f t="shared" si="12"/>
        <v>4.3035175322699084</v>
      </c>
      <c r="AD28" s="1774">
        <f t="shared" si="13"/>
        <v>1.0293362745182075</v>
      </c>
      <c r="AE28" s="1584">
        <f>Z28*$AE$57</f>
        <v>1097424.9225801111</v>
      </c>
      <c r="AF28" s="1584">
        <f>$AF$57*AA28</f>
        <v>0</v>
      </c>
      <c r="AG28" s="1584">
        <f t="shared" si="27"/>
        <v>1136653.4044908821</v>
      </c>
      <c r="AH28" s="1775">
        <f t="shared" si="15"/>
        <v>4.1685813413238151</v>
      </c>
      <c r="AI28" s="1776">
        <f t="shared" si="16"/>
        <v>1.0357459367867667</v>
      </c>
      <c r="AJ28" s="1584">
        <f>AE28*$AJ$57</f>
        <v>1136653.4044908821</v>
      </c>
      <c r="AK28" s="1584">
        <f>AF28*$AK$57</f>
        <v>0</v>
      </c>
      <c r="AL28" s="1584">
        <f t="shared" si="28"/>
        <v>1165197.0836627327</v>
      </c>
      <c r="AM28" s="1771">
        <f t="shared" si="18"/>
        <v>4.0287465704355059</v>
      </c>
      <c r="AN28" s="1776">
        <f t="shared" si="19"/>
        <v>1.0251120342041606</v>
      </c>
      <c r="AO28" s="1584">
        <f>AJ28*$AO$57</f>
        <v>1165197.0836627327</v>
      </c>
      <c r="AP28" s="1584">
        <f>AK28*$AP$57</f>
        <v>0</v>
      </c>
      <c r="AR28" s="5138">
        <f t="shared" si="1"/>
        <v>3089847.9603004237</v>
      </c>
    </row>
    <row r="29" spans="1:44">
      <c r="A29" s="5587" t="s">
        <v>157</v>
      </c>
      <c r="B29" s="1811" t="s">
        <v>158</v>
      </c>
      <c r="C29" s="1584">
        <f>+'Phụ lục số 2'!C28</f>
        <v>0</v>
      </c>
      <c r="D29" s="1584">
        <f>+'Phụ lục số 2'!D28</f>
        <v>91888</v>
      </c>
      <c r="E29" s="1766">
        <f t="shared" si="2"/>
        <v>0.48272006942496903</v>
      </c>
      <c r="F29" s="1584">
        <f>+'Phụ lục số 2'!F28</f>
        <v>47888</v>
      </c>
      <c r="G29" s="1584">
        <f>+'Phụ lục số 2'!G28</f>
        <v>44000</v>
      </c>
      <c r="H29" s="1584">
        <f t="shared" si="29"/>
        <v>97395</v>
      </c>
      <c r="I29" s="1767">
        <f t="shared" si="4"/>
        <v>0.4940683728122946</v>
      </c>
      <c r="J29" s="1768">
        <f t="shared" si="3"/>
        <v>1.0599316559289569</v>
      </c>
      <c r="K29" s="196">
        <f>+'Phụ lục số 2'!K28</f>
        <v>50658</v>
      </c>
      <c r="L29" s="196">
        <f>+'Phụ lục số 2'!L28</f>
        <v>46737</v>
      </c>
      <c r="M29" s="1584">
        <f t="shared" si="23"/>
        <v>103203.79999999999</v>
      </c>
      <c r="N29" s="1767">
        <f t="shared" si="7"/>
        <v>0.48287236652916604</v>
      </c>
      <c r="O29" s="1770">
        <f t="shared" si="0"/>
        <v>1.1231477450809679</v>
      </c>
      <c r="P29" s="1769">
        <f>+'Phụ lục số 2'!P28</f>
        <v>55631</v>
      </c>
      <c r="Q29" s="1769">
        <f>+'Phụ lục số 2'!Q28</f>
        <v>47572.799999999996</v>
      </c>
      <c r="R29" s="1584">
        <f t="shared" si="24"/>
        <v>105093.80079770779</v>
      </c>
      <c r="S29" s="1771">
        <f t="shared" si="30"/>
        <v>0.47110322168386359</v>
      </c>
      <c r="T29" s="1772">
        <f t="shared" si="20"/>
        <v>1.0183132868916436</v>
      </c>
      <c r="U29" s="1584">
        <f>+'Phụ lục số 2'!U28</f>
        <v>57258.65118350587</v>
      </c>
      <c r="V29" s="1584">
        <f>+'Phụ lục số 2'!V28</f>
        <v>47835.149614201924</v>
      </c>
      <c r="W29" s="1584">
        <f t="shared" si="25"/>
        <v>108751.20250499059</v>
      </c>
      <c r="X29" s="1771">
        <f t="shared" si="9"/>
        <v>0.47163756983427862</v>
      </c>
      <c r="Y29" s="1773">
        <f t="shared" si="10"/>
        <v>1.034801307779541</v>
      </c>
      <c r="Z29" s="1765">
        <f>+'Phụ lục số 2'!Z28</f>
        <v>59473.784145332684</v>
      </c>
      <c r="AA29" s="5595">
        <f>+'Phụ lục số 2'!AA28</f>
        <v>49277.418359657902</v>
      </c>
      <c r="AB29" s="5562">
        <f t="shared" si="26"/>
        <v>113370.95987904488</v>
      </c>
      <c r="AC29" s="1771">
        <f t="shared" si="12"/>
        <v>0.44458067558978931</v>
      </c>
      <c r="AD29" s="1774">
        <f t="shared" si="13"/>
        <v>1.0424800578535423</v>
      </c>
      <c r="AE29" s="1584">
        <f>Z29*$AE$57</f>
        <v>61218.523403656785</v>
      </c>
      <c r="AF29" s="1584">
        <f>$AF$57*AA29</f>
        <v>52152.436475388095</v>
      </c>
      <c r="AG29" s="1584">
        <f t="shared" si="27"/>
        <v>117786.92969394062</v>
      </c>
      <c r="AH29" s="1775">
        <f t="shared" si="15"/>
        <v>0.43197371813961749</v>
      </c>
      <c r="AI29" s="1776">
        <f t="shared" si="16"/>
        <v>1.0389515076842175</v>
      </c>
      <c r="AJ29" s="1584">
        <f>AE29*$AJ$57</f>
        <v>63406.836871423104</v>
      </c>
      <c r="AK29" s="1584">
        <f>AF29*$AK$57</f>
        <v>54380.092822517508</v>
      </c>
      <c r="AL29" s="1584">
        <f t="shared" si="28"/>
        <v>121184.0677397488</v>
      </c>
      <c r="AM29" s="1771">
        <f t="shared" si="18"/>
        <v>0.41900199043001779</v>
      </c>
      <c r="AN29" s="1776">
        <f t="shared" si="19"/>
        <v>1.0288413837989949</v>
      </c>
      <c r="AO29" s="1584">
        <f>AJ29*$AO$57</f>
        <v>64999.111527715912</v>
      </c>
      <c r="AP29" s="1584">
        <f>AK29*$AP$57</f>
        <v>56184.956212032885</v>
      </c>
      <c r="AR29" s="5138">
        <f t="shared" si="1"/>
        <v>317048.80330269836</v>
      </c>
    </row>
    <row r="30" spans="1:44">
      <c r="A30" s="5587" t="s">
        <v>159</v>
      </c>
      <c r="B30" s="1811" t="s">
        <v>160</v>
      </c>
      <c r="C30" s="1584">
        <f>+'Phụ lục số 2'!C29</f>
        <v>0</v>
      </c>
      <c r="D30" s="1584">
        <f>+'Phụ lục số 2'!D29</f>
        <v>50073</v>
      </c>
      <c r="E30" s="1766">
        <f t="shared" si="2"/>
        <v>0.26305112785474133</v>
      </c>
      <c r="F30" s="1584">
        <f>+'Phụ lục số 2'!F29</f>
        <v>18073</v>
      </c>
      <c r="G30" s="1584">
        <f>+'Phụ lục số 2'!G29</f>
        <v>32000</v>
      </c>
      <c r="H30" s="1584">
        <f t="shared" si="29"/>
        <v>50036</v>
      </c>
      <c r="I30" s="1767">
        <f t="shared" si="4"/>
        <v>0.2538241706662146</v>
      </c>
      <c r="J30" s="1768">
        <f t="shared" si="3"/>
        <v>0.99926107882491566</v>
      </c>
      <c r="K30" s="196">
        <f>+'Phụ lục số 2'!K29</f>
        <v>18036</v>
      </c>
      <c r="L30" s="196">
        <f>+'Phụ lục số 2'!L29</f>
        <v>32000</v>
      </c>
      <c r="M30" s="1584">
        <f t="shared" si="23"/>
        <v>66992.399999999994</v>
      </c>
      <c r="N30" s="1767">
        <f t="shared" si="7"/>
        <v>0.31344561660974213</v>
      </c>
      <c r="O30" s="1770">
        <f t="shared" si="0"/>
        <v>1.3378946737762865</v>
      </c>
      <c r="P30" s="1769">
        <f>+'Phụ lục số 2'!P29</f>
        <v>32394</v>
      </c>
      <c r="Q30" s="1769">
        <f>+'Phụ lục số 2'!Q29</f>
        <v>34598.400000000001</v>
      </c>
      <c r="R30" s="1584">
        <f t="shared" si="24"/>
        <v>68130.983013598889</v>
      </c>
      <c r="S30" s="1771">
        <f t="shared" si="30"/>
        <v>0.30541026540639765</v>
      </c>
      <c r="T30" s="1772">
        <f t="shared" si="20"/>
        <v>1.0169957041932949</v>
      </c>
      <c r="U30" s="1584">
        <f>+'Phụ lục số 2'!U29</f>
        <v>33341.783294179309</v>
      </c>
      <c r="V30" s="1584">
        <f>+'Phụ lục số 2'!V29</f>
        <v>34789.199719419586</v>
      </c>
      <c r="W30" s="1584">
        <f t="shared" si="25"/>
        <v>70469.780396757211</v>
      </c>
      <c r="X30" s="1771">
        <f t="shared" si="9"/>
        <v>0.30561681349276715</v>
      </c>
      <c r="Y30" s="1773">
        <f t="shared" si="10"/>
        <v>1.0343279559417409</v>
      </c>
      <c r="Z30" s="1765">
        <f>+'Phụ lục số 2'!Z29</f>
        <v>34631.657953369649</v>
      </c>
      <c r="AA30" s="5595">
        <f>+'Phụ lục số 2'!AA29</f>
        <v>35838.122443387569</v>
      </c>
      <c r="AB30" s="5562">
        <f t="shared" si="26"/>
        <v>73576.666487483541</v>
      </c>
      <c r="AC30" s="1771">
        <f t="shared" si="12"/>
        <v>0.28852859788387658</v>
      </c>
      <c r="AD30" s="1774">
        <f t="shared" si="13"/>
        <v>1.0440882045216264</v>
      </c>
      <c r="AE30" s="1584">
        <f>Z30*$AE$57</f>
        <v>35647.62177811037</v>
      </c>
      <c r="AF30" s="1584">
        <f>$AF$57*AA30</f>
        <v>37929.044709373164</v>
      </c>
      <c r="AG30" s="1584">
        <f t="shared" si="27"/>
        <v>76471.037829165638</v>
      </c>
      <c r="AH30" s="1775">
        <f t="shared" si="15"/>
        <v>0.28045113856770626</v>
      </c>
      <c r="AI30" s="1776">
        <f t="shared" si="16"/>
        <v>1.0393381690127872</v>
      </c>
      <c r="AJ30" s="1584">
        <f>AE30*$AJ$57</f>
        <v>36921.879412789269</v>
      </c>
      <c r="AK30" s="1584">
        <f>AF30*$AK$57</f>
        <v>39549.158416376376</v>
      </c>
      <c r="AL30" s="1584">
        <f t="shared" si="28"/>
        <v>78710.849247509061</v>
      </c>
      <c r="AM30" s="1771">
        <f t="shared" si="18"/>
        <v>0.27214800689782265</v>
      </c>
      <c r="AN30" s="1776">
        <f t="shared" si="19"/>
        <v>1.0292896694216065</v>
      </c>
      <c r="AO30" s="1584">
        <f>AJ30*$AO$57</f>
        <v>37849.062911485125</v>
      </c>
      <c r="AP30" s="1584">
        <f>AK30*$AP$57</f>
        <v>40861.786336023928</v>
      </c>
      <c r="AR30" s="5138">
        <f t="shared" si="1"/>
        <v>205593.16341035609</v>
      </c>
    </row>
    <row r="31" spans="1:44">
      <c r="A31" s="5587" t="s">
        <v>161</v>
      </c>
      <c r="B31" s="1811" t="s">
        <v>162</v>
      </c>
      <c r="C31" s="1584">
        <f>+'Phụ lục số 2'!C30</f>
        <v>0</v>
      </c>
      <c r="D31" s="1584">
        <f>+'Phụ lục số 2'!D30</f>
        <v>53202</v>
      </c>
      <c r="E31" s="1766">
        <f t="shared" si="2"/>
        <v>0.2794888683347902</v>
      </c>
      <c r="F31" s="1584">
        <f>+'Phụ lục số 2'!F30</f>
        <v>37202</v>
      </c>
      <c r="G31" s="1584">
        <f>+'Phụ lục số 2'!G30</f>
        <v>16000</v>
      </c>
      <c r="H31" s="1584">
        <f t="shared" si="29"/>
        <v>52309</v>
      </c>
      <c r="I31" s="1767">
        <f t="shared" si="4"/>
        <v>0.26535471547244027</v>
      </c>
      <c r="J31" s="1768">
        <f t="shared" si="3"/>
        <v>0.98321491673245365</v>
      </c>
      <c r="K31" s="196">
        <f>+'Phụ lục số 2'!K30</f>
        <v>36309</v>
      </c>
      <c r="L31" s="196">
        <f>+'Phụ lục số 2'!L30</f>
        <v>16000</v>
      </c>
      <c r="M31" s="1584">
        <f t="shared" si="23"/>
        <v>40914.199999999997</v>
      </c>
      <c r="N31" s="1767">
        <f t="shared" si="7"/>
        <v>0.1914303211572404</v>
      </c>
      <c r="O31" s="1770">
        <f t="shared" si="0"/>
        <v>0.76903499868425995</v>
      </c>
      <c r="P31" s="1769">
        <f>+'Phụ lục số 2'!P30</f>
        <v>23615</v>
      </c>
      <c r="Q31" s="1769">
        <f>+'Phụ lục số 2'!Q30</f>
        <v>17299.2</v>
      </c>
      <c r="R31" s="1584">
        <f t="shared" si="24"/>
        <v>41700.527268861006</v>
      </c>
      <c r="S31" s="1771">
        <f t="shared" si="30"/>
        <v>0.18693065236160639</v>
      </c>
      <c r="T31" s="1772">
        <f t="shared" si="20"/>
        <v>1.0192189330076358</v>
      </c>
      <c r="U31" s="1584">
        <f>+'Phụ lục số 2'!U30</f>
        <v>24305.927409151212</v>
      </c>
      <c r="V31" s="1584">
        <f>+'Phụ lục số 2'!V30</f>
        <v>17394.599859709793</v>
      </c>
      <c r="W31" s="1584">
        <f t="shared" si="25"/>
        <v>43165.298258454422</v>
      </c>
      <c r="X31" s="1771">
        <f t="shared" si="9"/>
        <v>0.18720139090742485</v>
      </c>
      <c r="Y31" s="1773">
        <f t="shared" si="10"/>
        <v>1.0351259584836761</v>
      </c>
      <c r="Z31" s="1765">
        <f>+'Phụ lục số 2'!Z30</f>
        <v>25246.237036760642</v>
      </c>
      <c r="AA31" s="5595">
        <f>+'Phụ lục số 2'!AA30</f>
        <v>17919.061221693784</v>
      </c>
      <c r="AB31" s="5562">
        <f t="shared" si="26"/>
        <v>44951.389931709375</v>
      </c>
      <c r="AC31" s="1771">
        <f t="shared" si="12"/>
        <v>0.17627547059547549</v>
      </c>
      <c r="AD31" s="1774">
        <f t="shared" si="13"/>
        <v>1.0413779527842166</v>
      </c>
      <c r="AE31" s="1584">
        <f>Z31*$AE$57</f>
        <v>25986.867577022789</v>
      </c>
      <c r="AF31" s="1584">
        <f>$AF$57*AA31</f>
        <v>18964.522354686582</v>
      </c>
      <c r="AG31" s="1584">
        <f t="shared" si="27"/>
        <v>46690.37171090531</v>
      </c>
      <c r="AH31" s="1775">
        <f t="shared" si="15"/>
        <v>0.17123303512272589</v>
      </c>
      <c r="AI31" s="1776">
        <f t="shared" si="16"/>
        <v>1.0386858288884462</v>
      </c>
      <c r="AJ31" s="1584">
        <f>AE31*$AJ$57</f>
        <v>26915.792502717122</v>
      </c>
      <c r="AK31" s="1584">
        <f>AF31*$AK$57</f>
        <v>19774.579208188188</v>
      </c>
      <c r="AL31" s="1584">
        <f t="shared" si="28"/>
        <v>48022.595972689407</v>
      </c>
      <c r="AM31" s="1771">
        <f t="shared" si="18"/>
        <v>0.16604132600488269</v>
      </c>
      <c r="AN31" s="1776">
        <f t="shared" si="19"/>
        <v>1.028533168894711</v>
      </c>
      <c r="AO31" s="1584">
        <f>AJ31*$AO$57</f>
        <v>27591.702804677447</v>
      </c>
      <c r="AP31" s="1584">
        <f>AK31*$AP$57</f>
        <v>20430.893168011964</v>
      </c>
      <c r="AR31" s="5138">
        <f t="shared" si="1"/>
        <v>125780.02552731543</v>
      </c>
    </row>
    <row r="32" spans="1:44">
      <c r="A32" s="5587" t="s">
        <v>163</v>
      </c>
      <c r="B32" s="1811" t="s">
        <v>164</v>
      </c>
      <c r="C32" s="1584">
        <f>+'Phụ lục số 2'!C31</f>
        <v>0</v>
      </c>
      <c r="D32" s="1584">
        <f>+'Phụ lục số 2'!D31</f>
        <v>151965</v>
      </c>
      <c r="E32" s="1766">
        <f t="shared" si="2"/>
        <v>0.79832573731243917</v>
      </c>
      <c r="F32" s="1584">
        <f>+'Phụ lục số 2'!F31</f>
        <v>67965</v>
      </c>
      <c r="G32" s="1584">
        <f>+'Phụ lục số 2'!G31</f>
        <v>84000</v>
      </c>
      <c r="H32" s="1584">
        <f t="shared" si="29"/>
        <v>150925</v>
      </c>
      <c r="I32" s="1767">
        <f t="shared" si="4"/>
        <v>0.76561701490523704</v>
      </c>
      <c r="J32" s="1768">
        <f t="shared" si="3"/>
        <v>0.99315631888921796</v>
      </c>
      <c r="K32" s="196">
        <f>+'Phụ lục số 2'!K31</f>
        <v>68246</v>
      </c>
      <c r="L32" s="196">
        <f>+'Phụ lục số 2'!L31</f>
        <v>82679</v>
      </c>
      <c r="M32" s="1584">
        <f t="shared" si="23"/>
        <v>205900</v>
      </c>
      <c r="N32" s="1767">
        <f t="shared" si="7"/>
        <v>0.96336976224087967</v>
      </c>
      <c r="O32" s="1770">
        <f t="shared" si="0"/>
        <v>1.354917250682723</v>
      </c>
      <c r="P32" s="1769">
        <f>+'Phụ lục số 2'!P31</f>
        <v>88389</v>
      </c>
      <c r="Q32" s="1769">
        <f>+'Phụ lục số 2'!Q31</f>
        <v>117511</v>
      </c>
      <c r="R32" s="1584">
        <f t="shared" si="24"/>
        <v>229134.12203563427</v>
      </c>
      <c r="S32" s="1771">
        <f t="shared" si="30"/>
        <v>1.0271378736836521</v>
      </c>
      <c r="T32" s="1772">
        <f t="shared" si="20"/>
        <v>1.112841777734989</v>
      </c>
      <c r="U32" s="1584">
        <f>+'Phụ lục số 2'!U31</f>
        <v>110975.08438566448</v>
      </c>
      <c r="V32" s="1584">
        <f>+'Phụ lục số 2'!V31</f>
        <v>118159.03764996979</v>
      </c>
      <c r="W32" s="1584">
        <f t="shared" si="25"/>
        <v>236989.94346349864</v>
      </c>
      <c r="X32" s="1771">
        <f t="shared" si="9"/>
        <v>1.027789655982501</v>
      </c>
      <c r="Y32" s="1773">
        <f t="shared" si="10"/>
        <v>1.0342848169363559</v>
      </c>
      <c r="Z32" s="1765">
        <f>+'Phụ lục số 2'!Z31</f>
        <v>115268.3145313828</v>
      </c>
      <c r="AA32" s="5595">
        <f>+'Phụ lục số 2'!AA31</f>
        <v>121721.62893211584</v>
      </c>
      <c r="AB32" s="5562">
        <f t="shared" si="26"/>
        <v>257473.15485200961</v>
      </c>
      <c r="AC32" s="1771">
        <f t="shared" si="12"/>
        <v>1.0096729290504904</v>
      </c>
      <c r="AD32" s="1774">
        <f t="shared" si="13"/>
        <v>1.086430719756114</v>
      </c>
      <c r="AE32" s="1584">
        <f>Z32*$AE$57+5000</f>
        <v>123649.85744972654</v>
      </c>
      <c r="AF32" s="1584">
        <f>$AF$57*AA32+5000</f>
        <v>133823.29740228306</v>
      </c>
      <c r="AG32" s="1584">
        <f t="shared" si="27"/>
        <v>277609.30723777274</v>
      </c>
      <c r="AH32" s="1775">
        <f t="shared" si="15"/>
        <v>1.0181089272745787</v>
      </c>
      <c r="AI32" s="1776">
        <f t="shared" si="16"/>
        <v>1.0782068033358156</v>
      </c>
      <c r="AJ32" s="1584">
        <f>AE32*$AJ$57+10000</f>
        <v>138069.83743781719</v>
      </c>
      <c r="AK32" s="1584">
        <f>AF32*$AK$57</f>
        <v>139539.46979995558</v>
      </c>
      <c r="AL32" s="1584">
        <f t="shared" si="28"/>
        <v>285707.80620771809</v>
      </c>
      <c r="AM32" s="1771">
        <f t="shared" si="18"/>
        <v>0.987853780742183</v>
      </c>
      <c r="AN32" s="1776">
        <f t="shared" si="19"/>
        <v>1.0291722891084807</v>
      </c>
      <c r="AO32" s="1584">
        <f>AJ32*$AO$57</f>
        <v>141537.05191811855</v>
      </c>
      <c r="AP32" s="1584">
        <f>AK32*$AP$57</f>
        <v>144170.75428959957</v>
      </c>
      <c r="AR32" s="5138">
        <f t="shared" si="1"/>
        <v>672024.06549913296</v>
      </c>
    </row>
    <row r="33" spans="1:44">
      <c r="A33" s="5587" t="s">
        <v>165</v>
      </c>
      <c r="B33" s="1811" t="s">
        <v>166</v>
      </c>
      <c r="C33" s="1584">
        <f>+'Phụ lục số 2'!C32</f>
        <v>0</v>
      </c>
      <c r="D33" s="1584">
        <f>+'Phụ lục số 2'!D32</f>
        <v>2068978.6115313373</v>
      </c>
      <c r="E33" s="1766">
        <f t="shared" si="2"/>
        <v>10.869074296939568</v>
      </c>
      <c r="F33" s="1584">
        <f>+'Phụ lục số 2'!F32</f>
        <v>545710</v>
      </c>
      <c r="G33" s="1584">
        <f>+'Phụ lục số 2'!G32</f>
        <v>1523268.6115313373</v>
      </c>
      <c r="H33" s="1584">
        <f t="shared" si="29"/>
        <v>2064372.1115313373</v>
      </c>
      <c r="I33" s="1767">
        <f t="shared" si="4"/>
        <v>10.472210791348308</v>
      </c>
      <c r="J33" s="1768">
        <f t="shared" si="3"/>
        <v>0.99777353909106359</v>
      </c>
      <c r="K33" s="196">
        <f>+'Phụ lục số 2'!K32</f>
        <v>537852.5</v>
      </c>
      <c r="L33" s="196">
        <f>+'Phụ lục số 2'!L32</f>
        <v>1526519.6115313373</v>
      </c>
      <c r="M33" s="1584">
        <f t="shared" ref="M33:M40" si="37">SUM(P33:Q33)</f>
        <v>2529125.4500000002</v>
      </c>
      <c r="N33" s="1767">
        <f t="shared" si="7"/>
        <v>11.833331634015822</v>
      </c>
      <c r="O33" s="1770">
        <f t="shared" si="0"/>
        <v>1.2224028976926393</v>
      </c>
      <c r="P33" s="1769">
        <f>+'Phụ lục số 2'!P32</f>
        <v>396140.49299999996</v>
      </c>
      <c r="Q33" s="1769">
        <f>+'Phụ lục số 2'!Q32</f>
        <v>2132984.9570000004</v>
      </c>
      <c r="R33" s="1584">
        <f t="shared" si="24"/>
        <v>2562996.6915600761</v>
      </c>
      <c r="S33" s="1771">
        <f t="shared" si="30"/>
        <v>11.48912675528023</v>
      </c>
      <c r="T33" s="1772">
        <f t="shared" si="20"/>
        <v>1.0133924719155691</v>
      </c>
      <c r="U33" s="1584">
        <f>+'Phụ lục số 2'!U32</f>
        <v>419856.96716846811</v>
      </c>
      <c r="V33" s="1584">
        <f>+'Phụ lục số 2'!V32</f>
        <v>2143139.724391608</v>
      </c>
      <c r="W33" s="1584">
        <f t="shared" si="25"/>
        <v>2660010.7692122622</v>
      </c>
      <c r="X33" s="1771">
        <f t="shared" si="9"/>
        <v>11.536065680438888</v>
      </c>
      <c r="Y33" s="1773">
        <f t="shared" si="10"/>
        <v>1.037851815404855</v>
      </c>
      <c r="Z33" s="1765">
        <f>+'Phụ lục số 2'!Z32</f>
        <v>442627.7355188239</v>
      </c>
      <c r="AA33" s="5595">
        <f>+'Phụ lục số 2'!AA32</f>
        <v>2217383.0336934384</v>
      </c>
      <c r="AB33" s="5562">
        <f t="shared" si="26"/>
        <v>2798365.7525898023</v>
      </c>
      <c r="AC33" s="1771">
        <f t="shared" si="12"/>
        <v>10.973703831748706</v>
      </c>
      <c r="AD33" s="1774">
        <f t="shared" si="13"/>
        <v>1.0520129410673449</v>
      </c>
      <c r="AE33" s="1584">
        <f>Z33*$AE$57+20000-10000</f>
        <v>465612.78427737666</v>
      </c>
      <c r="AF33" s="1584">
        <f>$AF$57*AA33-14000</f>
        <v>2332752.9683124255</v>
      </c>
      <c r="AG33" s="1584">
        <f t="shared" si="27"/>
        <v>2994651.4962847815</v>
      </c>
      <c r="AH33" s="1775">
        <f t="shared" si="15"/>
        <v>10.982634021820962</v>
      </c>
      <c r="AI33" s="1776">
        <f t="shared" si="16"/>
        <v>1.0701429909629656</v>
      </c>
      <c r="AJ33" s="1584">
        <f>AE33*$AJ$57+50000-20000</f>
        <v>512256.54943126626</v>
      </c>
      <c r="AK33" s="1584">
        <f>AF33*$AK$57+50000</f>
        <v>2482394.9468535152</v>
      </c>
      <c r="AL33" s="1584">
        <f t="shared" si="28"/>
        <v>3159905.4457375817</v>
      </c>
      <c r="AM33" s="1771">
        <f t="shared" si="18"/>
        <v>10.925583668127857</v>
      </c>
      <c r="AN33" s="1776">
        <f t="shared" si="19"/>
        <v>1.0551830320348852</v>
      </c>
      <c r="AO33" s="1584">
        <f>AJ33*$AO$57+50000+50000-(50000)</f>
        <v>575120.35342188948</v>
      </c>
      <c r="AP33" s="1584">
        <f>AK33*$AP$57+50000-30000</f>
        <v>2584785.092315692</v>
      </c>
      <c r="AR33" s="5138">
        <f t="shared" si="1"/>
        <v>7752132.9107723385</v>
      </c>
    </row>
    <row r="34" spans="1:44">
      <c r="A34" s="5587" t="s">
        <v>167</v>
      </c>
      <c r="B34" s="1811" t="s">
        <v>168</v>
      </c>
      <c r="C34" s="1584">
        <f>+'Phụ lục số 2'!C33</f>
        <v>0</v>
      </c>
      <c r="D34" s="1584">
        <f>+'Phụ lục số 2'!D33</f>
        <v>1570458</v>
      </c>
      <c r="E34" s="1766">
        <f t="shared" si="2"/>
        <v>8.2501697151858568</v>
      </c>
      <c r="F34" s="1584">
        <f>+'Phụ lục số 2'!F33</f>
        <v>515458</v>
      </c>
      <c r="G34" s="1584">
        <f>+'Phụ lục số 2'!G33</f>
        <v>1055000</v>
      </c>
      <c r="H34" s="1584">
        <f t="shared" si="29"/>
        <v>1842870</v>
      </c>
      <c r="I34" s="1767">
        <f t="shared" si="4"/>
        <v>9.3485680189393019</v>
      </c>
      <c r="J34" s="1768">
        <f t="shared" si="3"/>
        <v>1.1734602262524689</v>
      </c>
      <c r="K34" s="196">
        <f>+'Phụ lục số 2'!K33</f>
        <v>566466</v>
      </c>
      <c r="L34" s="196">
        <f>+'Phụ lục số 2'!L33</f>
        <v>1276404</v>
      </c>
      <c r="M34" s="1584">
        <f t="shared" si="37"/>
        <v>1849437.5</v>
      </c>
      <c r="N34" s="1767">
        <f t="shared" si="7"/>
        <v>8.6531916690352944</v>
      </c>
      <c r="O34" s="1770">
        <f t="shared" si="0"/>
        <v>1.177642127328461</v>
      </c>
      <c r="P34" s="1769">
        <f>+'Phụ lục số 2'!P33</f>
        <v>708771.5</v>
      </c>
      <c r="Q34" s="1769">
        <f>+'Phụ lục số 2'!Q33</f>
        <v>1140666</v>
      </c>
      <c r="R34" s="1584">
        <f t="shared" si="24"/>
        <v>1976361.1569675999</v>
      </c>
      <c r="S34" s="1771">
        <f t="shared" si="30"/>
        <v>8.8594198819631238</v>
      </c>
      <c r="T34" s="1772">
        <f t="shared" si="20"/>
        <v>1.0686282488419316</v>
      </c>
      <c r="U34" s="1584">
        <f>+'Phụ lục số 2'!U33</f>
        <v>729508.72871798521</v>
      </c>
      <c r="V34" s="1584">
        <f>+'Phụ lục số 2'!V33</f>
        <v>1246852.4282496145</v>
      </c>
      <c r="W34" s="1584">
        <f t="shared" si="25"/>
        <v>2042176.8642546213</v>
      </c>
      <c r="X34" s="1771">
        <f t="shared" si="9"/>
        <v>8.8566131798371384</v>
      </c>
      <c r="Y34" s="1773">
        <f t="shared" si="10"/>
        <v>1.0333014576080846</v>
      </c>
      <c r="Z34" s="1765">
        <f>+'Phụ lục số 2'!Z33</f>
        <v>757730.81913615915</v>
      </c>
      <c r="AA34" s="5595">
        <f>+'Phụ lục số 2'!AA33</f>
        <v>1284446.0451184623</v>
      </c>
      <c r="AB34" s="5562">
        <f t="shared" si="26"/>
        <v>2139344.9689777205</v>
      </c>
      <c r="AC34" s="1771">
        <f t="shared" si="12"/>
        <v>8.3893744274765751</v>
      </c>
      <c r="AD34" s="1774">
        <f t="shared" si="13"/>
        <v>1.0475806510316945</v>
      </c>
      <c r="AE34" s="1584">
        <f>Z34*$AE$57</f>
        <v>779959.81845724373</v>
      </c>
      <c r="AF34" s="1584">
        <f>$AF$57*AA34</f>
        <v>1359385.150520477</v>
      </c>
      <c r="AG34" s="1584">
        <f t="shared" si="27"/>
        <v>2225290.5883542672</v>
      </c>
      <c r="AH34" s="1775">
        <f t="shared" si="15"/>
        <v>8.1610672074589328</v>
      </c>
      <c r="AI34" s="1776">
        <f t="shared" si="16"/>
        <v>1.0401738011507398</v>
      </c>
      <c r="AJ34" s="1584">
        <f>AE34*$AJ$57</f>
        <v>807840.21282403439</v>
      </c>
      <c r="AK34" s="1584">
        <f>AF34*$AK$57</f>
        <v>1417450.3755302329</v>
      </c>
      <c r="AL34" s="1584">
        <f t="shared" si="28"/>
        <v>2317621.9674209817</v>
      </c>
      <c r="AM34" s="1771">
        <f t="shared" si="18"/>
        <v>8.0133324085077291</v>
      </c>
      <c r="AN34" s="1776">
        <f t="shared" si="19"/>
        <v>1.0414918301231837</v>
      </c>
      <c r="AO34" s="1584">
        <f>AJ34*$AO$57+25000</f>
        <v>853126.72387996793</v>
      </c>
      <c r="AP34" s="1584">
        <f>AK34*$AP$57</f>
        <v>1464495.2435410137</v>
      </c>
      <c r="AR34" s="5138">
        <f t="shared" si="1"/>
        <v>5867975.5212222207</v>
      </c>
    </row>
    <row r="35" spans="1:44">
      <c r="A35" s="5587" t="s">
        <v>169</v>
      </c>
      <c r="B35" s="1811" t="s">
        <v>170</v>
      </c>
      <c r="C35" s="1584">
        <f>+'Phụ lục số 2'!C34</f>
        <v>0</v>
      </c>
      <c r="D35" s="1584">
        <f>+'Phụ lục số 2'!D34</f>
        <v>601385.4</v>
      </c>
      <c r="E35" s="1766">
        <f t="shared" si="2"/>
        <v>3.1592895921030246</v>
      </c>
      <c r="F35" s="1584">
        <f>+'Phụ lục số 2'!F34</f>
        <v>77385.399999999994</v>
      </c>
      <c r="G35" s="1584">
        <f>+'Phụ lục số 2'!G34</f>
        <v>524000</v>
      </c>
      <c r="H35" s="1584">
        <f t="shared" si="29"/>
        <v>602400.4</v>
      </c>
      <c r="I35" s="1767">
        <f t="shared" si="4"/>
        <v>3.0558754084858095</v>
      </c>
      <c r="J35" s="1768">
        <f t="shared" si="3"/>
        <v>1.0016877696066449</v>
      </c>
      <c r="K35" s="196">
        <f>+'Phụ lục số 2'!K34</f>
        <v>78697.399999999994</v>
      </c>
      <c r="L35" s="196">
        <f>+'Phụ lục số 2'!L34</f>
        <v>523703</v>
      </c>
      <c r="M35" s="1584">
        <f t="shared" si="37"/>
        <v>634621.89999999991</v>
      </c>
      <c r="N35" s="1767">
        <f t="shared" si="7"/>
        <v>2.9692838704024052</v>
      </c>
      <c r="O35" s="1770">
        <f t="shared" si="0"/>
        <v>1.0552665561884274</v>
      </c>
      <c r="P35" s="1769">
        <f>+'Phụ lục số 2'!P34</f>
        <v>68073.100000000006</v>
      </c>
      <c r="Q35" s="1769">
        <f>+'Phụ lục số 2'!Q34</f>
        <v>566548.79999999993</v>
      </c>
      <c r="R35" s="1584">
        <f t="shared" si="24"/>
        <v>639737.92741336743</v>
      </c>
      <c r="S35" s="1771">
        <f t="shared" si="30"/>
        <v>2.8677485860266705</v>
      </c>
      <c r="T35" s="1772">
        <f t="shared" si="20"/>
        <v>1.0080615361892924</v>
      </c>
      <c r="U35" s="1584">
        <f>+'Phụ lục số 2'!U34</f>
        <v>70064.782007871763</v>
      </c>
      <c r="V35" s="1584">
        <f>+'Phụ lục số 2'!V34</f>
        <v>569673.14540549566</v>
      </c>
      <c r="W35" s="1584">
        <f t="shared" si="25"/>
        <v>659624.59349986853</v>
      </c>
      <c r="X35" s="1771">
        <f t="shared" si="9"/>
        <v>2.8606924164073071</v>
      </c>
      <c r="Y35" s="1773">
        <f t="shared" si="10"/>
        <v>1.0310856449716967</v>
      </c>
      <c r="Z35" s="1765">
        <f>+'Phụ lục số 2'!Z34</f>
        <v>72775.338489397036</v>
      </c>
      <c r="AA35" s="5595">
        <f>+'Phụ lục số 2'!AA34</f>
        <v>586849.25501047145</v>
      </c>
      <c r="AB35" s="5562">
        <f t="shared" si="26"/>
        <v>715998.40291346307</v>
      </c>
      <c r="AC35" s="1771">
        <f t="shared" si="12"/>
        <v>2.8077653574433099</v>
      </c>
      <c r="AD35" s="1774">
        <f t="shared" si="13"/>
        <v>1.0854634741777647</v>
      </c>
      <c r="AE35" s="1584">
        <f>Z35*$AE$57+10000</f>
        <v>84910.295797477462</v>
      </c>
      <c r="AF35" s="1584">
        <f>$AF$57*AA35+10000</f>
        <v>631088.10711598559</v>
      </c>
      <c r="AG35" s="1584">
        <f t="shared" si="27"/>
        <v>835990.10622509313</v>
      </c>
      <c r="AH35" s="1775">
        <f t="shared" si="15"/>
        <v>3.0659238291747815</v>
      </c>
      <c r="AI35" s="1776">
        <f t="shared" si="16"/>
        <v>1.1675865516227031</v>
      </c>
      <c r="AJ35" s="1584">
        <f>AE35*$AJ$57+50000</f>
        <v>137945.49386359975</v>
      </c>
      <c r="AK35" s="1584">
        <f>AF35*$AK$57+40000</f>
        <v>698044.6123614934</v>
      </c>
      <c r="AL35" s="1584">
        <f t="shared" si="28"/>
        <v>962622.14622856514</v>
      </c>
      <c r="AM35" s="1771">
        <f t="shared" si="18"/>
        <v>3.3283302238045551</v>
      </c>
      <c r="AN35" s="1776">
        <f t="shared" si="19"/>
        <v>1.1514755247227482</v>
      </c>
      <c r="AO35" s="1584">
        <f>AJ35*$AO$57+50000</f>
        <v>191409.58582381229</v>
      </c>
      <c r="AP35" s="1584">
        <f>AK35*$AP$57+50000</f>
        <v>771212.56040475285</v>
      </c>
      <c r="AR35" s="5138">
        <f t="shared" si="1"/>
        <v>1933984.4209132358</v>
      </c>
    </row>
    <row r="36" spans="1:44">
      <c r="A36" s="5587" t="s">
        <v>171</v>
      </c>
      <c r="B36" s="1811" t="s">
        <v>172</v>
      </c>
      <c r="C36" s="1584">
        <f>+'Phụ lục số 2'!C35</f>
        <v>0</v>
      </c>
      <c r="D36" s="1584">
        <f>+'Phụ lục số 2'!D35</f>
        <v>52000</v>
      </c>
      <c r="E36" s="1766">
        <f t="shared" si="2"/>
        <v>0.2731743384348162</v>
      </c>
      <c r="F36" s="1584">
        <f>+'Phụ lục số 2'!F35</f>
        <v>20000</v>
      </c>
      <c r="G36" s="1584">
        <f>+'Phụ lục số 2'!G35</f>
        <v>32000</v>
      </c>
      <c r="H36" s="1584">
        <f t="shared" si="29"/>
        <v>50500</v>
      </c>
      <c r="I36" s="1767">
        <f t="shared" si="4"/>
        <v>0.25617796423862493</v>
      </c>
      <c r="J36" s="1768">
        <f t="shared" si="3"/>
        <v>0.97115384615384615</v>
      </c>
      <c r="K36" s="196">
        <f>+'Phụ lục số 2'!K35</f>
        <v>20000</v>
      </c>
      <c r="L36" s="196">
        <f>+'Phụ lục số 2'!L35</f>
        <v>30500</v>
      </c>
      <c r="M36" s="1584">
        <f>SUM(P36:Q36)</f>
        <v>56598.400000000001</v>
      </c>
      <c r="N36" s="1767">
        <f t="shared" si="7"/>
        <v>0.26481392496947159</v>
      </c>
      <c r="O36" s="1770">
        <f t="shared" si="0"/>
        <v>1.0884307692307693</v>
      </c>
      <c r="P36" s="1769">
        <f>+'Phụ lục số 2'!P35</f>
        <v>22000</v>
      </c>
      <c r="Q36" s="1769">
        <f>+'Phụ lục số 2'!Q35</f>
        <v>34598.400000000001</v>
      </c>
      <c r="R36" s="1584">
        <f t="shared" si="24"/>
        <v>57432.875476409914</v>
      </c>
      <c r="S36" s="1771">
        <f t="shared" si="30"/>
        <v>0.25745393602792804</v>
      </c>
      <c r="T36" s="1772">
        <f t="shared" si="20"/>
        <v>1.0147437997612991</v>
      </c>
      <c r="U36" s="1584">
        <f>+'Phụ lục số 2'!U35</f>
        <v>22643.675756990331</v>
      </c>
      <c r="V36" s="1584">
        <f>+'Phụ lục số 2'!V35</f>
        <v>34789.199719419586</v>
      </c>
      <c r="W36" s="1584">
        <f t="shared" si="25"/>
        <v>59357.801241131972</v>
      </c>
      <c r="X36" s="1771">
        <f t="shared" si="9"/>
        <v>0.25742583514687023</v>
      </c>
      <c r="Y36" s="1773">
        <f t="shared" si="10"/>
        <v>1.0335160959425183</v>
      </c>
      <c r="Z36" s="1765">
        <f>+'Phụ lục số 2'!Z35</f>
        <v>23519.678797744404</v>
      </c>
      <c r="AA36" s="5595">
        <f>+'Phụ lục số 2'!AA35</f>
        <v>35838.122443387569</v>
      </c>
      <c r="AB36" s="5562">
        <f t="shared" si="26"/>
        <v>62138.703260908267</v>
      </c>
      <c r="AC36" s="1771">
        <f t="shared" si="12"/>
        <v>0.24367498260120385</v>
      </c>
      <c r="AD36" s="1774">
        <f t="shared" si="13"/>
        <v>1.0468498152160204</v>
      </c>
      <c r="AE36" s="1584">
        <f>Z36*$AE$57</f>
        <v>24209.6585515351</v>
      </c>
      <c r="AF36" s="1584">
        <f>$AF$57*AA36</f>
        <v>37929.044709373164</v>
      </c>
      <c r="AG36" s="1584">
        <f t="shared" si="27"/>
        <v>64624.213892123858</v>
      </c>
      <c r="AH36" s="1775">
        <f t="shared" si="15"/>
        <v>0.23700390212537101</v>
      </c>
      <c r="AI36" s="1776">
        <f t="shared" si="16"/>
        <v>1.0399993965239251</v>
      </c>
      <c r="AJ36" s="1584">
        <f>AE36*$AJ$57</f>
        <v>25075.055475747482</v>
      </c>
      <c r="AK36" s="1584">
        <f>AF36*$AK$57</f>
        <v>39549.158416376376</v>
      </c>
      <c r="AL36" s="1584">
        <f t="shared" si="28"/>
        <v>66566.527462549609</v>
      </c>
      <c r="AM36" s="1771">
        <f t="shared" si="18"/>
        <v>0.23015820497725559</v>
      </c>
      <c r="AN36" s="1776">
        <f t="shared" si="19"/>
        <v>1.0300555078885449</v>
      </c>
      <c r="AO36" s="1584">
        <f>AJ36*$AO$57</f>
        <v>25704.741126525678</v>
      </c>
      <c r="AP36" s="1584">
        <f>AK36*$AP$57</f>
        <v>40861.786336023928</v>
      </c>
      <c r="AR36" s="5138">
        <f t="shared" si="1"/>
        <v>173389.07671754187</v>
      </c>
    </row>
    <row r="37" spans="1:44" s="31" customFormat="1">
      <c r="A37" s="5590">
        <v>3</v>
      </c>
      <c r="B37" s="1813" t="s">
        <v>1444</v>
      </c>
      <c r="C37" s="1570">
        <f>+'Phụ lục số 2'!C36</f>
        <v>3000</v>
      </c>
      <c r="D37" s="1570">
        <f>+'Phụ lục số 2'!D36</f>
        <v>3000</v>
      </c>
      <c r="E37" s="1748">
        <f t="shared" si="2"/>
        <v>1.5760057986624009E-2</v>
      </c>
      <c r="F37" s="1570">
        <f>+'Phụ lục số 2'!F36</f>
        <v>3000</v>
      </c>
      <c r="G37" s="1570">
        <f>+'Phụ lục số 2'!G36</f>
        <v>0</v>
      </c>
      <c r="H37" s="1570">
        <f t="shared" si="29"/>
        <v>3000</v>
      </c>
      <c r="I37" s="1749">
        <f t="shared" si="4"/>
        <v>1.5218492925066829E-2</v>
      </c>
      <c r="J37" s="1750">
        <f t="shared" si="3"/>
        <v>1</v>
      </c>
      <c r="K37" s="195">
        <f>+'Phụ lục số 2'!K36</f>
        <v>3000</v>
      </c>
      <c r="L37" s="195">
        <f>+'Phụ lục số 2'!L36</f>
        <v>0</v>
      </c>
      <c r="M37" s="1570">
        <f t="shared" si="37"/>
        <v>3500</v>
      </c>
      <c r="N37" s="1749">
        <f t="shared" si="7"/>
        <v>1.6375882311039723E-2</v>
      </c>
      <c r="O37" s="1752">
        <f t="shared" si="0"/>
        <v>1.1666666666666667</v>
      </c>
      <c r="P37" s="1751">
        <f>+'Phụ lục số 2'!P36</f>
        <v>3500</v>
      </c>
      <c r="Q37" s="1751">
        <f>+'Phụ lục số 2'!Q36</f>
        <v>0</v>
      </c>
      <c r="R37" s="1570">
        <f t="shared" si="24"/>
        <v>3500</v>
      </c>
      <c r="S37" s="1753">
        <f t="shared" si="30"/>
        <v>1.5689424717518507E-2</v>
      </c>
      <c r="T37" s="1754">
        <f t="shared" si="20"/>
        <v>1</v>
      </c>
      <c r="U37" s="1570">
        <f>+'Phụ lục số 2'!U36</f>
        <v>3500</v>
      </c>
      <c r="V37" s="1570">
        <f>+'Phụ lục số 2'!V36</f>
        <v>0</v>
      </c>
      <c r="W37" s="1570">
        <f t="shared" si="25"/>
        <v>3500</v>
      </c>
      <c r="X37" s="1753">
        <f t="shared" si="9"/>
        <v>1.5178972336827478E-2</v>
      </c>
      <c r="Y37" s="1755">
        <f t="shared" si="10"/>
        <v>1</v>
      </c>
      <c r="Z37" s="1760">
        <f>+'Phụ lục số 2'!Z36</f>
        <v>3500</v>
      </c>
      <c r="AA37" s="5594">
        <f>+'Phụ lục số 2'!AA36</f>
        <v>0</v>
      </c>
      <c r="AB37" s="5560">
        <f t="shared" si="26"/>
        <v>3500</v>
      </c>
      <c r="AC37" s="1753">
        <f t="shared" si="12"/>
        <v>1.3725140602358741E-2</v>
      </c>
      <c r="AD37" s="1756">
        <f t="shared" si="13"/>
        <v>1</v>
      </c>
      <c r="AE37" s="1570">
        <f>Z37</f>
        <v>3500</v>
      </c>
      <c r="AF37" s="1570"/>
      <c r="AG37" s="1570">
        <f t="shared" si="27"/>
        <v>3500</v>
      </c>
      <c r="AH37" s="1763">
        <f t="shared" si="15"/>
        <v>1.2835957414097016E-2</v>
      </c>
      <c r="AI37" s="1757">
        <f t="shared" si="16"/>
        <v>1</v>
      </c>
      <c r="AJ37" s="1570">
        <f>AE37</f>
        <v>3500</v>
      </c>
      <c r="AK37" s="1570"/>
      <c r="AL37" s="1570">
        <f t="shared" si="28"/>
        <v>3500</v>
      </c>
      <c r="AM37" s="1753">
        <f t="shared" si="18"/>
        <v>1.210148325483254E-2</v>
      </c>
      <c r="AN37" s="1757">
        <f t="shared" si="19"/>
        <v>1</v>
      </c>
      <c r="AO37" s="1570">
        <f>AJ37</f>
        <v>3500</v>
      </c>
      <c r="AP37" s="1570"/>
      <c r="AR37" s="5138">
        <f t="shared" si="1"/>
        <v>10500</v>
      </c>
    </row>
    <row r="38" spans="1:44" s="31" customFormat="1">
      <c r="A38" s="5590">
        <v>4</v>
      </c>
      <c r="B38" s="1813" t="s">
        <v>174</v>
      </c>
      <c r="C38" s="1570">
        <f>+'Phụ lục số 2'!C37</f>
        <v>1400</v>
      </c>
      <c r="D38" s="1570">
        <f>+'Phụ lục số 2'!D37</f>
        <v>2000</v>
      </c>
      <c r="E38" s="1748">
        <f t="shared" si="2"/>
        <v>1.0506705324416006E-2</v>
      </c>
      <c r="F38" s="1570">
        <f>+'Phụ lục số 2'!F37</f>
        <v>2000</v>
      </c>
      <c r="G38" s="1570">
        <f>+'Phụ lục số 2'!G37</f>
        <v>0</v>
      </c>
      <c r="H38" s="1570">
        <f t="shared" ref="H38:H40" si="38">SUM(K38:L38)</f>
        <v>2000</v>
      </c>
      <c r="I38" s="1749">
        <f t="shared" si="4"/>
        <v>1.0145661950044554E-2</v>
      </c>
      <c r="J38" s="1750">
        <f t="shared" si="3"/>
        <v>1</v>
      </c>
      <c r="K38" s="195">
        <f>+'Phụ lục số 2'!K37</f>
        <v>2000</v>
      </c>
      <c r="L38" s="195">
        <f>+'Phụ lục số 2'!L37</f>
        <v>0</v>
      </c>
      <c r="M38" s="1570">
        <f t="shared" si="37"/>
        <v>2000</v>
      </c>
      <c r="N38" s="1749">
        <f t="shared" si="7"/>
        <v>9.3576470348798423E-3</v>
      </c>
      <c r="O38" s="1752">
        <f t="shared" si="0"/>
        <v>1</v>
      </c>
      <c r="P38" s="1751">
        <f>+'Phụ lục số 2'!P37</f>
        <v>2000</v>
      </c>
      <c r="Q38" s="1751">
        <f>+'Phụ lục số 2'!Q37</f>
        <v>0</v>
      </c>
      <c r="R38" s="1570">
        <f t="shared" ref="R38:R40" si="39">SUM(U38:V38)</f>
        <v>2000</v>
      </c>
      <c r="S38" s="1753">
        <f t="shared" si="30"/>
        <v>8.9653855528677179E-3</v>
      </c>
      <c r="T38" s="1754">
        <f t="shared" si="20"/>
        <v>1</v>
      </c>
      <c r="U38" s="1570">
        <f>+'Phụ lục số 2'!U37</f>
        <v>2000</v>
      </c>
      <c r="V38" s="1570">
        <f>+'Phụ lục số 2'!V37</f>
        <v>0</v>
      </c>
      <c r="W38" s="1570">
        <f t="shared" ref="W38:W40" si="40">SUM(Z38:AA38)</f>
        <v>2000</v>
      </c>
      <c r="X38" s="1753">
        <f t="shared" si="9"/>
        <v>8.6736984781871293E-3</v>
      </c>
      <c r="Y38" s="1755">
        <f t="shared" si="10"/>
        <v>1</v>
      </c>
      <c r="Z38" s="1760">
        <f>+'Phụ lục số 2'!Z37</f>
        <v>2000</v>
      </c>
      <c r="AA38" s="5594">
        <f>+'Phụ lục số 2'!AA37</f>
        <v>0</v>
      </c>
      <c r="AB38" s="5560">
        <f t="shared" ref="AB38:AB40" si="41">SUM(AE38:AF38)</f>
        <v>2000</v>
      </c>
      <c r="AC38" s="1753">
        <f t="shared" si="12"/>
        <v>7.8429374870621384E-3</v>
      </c>
      <c r="AD38" s="1756">
        <f t="shared" si="13"/>
        <v>1</v>
      </c>
      <c r="AE38" s="1570">
        <f>Z38</f>
        <v>2000</v>
      </c>
      <c r="AF38" s="1570"/>
      <c r="AG38" s="1570">
        <f t="shared" ref="AG38:AG40" si="42">SUM(AJ38:AK38)</f>
        <v>2000</v>
      </c>
      <c r="AH38" s="1763">
        <f t="shared" si="15"/>
        <v>7.3348328080554371E-3</v>
      </c>
      <c r="AI38" s="1757">
        <f t="shared" si="16"/>
        <v>1</v>
      </c>
      <c r="AJ38" s="1570">
        <f>AE38</f>
        <v>2000</v>
      </c>
      <c r="AK38" s="1570"/>
      <c r="AL38" s="1570">
        <f t="shared" ref="AL38:AL40" si="43">SUM(AO38:AP38)</f>
        <v>2000</v>
      </c>
      <c r="AM38" s="1753">
        <f t="shared" si="18"/>
        <v>6.9151332884757376E-3</v>
      </c>
      <c r="AN38" s="1757">
        <f t="shared" si="19"/>
        <v>1</v>
      </c>
      <c r="AO38" s="1570">
        <f>AJ38</f>
        <v>2000</v>
      </c>
      <c r="AP38" s="1570"/>
      <c r="AR38" s="5138">
        <f t="shared" si="1"/>
        <v>6000</v>
      </c>
    </row>
    <row r="39" spans="1:44" s="31" customFormat="1">
      <c r="A39" s="5590">
        <v>5</v>
      </c>
      <c r="B39" s="1813" t="s">
        <v>175</v>
      </c>
      <c r="C39" s="1570">
        <f>+'Phụ lục số 2'!C38</f>
        <v>308869</v>
      </c>
      <c r="D39" s="1570">
        <f>+'Phụ lục số 2'!D38</f>
        <v>327868.79999999999</v>
      </c>
      <c r="E39" s="1748">
        <f t="shared" si="2"/>
        <v>1.7224104333349433</v>
      </c>
      <c r="F39" s="1570">
        <f>+'Phụ lục số 2'!F38</f>
        <v>152264.29999999999</v>
      </c>
      <c r="G39" s="1570">
        <f>+'Phụ lục số 2'!G38</f>
        <v>175604.5</v>
      </c>
      <c r="H39" s="1570">
        <f t="shared" si="38"/>
        <v>327868.79999999999</v>
      </c>
      <c r="I39" s="1749">
        <f t="shared" si="4"/>
        <v>1.6632230043833838</v>
      </c>
      <c r="J39" s="1750">
        <f t="shared" si="3"/>
        <v>1</v>
      </c>
      <c r="K39" s="195">
        <f>+'Phụ lục số 2'!K38</f>
        <v>152264.29999999999</v>
      </c>
      <c r="L39" s="195">
        <f>+'Phụ lục số 2'!L38</f>
        <v>175604.5</v>
      </c>
      <c r="M39" s="1570">
        <f t="shared" si="37"/>
        <v>376400.94999999995</v>
      </c>
      <c r="N39" s="1749">
        <f>M39/$M$9*100</f>
        <v>1.7611136168467274</v>
      </c>
      <c r="O39" s="1752">
        <f>M39/D39</f>
        <v>1.1480230811836929</v>
      </c>
      <c r="P39" s="1751">
        <f>+'Phụ lục số 2'!P38</f>
        <v>163959.4</v>
      </c>
      <c r="Q39" s="1751">
        <f>+'Phụ lục số 2'!Q38</f>
        <v>212441.54999999996</v>
      </c>
      <c r="R39" s="1570">
        <f t="shared" si="39"/>
        <v>382369.62325673946</v>
      </c>
      <c r="S39" s="1753">
        <f t="shared" si="30"/>
        <v>1.714045548100722</v>
      </c>
      <c r="T39" s="1754">
        <f t="shared" si="20"/>
        <v>1.0158572215525479</v>
      </c>
      <c r="U39" s="1570">
        <f>+'Phụ lục số 2'!U38</f>
        <v>168756.52231412186</v>
      </c>
      <c r="V39" s="1570">
        <f>+'Phụ lục số 2'!V38</f>
        <v>213613.1009426176</v>
      </c>
      <c r="W39" s="1570">
        <f t="shared" si="40"/>
        <v>395338.82020193478</v>
      </c>
      <c r="X39" s="1753">
        <f t="shared" si="9"/>
        <v>1.7145248615769086</v>
      </c>
      <c r="Y39" s="1755">
        <f t="shared" si="10"/>
        <v>1.0339179583219331</v>
      </c>
      <c r="Z39" s="1760">
        <f>+'Phụ lục số 2'!Z38</f>
        <v>175285.11017594975</v>
      </c>
      <c r="AA39" s="5594">
        <f>+'Phụ lục số 2'!AA38</f>
        <v>220053.71002598506</v>
      </c>
      <c r="AB39" s="5560">
        <f t="shared" si="41"/>
        <v>423319.74066702393</v>
      </c>
      <c r="AC39" s="1753">
        <f t="shared" si="12"/>
        <v>1.660035131545412</v>
      </c>
      <c r="AD39" s="1756">
        <f t="shared" si="13"/>
        <v>1.0707770626997795</v>
      </c>
      <c r="AE39" s="1570">
        <f>Z39*$AE$57</f>
        <v>180427.32228702566</v>
      </c>
      <c r="AF39" s="1570">
        <f>$AF$57*AA39+10000</f>
        <v>242892.4183799983</v>
      </c>
      <c r="AG39" s="1570">
        <f t="shared" si="42"/>
        <v>450144.2710752798</v>
      </c>
      <c r="AH39" s="1763">
        <f t="shared" si="15"/>
        <v>1.6508664839205811</v>
      </c>
      <c r="AI39" s="1757">
        <f t="shared" si="16"/>
        <v>1.0633670670920958</v>
      </c>
      <c r="AJ39" s="1570">
        <f>AE39*$AJ$57+10000</f>
        <v>196876.86594410328</v>
      </c>
      <c r="AK39" s="1570">
        <f>AF39*$AK$57</f>
        <v>253267.40513117655</v>
      </c>
      <c r="AL39" s="1570">
        <f t="shared" si="43"/>
        <v>493494.13946134038</v>
      </c>
      <c r="AM39" s="1753">
        <f t="shared" si="18"/>
        <v>1.7062888757284016</v>
      </c>
      <c r="AN39" s="1757">
        <f t="shared" si="19"/>
        <v>1.0963021661533285</v>
      </c>
      <c r="AO39" s="1570">
        <f>AJ39*$AO$57+20000</f>
        <v>221820.84453569955</v>
      </c>
      <c r="AP39" s="1570">
        <f>AK39*$AP$57+10000</f>
        <v>271673.2949256408</v>
      </c>
      <c r="AR39" s="5138">
        <f t="shared" si="1"/>
        <v>1154109.3934586742</v>
      </c>
    </row>
    <row r="40" spans="1:44" s="31" customFormat="1">
      <c r="A40" s="5590">
        <v>6</v>
      </c>
      <c r="B40" s="1813" t="s">
        <v>1419</v>
      </c>
      <c r="C40" s="1570">
        <f>+'Phụ lục số 2'!C39</f>
        <v>0</v>
      </c>
      <c r="D40" s="1570">
        <f>+'Phụ lục số 2'!D39</f>
        <v>717399.2</v>
      </c>
      <c r="E40" s="1748">
        <f t="shared" si="2"/>
        <v>3.7687509971858915</v>
      </c>
      <c r="F40" s="1570">
        <f>+'Phụ lục số 2'!F39</f>
        <v>79139.200000000012</v>
      </c>
      <c r="G40" s="1570">
        <f>+'Phụ lục số 2'!G39</f>
        <v>638260</v>
      </c>
      <c r="H40" s="1570">
        <f t="shared" si="38"/>
        <v>0.40000000001455194</v>
      </c>
      <c r="I40" s="1749">
        <f t="shared" si="4"/>
        <v>2.0291323900827299E-6</v>
      </c>
      <c r="J40" s="1750">
        <f t="shared" si="3"/>
        <v>5.5756962095100188E-7</v>
      </c>
      <c r="K40" s="195">
        <f>+'Phụ lục số 2'!K39</f>
        <v>0.40000000001455194</v>
      </c>
      <c r="L40" s="195">
        <f>+'Phụ lục số 2'!L39</f>
        <v>0</v>
      </c>
      <c r="M40" s="1570">
        <f t="shared" si="37"/>
        <v>519900</v>
      </c>
      <c r="N40" s="1749">
        <f t="shared" si="7"/>
        <v>2.4325203467170149</v>
      </c>
      <c r="O40" s="1752">
        <f t="shared" si="0"/>
        <v>0.72470111480470012</v>
      </c>
      <c r="P40" s="1751">
        <f>+'Phụ lục số 2'!P39</f>
        <v>0</v>
      </c>
      <c r="Q40" s="1751">
        <f>+'Phụ lục số 2'!Q39</f>
        <v>519900</v>
      </c>
      <c r="R40" s="1570">
        <f t="shared" si="39"/>
        <v>626117.15251171635</v>
      </c>
      <c r="S40" s="1753">
        <f t="shared" si="30"/>
        <v>2.8066908367656076</v>
      </c>
      <c r="T40" s="1754">
        <f t="shared" si="20"/>
        <v>1.2043030438771232</v>
      </c>
      <c r="U40" s="1570">
        <f>+'Phụ lục số 2'!U39</f>
        <v>202308.50969414107</v>
      </c>
      <c r="V40" s="1570">
        <f>+'Phụ lục số 2'!V39</f>
        <v>423808.64281757525</v>
      </c>
      <c r="W40" s="1570">
        <f t="shared" si="40"/>
        <v>789623.5261911191</v>
      </c>
      <c r="X40" s="1753">
        <f t="shared" si="9"/>
        <v>3.4244781887323326</v>
      </c>
      <c r="Y40" s="1755">
        <f t="shared" si="10"/>
        <v>1.2611434186453518</v>
      </c>
      <c r="Z40" s="1760">
        <f>+'Phụ lục số 2'!Z39</f>
        <v>394092.17037477036</v>
      </c>
      <c r="AA40" s="5594">
        <f>+'Phụ lục số 2'!AA39</f>
        <v>395531.35581634869</v>
      </c>
      <c r="AB40" s="5560">
        <f t="shared" si="41"/>
        <v>1878381.2760793623</v>
      </c>
      <c r="AC40" s="1753">
        <f t="shared" si="12"/>
        <v>7.3660134625792226</v>
      </c>
      <c r="AD40" s="1756">
        <f t="shared" si="13"/>
        <v>2.3788314478673755</v>
      </c>
      <c r="AE40" s="1570">
        <f>Z40+'Phụ lục số III-CĐC'!S76+261410.4-(10000)-(8136)+(10739)-50000</f>
        <v>902519.70589814463</v>
      </c>
      <c r="AF40" s="1570">
        <f>AA40+'Phụ lục số III-CĐC'!T76+40373-14000-(5462.9)</f>
        <v>975861.57018121763</v>
      </c>
      <c r="AG40" s="1570">
        <f t="shared" si="42"/>
        <v>2361678.9514439353</v>
      </c>
      <c r="AH40" s="1763">
        <f t="shared" si="15"/>
        <v>8.6612601275724703</v>
      </c>
      <c r="AI40" s="1757">
        <f t="shared" si="16"/>
        <v>1.2572947683834097</v>
      </c>
      <c r="AJ40" s="1570">
        <f>AE40+'Phụ lục số III-CĐC'!V76+172585-(14957.4)-(50000)-20000+18842.4</f>
        <v>1209442.0669776131</v>
      </c>
      <c r="AK40" s="1570">
        <f>AF40+'Phụ lục số III-CĐC'!W76+20318.5-(11130)</f>
        <v>1152236.8844663221</v>
      </c>
      <c r="AL40" s="1570">
        <f t="shared" si="43"/>
        <v>2802752.1232842514</v>
      </c>
      <c r="AM40" s="1753">
        <f t="shared" si="18"/>
        <v>9.6907022535344911</v>
      </c>
      <c r="AN40" s="1757">
        <f t="shared" si="19"/>
        <v>1.1867625451675567</v>
      </c>
      <c r="AO40" s="1570">
        <f>'Phụ lục số III-CĐC'!Y76+AJ40+100843-12513.9-(35000)+8877</f>
        <v>1422271.2651314689</v>
      </c>
      <c r="AP40" s="1570">
        <f>AK40+'Phụ lục số III-CĐC'!Z76-51426.5-7411.4</f>
        <v>1380480.8581527825</v>
      </c>
      <c r="AR40" s="5138">
        <f t="shared" si="1"/>
        <v>1935640.6787028355</v>
      </c>
    </row>
    <row r="41" spans="1:44" s="31" customFormat="1">
      <c r="A41" s="5593" t="s">
        <v>33</v>
      </c>
      <c r="B41" s="1781" t="s">
        <v>177</v>
      </c>
      <c r="C41" s="1760">
        <f>SUM(C42,C45,C48)</f>
        <v>1988976</v>
      </c>
      <c r="D41" s="1760">
        <f>SUM(D42,D45,D48)</f>
        <v>1988976</v>
      </c>
      <c r="E41" s="1748">
        <f t="shared" si="2"/>
        <v>10.448792364667824</v>
      </c>
      <c r="F41" s="1760">
        <f>SUM(F42,F45,F48)</f>
        <v>1988976</v>
      </c>
      <c r="G41" s="1760">
        <f t="shared" ref="G41" si="44">SUM(G42,G45,G48)</f>
        <v>0</v>
      </c>
      <c r="H41" s="1760">
        <f>SUM(H42,H45,H48)</f>
        <v>2127535</v>
      </c>
      <c r="I41" s="1749">
        <f>H41/$H$9*100</f>
        <v>10.792625448444019</v>
      </c>
      <c r="J41" s="1750">
        <f t="shared" si="3"/>
        <v>1.0696634851300368</v>
      </c>
      <c r="K41" s="1760">
        <f>SUM(K42,K45,K48)</f>
        <v>2127535</v>
      </c>
      <c r="L41" s="1760">
        <f t="shared" ref="L41" si="45">SUM(L42,L45,L48)</f>
        <v>0</v>
      </c>
      <c r="M41" s="1760">
        <f>SUM(M42,M45,M48)</f>
        <v>3036992</v>
      </c>
      <c r="N41" s="1749">
        <f t="shared" si="7"/>
        <v>14.209549591876899</v>
      </c>
      <c r="O41" s="1752">
        <f t="shared" si="0"/>
        <v>1.5269123408226142</v>
      </c>
      <c r="P41" s="1760">
        <f>SUM(P42,P45,P48)</f>
        <v>2782607</v>
      </c>
      <c r="Q41" s="1760">
        <f t="shared" ref="Q41" si="46">SUM(Q42,Q45,Q48)</f>
        <v>254385</v>
      </c>
      <c r="R41" s="1760">
        <f>SUM(R42,R45,R48)</f>
        <v>3036992</v>
      </c>
      <c r="S41" s="1759"/>
      <c r="T41" s="1759"/>
      <c r="U41" s="1760">
        <f>SUM(U42,U45,U48)</f>
        <v>2782607</v>
      </c>
      <c r="V41" s="1760">
        <f t="shared" ref="V41" si="47">SUM(V42,V45,V48)</f>
        <v>254385</v>
      </c>
      <c r="W41" s="1760">
        <f>SUM(W42,W45,W48)</f>
        <v>3036992</v>
      </c>
      <c r="X41" s="1759"/>
      <c r="Y41" s="1782"/>
      <c r="Z41" s="1760">
        <f>SUM(Z42,Z45,Z48)</f>
        <v>2782607</v>
      </c>
      <c r="AA41" s="5594">
        <f t="shared" ref="AA41" si="48">SUM(AA42,AA45,AA48)</f>
        <v>254385</v>
      </c>
      <c r="AB41" s="5568">
        <f>SUM(AB42,AB45,AB48)</f>
        <v>2782607</v>
      </c>
      <c r="AC41" s="1759"/>
      <c r="AD41" s="1759"/>
      <c r="AE41" s="1760">
        <f>SUM(AE42,AE45,AE48)</f>
        <v>2782607</v>
      </c>
      <c r="AF41" s="1760">
        <f t="shared" ref="AF41" si="49">SUM(AF42,AF45,AF48)</f>
        <v>0</v>
      </c>
      <c r="AG41" s="1760">
        <f>SUM(AG42,AG45,AG48)</f>
        <v>2782607</v>
      </c>
      <c r="AH41" s="1759"/>
      <c r="AI41" s="1759"/>
      <c r="AJ41" s="1760">
        <f>SUM(AJ42,AJ45,AJ48)</f>
        <v>2782607</v>
      </c>
      <c r="AK41" s="1760">
        <f t="shared" ref="AK41" si="50">SUM(AK42,AK45,AK48)</f>
        <v>0</v>
      </c>
      <c r="AL41" s="1760">
        <f>SUM(AL42,AL45,AL48)</f>
        <v>2782607</v>
      </c>
      <c r="AM41" s="1759"/>
      <c r="AN41" s="1759"/>
      <c r="AO41" s="1760">
        <f>SUM(AO42,AO45,AO48)</f>
        <v>2782607</v>
      </c>
      <c r="AP41" s="1760">
        <f t="shared" ref="AP41" si="51">SUM(AP42,AP45,AP48)</f>
        <v>0</v>
      </c>
      <c r="AR41" s="5138">
        <f t="shared" si="1"/>
        <v>9110976</v>
      </c>
    </row>
    <row r="42" spans="1:44">
      <c r="A42" s="4959">
        <v>1</v>
      </c>
      <c r="B42" s="1784" t="s">
        <v>178</v>
      </c>
      <c r="C42" s="1765">
        <f>SUM(C43:C44)</f>
        <v>1814491</v>
      </c>
      <c r="D42" s="1765">
        <f>SUM(D43:D44)</f>
        <v>1814491</v>
      </c>
      <c r="E42" s="1766">
        <f t="shared" si="2"/>
        <v>9.5321611254024621</v>
      </c>
      <c r="F42" s="1765">
        <f>SUM(F43:F44)</f>
        <v>1814491</v>
      </c>
      <c r="G42" s="1765">
        <f t="shared" ref="G42" si="52">SUM(G43:G44)</f>
        <v>0</v>
      </c>
      <c r="H42" s="1765">
        <f>SUM(H43:H44)</f>
        <v>1814491</v>
      </c>
      <c r="I42" s="1767">
        <f t="shared" si="4"/>
        <v>9.2046061486991437</v>
      </c>
      <c r="J42" s="1768">
        <f t="shared" si="3"/>
        <v>1</v>
      </c>
      <c r="K42" s="1765">
        <f>SUM(K43:K44)</f>
        <v>1814491</v>
      </c>
      <c r="L42" s="1765">
        <f t="shared" ref="L42" si="53">SUM(L43:L44)</f>
        <v>0</v>
      </c>
      <c r="M42" s="1765">
        <f>SUM(M43:M44)</f>
        <v>2530494</v>
      </c>
      <c r="N42" s="1767">
        <f t="shared" si="7"/>
        <v>11.839734837940615</v>
      </c>
      <c r="O42" s="1773"/>
      <c r="P42" s="1765">
        <f>SUM(P43:P44)</f>
        <v>2530494</v>
      </c>
      <c r="Q42" s="1765">
        <f t="shared" ref="Q42" si="54">SUM(Q43:Q44)</f>
        <v>0</v>
      </c>
      <c r="R42" s="1765">
        <f>SUM(R43:R44)</f>
        <v>2530494</v>
      </c>
      <c r="S42" s="1785"/>
      <c r="T42" s="1785"/>
      <c r="U42" s="1765">
        <f>SUM(U43:U44)</f>
        <v>2530494</v>
      </c>
      <c r="V42" s="1765">
        <f t="shared" ref="V42" si="55">SUM(V43:V44)</f>
        <v>0</v>
      </c>
      <c r="W42" s="1765">
        <f>SUM(W43:W44)</f>
        <v>2530494</v>
      </c>
      <c r="X42" s="1785"/>
      <c r="Y42" s="1786"/>
      <c r="Z42" s="1765">
        <f>SUM(Z43:Z44)</f>
        <v>2530494</v>
      </c>
      <c r="AA42" s="5595">
        <f t="shared" ref="AA42" si="56">SUM(AA43:AA44)</f>
        <v>0</v>
      </c>
      <c r="AB42" s="5569">
        <f>SUM(AB43:AB44)</f>
        <v>2530494</v>
      </c>
      <c r="AC42" s="1785"/>
      <c r="AD42" s="1785"/>
      <c r="AE42" s="1765">
        <f>SUM(AE43:AE44)</f>
        <v>2530494</v>
      </c>
      <c r="AF42" s="1765">
        <f t="shared" ref="AF42" si="57">SUM(AF43:AF44)</f>
        <v>0</v>
      </c>
      <c r="AG42" s="1765">
        <f>SUM(AG43:AG44)</f>
        <v>2530494</v>
      </c>
      <c r="AH42" s="1785"/>
      <c r="AI42" s="1785"/>
      <c r="AJ42" s="1765">
        <f>SUM(AJ43:AJ44)</f>
        <v>2530494</v>
      </c>
      <c r="AK42" s="1765">
        <f t="shared" ref="AK42" si="58">SUM(AK43:AK44)</f>
        <v>0</v>
      </c>
      <c r="AL42" s="1765">
        <f>SUM(AL43:AL44)</f>
        <v>2530494</v>
      </c>
      <c r="AM42" s="1785"/>
      <c r="AN42" s="1785"/>
      <c r="AO42" s="1765">
        <f>SUM(AO43:AO44)</f>
        <v>2530494</v>
      </c>
      <c r="AP42" s="1765">
        <f t="shared" ref="AP42" si="59">SUM(AP43:AP44)</f>
        <v>0</v>
      </c>
      <c r="AR42" s="5138">
        <f t="shared" si="1"/>
        <v>7591482</v>
      </c>
    </row>
    <row r="43" spans="1:44" s="4954" customFormat="1" hidden="1">
      <c r="A43" s="5596" t="s">
        <v>99</v>
      </c>
      <c r="B43" s="5231" t="s">
        <v>100</v>
      </c>
      <c r="C43" s="4941">
        <f>+'Phụ lục số 2'!C42</f>
        <v>1681570</v>
      </c>
      <c r="D43" s="4941">
        <f>+'Phụ lục số 2'!D42</f>
        <v>1681570</v>
      </c>
      <c r="E43" s="4942">
        <f t="shared" si="2"/>
        <v>8.8338802361891116</v>
      </c>
      <c r="F43" s="4941">
        <f>+'Phụ lục số 2'!F42</f>
        <v>1681570</v>
      </c>
      <c r="G43" s="4941">
        <f>+'Phụ lục số 2'!G42</f>
        <v>0</v>
      </c>
      <c r="H43" s="4941">
        <f>SUM(K43:L43)</f>
        <v>1681570</v>
      </c>
      <c r="I43" s="5250"/>
      <c r="J43" s="4944">
        <f t="shared" si="3"/>
        <v>1</v>
      </c>
      <c r="K43" s="196">
        <f>+'Phụ lục số 2'!K42</f>
        <v>1681570</v>
      </c>
      <c r="L43" s="196">
        <f>+'Phụ lục số 2'!L42</f>
        <v>0</v>
      </c>
      <c r="M43" s="4941">
        <f>SUM(P43:Q43)</f>
        <v>2399255</v>
      </c>
      <c r="N43" s="5250"/>
      <c r="O43" s="5252"/>
      <c r="P43" s="4955">
        <f>+'Phụ lục số 2'!P42</f>
        <v>2399255</v>
      </c>
      <c r="Q43" s="4955">
        <f>+'Phụ lục số 2'!Q42</f>
        <v>0</v>
      </c>
      <c r="R43" s="4941">
        <f>SUM(U43:V43)</f>
        <v>2399255</v>
      </c>
      <c r="S43" s="5250"/>
      <c r="T43" s="5250"/>
      <c r="U43" s="1622">
        <f>+'Phụ lục số 2'!U42</f>
        <v>2399255</v>
      </c>
      <c r="V43" s="1622">
        <f>+'Phụ lục số 2'!V42</f>
        <v>0</v>
      </c>
      <c r="W43" s="4941">
        <f>SUM(Z43:AA43)</f>
        <v>2399255</v>
      </c>
      <c r="X43" s="5250"/>
      <c r="Y43" s="5253"/>
      <c r="Z43" s="4941">
        <f>+'Phụ lục số 2'!Z42</f>
        <v>2399255</v>
      </c>
      <c r="AA43" s="5815">
        <f>+'Phụ lục số 2'!AA42</f>
        <v>0</v>
      </c>
      <c r="AB43" s="5570">
        <f>SUM(AE43:AF43)</f>
        <v>2399255</v>
      </c>
      <c r="AC43" s="5250"/>
      <c r="AD43" s="5250"/>
      <c r="AE43" s="1622">
        <f>Z43</f>
        <v>2399255</v>
      </c>
      <c r="AF43" s="1622"/>
      <c r="AG43" s="4941">
        <f>SUM(AJ43:AK43)</f>
        <v>2399255</v>
      </c>
      <c r="AH43" s="5250"/>
      <c r="AI43" s="5250"/>
      <c r="AJ43" s="1622">
        <f>AE43</f>
        <v>2399255</v>
      </c>
      <c r="AK43" s="1622"/>
      <c r="AL43" s="4941">
        <f>SUM(AO43:AP43)</f>
        <v>2399255</v>
      </c>
      <c r="AM43" s="5250"/>
      <c r="AN43" s="5250"/>
      <c r="AO43" s="1622">
        <f>AJ43</f>
        <v>2399255</v>
      </c>
      <c r="AP43" s="1622"/>
      <c r="AR43" s="5138">
        <f t="shared" si="1"/>
        <v>7197765</v>
      </c>
    </row>
    <row r="44" spans="1:44" s="4954" customFormat="1" hidden="1">
      <c r="A44" s="5596" t="s">
        <v>101</v>
      </c>
      <c r="B44" s="5231" t="s">
        <v>102</v>
      </c>
      <c r="C44" s="4941">
        <f>+'Phụ lục số 2'!C43</f>
        <v>132921</v>
      </c>
      <c r="D44" s="4941">
        <f>+'Phụ lục số 2'!D43</f>
        <v>132921</v>
      </c>
      <c r="E44" s="4942">
        <f t="shared" si="2"/>
        <v>0.69828088921334996</v>
      </c>
      <c r="F44" s="4941">
        <f>+'Phụ lục số 2'!F43</f>
        <v>132921</v>
      </c>
      <c r="G44" s="4941">
        <f>+'Phụ lục số 2'!G43</f>
        <v>0</v>
      </c>
      <c r="H44" s="4941">
        <f>SUM(K44:L44)</f>
        <v>132921</v>
      </c>
      <c r="I44" s="5250"/>
      <c r="J44" s="4944">
        <f t="shared" si="3"/>
        <v>1</v>
      </c>
      <c r="K44" s="196">
        <f>+'Phụ lục số 2'!K43</f>
        <v>132921</v>
      </c>
      <c r="L44" s="196">
        <f>+'Phụ lục số 2'!L43</f>
        <v>0</v>
      </c>
      <c r="M44" s="4941">
        <f>SUM(P44:Q44)</f>
        <v>131239</v>
      </c>
      <c r="N44" s="5250"/>
      <c r="O44" s="5252"/>
      <c r="P44" s="4955">
        <f>+'Phụ lục số 2'!P43</f>
        <v>131239</v>
      </c>
      <c r="Q44" s="4955">
        <f>+'Phụ lục số 2'!Q43</f>
        <v>0</v>
      </c>
      <c r="R44" s="4941">
        <f>SUM(U44:V44)</f>
        <v>131239</v>
      </c>
      <c r="S44" s="5250"/>
      <c r="T44" s="5250"/>
      <c r="U44" s="1622">
        <f>+'Phụ lục số 2'!U43</f>
        <v>131239</v>
      </c>
      <c r="V44" s="1622">
        <f>+'Phụ lục số 2'!V43</f>
        <v>0</v>
      </c>
      <c r="W44" s="4941">
        <f>SUM(Z44:AA44)</f>
        <v>131239</v>
      </c>
      <c r="X44" s="5250"/>
      <c r="Y44" s="5253"/>
      <c r="Z44" s="4941">
        <f>+'Phụ lục số 2'!Z43</f>
        <v>131239</v>
      </c>
      <c r="AA44" s="5815">
        <f>+'Phụ lục số 2'!AA43</f>
        <v>0</v>
      </c>
      <c r="AB44" s="5570">
        <f>SUM(AE44:AF44)</f>
        <v>131239</v>
      </c>
      <c r="AC44" s="5250"/>
      <c r="AD44" s="5250"/>
      <c r="AE44" s="1622">
        <f>Z44</f>
        <v>131239</v>
      </c>
      <c r="AF44" s="1622"/>
      <c r="AG44" s="4941">
        <f>SUM(AJ44:AK44)</f>
        <v>131239</v>
      </c>
      <c r="AH44" s="5250"/>
      <c r="AI44" s="5250"/>
      <c r="AJ44" s="1622">
        <f>AE44</f>
        <v>131239</v>
      </c>
      <c r="AK44" s="1622"/>
      <c r="AL44" s="4941">
        <f>SUM(AO44:AP44)</f>
        <v>131239</v>
      </c>
      <c r="AM44" s="5250"/>
      <c r="AN44" s="5250"/>
      <c r="AO44" s="1622">
        <f>AJ44</f>
        <v>131239</v>
      </c>
      <c r="AP44" s="1622"/>
      <c r="AR44" s="5138">
        <f t="shared" si="1"/>
        <v>393717</v>
      </c>
    </row>
    <row r="45" spans="1:44">
      <c r="A45" s="4959">
        <v>2</v>
      </c>
      <c r="B45" s="1784" t="s">
        <v>179</v>
      </c>
      <c r="C45" s="1765">
        <f>SUM(C46:C47)</f>
        <v>174485</v>
      </c>
      <c r="D45" s="1765">
        <f>SUM(D46:D47)</f>
        <v>174485</v>
      </c>
      <c r="E45" s="1766">
        <f t="shared" si="2"/>
        <v>0.9166312392653635</v>
      </c>
      <c r="F45" s="1765">
        <f>SUM(F46:F47)</f>
        <v>174485</v>
      </c>
      <c r="G45" s="1765">
        <f t="shared" ref="G45" si="60">SUM(G46:G47)</f>
        <v>0</v>
      </c>
      <c r="H45" s="1765">
        <f>SUM(H46:H47)</f>
        <v>174485</v>
      </c>
      <c r="I45" s="1767">
        <f t="shared" ref="I45" si="61">H45/$H$9*100</f>
        <v>0.88513291267676186</v>
      </c>
      <c r="J45" s="1768">
        <f t="shared" si="3"/>
        <v>1</v>
      </c>
      <c r="K45" s="1765">
        <f>SUM(K46:K47)</f>
        <v>174485</v>
      </c>
      <c r="L45" s="1765">
        <f t="shared" ref="L45" si="62">SUM(L46:L47)</f>
        <v>0</v>
      </c>
      <c r="M45" s="1765">
        <f>SUM(M46:M47)</f>
        <v>221912</v>
      </c>
      <c r="N45" s="1767">
        <f t="shared" ref="N45" si="63">M45/$M$9*100</f>
        <v>1.0382870844021277</v>
      </c>
      <c r="O45" s="1773"/>
      <c r="P45" s="1765">
        <f>SUM(P46:P47)</f>
        <v>125737</v>
      </c>
      <c r="Q45" s="1765">
        <f t="shared" ref="Q45" si="64">SUM(Q46:Q47)</f>
        <v>96175</v>
      </c>
      <c r="R45" s="1765">
        <f>SUM(R46:R47)</f>
        <v>221912</v>
      </c>
      <c r="S45" s="1785"/>
      <c r="T45" s="1785"/>
      <c r="U45" s="1765">
        <f>SUM(U46:U47)</f>
        <v>125737</v>
      </c>
      <c r="V45" s="1765">
        <f t="shared" ref="V45" si="65">SUM(V46:V47)</f>
        <v>96175</v>
      </c>
      <c r="W45" s="1765">
        <f>SUM(W46:W47)</f>
        <v>221912</v>
      </c>
      <c r="X45" s="1785"/>
      <c r="Y45" s="1786"/>
      <c r="Z45" s="1765">
        <f>SUM(Z46:Z47)</f>
        <v>125737</v>
      </c>
      <c r="AA45" s="5595">
        <f t="shared" ref="AA45" si="66">SUM(AA46:AA47)</f>
        <v>96175</v>
      </c>
      <c r="AB45" s="5569">
        <f>SUM(AB46:AB47)</f>
        <v>125737</v>
      </c>
      <c r="AC45" s="1785"/>
      <c r="AD45" s="1785"/>
      <c r="AE45" s="1765">
        <f>SUM(AE46:AE47)</f>
        <v>125737</v>
      </c>
      <c r="AF45" s="1765">
        <f t="shared" ref="AF45" si="67">SUM(AF46:AF47)</f>
        <v>0</v>
      </c>
      <c r="AG45" s="1765">
        <f>SUM(AG46:AG47)</f>
        <v>125737</v>
      </c>
      <c r="AH45" s="1785"/>
      <c r="AI45" s="1785"/>
      <c r="AJ45" s="1765">
        <f>SUM(AJ46:AJ47)</f>
        <v>125737</v>
      </c>
      <c r="AK45" s="1765">
        <f t="shared" ref="AK45" si="68">SUM(AK46:AK47)</f>
        <v>0</v>
      </c>
      <c r="AL45" s="1765">
        <f>SUM(AL46:AL47)</f>
        <v>125737</v>
      </c>
      <c r="AM45" s="1785"/>
      <c r="AN45" s="1785"/>
      <c r="AO45" s="1765">
        <f>SUM(AO46:AO47)</f>
        <v>125737</v>
      </c>
      <c r="AP45" s="1765">
        <f t="shared" ref="AP45" si="69">SUM(AP46:AP47)</f>
        <v>0</v>
      </c>
      <c r="AR45" s="5138">
        <f t="shared" si="1"/>
        <v>665736</v>
      </c>
    </row>
    <row r="46" spans="1:44" s="4954" customFormat="1" hidden="1">
      <c r="A46" s="5596" t="s">
        <v>99</v>
      </c>
      <c r="B46" s="5231" t="s">
        <v>103</v>
      </c>
      <c r="C46" s="4941">
        <f>+'Phụ lục số 2'!C45</f>
        <v>72469</v>
      </c>
      <c r="D46" s="4941">
        <f>+'Phụ lục số 2'!D45</f>
        <v>72469</v>
      </c>
      <c r="E46" s="4942">
        <f t="shared" si="2"/>
        <v>0.38070521407755181</v>
      </c>
      <c r="F46" s="4941">
        <f>+'Phụ lục số 2'!F45</f>
        <v>72469</v>
      </c>
      <c r="G46" s="4941">
        <f>+'Phụ lục số 2'!G45</f>
        <v>0</v>
      </c>
      <c r="H46" s="4941">
        <f>SUM(K46:L46)</f>
        <v>72469</v>
      </c>
      <c r="I46" s="5250"/>
      <c r="J46" s="4944">
        <f t="shared" si="3"/>
        <v>1</v>
      </c>
      <c r="K46" s="196">
        <f>+'Phụ lục số 2'!K45</f>
        <v>72469</v>
      </c>
      <c r="L46" s="196">
        <f>+'Phụ lục số 2'!L45</f>
        <v>0</v>
      </c>
      <c r="M46" s="4941">
        <f>+'Phụ lục số 6'!E28-'Phụ lục số 6'!E32</f>
        <v>186007</v>
      </c>
      <c r="N46" s="5250"/>
      <c r="O46" s="5252"/>
      <c r="P46" s="4955">
        <f>+'Phụ lục số 2'!P45</f>
        <v>89832</v>
      </c>
      <c r="Q46" s="4955">
        <f>+'Phụ lục số 2'!Q45</f>
        <v>96175</v>
      </c>
      <c r="R46" s="4941">
        <f>SUM(U46:V46)</f>
        <v>186007</v>
      </c>
      <c r="S46" s="5250"/>
      <c r="T46" s="5250"/>
      <c r="U46" s="1622">
        <f>+'Phụ lục số 2'!U45</f>
        <v>89832</v>
      </c>
      <c r="V46" s="1622">
        <f>+'Phụ lục số 2'!V45</f>
        <v>96175</v>
      </c>
      <c r="W46" s="4941">
        <f>SUM(Z46:AA46)</f>
        <v>186007</v>
      </c>
      <c r="X46" s="5250"/>
      <c r="Y46" s="5253"/>
      <c r="Z46" s="4941">
        <f>+'Phụ lục số 2'!Z45</f>
        <v>89832</v>
      </c>
      <c r="AA46" s="5815">
        <f>+'Phụ lục số 2'!AA45</f>
        <v>96175</v>
      </c>
      <c r="AB46" s="5570">
        <f>SUM(AE46:AF46)</f>
        <v>89832</v>
      </c>
      <c r="AC46" s="5250"/>
      <c r="AD46" s="5250"/>
      <c r="AE46" s="1622">
        <f>Z46</f>
        <v>89832</v>
      </c>
      <c r="AF46" s="1622"/>
      <c r="AG46" s="4941">
        <f>SUM(AJ46:AK46)</f>
        <v>89832</v>
      </c>
      <c r="AH46" s="5250"/>
      <c r="AI46" s="5250"/>
      <c r="AJ46" s="1622">
        <f>AE46</f>
        <v>89832</v>
      </c>
      <c r="AK46" s="1622"/>
      <c r="AL46" s="4941">
        <f>SUM(AO46:AP46)</f>
        <v>89832</v>
      </c>
      <c r="AM46" s="5250"/>
      <c r="AN46" s="5250"/>
      <c r="AO46" s="1622">
        <f>AJ46</f>
        <v>89832</v>
      </c>
      <c r="AP46" s="1622"/>
      <c r="AR46" s="5138">
        <f t="shared" si="1"/>
        <v>558021</v>
      </c>
    </row>
    <row r="47" spans="1:44" s="4954" customFormat="1" hidden="1">
      <c r="A47" s="5596" t="s">
        <v>101</v>
      </c>
      <c r="B47" s="5231" t="s">
        <v>102</v>
      </c>
      <c r="C47" s="4941">
        <f>+'Phụ lục số 2'!C46</f>
        <v>102016</v>
      </c>
      <c r="D47" s="4941">
        <f>+'Phụ lục số 2'!D46</f>
        <v>102016</v>
      </c>
      <c r="E47" s="4942">
        <f t="shared" si="2"/>
        <v>0.53592602518781163</v>
      </c>
      <c r="F47" s="4941">
        <f>+'Phụ lục số 2'!F46</f>
        <v>102016</v>
      </c>
      <c r="G47" s="4941">
        <f>+'Phụ lục số 2'!G46</f>
        <v>0</v>
      </c>
      <c r="H47" s="4941">
        <f>SUM(K47:L47)</f>
        <v>102016</v>
      </c>
      <c r="I47" s="5250"/>
      <c r="J47" s="4944">
        <f t="shared" si="3"/>
        <v>1</v>
      </c>
      <c r="K47" s="196">
        <f>+'Phụ lục số 2'!K46</f>
        <v>102016</v>
      </c>
      <c r="L47" s="196">
        <f>+'Phụ lục số 2'!L46</f>
        <v>0</v>
      </c>
      <c r="M47" s="4941">
        <f>SUM(P47:Q47)</f>
        <v>35905</v>
      </c>
      <c r="N47" s="5250"/>
      <c r="O47" s="5252"/>
      <c r="P47" s="4955">
        <f>+'Phụ lục số 2'!P46</f>
        <v>35905</v>
      </c>
      <c r="Q47" s="4955">
        <f>+'Phụ lục số 2'!Q46</f>
        <v>0</v>
      </c>
      <c r="R47" s="4941">
        <f>SUM(U47:V47)</f>
        <v>35905</v>
      </c>
      <c r="S47" s="5250"/>
      <c r="T47" s="5250"/>
      <c r="U47" s="1622">
        <f>+'Phụ lục số 2'!U46</f>
        <v>35905</v>
      </c>
      <c r="V47" s="1622">
        <f>+'Phụ lục số 2'!V46</f>
        <v>0</v>
      </c>
      <c r="W47" s="4941">
        <f>SUM(Z47:AA47)</f>
        <v>35905</v>
      </c>
      <c r="X47" s="5250"/>
      <c r="Y47" s="5253"/>
      <c r="Z47" s="4941">
        <f>+'Phụ lục số 2'!Z46</f>
        <v>35905</v>
      </c>
      <c r="AA47" s="5815">
        <f>+'Phụ lục số 2'!AA46</f>
        <v>0</v>
      </c>
      <c r="AB47" s="5570">
        <f>SUM(AE47:AF47)</f>
        <v>35905</v>
      </c>
      <c r="AC47" s="5250"/>
      <c r="AD47" s="5250"/>
      <c r="AE47" s="1622">
        <f>Z47</f>
        <v>35905</v>
      </c>
      <c r="AF47" s="1622"/>
      <c r="AG47" s="4941">
        <f>SUM(AJ47:AK47)</f>
        <v>35905</v>
      </c>
      <c r="AH47" s="5250"/>
      <c r="AI47" s="5250"/>
      <c r="AJ47" s="1622">
        <f>AE47</f>
        <v>35905</v>
      </c>
      <c r="AK47" s="1622"/>
      <c r="AL47" s="4941">
        <f>SUM(AO47:AP47)</f>
        <v>35905</v>
      </c>
      <c r="AM47" s="5250"/>
      <c r="AN47" s="5250"/>
      <c r="AO47" s="1622">
        <f>AJ47</f>
        <v>35905</v>
      </c>
      <c r="AP47" s="1622"/>
      <c r="AR47" s="5138">
        <f t="shared" si="1"/>
        <v>107715</v>
      </c>
    </row>
    <row r="48" spans="1:44">
      <c r="A48" s="4959">
        <v>3</v>
      </c>
      <c r="B48" s="1784" t="s">
        <v>180</v>
      </c>
      <c r="C48" s="1765">
        <f>SUM(C49:C50)</f>
        <v>0</v>
      </c>
      <c r="D48" s="1765">
        <f>SUM(D49:D50)</f>
        <v>0</v>
      </c>
      <c r="E48" s="1785"/>
      <c r="F48" s="1765">
        <f>SUM(F49:F50)</f>
        <v>0</v>
      </c>
      <c r="G48" s="1765">
        <f>SUM(G49:G50)</f>
        <v>0</v>
      </c>
      <c r="H48" s="1765">
        <f>SUM(H49:H50)</f>
        <v>138559</v>
      </c>
      <c r="I48" s="1767">
        <f t="shared" ref="I48" si="70">H48/$H$9*100</f>
        <v>0.70288638706811157</v>
      </c>
      <c r="J48" s="2199" t="e">
        <f t="shared" si="3"/>
        <v>#DIV/0!</v>
      </c>
      <c r="K48" s="1765">
        <f>SUM(K49:K50)</f>
        <v>138559</v>
      </c>
      <c r="L48" s="1765">
        <f>SUM(L49:L50)</f>
        <v>0</v>
      </c>
      <c r="M48" s="1765">
        <f>SUM(M49:M50)</f>
        <v>284586</v>
      </c>
      <c r="N48" s="1767">
        <f t="shared" ref="N48" si="71">M48/$M$9*100</f>
        <v>1.3315276695341574</v>
      </c>
      <c r="O48" s="1773"/>
      <c r="P48" s="1765">
        <f>SUM(P49:P50)</f>
        <v>126376</v>
      </c>
      <c r="Q48" s="1765">
        <f>SUM(Q49:Q50)</f>
        <v>158210</v>
      </c>
      <c r="R48" s="1765">
        <f>SUM(R49:R50)</f>
        <v>284586</v>
      </c>
      <c r="S48" s="1785"/>
      <c r="T48" s="1785"/>
      <c r="U48" s="1765">
        <f>SUM(U49:U50)</f>
        <v>126376</v>
      </c>
      <c r="V48" s="1765">
        <f>SUM(V49:V50)</f>
        <v>158210</v>
      </c>
      <c r="W48" s="1765">
        <f>SUM(W49:W50)</f>
        <v>284586</v>
      </c>
      <c r="X48" s="1785"/>
      <c r="Y48" s="1786"/>
      <c r="Z48" s="1765">
        <f>SUM(Z49:Z50)</f>
        <v>126376</v>
      </c>
      <c r="AA48" s="5595">
        <f>SUM(AA49:AA50)</f>
        <v>158210</v>
      </c>
      <c r="AB48" s="5569">
        <f>SUM(AB49:AB50)</f>
        <v>126376</v>
      </c>
      <c r="AC48" s="1785"/>
      <c r="AD48" s="1785"/>
      <c r="AE48" s="1765">
        <f>SUM(AE49:AE50)</f>
        <v>126376</v>
      </c>
      <c r="AF48" s="1765">
        <f>SUM(AF49:AF50)</f>
        <v>0</v>
      </c>
      <c r="AG48" s="1765">
        <f>SUM(AG49:AG50)</f>
        <v>126376</v>
      </c>
      <c r="AH48" s="1785"/>
      <c r="AI48" s="1785"/>
      <c r="AJ48" s="1765">
        <f>SUM(AJ49:AJ50)</f>
        <v>126376</v>
      </c>
      <c r="AK48" s="1765">
        <f>SUM(AK49:AK50)</f>
        <v>0</v>
      </c>
      <c r="AL48" s="1765">
        <f>SUM(AL49:AL50)</f>
        <v>126376</v>
      </c>
      <c r="AM48" s="1785"/>
      <c r="AN48" s="1785"/>
      <c r="AO48" s="1765">
        <f>SUM(AO49:AO50)</f>
        <v>126376</v>
      </c>
      <c r="AP48" s="1765">
        <f>SUM(AP49:AP50)</f>
        <v>0</v>
      </c>
      <c r="AR48" s="5138">
        <f t="shared" si="1"/>
        <v>853758</v>
      </c>
    </row>
    <row r="49" spans="1:44" s="4954" customFormat="1" hidden="1">
      <c r="A49" s="5596" t="s">
        <v>99</v>
      </c>
      <c r="B49" s="5231" t="s">
        <v>104</v>
      </c>
      <c r="C49" s="4941">
        <f>SUM(F49:G49)</f>
        <v>0</v>
      </c>
      <c r="D49" s="1620">
        <f t="shared" ref="D49:D54" si="72">SUM(F49:G49)</f>
        <v>0</v>
      </c>
      <c r="E49" s="5249"/>
      <c r="F49" s="4941">
        <f>+'Phụ lục số 2'!F48</f>
        <v>0</v>
      </c>
      <c r="G49" s="4941">
        <f>+'Phụ lục số 2'!G48</f>
        <v>0</v>
      </c>
      <c r="H49" s="4941">
        <f>SUM(K49:L49)</f>
        <v>0</v>
      </c>
      <c r="I49" s="5250"/>
      <c r="J49" s="4944" t="e">
        <f t="shared" si="3"/>
        <v>#DIV/0!</v>
      </c>
      <c r="K49" s="196">
        <f>+'Phụ lục số 2'!K48</f>
        <v>0</v>
      </c>
      <c r="L49" s="196">
        <f>+'Phụ lục số 2'!L48</f>
        <v>0</v>
      </c>
      <c r="M49" s="4941">
        <f>SUM(P49:Q49)</f>
        <v>0</v>
      </c>
      <c r="N49" s="5250"/>
      <c r="O49" s="5252"/>
      <c r="P49" s="4955">
        <f>+'Phụ lục số 2'!P48</f>
        <v>0</v>
      </c>
      <c r="Q49" s="4955">
        <f>+'Phụ lục số 2'!Q48</f>
        <v>0</v>
      </c>
      <c r="R49" s="4941">
        <f>SUM(U49:V49)</f>
        <v>0</v>
      </c>
      <c r="S49" s="5250"/>
      <c r="T49" s="5250"/>
      <c r="U49" s="1622">
        <f>+'Phụ lục số 2'!U48</f>
        <v>0</v>
      </c>
      <c r="V49" s="1622">
        <f>+'Phụ lục số 2'!V48</f>
        <v>0</v>
      </c>
      <c r="W49" s="4941">
        <f>SUM(Z49:AA49)</f>
        <v>0</v>
      </c>
      <c r="X49" s="5250"/>
      <c r="Y49" s="5253"/>
      <c r="Z49" s="4941">
        <f>+'Phụ lục số 2'!Z48</f>
        <v>0</v>
      </c>
      <c r="AA49" s="5815">
        <f>+'Phụ lục số 2'!AA48</f>
        <v>0</v>
      </c>
      <c r="AB49" s="5570">
        <f>SUM(AE49:AF49)</f>
        <v>0</v>
      </c>
      <c r="AC49" s="5250"/>
      <c r="AD49" s="5250"/>
      <c r="AE49" s="5251">
        <f>Z49</f>
        <v>0</v>
      </c>
      <c r="AF49" s="5251"/>
      <c r="AG49" s="4941">
        <f>SUM(AJ49:AK49)</f>
        <v>0</v>
      </c>
      <c r="AH49" s="5250"/>
      <c r="AI49" s="5250"/>
      <c r="AJ49" s="5251">
        <f>AE49</f>
        <v>0</v>
      </c>
      <c r="AK49" s="5251"/>
      <c r="AL49" s="4941">
        <f>SUM(AO49:AP49)</f>
        <v>0</v>
      </c>
      <c r="AM49" s="5250"/>
      <c r="AN49" s="5250"/>
      <c r="AO49" s="5251">
        <f>AJ49</f>
        <v>0</v>
      </c>
      <c r="AP49" s="5251"/>
      <c r="AR49" s="5138">
        <f t="shared" si="1"/>
        <v>0</v>
      </c>
    </row>
    <row r="50" spans="1:44" s="4954" customFormat="1" hidden="1">
      <c r="A50" s="5596" t="s">
        <v>101</v>
      </c>
      <c r="B50" s="5231" t="s">
        <v>105</v>
      </c>
      <c r="C50" s="4941">
        <f t="shared" ref="C50" si="73">SUM(F50:G50)</f>
        <v>0</v>
      </c>
      <c r="D50" s="1620">
        <f t="shared" si="72"/>
        <v>0</v>
      </c>
      <c r="E50" s="5249"/>
      <c r="F50" s="4941">
        <f>+'Phụ lục số 2'!F49</f>
        <v>0</v>
      </c>
      <c r="G50" s="4941">
        <f>+'Phụ lục số 2'!G49</f>
        <v>0</v>
      </c>
      <c r="H50" s="4941">
        <f>SUM(K50:L50)</f>
        <v>138559</v>
      </c>
      <c r="I50" s="5250"/>
      <c r="J50" s="4944" t="e">
        <f t="shared" si="3"/>
        <v>#DIV/0!</v>
      </c>
      <c r="K50" s="196">
        <f>+'Phụ lục số 2'!K49</f>
        <v>138559</v>
      </c>
      <c r="L50" s="196">
        <f>+'Phụ lục số 2'!L49</f>
        <v>0</v>
      </c>
      <c r="M50" s="4941">
        <f>+'Phụ lục số 6'!E32</f>
        <v>284586</v>
      </c>
      <c r="N50" s="5250"/>
      <c r="O50" s="5252"/>
      <c r="P50" s="4955">
        <f>+'Phụ lục số 2'!P49</f>
        <v>126376</v>
      </c>
      <c r="Q50" s="4955">
        <f>+'Phụ lục số 2'!Q49</f>
        <v>158210</v>
      </c>
      <c r="R50" s="4941">
        <f>SUM(U50:V50)</f>
        <v>284586</v>
      </c>
      <c r="S50" s="5250"/>
      <c r="T50" s="5250"/>
      <c r="U50" s="1622">
        <f>+'Phụ lục số 2'!U49</f>
        <v>126376</v>
      </c>
      <c r="V50" s="1622">
        <f>+'Phụ lục số 2'!V49</f>
        <v>158210</v>
      </c>
      <c r="W50" s="4941">
        <f>SUM(Z50:AA50)</f>
        <v>284586</v>
      </c>
      <c r="X50" s="5250"/>
      <c r="Y50" s="5253"/>
      <c r="Z50" s="4941">
        <f>+'Phụ lục số 2'!Z49</f>
        <v>126376</v>
      </c>
      <c r="AA50" s="5815">
        <f>+'Phụ lục số 2'!AA49</f>
        <v>158210</v>
      </c>
      <c r="AB50" s="5570">
        <f>SUM(AE50:AF50)</f>
        <v>126376</v>
      </c>
      <c r="AC50" s="5250"/>
      <c r="AD50" s="5250"/>
      <c r="AE50" s="5251">
        <f>Z50</f>
        <v>126376</v>
      </c>
      <c r="AF50" s="5251"/>
      <c r="AG50" s="4941">
        <f>SUM(AJ50:AK50)</f>
        <v>126376</v>
      </c>
      <c r="AH50" s="5250"/>
      <c r="AI50" s="5250"/>
      <c r="AJ50" s="5251">
        <f>AE50</f>
        <v>126376</v>
      </c>
      <c r="AK50" s="5251"/>
      <c r="AL50" s="4941">
        <f>SUM(AO50:AP50)</f>
        <v>126376</v>
      </c>
      <c r="AM50" s="5250"/>
      <c r="AN50" s="5250"/>
      <c r="AO50" s="5251">
        <f>AJ50</f>
        <v>126376</v>
      </c>
      <c r="AP50" s="5251"/>
      <c r="AR50" s="5138">
        <f t="shared" si="1"/>
        <v>853758</v>
      </c>
    </row>
    <row r="51" spans="1:44" s="31" customFormat="1">
      <c r="A51" s="5593" t="s">
        <v>182</v>
      </c>
      <c r="B51" s="1781" t="s">
        <v>181</v>
      </c>
      <c r="C51" s="1570"/>
      <c r="D51" s="195">
        <f t="shared" si="72"/>
        <v>0</v>
      </c>
      <c r="E51" s="1789"/>
      <c r="F51" s="1570"/>
      <c r="G51" s="1570"/>
      <c r="H51" s="1759"/>
      <c r="I51" s="1759"/>
      <c r="J51" s="2197" t="e">
        <f t="shared" si="3"/>
        <v>#DIV/0!</v>
      </c>
      <c r="K51" s="1759"/>
      <c r="L51" s="1759"/>
      <c r="M51" s="1760">
        <f>SUM(P51:Q51)</f>
        <v>0</v>
      </c>
      <c r="N51" s="1759"/>
      <c r="O51" s="1790"/>
      <c r="P51" s="4955">
        <f>+'Phụ lục số 2'!P50</f>
        <v>0</v>
      </c>
      <c r="Q51" s="4955">
        <f>+'Phụ lục số 2'!Q50</f>
        <v>0</v>
      </c>
      <c r="R51" s="1760">
        <f>SUM(U51:V51)</f>
        <v>0</v>
      </c>
      <c r="S51" s="1759"/>
      <c r="T51" s="1759"/>
      <c r="U51" s="1584">
        <f>+'Phụ lục số 2'!U50</f>
        <v>0</v>
      </c>
      <c r="V51" s="1584">
        <f>+'Phụ lục số 2'!V50</f>
        <v>0</v>
      </c>
      <c r="W51" s="1760">
        <f>SUM(Z51:AA51)</f>
        <v>0</v>
      </c>
      <c r="X51" s="1759"/>
      <c r="Y51" s="1782"/>
      <c r="Z51" s="1760">
        <f>+'Phụ lục số 2'!Z50</f>
        <v>0</v>
      </c>
      <c r="AA51" s="5594">
        <f>+'Phụ lục số 2'!AA50</f>
        <v>0</v>
      </c>
      <c r="AB51" s="5568">
        <f>SUM(AE51:AF51)</f>
        <v>0</v>
      </c>
      <c r="AC51" s="1759"/>
      <c r="AD51" s="1759"/>
      <c r="AE51" s="38"/>
      <c r="AF51" s="38"/>
      <c r="AG51" s="1760">
        <f>SUM(AJ51:AK51)</f>
        <v>0</v>
      </c>
      <c r="AH51" s="1759"/>
      <c r="AI51" s="1759"/>
      <c r="AJ51" s="38">
        <f>AE51</f>
        <v>0</v>
      </c>
      <c r="AK51" s="38"/>
      <c r="AL51" s="1760">
        <f>SUM(AO51:AP51)</f>
        <v>0</v>
      </c>
      <c r="AM51" s="1759"/>
      <c r="AN51" s="1759"/>
      <c r="AO51" s="38">
        <f>AJ51</f>
        <v>0</v>
      </c>
      <c r="AP51" s="38"/>
      <c r="AR51" s="5138">
        <f t="shared" si="1"/>
        <v>0</v>
      </c>
    </row>
    <row r="52" spans="1:44" s="31" customFormat="1">
      <c r="A52" s="5590" t="s">
        <v>37</v>
      </c>
      <c r="B52" s="5172" t="s">
        <v>3230</v>
      </c>
      <c r="C52" s="1570"/>
      <c r="D52" s="195">
        <f t="shared" si="72"/>
        <v>0</v>
      </c>
      <c r="E52" s="1789"/>
      <c r="F52" s="1570"/>
      <c r="G52" s="1570"/>
      <c r="H52" s="1759"/>
      <c r="I52" s="1759"/>
      <c r="J52" s="2197" t="e">
        <f t="shared" si="3"/>
        <v>#DIV/0!</v>
      </c>
      <c r="K52" s="1759"/>
      <c r="L52" s="1759"/>
      <c r="M52" s="38">
        <f>+P52+Q52</f>
        <v>5553.7960000000003</v>
      </c>
      <c r="N52" s="38"/>
      <c r="O52" s="38"/>
      <c r="P52" s="1751">
        <f>+'Phụ lục số 2'!P51</f>
        <v>5553.7960000000003</v>
      </c>
      <c r="Q52" s="1751">
        <f>+'Phụ lục số 2'!Q51</f>
        <v>0</v>
      </c>
      <c r="R52" s="1759"/>
      <c r="S52" s="1759"/>
      <c r="T52" s="1759"/>
      <c r="U52" s="1570">
        <f>+'Phụ lục số 2'!U51</f>
        <v>0</v>
      </c>
      <c r="V52" s="1570">
        <f>+'Phụ lục số 2'!V51</f>
        <v>0</v>
      </c>
      <c r="W52" s="1570"/>
      <c r="X52" s="1759"/>
      <c r="Y52" s="1782"/>
      <c r="Z52" s="1760">
        <f>+'Phụ lục số 2'!Z51</f>
        <v>0</v>
      </c>
      <c r="AA52" s="5594">
        <f>+'Phụ lục số 2'!AA51</f>
        <v>0</v>
      </c>
      <c r="AB52" s="5808"/>
      <c r="AC52" s="1759"/>
      <c r="AD52" s="1759"/>
      <c r="AE52" s="38"/>
      <c r="AF52" s="38"/>
      <c r="AG52" s="1759"/>
      <c r="AH52" s="1759"/>
      <c r="AI52" s="1759"/>
      <c r="AJ52" s="38"/>
      <c r="AK52" s="38"/>
      <c r="AL52" s="38"/>
      <c r="AM52" s="1759"/>
      <c r="AN52" s="1759"/>
      <c r="AO52" s="38"/>
      <c r="AP52" s="38"/>
      <c r="AR52" s="5138">
        <f t="shared" si="1"/>
        <v>5553.7960000000003</v>
      </c>
    </row>
    <row r="53" spans="1:44" s="31" customFormat="1">
      <c r="A53" s="5599" t="s">
        <v>44</v>
      </c>
      <c r="B53" s="5172" t="s">
        <v>3174</v>
      </c>
      <c r="C53" s="5173"/>
      <c r="D53" s="5174"/>
      <c r="E53" s="5175"/>
      <c r="F53" s="5173"/>
      <c r="G53" s="5173"/>
      <c r="H53" s="5176"/>
      <c r="I53" s="5176"/>
      <c r="J53" s="5177"/>
      <c r="K53" s="5176"/>
      <c r="L53" s="5176"/>
      <c r="M53" s="5178">
        <f>+P53+Q53</f>
        <v>186700</v>
      </c>
      <c r="N53" s="5178"/>
      <c r="O53" s="5178"/>
      <c r="P53" s="1751">
        <f>+'Phụ lục số 2'!P52</f>
        <v>186700</v>
      </c>
      <c r="Q53" s="1751">
        <f>+'Phụ lục số 2'!Q52</f>
        <v>0</v>
      </c>
      <c r="R53" s="5176"/>
      <c r="S53" s="5176"/>
      <c r="T53" s="5176"/>
      <c r="U53" s="1570">
        <f>+'Phụ lục số 2'!U52</f>
        <v>0</v>
      </c>
      <c r="V53" s="1570">
        <f>+'Phụ lục số 2'!V52</f>
        <v>0</v>
      </c>
      <c r="W53" s="5173"/>
      <c r="X53" s="5176"/>
      <c r="Y53" s="5179"/>
      <c r="Z53" s="1760">
        <f>+'Phụ lục số 2'!Z52</f>
        <v>0</v>
      </c>
      <c r="AA53" s="5594">
        <f>+'Phụ lục số 2'!AA52</f>
        <v>0</v>
      </c>
      <c r="AB53" s="5809"/>
      <c r="AC53" s="5176"/>
      <c r="AD53" s="5176"/>
      <c r="AE53" s="5178"/>
      <c r="AF53" s="5178"/>
      <c r="AG53" s="5176"/>
      <c r="AH53" s="5176"/>
      <c r="AI53" s="5176"/>
      <c r="AJ53" s="5178"/>
      <c r="AK53" s="5178"/>
      <c r="AL53" s="5178"/>
      <c r="AM53" s="5176"/>
      <c r="AN53" s="5176"/>
      <c r="AO53" s="5178"/>
      <c r="AP53" s="5178"/>
      <c r="AR53" s="5138">
        <f t="shared" si="1"/>
        <v>186700</v>
      </c>
    </row>
    <row r="54" spans="1:44" s="31" customFormat="1" ht="14.4" thickBot="1">
      <c r="A54" s="5601" t="s">
        <v>46</v>
      </c>
      <c r="B54" s="5602" t="s">
        <v>184</v>
      </c>
      <c r="C54" s="5603"/>
      <c r="D54" s="4910">
        <f t="shared" si="72"/>
        <v>0</v>
      </c>
      <c r="E54" s="5604"/>
      <c r="F54" s="5603"/>
      <c r="G54" s="5603"/>
      <c r="H54" s="5605"/>
      <c r="I54" s="5605"/>
      <c r="J54" s="5606" t="e">
        <f t="shared" si="3"/>
        <v>#DIV/0!</v>
      </c>
      <c r="K54" s="5605"/>
      <c r="L54" s="5605"/>
      <c r="M54" s="5605"/>
      <c r="N54" s="5605"/>
      <c r="O54" s="5607"/>
      <c r="P54" s="5605"/>
      <c r="Q54" s="5605"/>
      <c r="R54" s="5605"/>
      <c r="S54" s="5605"/>
      <c r="T54" s="5605"/>
      <c r="U54" s="5605"/>
      <c r="V54" s="5605"/>
      <c r="W54" s="5603"/>
      <c r="X54" s="5605"/>
      <c r="Y54" s="5816"/>
      <c r="Z54" s="5603"/>
      <c r="AA54" s="5817"/>
      <c r="AB54" s="5810"/>
      <c r="AC54" s="1794"/>
      <c r="AD54" s="1794"/>
      <c r="AE54" s="677"/>
      <c r="AF54" s="677"/>
      <c r="AG54" s="1794"/>
      <c r="AH54" s="1794"/>
      <c r="AI54" s="1794"/>
      <c r="AJ54" s="677"/>
      <c r="AK54" s="677"/>
      <c r="AL54" s="677"/>
      <c r="AM54" s="1794"/>
      <c r="AN54" s="1794"/>
      <c r="AO54" s="677"/>
      <c r="AP54" s="677"/>
      <c r="AR54" s="5138">
        <f t="shared" si="1"/>
        <v>0</v>
      </c>
    </row>
    <row r="55" spans="1:44" ht="14.4" thickTop="1">
      <c r="P55" s="32"/>
      <c r="Q55" s="32"/>
    </row>
    <row r="56" spans="1:44">
      <c r="H56" s="32"/>
      <c r="N56" s="5114"/>
      <c r="O56" s="32"/>
      <c r="Q56" s="32"/>
    </row>
    <row r="57" spans="1:44">
      <c r="C57" s="1805">
        <f>1729491+85000</f>
        <v>1814491</v>
      </c>
      <c r="H57" s="1733">
        <f>-'Phụ lục số I'!N93</f>
        <v>285715.06482617627</v>
      </c>
      <c r="I57" s="32">
        <f>925057-G40</f>
        <v>286797</v>
      </c>
      <c r="K57" s="1797"/>
      <c r="L57" s="1797"/>
      <c r="M57" s="32"/>
      <c r="P57" s="1734" t="s">
        <v>117</v>
      </c>
      <c r="Q57" s="5239">
        <v>1.0811999999999999</v>
      </c>
      <c r="U57" s="1797">
        <f>+'Phụ lục số 3-CĐC'!M89</f>
        <v>1.029257988954106</v>
      </c>
      <c r="V57" s="1797">
        <f>+'Phụ lục số 3-CĐC'!N89</f>
        <v>1.0055146977727174</v>
      </c>
      <c r="Z57" s="1797">
        <f>+'Phụ lục số 3-CĐC'!P89</f>
        <v>1.0386864328104346</v>
      </c>
      <c r="AA57" s="1797">
        <f>+'Phụ lục số 3-CĐC'!Q89</f>
        <v>1.0301508149778584</v>
      </c>
      <c r="AE57" s="1797">
        <f>'Phụ lục số III-CĐC'!S82+(0.42%)</f>
        <v>1.0293362745182075</v>
      </c>
      <c r="AF57" s="1797">
        <f>'Phụ lục số III-CĐC'!T82</f>
        <v>1.0583435214634518</v>
      </c>
      <c r="AJ57" s="1797">
        <f>'Phụ lục số III-CĐC'!V82</f>
        <v>1.0357459367867667</v>
      </c>
      <c r="AK57" s="1797">
        <f>'Phụ lục số III-CĐC'!W82</f>
        <v>1.0427143293330254</v>
      </c>
      <c r="AO57" s="1797">
        <f>'Phụ lục số III-CĐC'!Y82+(0.28%)</f>
        <v>1.0251120342041606</v>
      </c>
      <c r="AP57" s="1797">
        <f>'Phụ lục số III-CĐC'!Z82+(0.09%)</f>
        <v>1.0331897813305686</v>
      </c>
    </row>
    <row r="58" spans="1:44">
      <c r="C58" s="32">
        <f>+C57+C11</f>
        <v>6504677</v>
      </c>
      <c r="H58" s="1733">
        <f>I57-H57</f>
        <v>1081.935173823731</v>
      </c>
      <c r="K58" s="1733"/>
      <c r="L58" s="32"/>
      <c r="M58" s="1733">
        <f>+'Phụ lục số 1'!T73</f>
        <v>21559594.195999999</v>
      </c>
      <c r="P58" s="1797"/>
      <c r="Q58" s="1734"/>
      <c r="R58" s="32"/>
      <c r="U58" s="1797">
        <v>1.0949</v>
      </c>
      <c r="V58" s="1797">
        <v>0.91590000000000005</v>
      </c>
      <c r="W58" s="32"/>
      <c r="Z58" s="1798">
        <v>1.0082</v>
      </c>
      <c r="AA58" s="1798">
        <v>1.0074000000000001</v>
      </c>
      <c r="AB58" s="32">
        <f>'Phụ lục số I'!AL70</f>
        <v>24654958.697346758</v>
      </c>
      <c r="AG58" s="32">
        <f>'Phụ lục số I'!AR70</f>
        <v>26738994.797964148</v>
      </c>
      <c r="AL58" s="32">
        <f>'Phụ lục số I'!AX70</f>
        <v>28377702.417009354</v>
      </c>
    </row>
    <row r="59" spans="1:44">
      <c r="H59" s="32"/>
      <c r="M59" s="1733">
        <f>+M53</f>
        <v>186700</v>
      </c>
      <c r="R59" s="32"/>
      <c r="W59" s="32"/>
      <c r="AB59" s="32">
        <f>AB58-AB9</f>
        <v>-845690.81438579038</v>
      </c>
      <c r="AG59" s="32">
        <f>AG58-AG9</f>
        <v>-528157.05590648949</v>
      </c>
      <c r="AL59" s="32">
        <f>AL58-AL9</f>
        <v>-544372.06177265197</v>
      </c>
    </row>
    <row r="60" spans="1:44">
      <c r="C60" s="32">
        <f>+C11+C42</f>
        <v>6504677</v>
      </c>
      <c r="D60" s="32">
        <f>+D11+D42</f>
        <v>7145731.1620000005</v>
      </c>
      <c r="H60" s="1733">
        <f>+'Phụ lục số 1'!N73</f>
        <v>19350818.14563527</v>
      </c>
      <c r="M60" s="1733">
        <f>+M58-M59</f>
        <v>21372894.195999999</v>
      </c>
      <c r="R60" s="32"/>
      <c r="W60" s="32"/>
      <c r="AB60" s="32">
        <f>'Phụ lục số I'!AL70-'Phụ lục số I'!AL59-'Phụ lục số I'!AL62</f>
        <v>21358175.897346757</v>
      </c>
      <c r="AG60" s="32">
        <f>'Phụ lục số I'!AR70-'Phụ lục số I'!AR59-'Phụ lục số I'!AR62</f>
        <v>23442211.997964147</v>
      </c>
      <c r="AL60" s="32">
        <f>'Phụ lục số I'!AX70-'Phụ lục số I'!AX59-'Phụ lục số I'!AX62</f>
        <v>25080919.617009353</v>
      </c>
    </row>
    <row r="61" spans="1:44">
      <c r="C61" s="32">
        <f>+C43+C11</f>
        <v>6371756</v>
      </c>
      <c r="D61" s="30">
        <v>251866</v>
      </c>
      <c r="H61" s="32">
        <f>+H60-H9</f>
        <v>-362040.51107581332</v>
      </c>
      <c r="L61" s="30" t="s">
        <v>117</v>
      </c>
      <c r="M61" s="1733">
        <f>+M60-M9</f>
        <v>0</v>
      </c>
      <c r="R61" s="32"/>
      <c r="W61" s="32"/>
      <c r="AB61" s="32">
        <f>AB60-AB10</f>
        <v>-1359866.6143857911</v>
      </c>
      <c r="AG61" s="32">
        <f>AG60-AG10</f>
        <v>-1042332.8559064902</v>
      </c>
      <c r="AL61" s="32">
        <f>AL60-AL10</f>
        <v>-1058547.8617726527</v>
      </c>
    </row>
    <row r="62" spans="1:44">
      <c r="C62" s="32">
        <f>+C45</f>
        <v>174485</v>
      </c>
      <c r="D62" s="32">
        <f>+D61+D60</f>
        <v>7397597.1620000005</v>
      </c>
      <c r="E62" s="1732">
        <f>+D62/C60</f>
        <v>1.1372735590099248</v>
      </c>
      <c r="L62" s="30" t="s">
        <v>3218</v>
      </c>
      <c r="M62" s="1733">
        <v>17358348</v>
      </c>
    </row>
    <row r="63" spans="1:44">
      <c r="C63" s="32">
        <f>+C62+C61</f>
        <v>6546241</v>
      </c>
      <c r="H63" s="32">
        <v>657</v>
      </c>
      <c r="L63" s="30" t="s">
        <v>2372</v>
      </c>
      <c r="M63" s="1733">
        <f>+M10</f>
        <v>18330348.400000002</v>
      </c>
      <c r="N63" s="1733">
        <f>+'Phụ lục số 1'!T92</f>
        <v>21559594.196000002</v>
      </c>
      <c r="O63" s="1733">
        <f>+N63-M63</f>
        <v>3229245.7960000001</v>
      </c>
      <c r="P63" s="32">
        <f>+P10</f>
        <v>6833081.4930000007</v>
      </c>
    </row>
    <row r="64" spans="1:44">
      <c r="H64" s="32">
        <f>+H63-172</f>
        <v>485</v>
      </c>
      <c r="K64" s="32"/>
      <c r="M64" s="5140">
        <f>+M63-M62</f>
        <v>972000.40000000224</v>
      </c>
      <c r="N64" s="32"/>
      <c r="O64" s="32"/>
      <c r="P64" s="32">
        <f>+'Phụ lục số 7'!C36</f>
        <v>7078351.9069999997</v>
      </c>
      <c r="Q64" s="32"/>
    </row>
    <row r="65" spans="1:41">
      <c r="K65" s="32"/>
      <c r="L65" s="30" t="s">
        <v>3218</v>
      </c>
      <c r="M65" s="5240">
        <f>+M11</f>
        <v>4666890</v>
      </c>
      <c r="P65" s="5240">
        <f>+P64+P63</f>
        <v>13911433.4</v>
      </c>
      <c r="Q65" s="5155"/>
    </row>
    <row r="66" spans="1:41">
      <c r="A66" s="1799"/>
      <c r="B66" s="31"/>
      <c r="K66" s="32"/>
      <c r="L66" s="30" t="s">
        <v>2372</v>
      </c>
      <c r="M66" s="5240">
        <f>+M11</f>
        <v>4666890</v>
      </c>
      <c r="N66" s="5155">
        <f>+M66/M10</f>
        <v>0.2545990887985522</v>
      </c>
      <c r="O66" s="5155">
        <f>+M66/M9</f>
        <v>0.21835554685305192</v>
      </c>
      <c r="P66" s="5240">
        <f>+P65+P52</f>
        <v>13916987.196</v>
      </c>
      <c r="Q66" s="5155"/>
      <c r="R66" s="1733"/>
      <c r="U66" s="1733">
        <f>SUM(U67:U95)</f>
        <v>230000</v>
      </c>
      <c r="V66" s="1733">
        <f t="shared" ref="V66" si="74">SUM(V67:V95)</f>
        <v>0</v>
      </c>
      <c r="W66" s="1733">
        <f>SUM(W67:W95)</f>
        <v>270000</v>
      </c>
      <c r="X66" s="32"/>
      <c r="Y66" s="32"/>
      <c r="Z66" s="1733">
        <f>SUM(Z67:Z95)</f>
        <v>270000</v>
      </c>
      <c r="AA66" s="1733">
        <f t="shared" ref="AA66" si="75">SUM(AA67:AA95)</f>
        <v>0</v>
      </c>
      <c r="AB66" s="1733">
        <f>SUM(AB67:AB95)</f>
        <v>1050000</v>
      </c>
      <c r="AC66" s="32"/>
      <c r="AD66" s="32"/>
      <c r="AE66" s="1733">
        <f>SUM(AE67:AE95)</f>
        <v>1050000</v>
      </c>
      <c r="AG66" s="1733">
        <f>SUM(AG67:AG95)</f>
        <v>1100000</v>
      </c>
      <c r="AH66" s="32"/>
      <c r="AI66" s="32"/>
      <c r="AJ66" s="1733">
        <f>SUM(AJ67:AJ95)</f>
        <v>1100000</v>
      </c>
      <c r="AL66" s="1733">
        <f>SUM(AL67:AL95)</f>
        <v>1200000</v>
      </c>
      <c r="AM66" s="32"/>
      <c r="AN66" s="32"/>
      <c r="AO66" s="1733">
        <f>SUM(AO67:AO95)</f>
        <v>1200000</v>
      </c>
    </row>
    <row r="67" spans="1:41">
      <c r="M67" s="5240">
        <f>+M66-M65</f>
        <v>0</v>
      </c>
      <c r="N67" s="1733"/>
      <c r="O67" s="1733"/>
      <c r="P67" s="5240"/>
      <c r="Q67" s="5155"/>
      <c r="R67" s="1733"/>
      <c r="U67" s="1733"/>
      <c r="V67" s="1733"/>
      <c r="W67" s="1733">
        <f>SUM(Z67:AA67)</f>
        <v>0</v>
      </c>
      <c r="X67" s="32"/>
      <c r="Y67" s="32"/>
      <c r="Z67" s="32"/>
      <c r="AA67" s="32"/>
      <c r="AB67" s="1733">
        <f>SUM(AE67:AF67)</f>
        <v>0</v>
      </c>
      <c r="AC67" s="32"/>
      <c r="AD67" s="32"/>
      <c r="AE67" s="32"/>
      <c r="AG67" s="1733">
        <f>SUM(AJ67:AK67)</f>
        <v>0</v>
      </c>
      <c r="AH67" s="32"/>
      <c r="AI67" s="32"/>
      <c r="AJ67" s="32"/>
      <c r="AL67" s="1733">
        <f>SUM(AO67:AP67)</f>
        <v>0</v>
      </c>
      <c r="AM67" s="32"/>
      <c r="AN67" s="32"/>
      <c r="AO67" s="32"/>
    </row>
    <row r="68" spans="1:41">
      <c r="D68" s="32">
        <f>+H12</f>
        <v>1143186</v>
      </c>
      <c r="J68" s="32"/>
      <c r="K68" s="32"/>
      <c r="L68" s="30" t="s">
        <v>3218</v>
      </c>
      <c r="M68" s="1733">
        <v>12335657</v>
      </c>
      <c r="N68" s="1733"/>
      <c r="O68" s="1733"/>
      <c r="P68" s="1733"/>
      <c r="Q68" s="1733"/>
      <c r="R68" s="1733"/>
      <c r="U68" s="1733">
        <f>(1300000*10%)</f>
        <v>130000</v>
      </c>
      <c r="V68" s="1733"/>
      <c r="W68" s="1733">
        <f>SUM(Z68:AA68)</f>
        <v>120000</v>
      </c>
      <c r="X68" s="32"/>
      <c r="Y68" s="32"/>
      <c r="Z68" s="32">
        <f>1200000*10%</f>
        <v>120000</v>
      </c>
      <c r="AA68" s="32"/>
      <c r="AB68" s="1733">
        <f>SUM(AE68:AF68)</f>
        <v>140000</v>
      </c>
      <c r="AC68" s="32"/>
      <c r="AD68" s="32"/>
      <c r="AE68" s="32">
        <v>140000</v>
      </c>
      <c r="AG68" s="1733">
        <f>SUM(AJ68:AK68)</f>
        <v>150000</v>
      </c>
      <c r="AH68" s="32"/>
      <c r="AI68" s="32"/>
      <c r="AJ68" s="32">
        <v>150000</v>
      </c>
      <c r="AL68" s="1733">
        <f>SUM(AO68:AP68)</f>
        <v>165000</v>
      </c>
      <c r="AM68" s="32"/>
      <c r="AN68" s="32"/>
      <c r="AO68" s="32">
        <v>165000</v>
      </c>
    </row>
    <row r="69" spans="1:41">
      <c r="D69" s="4803">
        <v>1153930</v>
      </c>
      <c r="J69" s="1807"/>
      <c r="L69" s="30" t="s">
        <v>2372</v>
      </c>
      <c r="M69" s="1733">
        <f>+M23</f>
        <v>12761657.450000003</v>
      </c>
      <c r="N69" s="1733"/>
      <c r="O69" s="1733"/>
      <c r="P69" s="1733"/>
      <c r="Q69" s="1733"/>
      <c r="R69" s="1733"/>
      <c r="U69" s="1733">
        <v>100000</v>
      </c>
      <c r="V69" s="1733"/>
      <c r="W69" s="1733">
        <f t="shared" ref="W69" si="76">SUM(Z69:AA69)</f>
        <v>150000</v>
      </c>
      <c r="X69" s="32"/>
      <c r="Y69" s="32"/>
      <c r="Z69" s="32">
        <v>150000</v>
      </c>
      <c r="AA69" s="32"/>
      <c r="AB69" s="1733">
        <f t="shared" ref="AB69:AB95" si="77">SUM(AE69:AF69)</f>
        <v>800000</v>
      </c>
      <c r="AC69" s="32"/>
      <c r="AD69" s="32"/>
      <c r="AE69" s="32">
        <v>800000</v>
      </c>
      <c r="AG69" s="1733">
        <f t="shared" ref="AG69:AG95" si="78">SUM(AJ69:AK69)</f>
        <v>800000</v>
      </c>
      <c r="AH69" s="32"/>
      <c r="AI69" s="32"/>
      <c r="AJ69" s="32">
        <v>800000</v>
      </c>
      <c r="AL69" s="1733">
        <f t="shared" ref="AL69:AL95" si="79">SUM(AO69:AP69)</f>
        <v>800000</v>
      </c>
      <c r="AM69" s="32"/>
      <c r="AN69" s="32"/>
      <c r="AO69" s="32">
        <v>800000</v>
      </c>
    </row>
    <row r="70" spans="1:41">
      <c r="D70" s="32">
        <f>+D69-D68</f>
        <v>10744</v>
      </c>
      <c r="J70" s="1807"/>
      <c r="M70" s="1733">
        <f>+M69-M68</f>
        <v>426000.45000000298</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1">
      <c r="J71" s="1807"/>
      <c r="L71" s="30" t="s">
        <v>3218</v>
      </c>
      <c r="M71" s="1733">
        <f>+M24</f>
        <v>5859513.0000000009</v>
      </c>
      <c r="N71" s="1733"/>
      <c r="O71" s="1733"/>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1">
      <c r="J72" s="1807"/>
      <c r="L72" s="30" t="s">
        <v>2372</v>
      </c>
      <c r="M72" s="1733">
        <f>+M24</f>
        <v>5859513.0000000009</v>
      </c>
      <c r="N72" s="5155">
        <f>+M72/M10</f>
        <v>0.31966184559809024</v>
      </c>
      <c r="O72" s="5155">
        <f>+M72/M9</f>
        <v>0.27415627225144945</v>
      </c>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1">
      <c r="J73" s="1807"/>
      <c r="M73" s="1733">
        <f>+M72-M71</f>
        <v>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1">
      <c r="J74" s="1807"/>
      <c r="L74" s="30" t="s">
        <v>3218</v>
      </c>
      <c r="M74" s="1733">
        <v>30780</v>
      </c>
      <c r="N74" s="1733"/>
      <c r="O74" s="1733"/>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1">
      <c r="J75" s="1807"/>
      <c r="L75" s="30" t="s">
        <v>2372</v>
      </c>
      <c r="M75" s="1733">
        <f>+M25</f>
        <v>31307</v>
      </c>
      <c r="N75" s="5155">
        <f>+M75/M10</f>
        <v>1.7079326217280188E-3</v>
      </c>
      <c r="O75" s="5114">
        <f>+M75/M9</f>
        <v>1.464799278604916E-3</v>
      </c>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1">
      <c r="J76" s="1807"/>
      <c r="M76" s="1733">
        <f>+M75-M74</f>
        <v>527</v>
      </c>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1">
      <c r="J77" s="1807"/>
      <c r="L77" s="32" t="s">
        <v>3218</v>
      </c>
      <c r="M77" s="1733"/>
      <c r="N77" s="1733"/>
      <c r="O77" s="1733"/>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1">
      <c r="J78" s="1807"/>
      <c r="L78" s="30" t="s">
        <v>2372</v>
      </c>
      <c r="M78" s="1733">
        <f>+M32</f>
        <v>205900</v>
      </c>
      <c r="N78" s="5155">
        <f>+M78/M10</f>
        <v>1.1232737944031656E-2</v>
      </c>
      <c r="O78" s="5155">
        <f>+M78/M9</f>
        <v>9.6336976224087965E-3</v>
      </c>
      <c r="P78" s="1733"/>
      <c r="Q78" s="1733"/>
      <c r="R78" s="1733"/>
      <c r="U78" s="1733"/>
      <c r="V78" s="1733"/>
      <c r="W78" s="1733"/>
      <c r="X78" s="32"/>
      <c r="Y78" s="32"/>
      <c r="Z78" s="32"/>
      <c r="AA78" s="32"/>
      <c r="AB78" s="1733"/>
      <c r="AC78" s="32"/>
      <c r="AD78" s="32"/>
      <c r="AE78" s="32"/>
      <c r="AG78" s="1733"/>
      <c r="AH78" s="32"/>
      <c r="AI78" s="32"/>
      <c r="AJ78" s="32"/>
      <c r="AL78" s="1733"/>
      <c r="AM78" s="32"/>
      <c r="AN78" s="32"/>
      <c r="AO78" s="32"/>
    </row>
    <row r="79" spans="1:41">
      <c r="J79" s="1807"/>
      <c r="M79" s="1733"/>
      <c r="N79" s="1733"/>
      <c r="O79" s="1733"/>
      <c r="P79" s="1733"/>
      <c r="Q79" s="1733"/>
      <c r="R79" s="1733"/>
      <c r="U79" s="1733"/>
      <c r="V79" s="1733"/>
      <c r="W79" s="1733"/>
      <c r="X79" s="32"/>
      <c r="Y79" s="32"/>
      <c r="Z79" s="32"/>
      <c r="AA79" s="32"/>
      <c r="AB79" s="1733"/>
      <c r="AC79" s="32"/>
      <c r="AD79" s="32"/>
      <c r="AE79" s="32"/>
      <c r="AG79" s="1733"/>
      <c r="AH79" s="32"/>
      <c r="AI79" s="32"/>
      <c r="AJ79" s="32"/>
      <c r="AL79" s="1733"/>
      <c r="AM79" s="32"/>
      <c r="AN79" s="32"/>
      <c r="AO79" s="32"/>
    </row>
    <row r="80" spans="1:41">
      <c r="J80" s="1807"/>
      <c r="L80" s="30" t="s">
        <v>3218</v>
      </c>
      <c r="M80" s="1733">
        <v>350901</v>
      </c>
      <c r="N80" s="5155">
        <f>+M80/M10</f>
        <v>1.9143171332193554E-2</v>
      </c>
      <c r="O80" s="5155">
        <f>+M80/M9</f>
        <v>1.6418038510931855E-2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8:41">
      <c r="J81" s="1807"/>
      <c r="L81" s="30" t="s">
        <v>2372</v>
      </c>
      <c r="M81" s="1733">
        <f>+M39</f>
        <v>376400.94999999995</v>
      </c>
      <c r="N81" s="5155">
        <f>+M81/M10</f>
        <v>2.0534304192494229E-2</v>
      </c>
      <c r="O81" s="5155">
        <f>+M81/M9</f>
        <v>1.7611136168467274E-2</v>
      </c>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8:41">
      <c r="J82" s="1807"/>
      <c r="M82" s="1733">
        <f>+M81-M80</f>
        <v>25499.949999999953</v>
      </c>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8:4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8:4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8:4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8:4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8:4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8:4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8:4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8:4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8:4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8:41">
      <c r="J92" s="1807"/>
      <c r="M92" s="1733"/>
      <c r="N92" s="1733"/>
      <c r="O92" s="1733"/>
      <c r="P92" s="1733"/>
      <c r="Q92" s="1733"/>
      <c r="R92" s="1733"/>
      <c r="U92" s="1733"/>
      <c r="V92" s="1733"/>
      <c r="W92" s="1733"/>
      <c r="X92" s="32"/>
      <c r="Y92" s="32"/>
      <c r="Z92" s="32"/>
      <c r="AA92" s="32"/>
      <c r="AB92" s="1733"/>
      <c r="AC92" s="32"/>
      <c r="AD92" s="32"/>
      <c r="AE92" s="32"/>
      <c r="AG92" s="1733"/>
      <c r="AH92" s="32"/>
      <c r="AI92" s="32"/>
      <c r="AJ92" s="32"/>
      <c r="AL92" s="1733"/>
      <c r="AM92" s="32"/>
      <c r="AN92" s="32"/>
      <c r="AO92" s="32"/>
    </row>
    <row r="93" spans="8:41">
      <c r="H93" s="1733"/>
      <c r="I93" s="5105"/>
      <c r="J93" s="32"/>
      <c r="M93" s="1733"/>
      <c r="N93" s="1733"/>
      <c r="O93" s="1733"/>
      <c r="P93" s="1733"/>
      <c r="Q93" s="1733"/>
      <c r="R93" s="1733"/>
      <c r="U93" s="1733"/>
      <c r="V93" s="1733"/>
      <c r="W93" s="1733"/>
      <c r="X93" s="32"/>
      <c r="Y93" s="32"/>
      <c r="Z93" s="32"/>
      <c r="AA93" s="32"/>
      <c r="AB93" s="1733">
        <f t="shared" si="77"/>
        <v>60000</v>
      </c>
      <c r="AC93" s="32"/>
      <c r="AD93" s="32"/>
      <c r="AE93" s="32">
        <v>60000</v>
      </c>
      <c r="AG93" s="1733">
        <f t="shared" si="78"/>
        <v>100000</v>
      </c>
      <c r="AH93" s="32"/>
      <c r="AI93" s="32"/>
      <c r="AJ93" s="32">
        <v>100000</v>
      </c>
      <c r="AL93" s="1733">
        <f t="shared" si="79"/>
        <v>200000</v>
      </c>
      <c r="AM93" s="32"/>
      <c r="AN93" s="32"/>
      <c r="AO93" s="32">
        <f>100000+50000+50000</f>
        <v>200000</v>
      </c>
    </row>
    <row r="94" spans="8:41">
      <c r="M94" s="5146"/>
      <c r="N94" s="1733"/>
      <c r="O94" s="1733"/>
      <c r="P94" s="1733"/>
      <c r="Q94" s="1733"/>
      <c r="R94" s="1733"/>
      <c r="U94" s="1733"/>
      <c r="V94" s="1733"/>
      <c r="W94" s="1733"/>
      <c r="X94" s="32"/>
      <c r="Y94" s="32"/>
      <c r="Z94" s="32"/>
      <c r="AA94" s="32"/>
      <c r="AB94" s="1733">
        <f t="shared" si="77"/>
        <v>50000</v>
      </c>
      <c r="AC94" s="32"/>
      <c r="AD94" s="32"/>
      <c r="AE94" s="32">
        <v>50000</v>
      </c>
      <c r="AG94" s="1733">
        <f t="shared" si="78"/>
        <v>50000</v>
      </c>
      <c r="AH94" s="32"/>
      <c r="AI94" s="32"/>
      <c r="AJ94" s="32">
        <v>50000</v>
      </c>
      <c r="AL94" s="1733">
        <f t="shared" si="79"/>
        <v>35000</v>
      </c>
      <c r="AM94" s="32"/>
      <c r="AN94" s="32"/>
      <c r="AO94" s="32">
        <v>35000</v>
      </c>
    </row>
    <row r="95" spans="8:41">
      <c r="M95" s="1733"/>
      <c r="N95" s="1733"/>
      <c r="O95" s="1733"/>
      <c r="P95" s="1733"/>
      <c r="Q95" s="1733"/>
      <c r="R95" s="1733"/>
      <c r="U95" s="1733"/>
      <c r="V95" s="1733"/>
      <c r="W95" s="1733"/>
      <c r="X95" s="32"/>
      <c r="Y95" s="32"/>
      <c r="Z95" s="32"/>
      <c r="AA95" s="32"/>
      <c r="AB95" s="1733">
        <f t="shared" si="77"/>
        <v>0</v>
      </c>
      <c r="AC95" s="32"/>
      <c r="AD95" s="32"/>
      <c r="AE95" s="32"/>
      <c r="AG95" s="1733">
        <f t="shared" si="78"/>
        <v>0</v>
      </c>
      <c r="AH95" s="32"/>
      <c r="AI95" s="32"/>
      <c r="AJ95" s="32"/>
      <c r="AL95" s="1733">
        <f t="shared" si="79"/>
        <v>0</v>
      </c>
      <c r="AM95" s="32"/>
      <c r="AN95" s="32"/>
      <c r="AO95" s="32"/>
    </row>
    <row r="96" spans="8:41">
      <c r="H96" s="32"/>
    </row>
    <row r="97" spans="1:17 16384:16384">
      <c r="A97" s="1731" t="s">
        <v>312</v>
      </c>
      <c r="B97" s="30" t="s">
        <v>942</v>
      </c>
      <c r="H97" s="6067" t="s">
        <v>1430</v>
      </c>
      <c r="I97" s="6067"/>
      <c r="J97" s="6067"/>
      <c r="K97" s="6067"/>
      <c r="L97" s="6067"/>
      <c r="M97" s="6067" t="s">
        <v>1431</v>
      </c>
      <c r="N97" s="6067"/>
      <c r="O97" s="6067"/>
      <c r="P97" s="6067"/>
      <c r="Q97" s="6067"/>
    </row>
    <row r="98" spans="1:17 16384:16384" s="31" customFormat="1">
      <c r="A98" s="1799">
        <v>1</v>
      </c>
      <c r="B98" s="31" t="s">
        <v>943</v>
      </c>
      <c r="H98" s="1800">
        <f>SUM(K98:L98)</f>
        <v>721199</v>
      </c>
      <c r="I98" s="1800"/>
      <c r="J98" s="1800"/>
      <c r="K98" s="1800">
        <v>99552</v>
      </c>
      <c r="L98" s="1800">
        <v>621647</v>
      </c>
      <c r="M98" s="1801"/>
      <c r="P98" s="1802"/>
      <c r="Q98" s="1803"/>
    </row>
    <row r="99" spans="1:17 16384:16384" s="31" customFormat="1">
      <c r="A99" s="1799">
        <v>2</v>
      </c>
      <c r="B99" s="31" t="s">
        <v>944</v>
      </c>
      <c r="H99" s="1800">
        <f>SUM(H100:H102)</f>
        <v>291486</v>
      </c>
      <c r="I99" s="1800"/>
      <c r="J99" s="1800"/>
      <c r="K99" s="1800">
        <f>SUM(K100:K102)</f>
        <v>55933</v>
      </c>
      <c r="L99" s="1800">
        <f>SUM(L100:L102)</f>
        <v>235553</v>
      </c>
      <c r="M99" s="1801"/>
      <c r="P99" s="1801"/>
      <c r="Q99" s="1801"/>
    </row>
    <row r="100" spans="1:17 16384:16384" ht="15.6">
      <c r="B100" s="30" t="s">
        <v>945</v>
      </c>
      <c r="H100" s="1804">
        <f>SUM(K100:L100)</f>
        <v>291486</v>
      </c>
      <c r="I100" s="1804"/>
      <c r="J100" s="1804"/>
      <c r="K100" s="1820">
        <v>55933</v>
      </c>
      <c r="L100" s="1804">
        <v>235553</v>
      </c>
      <c r="M100" s="1805"/>
      <c r="P100" s="32"/>
      <c r="Q100" s="32"/>
    </row>
    <row r="101" spans="1:17 16384:16384" hidden="1">
      <c r="B101" s="30" t="s">
        <v>946</v>
      </c>
      <c r="H101" s="1804">
        <f t="shared" ref="H101:H104" si="80">SUM(K101:L101)</f>
        <v>0</v>
      </c>
      <c r="I101" s="1804"/>
      <c r="J101" s="1804"/>
      <c r="K101" s="1804"/>
      <c r="L101" s="1804"/>
      <c r="M101" s="1805"/>
      <c r="P101" s="32"/>
      <c r="Q101" s="32"/>
    </row>
    <row r="102" spans="1:17 16384:16384" hidden="1">
      <c r="B102" s="30" t="s">
        <v>947</v>
      </c>
      <c r="H102" s="1804">
        <f t="shared" si="80"/>
        <v>0</v>
      </c>
      <c r="I102" s="1804"/>
      <c r="J102" s="1804"/>
      <c r="K102" s="1804"/>
      <c r="L102" s="1804"/>
      <c r="M102" s="1805"/>
      <c r="P102" s="32"/>
      <c r="Q102" s="32"/>
    </row>
    <row r="103" spans="1:17 16384:16384" s="31" customFormat="1">
      <c r="A103" s="1799">
        <v>3</v>
      </c>
      <c r="B103" s="31" t="s">
        <v>949</v>
      </c>
      <c r="H103" s="1800">
        <f t="shared" si="80"/>
        <v>7717</v>
      </c>
      <c r="I103" s="1800"/>
      <c r="J103" s="1800"/>
      <c r="K103" s="1800">
        <v>3363</v>
      </c>
      <c r="L103" s="1800">
        <v>4354</v>
      </c>
      <c r="M103" s="1801"/>
      <c r="P103" s="32"/>
      <c r="Q103" s="32"/>
    </row>
    <row r="104" spans="1:17 16384:16384" s="31" customFormat="1">
      <c r="A104" s="1799">
        <v>4</v>
      </c>
      <c r="B104" s="31" t="s">
        <v>950</v>
      </c>
      <c r="H104" s="1800">
        <f t="shared" si="80"/>
        <v>18299</v>
      </c>
      <c r="I104" s="1800"/>
      <c r="J104" s="1800"/>
      <c r="K104" s="1800">
        <v>9233</v>
      </c>
      <c r="L104" s="1800">
        <v>9066</v>
      </c>
      <c r="M104" s="1801"/>
      <c r="P104" s="32"/>
      <c r="Q104" s="32"/>
    </row>
    <row r="105" spans="1:17 16384:16384" s="31" customFormat="1">
      <c r="A105" s="1799">
        <v>5</v>
      </c>
      <c r="B105" s="31" t="s">
        <v>951</v>
      </c>
      <c r="H105" s="1800">
        <f>SUM(H106:H107)</f>
        <v>0</v>
      </c>
      <c r="I105" s="1800"/>
      <c r="J105" s="1800"/>
      <c r="K105" s="1800">
        <f>SUM(K106:K107)</f>
        <v>0</v>
      </c>
      <c r="L105" s="1800">
        <f>SUM(L106:L107)</f>
        <v>0</v>
      </c>
      <c r="M105" s="1801"/>
      <c r="P105" s="1801"/>
      <c r="Q105" s="1801"/>
      <c r="XFD105" s="31">
        <f>SUM(XFD106:XFD107)</f>
        <v>0</v>
      </c>
    </row>
    <row r="106" spans="1:17 16384:16384">
      <c r="B106" s="30" t="s">
        <v>952</v>
      </c>
      <c r="H106" s="1804">
        <f>SUM(K106:L106)</f>
        <v>0</v>
      </c>
      <c r="I106" s="1804"/>
      <c r="J106" s="1804"/>
      <c r="K106" s="1804"/>
      <c r="L106" s="1804"/>
      <c r="M106" s="1805"/>
      <c r="P106" s="32"/>
      <c r="Q106" s="32"/>
    </row>
    <row r="107" spans="1:17 16384:16384">
      <c r="B107" s="30" t="s">
        <v>953</v>
      </c>
      <c r="H107" s="1804">
        <f>SUM(K107:L107)</f>
        <v>0</v>
      </c>
      <c r="I107" s="1804"/>
      <c r="J107" s="1804"/>
      <c r="K107" s="1804"/>
      <c r="L107" s="1804"/>
      <c r="M107" s="1805"/>
      <c r="P107" s="32"/>
      <c r="Q107" s="32"/>
    </row>
    <row r="108" spans="1:17 16384:16384" s="31" customFormat="1">
      <c r="A108" s="1799">
        <v>6</v>
      </c>
      <c r="B108" s="31" t="s">
        <v>948</v>
      </c>
      <c r="H108" s="1800">
        <f>SUM(K108:L108)</f>
        <v>1443</v>
      </c>
      <c r="I108" s="1800"/>
      <c r="J108" s="1800"/>
      <c r="K108" s="1800">
        <v>1443</v>
      </c>
      <c r="L108" s="1800"/>
      <c r="M108" s="1801"/>
      <c r="P108" s="1802"/>
      <c r="Q108" s="1802"/>
    </row>
    <row r="109" spans="1:17 16384:16384" s="31" customFormat="1">
      <c r="A109" s="1799">
        <v>7</v>
      </c>
      <c r="B109" s="31" t="s">
        <v>648</v>
      </c>
      <c r="H109" s="1800">
        <f t="shared" ref="H109:H112" si="81">SUM(K109:L109)</f>
        <v>93298</v>
      </c>
      <c r="I109" s="1800"/>
      <c r="J109" s="1800"/>
      <c r="K109" s="1800">
        <v>93298</v>
      </c>
      <c r="L109" s="1800"/>
      <c r="M109" s="1801"/>
      <c r="P109" s="1802"/>
      <c r="Q109" s="1802"/>
    </row>
    <row r="110" spans="1:17 16384:16384" s="31" customFormat="1">
      <c r="A110" s="1799">
        <v>8</v>
      </c>
      <c r="B110" s="31" t="s">
        <v>954</v>
      </c>
      <c r="H110" s="1800">
        <f t="shared" si="81"/>
        <v>0</v>
      </c>
      <c r="I110" s="1800"/>
      <c r="J110" s="1800"/>
      <c r="K110" s="1800"/>
      <c r="L110" s="1800"/>
      <c r="M110" s="1801"/>
      <c r="P110" s="1802"/>
      <c r="Q110" s="1802"/>
    </row>
    <row r="111" spans="1:17 16384:16384" s="31" customFormat="1">
      <c r="A111" s="1799">
        <v>9</v>
      </c>
      <c r="B111" s="31" t="s">
        <v>955</v>
      </c>
      <c r="H111" s="1800">
        <f t="shared" si="81"/>
        <v>1423</v>
      </c>
      <c r="I111" s="1800"/>
      <c r="J111" s="1800"/>
      <c r="K111" s="1800">
        <v>1423</v>
      </c>
      <c r="L111" s="1800"/>
      <c r="M111" s="1801"/>
      <c r="P111" s="1802"/>
      <c r="Q111" s="1802"/>
    </row>
    <row r="112" spans="1:17 16384:16384" s="31" customFormat="1">
      <c r="A112" s="1799">
        <v>10</v>
      </c>
      <c r="B112" s="31" t="s">
        <v>956</v>
      </c>
      <c r="H112" s="1800">
        <f t="shared" si="81"/>
        <v>0</v>
      </c>
      <c r="I112" s="1800"/>
      <c r="J112" s="1800"/>
      <c r="K112" s="1800"/>
      <c r="L112" s="1800"/>
      <c r="M112" s="1801"/>
      <c r="P112" s="1802"/>
      <c r="Q112" s="1802"/>
    </row>
    <row r="113" spans="2:18">
      <c r="B113" s="1799" t="s">
        <v>387</v>
      </c>
      <c r="H113" s="1801">
        <f>+H112+H111+H110+H109+H108+H105+H104+H103+H99+H98</f>
        <v>1134865</v>
      </c>
      <c r="I113" s="1804"/>
      <c r="J113" s="1804"/>
      <c r="K113" s="1800">
        <f>+K112+K111+K110+K109+K108+K105+K104+K103+K99+K98</f>
        <v>264245</v>
      </c>
      <c r="L113" s="1800">
        <f>+L112+L111+L110+L109+L108+L105+L104+L103+L99+L98</f>
        <v>870620</v>
      </c>
      <c r="M113" s="1801"/>
      <c r="P113" s="1801"/>
      <c r="Q113" s="1801"/>
    </row>
    <row r="114" spans="2:18">
      <c r="P114" s="32"/>
      <c r="Q114" s="32"/>
    </row>
    <row r="115" spans="2:18">
      <c r="L115" s="1806"/>
      <c r="M115" s="1733"/>
      <c r="P115" s="1733"/>
      <c r="Q115" s="1733"/>
    </row>
    <row r="116" spans="2:18">
      <c r="L116" s="1807"/>
      <c r="M116" s="1733"/>
      <c r="P116" s="1733"/>
      <c r="Q116" s="1733"/>
      <c r="R116" s="32"/>
    </row>
    <row r="117" spans="2:18">
      <c r="M117" s="1733"/>
      <c r="P117" s="1733"/>
      <c r="Q117" s="1733"/>
    </row>
    <row r="118" spans="2:18">
      <c r="Q118" s="1733"/>
    </row>
    <row r="119" spans="2:18">
      <c r="N119" s="4802"/>
      <c r="O119" s="1807"/>
      <c r="P119" s="4802"/>
      <c r="Q119" s="4803"/>
    </row>
    <row r="120" spans="2:18">
      <c r="J120" s="1806"/>
      <c r="K120" s="1808"/>
      <c r="O120" s="1807"/>
      <c r="Q120" s="1733"/>
    </row>
    <row r="121" spans="2:18">
      <c r="J121" s="1807"/>
      <c r="K121" s="1806"/>
      <c r="N121" s="32"/>
      <c r="Q121" s="1733"/>
    </row>
    <row r="122" spans="2:18">
      <c r="K122" s="1809"/>
      <c r="N122" s="4803"/>
      <c r="Q122" s="1733"/>
    </row>
    <row r="123" spans="2:18">
      <c r="N123" s="1807"/>
      <c r="Q123" s="1733"/>
    </row>
    <row r="124" spans="2:18">
      <c r="Q124" s="1733"/>
    </row>
    <row r="125" spans="2:18">
      <c r="Q125" s="1733"/>
    </row>
    <row r="126" spans="2:18">
      <c r="Q126" s="1733"/>
    </row>
    <row r="127" spans="2:18">
      <c r="Q127" s="1733"/>
    </row>
    <row r="128" spans="2:18">
      <c r="Q128" s="1733"/>
    </row>
    <row r="129" spans="17:17">
      <c r="Q129" s="1733"/>
    </row>
    <row r="130" spans="17:17">
      <c r="Q130" s="1733"/>
    </row>
  </sheetData>
  <sheetProtection selectLockedCells="1" selectUnlockedCells="1"/>
  <mergeCells count="51">
    <mergeCell ref="R1:AH1"/>
    <mergeCell ref="R2:AH2"/>
    <mergeCell ref="R3:AH3"/>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 ref="R6:V6"/>
    <mergeCell ref="W6:AA6"/>
    <mergeCell ref="AB6:AF6"/>
    <mergeCell ref="AG6:AK6"/>
    <mergeCell ref="AL6:AP6"/>
    <mergeCell ref="X7:X8"/>
    <mergeCell ref="J7:J8"/>
    <mergeCell ref="K7:L7"/>
    <mergeCell ref="M7:M8"/>
    <mergeCell ref="N7:N8"/>
    <mergeCell ref="O7:O8"/>
    <mergeCell ref="P7:Q7"/>
    <mergeCell ref="R7:R8"/>
    <mergeCell ref="S7:S8"/>
    <mergeCell ref="T7:T8"/>
    <mergeCell ref="U7:V7"/>
    <mergeCell ref="W7:W8"/>
    <mergeCell ref="AN7:AN8"/>
    <mergeCell ref="AO7:AP7"/>
    <mergeCell ref="H97:L97"/>
    <mergeCell ref="M97:Q97"/>
    <mergeCell ref="AG7:AG8"/>
    <mergeCell ref="AH7:AH8"/>
    <mergeCell ref="AI7:AI8"/>
    <mergeCell ref="AJ7:AK7"/>
    <mergeCell ref="AL7:AL8"/>
    <mergeCell ref="AM7:AM8"/>
    <mergeCell ref="Y7:Y8"/>
    <mergeCell ref="Z7:AA7"/>
    <mergeCell ref="AB7:AB8"/>
    <mergeCell ref="AC7:AC8"/>
    <mergeCell ref="AD7:AD8"/>
    <mergeCell ref="AE7:AF7"/>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69"/>
  <sheetViews>
    <sheetView zoomScale="70" zoomScaleNormal="70" workbookViewId="0">
      <selection activeCell="K19" sqref="K19"/>
    </sheetView>
  </sheetViews>
  <sheetFormatPr defaultColWidth="9.109375" defaultRowHeight="18"/>
  <cols>
    <col min="1" max="1" width="9.109375" style="47"/>
    <col min="2" max="2" width="100.109375" style="47" customWidth="1"/>
    <col min="3" max="3" width="15.33203125" style="47" customWidth="1"/>
    <col min="4" max="4" width="13.88671875" style="47" customWidth="1"/>
    <col min="5" max="6" width="13.6640625" style="47" customWidth="1"/>
    <col min="7" max="8" width="13.5546875" style="47" customWidth="1"/>
    <col min="9" max="9" width="9.109375" style="47"/>
    <col min="10" max="10" width="10.5546875" style="47" bestFit="1" customWidth="1"/>
    <col min="11" max="11" width="11.6640625" style="47" bestFit="1" customWidth="1"/>
    <col min="12" max="12" width="9.109375" style="47"/>
    <col min="13" max="13" width="11.88671875" style="47" customWidth="1"/>
    <col min="14" max="14" width="10.6640625" style="47" bestFit="1" customWidth="1"/>
    <col min="15" max="15" width="13" style="47" bestFit="1" customWidth="1"/>
    <col min="16" max="16" width="10.6640625" style="47" bestFit="1" customWidth="1"/>
    <col min="17" max="17" width="21.109375" style="47" bestFit="1" customWidth="1"/>
    <col min="18" max="18" width="10.6640625" style="47" bestFit="1" customWidth="1"/>
    <col min="19" max="16384" width="9.109375" style="47"/>
  </cols>
  <sheetData>
    <row r="1" spans="1:18">
      <c r="A1" s="6056" t="s">
        <v>1415</v>
      </c>
      <c r="B1" s="6056"/>
      <c r="C1" s="6056"/>
      <c r="D1" s="6056"/>
      <c r="E1" s="6056"/>
      <c r="F1" s="6056"/>
      <c r="G1" s="6056"/>
      <c r="H1" s="6056"/>
      <c r="I1" s="4"/>
      <c r="J1" s="4"/>
      <c r="K1" s="4"/>
      <c r="L1" s="4"/>
      <c r="M1" s="4"/>
      <c r="N1" s="4"/>
      <c r="O1" s="4"/>
      <c r="P1" s="4"/>
      <c r="Q1" s="4"/>
    </row>
    <row r="2" spans="1:18">
      <c r="A2" s="6056" t="s">
        <v>3268</v>
      </c>
      <c r="B2" s="6056"/>
      <c r="C2" s="6056"/>
      <c r="D2" s="6056"/>
      <c r="E2" s="6056"/>
      <c r="F2" s="6056"/>
      <c r="G2" s="6056"/>
      <c r="H2" s="6056"/>
      <c r="I2" s="4"/>
      <c r="J2" s="4"/>
      <c r="K2" s="4"/>
      <c r="L2" s="4"/>
      <c r="M2" s="4"/>
      <c r="N2" s="4"/>
      <c r="O2" s="4"/>
      <c r="P2" s="4"/>
      <c r="Q2" s="4"/>
    </row>
    <row r="3" spans="1:18">
      <c r="A3" s="6059" t="str">
        <f>+'Phụ lục số 1'!A3:V3</f>
        <v>(Kèm theo Báo cáo số     462/BC-UBND ngày 22 tháng 11 năm 2024 của Ủy ban nhân dân tỉnh Đồng Tháp)</v>
      </c>
      <c r="B3" s="6059"/>
      <c r="C3" s="6059"/>
      <c r="D3" s="6059"/>
      <c r="E3" s="6059"/>
      <c r="F3" s="6059"/>
      <c r="G3" s="6059"/>
      <c r="H3" s="6059"/>
      <c r="I3" s="1"/>
      <c r="J3" s="1"/>
      <c r="K3" s="1"/>
      <c r="L3" s="1"/>
      <c r="M3" s="1"/>
      <c r="N3" s="1"/>
      <c r="O3" s="1"/>
      <c r="P3" s="1"/>
      <c r="Q3" s="1"/>
    </row>
    <row r="5" spans="1:18" ht="18.600000000000001" thickBot="1">
      <c r="C5" s="5238"/>
    </row>
    <row r="6" spans="1:18" ht="52.8" thickTop="1">
      <c r="A6" s="3043" t="s">
        <v>200</v>
      </c>
      <c r="B6" s="2620" t="s">
        <v>1123</v>
      </c>
      <c r="C6" s="5375" t="s">
        <v>219</v>
      </c>
      <c r="D6" s="5375" t="s">
        <v>407</v>
      </c>
      <c r="E6" s="5375" t="s">
        <v>1455</v>
      </c>
      <c r="F6" s="5375" t="s">
        <v>1961</v>
      </c>
      <c r="G6" s="5375" t="s">
        <v>1962</v>
      </c>
      <c r="H6" s="5376" t="s">
        <v>3262</v>
      </c>
    </row>
    <row r="7" spans="1:18" s="49" customFormat="1" ht="17.399999999999999">
      <c r="A7" s="1641" t="s">
        <v>1</v>
      </c>
      <c r="B7" s="4259" t="s">
        <v>827</v>
      </c>
      <c r="C7" s="5499">
        <f>SUM(C8:C10)</f>
        <v>9674054.1620000005</v>
      </c>
      <c r="D7" s="5500">
        <f t="shared" ref="D7:G7" si="0">SUM(D8:D10)</f>
        <v>9675053.6514166668</v>
      </c>
      <c r="E7" s="5501">
        <f t="shared" si="0"/>
        <v>10100553.796</v>
      </c>
      <c r="F7" s="5501">
        <f t="shared" si="0"/>
        <v>11087000</v>
      </c>
      <c r="G7" s="5501">
        <f t="shared" si="0"/>
        <v>11812000</v>
      </c>
      <c r="H7" s="5502">
        <f>SUM(H8:H10)</f>
        <v>32999553.796</v>
      </c>
      <c r="M7" s="5513">
        <f>((E7/D7)*(F7/E7)*(G7/F7))^(1/3)</f>
        <v>1.0687841848035315</v>
      </c>
      <c r="N7" s="5513"/>
      <c r="O7" s="5513"/>
      <c r="P7" s="5514"/>
      <c r="Q7" s="5794">
        <f>+Q8+Q9+Q10</f>
        <v>25893293.252273668</v>
      </c>
      <c r="R7" s="5513">
        <f>+H8/Q7</f>
        <v>1.2321723501586053</v>
      </c>
    </row>
    <row r="8" spans="1:18">
      <c r="A8" s="4279" t="s">
        <v>3</v>
      </c>
      <c r="B8" s="518" t="s">
        <v>4</v>
      </c>
      <c r="C8" s="924">
        <f>+'Phụ lục số 1'!D11</f>
        <v>9474054.1620000005</v>
      </c>
      <c r="D8" s="5503">
        <f>+'Phụ lục số 1'!J11</f>
        <v>9265054.0820000004</v>
      </c>
      <c r="E8" s="5504">
        <f>+'Phụ lục số 1'!Q11</f>
        <v>9595000</v>
      </c>
      <c r="F8" s="5504">
        <f>+'Phụ lục số 1'!W11</f>
        <v>10800000</v>
      </c>
      <c r="G8" s="5504">
        <f>+'Phụ lục số 1'!AC11</f>
        <v>11510000</v>
      </c>
      <c r="H8" s="5505">
        <f>SUM(E8:G8)</f>
        <v>31905000</v>
      </c>
      <c r="M8" s="5513">
        <f>((E8/D8)*(F8/E8)*(G8/F8))^(1/3)</f>
        <v>1.075001627206412</v>
      </c>
      <c r="Q8" s="679">
        <f>+'Biểu số 1 (2)'!AW108</f>
        <v>24811622.641316</v>
      </c>
      <c r="R8" s="5513">
        <f t="shared" ref="R8:R9" si="1">+H9/Q8</f>
        <v>4.3890720721610967E-2</v>
      </c>
    </row>
    <row r="9" spans="1:18">
      <c r="A9" s="4279" t="s">
        <v>33</v>
      </c>
      <c r="B9" s="518" t="s">
        <v>828</v>
      </c>
      <c r="C9" s="924">
        <f>+'Phụ lục số 1'!D51</f>
        <v>200000</v>
      </c>
      <c r="D9" s="5503">
        <f>+'Phụ lục số 1'!J51</f>
        <v>409999.569416666</v>
      </c>
      <c r="E9" s="5504">
        <f>+'Phụ lục số 1'!Q51</f>
        <v>500000</v>
      </c>
      <c r="F9" s="5504">
        <f>+'Phụ lục số 1'!W51</f>
        <v>287000</v>
      </c>
      <c r="G9" s="5504">
        <f>+'Phụ lục số 1'!AC51</f>
        <v>302000</v>
      </c>
      <c r="H9" s="5505">
        <f>SUM(E9:G9)</f>
        <v>1089000</v>
      </c>
      <c r="M9" s="5513">
        <f>((E9/D9)*(F9/E9)*(G9/F9))^(1/3)</f>
        <v>0.90311110129146399</v>
      </c>
      <c r="Q9" s="679">
        <f>+'Biểu số 1 (2)'!AW109</f>
        <v>1081670.6109576658</v>
      </c>
      <c r="R9" s="5513">
        <f t="shared" si="1"/>
        <v>5.1344614004839254E-3</v>
      </c>
    </row>
    <row r="10" spans="1:18">
      <c r="A10" s="4279" t="s">
        <v>182</v>
      </c>
      <c r="B10" s="518" t="s">
        <v>3263</v>
      </c>
      <c r="C10" s="924">
        <f>+'Phụ lục số 1'!D56</f>
        <v>0</v>
      </c>
      <c r="D10" s="5503">
        <f>+'Phụ lục số 1'!J56</f>
        <v>0</v>
      </c>
      <c r="E10" s="5504">
        <f>+'Phụ lục số 1'!Q56</f>
        <v>5553.7960000000003</v>
      </c>
      <c r="F10" s="5504">
        <f>+'Phụ lục số 1'!W56</f>
        <v>0</v>
      </c>
      <c r="G10" s="5504">
        <f>+'Phụ lục số 1'!AC56</f>
        <v>0</v>
      </c>
      <c r="H10" s="5505">
        <f>SUM(E10:G10)</f>
        <v>5553.7960000000003</v>
      </c>
      <c r="M10" s="5513" t="e">
        <f t="shared" ref="M10" si="2">((E10/D10)*(F10/E10)*(G10/F10))^(1/3)</f>
        <v>#DIV/0!</v>
      </c>
    </row>
    <row r="11" spans="1:18">
      <c r="A11" s="4265" t="s">
        <v>37</v>
      </c>
      <c r="B11" s="4266" t="s">
        <v>2419</v>
      </c>
      <c r="C11" s="5506">
        <f>+C12+C19</f>
        <v>19035463.162</v>
      </c>
      <c r="D11" s="5506">
        <f t="shared" ref="D11:G11" si="3">+D12+D19</f>
        <v>19350818.14563527</v>
      </c>
      <c r="E11" s="5506">
        <f t="shared" si="3"/>
        <v>21559594.195999999</v>
      </c>
      <c r="F11" s="5506">
        <f t="shared" si="3"/>
        <v>22308019.974463433</v>
      </c>
      <c r="G11" s="5506">
        <f t="shared" si="3"/>
        <v>23058214.499822237</v>
      </c>
      <c r="H11" s="5507">
        <f>+H12+H19</f>
        <v>66925828.670285672</v>
      </c>
    </row>
    <row r="12" spans="1:18">
      <c r="A12" s="611" t="s">
        <v>3</v>
      </c>
      <c r="B12" s="1923" t="s">
        <v>2420</v>
      </c>
      <c r="C12" s="5506">
        <f>+C13+C17+C18+C29</f>
        <v>17046487.162</v>
      </c>
      <c r="D12" s="5506">
        <f t="shared" ref="D12:G12" si="4">+D13+D17+D18+D29</f>
        <v>17223283.14563527</v>
      </c>
      <c r="E12" s="5506">
        <f t="shared" si="4"/>
        <v>18522602.195999999</v>
      </c>
      <c r="F12" s="5506">
        <f t="shared" si="4"/>
        <v>19271027.974463433</v>
      </c>
      <c r="G12" s="5506">
        <f t="shared" si="4"/>
        <v>20021222.499822237</v>
      </c>
      <c r="H12" s="5507">
        <f>+H13+H17+H18+H29</f>
        <v>57814852.670285672</v>
      </c>
    </row>
    <row r="13" spans="1:18">
      <c r="A13" s="603">
        <v>1</v>
      </c>
      <c r="B13" s="297" t="s">
        <v>831</v>
      </c>
      <c r="C13" s="5504">
        <f>+'Phụ lục số 1'!G10</f>
        <v>8892984.1620000005</v>
      </c>
      <c r="D13" s="510">
        <f>+'Phụ lục số 1'!N10</f>
        <v>8720011.1456352696</v>
      </c>
      <c r="E13" s="510">
        <f>+'Phụ lục số 1'!T10</f>
        <v>8715518.7960000001</v>
      </c>
      <c r="F13" s="510">
        <f>+'Phụ lục số 1'!Z10</f>
        <v>9885044.974463433</v>
      </c>
      <c r="G13" s="510">
        <f>+'Phụ lục số 1'!AF10</f>
        <v>10529022.347310523</v>
      </c>
      <c r="H13" s="5508">
        <f>SUM(H14:H15)</f>
        <v>29129586.117773958</v>
      </c>
    </row>
    <row r="14" spans="1:18">
      <c r="A14" s="614" t="s">
        <v>99</v>
      </c>
      <c r="B14" s="2625" t="s">
        <v>832</v>
      </c>
      <c r="C14" s="5504">
        <f>+C13-C15</f>
        <v>5309454.1620000005</v>
      </c>
      <c r="D14" s="510">
        <f t="shared" ref="D14:G14" si="5">+D13-D15</f>
        <v>5483415.8356352691</v>
      </c>
      <c r="E14" s="510">
        <f t="shared" si="5"/>
        <v>4789918.7960000001</v>
      </c>
      <c r="F14" s="510">
        <f t="shared" si="5"/>
        <v>5413944.974463433</v>
      </c>
      <c r="G14" s="510">
        <f t="shared" si="5"/>
        <v>5597922.3473105226</v>
      </c>
      <c r="H14" s="5508">
        <f>SUM(E14:G14)</f>
        <v>15801786.117773956</v>
      </c>
    </row>
    <row r="15" spans="1:18">
      <c r="A15" s="2629" t="s">
        <v>101</v>
      </c>
      <c r="B15" s="1924" t="s">
        <v>833</v>
      </c>
      <c r="C15" s="5504">
        <f>+'Phụ lục số 1'!G77</f>
        <v>3583530</v>
      </c>
      <c r="D15" s="510">
        <f>+'Phụ lục số 1'!N77</f>
        <v>3236595.31</v>
      </c>
      <c r="E15" s="510">
        <f>+'Phụ lục số 1'!T77</f>
        <v>3925600</v>
      </c>
      <c r="F15" s="510">
        <f>+'Phụ lục số 1'!Z77</f>
        <v>4471100</v>
      </c>
      <c r="G15" s="510">
        <f>+'Phụ lục số 1'!AF77</f>
        <v>4931100</v>
      </c>
      <c r="H15" s="5508">
        <f t="shared" ref="H15" si="6">SUM(E15:G15)</f>
        <v>13327800</v>
      </c>
    </row>
    <row r="16" spans="1:18">
      <c r="A16" s="611" t="s">
        <v>33</v>
      </c>
      <c r="B16" s="1923" t="s">
        <v>203</v>
      </c>
      <c r="C16" s="911">
        <f>SUM(C17:C19)</f>
        <v>9256479</v>
      </c>
      <c r="D16" s="5506">
        <f t="shared" ref="D16:E16" si="7">SUM(D17:D19)</f>
        <v>9558506</v>
      </c>
      <c r="E16" s="5506">
        <f t="shared" si="7"/>
        <v>11903075</v>
      </c>
      <c r="F16" s="5506">
        <f>SUM(F17:F19)</f>
        <v>11903075</v>
      </c>
      <c r="G16" s="5506">
        <f>SUM(G17:G19)</f>
        <v>11903075</v>
      </c>
      <c r="H16" s="5507">
        <f>SUM(H17:H19)</f>
        <v>35709225</v>
      </c>
    </row>
    <row r="17" spans="1:18" s="49" customFormat="1" ht="17.399999999999999">
      <c r="A17" s="611">
        <v>1</v>
      </c>
      <c r="B17" s="1923" t="s">
        <v>205</v>
      </c>
      <c r="C17" s="911">
        <f>+'Phụ lục số 1'!D58</f>
        <v>6617188</v>
      </c>
      <c r="D17" s="5506">
        <f>+'Phụ lục số 1'!J58</f>
        <v>6617188</v>
      </c>
      <c r="E17" s="5506">
        <f>+'Phụ lục số 1'!Q58</f>
        <v>6749488</v>
      </c>
      <c r="F17" s="5506">
        <f>+'Phụ lục số 1'!W58</f>
        <v>6749488</v>
      </c>
      <c r="G17" s="5506">
        <f>+'Phụ lục số 1'!AC58</f>
        <v>6749488</v>
      </c>
      <c r="H17" s="5507">
        <f>SUM(E17:G17)</f>
        <v>20248464</v>
      </c>
    </row>
    <row r="18" spans="1:18" s="49" customFormat="1" ht="17.399999999999999">
      <c r="A18" s="611">
        <v>2</v>
      </c>
      <c r="B18" s="165" t="s">
        <v>3133</v>
      </c>
      <c r="C18" s="911">
        <f>+'Phụ lục số 1'!D60</f>
        <v>650315</v>
      </c>
      <c r="D18" s="5506">
        <f>+'Phụ lục số 1'!J60</f>
        <v>813783</v>
      </c>
      <c r="E18" s="5506">
        <f>+'Phụ lục số 1'!Q60</f>
        <v>2116595</v>
      </c>
      <c r="F18" s="5506">
        <f>+'Phụ lục số 1'!W60</f>
        <v>2116595</v>
      </c>
      <c r="G18" s="5506">
        <f>+'Phụ lục số 1'!AC60</f>
        <v>2116595</v>
      </c>
      <c r="H18" s="5507">
        <f t="shared" ref="H18" si="8">SUM(E18:G18)</f>
        <v>6349785</v>
      </c>
    </row>
    <row r="19" spans="1:18" s="49" customFormat="1" ht="17.399999999999999">
      <c r="A19" s="611">
        <v>3</v>
      </c>
      <c r="B19" s="1923" t="s">
        <v>207</v>
      </c>
      <c r="C19" s="911">
        <f>+C20+C23+C26</f>
        <v>1988976</v>
      </c>
      <c r="D19" s="5506">
        <f t="shared" ref="D19:G19" si="9">+D20+D23+D26</f>
        <v>2127535</v>
      </c>
      <c r="E19" s="5506">
        <f t="shared" si="9"/>
        <v>3036992</v>
      </c>
      <c r="F19" s="5506">
        <f t="shared" si="9"/>
        <v>3036992</v>
      </c>
      <c r="G19" s="5506">
        <f t="shared" si="9"/>
        <v>3036992</v>
      </c>
      <c r="H19" s="5507">
        <f>+H20+H23+H26</f>
        <v>9110976</v>
      </c>
    </row>
    <row r="20" spans="1:18">
      <c r="A20" s="1926" t="s">
        <v>204</v>
      </c>
      <c r="B20" s="1927" t="s">
        <v>42</v>
      </c>
      <c r="C20" s="924">
        <f>+C21+C22</f>
        <v>1814491</v>
      </c>
      <c r="D20" s="517">
        <f t="shared" ref="D20:G20" si="10">+D21+D22</f>
        <v>1814491</v>
      </c>
      <c r="E20" s="517">
        <f t="shared" si="10"/>
        <v>2530494</v>
      </c>
      <c r="F20" s="517">
        <f t="shared" si="10"/>
        <v>2530494</v>
      </c>
      <c r="G20" s="517">
        <f t="shared" si="10"/>
        <v>2530494</v>
      </c>
      <c r="H20" s="5076">
        <f>+H21+H22</f>
        <v>7591482</v>
      </c>
    </row>
    <row r="21" spans="1:18" hidden="1">
      <c r="A21" s="1926" t="s">
        <v>99</v>
      </c>
      <c r="B21" s="1927" t="s">
        <v>100</v>
      </c>
      <c r="C21" s="924">
        <f>+'Phụ lục số 1'!D63</f>
        <v>1681570</v>
      </c>
      <c r="D21" s="517">
        <f>+'Phụ lục số 1'!J63</f>
        <v>1681570</v>
      </c>
      <c r="E21" s="517">
        <f>+'Phụ lục số 1'!Q63</f>
        <v>2399255</v>
      </c>
      <c r="F21" s="517">
        <f>+'Phụ lục số 1'!W63</f>
        <v>2399255</v>
      </c>
      <c r="G21" s="517">
        <f>+'Phụ lục số 1'!AC63</f>
        <v>2399255</v>
      </c>
      <c r="H21" s="5076">
        <f>SUM(E21:G21)</f>
        <v>7197765</v>
      </c>
    </row>
    <row r="22" spans="1:18" hidden="1">
      <c r="A22" s="1926" t="s">
        <v>101</v>
      </c>
      <c r="B22" s="1927" t="s">
        <v>102</v>
      </c>
      <c r="C22" s="924">
        <f>+'Phụ lục số 1'!D64</f>
        <v>132921</v>
      </c>
      <c r="D22" s="517">
        <f>+'Phụ lục số 1'!J64</f>
        <v>132921</v>
      </c>
      <c r="E22" s="517">
        <f>+'Phụ lục số 1'!Q64</f>
        <v>131239</v>
      </c>
      <c r="F22" s="517">
        <f>+'Phụ lục số 1'!W64</f>
        <v>131239</v>
      </c>
      <c r="G22" s="517">
        <f>+'Phụ lục số 1'!AC64</f>
        <v>131239</v>
      </c>
      <c r="H22" s="5076">
        <f>SUM(E22:G22)</f>
        <v>393717</v>
      </c>
    </row>
    <row r="23" spans="1:18">
      <c r="A23" s="1926" t="s">
        <v>206</v>
      </c>
      <c r="B23" s="1927" t="s">
        <v>43</v>
      </c>
      <c r="C23" s="924">
        <f>+C24+C25</f>
        <v>174485</v>
      </c>
      <c r="D23" s="517">
        <f t="shared" ref="D23:H23" si="11">+D24+D25</f>
        <v>174485</v>
      </c>
      <c r="E23" s="517">
        <f t="shared" si="11"/>
        <v>221912</v>
      </c>
      <c r="F23" s="517">
        <f t="shared" si="11"/>
        <v>221912</v>
      </c>
      <c r="G23" s="517">
        <f t="shared" si="11"/>
        <v>221912</v>
      </c>
      <c r="H23" s="5076">
        <f t="shared" si="11"/>
        <v>665736</v>
      </c>
    </row>
    <row r="24" spans="1:18" hidden="1">
      <c r="A24" s="1926" t="s">
        <v>99</v>
      </c>
      <c r="B24" s="1927" t="s">
        <v>103</v>
      </c>
      <c r="C24" s="924">
        <f>+'Phụ lục số 1'!D66</f>
        <v>72469</v>
      </c>
      <c r="D24" s="517">
        <f>+'Phụ lục số 1'!J66</f>
        <v>72469</v>
      </c>
      <c r="E24" s="517">
        <f>+'Phụ lục số 1'!Q66</f>
        <v>186007</v>
      </c>
      <c r="F24" s="517">
        <f>+'Phụ lục số 1'!W66</f>
        <v>186007</v>
      </c>
      <c r="G24" s="517">
        <f>+'Phụ lục số 1'!AC66</f>
        <v>186007</v>
      </c>
      <c r="H24" s="5076">
        <f>SUM(E24:G24)</f>
        <v>558021</v>
      </c>
    </row>
    <row r="25" spans="1:18" hidden="1">
      <c r="A25" s="1926" t="s">
        <v>101</v>
      </c>
      <c r="B25" s="1927" t="s">
        <v>102</v>
      </c>
      <c r="C25" s="924">
        <f>+'Phụ lục số 1'!D67</f>
        <v>102016</v>
      </c>
      <c r="D25" s="517">
        <f>+'Phụ lục số 1'!J67</f>
        <v>102016</v>
      </c>
      <c r="E25" s="517">
        <f>+'Phụ lục số 1'!Q67</f>
        <v>35905</v>
      </c>
      <c r="F25" s="517">
        <f>+'Phụ lục số 1'!W67</f>
        <v>35905</v>
      </c>
      <c r="G25" s="517">
        <f>+'Phụ lục số 1'!AC67</f>
        <v>35905</v>
      </c>
      <c r="H25" s="5076">
        <f>SUM(E25:G25)</f>
        <v>107715</v>
      </c>
    </row>
    <row r="26" spans="1:18">
      <c r="A26" s="1926" t="s">
        <v>237</v>
      </c>
      <c r="B26" s="46" t="s">
        <v>106</v>
      </c>
      <c r="C26" s="924">
        <f>+C27+C28</f>
        <v>0</v>
      </c>
      <c r="D26" s="517">
        <f t="shared" ref="D26:G26" si="12">+D27+D28</f>
        <v>138559</v>
      </c>
      <c r="E26" s="517">
        <f t="shared" si="12"/>
        <v>284586</v>
      </c>
      <c r="F26" s="517">
        <f t="shared" si="12"/>
        <v>284586</v>
      </c>
      <c r="G26" s="517">
        <f t="shared" si="12"/>
        <v>284586</v>
      </c>
      <c r="H26" s="5076">
        <f>+H27+H28</f>
        <v>853758</v>
      </c>
    </row>
    <row r="27" spans="1:18" hidden="1">
      <c r="A27" s="1926" t="s">
        <v>99</v>
      </c>
      <c r="B27" s="1927" t="s">
        <v>104</v>
      </c>
      <c r="C27" s="924"/>
      <c r="D27" s="517"/>
      <c r="E27" s="517"/>
      <c r="F27" s="517"/>
      <c r="G27" s="517"/>
      <c r="H27" s="5076">
        <f>SUM(E27:G27)</f>
        <v>0</v>
      </c>
    </row>
    <row r="28" spans="1:18" hidden="1">
      <c r="A28" s="1926" t="s">
        <v>101</v>
      </c>
      <c r="B28" s="1927" t="s">
        <v>105</v>
      </c>
      <c r="C28" s="924"/>
      <c r="D28" s="517">
        <f>+'Phụ lục số 1'!J70</f>
        <v>138559</v>
      </c>
      <c r="E28" s="517">
        <f>+'Phụ lục số 1'!Q70</f>
        <v>284586</v>
      </c>
      <c r="F28" s="517">
        <f>+'Phụ lục số 1'!W70</f>
        <v>284586</v>
      </c>
      <c r="G28" s="517">
        <f>+'Phụ lục số 1'!AC70</f>
        <v>284586</v>
      </c>
      <c r="H28" s="5076">
        <f>SUM(E28:G28)</f>
        <v>853758</v>
      </c>
    </row>
    <row r="29" spans="1:18" s="49" customFormat="1" ht="17.399999999999999">
      <c r="A29" s="611" t="s">
        <v>182</v>
      </c>
      <c r="B29" s="45" t="s">
        <v>45</v>
      </c>
      <c r="C29" s="911">
        <f>+'Phụ lục số 1'!D71</f>
        <v>886000</v>
      </c>
      <c r="D29" s="5506">
        <f>+'Phụ lục số 1'!J71</f>
        <v>1072301</v>
      </c>
      <c r="E29" s="5506">
        <f>+'Phụ lục số 1'!Q71</f>
        <v>941000.4</v>
      </c>
      <c r="F29" s="5506">
        <f>+'Phụ lục số 1'!W71</f>
        <v>519900</v>
      </c>
      <c r="G29" s="5506">
        <f>+'Phụ lục số 1'!AC71</f>
        <v>626117.15251171635</v>
      </c>
      <c r="H29" s="5507">
        <f>SUM(E29:G29)</f>
        <v>2087017.5525117163</v>
      </c>
    </row>
    <row r="30" spans="1:18" s="49" customFormat="1" ht="17.399999999999999">
      <c r="A30" s="611" t="s">
        <v>215</v>
      </c>
      <c r="B30" s="45" t="s">
        <v>47</v>
      </c>
      <c r="C30" s="5506"/>
      <c r="D30" s="5506"/>
      <c r="E30" s="5506"/>
      <c r="F30" s="5506"/>
      <c r="G30" s="5506"/>
      <c r="H30" s="5507"/>
    </row>
    <row r="31" spans="1:18">
      <c r="A31" s="606" t="s">
        <v>37</v>
      </c>
      <c r="B31" s="1928" t="s">
        <v>238</v>
      </c>
      <c r="C31" s="5506">
        <f>+C32+C56</f>
        <v>19035462.956711084</v>
      </c>
      <c r="D31" s="5506">
        <f t="shared" ref="D31" si="13">+D32+D56</f>
        <v>19712858.656711083</v>
      </c>
      <c r="E31" s="5506">
        <f>+E32+E56+E67</f>
        <v>21372894.196000002</v>
      </c>
      <c r="F31" s="5506">
        <f t="shared" ref="F31:G31" si="14">+F32+F56+F67</f>
        <v>22308019.975340258</v>
      </c>
      <c r="G31" s="5506">
        <f t="shared" si="14"/>
        <v>23058214.497882977</v>
      </c>
      <c r="H31" s="5507">
        <f>+H32+H56+H67</f>
        <v>66739128.669223234</v>
      </c>
      <c r="K31" s="679">
        <f>+H11-H31</f>
        <v>186700.00106243789</v>
      </c>
      <c r="M31" s="5513">
        <f>((E31/D31)*(F31/E31)*(G31/F31))^(1/3)</f>
        <v>1.053639448386307</v>
      </c>
      <c r="O31" s="679"/>
    </row>
    <row r="32" spans="1:18" s="49" customFormat="1" ht="17.399999999999999">
      <c r="A32" s="611" t="s">
        <v>3</v>
      </c>
      <c r="B32" s="1923" t="s">
        <v>142</v>
      </c>
      <c r="C32" s="5506">
        <f>+'Phụ lục số 2'!D9</f>
        <v>17046486.956711084</v>
      </c>
      <c r="D32" s="5506">
        <f>+'Phụ lục số 2'!H9</f>
        <v>17585323.656711083</v>
      </c>
      <c r="E32" s="5506">
        <f>+'Phụ lục số 2'!M9</f>
        <v>18330348.400000002</v>
      </c>
      <c r="F32" s="5506">
        <f>+'Phụ lục số 2'!R9</f>
        <v>19271027.975340258</v>
      </c>
      <c r="G32" s="5506">
        <f>+'Phụ lục số 2'!W9</f>
        <v>20021222.497882977</v>
      </c>
      <c r="H32" s="5507">
        <f>SUM(E32:G32)</f>
        <v>57622598.873223238</v>
      </c>
      <c r="K32" s="320">
        <f>+H12-H32</f>
        <v>192253.79706243426</v>
      </c>
      <c r="M32" s="5513">
        <f>((E32/D32)*(F32/E32)*(G32/F32))^(1/3)</f>
        <v>1.0441913118888704</v>
      </c>
      <c r="O32" s="49">
        <f>+E32/C32</f>
        <v>1.075315309632374</v>
      </c>
      <c r="P32" s="49">
        <f>+F32/E32</f>
        <v>1.0513181503598839</v>
      </c>
      <c r="Q32" s="49">
        <f>+G32/F32</f>
        <v>1.0389286198693026</v>
      </c>
      <c r="R32" s="5517">
        <f>SUM(O32:Q32)^(1/3)</f>
        <v>1.4683072559853116</v>
      </c>
    </row>
    <row r="33" spans="1:13" s="49" customFormat="1" ht="17.399999999999999">
      <c r="A33" s="611">
        <v>1</v>
      </c>
      <c r="B33" s="1923" t="s">
        <v>208</v>
      </c>
      <c r="C33" s="5506">
        <f>+'Phụ lục số 2'!D10</f>
        <v>5331240.1620000005</v>
      </c>
      <c r="D33" s="5506">
        <f>+'Phụ lục số 2'!H10</f>
        <v>5531240.1620000005</v>
      </c>
      <c r="E33" s="5506">
        <f>+'Phụ lục số 2'!M10</f>
        <v>4666890</v>
      </c>
      <c r="F33" s="5506">
        <f>+'Phụ lục số 2'!R10</f>
        <v>5207212.043456913</v>
      </c>
      <c r="G33" s="5506">
        <f>+'Phụ lục số 2'!W10</f>
        <v>5338707.7565428363</v>
      </c>
      <c r="H33" s="5507">
        <f t="shared" ref="H33:H44" si="15">SUM(E33:G33)</f>
        <v>15212809.799999747</v>
      </c>
      <c r="K33" s="5515">
        <f>+H33/H32</f>
        <v>0.26400770006000229</v>
      </c>
      <c r="M33" s="5513">
        <f t="shared" ref="M33:M68" si="16">((E33/D33)*(F33/E33)*(G33/F33))^(1/3)</f>
        <v>0.98825998460215292</v>
      </c>
    </row>
    <row r="34" spans="1:13">
      <c r="A34" s="603" t="s">
        <v>29</v>
      </c>
      <c r="B34" s="1929" t="s">
        <v>143</v>
      </c>
      <c r="C34" s="517">
        <f>+'Phụ lục số 2'!D11</f>
        <v>1143186</v>
      </c>
      <c r="D34" s="517">
        <f>+'Phụ lục số 2'!H11</f>
        <v>1143186</v>
      </c>
      <c r="E34" s="517">
        <f>+'Phụ lục số 2'!M11</f>
        <v>966890</v>
      </c>
      <c r="F34" s="517">
        <f>+'Phụ lục số 2'!R11</f>
        <v>1207212.043456913</v>
      </c>
      <c r="G34" s="517">
        <f>+'Phụ lục số 2'!W11</f>
        <v>1338707.7565428363</v>
      </c>
      <c r="H34" s="5507">
        <f t="shared" si="15"/>
        <v>3512809.7999997493</v>
      </c>
      <c r="M34" s="5513">
        <f t="shared" si="16"/>
        <v>1.0540380628367667</v>
      </c>
    </row>
    <row r="35" spans="1:13">
      <c r="A35" s="603" t="s">
        <v>29</v>
      </c>
      <c r="B35" s="1929" t="s">
        <v>144</v>
      </c>
      <c r="C35" s="517">
        <f>+'Phụ lục số 2'!D12</f>
        <v>1770000</v>
      </c>
      <c r="D35" s="517">
        <f>+'Phụ lục số 2'!H12</f>
        <v>1770000</v>
      </c>
      <c r="E35" s="517">
        <f>+'Phụ lục số 2'!M12</f>
        <v>1600000</v>
      </c>
      <c r="F35" s="517">
        <f>+'Phụ lục số 2'!R12</f>
        <v>1800000</v>
      </c>
      <c r="G35" s="517">
        <f>+'Phụ lục số 2'!W12</f>
        <v>1800000</v>
      </c>
      <c r="H35" s="5507">
        <f t="shared" si="15"/>
        <v>5200000</v>
      </c>
      <c r="M35" s="5513">
        <f t="shared" si="16"/>
        <v>1.0056180954101128</v>
      </c>
    </row>
    <row r="36" spans="1:13" ht="55.2">
      <c r="A36" s="614"/>
      <c r="B36" s="4935" t="s">
        <v>3189</v>
      </c>
      <c r="C36" s="517"/>
      <c r="D36" s="517"/>
      <c r="E36" s="328">
        <f>+'Phụ lục số 2'!M13</f>
        <v>160000</v>
      </c>
      <c r="F36" s="328">
        <f>+'Phụ lục số 2'!R13</f>
        <v>180000</v>
      </c>
      <c r="G36" s="328">
        <f>+'Phụ lục số 2'!W13</f>
        <v>180000</v>
      </c>
      <c r="H36" s="1657">
        <f t="shared" si="15"/>
        <v>520000</v>
      </c>
      <c r="M36" s="5513" t="e">
        <f t="shared" si="16"/>
        <v>#DIV/0!</v>
      </c>
    </row>
    <row r="37" spans="1:13">
      <c r="A37" s="603" t="s">
        <v>29</v>
      </c>
      <c r="B37" s="46" t="s">
        <v>145</v>
      </c>
      <c r="C37" s="517">
        <f>+'Phụ lục số 2'!D14</f>
        <v>1950000</v>
      </c>
      <c r="D37" s="517">
        <f>+'Phụ lục số 2'!H14</f>
        <v>2150000</v>
      </c>
      <c r="E37" s="328">
        <f>+'Phụ lục số 2'!M14</f>
        <v>2100000</v>
      </c>
      <c r="F37" s="517">
        <f>+'Phụ lục số 2'!R14</f>
        <v>2200000</v>
      </c>
      <c r="G37" s="517">
        <f>+'Phụ lục số 2'!W14</f>
        <v>2200000</v>
      </c>
      <c r="H37" s="1657">
        <f t="shared" si="15"/>
        <v>6500000</v>
      </c>
      <c r="M37" s="5513">
        <f t="shared" si="16"/>
        <v>1.0076926099960117</v>
      </c>
    </row>
    <row r="38" spans="1:13" ht="27.6">
      <c r="A38" s="614"/>
      <c r="B38" s="4956" t="s">
        <v>3188</v>
      </c>
      <c r="C38" s="517"/>
      <c r="D38" s="517"/>
      <c r="E38" s="328">
        <f>+'Phụ lục số 2'!M15</f>
        <v>100000</v>
      </c>
      <c r="F38" s="517">
        <f>+'Phụ lục số 2'!R15</f>
        <v>120000</v>
      </c>
      <c r="G38" s="517">
        <f>+'Phụ lục số 2'!W15</f>
        <v>135000</v>
      </c>
      <c r="H38" s="1657">
        <f t="shared" si="15"/>
        <v>355000</v>
      </c>
      <c r="M38" s="5513" t="e">
        <f t="shared" si="16"/>
        <v>#DIV/0!</v>
      </c>
    </row>
    <row r="39" spans="1:13">
      <c r="A39" s="603" t="s">
        <v>29</v>
      </c>
      <c r="B39" s="46" t="s">
        <v>146</v>
      </c>
      <c r="C39" s="517">
        <f>+'Phụ lục số 2'!D16</f>
        <v>408054.16200000001</v>
      </c>
      <c r="D39" s="517">
        <f>+'Phụ lục số 2'!H16</f>
        <v>408054.16200000001</v>
      </c>
      <c r="E39" s="517">
        <f>+'Phụ lục số 2'!M16</f>
        <v>0</v>
      </c>
      <c r="F39" s="517">
        <f>+'Phụ lục số 2'!R16</f>
        <v>0</v>
      </c>
      <c r="G39" s="517">
        <f>+'Phụ lục số 2'!W16</f>
        <v>0</v>
      </c>
      <c r="H39" s="1657">
        <f t="shared" si="15"/>
        <v>0</v>
      </c>
      <c r="M39" s="5513" t="e">
        <f t="shared" si="16"/>
        <v>#DIV/0!</v>
      </c>
    </row>
    <row r="40" spans="1:13">
      <c r="A40" s="603" t="s">
        <v>29</v>
      </c>
      <c r="B40" s="46" t="s">
        <v>321</v>
      </c>
      <c r="C40" s="517">
        <f>+'Phụ lục số 2'!D17</f>
        <v>60000</v>
      </c>
      <c r="D40" s="517">
        <f>+'Phụ lục số 2'!H17</f>
        <v>60000</v>
      </c>
      <c r="E40" s="517">
        <f>+'Phụ lục số 2'!M17</f>
        <v>0</v>
      </c>
      <c r="F40" s="517">
        <f>+'Phụ lục số 2'!R17</f>
        <v>0</v>
      </c>
      <c r="G40" s="517">
        <f>+'Phụ lục số 2'!W17</f>
        <v>0</v>
      </c>
      <c r="H40" s="1657">
        <f t="shared" si="15"/>
        <v>0</v>
      </c>
      <c r="M40" s="5513" t="e">
        <f t="shared" si="16"/>
        <v>#DIV/0!</v>
      </c>
    </row>
    <row r="41" spans="1:13" hidden="1">
      <c r="A41" s="4892" t="s">
        <v>3126</v>
      </c>
      <c r="B41" s="4780" t="s">
        <v>3142</v>
      </c>
      <c r="C41" s="517">
        <f>+C40</f>
        <v>60000</v>
      </c>
      <c r="D41" s="517">
        <f>+D40</f>
        <v>60000</v>
      </c>
      <c r="E41" s="517"/>
      <c r="F41" s="517"/>
      <c r="G41" s="517"/>
      <c r="H41" s="1657">
        <f t="shared" si="15"/>
        <v>0</v>
      </c>
      <c r="M41" s="5513" t="e">
        <f t="shared" si="16"/>
        <v>#DIV/0!</v>
      </c>
    </row>
    <row r="42" spans="1:13" ht="41.4" hidden="1">
      <c r="A42" s="4892" t="s">
        <v>3127</v>
      </c>
      <c r="B42" s="4780" t="s">
        <v>3141</v>
      </c>
      <c r="C42" s="517"/>
      <c r="D42" s="517"/>
      <c r="E42" s="517"/>
      <c r="F42" s="517"/>
      <c r="G42" s="517"/>
      <c r="H42" s="1657">
        <f t="shared" si="15"/>
        <v>0</v>
      </c>
      <c r="M42" s="5513" t="e">
        <f t="shared" si="16"/>
        <v>#DIV/0!</v>
      </c>
    </row>
    <row r="43" spans="1:13" hidden="1">
      <c r="A43" s="4892" t="s">
        <v>3143</v>
      </c>
      <c r="B43" s="4780"/>
      <c r="C43" s="517"/>
      <c r="D43" s="517"/>
      <c r="E43" s="517"/>
      <c r="F43" s="517"/>
      <c r="G43" s="517"/>
      <c r="H43" s="5507">
        <f t="shared" si="15"/>
        <v>0</v>
      </c>
      <c r="M43" s="5513" t="e">
        <f t="shared" si="16"/>
        <v>#DIV/0!</v>
      </c>
    </row>
    <row r="44" spans="1:13" hidden="1">
      <c r="A44" s="4892"/>
      <c r="B44" s="4780"/>
      <c r="C44" s="517"/>
      <c r="D44" s="517"/>
      <c r="E44" s="517"/>
      <c r="F44" s="517"/>
      <c r="G44" s="517"/>
      <c r="H44" s="5507">
        <f t="shared" si="15"/>
        <v>0</v>
      </c>
      <c r="M44" s="5513" t="e">
        <f t="shared" si="16"/>
        <v>#DIV/0!</v>
      </c>
    </row>
    <row r="45" spans="1:13" s="49" customFormat="1" ht="17.399999999999999">
      <c r="A45" s="611">
        <v>2</v>
      </c>
      <c r="B45" s="1923" t="s">
        <v>209</v>
      </c>
      <c r="C45" s="5506">
        <f>+'Phụ lục số 2'!D22</f>
        <v>10664978.794711081</v>
      </c>
      <c r="D45" s="5506">
        <f>+'Phụ lục số 2'!H22</f>
        <v>11721214.294711081</v>
      </c>
      <c r="E45" s="5506">
        <f>+'Phụ lục số 2'!M22</f>
        <v>12761657.450000003</v>
      </c>
      <c r="F45" s="5506">
        <f>+'Phụ lục số 2'!R22</f>
        <v>13049829.156114889</v>
      </c>
      <c r="G45" s="5506">
        <f>+'Phụ lục số 2'!W22</f>
        <v>13492052.394947087</v>
      </c>
      <c r="H45" s="5507">
        <f>SUM(E45:G45)</f>
        <v>39303539.001061983</v>
      </c>
      <c r="K45" s="5515">
        <f>+H45/H32</f>
        <v>0.68208549717680345</v>
      </c>
      <c r="M45" s="5513">
        <f t="shared" si="16"/>
        <v>1.0480173464153508</v>
      </c>
    </row>
    <row r="46" spans="1:13">
      <c r="A46" s="611"/>
      <c r="B46" s="1923" t="s">
        <v>234</v>
      </c>
      <c r="C46" s="517"/>
      <c r="D46" s="517"/>
      <c r="E46" s="517"/>
      <c r="F46" s="517"/>
      <c r="G46" s="517"/>
      <c r="H46" s="5076"/>
      <c r="M46" s="5513" t="e">
        <f t="shared" si="16"/>
        <v>#DIV/0!</v>
      </c>
    </row>
    <row r="47" spans="1:13">
      <c r="A47" s="603" t="s">
        <v>29</v>
      </c>
      <c r="B47" s="1929" t="s">
        <v>239</v>
      </c>
      <c r="C47" s="517">
        <f>+'Phụ lục số 2'!D23</f>
        <v>4797945.7831797441</v>
      </c>
      <c r="D47" s="517">
        <f>+'Phụ lục số 2'!H23</f>
        <v>5490754.7831797441</v>
      </c>
      <c r="E47" s="517">
        <f>+'Phụ lục số 2'!M23</f>
        <v>5859513.0000000009</v>
      </c>
      <c r="F47" s="517">
        <f>+'Phụ lục số 2'!R23</f>
        <v>5918101.9564761929</v>
      </c>
      <c r="G47" s="517">
        <f>+'Phụ lục số 2'!W23</f>
        <v>6106259.8643117491</v>
      </c>
      <c r="H47" s="5076">
        <f>SUM(E47:G47)</f>
        <v>17883874.820787944</v>
      </c>
      <c r="M47" s="5513">
        <f t="shared" si="16"/>
        <v>1.036050865876879</v>
      </c>
    </row>
    <row r="48" spans="1:13">
      <c r="A48" s="603" t="s">
        <v>29</v>
      </c>
      <c r="B48" s="1930" t="s">
        <v>241</v>
      </c>
      <c r="C48" s="517">
        <f>+'Phụ lục số 2'!D24</f>
        <v>31218</v>
      </c>
      <c r="D48" s="517">
        <f>+'Phụ lục số 2'!H24</f>
        <v>30790</v>
      </c>
      <c r="E48" s="517">
        <f>+'Phụ lục số 2'!M24</f>
        <v>31307</v>
      </c>
      <c r="F48" s="517">
        <f>+'Phụ lục số 2'!R24</f>
        <v>32222.979860186198</v>
      </c>
      <c r="G48" s="517">
        <f>+'Phụ lục số 2'!W24</f>
        <v>33469.572005499278</v>
      </c>
      <c r="H48" s="5076">
        <f t="shared" ref="H48:H55" si="17">SUM(E48:G48)</f>
        <v>96999.551865685469</v>
      </c>
      <c r="M48" s="5513">
        <f t="shared" si="16"/>
        <v>1.0282060540185041</v>
      </c>
    </row>
    <row r="49" spans="1:13">
      <c r="A49" s="603" t="s">
        <v>29</v>
      </c>
      <c r="B49" s="1929" t="s">
        <v>240</v>
      </c>
      <c r="C49" s="517">
        <f>+C45-C47-C48</f>
        <v>5835815.0115313372</v>
      </c>
      <c r="D49" s="517">
        <f t="shared" ref="D49:G49" si="18">+D45-D47-D48</f>
        <v>6199669.5115313372</v>
      </c>
      <c r="E49" s="517">
        <f>+E45-E47-E48</f>
        <v>6870837.450000002</v>
      </c>
      <c r="F49" s="517">
        <f t="shared" si="18"/>
        <v>7099504.2197785098</v>
      </c>
      <c r="G49" s="517">
        <f t="shared" si="18"/>
        <v>7352322.9586298391</v>
      </c>
      <c r="H49" s="5076">
        <f t="shared" si="17"/>
        <v>21322664.62840835</v>
      </c>
      <c r="M49" s="5513">
        <f t="shared" si="16"/>
        <v>1.0584865540544917</v>
      </c>
    </row>
    <row r="50" spans="1:13" s="49" customFormat="1" ht="17.399999999999999">
      <c r="A50" s="611">
        <v>3</v>
      </c>
      <c r="B50" s="1931" t="s">
        <v>210</v>
      </c>
      <c r="C50" s="5506">
        <f>+'Phụ lục số 2'!D39</f>
        <v>717399.2</v>
      </c>
      <c r="D50" s="5506">
        <f>+'Phụ lục số 2'!H39</f>
        <v>0.40000000001455194</v>
      </c>
      <c r="E50" s="5506">
        <f>+'Phụ lục số 2'!M39</f>
        <v>519900</v>
      </c>
      <c r="F50" s="5506">
        <f>+'Phụ lục số 2'!R39</f>
        <v>626117.15251171635</v>
      </c>
      <c r="G50" s="5506">
        <f>+'Phụ lục số 2'!W39</f>
        <v>789623.5261911191</v>
      </c>
      <c r="H50" s="5507">
        <f t="shared" si="17"/>
        <v>1935640.6787028355</v>
      </c>
      <c r="M50" s="5513">
        <f t="shared" si="16"/>
        <v>125.44500196803953</v>
      </c>
    </row>
    <row r="51" spans="1:13" s="49" customFormat="1" ht="17.399999999999999">
      <c r="A51" s="611">
        <v>4</v>
      </c>
      <c r="B51" s="334" t="s">
        <v>211</v>
      </c>
      <c r="C51" s="5506"/>
      <c r="D51" s="5506"/>
      <c r="E51" s="5506"/>
      <c r="F51" s="5506"/>
      <c r="G51" s="5506"/>
      <c r="H51" s="5507">
        <f t="shared" si="17"/>
        <v>0</v>
      </c>
      <c r="M51" s="5513" t="e">
        <f t="shared" si="16"/>
        <v>#DIV/0!</v>
      </c>
    </row>
    <row r="52" spans="1:13" s="49" customFormat="1" ht="17.399999999999999">
      <c r="A52" s="611">
        <v>5</v>
      </c>
      <c r="B52" s="45" t="s">
        <v>212</v>
      </c>
      <c r="C52" s="5506"/>
      <c r="D52" s="5506"/>
      <c r="E52" s="5506"/>
      <c r="F52" s="5506"/>
      <c r="G52" s="5506"/>
      <c r="H52" s="5507">
        <f t="shared" si="17"/>
        <v>0</v>
      </c>
      <c r="M52" s="5513" t="e">
        <f t="shared" si="16"/>
        <v>#DIV/0!</v>
      </c>
    </row>
    <row r="53" spans="1:13" s="49" customFormat="1" ht="17.399999999999999">
      <c r="A53" s="611">
        <v>6</v>
      </c>
      <c r="B53" s="1923" t="s">
        <v>174</v>
      </c>
      <c r="C53" s="5506">
        <f>+'Phụ lục số 2'!D37</f>
        <v>2000</v>
      </c>
      <c r="D53" s="5506">
        <f>+'Phụ lục số 2'!H37</f>
        <v>2000</v>
      </c>
      <c r="E53" s="5506">
        <f>+'Phụ lục số 2'!M37</f>
        <v>2000</v>
      </c>
      <c r="F53" s="5506">
        <f>+'Phụ lục số 2'!R37</f>
        <v>2000</v>
      </c>
      <c r="G53" s="5506">
        <f>+'Phụ lục số 2'!W37</f>
        <v>2000</v>
      </c>
      <c r="H53" s="5507">
        <f t="shared" si="17"/>
        <v>6000</v>
      </c>
      <c r="M53" s="5513">
        <f t="shared" si="16"/>
        <v>1</v>
      </c>
    </row>
    <row r="54" spans="1:13" s="49" customFormat="1" ht="17.399999999999999">
      <c r="A54" s="1932">
        <v>7</v>
      </c>
      <c r="B54" s="1923" t="s">
        <v>175</v>
      </c>
      <c r="C54" s="5506">
        <f>+'Phụ lục số 2'!D38</f>
        <v>327868.79999999999</v>
      </c>
      <c r="D54" s="5506">
        <f>+'Phụ lục số 2'!H38</f>
        <v>327868.79999999999</v>
      </c>
      <c r="E54" s="5506">
        <f>+'Phụ lục số 2'!M38</f>
        <v>376400.94999999995</v>
      </c>
      <c r="F54" s="5506">
        <f>+'Phụ lục số 2'!R38</f>
        <v>382369.62325673946</v>
      </c>
      <c r="G54" s="5506">
        <f>+'Phụ lục số 2'!W38</f>
        <v>395338.82020193478</v>
      </c>
      <c r="H54" s="5507">
        <f t="shared" si="17"/>
        <v>1154109.3934586742</v>
      </c>
      <c r="M54" s="5513">
        <f t="shared" si="16"/>
        <v>1.0643630521810408</v>
      </c>
    </row>
    <row r="55" spans="1:13" s="49" customFormat="1" ht="17.399999999999999">
      <c r="A55" s="1932">
        <v>8</v>
      </c>
      <c r="B55" s="1923" t="s">
        <v>213</v>
      </c>
      <c r="C55" s="5506">
        <f>+'Phụ lục số 2'!D36</f>
        <v>3000</v>
      </c>
      <c r="D55" s="5506">
        <f>+'Phụ lục số 2'!H36</f>
        <v>3000</v>
      </c>
      <c r="E55" s="5506">
        <f>+'Phụ lục số 2'!M36</f>
        <v>3500</v>
      </c>
      <c r="F55" s="5506">
        <f>+'Phụ lục số 2'!R36</f>
        <v>3500</v>
      </c>
      <c r="G55" s="5506">
        <f>+'Phụ lục số 2'!W36</f>
        <v>3500</v>
      </c>
      <c r="H55" s="5507">
        <f t="shared" si="17"/>
        <v>10500</v>
      </c>
      <c r="M55" s="5513">
        <f t="shared" si="16"/>
        <v>1.0527265996093966</v>
      </c>
    </row>
    <row r="56" spans="1:13" s="49" customFormat="1" ht="17.399999999999999">
      <c r="A56" s="611" t="s">
        <v>33</v>
      </c>
      <c r="B56" s="1923" t="s">
        <v>214</v>
      </c>
      <c r="C56" s="5509">
        <f>+C57+C60+C63</f>
        <v>1988976</v>
      </c>
      <c r="D56" s="5509">
        <f t="shared" ref="D56:G56" si="19">+D57+D60+D63</f>
        <v>2127535</v>
      </c>
      <c r="E56" s="5509">
        <f>+E57+E60+E63</f>
        <v>3036992</v>
      </c>
      <c r="F56" s="5509">
        <f t="shared" si="19"/>
        <v>3036992</v>
      </c>
      <c r="G56" s="5509">
        <f t="shared" si="19"/>
        <v>3036992</v>
      </c>
      <c r="H56" s="5507">
        <f>+H57+H60+H63</f>
        <v>9110976</v>
      </c>
      <c r="M56" s="5513">
        <f t="shared" si="16"/>
        <v>1.1259583125604042</v>
      </c>
    </row>
    <row r="57" spans="1:13">
      <c r="A57" s="603">
        <v>1</v>
      </c>
      <c r="B57" s="46" t="s">
        <v>178</v>
      </c>
      <c r="C57" s="5503">
        <f>+C58+C59</f>
        <v>1814491</v>
      </c>
      <c r="D57" s="5503">
        <f t="shared" ref="D57:G57" si="20">+D58+D59</f>
        <v>1814491</v>
      </c>
      <c r="E57" s="5503">
        <f t="shared" si="20"/>
        <v>2530494</v>
      </c>
      <c r="F57" s="5503">
        <f t="shared" si="20"/>
        <v>2530494</v>
      </c>
      <c r="G57" s="5503">
        <f t="shared" si="20"/>
        <v>2530494</v>
      </c>
      <c r="H57" s="5076">
        <f>+H58+H59</f>
        <v>7591482</v>
      </c>
      <c r="M57" s="5513">
        <f t="shared" si="16"/>
        <v>1.1172494884811348</v>
      </c>
    </row>
    <row r="58" spans="1:13" hidden="1">
      <c r="A58" s="603" t="s">
        <v>99</v>
      </c>
      <c r="B58" s="46" t="s">
        <v>100</v>
      </c>
      <c r="C58" s="5503">
        <f>+'Phụ lục số 2'!D42</f>
        <v>1681570</v>
      </c>
      <c r="D58" s="517">
        <f>+'Phụ lục số 2'!H42</f>
        <v>1681570</v>
      </c>
      <c r="E58" s="517">
        <f>+'Phụ lục số 2'!M42</f>
        <v>2399255</v>
      </c>
      <c r="F58" s="517">
        <f>+'Phụ lục số 2'!R42</f>
        <v>2399255</v>
      </c>
      <c r="G58" s="517">
        <f>+'Phụ lục số 2'!W42</f>
        <v>2399255</v>
      </c>
      <c r="H58" s="5076">
        <f>SUM(E58:G58)</f>
        <v>7197765</v>
      </c>
      <c r="M58" s="5513">
        <f t="shared" si="16"/>
        <v>1.1257807525591244</v>
      </c>
    </row>
    <row r="59" spans="1:13" hidden="1">
      <c r="A59" s="603" t="s">
        <v>101</v>
      </c>
      <c r="B59" s="46" t="s">
        <v>102</v>
      </c>
      <c r="C59" s="5503">
        <f>+'Phụ lục số 2'!D43</f>
        <v>132921</v>
      </c>
      <c r="D59" s="517">
        <f>+'Phụ lục số 2'!H43</f>
        <v>132921</v>
      </c>
      <c r="E59" s="517">
        <f>+'Phụ lục số 2'!M43</f>
        <v>131239</v>
      </c>
      <c r="F59" s="517">
        <f>+'Phụ lục số 2'!R43</f>
        <v>131239</v>
      </c>
      <c r="G59" s="517">
        <f>+'Phụ lục số 2'!W43</f>
        <v>131239</v>
      </c>
      <c r="H59" s="5076">
        <f>SUM(E59:G59)</f>
        <v>393717</v>
      </c>
      <c r="M59" s="5513">
        <f t="shared" si="16"/>
        <v>0.99576403765684651</v>
      </c>
    </row>
    <row r="60" spans="1:13">
      <c r="A60" s="603">
        <v>2</v>
      </c>
      <c r="B60" s="46" t="s">
        <v>179</v>
      </c>
      <c r="C60" s="5503">
        <f>+C61+C62</f>
        <v>174485</v>
      </c>
      <c r="D60" s="5503">
        <f t="shared" ref="D60:G60" si="21">+D61+D62</f>
        <v>174485</v>
      </c>
      <c r="E60" s="5503">
        <f t="shared" si="21"/>
        <v>221912</v>
      </c>
      <c r="F60" s="5503">
        <f t="shared" si="21"/>
        <v>221912</v>
      </c>
      <c r="G60" s="5503">
        <f t="shared" si="21"/>
        <v>221912</v>
      </c>
      <c r="H60" s="5076">
        <f>SUM(H61:H62)</f>
        <v>665736</v>
      </c>
      <c r="M60" s="5513">
        <f t="shared" si="16"/>
        <v>1.0834467302536834</v>
      </c>
    </row>
    <row r="61" spans="1:13" hidden="1">
      <c r="A61" s="603" t="s">
        <v>99</v>
      </c>
      <c r="B61" s="46" t="s">
        <v>103</v>
      </c>
      <c r="C61" s="5503">
        <f>+'Phụ lục số 1'!D66</f>
        <v>72469</v>
      </c>
      <c r="D61" s="517">
        <f>+'Phụ lục số 2'!H45</f>
        <v>72469</v>
      </c>
      <c r="E61" s="517">
        <f>+'Phụ lục số 2'!M45</f>
        <v>186007</v>
      </c>
      <c r="F61" s="517">
        <f>+'Phụ lục số 2'!R45</f>
        <v>186007</v>
      </c>
      <c r="G61" s="517">
        <f>+'Phụ lục số 2'!W45</f>
        <v>186007</v>
      </c>
      <c r="H61" s="5076">
        <f>SUM(E61:G61)</f>
        <v>558021</v>
      </c>
      <c r="M61" s="5513">
        <f t="shared" si="16"/>
        <v>1.3691751447634277</v>
      </c>
    </row>
    <row r="62" spans="1:13" hidden="1">
      <c r="A62" s="603" t="s">
        <v>101</v>
      </c>
      <c r="B62" s="46" t="s">
        <v>102</v>
      </c>
      <c r="C62" s="5503">
        <f>+'Phụ lục số 1'!D67</f>
        <v>102016</v>
      </c>
      <c r="D62" s="517">
        <f>+'Phụ lục số 2'!H46</f>
        <v>102016</v>
      </c>
      <c r="E62" s="517">
        <f>+'Phụ lục số 2'!M46</f>
        <v>35905</v>
      </c>
      <c r="F62" s="517">
        <f>+'Phụ lục số 2'!R46</f>
        <v>35905</v>
      </c>
      <c r="G62" s="517">
        <f>+'Phụ lục số 2'!W46</f>
        <v>35905</v>
      </c>
      <c r="H62" s="5076">
        <f>SUM(E62:G62)</f>
        <v>107715</v>
      </c>
      <c r="M62" s="5513">
        <f t="shared" si="16"/>
        <v>0.70603930700908013</v>
      </c>
    </row>
    <row r="63" spans="1:13">
      <c r="A63" s="603">
        <v>3</v>
      </c>
      <c r="B63" s="46" t="s">
        <v>180</v>
      </c>
      <c r="C63" s="5503">
        <f>+C64+C65</f>
        <v>0</v>
      </c>
      <c r="D63" s="5503">
        <f t="shared" ref="D63:G63" si="22">+D64+D65</f>
        <v>138559</v>
      </c>
      <c r="E63" s="5503">
        <f t="shared" si="22"/>
        <v>284586</v>
      </c>
      <c r="F63" s="5503">
        <f t="shared" si="22"/>
        <v>284586</v>
      </c>
      <c r="G63" s="5503">
        <f t="shared" si="22"/>
        <v>284586</v>
      </c>
      <c r="H63" s="5076">
        <f>+H64+H65</f>
        <v>853758</v>
      </c>
      <c r="M63" s="5513">
        <f t="shared" si="16"/>
        <v>1.2711386686975881</v>
      </c>
    </row>
    <row r="64" spans="1:13" hidden="1">
      <c r="A64" s="603" t="s">
        <v>99</v>
      </c>
      <c r="B64" s="46" t="s">
        <v>104</v>
      </c>
      <c r="C64" s="5503"/>
      <c r="D64" s="517">
        <f>+'Phụ lục số 2'!H48</f>
        <v>0</v>
      </c>
      <c r="E64" s="517">
        <f>+'Phụ lục số 2'!M48</f>
        <v>0</v>
      </c>
      <c r="F64" s="517">
        <f>+'Phụ lục số 2'!R48</f>
        <v>0</v>
      </c>
      <c r="G64" s="517">
        <f>+'Phụ lục số 2'!W48</f>
        <v>0</v>
      </c>
      <c r="H64" s="5076">
        <f>SUM(E64:G64)</f>
        <v>0</v>
      </c>
      <c r="M64" s="5513" t="e">
        <f t="shared" si="16"/>
        <v>#DIV/0!</v>
      </c>
    </row>
    <row r="65" spans="1:13" hidden="1">
      <c r="A65" s="603" t="s">
        <v>101</v>
      </c>
      <c r="B65" s="46" t="s">
        <v>105</v>
      </c>
      <c r="C65" s="5503"/>
      <c r="D65" s="517">
        <f>+'Phụ lục số 2'!H49</f>
        <v>138559</v>
      </c>
      <c r="E65" s="517">
        <f>+'Phụ lục số 2'!M49</f>
        <v>284586</v>
      </c>
      <c r="F65" s="517">
        <f>+'Phụ lục số 2'!R49</f>
        <v>284586</v>
      </c>
      <c r="G65" s="517">
        <f>+'Phụ lục số 2'!W49</f>
        <v>284586</v>
      </c>
      <c r="H65" s="5076">
        <f>SUM(E65:G65)</f>
        <v>853758</v>
      </c>
      <c r="M65" s="5513">
        <f t="shared" si="16"/>
        <v>1.2711386686975881</v>
      </c>
    </row>
    <row r="66" spans="1:13" s="49" customFormat="1" ht="17.399999999999999">
      <c r="A66" s="611" t="s">
        <v>182</v>
      </c>
      <c r="B66" s="1933" t="s">
        <v>181</v>
      </c>
      <c r="C66" s="5509"/>
      <c r="D66" s="5506"/>
      <c r="E66" s="5506">
        <f>+'Phụ lục số 2'!M50</f>
        <v>0</v>
      </c>
      <c r="F66" s="5506">
        <f>+'Phụ lục số 2'!R50</f>
        <v>0</v>
      </c>
      <c r="G66" s="5506">
        <f>+'Phụ lục số 2'!W50</f>
        <v>0</v>
      </c>
      <c r="H66" s="5507">
        <f t="shared" ref="H66:H68" si="23">SUM(E66:G66)</f>
        <v>0</v>
      </c>
      <c r="M66" s="5513" t="e">
        <f t="shared" si="16"/>
        <v>#DIV/0!</v>
      </c>
    </row>
    <row r="67" spans="1:13" s="49" customFormat="1" ht="17.399999999999999">
      <c r="A67" s="611" t="s">
        <v>744</v>
      </c>
      <c r="B67" s="1923" t="s">
        <v>3233</v>
      </c>
      <c r="C67" s="5509"/>
      <c r="D67" s="5506"/>
      <c r="E67" s="5506">
        <f>+'Phụ lục số 2'!M51</f>
        <v>5553.7960000000003</v>
      </c>
      <c r="F67" s="5506">
        <f>+'Phụ lục số 2'!R51</f>
        <v>0</v>
      </c>
      <c r="G67" s="5506">
        <f>+'Phụ lục số 2'!W51</f>
        <v>0</v>
      </c>
      <c r="H67" s="5507">
        <f t="shared" si="23"/>
        <v>5553.7960000000003</v>
      </c>
      <c r="M67" s="5513" t="e">
        <f t="shared" si="16"/>
        <v>#DIV/0!</v>
      </c>
    </row>
    <row r="68" spans="1:13" s="49" customFormat="1" thickBot="1">
      <c r="A68" s="632" t="s">
        <v>46</v>
      </c>
      <c r="B68" s="2632" t="s">
        <v>347</v>
      </c>
      <c r="C68" s="5510"/>
      <c r="D68" s="5511"/>
      <c r="E68" s="5511">
        <f>+'Phụ lục số 2'!M52</f>
        <v>186700</v>
      </c>
      <c r="F68" s="5511">
        <f>+'Phụ lục số 2'!R52</f>
        <v>0</v>
      </c>
      <c r="G68" s="5511">
        <f>+'Phụ lục số 2'!W52</f>
        <v>0</v>
      </c>
      <c r="H68" s="5512">
        <f t="shared" si="23"/>
        <v>186700</v>
      </c>
      <c r="J68" s="320">
        <f>+H68+H67</f>
        <v>192253.796</v>
      </c>
      <c r="M68" s="5513" t="e">
        <f t="shared" si="16"/>
        <v>#DIV/0!</v>
      </c>
    </row>
    <row r="69" spans="1:13" ht="18.600000000000001" thickTop="1"/>
  </sheetData>
  <mergeCells count="3">
    <mergeCell ref="A1:H1"/>
    <mergeCell ref="A2:H2"/>
    <mergeCell ref="A3:H3"/>
  </mergeCells>
  <hyperlinks>
    <hyperlink ref="A6" location="'Danh mục file'!A1" display="TT"/>
  </hyperlinks>
  <printOptions horizontalCentered="1"/>
  <pageMargins left="0" right="0" top="0.39370078740157483" bottom="0" header="0" footer="0"/>
  <pageSetup paperSize="9" scale="50" orientation="portrait" verticalDpi="0" r:id="rId1"/>
  <headerFooter>
    <oddHeader>&amp;R&amp;A</oddHeader>
    <oddFooter>&amp;C&amp;P/&amp;N</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
  <sheetViews>
    <sheetView zoomScale="60" zoomScaleNormal="60" workbookViewId="0">
      <pane xSplit="7" ySplit="12" topLeftCell="H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6" width="13.5546875" style="47" bestFit="1" customWidth="1"/>
    <col min="17" max="20" width="13.5546875" style="47" customWidth="1"/>
    <col min="21" max="21" width="14.33203125" style="47" hidden="1" customWidth="1"/>
    <col min="22" max="23" width="13.5546875" style="47" hidden="1" customWidth="1"/>
    <col min="24" max="24" width="14.33203125" style="47" hidden="1" customWidth="1"/>
    <col min="25" max="26" width="13.5546875" style="47" hidden="1" customWidth="1"/>
    <col min="27" max="27" width="14.33203125" style="47" hidden="1" customWidth="1"/>
    <col min="28" max="29" width="13.5546875" style="47" hidden="1" customWidth="1"/>
    <col min="30" max="30" width="9.109375" style="47"/>
    <col min="31" max="31" width="14.44140625" style="47" customWidth="1"/>
    <col min="32" max="32" width="22.5546875" style="47" bestFit="1" customWidth="1"/>
    <col min="33" max="33" width="13.44140625" style="47" bestFit="1" customWidth="1"/>
    <col min="34" max="16384" width="9.109375" style="47"/>
  </cols>
  <sheetData>
    <row r="1" spans="1:29">
      <c r="A1" s="6080" t="s">
        <v>230</v>
      </c>
      <c r="B1" s="6080"/>
      <c r="C1" s="6080"/>
      <c r="D1" s="6080"/>
      <c r="E1" s="6080"/>
      <c r="F1" s="6080"/>
      <c r="G1" s="6080"/>
      <c r="H1" s="6080"/>
      <c r="I1" s="6080"/>
      <c r="J1" s="6080"/>
      <c r="K1" s="6080"/>
    </row>
    <row r="2" spans="1:29">
      <c r="A2" s="6081" t="s">
        <v>232</v>
      </c>
      <c r="B2" s="6081"/>
      <c r="C2" s="6081"/>
      <c r="D2" s="6081"/>
      <c r="E2" s="6081"/>
      <c r="F2" s="6081"/>
      <c r="G2" s="6081"/>
      <c r="H2" s="6081"/>
      <c r="I2" s="6081"/>
      <c r="J2" s="6081"/>
      <c r="K2" s="6081"/>
    </row>
    <row r="3" spans="1:29">
      <c r="A3" s="6082"/>
      <c r="B3" s="6082"/>
      <c r="C3" s="6082"/>
      <c r="D3" s="6082"/>
      <c r="E3" s="6082"/>
      <c r="F3" s="6082"/>
      <c r="G3" s="6082"/>
      <c r="H3" s="6082"/>
      <c r="I3" s="6082"/>
      <c r="J3" s="6082"/>
      <c r="K3" s="6082"/>
      <c r="L3" s="679"/>
      <c r="M3" s="679"/>
    </row>
    <row r="4" spans="1:29">
      <c r="I4" s="679"/>
      <c r="J4" s="679"/>
      <c r="L4" s="679"/>
      <c r="M4" s="679"/>
      <c r="O4" s="679"/>
      <c r="P4" s="679"/>
      <c r="U4" s="679">
        <f>+U10-W19-W29</f>
        <v>21358175.897346757</v>
      </c>
      <c r="V4" s="679">
        <f>+U4-U34</f>
        <v>-236867.23736638576</v>
      </c>
      <c r="X4" s="679">
        <f>+X10-Z19-Z29</f>
        <v>23442211.997964151</v>
      </c>
      <c r="Y4" s="679">
        <f>+X4-X34</f>
        <v>95129.553009267896</v>
      </c>
      <c r="AA4" s="679">
        <f>+AA10-AC19-AC29</f>
        <v>25080919.617009353</v>
      </c>
      <c r="AB4" s="679">
        <f>+AA4-AA34</f>
        <v>90736.159677028656</v>
      </c>
    </row>
    <row r="5" spans="1:29" ht="18.600000000000001" thickBot="1">
      <c r="I5" s="679"/>
      <c r="J5" s="679"/>
      <c r="K5" s="679"/>
      <c r="L5" s="679"/>
    </row>
    <row r="6" spans="1:29" ht="18.600000000000001" thickTop="1">
      <c r="A6" s="6546" t="s">
        <v>200</v>
      </c>
      <c r="B6" s="6503" t="s">
        <v>201</v>
      </c>
      <c r="C6" s="6078" t="s">
        <v>219</v>
      </c>
      <c r="D6" s="6078"/>
      <c r="E6" s="6078"/>
      <c r="F6" s="6078" t="s">
        <v>223</v>
      </c>
      <c r="G6" s="6078"/>
      <c r="H6" s="6078"/>
      <c r="I6" s="6078" t="s">
        <v>224</v>
      </c>
      <c r="J6" s="6078"/>
      <c r="K6" s="6078"/>
      <c r="L6" s="6078" t="s">
        <v>225</v>
      </c>
      <c r="M6" s="6078"/>
      <c r="N6" s="6078"/>
      <c r="O6" s="6078" t="s">
        <v>226</v>
      </c>
      <c r="P6" s="6078"/>
      <c r="Q6" s="6078"/>
      <c r="R6" s="6226" t="s">
        <v>3264</v>
      </c>
      <c r="S6" s="6226"/>
      <c r="T6" s="6227"/>
      <c r="U6" s="6228" t="s">
        <v>227</v>
      </c>
      <c r="V6" s="6078"/>
      <c r="W6" s="6078"/>
      <c r="X6" s="6078" t="s">
        <v>228</v>
      </c>
      <c r="Y6" s="6078"/>
      <c r="Z6" s="6078"/>
      <c r="AA6" s="6078" t="s">
        <v>229</v>
      </c>
      <c r="AB6" s="6078"/>
      <c r="AC6" s="6079"/>
    </row>
    <row r="7" spans="1:29">
      <c r="A7" s="6547"/>
      <c r="B7" s="6292"/>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1825" t="s">
        <v>220</v>
      </c>
      <c r="S7" s="51" t="s">
        <v>221</v>
      </c>
      <c r="T7" s="1640" t="s">
        <v>222</v>
      </c>
      <c r="U7" s="1825" t="s">
        <v>220</v>
      </c>
      <c r="V7" s="51" t="s">
        <v>221</v>
      </c>
      <c r="W7" s="51" t="s">
        <v>222</v>
      </c>
      <c r="X7" s="50" t="s">
        <v>220</v>
      </c>
      <c r="Y7" s="51" t="s">
        <v>221</v>
      </c>
      <c r="Z7" s="51" t="s">
        <v>222</v>
      </c>
      <c r="AA7" s="50" t="s">
        <v>220</v>
      </c>
      <c r="AB7" s="51" t="s">
        <v>221</v>
      </c>
      <c r="AC7" s="1640" t="s">
        <v>222</v>
      </c>
    </row>
    <row r="8" spans="1:29"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8">
        <f t="shared" ref="K8" si="1">SUM(K12+K18+K31+K32)</f>
        <v>11751651.907</v>
      </c>
      <c r="L8" s="4918">
        <f>SUM(M8:N8)</f>
        <v>29386371.881463431</v>
      </c>
      <c r="M8" s="4918">
        <f>SUM(M12+M18+M31+M32)</f>
        <v>17414770.464828283</v>
      </c>
      <c r="N8" s="4918">
        <f t="shared" ref="N8" si="2">SUM(N12+N18+N31+N32)</f>
        <v>11971601.41663515</v>
      </c>
      <c r="O8" s="4918">
        <f>SUM(P8:Q8)</f>
        <v>30136566.406822234</v>
      </c>
      <c r="P8" s="4918">
        <f>SUM(P12+P18+P31+P32)</f>
        <v>17871125.956189539</v>
      </c>
      <c r="Q8" s="4918">
        <f t="shared" ref="Q8" si="3">SUM(Q12+Q18+Q31+Q32)</f>
        <v>12265440.450632697</v>
      </c>
      <c r="R8" s="5464">
        <f>SUM(S8:T8)</f>
        <v>88160884.391285673</v>
      </c>
      <c r="S8" s="4918">
        <f>SUM(S12+S18+S31+S32)</f>
        <v>52172190.617017828</v>
      </c>
      <c r="T8" s="4919">
        <f t="shared" ref="T8" si="4">SUM(T12+T18+T31+T32)</f>
        <v>35988693.774267845</v>
      </c>
      <c r="U8" s="1826">
        <f>SUM(V8:W8)</f>
        <v>30051841.60434676</v>
      </c>
      <c r="V8" s="1642">
        <f>SUM(V12+V18+V31+V32)</f>
        <v>19476162.111650225</v>
      </c>
      <c r="W8" s="1642">
        <f t="shared" ref="W8" si="5">SUM(W12+W18+W31+W32)</f>
        <v>10575679.492696533</v>
      </c>
      <c r="X8" s="1642">
        <f>SUM(Y8:Z8)</f>
        <v>32135877.704964146</v>
      </c>
      <c r="Y8" s="1642">
        <f>SUM(Y12+Y18+Y31+Y32)</f>
        <v>20555494.369332533</v>
      </c>
      <c r="Z8" s="1642">
        <f t="shared" ref="Z8" si="6">SUM(Z12+Z18+Z31+Z32)</f>
        <v>11580383.335631611</v>
      </c>
      <c r="AA8" s="1642">
        <f>SUM(AB8:AC8)</f>
        <v>33774585.324009351</v>
      </c>
      <c r="AB8" s="1642">
        <f>SUM(AB12+AB18+AB31+AB32)</f>
        <v>21308662.926719714</v>
      </c>
      <c r="AC8" s="1643">
        <f t="shared" ref="AC8" si="7">SUM(AC12+AC18+AC31+AC32)</f>
        <v>12465922.397289636</v>
      </c>
    </row>
    <row r="9" spans="1:29">
      <c r="A9" s="611"/>
      <c r="B9" s="1923" t="s">
        <v>234</v>
      </c>
      <c r="C9" s="195"/>
      <c r="D9" s="195"/>
      <c r="E9" s="195"/>
      <c r="F9" s="45"/>
      <c r="G9" s="45"/>
      <c r="H9" s="45"/>
      <c r="I9" s="46"/>
      <c r="J9" s="46"/>
      <c r="K9" s="46"/>
      <c r="L9" s="46"/>
      <c r="M9" s="46"/>
      <c r="N9" s="46"/>
      <c r="O9" s="46"/>
      <c r="P9" s="46"/>
      <c r="Q9" s="46"/>
      <c r="R9" s="1827"/>
      <c r="S9" s="46"/>
      <c r="T9" s="1645"/>
      <c r="U9" s="1827"/>
      <c r="V9" s="46"/>
      <c r="W9" s="46"/>
      <c r="X9" s="46"/>
      <c r="Y9" s="46"/>
      <c r="Z9" s="46"/>
      <c r="AA9" s="46"/>
      <c r="AB9" s="46"/>
      <c r="AC9" s="1645"/>
    </row>
    <row r="10" spans="1:29">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95">
        <f>SUM(K12,K19,K20,K31)</f>
        <v>10785692</v>
      </c>
      <c r="L10" s="45">
        <f>SUM(M10:N10)</f>
        <v>25383419.974463433</v>
      </c>
      <c r="M10" s="195">
        <f>SUM(M12,M19,M20,M31)</f>
        <v>14377778.464828283</v>
      </c>
      <c r="N10" s="195">
        <f>SUM(N12,N19,N20,N31)</f>
        <v>11005641.50963515</v>
      </c>
      <c r="O10" s="45">
        <f>SUM(P10:Q10)</f>
        <v>26133614.499822237</v>
      </c>
      <c r="P10" s="195">
        <f>SUM(P12,P19,P20,P31)</f>
        <v>14834133.956189541</v>
      </c>
      <c r="Q10" s="195">
        <f>SUM(Q12,Q19,Q20,Q31)</f>
        <v>11299480.543632697</v>
      </c>
      <c r="R10" s="1828">
        <f>SUM(S10:T10)</f>
        <v>76152028.670285672</v>
      </c>
      <c r="S10" s="195">
        <f>SUM(S12,S19,S20,S31)</f>
        <v>43061214.617017828</v>
      </c>
      <c r="T10" s="1646">
        <f>SUM(T12,T19,T20,T31)</f>
        <v>33090814.053267848</v>
      </c>
      <c r="U10" s="1828">
        <f>SUM(V10:W10)</f>
        <v>25789098.897346757</v>
      </c>
      <c r="V10" s="195">
        <f>SUM(V12,V19,V29,V31)</f>
        <v>16179379.311650224</v>
      </c>
      <c r="W10" s="195">
        <f>SUM(W12,W19,W29,W31)</f>
        <v>9609719.5856965333</v>
      </c>
      <c r="X10" s="45">
        <f>SUM(Y10:Z10)</f>
        <v>27873134.997964151</v>
      </c>
      <c r="Y10" s="195">
        <f>SUM(Y12,Y19,Y29,Y31)</f>
        <v>17258711.569332536</v>
      </c>
      <c r="Z10" s="195">
        <f>SUM(Z12,Z19,Z29,Z31)</f>
        <v>10614423.428631613</v>
      </c>
      <c r="AA10" s="45">
        <f>SUM(AB10:AC10)</f>
        <v>29511842.617009353</v>
      </c>
      <c r="AB10" s="195">
        <f>SUM(AB12,AB19,AB29,AB31)</f>
        <v>18011880.126719717</v>
      </c>
      <c r="AC10" s="1646">
        <f>SUM(AC12,AC19,AC29,AC31)</f>
        <v>11499962.490289636</v>
      </c>
    </row>
    <row r="11" spans="1:29">
      <c r="A11" s="611"/>
      <c r="B11" s="1923" t="s">
        <v>236</v>
      </c>
      <c r="C11" s="195">
        <f>SUM(D11:E11)</f>
        <v>17545290</v>
      </c>
      <c r="D11" s="195">
        <f>D10-D14-D15-D16</f>
        <v>9199353</v>
      </c>
      <c r="E11" s="195">
        <f t="shared" ref="E11" si="8">E10-E14-E15-E16</f>
        <v>8345937</v>
      </c>
      <c r="F11" s="45">
        <f>SUM(G11:H11)</f>
        <v>17533017.983635269</v>
      </c>
      <c r="G11" s="195">
        <f>G10-G14-G15-G16</f>
        <v>9375719.323635269</v>
      </c>
      <c r="H11" s="195">
        <f>H10-H14-H15-H16</f>
        <v>8157298.6600000001</v>
      </c>
      <c r="I11" s="45">
        <f>SUM(J11:K11)</f>
        <v>20901994.196000002</v>
      </c>
      <c r="J11" s="195">
        <f>J10-J14-J15-J16</f>
        <v>11209802.196</v>
      </c>
      <c r="K11" s="195">
        <f>K10-K14-K15-K16</f>
        <v>9692192</v>
      </c>
      <c r="L11" s="45">
        <f>SUM(M11:N11)</f>
        <v>21283419.974463433</v>
      </c>
      <c r="M11" s="195">
        <f>M10-M14-M15-M16</f>
        <v>11537778.464828283</v>
      </c>
      <c r="N11" s="195">
        <f t="shared" ref="N11" si="9">N10-N14-N15-N16</f>
        <v>9745641.5096351504</v>
      </c>
      <c r="O11" s="45">
        <f>SUM(P11:Q11)</f>
        <v>22023614.499822237</v>
      </c>
      <c r="P11" s="195">
        <f>P10-P14-P15-P16</f>
        <v>11984133.956189541</v>
      </c>
      <c r="Q11" s="195">
        <f>Q10-Q14-Q15-Q16</f>
        <v>10039480.543632697</v>
      </c>
      <c r="R11" s="1828">
        <f>SUM(S11:T11)</f>
        <v>64209028.670285672</v>
      </c>
      <c r="S11" s="195">
        <f>S10-S14-S15-S16</f>
        <v>34731714.617017828</v>
      </c>
      <c r="T11" s="1646">
        <f>T10-T14-T15-T16</f>
        <v>29477314.053267848</v>
      </c>
      <c r="U11" s="1828">
        <f>SUM(V11:W11)</f>
        <v>21069098.897346757</v>
      </c>
      <c r="V11" s="195">
        <f>V10-V14-V15-V16</f>
        <v>12719379.311650224</v>
      </c>
      <c r="W11" s="195">
        <f t="shared" ref="W11" si="10">W10-W14-W15-W16</f>
        <v>8349719.5856965333</v>
      </c>
      <c r="X11" s="45">
        <f>SUM(Y11:Z11)</f>
        <v>22893134.997964151</v>
      </c>
      <c r="Y11" s="195">
        <f>Y10-Y14-Y15-Y16</f>
        <v>13628711.569332536</v>
      </c>
      <c r="Z11" s="195">
        <f t="shared" ref="Z11" si="11">Z10-Z14-Z15-Z16</f>
        <v>9264423.428631613</v>
      </c>
      <c r="AA11" s="45">
        <f>SUM(AB11:AC11)</f>
        <v>24251842.617009353</v>
      </c>
      <c r="AB11" s="195">
        <f>AB10-AB14-AB15-AB16</f>
        <v>14236880.126719717</v>
      </c>
      <c r="AC11" s="1646">
        <f t="shared" ref="AC11" si="12">AC10-AC14-AC15-AC16</f>
        <v>10014962.490289636</v>
      </c>
    </row>
    <row r="12" spans="1:29"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1651">
        <f>+'Phụ lục số 1'!V10</f>
        <v>3732300</v>
      </c>
      <c r="L12" s="45">
        <f>SUM(M12:N12)</f>
        <v>9885044.974463433</v>
      </c>
      <c r="M12" s="45">
        <f>+'Phụ lục số 1'!AA10</f>
        <v>5511695.4648282835</v>
      </c>
      <c r="N12" s="45">
        <f>+'Phụ lục số 1'!AB10</f>
        <v>4373349.5096351504</v>
      </c>
      <c r="O12" s="45">
        <f>SUM(P12:Q12)</f>
        <v>10529022.347310523</v>
      </c>
      <c r="P12" s="45">
        <f>+'Phụ lục số 1'!AG10</f>
        <v>5765742.4464954007</v>
      </c>
      <c r="Q12" s="45">
        <f>+'Phụ lục số 1'!AH10</f>
        <v>4763279.9008151218</v>
      </c>
      <c r="R12" s="1828">
        <f>SUM(S12:T12)</f>
        <v>29129586.117773958</v>
      </c>
      <c r="S12" s="5457">
        <f t="shared" ref="S12:S13" si="13">+P12+M12+J12</f>
        <v>16260656.707323685</v>
      </c>
      <c r="T12" s="5461">
        <f>+Q12+N12+K12</f>
        <v>12868929.410450272</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5455"/>
      <c r="S13" s="5458">
        <f t="shared" si="13"/>
        <v>0</v>
      </c>
      <c r="T13" s="5462">
        <f t="shared" ref="T13" si="14">+Q13+N13+K13</f>
        <v>0</v>
      </c>
      <c r="U13" s="1827"/>
      <c r="V13" s="46"/>
      <c r="W13" s="46"/>
      <c r="X13" s="46"/>
      <c r="Y13" s="46"/>
      <c r="Z13" s="46"/>
      <c r="AA13" s="46"/>
      <c r="AB13" s="46"/>
      <c r="AC13" s="1645"/>
    </row>
    <row r="14" spans="1:29"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193">
        <f>+'Phụ lục số 1'!AG42</f>
        <v>540000</v>
      </c>
      <c r="Q14" s="193">
        <f>+'Phụ lục số 1'!AH42</f>
        <v>1260000</v>
      </c>
      <c r="R14" s="5458">
        <f>SUM(S14:T14)</f>
        <v>5200000</v>
      </c>
      <c r="S14" s="5458">
        <f>+P14+M14+J14</f>
        <v>1586500</v>
      </c>
      <c r="T14" s="5462">
        <f>+Q14+N14+K14</f>
        <v>3613500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1'!H50</f>
        <v>1950000</v>
      </c>
      <c r="E15" s="1639">
        <f>+'Phụ lục số 1'!I50</f>
        <v>0</v>
      </c>
      <c r="F15" s="193">
        <f t="shared" ref="F15:F17" si="15">SUM(G15:H15)</f>
        <v>2150000</v>
      </c>
      <c r="G15" s="193">
        <f>+'Phụ lục số 1'!O50</f>
        <v>2150000</v>
      </c>
      <c r="H15" s="193">
        <f>+'Phụ lục số 1'!P50</f>
        <v>0</v>
      </c>
      <c r="I15" s="193">
        <f t="shared" ref="I15:I17" si="16">SUM(J15:K15)</f>
        <v>2100000</v>
      </c>
      <c r="J15" s="193">
        <f>+'Phụ lục số 1'!U50</f>
        <v>2100000</v>
      </c>
      <c r="K15" s="193">
        <f>+'Phụ lục số 1'!V50</f>
        <v>0</v>
      </c>
      <c r="L15" s="193">
        <f t="shared" ref="L15:L17" si="17">SUM(M15:N15)</f>
        <v>2200000</v>
      </c>
      <c r="M15" s="193">
        <f>+'Phụ lục số 1'!AA50</f>
        <v>2200000</v>
      </c>
      <c r="N15" s="193">
        <f>'Phụ lục số I'!AB50</f>
        <v>0</v>
      </c>
      <c r="O15" s="193">
        <f t="shared" ref="O15:O17" si="18">SUM(P15:Q15)</f>
        <v>2200000</v>
      </c>
      <c r="P15" s="193">
        <f>+'Phụ lục số 1'!AG50</f>
        <v>2200000</v>
      </c>
      <c r="Q15" s="193">
        <f>+'Phụ lục số 1'!AH50</f>
        <v>0</v>
      </c>
      <c r="R15" s="5458">
        <f t="shared" ref="R15:R33" si="19">SUM(S15:T15)</f>
        <v>6500000</v>
      </c>
      <c r="S15" s="5458">
        <f t="shared" ref="S15:S32" si="20">+P15+M15+J15</f>
        <v>6500000</v>
      </c>
      <c r="T15" s="5462">
        <f t="shared" ref="T15:T32" si="21">+Q15+N15+K15</f>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1'!H47</f>
        <v>445054.16200000001</v>
      </c>
      <c r="E16" s="1639">
        <f>+'Phụ lục số 1'!I47</f>
        <v>0</v>
      </c>
      <c r="F16" s="193">
        <f t="shared" si="15"/>
        <v>434122.16200000001</v>
      </c>
      <c r="G16" s="193">
        <f>+'Phụ lục số 1'!O47</f>
        <v>434122.16200000001</v>
      </c>
      <c r="H16" s="193">
        <f>+'Phụ lục số 1'!P47</f>
        <v>0</v>
      </c>
      <c r="I16" s="193">
        <f t="shared" si="16"/>
        <v>33000</v>
      </c>
      <c r="J16" s="193">
        <f>+'Phụ lục số 1'!U47</f>
        <v>33000</v>
      </c>
      <c r="K16" s="193">
        <f>+'Phụ lục số 1'!V47</f>
        <v>0</v>
      </c>
      <c r="L16" s="193">
        <f t="shared" si="17"/>
        <v>100000</v>
      </c>
      <c r="M16" s="193">
        <f>+'Phụ lục số 1'!AA47</f>
        <v>100000</v>
      </c>
      <c r="N16" s="193">
        <f>+'Phụ lục số 1'!AB47</f>
        <v>0</v>
      </c>
      <c r="O16" s="193">
        <f t="shared" si="18"/>
        <v>110000</v>
      </c>
      <c r="P16" s="193">
        <f>+'Phụ lục số 1'!AG47</f>
        <v>110000</v>
      </c>
      <c r="Q16" s="193">
        <f>+'Phụ lục số 1'!AH47</f>
        <v>0</v>
      </c>
      <c r="R16" s="5458">
        <f t="shared" si="19"/>
        <v>243000</v>
      </c>
      <c r="S16" s="5458">
        <f t="shared" si="20"/>
        <v>243000</v>
      </c>
      <c r="T16" s="5462">
        <f t="shared" si="2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32" s="1649" customFormat="1">
      <c r="A17" s="614"/>
      <c r="B17" s="1925" t="s">
        <v>245</v>
      </c>
      <c r="C17" s="1639">
        <f>SUM(D17:E17)</f>
        <v>4727930</v>
      </c>
      <c r="D17" s="1639">
        <f>D12-D14-D15-D16</f>
        <v>1931850.0000000005</v>
      </c>
      <c r="E17" s="1639">
        <f t="shared" ref="E17" si="25">E12-E14-E15-E16</f>
        <v>2796080</v>
      </c>
      <c r="F17" s="193">
        <f t="shared" si="15"/>
        <v>4365888.9836352691</v>
      </c>
      <c r="G17" s="1639">
        <f>G12-G14-G15-G16</f>
        <v>1944748.3236352694</v>
      </c>
      <c r="H17" s="1639">
        <f t="shared" ref="H17" si="26">H12-H14-H15-H16</f>
        <v>2421140.66</v>
      </c>
      <c r="I17" s="193">
        <f t="shared" si="16"/>
        <v>4982518.7960000001</v>
      </c>
      <c r="J17" s="1639">
        <f>J12-J14-J15-J16</f>
        <v>2343718.7960000001</v>
      </c>
      <c r="K17" s="1639">
        <f t="shared" ref="K17" si="27">K12-K14-K15-K16</f>
        <v>2638800</v>
      </c>
      <c r="L17" s="193">
        <f t="shared" si="17"/>
        <v>5785044.974463434</v>
      </c>
      <c r="M17" s="1639">
        <f>M12-M14-M15-M16</f>
        <v>2671695.4648282835</v>
      </c>
      <c r="N17" s="1639">
        <f>N12-N14-N15-N16</f>
        <v>3113349.5096351504</v>
      </c>
      <c r="O17" s="193">
        <f t="shared" si="18"/>
        <v>6419022.3473105226</v>
      </c>
      <c r="P17" s="1639">
        <f>P12-P14-P15-P16</f>
        <v>2915742.4464954007</v>
      </c>
      <c r="Q17" s="1639">
        <f t="shared" ref="Q17" si="28">Q12-Q14-Q15-Q16</f>
        <v>3503279.9008151218</v>
      </c>
      <c r="R17" s="5458">
        <f t="shared" si="19"/>
        <v>17186586.117773958</v>
      </c>
      <c r="S17" s="5458">
        <f t="shared" si="20"/>
        <v>7931156.7073236844</v>
      </c>
      <c r="T17" s="5462">
        <f t="shared" si="21"/>
        <v>9255429.4104502723</v>
      </c>
      <c r="U17" s="1829">
        <f t="shared" si="22"/>
        <v>6987748.8973467574</v>
      </c>
      <c r="V17" s="1639">
        <f>V12-V14-V15-V16</f>
        <v>3068952.311650224</v>
      </c>
      <c r="W17" s="1639">
        <f t="shared" ref="W17" si="29">W12-W14-W15-W16</f>
        <v>3918796.5856965333</v>
      </c>
      <c r="X17" s="193">
        <f t="shared" si="23"/>
        <v>7723027.2480759034</v>
      </c>
      <c r="Y17" s="1639">
        <f>Y12-Y14-Y15-Y16</f>
        <v>3469857.0338091608</v>
      </c>
      <c r="Z17" s="1639">
        <f t="shared" ref="Z17" si="30">Z12-Z14-Z15-Z16</f>
        <v>4253170.2142667426</v>
      </c>
      <c r="AA17" s="193">
        <f t="shared" si="24"/>
        <v>8598437.1917565353</v>
      </c>
      <c r="AB17" s="1639">
        <f>AB12-AB14-AB15-AB16</f>
        <v>3771103.2301168721</v>
      </c>
      <c r="AC17" s="1650">
        <f t="shared" ref="AC17" si="31">AC12-AC14-AC15-AC16</f>
        <v>4827333.9616396632</v>
      </c>
    </row>
    <row r="18" spans="1:32" s="49" customFormat="1" ht="17.399999999999999">
      <c r="A18" s="611" t="s">
        <v>33</v>
      </c>
      <c r="B18" s="1923" t="s">
        <v>203</v>
      </c>
      <c r="C18" s="195">
        <f>SUM(C19:C21)</f>
        <v>14339802.348000001</v>
      </c>
      <c r="D18" s="195">
        <f>SUM(D19:D21)</f>
        <v>9256479</v>
      </c>
      <c r="E18" s="195">
        <f>SUM(E19:E21)</f>
        <v>5083323.3480000002</v>
      </c>
      <c r="F18" s="195">
        <f>SUM(F19:F21)</f>
        <v>14641829.348000001</v>
      </c>
      <c r="G18" s="195">
        <f t="shared" ref="G18" si="32">SUM(G19:G21)</f>
        <v>9558506</v>
      </c>
      <c r="H18" s="195">
        <f>SUM(H19:H21)</f>
        <v>5083323.3480000002</v>
      </c>
      <c r="I18" s="195">
        <f>SUM(I19:I21)</f>
        <v>18981426.907000002</v>
      </c>
      <c r="J18" s="195">
        <f>SUM(J19:J21)</f>
        <v>11903075</v>
      </c>
      <c r="K18" s="195">
        <f t="shared" ref="K18:AC18" si="33">SUM(K19:K21)</f>
        <v>7078351.9069999997</v>
      </c>
      <c r="L18" s="195">
        <f>SUM(L19:L21)</f>
        <v>18981426.907000002</v>
      </c>
      <c r="M18" s="195">
        <f>SUM(M19:M21)</f>
        <v>11903075</v>
      </c>
      <c r="N18" s="195">
        <f>SUM(N19:N21)</f>
        <v>7078351.9069999997</v>
      </c>
      <c r="O18" s="195">
        <f>SUM(O19:O21)</f>
        <v>18981426.907000002</v>
      </c>
      <c r="P18" s="195">
        <f t="shared" si="33"/>
        <v>11903075</v>
      </c>
      <c r="Q18" s="195">
        <f>SUM(Q19:Q21)</f>
        <v>7078351.9069999997</v>
      </c>
      <c r="R18" s="5457">
        <f t="shared" si="19"/>
        <v>56944280.721000001</v>
      </c>
      <c r="S18" s="5457">
        <f t="shared" si="20"/>
        <v>35709225</v>
      </c>
      <c r="T18" s="5461">
        <f>+Q18+N18+K18</f>
        <v>21235055.721000001</v>
      </c>
      <c r="U18" s="1830">
        <f>SUM(U19:U21)</f>
        <v>18344092.707000002</v>
      </c>
      <c r="V18" s="195">
        <f t="shared" si="33"/>
        <v>12947209.800000001</v>
      </c>
      <c r="W18" s="195">
        <f t="shared" si="33"/>
        <v>5396882.9069999997</v>
      </c>
      <c r="X18" s="195">
        <f>SUM(X19:X21)</f>
        <v>18344092.707000002</v>
      </c>
      <c r="Y18" s="195">
        <f t="shared" si="33"/>
        <v>12947209.800000001</v>
      </c>
      <c r="Z18" s="195">
        <f t="shared" si="33"/>
        <v>5396882.9069999997</v>
      </c>
      <c r="AA18" s="195">
        <f>SUM(AA19:AA21)</f>
        <v>18344092.707000002</v>
      </c>
      <c r="AB18" s="195">
        <f t="shared" si="33"/>
        <v>12947209.800000001</v>
      </c>
      <c r="AC18" s="1646">
        <f t="shared" si="33"/>
        <v>5396882.9069999997</v>
      </c>
    </row>
    <row r="19" spans="1:32"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4808">
        <f>H19</f>
        <v>4430923</v>
      </c>
      <c r="L19" s="45">
        <f>SUM(M19:N19)</f>
        <v>11180411</v>
      </c>
      <c r="M19" s="45">
        <f>+'Phụ lục số 1'!AA58</f>
        <v>6749488</v>
      </c>
      <c r="N19" s="4808">
        <f>+K19</f>
        <v>4430923</v>
      </c>
      <c r="O19" s="45">
        <f>SUM(P19:Q19)</f>
        <v>11180411</v>
      </c>
      <c r="P19" s="45">
        <f>+'Phụ lục số 1'!AG58</f>
        <v>6749488</v>
      </c>
      <c r="Q19" s="45">
        <f>N19</f>
        <v>4430923</v>
      </c>
      <c r="R19" s="5457">
        <f t="shared" si="19"/>
        <v>33541233</v>
      </c>
      <c r="S19" s="5457">
        <f t="shared" si="20"/>
        <v>20248464</v>
      </c>
      <c r="T19" s="5461">
        <f>+Q19+N19+K19</f>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32"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4808">
        <f>+'Phụ lục số 7'!E38</f>
        <v>1681469</v>
      </c>
      <c r="L20" s="45">
        <f>SUM(M20:N20)</f>
        <v>3798064</v>
      </c>
      <c r="M20" s="45">
        <f>+'Phụ lục số 1'!AA60</f>
        <v>2116595</v>
      </c>
      <c r="N20" s="4808">
        <f>+K20</f>
        <v>1681469</v>
      </c>
      <c r="O20" s="45">
        <f>SUM(P20:Q20)</f>
        <v>3798064</v>
      </c>
      <c r="P20" s="45">
        <f>+'Phụ lục số 1'!AG60</f>
        <v>2116595</v>
      </c>
      <c r="Q20" s="45">
        <f>+N20</f>
        <v>1681469</v>
      </c>
      <c r="R20" s="5457">
        <f t="shared" si="19"/>
        <v>11394192</v>
      </c>
      <c r="S20" s="5457">
        <f t="shared" si="20"/>
        <v>6349785</v>
      </c>
      <c r="T20" s="5461">
        <f t="shared" si="21"/>
        <v>5044407</v>
      </c>
      <c r="U20" s="1828"/>
      <c r="V20" s="45"/>
      <c r="W20" s="45"/>
      <c r="X20" s="45"/>
      <c r="Y20" s="45"/>
      <c r="Z20" s="45"/>
      <c r="AA20" s="45"/>
      <c r="AB20" s="45"/>
      <c r="AC20" s="1647"/>
    </row>
    <row r="21" spans="1:32" s="49" customFormat="1" ht="17.399999999999999">
      <c r="A21" s="611">
        <v>3</v>
      </c>
      <c r="B21" s="1923" t="s">
        <v>207</v>
      </c>
      <c r="C21" s="195">
        <f>SUM(C22,C25,C28)</f>
        <v>2408442.3480000002</v>
      </c>
      <c r="D21" s="195">
        <f t="shared" ref="D21:G21" si="34">SUM(D22,D25,D28)</f>
        <v>1988976</v>
      </c>
      <c r="E21" s="195">
        <f>SUM(E22,E25,E28)</f>
        <v>419466.34799999994</v>
      </c>
      <c r="F21" s="195">
        <f>SUM(F22,F25,F28)</f>
        <v>2547001.3480000002</v>
      </c>
      <c r="G21" s="195">
        <f t="shared" si="34"/>
        <v>2127535</v>
      </c>
      <c r="H21" s="195">
        <f>SUM(H22,H25,H28)</f>
        <v>419466.34799999994</v>
      </c>
      <c r="I21" s="195">
        <f>SUM(I22,I25,I28)</f>
        <v>4002951.9070000001</v>
      </c>
      <c r="J21" s="195">
        <f t="shared" ref="J21:Q21" si="35">SUM(J22,J25,J28)</f>
        <v>3036992</v>
      </c>
      <c r="K21" s="195">
        <f>SUM(K22,K25,K28)</f>
        <v>965959.90700000001</v>
      </c>
      <c r="L21" s="195">
        <f>SUM(L22,L25,L28)</f>
        <v>4002951.9070000001</v>
      </c>
      <c r="M21" s="195">
        <f t="shared" si="35"/>
        <v>3036992</v>
      </c>
      <c r="N21" s="195">
        <f t="shared" si="35"/>
        <v>965959.90700000001</v>
      </c>
      <c r="O21" s="195">
        <f>SUM(O22,O25,O28)</f>
        <v>4002951.9070000001</v>
      </c>
      <c r="P21" s="195">
        <f t="shared" si="35"/>
        <v>3036992</v>
      </c>
      <c r="Q21" s="195">
        <f t="shared" si="35"/>
        <v>965959.90700000001</v>
      </c>
      <c r="R21" s="5457">
        <f t="shared" si="19"/>
        <v>12008855.721000001</v>
      </c>
      <c r="S21" s="5457">
        <f t="shared" si="20"/>
        <v>9110976</v>
      </c>
      <c r="T21" s="5461">
        <f t="shared" si="21"/>
        <v>2897879.7209999999</v>
      </c>
      <c r="U21" s="1830">
        <f>SUM(U22,U25,U28)</f>
        <v>7295981.7070000004</v>
      </c>
      <c r="V21" s="195">
        <f t="shared" ref="V21:W21" si="36">SUM(V22,V25,V28)</f>
        <v>6330021.7999999998</v>
      </c>
      <c r="W21" s="195">
        <f t="shared" si="36"/>
        <v>965959.90700000001</v>
      </c>
      <c r="X21" s="195">
        <f>SUM(X22,X25,X28)</f>
        <v>7295981.7070000004</v>
      </c>
      <c r="Y21" s="195">
        <f t="shared" ref="Y21:Z21" si="37">SUM(Y22,Y25,Y28)</f>
        <v>6330021.7999999998</v>
      </c>
      <c r="Z21" s="195">
        <f t="shared" si="37"/>
        <v>965959.90700000001</v>
      </c>
      <c r="AA21" s="195">
        <f>SUM(AA22,AA25,AA28)</f>
        <v>7295981.7070000004</v>
      </c>
      <c r="AB21" s="195">
        <f t="shared" ref="AB21:AC21" si="38">SUM(AB22,AB25,AB28)</f>
        <v>6330021.7999999998</v>
      </c>
      <c r="AC21" s="1646">
        <f t="shared" si="38"/>
        <v>965959.90700000001</v>
      </c>
    </row>
    <row r="22" spans="1:32">
      <c r="A22" s="1926" t="s">
        <v>204</v>
      </c>
      <c r="B22" s="1927" t="s">
        <v>42</v>
      </c>
      <c r="C22" s="196">
        <f>SUM(C23:C24)</f>
        <v>1814491</v>
      </c>
      <c r="D22" s="196">
        <f t="shared" ref="D22:Q22" si="39">SUM(D23:D24)</f>
        <v>1814491</v>
      </c>
      <c r="E22" s="196">
        <f t="shared" si="39"/>
        <v>0</v>
      </c>
      <c r="F22" s="196">
        <f>SUM(F23:F24)</f>
        <v>1814491</v>
      </c>
      <c r="G22" s="196">
        <f t="shared" si="39"/>
        <v>1814491</v>
      </c>
      <c r="H22" s="196">
        <f t="shared" si="39"/>
        <v>0</v>
      </c>
      <c r="I22" s="196">
        <f>SUM(I23:I24)</f>
        <v>2530494</v>
      </c>
      <c r="J22" s="196">
        <f>SUM(J23:J24)</f>
        <v>2530494</v>
      </c>
      <c r="K22" s="196">
        <f t="shared" si="39"/>
        <v>0</v>
      </c>
      <c r="L22" s="196">
        <f>SUM(L23:L24)</f>
        <v>2530494</v>
      </c>
      <c r="M22" s="196">
        <f t="shared" si="39"/>
        <v>2530494</v>
      </c>
      <c r="N22" s="196">
        <f>SUM(N23:N24)</f>
        <v>0</v>
      </c>
      <c r="O22" s="196">
        <f>SUM(O23:O24)</f>
        <v>2530494</v>
      </c>
      <c r="P22" s="196">
        <f t="shared" si="39"/>
        <v>2530494</v>
      </c>
      <c r="Q22" s="196">
        <f t="shared" si="39"/>
        <v>0</v>
      </c>
      <c r="R22" s="5458">
        <f>SUM(S22:T22)</f>
        <v>7591482</v>
      </c>
      <c r="S22" s="5458">
        <f t="shared" ref="S22:S31" si="40">+P22+M22+J22</f>
        <v>7591482</v>
      </c>
      <c r="T22" s="5462">
        <f t="shared" si="21"/>
        <v>0</v>
      </c>
      <c r="U22" s="1831">
        <f>SUM(U23:U24)</f>
        <v>3101719</v>
      </c>
      <c r="V22" s="196">
        <f t="shared" ref="V22:W22" si="41">SUM(V23:V24)</f>
        <v>3101719</v>
      </c>
      <c r="W22" s="196">
        <f t="shared" si="41"/>
        <v>0</v>
      </c>
      <c r="X22" s="196">
        <f>SUM(X23:X24)</f>
        <v>3101719</v>
      </c>
      <c r="Y22" s="196">
        <f t="shared" ref="Y22:Z22" si="42">SUM(Y23:Y24)</f>
        <v>3101719</v>
      </c>
      <c r="Z22" s="196">
        <f t="shared" si="42"/>
        <v>0</v>
      </c>
      <c r="AA22" s="196">
        <f>SUM(AA23:AA24)</f>
        <v>3101719</v>
      </c>
      <c r="AB22" s="196">
        <f t="shared" ref="AB22:AC22" si="43">SUM(AB23:AB24)</f>
        <v>3101719</v>
      </c>
      <c r="AC22" s="1652">
        <f t="shared" si="43"/>
        <v>0</v>
      </c>
    </row>
    <row r="23" spans="1:32">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4804"/>
      <c r="L23" s="46">
        <f>SUM(M23:N23)</f>
        <v>2399255</v>
      </c>
      <c r="M23" s="46">
        <f>+'Phụ lục số 1'!AA63</f>
        <v>2399255</v>
      </c>
      <c r="N23" s="46"/>
      <c r="O23" s="46">
        <f>SUM(P23:Q23)</f>
        <v>2399255</v>
      </c>
      <c r="P23" s="46">
        <f>+'Phụ lục số 1'!AG63</f>
        <v>2399255</v>
      </c>
      <c r="Q23" s="46"/>
      <c r="R23" s="5458">
        <f t="shared" si="19"/>
        <v>7197765</v>
      </c>
      <c r="S23" s="5458">
        <f t="shared" si="40"/>
        <v>7197765</v>
      </c>
      <c r="T23" s="5462">
        <f t="shared" si="21"/>
        <v>0</v>
      </c>
      <c r="U23" s="1827">
        <f>SUM(V23:W23)</f>
        <v>2970480</v>
      </c>
      <c r="V23" s="46">
        <f>'Phụ lục số I'!AM60</f>
        <v>2970480</v>
      </c>
      <c r="W23" s="46"/>
      <c r="X23" s="46">
        <f>SUM(Y23:Z23)</f>
        <v>2970480</v>
      </c>
      <c r="Y23" s="46">
        <f>'Phụ lục số I'!AS60</f>
        <v>2970480</v>
      </c>
      <c r="Z23" s="46"/>
      <c r="AA23" s="46">
        <f>SUM(AB23:AC23)</f>
        <v>2970480</v>
      </c>
      <c r="AB23" s="46">
        <f>'Phụ lục số I'!AY60</f>
        <v>2970480</v>
      </c>
      <c r="AC23" s="1645"/>
    </row>
    <row r="24" spans="1:32">
      <c r="A24" s="1926" t="s">
        <v>101</v>
      </c>
      <c r="B24" s="1927" t="s">
        <v>102</v>
      </c>
      <c r="C24" s="196">
        <f t="shared" ref="C24" si="44">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4804"/>
      <c r="L24" s="46">
        <f>SUM(M24:N24)</f>
        <v>131239</v>
      </c>
      <c r="M24" s="46">
        <f>+'Phụ lục số 1'!AA64</f>
        <v>131239</v>
      </c>
      <c r="N24" s="46"/>
      <c r="O24" s="46">
        <f>SUM(P24:Q24)</f>
        <v>131239</v>
      </c>
      <c r="P24" s="46">
        <f>+'Phụ lục số 1'!AG64</f>
        <v>131239</v>
      </c>
      <c r="Q24" s="46"/>
      <c r="R24" s="5458">
        <f t="shared" si="19"/>
        <v>393717</v>
      </c>
      <c r="S24" s="5458">
        <f t="shared" si="40"/>
        <v>393717</v>
      </c>
      <c r="T24" s="5462">
        <f t="shared" si="21"/>
        <v>0</v>
      </c>
      <c r="U24" s="1827">
        <f>SUM(V24:W24)</f>
        <v>131239</v>
      </c>
      <c r="V24" s="46">
        <f>'Phụ lục số I'!AM61</f>
        <v>131239</v>
      </c>
      <c r="W24" s="46"/>
      <c r="X24" s="46">
        <f>SUM(Y24:Z24)</f>
        <v>131239</v>
      </c>
      <c r="Y24" s="46">
        <f>'Phụ lục số I'!AS61</f>
        <v>131239</v>
      </c>
      <c r="Z24" s="46"/>
      <c r="AA24" s="46">
        <f>SUM(AB24:AC24)</f>
        <v>131239</v>
      </c>
      <c r="AB24" s="46">
        <f>'Phụ lục số I'!AY61</f>
        <v>131239</v>
      </c>
      <c r="AC24" s="1645"/>
    </row>
    <row r="25" spans="1:32">
      <c r="A25" s="1926" t="s">
        <v>206</v>
      </c>
      <c r="B25" s="1927" t="s">
        <v>43</v>
      </c>
      <c r="C25" s="196">
        <f>SUM(C26:C27)</f>
        <v>500282.99999999994</v>
      </c>
      <c r="D25" s="196">
        <f t="shared" ref="D25:AC25" si="45">SUM(D26:D27)</f>
        <v>174485</v>
      </c>
      <c r="E25" s="196">
        <f t="shared" si="45"/>
        <v>325797.99999999994</v>
      </c>
      <c r="F25" s="196">
        <f>SUM(F26:F27)</f>
        <v>500282.99999999994</v>
      </c>
      <c r="G25" s="196">
        <f t="shared" si="45"/>
        <v>174485</v>
      </c>
      <c r="H25" s="196">
        <f t="shared" si="45"/>
        <v>325797.99999999994</v>
      </c>
      <c r="I25" s="196">
        <f>SUM(I26:I27)</f>
        <v>894399.13899999997</v>
      </c>
      <c r="J25" s="196">
        <f t="shared" si="45"/>
        <v>221912</v>
      </c>
      <c r="K25" s="196">
        <f t="shared" si="45"/>
        <v>672487.13899999997</v>
      </c>
      <c r="L25" s="196">
        <f>SUM(L26:L27)</f>
        <v>894399.13899999997</v>
      </c>
      <c r="M25" s="196">
        <f t="shared" si="45"/>
        <v>221912</v>
      </c>
      <c r="N25" s="196">
        <f t="shared" si="45"/>
        <v>672487.13899999997</v>
      </c>
      <c r="O25" s="196">
        <f>SUM(O26:O27)</f>
        <v>894399.13899999997</v>
      </c>
      <c r="P25" s="196">
        <f t="shared" si="45"/>
        <v>221912</v>
      </c>
      <c r="Q25" s="196">
        <f t="shared" si="45"/>
        <v>672487.13899999997</v>
      </c>
      <c r="R25" s="5458">
        <f t="shared" si="19"/>
        <v>2683197.4169999999</v>
      </c>
      <c r="S25" s="5458">
        <f t="shared" si="40"/>
        <v>665736</v>
      </c>
      <c r="T25" s="5462">
        <f t="shared" si="21"/>
        <v>2017461.4169999999</v>
      </c>
      <c r="U25" s="1831">
        <f>SUM(U26:U27)</f>
        <v>867550.93900000001</v>
      </c>
      <c r="V25" s="196">
        <f t="shared" si="45"/>
        <v>195063.8</v>
      </c>
      <c r="W25" s="196">
        <f t="shared" si="45"/>
        <v>672487.13899999997</v>
      </c>
      <c r="X25" s="196">
        <f>SUM(X26:X27)</f>
        <v>867550.93900000001</v>
      </c>
      <c r="Y25" s="196">
        <f t="shared" si="45"/>
        <v>195063.8</v>
      </c>
      <c r="Z25" s="196">
        <f t="shared" si="45"/>
        <v>672487.13899999997</v>
      </c>
      <c r="AA25" s="196">
        <f>SUM(AA26:AA27)</f>
        <v>867550.93900000001</v>
      </c>
      <c r="AB25" s="196">
        <f t="shared" si="45"/>
        <v>195063.8</v>
      </c>
      <c r="AC25" s="1652">
        <f t="shared" si="45"/>
        <v>672487.13899999997</v>
      </c>
    </row>
    <row r="26" spans="1:32">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4804">
        <f>+'Phụ lục số 7'!E39-K30</f>
        <v>672487.13899999997</v>
      </c>
      <c r="L26" s="46">
        <f>SUM(M26:N26)</f>
        <v>858494.13899999997</v>
      </c>
      <c r="M26" s="46">
        <f>+'Phụ lục số 1'!AA66</f>
        <v>186007</v>
      </c>
      <c r="N26" s="46">
        <f>K26</f>
        <v>672487.13899999997</v>
      </c>
      <c r="O26" s="46">
        <f>SUM(P26:Q26)</f>
        <v>858494.13899999997</v>
      </c>
      <c r="P26" s="46">
        <f>+'Phụ lục số 1'!AG66</f>
        <v>186007</v>
      </c>
      <c r="Q26" s="46">
        <f>N26</f>
        <v>672487.13899999997</v>
      </c>
      <c r="R26" s="5458">
        <f t="shared" si="19"/>
        <v>2575482.4169999999</v>
      </c>
      <c r="S26" s="5458">
        <f t="shared" si="40"/>
        <v>558021</v>
      </c>
      <c r="T26" s="5462">
        <f t="shared" si="21"/>
        <v>2017461.4169999999</v>
      </c>
      <c r="U26" s="1827">
        <f>SUM(V26:W26)</f>
        <v>759449.93900000001</v>
      </c>
      <c r="V26" s="46">
        <f>'Phụ lục số I'!AM63</f>
        <v>86962.8</v>
      </c>
      <c r="W26" s="46">
        <f>N26</f>
        <v>672487.13899999997</v>
      </c>
      <c r="X26" s="46">
        <f>SUM(Y26:Z26)</f>
        <v>759449.93900000001</v>
      </c>
      <c r="Y26" s="46">
        <f>'Phụ lục số I'!AS63</f>
        <v>86962.8</v>
      </c>
      <c r="Z26" s="46">
        <f>W26</f>
        <v>672487.13899999997</v>
      </c>
      <c r="AA26" s="46">
        <f>SUM(AB26:AC26)</f>
        <v>759449.93900000001</v>
      </c>
      <c r="AB26" s="46">
        <f>'Phụ lục số I'!AY63</f>
        <v>86962.8</v>
      </c>
      <c r="AC26" s="1645">
        <f>Z26</f>
        <v>672487.13899999997</v>
      </c>
    </row>
    <row r="27" spans="1:32">
      <c r="A27" s="1926" t="s">
        <v>101</v>
      </c>
      <c r="B27" s="1927" t="s">
        <v>102</v>
      </c>
      <c r="C27" s="196">
        <f t="shared" ref="C27" si="46">SUM(D27:E27)</f>
        <v>102016</v>
      </c>
      <c r="D27" s="196">
        <f>+'Phụ lục số 1'!H67</f>
        <v>102016</v>
      </c>
      <c r="E27" s="196"/>
      <c r="F27" s="46">
        <f>SUM(G27:H27)</f>
        <v>102016</v>
      </c>
      <c r="G27" s="46">
        <f>+'Phụ lục số 1'!O67</f>
        <v>102016</v>
      </c>
      <c r="H27" s="46"/>
      <c r="I27" s="46">
        <f>SUM(J27:K27)</f>
        <v>35905</v>
      </c>
      <c r="J27" s="4804">
        <f>+'Phụ lục số 1'!U67</f>
        <v>35905</v>
      </c>
      <c r="K27" s="4804"/>
      <c r="L27" s="46">
        <f>SUM(M27:N27)</f>
        <v>35905</v>
      </c>
      <c r="M27" s="46">
        <f>+'Phụ lục số 1'!AA67</f>
        <v>35905</v>
      </c>
      <c r="N27" s="46"/>
      <c r="O27" s="46">
        <f>SUM(P27:Q27)</f>
        <v>35905</v>
      </c>
      <c r="P27" s="46">
        <f>+'Phụ lục số 1'!AG67</f>
        <v>35905</v>
      </c>
      <c r="Q27" s="46"/>
      <c r="R27" s="5458">
        <f t="shared" si="19"/>
        <v>107715</v>
      </c>
      <c r="S27" s="5458">
        <f t="shared" si="40"/>
        <v>107715</v>
      </c>
      <c r="T27" s="5462">
        <f t="shared" si="21"/>
        <v>0</v>
      </c>
      <c r="U27" s="1827">
        <f>SUM(V27:W27)</f>
        <v>108101</v>
      </c>
      <c r="V27" s="46">
        <f>'Phụ lục số I'!AM64</f>
        <v>108101</v>
      </c>
      <c r="W27" s="46"/>
      <c r="X27" s="46">
        <f>SUM(Y27:Z27)</f>
        <v>108101</v>
      </c>
      <c r="Y27" s="46">
        <f>'Phụ lục số I'!AS64</f>
        <v>108101</v>
      </c>
      <c r="Z27" s="46"/>
      <c r="AA27" s="46">
        <f>SUM(AB27:AC27)</f>
        <v>108101</v>
      </c>
      <c r="AB27" s="46">
        <f>'Phụ lục số I'!AY64</f>
        <v>108101</v>
      </c>
      <c r="AC27" s="1645"/>
    </row>
    <row r="28" spans="1:32">
      <c r="A28" s="1926" t="s">
        <v>237</v>
      </c>
      <c r="B28" s="46" t="s">
        <v>106</v>
      </c>
      <c r="C28" s="196">
        <f>SUM(C29:C30)</f>
        <v>93668.347999999998</v>
      </c>
      <c r="D28" s="196">
        <f t="shared" ref="D28:AC28" si="47">SUM(D29:D30)</f>
        <v>0</v>
      </c>
      <c r="E28" s="196">
        <f t="shared" si="47"/>
        <v>93668.347999999998</v>
      </c>
      <c r="F28" s="196">
        <f>SUM(F29:F30)</f>
        <v>232227.348</v>
      </c>
      <c r="G28" s="196">
        <f>SUM(G29:G30)</f>
        <v>138559</v>
      </c>
      <c r="H28" s="196">
        <f>SUM(H29:H30)</f>
        <v>93668.347999999998</v>
      </c>
      <c r="I28" s="196">
        <f>SUM(I29:I30)</f>
        <v>578058.76800000004</v>
      </c>
      <c r="J28" s="196">
        <f t="shared" si="47"/>
        <v>284586</v>
      </c>
      <c r="K28" s="196">
        <f t="shared" si="47"/>
        <v>293472.76800000004</v>
      </c>
      <c r="L28" s="196">
        <f>SUM(L29:L30)</f>
        <v>578058.76800000004</v>
      </c>
      <c r="M28" s="196">
        <f t="shared" si="47"/>
        <v>284586</v>
      </c>
      <c r="N28" s="196">
        <f t="shared" si="47"/>
        <v>293472.76800000004</v>
      </c>
      <c r="O28" s="196">
        <f>SUM(O29:O30)</f>
        <v>578058.76800000004</v>
      </c>
      <c r="P28" s="196">
        <f t="shared" si="47"/>
        <v>284586</v>
      </c>
      <c r="Q28" s="196">
        <f t="shared" si="47"/>
        <v>293472.76800000004</v>
      </c>
      <c r="R28" s="5458">
        <f t="shared" si="19"/>
        <v>1734176.304</v>
      </c>
      <c r="S28" s="5458">
        <f t="shared" si="40"/>
        <v>853758</v>
      </c>
      <c r="T28" s="5462">
        <f t="shared" si="21"/>
        <v>880418.30400000012</v>
      </c>
      <c r="U28" s="1831">
        <f>SUM(U29:U30)</f>
        <v>3326711.7680000002</v>
      </c>
      <c r="V28" s="196">
        <f t="shared" si="47"/>
        <v>3033239</v>
      </c>
      <c r="W28" s="196">
        <f t="shared" si="47"/>
        <v>293472.76800000004</v>
      </c>
      <c r="X28" s="196">
        <f>SUM(X29:X30)</f>
        <v>3326711.7680000002</v>
      </c>
      <c r="Y28" s="196">
        <f t="shared" si="47"/>
        <v>3033239</v>
      </c>
      <c r="Z28" s="196">
        <f t="shared" si="47"/>
        <v>293472.76800000004</v>
      </c>
      <c r="AA28" s="196">
        <f>SUM(AA29:AA30)</f>
        <v>3326711.7680000002</v>
      </c>
      <c r="AB28" s="196">
        <f t="shared" si="47"/>
        <v>3033239</v>
      </c>
      <c r="AC28" s="1652">
        <f t="shared" si="47"/>
        <v>293472.76800000004</v>
      </c>
    </row>
    <row r="29" spans="1:32">
      <c r="A29" s="1926" t="s">
        <v>99</v>
      </c>
      <c r="B29" s="1927" t="s">
        <v>104</v>
      </c>
      <c r="C29" s="196">
        <f t="shared" ref="C29:C34" si="48">SUM(D29:E29)</f>
        <v>0</v>
      </c>
      <c r="D29" s="196">
        <f>+'Phụ lục số 1'!H69</f>
        <v>0</v>
      </c>
      <c r="E29" s="196">
        <v>0</v>
      </c>
      <c r="F29" s="46">
        <f>SUM(G29:H29)</f>
        <v>0</v>
      </c>
      <c r="G29" s="46">
        <f>+'Phụ lục số 1'!O69</f>
        <v>0</v>
      </c>
      <c r="H29" s="46">
        <f>+'Phụ lục số 1'!P69</f>
        <v>0</v>
      </c>
      <c r="I29" s="46">
        <f>SUM(J29:K29)</f>
        <v>0</v>
      </c>
      <c r="J29" s="46">
        <f>+'Phụ lục số 1'!U69</f>
        <v>0</v>
      </c>
      <c r="K29" s="4804"/>
      <c r="L29" s="46">
        <f>SUM(M29:N29)</f>
        <v>0</v>
      </c>
      <c r="M29" s="46">
        <f>+'Phụ lục số 1'!AA69</f>
        <v>0</v>
      </c>
      <c r="N29" s="46">
        <f>K29</f>
        <v>0</v>
      </c>
      <c r="O29" s="46">
        <f>SUM(P29:Q29)</f>
        <v>0</v>
      </c>
      <c r="P29" s="46">
        <f>+'Phụ lục số 1'!AG69</f>
        <v>0</v>
      </c>
      <c r="Q29" s="46">
        <f>N29</f>
        <v>0</v>
      </c>
      <c r="R29" s="5458">
        <f t="shared" si="19"/>
        <v>0</v>
      </c>
      <c r="S29" s="5458">
        <f t="shared" si="40"/>
        <v>0</v>
      </c>
      <c r="T29" s="5462">
        <f t="shared" si="21"/>
        <v>0</v>
      </c>
      <c r="U29" s="1827">
        <f>SUM(V29:W29)</f>
        <v>3033239</v>
      </c>
      <c r="V29" s="46">
        <f>'Phụ lục số I'!AM66</f>
        <v>3033239</v>
      </c>
      <c r="W29" s="46">
        <f>N29</f>
        <v>0</v>
      </c>
      <c r="X29" s="46">
        <f>SUM(Y29:Z29)</f>
        <v>3033239</v>
      </c>
      <c r="Y29" s="46">
        <f>'Phụ lục số I'!AS66</f>
        <v>3033239</v>
      </c>
      <c r="Z29" s="46">
        <f>W29</f>
        <v>0</v>
      </c>
      <c r="AA29" s="46">
        <f>SUM(AB29:AC29)</f>
        <v>3033239</v>
      </c>
      <c r="AB29" s="46">
        <f>'Phụ lục số I'!AY66</f>
        <v>3033239</v>
      </c>
      <c r="AC29" s="1645">
        <f>Z29</f>
        <v>0</v>
      </c>
    </row>
    <row r="30" spans="1:32">
      <c r="A30" s="1926" t="s">
        <v>101</v>
      </c>
      <c r="B30" s="1927" t="s">
        <v>105</v>
      </c>
      <c r="C30" s="196">
        <f t="shared" si="48"/>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4804">
        <f>+'Phụ lục số 10'!F20</f>
        <v>293472.76800000004</v>
      </c>
      <c r="L30" s="46">
        <f>SUM(M30:N30)</f>
        <v>578058.76800000004</v>
      </c>
      <c r="M30" s="46">
        <f>+'Phụ lục số 1'!AA70</f>
        <v>284586</v>
      </c>
      <c r="N30" s="46">
        <f>K30</f>
        <v>293472.76800000004</v>
      </c>
      <c r="O30" s="46">
        <f>SUM(P30:Q30)</f>
        <v>578058.76800000004</v>
      </c>
      <c r="P30" s="46">
        <f>+'Phụ lục số 1'!AG70</f>
        <v>284586</v>
      </c>
      <c r="Q30" s="46">
        <f>N30</f>
        <v>293472.76800000004</v>
      </c>
      <c r="R30" s="5458">
        <f t="shared" si="19"/>
        <v>1734176.304</v>
      </c>
      <c r="S30" s="5458">
        <f t="shared" si="40"/>
        <v>853758</v>
      </c>
      <c r="T30" s="5462">
        <f t="shared" si="21"/>
        <v>880418.30400000012</v>
      </c>
      <c r="U30" s="1827">
        <f>SUM(V30:W30)</f>
        <v>293472.76800000004</v>
      </c>
      <c r="V30" s="46">
        <f>'Phụ lục số I'!AM67</f>
        <v>0</v>
      </c>
      <c r="W30" s="46">
        <f>N30</f>
        <v>293472.76800000004</v>
      </c>
      <c r="X30" s="46">
        <f>SUM(Y30:Z30)</f>
        <v>293472.76800000004</v>
      </c>
      <c r="Y30" s="46">
        <f>'Phụ lục số I'!AS67</f>
        <v>0</v>
      </c>
      <c r="Z30" s="46">
        <f>W30</f>
        <v>293472.76800000004</v>
      </c>
      <c r="AA30" s="46">
        <f>SUM(AB30:AC30)</f>
        <v>293472.76800000004</v>
      </c>
      <c r="AB30" s="46">
        <f>'Phụ lục số I'!AY67</f>
        <v>0</v>
      </c>
      <c r="AC30" s="1645">
        <f>Z30</f>
        <v>293472.76800000004</v>
      </c>
      <c r="AF30" s="679"/>
    </row>
    <row r="31" spans="1:32" s="49" customFormat="1" ht="17.399999999999999">
      <c r="A31" s="611" t="s">
        <v>182</v>
      </c>
      <c r="B31" s="45" t="s">
        <v>45</v>
      </c>
      <c r="C31" s="195">
        <f t="shared" si="48"/>
        <v>886000</v>
      </c>
      <c r="D31" s="195">
        <f>+'Phụ lục số 1'!H71</f>
        <v>0</v>
      </c>
      <c r="E31" s="195">
        <f>+'Phụ lục số 8.1'!C23</f>
        <v>886000</v>
      </c>
      <c r="F31" s="45">
        <f>SUM(G31:H31)</f>
        <v>1072301</v>
      </c>
      <c r="G31" s="45">
        <f>'Phụ lục số I'!O68</f>
        <v>0</v>
      </c>
      <c r="H31" s="45">
        <f>+'Phụ lục số 1'!P71</f>
        <v>1072301</v>
      </c>
      <c r="I31" s="45">
        <f t="shared" ref="I31:I32" si="49">SUM(J31:K31)</f>
        <v>941000.4</v>
      </c>
      <c r="J31" s="45">
        <f>+'Phụ lục số 1'!U71</f>
        <v>0.40000000001455194</v>
      </c>
      <c r="K31" s="45">
        <f>+'Phụ lục số 7'!E40</f>
        <v>941000</v>
      </c>
      <c r="L31" s="45">
        <f>SUM(M31:N31)</f>
        <v>519900</v>
      </c>
      <c r="M31" s="45">
        <f>+'Phụ lục số 1'!AA71</f>
        <v>0</v>
      </c>
      <c r="N31" s="45">
        <f>+'Phụ lục số 1'!AB71</f>
        <v>519900</v>
      </c>
      <c r="O31" s="45">
        <f t="shared" ref="O31:O32" si="50">SUM(P31:Q31)</f>
        <v>626117.15251171635</v>
      </c>
      <c r="P31" s="45">
        <f>+'Phụ lục số 1'!AG71</f>
        <v>202308.50969414107</v>
      </c>
      <c r="Q31" s="45">
        <f>+'Phụ lục số 1'!AH71</f>
        <v>423808.64281757525</v>
      </c>
      <c r="R31" s="5457">
        <f t="shared" si="19"/>
        <v>2087017.5525117163</v>
      </c>
      <c r="S31" s="5457">
        <f t="shared" si="40"/>
        <v>202308.9096941411</v>
      </c>
      <c r="T31" s="5461">
        <f t="shared" si="21"/>
        <v>1884708.6428175753</v>
      </c>
      <c r="U31" s="1828">
        <f t="shared" ref="U31:U34" si="51">SUM(V31:W31)</f>
        <v>0</v>
      </c>
      <c r="V31" s="45">
        <f>'Phụ lục số I'!AM68</f>
        <v>0</v>
      </c>
      <c r="W31" s="45">
        <f>'Phụ lục số I'!AN68</f>
        <v>0</v>
      </c>
      <c r="X31" s="45">
        <f t="shared" ref="X31:X34" si="52">SUM(Y31:Z31)</f>
        <v>1088757.7498882432</v>
      </c>
      <c r="Y31" s="45">
        <f>'Phụ lục số I'!AS68</f>
        <v>508427.53552337422</v>
      </c>
      <c r="Z31" s="45">
        <f>'Phụ lục số I'!AT68</f>
        <v>580330.21436486894</v>
      </c>
      <c r="AA31" s="45">
        <f t="shared" ref="AA31:AA34" si="53">SUM(AB31:AC31)</f>
        <v>1572055.4252528162</v>
      </c>
      <c r="AB31" s="45">
        <f>'Phụ lục số I'!AY68</f>
        <v>815349.89660284261</v>
      </c>
      <c r="AC31" s="1647">
        <f>'Phụ lục số I'!AZ68</f>
        <v>756705.52864997357</v>
      </c>
    </row>
    <row r="32" spans="1:32" s="49" customFormat="1" ht="17.399999999999999">
      <c r="A32" s="611" t="s">
        <v>215</v>
      </c>
      <c r="B32" s="45" t="s">
        <v>47</v>
      </c>
      <c r="C32" s="195">
        <f t="shared" si="48"/>
        <v>0</v>
      </c>
      <c r="D32" s="195">
        <f>+'Phụ lục số 1'!H72</f>
        <v>0</v>
      </c>
      <c r="E32" s="195">
        <f>+'Phụ lục số 1'!I72</f>
        <v>0</v>
      </c>
      <c r="F32" s="45">
        <f t="shared" ref="F32:F34" si="54">SUM(G32:H32)</f>
        <v>0</v>
      </c>
      <c r="G32" s="45">
        <f>'Phụ lục số I'!O69</f>
        <v>0</v>
      </c>
      <c r="H32" s="45">
        <f>'Phụ lục số I'!P69</f>
        <v>0</v>
      </c>
      <c r="I32" s="45">
        <f t="shared" si="49"/>
        <v>0</v>
      </c>
      <c r="J32" s="45">
        <f>+'Phụ lục số 1'!U72</f>
        <v>0</v>
      </c>
      <c r="K32" s="45">
        <f>+'Phụ lục số 1'!V72</f>
        <v>0</v>
      </c>
      <c r="L32" s="45">
        <f t="shared" ref="L32" si="55">SUM(M32:N32)</f>
        <v>0</v>
      </c>
      <c r="M32" s="45">
        <f>+'Phụ lục số 1'!AA72</f>
        <v>0</v>
      </c>
      <c r="N32" s="45">
        <f>+'Phụ lục số 1'!AB72</f>
        <v>0</v>
      </c>
      <c r="O32" s="45">
        <f t="shared" si="50"/>
        <v>0</v>
      </c>
      <c r="P32" s="45">
        <f>+'Phụ lục số 1'!AG72</f>
        <v>0</v>
      </c>
      <c r="Q32" s="45">
        <f>+'Phụ lục số 1'!AH72</f>
        <v>0</v>
      </c>
      <c r="R32" s="5457">
        <f t="shared" si="19"/>
        <v>0</v>
      </c>
      <c r="S32" s="5457">
        <f t="shared" si="20"/>
        <v>0</v>
      </c>
      <c r="T32" s="5461">
        <f t="shared" si="21"/>
        <v>0</v>
      </c>
      <c r="U32" s="1828">
        <f t="shared" si="51"/>
        <v>0</v>
      </c>
      <c r="V32" s="45">
        <f>'Phụ lục số I'!AM69</f>
        <v>0</v>
      </c>
      <c r="W32" s="45"/>
      <c r="X32" s="45">
        <f t="shared" si="52"/>
        <v>0</v>
      </c>
      <c r="Y32" s="45">
        <f>'Phụ lục số I'!AS69</f>
        <v>0</v>
      </c>
      <c r="Z32" s="45"/>
      <c r="AA32" s="45">
        <f t="shared" si="53"/>
        <v>0</v>
      </c>
      <c r="AB32" s="45">
        <f>'Phụ lục số I'!AY69</f>
        <v>0</v>
      </c>
      <c r="AC32" s="1647"/>
    </row>
    <row r="33" spans="1:33" s="1644" customFormat="1">
      <c r="A33" s="606" t="s">
        <v>37</v>
      </c>
      <c r="B33" s="1928" t="s">
        <v>238</v>
      </c>
      <c r="C33" s="1654">
        <f t="shared" si="48"/>
        <v>24118786.304711081</v>
      </c>
      <c r="D33" s="1654">
        <f>D34+D58+D68+D69</f>
        <v>14210383.41</v>
      </c>
      <c r="E33" s="1654">
        <f>E34+E58+E68+E69</f>
        <v>9908402.8947110809</v>
      </c>
      <c r="F33" s="1654">
        <f t="shared" si="54"/>
        <v>24796182.00471108</v>
      </c>
      <c r="G33" s="1654">
        <f>G34+G58+G68+G69</f>
        <v>14701478.109999999</v>
      </c>
      <c r="H33" s="1654">
        <f>H34+H58+H68+H69</f>
        <v>10094703.894711081</v>
      </c>
      <c r="I33" s="1654">
        <f>SUM(J33:K33)</f>
        <v>28451246.103000004</v>
      </c>
      <c r="J33" s="1654">
        <f>J34+J58+J68+J69+J70</f>
        <v>16699594.196</v>
      </c>
      <c r="K33" s="1654">
        <f>K34+K58+K68+K69+K70</f>
        <v>11751651.907000003</v>
      </c>
      <c r="L33" s="1654">
        <f>SUM(M33:N33)</f>
        <v>29386371.88234026</v>
      </c>
      <c r="M33" s="1654">
        <f>M34+M58+M68+M69+M70</f>
        <v>17414770.465390719</v>
      </c>
      <c r="N33" s="1654">
        <f>N34+N58+N68+N69+N70</f>
        <v>11971601.41694954</v>
      </c>
      <c r="O33" s="1654">
        <f>SUM(P33:Q33)</f>
        <v>30136566.404882975</v>
      </c>
      <c r="P33" s="1654">
        <f>P34+P58+P68+P69+P70</f>
        <v>17871125.953539401</v>
      </c>
      <c r="Q33" s="1654">
        <f>Q34+Q58+Q68+Q69+Q70</f>
        <v>12265440.451343574</v>
      </c>
      <c r="R33" s="5457">
        <f t="shared" si="19"/>
        <v>87974184.390223235</v>
      </c>
      <c r="S33" s="5459">
        <f>+P33+M33+J33</f>
        <v>51985490.614930123</v>
      </c>
      <c r="T33" s="5463">
        <f>+Q33+N33+K33</f>
        <v>35988693.775293119</v>
      </c>
      <c r="U33" s="1832">
        <f t="shared" si="51"/>
        <v>30667974.841713145</v>
      </c>
      <c r="V33" s="1654">
        <f>V34+V58+V68+V69</f>
        <v>18169900.357574761</v>
      </c>
      <c r="W33" s="1654">
        <f>W34+W58+W68+W69</f>
        <v>12498074.484138383</v>
      </c>
      <c r="X33" s="1654">
        <f t="shared" si="52"/>
        <v>32420014.151954882</v>
      </c>
      <c r="Y33" s="1654">
        <f>Y34+Y58+Y68+Y69</f>
        <v>19060325.954845123</v>
      </c>
      <c r="Z33" s="1654">
        <f>Z34+Z58+Z68+Z69</f>
        <v>13359688.197109757</v>
      </c>
      <c r="AA33" s="1654">
        <f t="shared" si="53"/>
        <v>34063115.164332323</v>
      </c>
      <c r="AB33" s="1654">
        <f>AB34+AB58+AB68+AB69</f>
        <v>19806699.359453246</v>
      </c>
      <c r="AC33" s="1655">
        <f>AC34+AC58+AC68+AC69</f>
        <v>14256415.804879077</v>
      </c>
      <c r="AF33" s="5102">
        <f>+J8-J33</f>
        <v>186699.99999999814</v>
      </c>
    </row>
    <row r="34" spans="1:33">
      <c r="A34" s="611" t="s">
        <v>3</v>
      </c>
      <c r="B34" s="1923" t="s">
        <v>142</v>
      </c>
      <c r="C34" s="195">
        <f t="shared" si="48"/>
        <v>17046486.95671108</v>
      </c>
      <c r="D34" s="195">
        <f>SUM(D35,D47,D52,D53,D54,D55,D56,D57)</f>
        <v>7138084.0619999999</v>
      </c>
      <c r="E34" s="195">
        <f>SUM(E35,E47,E52,E53,E54,E55,E56,E57)</f>
        <v>9908402.8947110809</v>
      </c>
      <c r="F34" s="195">
        <f t="shared" si="54"/>
        <v>17585323.656711079</v>
      </c>
      <c r="G34" s="195">
        <f>SUM(G35,G47,G52,G53,G54,G55,G56,G57)</f>
        <v>7490619.7620000001</v>
      </c>
      <c r="H34" s="195">
        <f>SUM(H35,H47,H52,H53,H54,H55,H56,H57)</f>
        <v>10094703.894711081</v>
      </c>
      <c r="I34" s="195">
        <f>SUM(J34:K34)</f>
        <v>18330348.400000006</v>
      </c>
      <c r="J34" s="195">
        <f>SUM(J35,J47,J52,J53,J54,J55,J56,J57)</f>
        <v>6833081.4930000007</v>
      </c>
      <c r="K34" s="195">
        <f>SUM(K35,K47,K52,K53,K54,K55,K56,K57)</f>
        <v>11497266.907000003</v>
      </c>
      <c r="L34" s="195">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95">
        <f>SUM(Q35,Q47,Q52,Q53,Q54,Q55,Q56,Q57)</f>
        <v>12011055.451343574</v>
      </c>
      <c r="R34" s="5457">
        <f t="shared" ref="R34:R72" si="56">SUM(S34:T34)</f>
        <v>57622598.873223238</v>
      </c>
      <c r="S34" s="5456">
        <f t="shared" ref="S34:S72" si="57">+P34+M34+J34</f>
        <v>22397060.097930118</v>
      </c>
      <c r="T34" s="5460">
        <f t="shared" ref="T34:T72" si="58">+Q34+N34+K34</f>
        <v>35225538.775293119</v>
      </c>
      <c r="U34" s="1830">
        <f t="shared" si="51"/>
        <v>21595043.134713143</v>
      </c>
      <c r="V34" s="195">
        <f>SUM(V35,V47,V52,V53,V54,V55,V56,V57)</f>
        <v>9096968.6505747605</v>
      </c>
      <c r="W34" s="195">
        <f>SUM(W35,W47,W52,W53,W54,W55,W56,W57)</f>
        <v>12498074.484138383</v>
      </c>
      <c r="X34" s="195">
        <f t="shared" si="52"/>
        <v>23347082.444954883</v>
      </c>
      <c r="Y34" s="195">
        <f>SUM(Y35,Y47,Y52,Y53,Y54,Y55,Y56,Y57)</f>
        <v>9987394.2478451263</v>
      </c>
      <c r="Z34" s="195">
        <f>SUM(Z35,Z47,Z52,Z53,Z54,Z55,Z56,Z57)</f>
        <v>13359688.197109757</v>
      </c>
      <c r="AA34" s="195">
        <f t="shared" si="53"/>
        <v>24990183.457332324</v>
      </c>
      <c r="AB34" s="195">
        <f>SUM(AB35,AB47,AB52,AB53,AB54,AB55,AB56,AB57)</f>
        <v>10733767.652453247</v>
      </c>
      <c r="AC34" s="1646">
        <f>SUM(AC35,AC47,AC52,AC53,AC54,AC55,AC56,AC57)</f>
        <v>14256415.804879077</v>
      </c>
      <c r="AF34" s="679">
        <f>+AF33-J72</f>
        <v>-1.862645149230957E-9</v>
      </c>
    </row>
    <row r="35" spans="1:33">
      <c r="A35" s="611">
        <v>1</v>
      </c>
      <c r="B35" s="1923" t="s">
        <v>208</v>
      </c>
      <c r="C35" s="195">
        <f>SUM(C36:C42)</f>
        <v>5331240.1620000005</v>
      </c>
      <c r="D35" s="195">
        <f>SUM(D36:D42)</f>
        <v>3607240.162</v>
      </c>
      <c r="E35" s="195">
        <f>SUM(E36:E42)</f>
        <v>1724000</v>
      </c>
      <c r="F35" s="195">
        <f>SUM(F36:F42)</f>
        <v>5531240.1620000005</v>
      </c>
      <c r="G35" s="195">
        <f t="shared" ref="G35:H35" si="59">SUM(G36:G42)</f>
        <v>3807240.162</v>
      </c>
      <c r="H35" s="195">
        <f t="shared" si="59"/>
        <v>1724000</v>
      </c>
      <c r="I35" s="4809">
        <f>+I36+I37+I39+I41+I42</f>
        <v>4666890</v>
      </c>
      <c r="J35" s="4809">
        <f t="shared" ref="J35:K35" si="60">+J36+J37+J39+J41+J42</f>
        <v>2983390</v>
      </c>
      <c r="K35" s="4809">
        <f t="shared" si="60"/>
        <v>1683500</v>
      </c>
      <c r="L35" s="4809">
        <f>+L36+L37+L39+L41+L42</f>
        <v>5207212.043456913</v>
      </c>
      <c r="M35" s="4809">
        <f t="shared" ref="M35:N35" si="61">+M36+M37+M39+M41+M42</f>
        <v>3357212.043456913</v>
      </c>
      <c r="N35" s="4809">
        <f t="shared" si="61"/>
        <v>1850000</v>
      </c>
      <c r="O35" s="4809">
        <f>+O36+O37+O39+O41+O42</f>
        <v>5338707.7565428363</v>
      </c>
      <c r="P35" s="4809">
        <f>+P36+P37+P39+P41+P42</f>
        <v>3460943.7757059</v>
      </c>
      <c r="Q35" s="4809">
        <f>+Q36+Q37+Q39+Q41+Q42</f>
        <v>1877763.9808369365</v>
      </c>
      <c r="R35" s="5457">
        <f t="shared" si="56"/>
        <v>15212809.799999747</v>
      </c>
      <c r="S35" s="5456">
        <f t="shared" si="57"/>
        <v>9801545.8191628121</v>
      </c>
      <c r="T35" s="5460">
        <f t="shared" si="58"/>
        <v>5411263.9808369363</v>
      </c>
      <c r="U35" s="1830">
        <f>SUM(U36:U42)</f>
        <v>6043442.1840729155</v>
      </c>
      <c r="V35" s="195">
        <f t="shared" ref="V35:W35" si="62">SUM(V36:V42)</f>
        <v>4112611.9808295001</v>
      </c>
      <c r="W35" s="195">
        <f t="shared" si="62"/>
        <v>1930830.2032434158</v>
      </c>
      <c r="X35" s="195">
        <f>SUM(X36:X42)</f>
        <v>6475781.9322816804</v>
      </c>
      <c r="Y35" s="195">
        <f t="shared" ref="Y35:Z35" si="63">SUM(Y36:Y42)</f>
        <v>4406297.6668103859</v>
      </c>
      <c r="Z35" s="195">
        <f t="shared" si="63"/>
        <v>2069484.2654712955</v>
      </c>
      <c r="AA35" s="195">
        <f>SUM(AA36:AA42)</f>
        <v>6943653.6306009274</v>
      </c>
      <c r="AB35" s="195">
        <f t="shared" ref="AB35:AC35" si="64">SUM(AB36:AB42)</f>
        <v>4655289.839687855</v>
      </c>
      <c r="AC35" s="1646">
        <f t="shared" si="64"/>
        <v>2288363.7909130724</v>
      </c>
    </row>
    <row r="36" spans="1:33">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2917">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328">
        <f>+'Phụ lục số 2'!AA11</f>
        <v>617763.98083693651</v>
      </c>
      <c r="R36" s="5457">
        <f t="shared" si="56"/>
        <v>3512809.7999997493</v>
      </c>
      <c r="S36" s="5456">
        <f t="shared" si="57"/>
        <v>1715045.819162813</v>
      </c>
      <c r="T36" s="5460">
        <f t="shared" si="5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1656">
        <f>'Phụ lục số II'!AP12</f>
        <v>803363.79091307241</v>
      </c>
    </row>
    <row r="37" spans="1:33">
      <c r="A37" s="603" t="s">
        <v>29</v>
      </c>
      <c r="B37" s="1929" t="s">
        <v>144</v>
      </c>
      <c r="C37" s="196">
        <f t="shared" ref="C37:C41" si="65">SUM(D37:E37)</f>
        <v>1770000</v>
      </c>
      <c r="D37" s="196">
        <f>+'Phụ lục số 2'!F12</f>
        <v>627000</v>
      </c>
      <c r="E37" s="196">
        <f>+'Phụ lục số 2'!G12</f>
        <v>1143000</v>
      </c>
      <c r="F37" s="46">
        <f t="shared" ref="F37:F42" si="66">SUM(G37:H37)</f>
        <v>1770000</v>
      </c>
      <c r="G37" s="46">
        <f>+'Phụ lục số 2'!K12</f>
        <v>627000</v>
      </c>
      <c r="H37" s="46">
        <f>+'Phụ lục số 2'!L12</f>
        <v>1143000</v>
      </c>
      <c r="I37" s="4810">
        <f t="shared" ref="I37:I42" si="67">SUM(J37:K37)</f>
        <v>1600000</v>
      </c>
      <c r="J37" s="2917">
        <f>+'Phụ lục số 2'!P12</f>
        <v>506500</v>
      </c>
      <c r="K37" s="2917">
        <f>+'Phụ lục số 2'!Q12</f>
        <v>1093500</v>
      </c>
      <c r="L37" s="46">
        <f>SUM(M37:N37)</f>
        <v>1800000</v>
      </c>
      <c r="M37" s="328">
        <f>+'Phụ lục số 2'!U12</f>
        <v>540000</v>
      </c>
      <c r="N37" s="328">
        <f>+'Phụ lục số 2'!V12</f>
        <v>1260000</v>
      </c>
      <c r="O37" s="46">
        <f t="shared" ref="O37" si="68">SUM(P37:Q37)</f>
        <v>1800000</v>
      </c>
      <c r="P37" s="328">
        <f>+'Phụ lục số 2'!Z12</f>
        <v>540000</v>
      </c>
      <c r="Q37" s="328">
        <f>+'Phụ lục số 2'!AA12</f>
        <v>1260000</v>
      </c>
      <c r="R37" s="5457">
        <f t="shared" si="56"/>
        <v>5200000</v>
      </c>
      <c r="S37" s="5456">
        <f t="shared" si="57"/>
        <v>1586500</v>
      </c>
      <c r="T37" s="5460">
        <f t="shared" si="58"/>
        <v>3613500</v>
      </c>
      <c r="U37" s="1827">
        <f t="shared" ref="U37:U42" si="69">SUM(V37:W37)</f>
        <v>1660000</v>
      </c>
      <c r="V37" s="46">
        <f>'Phụ lục số II'!AE13</f>
        <v>400000</v>
      </c>
      <c r="W37" s="46">
        <f>'Phụ lục số II'!AF13</f>
        <v>1260000</v>
      </c>
      <c r="X37" s="46">
        <f t="shared" ref="X37:X42" si="70">SUM(Y37:Z37)</f>
        <v>1800000</v>
      </c>
      <c r="Y37" s="328">
        <f>'Phụ lục số II'!AJ13</f>
        <v>450000</v>
      </c>
      <c r="Z37" s="328">
        <f>'Phụ lục số II'!AK13</f>
        <v>1350000</v>
      </c>
      <c r="AA37" s="46">
        <f t="shared" ref="AA37:AA42" si="71">SUM(AB37:AC37)</f>
        <v>1935000</v>
      </c>
      <c r="AB37" s="328">
        <f>'Phụ lục số II'!AO13</f>
        <v>450000</v>
      </c>
      <c r="AC37" s="1656">
        <f>'Phụ lục số II'!AP13</f>
        <v>1485000</v>
      </c>
    </row>
    <row r="38" spans="1:33" s="1649" customFormat="1" ht="55.2">
      <c r="A38" s="614"/>
      <c r="B38" s="4935" t="s">
        <v>3189</v>
      </c>
      <c r="C38" s="1620"/>
      <c r="D38" s="1620"/>
      <c r="E38" s="1620"/>
      <c r="F38" s="193"/>
      <c r="G38" s="193"/>
      <c r="H38" s="193"/>
      <c r="I38" s="4975">
        <f t="shared" si="67"/>
        <v>160000</v>
      </c>
      <c r="J38" s="5166">
        <f>+'Phụ lục số 2'!P13</f>
        <v>160000</v>
      </c>
      <c r="K38" s="5166">
        <f>+'Phụ lục số 2'!Q13</f>
        <v>0</v>
      </c>
      <c r="L38" s="193">
        <f>+M38+N38</f>
        <v>180000</v>
      </c>
      <c r="M38" s="5122">
        <f>+'Phụ lục số 2'!U13</f>
        <v>180000</v>
      </c>
      <c r="N38" s="5122">
        <f>+'Phụ lục số 2'!V13</f>
        <v>0</v>
      </c>
      <c r="O38" s="193">
        <f>+P38+Q38</f>
        <v>180000</v>
      </c>
      <c r="P38" s="5122">
        <f>+'Phụ lục số 2'!Z13</f>
        <v>180000</v>
      </c>
      <c r="Q38" s="5122">
        <f>+'Phụ lục số 2'!AA13</f>
        <v>0</v>
      </c>
      <c r="R38" s="5457">
        <f t="shared" si="56"/>
        <v>520000</v>
      </c>
      <c r="S38" s="5456">
        <f t="shared" si="57"/>
        <v>520000</v>
      </c>
      <c r="T38" s="5460">
        <f t="shared" si="58"/>
        <v>0</v>
      </c>
      <c r="U38" s="1829"/>
      <c r="V38" s="193"/>
      <c r="W38" s="193"/>
      <c r="X38" s="193"/>
      <c r="Y38" s="5122"/>
      <c r="Z38" s="5122"/>
      <c r="AA38" s="193"/>
      <c r="AB38" s="5122"/>
      <c r="AC38" s="2626"/>
    </row>
    <row r="39" spans="1:33">
      <c r="A39" s="603" t="s">
        <v>29</v>
      </c>
      <c r="B39" s="46" t="s">
        <v>145</v>
      </c>
      <c r="C39" s="196">
        <f t="shared" si="65"/>
        <v>1950000</v>
      </c>
      <c r="D39" s="196">
        <f>+'Phụ lục số 2'!F14</f>
        <v>1950000</v>
      </c>
      <c r="E39" s="196">
        <f>+'Phụ lục số 2'!G14</f>
        <v>0</v>
      </c>
      <c r="F39" s="46">
        <f t="shared" si="66"/>
        <v>2150000</v>
      </c>
      <c r="G39" s="46">
        <f>+'Phụ lục số 2'!K14</f>
        <v>2150000</v>
      </c>
      <c r="H39" s="46">
        <f>+'Phụ lục số 2'!L14</f>
        <v>0</v>
      </c>
      <c r="I39" s="4810">
        <f t="shared" si="67"/>
        <v>2100000</v>
      </c>
      <c r="J39" s="2917">
        <f>+'Phụ lục số 2'!P14</f>
        <v>2100000</v>
      </c>
      <c r="K39" s="2917">
        <f>+'Phụ lục số 2'!Q14</f>
        <v>0</v>
      </c>
      <c r="L39" s="46">
        <f t="shared" ref="L39:L41" si="72">SUM(M39:N39)</f>
        <v>2200000</v>
      </c>
      <c r="M39" s="328">
        <f>+'Phụ lục số 2'!U14</f>
        <v>2200000</v>
      </c>
      <c r="N39" s="328">
        <f>+'Phụ lục số 2'!V14</f>
        <v>0</v>
      </c>
      <c r="O39" s="46">
        <f>SUM(P39:Q39)</f>
        <v>2200000</v>
      </c>
      <c r="P39" s="328">
        <f>+'Phụ lục số 2'!Z14</f>
        <v>2200000</v>
      </c>
      <c r="Q39" s="328">
        <f>+'Phụ lục số 2'!AA14</f>
        <v>0</v>
      </c>
      <c r="R39" s="5457">
        <f t="shared" si="56"/>
        <v>6500000</v>
      </c>
      <c r="S39" s="5456">
        <f t="shared" si="57"/>
        <v>6500000</v>
      </c>
      <c r="T39" s="5460">
        <f t="shared" si="58"/>
        <v>0</v>
      </c>
      <c r="U39" s="1827">
        <f t="shared" si="69"/>
        <v>2000000</v>
      </c>
      <c r="V39" s="46">
        <f>'Phụ lục số II'!AE14</f>
        <v>2000000</v>
      </c>
      <c r="W39" s="46">
        <f>'Phụ lục số II'!AF14</f>
        <v>0</v>
      </c>
      <c r="X39" s="46">
        <f t="shared" si="70"/>
        <v>2100000</v>
      </c>
      <c r="Y39" s="328">
        <f>'Phụ lục số II'!AJ14</f>
        <v>2100000</v>
      </c>
      <c r="Z39" s="328">
        <f>'Phụ lục số II'!AK14</f>
        <v>0</v>
      </c>
      <c r="AA39" s="46">
        <f t="shared" si="71"/>
        <v>2200000</v>
      </c>
      <c r="AB39" s="328">
        <f>'Phụ lục số II'!AO14</f>
        <v>2200000</v>
      </c>
      <c r="AC39" s="1656">
        <f>'Phụ lục số II'!AP14</f>
        <v>0</v>
      </c>
    </row>
    <row r="40" spans="1:33" s="1649" customFormat="1" ht="27.6">
      <c r="A40" s="614"/>
      <c r="B40" s="4956" t="s">
        <v>3188</v>
      </c>
      <c r="C40" s="1620"/>
      <c r="D40" s="1620"/>
      <c r="E40" s="1620"/>
      <c r="F40" s="193"/>
      <c r="G40" s="193"/>
      <c r="H40" s="193"/>
      <c r="I40" s="4975">
        <f t="shared" si="67"/>
        <v>100000</v>
      </c>
      <c r="J40" s="5166">
        <f>+'Phụ lục số 2'!P15</f>
        <v>100000</v>
      </c>
      <c r="K40" s="5166">
        <f>+'Phụ lục số 2'!Q15</f>
        <v>0</v>
      </c>
      <c r="L40" s="193">
        <f>+M40+N40</f>
        <v>120000</v>
      </c>
      <c r="M40" s="5122">
        <f>+'Phụ lục số 2'!U15</f>
        <v>120000</v>
      </c>
      <c r="N40" s="5122">
        <f>+'Phụ lục số 2'!V15</f>
        <v>0</v>
      </c>
      <c r="O40" s="46">
        <f>SUM(P40:Q40)</f>
        <v>135000</v>
      </c>
      <c r="P40" s="5122">
        <f>+'Phụ lục số 2'!Z15</f>
        <v>135000</v>
      </c>
      <c r="Q40" s="5122">
        <f>+'Phụ lục số 2'!AA15</f>
        <v>0</v>
      </c>
      <c r="R40" s="5457">
        <f t="shared" si="56"/>
        <v>355000</v>
      </c>
      <c r="S40" s="5456">
        <f t="shared" si="57"/>
        <v>355000</v>
      </c>
      <c r="T40" s="5460">
        <f t="shared" si="58"/>
        <v>0</v>
      </c>
      <c r="U40" s="1829"/>
      <c r="V40" s="193"/>
      <c r="W40" s="193"/>
      <c r="X40" s="193"/>
      <c r="Y40" s="5122"/>
      <c r="Z40" s="5122"/>
      <c r="AA40" s="193"/>
      <c r="AB40" s="5122"/>
      <c r="AC40" s="2626"/>
    </row>
    <row r="41" spans="1:33">
      <c r="A41" s="603" t="s">
        <v>29</v>
      </c>
      <c r="B41" s="46" t="s">
        <v>146</v>
      </c>
      <c r="C41" s="196">
        <f t="shared" si="65"/>
        <v>408054.16200000001</v>
      </c>
      <c r="D41" s="196">
        <f>+'Phụ lục số 2'!F16</f>
        <v>408054.16200000001</v>
      </c>
      <c r="E41" s="196">
        <f>+'Phụ lục số 2'!G16</f>
        <v>0</v>
      </c>
      <c r="F41" s="46">
        <f t="shared" si="66"/>
        <v>408054.16200000001</v>
      </c>
      <c r="G41" s="46">
        <f>+'Phụ lục số 2'!K16</f>
        <v>408054.16200000001</v>
      </c>
      <c r="H41" s="46">
        <f>+'Phụ lục số 2'!L16</f>
        <v>0</v>
      </c>
      <c r="I41" s="4810">
        <f t="shared" si="67"/>
        <v>0</v>
      </c>
      <c r="J41" s="2917">
        <f>+'Phụ lục số 2'!P16</f>
        <v>0</v>
      </c>
      <c r="K41" s="2917">
        <f>+'Phụ lục số 2'!Q16</f>
        <v>0</v>
      </c>
      <c r="L41" s="46">
        <f t="shared" si="72"/>
        <v>0</v>
      </c>
      <c r="M41" s="328">
        <f>+'Phụ lục số 2'!U16</f>
        <v>0</v>
      </c>
      <c r="N41" s="328">
        <f>+'Phụ lục số 2'!V16</f>
        <v>0</v>
      </c>
      <c r="O41" s="46">
        <f>SUM(P41:Q41)</f>
        <v>0</v>
      </c>
      <c r="P41" s="328">
        <f>+'Phụ lục số 2'!Z16</f>
        <v>0</v>
      </c>
      <c r="Q41" s="328">
        <f>+'Phụ lục số 2'!AA16</f>
        <v>0</v>
      </c>
      <c r="R41" s="5457">
        <f t="shared" si="56"/>
        <v>0</v>
      </c>
      <c r="S41" s="5456">
        <f t="shared" si="57"/>
        <v>0</v>
      </c>
      <c r="T41" s="5460">
        <f t="shared" si="58"/>
        <v>0</v>
      </c>
      <c r="U41" s="1827">
        <f t="shared" si="69"/>
        <v>0</v>
      </c>
      <c r="V41" s="46">
        <f>'Phụ lục số II'!AE15</f>
        <v>0</v>
      </c>
      <c r="W41" s="46">
        <f>'Phụ lục số II'!AF15</f>
        <v>0</v>
      </c>
      <c r="X41" s="46">
        <f t="shared" si="70"/>
        <v>0</v>
      </c>
      <c r="Y41" s="328">
        <f>'Phụ lục số II'!AJ15</f>
        <v>0</v>
      </c>
      <c r="Z41" s="328">
        <f>'Phụ lục số II'!AK15</f>
        <v>0</v>
      </c>
      <c r="AA41" s="46">
        <f t="shared" si="71"/>
        <v>0</v>
      </c>
      <c r="AB41" s="328">
        <f>'Phụ lục số II'!AO15</f>
        <v>0</v>
      </c>
      <c r="AC41" s="1656">
        <f>'Phụ lục số II'!AP15</f>
        <v>0</v>
      </c>
    </row>
    <row r="42" spans="1:33">
      <c r="A42" s="603" t="s">
        <v>29</v>
      </c>
      <c r="B42" s="46" t="s">
        <v>321</v>
      </c>
      <c r="C42" s="196">
        <f>SUM(D42:E42)</f>
        <v>60000</v>
      </c>
      <c r="D42" s="196">
        <f>SUM(D43:D46)</f>
        <v>60000</v>
      </c>
      <c r="E42" s="196">
        <f t="shared" ref="E42" si="73">SUM(E43:E46)</f>
        <v>0</v>
      </c>
      <c r="F42" s="46">
        <f t="shared" si="66"/>
        <v>60000</v>
      </c>
      <c r="G42" s="46">
        <f>SUM(G43:G46)</f>
        <v>60000</v>
      </c>
      <c r="H42" s="46">
        <f t="shared" ref="H42" si="74">SUM(H43:H46)</f>
        <v>0</v>
      </c>
      <c r="I42" s="4810">
        <f t="shared" si="67"/>
        <v>0</v>
      </c>
      <c r="J42" s="2917">
        <f>SUM(J43:J46)</f>
        <v>0</v>
      </c>
      <c r="K42" s="2917">
        <f t="shared" ref="K42" si="75">SUM(K43:K46)</f>
        <v>0</v>
      </c>
      <c r="L42" s="46">
        <f>SUM(M42:N42)</f>
        <v>0</v>
      </c>
      <c r="M42" s="328">
        <f>+'Phụ lục số 2'!U17</f>
        <v>0</v>
      </c>
      <c r="N42" s="328">
        <f>+'Phụ lục số 2'!V17</f>
        <v>0</v>
      </c>
      <c r="O42" s="46">
        <f>SUM(P42:Q42)</f>
        <v>0</v>
      </c>
      <c r="P42" s="328">
        <f>+'Phụ lục số 2'!Z17</f>
        <v>0</v>
      </c>
      <c r="Q42" s="328">
        <f>+'Phụ lục số 2'!AA17</f>
        <v>0</v>
      </c>
      <c r="R42" s="5457">
        <f t="shared" si="56"/>
        <v>0</v>
      </c>
      <c r="S42" s="5456">
        <f t="shared" si="57"/>
        <v>0</v>
      </c>
      <c r="T42" s="5460">
        <f t="shared" si="58"/>
        <v>0</v>
      </c>
      <c r="U42" s="1827">
        <f t="shared" si="69"/>
        <v>1050000</v>
      </c>
      <c r="V42" s="46">
        <f>'Phụ lục số II'!AE16</f>
        <v>1050000</v>
      </c>
      <c r="W42" s="46">
        <f>'Phụ lục số II'!AF16</f>
        <v>0</v>
      </c>
      <c r="X42" s="46">
        <f t="shared" si="70"/>
        <v>1100000</v>
      </c>
      <c r="Y42" s="328">
        <f>'Phụ lục số II'!AJ16</f>
        <v>1100000</v>
      </c>
      <c r="Z42" s="328">
        <f>'Phụ lục số II'!AK16</f>
        <v>0</v>
      </c>
      <c r="AA42" s="46">
        <f t="shared" si="71"/>
        <v>1200000</v>
      </c>
      <c r="AB42" s="328">
        <f>'Phụ lục số II'!AO16</f>
        <v>1200000</v>
      </c>
      <c r="AC42" s="1656">
        <f>'Phụ lục số II'!AP16</f>
        <v>0</v>
      </c>
    </row>
    <row r="43" spans="1:33" ht="27.6">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2917">
        <f>+'Phụ lục số 2'!Q18</f>
        <v>0</v>
      </c>
      <c r="L43" s="46">
        <f>+M43+N43</f>
        <v>0</v>
      </c>
      <c r="M43" s="328"/>
      <c r="N43" s="328"/>
      <c r="O43" s="46">
        <f>+P43+Q43</f>
        <v>0</v>
      </c>
      <c r="P43" s="328"/>
      <c r="Q43" s="328"/>
      <c r="R43" s="5457">
        <f t="shared" si="56"/>
        <v>0</v>
      </c>
      <c r="S43" s="5456">
        <f t="shared" si="57"/>
        <v>0</v>
      </c>
      <c r="T43" s="5460">
        <f t="shared" si="58"/>
        <v>0</v>
      </c>
      <c r="U43" s="1827"/>
      <c r="V43" s="46"/>
      <c r="W43" s="46"/>
      <c r="X43" s="46"/>
      <c r="Y43" s="328"/>
      <c r="Z43" s="328"/>
      <c r="AA43" s="46"/>
      <c r="AB43" s="328"/>
      <c r="AC43" s="1656"/>
    </row>
    <row r="44" spans="1:33" ht="55.2">
      <c r="A44" s="4892" t="s">
        <v>3127</v>
      </c>
      <c r="B44" s="4780" t="s">
        <v>3141</v>
      </c>
      <c r="C44" s="196">
        <f t="shared" ref="C44:C46" si="76">SUM(D44:E44)</f>
        <v>0</v>
      </c>
      <c r="D44" s="196">
        <f>+'Phụ lục số 2'!F19</f>
        <v>0</v>
      </c>
      <c r="E44" s="196">
        <f>+'Phụ lục số 2'!G19</f>
        <v>0</v>
      </c>
      <c r="F44" s="46">
        <f t="shared" ref="F44:F46" si="77">SUM(G44:H44)</f>
        <v>0</v>
      </c>
      <c r="G44" s="46">
        <f>+'Phụ lục số 2'!K19</f>
        <v>0</v>
      </c>
      <c r="H44" s="46">
        <f>+'Phụ lục số 2'!L19</f>
        <v>0</v>
      </c>
      <c r="I44" s="46">
        <f t="shared" ref="I44:I46" si="78">SUM(J44:K44)</f>
        <v>0</v>
      </c>
      <c r="J44" s="2917">
        <f>+'Phụ lục số 2'!P19</f>
        <v>0</v>
      </c>
      <c r="K44" s="328"/>
      <c r="L44" s="46">
        <f>+M44+N44</f>
        <v>0</v>
      </c>
      <c r="M44" s="328"/>
      <c r="N44" s="328"/>
      <c r="O44" s="46">
        <f>+P44+Q44</f>
        <v>0</v>
      </c>
      <c r="P44" s="328"/>
      <c r="Q44" s="328"/>
      <c r="R44" s="5457">
        <f t="shared" si="56"/>
        <v>0</v>
      </c>
      <c r="S44" s="5456">
        <f t="shared" si="57"/>
        <v>0</v>
      </c>
      <c r="T44" s="5460">
        <f t="shared" si="58"/>
        <v>0</v>
      </c>
      <c r="U44" s="1827"/>
      <c r="V44" s="46"/>
      <c r="W44" s="46"/>
      <c r="X44" s="46"/>
      <c r="Y44" s="328"/>
      <c r="Z44" s="328"/>
      <c r="AA44" s="46"/>
      <c r="AB44" s="328"/>
      <c r="AC44" s="1656"/>
    </row>
    <row r="45" spans="1:33" hidden="1">
      <c r="A45" s="4892" t="s">
        <v>3143</v>
      </c>
      <c r="B45" s="4780"/>
      <c r="C45" s="196">
        <f t="shared" si="76"/>
        <v>0</v>
      </c>
      <c r="D45" s="196">
        <f>+'Phụ lục số 2'!F20</f>
        <v>0</v>
      </c>
      <c r="E45" s="196">
        <f>+'Phụ lục số 2'!G20</f>
        <v>0</v>
      </c>
      <c r="F45" s="46">
        <f t="shared" si="77"/>
        <v>0</v>
      </c>
      <c r="G45" s="46">
        <f>+'Phụ lục số 2'!K20</f>
        <v>0</v>
      </c>
      <c r="H45" s="46">
        <f>+'Phụ lục số 2'!L20</f>
        <v>0</v>
      </c>
      <c r="I45" s="46">
        <f t="shared" si="78"/>
        <v>0</v>
      </c>
      <c r="J45" s="328"/>
      <c r="K45" s="328"/>
      <c r="L45" s="46"/>
      <c r="M45" s="328"/>
      <c r="N45" s="328"/>
      <c r="O45" s="46"/>
      <c r="P45" s="328"/>
      <c r="Q45" s="328"/>
      <c r="R45" s="5457">
        <f t="shared" si="56"/>
        <v>0</v>
      </c>
      <c r="S45" s="5456">
        <f t="shared" si="57"/>
        <v>0</v>
      </c>
      <c r="T45" s="5460">
        <f t="shared" si="58"/>
        <v>0</v>
      </c>
      <c r="U45" s="1827"/>
      <c r="V45" s="46"/>
      <c r="W45" s="46"/>
      <c r="X45" s="46"/>
      <c r="Y45" s="328"/>
      <c r="Z45" s="328"/>
      <c r="AA45" s="46"/>
      <c r="AB45" s="328"/>
      <c r="AC45" s="1656"/>
    </row>
    <row r="46" spans="1:33" hidden="1">
      <c r="A46" s="4892"/>
      <c r="B46" s="4780"/>
      <c r="C46" s="196">
        <f t="shared" si="76"/>
        <v>0</v>
      </c>
      <c r="D46" s="196">
        <f>+'Phụ lục số 2'!F21</f>
        <v>0</v>
      </c>
      <c r="E46" s="196">
        <f>+'Phụ lục số 2'!G21</f>
        <v>0</v>
      </c>
      <c r="F46" s="46">
        <f t="shared" si="77"/>
        <v>0</v>
      </c>
      <c r="G46" s="46">
        <f>+'Phụ lục số 2'!K21</f>
        <v>0</v>
      </c>
      <c r="H46" s="46">
        <f>+'Phụ lục số 2'!L21</f>
        <v>0</v>
      </c>
      <c r="I46" s="46">
        <f t="shared" si="78"/>
        <v>0</v>
      </c>
      <c r="J46" s="328"/>
      <c r="K46" s="328"/>
      <c r="L46" s="46"/>
      <c r="M46" s="328"/>
      <c r="N46" s="328"/>
      <c r="O46" s="46"/>
      <c r="P46" s="328"/>
      <c r="Q46" s="328"/>
      <c r="R46" s="5457">
        <f t="shared" si="56"/>
        <v>0</v>
      </c>
      <c r="S46" s="5456">
        <f t="shared" si="57"/>
        <v>0</v>
      </c>
      <c r="T46" s="5460">
        <f t="shared" si="58"/>
        <v>0</v>
      </c>
      <c r="U46" s="1827"/>
      <c r="V46" s="46"/>
      <c r="W46" s="46"/>
      <c r="X46" s="46"/>
      <c r="Y46" s="328"/>
      <c r="Z46" s="328"/>
      <c r="AA46" s="46"/>
      <c r="AB46" s="328"/>
      <c r="AC46" s="1656"/>
    </row>
    <row r="47" spans="1:33">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329">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4431">
        <f>+'Phụ lục số 2'!AA22</f>
        <v>9517706.4046643022</v>
      </c>
      <c r="R47" s="5457">
        <f t="shared" si="56"/>
        <v>39303539.001061976</v>
      </c>
      <c r="S47" s="5456">
        <f t="shared" si="57"/>
        <v>11474612.566208323</v>
      </c>
      <c r="T47" s="5460">
        <f t="shared" si="5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1657">
        <f>'Phụ lục số II'!AP17</f>
        <v>10763485.913870698</v>
      </c>
      <c r="AF47" s="5134">
        <v>12335657</v>
      </c>
      <c r="AG47" s="5135">
        <f>+AF47-I47</f>
        <v>-426000.45000000298</v>
      </c>
    </row>
    <row r="48" spans="1:33">
      <c r="A48" s="611"/>
      <c r="B48" s="1923" t="s">
        <v>234</v>
      </c>
      <c r="C48" s="196"/>
      <c r="D48" s="196"/>
      <c r="E48" s="196"/>
      <c r="F48" s="46"/>
      <c r="G48" s="46"/>
      <c r="H48" s="46"/>
      <c r="I48" s="328"/>
      <c r="J48" s="328"/>
      <c r="K48" s="328"/>
      <c r="L48" s="1653"/>
      <c r="M48" s="1653"/>
      <c r="N48" s="1653"/>
      <c r="O48" s="2283">
        <f t="shared" ref="O48:O50" si="79">SUM(P48:Q48)</f>
        <v>0</v>
      </c>
      <c r="P48" s="2283"/>
      <c r="Q48" s="2283"/>
      <c r="R48" s="5457">
        <f t="shared" si="56"/>
        <v>0</v>
      </c>
      <c r="S48" s="5456">
        <f t="shared" si="57"/>
        <v>0</v>
      </c>
      <c r="T48" s="5460">
        <f t="shared" si="58"/>
        <v>0</v>
      </c>
      <c r="U48" s="1827"/>
      <c r="V48" s="46"/>
      <c r="W48" s="46"/>
      <c r="X48" s="297"/>
      <c r="Y48" s="297"/>
      <c r="Z48" s="297"/>
      <c r="AA48" s="328"/>
      <c r="AB48" s="328"/>
      <c r="AC48" s="1656"/>
      <c r="AF48" s="5134">
        <v>5859513</v>
      </c>
      <c r="AG48" s="5135">
        <f>+I49-AF48</f>
        <v>0</v>
      </c>
    </row>
    <row r="49" spans="1:33">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328">
        <f>+'Phụ lục số 2'!Q23</f>
        <v>4752863.0000000009</v>
      </c>
      <c r="L49" s="1653">
        <f>SUM(M49:N49)</f>
        <v>5918101.9564761929</v>
      </c>
      <c r="M49" s="1653">
        <f>+'Phụ lục số 2'!U23</f>
        <v>1139028.3534760615</v>
      </c>
      <c r="N49" s="1653">
        <f>+'Phụ lục số 2'!V23</f>
        <v>4779073.6030001314</v>
      </c>
      <c r="O49" s="2283">
        <f t="shared" si="79"/>
        <v>6106259.8643117491</v>
      </c>
      <c r="P49" s="2283">
        <f>+'Phụ lục số 2'!Z23</f>
        <v>1183093.2973419931</v>
      </c>
      <c r="Q49" s="2283">
        <f>+'Phụ lục số 2'!AA23</f>
        <v>4923166.566969756</v>
      </c>
      <c r="R49" s="5457">
        <f t="shared" si="56"/>
        <v>17883874.82078794</v>
      </c>
      <c r="S49" s="5456">
        <f t="shared" si="57"/>
        <v>3428771.6508180546</v>
      </c>
      <c r="T49" s="5460">
        <f t="shared" si="5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1656">
        <f>'Phụ lục số II'!AP18</f>
        <v>5743058.5827228744</v>
      </c>
      <c r="AF49" s="47">
        <v>30780</v>
      </c>
      <c r="AG49" s="679">
        <f>+J50-AF49</f>
        <v>527</v>
      </c>
    </row>
    <row r="50" spans="1:33">
      <c r="A50" s="603" t="s">
        <v>29</v>
      </c>
      <c r="B50" s="1930" t="s">
        <v>241</v>
      </c>
      <c r="C50" s="196">
        <f t="shared" ref="C50:C51" si="8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328">
        <f>+'Phụ lục số 2'!Q24</f>
        <v>0</v>
      </c>
      <c r="L50" s="1653">
        <f>SUM(M50:N50)</f>
        <v>32222.979860186198</v>
      </c>
      <c r="M50" s="1653">
        <f>+'Phụ lục số 2'!U24</f>
        <v>32222.979860186198</v>
      </c>
      <c r="N50" s="1653">
        <f>'Phụ lục số II'!V19</f>
        <v>0</v>
      </c>
      <c r="O50" s="2283">
        <f t="shared" si="79"/>
        <v>33469.572005499278</v>
      </c>
      <c r="P50" s="2283">
        <f>+'Phụ lục số 2'!Z24</f>
        <v>33469.572005499278</v>
      </c>
      <c r="Q50" s="2283">
        <f>'Phụ lục số II'!AA19</f>
        <v>0</v>
      </c>
      <c r="R50" s="5457">
        <f t="shared" si="56"/>
        <v>96999.551865685469</v>
      </c>
      <c r="S50" s="5456">
        <f t="shared" si="57"/>
        <v>96999.551865685469</v>
      </c>
      <c r="T50" s="5460">
        <f t="shared" si="58"/>
        <v>0</v>
      </c>
      <c r="U50" s="1827">
        <f>SUM(V50:W50)</f>
        <v>35149.814659228985</v>
      </c>
      <c r="V50" s="46">
        <f>'Phụ lục số II'!AE19</f>
        <v>35149.814659228985</v>
      </c>
      <c r="W50" s="46"/>
      <c r="X50" s="297">
        <f t="shared" ref="X50:X51" si="81">SUM(Y50:Z50)</f>
        <v>36406.277712104355</v>
      </c>
      <c r="Y50" s="328">
        <f>'Phụ lục số II'!AJ19</f>
        <v>36406.277712104355</v>
      </c>
      <c r="Z50" s="328">
        <f>'Phụ lục số II'!AK19</f>
        <v>0</v>
      </c>
      <c r="AA50" s="328">
        <f t="shared" ref="AA50:AA51" si="82">SUM(AB50:AC50)</f>
        <v>37320.513403256889</v>
      </c>
      <c r="AB50" s="328">
        <f>'Phụ lục số II'!AO19</f>
        <v>37320.513403256889</v>
      </c>
      <c r="AC50" s="1656"/>
    </row>
    <row r="51" spans="1:33">
      <c r="A51" s="603" t="s">
        <v>29</v>
      </c>
      <c r="B51" s="1929" t="s">
        <v>240</v>
      </c>
      <c r="C51" s="196">
        <f t="shared" si="80"/>
        <v>5835815.0115313362</v>
      </c>
      <c r="D51" s="196">
        <f>D47-D49-D50</f>
        <v>2306546.4</v>
      </c>
      <c r="E51" s="196">
        <f t="shared" ref="E51" si="83">E47-E49-E50</f>
        <v>3529268.6115313368</v>
      </c>
      <c r="F51" s="196">
        <f t="shared" ref="F51" si="84">SUM(G51:H51)</f>
        <v>6199669.5115313362</v>
      </c>
      <c r="G51" s="196">
        <f>G47-G49-G50</f>
        <v>2446126.9</v>
      </c>
      <c r="H51" s="196">
        <f t="shared" ref="H51" si="85">H47-H49-H50</f>
        <v>3753542.6115313368</v>
      </c>
      <c r="I51" s="196">
        <f t="shared" ref="I51" si="86">SUM(J51:K51)</f>
        <v>6870837.4500000011</v>
      </c>
      <c r="J51" s="196">
        <f>J47-J49-J50</f>
        <v>2542275.0929999999</v>
      </c>
      <c r="K51" s="196">
        <f t="shared" ref="K51" si="87">K47-K49-K50</f>
        <v>4328562.3570000017</v>
      </c>
      <c r="L51" s="5321">
        <f t="shared" ref="L51" si="88">SUM(M51:N51)</f>
        <v>7099504.2197785098</v>
      </c>
      <c r="M51" s="5321">
        <f>M47-M49-M50</f>
        <v>2648783.1495892932</v>
      </c>
      <c r="N51" s="5321">
        <f t="shared" ref="N51" si="89">N47-N49-N50</f>
        <v>4450721.0701892162</v>
      </c>
      <c r="O51" s="5321">
        <f t="shared" ref="O51" si="90">SUM(P51:Q51)</f>
        <v>7352322.9586298354</v>
      </c>
      <c r="P51" s="5321">
        <f>P47-P49-P50</f>
        <v>2757783.1209352897</v>
      </c>
      <c r="Q51" s="5321">
        <f>Q47-Q49-Q50</f>
        <v>4594539.8376945462</v>
      </c>
      <c r="R51" s="5457">
        <f t="shared" si="56"/>
        <v>21322664.628408346</v>
      </c>
      <c r="S51" s="5456">
        <f t="shared" si="57"/>
        <v>7948841.3635245822</v>
      </c>
      <c r="T51" s="5460">
        <f t="shared" si="58"/>
        <v>13373823.264883764</v>
      </c>
      <c r="U51" s="1831">
        <f t="shared" ref="U51" si="91">SUM(V51:W51)</f>
        <v>7463552.5087014139</v>
      </c>
      <c r="V51" s="196">
        <f>V47-V49-V50</f>
        <v>2954741.5885987445</v>
      </c>
      <c r="W51" s="196">
        <f>W47-W49-W50</f>
        <v>4508810.9201026689</v>
      </c>
      <c r="X51" s="297">
        <f t="shared" si="81"/>
        <v>7941763.3492903039</v>
      </c>
      <c r="Y51" s="196">
        <f>Y47-Y49-Y50</f>
        <v>3150361.5946460278</v>
      </c>
      <c r="Z51" s="196">
        <f>Z47-Z49-Z50</f>
        <v>4791401.7546442756</v>
      </c>
      <c r="AA51" s="328">
        <f t="shared" si="82"/>
        <v>8374900.9139140751</v>
      </c>
      <c r="AB51" s="196">
        <f>AB47-AB49-AB50</f>
        <v>3354473.5827662521</v>
      </c>
      <c r="AC51" s="1652">
        <f>AC47-AC49-AC50</f>
        <v>5020427.3311478235</v>
      </c>
      <c r="AF51" s="47">
        <v>943</v>
      </c>
      <c r="AG51" s="1535">
        <f>+I51/C51</f>
        <v>1.1773569649523679</v>
      </c>
    </row>
    <row r="52" spans="1:33">
      <c r="A52" s="611">
        <v>3</v>
      </c>
      <c r="B52" s="1931" t="s">
        <v>210</v>
      </c>
      <c r="C52" s="195"/>
      <c r="D52" s="195"/>
      <c r="E52" s="195"/>
      <c r="F52" s="46"/>
      <c r="G52" s="46"/>
      <c r="H52" s="46"/>
      <c r="I52" s="328"/>
      <c r="J52" s="328"/>
      <c r="K52" s="328"/>
      <c r="L52" s="328"/>
      <c r="M52" s="297"/>
      <c r="N52" s="297"/>
      <c r="O52" s="328"/>
      <c r="P52" s="328"/>
      <c r="Q52" s="328"/>
      <c r="R52" s="5457">
        <f t="shared" si="56"/>
        <v>0</v>
      </c>
      <c r="S52" s="5456">
        <f t="shared" si="57"/>
        <v>0</v>
      </c>
      <c r="T52" s="5460">
        <f t="shared" si="58"/>
        <v>0</v>
      </c>
      <c r="U52" s="1833"/>
      <c r="V52" s="297"/>
      <c r="W52" s="297"/>
      <c r="X52" s="297"/>
      <c r="Y52" s="297"/>
      <c r="Z52" s="297"/>
      <c r="AA52" s="328"/>
      <c r="AB52" s="328"/>
      <c r="AC52" s="1656"/>
      <c r="AF52" s="47">
        <v>657</v>
      </c>
    </row>
    <row r="53" spans="1:33">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45">
        <f>+'Phụ lục số 2'!Q39</f>
        <v>519900</v>
      </c>
      <c r="L53" s="45">
        <f>SUM(M53:N53)</f>
        <v>626117.15251171635</v>
      </c>
      <c r="M53" s="4431">
        <f>+'Phụ lục số 2'!U39</f>
        <v>202308.50969414107</v>
      </c>
      <c r="N53" s="4431">
        <f>+'Phụ lục số 2'!V39</f>
        <v>423808.64281757525</v>
      </c>
      <c r="O53" s="1658">
        <f>SUM(P53:Q53)</f>
        <v>789623.5261911191</v>
      </c>
      <c r="P53" s="4431">
        <f>+'Phụ lục số 2'!Z39</f>
        <v>394092.17037477036</v>
      </c>
      <c r="Q53" s="4431">
        <f>+'Phụ lục số 2'!AA39</f>
        <v>395531.35581634869</v>
      </c>
      <c r="R53" s="5457">
        <f t="shared" si="56"/>
        <v>1935640.6787028355</v>
      </c>
      <c r="S53" s="5456">
        <f t="shared" si="57"/>
        <v>596400.6800689114</v>
      </c>
      <c r="T53" s="5460">
        <f t="shared" si="5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1657">
        <f>'Phụ lục số II'!AP34</f>
        <v>984949.50233643386</v>
      </c>
      <c r="AF53" s="47">
        <f>+AF51-AF52</f>
        <v>286</v>
      </c>
    </row>
    <row r="54" spans="1:33">
      <c r="A54" s="611">
        <v>5</v>
      </c>
      <c r="B54" s="45" t="s">
        <v>212</v>
      </c>
      <c r="C54" s="195">
        <f t="shared" ref="C54:C57" si="92">SUM(D54:E54)</f>
        <v>0</v>
      </c>
      <c r="D54" s="195"/>
      <c r="E54" s="195"/>
      <c r="F54" s="45">
        <f t="shared" ref="F54:F57" si="93">SUM(G54:H54)</f>
        <v>0</v>
      </c>
      <c r="G54" s="45"/>
      <c r="H54" s="45"/>
      <c r="I54" s="328"/>
      <c r="J54" s="328"/>
      <c r="K54" s="328"/>
      <c r="L54" s="328"/>
      <c r="M54" s="297"/>
      <c r="N54" s="297"/>
      <c r="O54" s="328"/>
      <c r="P54" s="328"/>
      <c r="Q54" s="328"/>
      <c r="R54" s="5457">
        <f t="shared" si="56"/>
        <v>0</v>
      </c>
      <c r="S54" s="5456">
        <f t="shared" si="57"/>
        <v>0</v>
      </c>
      <c r="T54" s="5460">
        <f t="shared" si="58"/>
        <v>0</v>
      </c>
      <c r="U54" s="1833"/>
      <c r="V54" s="297"/>
      <c r="W54" s="297"/>
      <c r="X54" s="297"/>
      <c r="Y54" s="297"/>
      <c r="Z54" s="297"/>
      <c r="AA54" s="328"/>
      <c r="AB54" s="328"/>
      <c r="AC54" s="1656"/>
    </row>
    <row r="55" spans="1:33">
      <c r="A55" s="611">
        <v>6</v>
      </c>
      <c r="B55" s="1923" t="s">
        <v>174</v>
      </c>
      <c r="C55" s="195">
        <f t="shared" si="92"/>
        <v>2000</v>
      </c>
      <c r="D55" s="195">
        <f>+'Phụ lục số 2'!F37</f>
        <v>2000</v>
      </c>
      <c r="E55" s="195">
        <f>+'Phụ lục số 2'!G37</f>
        <v>0</v>
      </c>
      <c r="F55" s="45">
        <f t="shared" si="93"/>
        <v>2000</v>
      </c>
      <c r="G55" s="45">
        <f>+'Phụ lục số 2'!K37</f>
        <v>2000</v>
      </c>
      <c r="H55" s="45">
        <f>+'Phụ lục số 2'!L37</f>
        <v>0</v>
      </c>
      <c r="I55" s="45">
        <f>SUM(J55:K55)</f>
        <v>2000</v>
      </c>
      <c r="J55" s="329">
        <f>+'Phụ lục số 2'!P37</f>
        <v>2000</v>
      </c>
      <c r="K55" s="329">
        <f>+'Phụ lục số 2'!Q37</f>
        <v>0</v>
      </c>
      <c r="L55" s="45">
        <f>SUM(M55:N55)</f>
        <v>2000</v>
      </c>
      <c r="M55" s="4431">
        <f>+'Phụ lục số 2'!U37</f>
        <v>2000</v>
      </c>
      <c r="N55" s="4431">
        <f>+'Phụ lục số 2'!V37</f>
        <v>0</v>
      </c>
      <c r="O55" s="329">
        <f>SUM(P55:Q55)</f>
        <v>2000</v>
      </c>
      <c r="P55" s="4431">
        <f>+'Phụ lục số 2'!Z37</f>
        <v>2000</v>
      </c>
      <c r="Q55" s="4431">
        <f>+'Phụ lục số 2'!AA37</f>
        <v>0</v>
      </c>
      <c r="R55" s="5457">
        <f t="shared" si="56"/>
        <v>6000</v>
      </c>
      <c r="S55" s="5456">
        <f t="shared" si="57"/>
        <v>6000</v>
      </c>
      <c r="T55" s="5460">
        <f t="shared" si="5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1657"/>
      <c r="AG55" s="679">
        <f>+K31</f>
        <v>941000</v>
      </c>
    </row>
    <row r="56" spans="1:33">
      <c r="A56" s="1932">
        <v>7</v>
      </c>
      <c r="B56" s="1923" t="s">
        <v>175</v>
      </c>
      <c r="C56" s="195">
        <f t="shared" si="92"/>
        <v>327868.79999999999</v>
      </c>
      <c r="D56" s="195">
        <f>+'Phụ lục số 2'!F38</f>
        <v>152264.29999999999</v>
      </c>
      <c r="E56" s="195">
        <f>+'Phụ lục số 2'!G38</f>
        <v>175604.5</v>
      </c>
      <c r="F56" s="45">
        <f t="shared" si="93"/>
        <v>327868.79999999999</v>
      </c>
      <c r="G56" s="45">
        <f>+'Phụ lục số 2'!K38</f>
        <v>152264.29999999999</v>
      </c>
      <c r="H56" s="45">
        <f>+'Phụ lục số 2'!L38</f>
        <v>175604.5</v>
      </c>
      <c r="I56" s="45">
        <f t="shared" ref="I56:I57" si="94">SUM(J56:K56)</f>
        <v>376400.94999999995</v>
      </c>
      <c r="J56" s="329">
        <f>+'Phụ lục số 2'!P38</f>
        <v>163959.4</v>
      </c>
      <c r="K56" s="329">
        <f>+'Phụ lục số 2'!Q38</f>
        <v>212441.54999999996</v>
      </c>
      <c r="L56" s="45">
        <f>SUM(M56:N56)</f>
        <v>382369.62325673946</v>
      </c>
      <c r="M56" s="4431">
        <f>+'Phụ lục số 2'!U38</f>
        <v>168756.52231412186</v>
      </c>
      <c r="N56" s="4431">
        <f>+'Phụ lục số 2'!V38</f>
        <v>213613.1009426176</v>
      </c>
      <c r="O56" s="329">
        <f t="shared" ref="O56:O57" si="95">SUM(P56:Q56)</f>
        <v>395338.82020193478</v>
      </c>
      <c r="P56" s="4431">
        <f>+'Phụ lục số 2'!Z38</f>
        <v>175285.11017594975</v>
      </c>
      <c r="Q56" s="4431">
        <f>+'Phụ lục số 2'!AA38</f>
        <v>220053.71002598506</v>
      </c>
      <c r="R56" s="5457">
        <f t="shared" si="56"/>
        <v>1154109.3934586742</v>
      </c>
      <c r="S56" s="5456">
        <f t="shared" si="57"/>
        <v>508001.03249007161</v>
      </c>
      <c r="T56" s="5460">
        <f t="shared" si="58"/>
        <v>646108.36096860259</v>
      </c>
      <c r="U56" s="1834">
        <f t="shared" ref="U56:U57" si="96">SUM(V56:W56)</f>
        <v>388554.57695830194</v>
      </c>
      <c r="V56" s="329">
        <f>'Phụ lục số II'!AE33</f>
        <v>193982.6303761786</v>
      </c>
      <c r="W56" s="329">
        <f>'Phụ lục số II'!AF33</f>
        <v>194571.94658212332</v>
      </c>
      <c r="X56" s="329">
        <f t="shared" ref="X56:X57" si="97">SUM(Y56:Z56)</f>
        <v>413799.67800673621</v>
      </c>
      <c r="Y56" s="329">
        <f>'Phụ lục số II'!AJ33</f>
        <v>210916.72121933621</v>
      </c>
      <c r="Z56" s="329">
        <f>'Phụ lục số II'!AK33</f>
        <v>202882.95678739998</v>
      </c>
      <c r="AA56" s="329">
        <f t="shared" ref="AA56:AA57" si="98">SUM(AB56:AC56)</f>
        <v>455829.86689569859</v>
      </c>
      <c r="AB56" s="329">
        <f>'Phụ lục số II'!AO33</f>
        <v>236213.26913682561</v>
      </c>
      <c r="AC56" s="1657">
        <f>'Phụ lục số II'!AP33</f>
        <v>219616.59775887299</v>
      </c>
      <c r="AE56" s="5215">
        <v>350901</v>
      </c>
      <c r="AF56" s="679">
        <f>+I56-AE56</f>
        <v>25499.949999999953</v>
      </c>
      <c r="AG56" s="679">
        <f>+K53</f>
        <v>519900</v>
      </c>
    </row>
    <row r="57" spans="1:33">
      <c r="A57" s="1932">
        <v>8</v>
      </c>
      <c r="B57" s="1923" t="s">
        <v>213</v>
      </c>
      <c r="C57" s="195">
        <f t="shared" si="92"/>
        <v>3000</v>
      </c>
      <c r="D57" s="195">
        <f>+'Phụ lục số 2'!F36</f>
        <v>3000</v>
      </c>
      <c r="E57" s="195">
        <f>+'Phụ lục số 2'!G36</f>
        <v>0</v>
      </c>
      <c r="F57" s="45">
        <f t="shared" si="93"/>
        <v>3000</v>
      </c>
      <c r="G57" s="45">
        <f>+'Phụ lục số 2'!K36</f>
        <v>3000</v>
      </c>
      <c r="H57" s="45">
        <f>+'Phụ lục số 2'!L36</f>
        <v>0</v>
      </c>
      <c r="I57" s="45">
        <f t="shared" si="94"/>
        <v>3500</v>
      </c>
      <c r="J57" s="329">
        <f>+'Phụ lục số 2'!P36</f>
        <v>3500</v>
      </c>
      <c r="K57" s="329">
        <f>+'Phụ lục số 2'!Q36</f>
        <v>0</v>
      </c>
      <c r="L57" s="45">
        <f>SUM(M57:N57)</f>
        <v>3500</v>
      </c>
      <c r="M57" s="4431">
        <f>+'Phụ lục số 2'!U36</f>
        <v>3500</v>
      </c>
      <c r="N57" s="4431">
        <f>+'Phụ lục số 2'!V36</f>
        <v>0</v>
      </c>
      <c r="O57" s="329">
        <f t="shared" si="95"/>
        <v>3500</v>
      </c>
      <c r="P57" s="4431">
        <f>+'Phụ lục số 2'!Z36</f>
        <v>3500</v>
      </c>
      <c r="Q57" s="4431">
        <f>+'Phụ lục số 2'!AA36</f>
        <v>0</v>
      </c>
      <c r="R57" s="5457">
        <f t="shared" si="56"/>
        <v>10500</v>
      </c>
      <c r="S57" s="5456">
        <f t="shared" si="57"/>
        <v>10500</v>
      </c>
      <c r="T57" s="5460">
        <f t="shared" si="58"/>
        <v>0</v>
      </c>
      <c r="U57" s="1834">
        <f t="shared" si="96"/>
        <v>3000</v>
      </c>
      <c r="V57" s="329">
        <f>'Phụ lục số II'!AE31</f>
        <v>3000</v>
      </c>
      <c r="W57" s="330"/>
      <c r="X57" s="329">
        <f t="shared" si="97"/>
        <v>3000</v>
      </c>
      <c r="Y57" s="329">
        <f>'Phụ lục số II'!AJ31</f>
        <v>3000</v>
      </c>
      <c r="Z57" s="330"/>
      <c r="AA57" s="329">
        <f t="shared" si="98"/>
        <v>3000</v>
      </c>
      <c r="AB57" s="329">
        <f>'Phụ lục số II'!AO31</f>
        <v>3000</v>
      </c>
      <c r="AC57" s="1657"/>
      <c r="AE57" s="679">
        <f>+AE56-I56</f>
        <v>-25499.949999999953</v>
      </c>
      <c r="AF57" s="679">
        <f>+I56-C56</f>
        <v>48532.149999999965</v>
      </c>
      <c r="AG57" s="679">
        <f>+AG55-AG56</f>
        <v>421100</v>
      </c>
    </row>
    <row r="58" spans="1:33">
      <c r="A58" s="611" t="s">
        <v>33</v>
      </c>
      <c r="B58" s="1923" t="s">
        <v>214</v>
      </c>
      <c r="C58" s="195">
        <f>SUM(D58:E58)</f>
        <v>1988976</v>
      </c>
      <c r="D58" s="195">
        <f>SUM(D59,D62,D65)</f>
        <v>1988976</v>
      </c>
      <c r="E58" s="195">
        <f t="shared" ref="E58" si="99">SUM(E59,E62,E65)</f>
        <v>0</v>
      </c>
      <c r="F58" s="195">
        <f>SUM(G58:H58)</f>
        <v>2127535</v>
      </c>
      <c r="G58" s="195">
        <f>SUM(G59,G62,G65)</f>
        <v>2127535</v>
      </c>
      <c r="H58" s="195">
        <f t="shared" ref="H58" si="100">SUM(H59,H62,H65)</f>
        <v>0</v>
      </c>
      <c r="I58" s="195">
        <f>SUM(J58:K58)</f>
        <v>3036992</v>
      </c>
      <c r="J58" s="195">
        <f>SUM(J59,J62,J65)</f>
        <v>2782607</v>
      </c>
      <c r="K58" s="195">
        <f t="shared" ref="K58" si="101">SUM(K59,K62,K65)</f>
        <v>254385</v>
      </c>
      <c r="L58" s="195">
        <f>SUM(M58:N58)</f>
        <v>3036992</v>
      </c>
      <c r="M58" s="195">
        <f>SUM(M59,M62,M65)</f>
        <v>2782607</v>
      </c>
      <c r="N58" s="195">
        <f t="shared" ref="N58" si="102">SUM(N59,N62,N65)</f>
        <v>254385</v>
      </c>
      <c r="O58" s="195">
        <f>SUM(P58:Q58)</f>
        <v>3036992</v>
      </c>
      <c r="P58" s="195">
        <f>SUM(P59,P62,P65)</f>
        <v>2782607</v>
      </c>
      <c r="Q58" s="195">
        <f t="shared" ref="Q58" si="103">SUM(Q59,Q62,Q65)</f>
        <v>254385</v>
      </c>
      <c r="R58" s="5457">
        <f t="shared" si="56"/>
        <v>9110976</v>
      </c>
      <c r="S58" s="5456">
        <f t="shared" si="57"/>
        <v>8347821</v>
      </c>
      <c r="T58" s="5460">
        <f t="shared" si="58"/>
        <v>763155</v>
      </c>
      <c r="U58" s="1830">
        <f>SUM(V58:W58)</f>
        <v>3676048.8</v>
      </c>
      <c r="V58" s="195">
        <f>SUM(V59,V62,V65)</f>
        <v>3676048.8</v>
      </c>
      <c r="W58" s="195">
        <f t="shared" ref="W58" si="104">SUM(W59,W62,W65)</f>
        <v>0</v>
      </c>
      <c r="X58" s="195">
        <f>SUM(Y58:Z58)</f>
        <v>3676048.8</v>
      </c>
      <c r="Y58" s="195">
        <f>SUM(Y59,Y62,Y65)</f>
        <v>3676048.8</v>
      </c>
      <c r="Z58" s="195">
        <f t="shared" ref="Z58" si="105">SUM(Z59,Z62,Z65)</f>
        <v>0</v>
      </c>
      <c r="AA58" s="195">
        <f>SUM(AB58:AC58)</f>
        <v>3676048.8</v>
      </c>
      <c r="AB58" s="195">
        <f>SUM(AB59,AB62,AB65)</f>
        <v>3676048.8</v>
      </c>
      <c r="AC58" s="1646">
        <f t="shared" ref="AC58" si="106">SUM(AC59,AC62,AC65)</f>
        <v>0</v>
      </c>
    </row>
    <row r="59" spans="1:33">
      <c r="A59" s="603">
        <v>1</v>
      </c>
      <c r="B59" s="46" t="s">
        <v>178</v>
      </c>
      <c r="C59" s="196">
        <f t="shared" ref="C59" si="107">SUM(D59:E59)</f>
        <v>1814491</v>
      </c>
      <c r="D59" s="196">
        <f>SUM(D60:D61)</f>
        <v>1814491</v>
      </c>
      <c r="E59" s="196">
        <f t="shared" ref="E59" si="108">SUM(E60:E61)</f>
        <v>0</v>
      </c>
      <c r="F59" s="196">
        <f t="shared" ref="F59" si="109">SUM(G59:H59)</f>
        <v>1814491</v>
      </c>
      <c r="G59" s="196">
        <f>SUM(G60:G61)</f>
        <v>1814491</v>
      </c>
      <c r="H59" s="196">
        <f t="shared" ref="H59" si="110">SUM(H60:H61)</f>
        <v>0</v>
      </c>
      <c r="I59" s="196">
        <f t="shared" ref="I59" si="111">SUM(J59:K59)</f>
        <v>2530494</v>
      </c>
      <c r="J59" s="196">
        <f>SUM(J60:J61)</f>
        <v>2530494</v>
      </c>
      <c r="K59" s="196">
        <f t="shared" ref="K59" si="112">SUM(K60:K61)</f>
        <v>0</v>
      </c>
      <c r="L59" s="196">
        <f t="shared" ref="L59" si="113">SUM(M59:N59)</f>
        <v>2530494</v>
      </c>
      <c r="M59" s="196">
        <f>SUM(M60:M61)</f>
        <v>2530494</v>
      </c>
      <c r="N59" s="196">
        <f t="shared" ref="N59" si="114">SUM(N60:N61)</f>
        <v>0</v>
      </c>
      <c r="O59" s="328">
        <f>SUM(O60:O61)</f>
        <v>2530494</v>
      </c>
      <c r="P59" s="328">
        <f t="shared" ref="P59:Q59" si="115">SUM(P60:P61)</f>
        <v>2530494</v>
      </c>
      <c r="Q59" s="328">
        <f t="shared" si="115"/>
        <v>0</v>
      </c>
      <c r="R59" s="5457">
        <f t="shared" si="56"/>
        <v>7591482</v>
      </c>
      <c r="S59" s="5456">
        <f t="shared" si="57"/>
        <v>7591482</v>
      </c>
      <c r="T59" s="5460">
        <f t="shared" si="58"/>
        <v>0</v>
      </c>
      <c r="U59" s="1835">
        <f>SUM(U60:U61)</f>
        <v>3101719</v>
      </c>
      <c r="V59" s="328">
        <f t="shared" ref="V59:W59" si="116">SUM(V60:V61)</f>
        <v>3101719</v>
      </c>
      <c r="W59" s="328">
        <f t="shared" si="116"/>
        <v>0</v>
      </c>
      <c r="X59" s="328">
        <f>SUM(X60:X61)</f>
        <v>3101719</v>
      </c>
      <c r="Y59" s="328">
        <f t="shared" ref="Y59:Z59" si="117">SUM(Y60:Y61)</f>
        <v>3101719</v>
      </c>
      <c r="Z59" s="328">
        <f t="shared" si="117"/>
        <v>0</v>
      </c>
      <c r="AA59" s="328">
        <f>SUM(AA60:AA61)</f>
        <v>3101719</v>
      </c>
      <c r="AB59" s="328">
        <f t="shared" ref="AB59:AC59" si="118">SUM(AB60:AB61)</f>
        <v>3101719</v>
      </c>
      <c r="AC59" s="1656">
        <f t="shared" si="118"/>
        <v>0</v>
      </c>
      <c r="AE59" s="47">
        <v>901</v>
      </c>
    </row>
    <row r="60" spans="1:33"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328">
        <f>+'Phụ lục số 2'!Q42</f>
        <v>0</v>
      </c>
      <c r="L60" s="328">
        <f>SUM(M60:N60)</f>
        <v>2399255</v>
      </c>
      <c r="M60" s="328">
        <f>+'Phụ lục số 2'!U42</f>
        <v>2399255</v>
      </c>
      <c r="N60" s="328">
        <f>+'Phụ lục số 2'!V42</f>
        <v>0</v>
      </c>
      <c r="O60" s="328">
        <f>SUM(P60:Q60)</f>
        <v>2399255</v>
      </c>
      <c r="P60" s="328">
        <f>+'Phụ lục số 2'!Z42</f>
        <v>2399255</v>
      </c>
      <c r="Q60" s="328">
        <f>+'Phụ lục số 2'!AA42</f>
        <v>0</v>
      </c>
      <c r="R60" s="5457">
        <f t="shared" si="56"/>
        <v>7197765</v>
      </c>
      <c r="S60" s="5456">
        <f t="shared" si="57"/>
        <v>7197765</v>
      </c>
      <c r="T60" s="5460">
        <f t="shared" si="5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1656"/>
      <c r="AE60" s="47">
        <v>622</v>
      </c>
    </row>
    <row r="61" spans="1:33" hidden="1">
      <c r="A61" s="603" t="s">
        <v>101</v>
      </c>
      <c r="B61" s="46" t="s">
        <v>102</v>
      </c>
      <c r="C61" s="196">
        <f t="shared" ref="C61:C62" si="11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328">
        <f>+'Phụ lục số 2'!Q43</f>
        <v>0</v>
      </c>
      <c r="L61" s="328">
        <f>SUM(M61:N61)</f>
        <v>131239</v>
      </c>
      <c r="M61" s="328">
        <f>+'Phụ lục số 2'!U43</f>
        <v>131239</v>
      </c>
      <c r="N61" s="328">
        <f>+'Phụ lục số 2'!V43</f>
        <v>0</v>
      </c>
      <c r="O61" s="328">
        <f>SUM(P61:Q61)</f>
        <v>131239</v>
      </c>
      <c r="P61" s="328">
        <f>+'Phụ lục số 2'!Z43</f>
        <v>131239</v>
      </c>
      <c r="Q61" s="328">
        <f>+'Phụ lục số 2'!AA43</f>
        <v>0</v>
      </c>
      <c r="R61" s="5457">
        <f t="shared" si="56"/>
        <v>393717</v>
      </c>
      <c r="S61" s="5456">
        <f t="shared" si="57"/>
        <v>393717</v>
      </c>
      <c r="T61" s="5460">
        <f t="shared" si="5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1656"/>
      <c r="AE61" s="47">
        <f>+AE59-AE60</f>
        <v>279</v>
      </c>
    </row>
    <row r="62" spans="1:33">
      <c r="A62" s="603">
        <v>2</v>
      </c>
      <c r="B62" s="46" t="s">
        <v>179</v>
      </c>
      <c r="C62" s="196">
        <f t="shared" si="119"/>
        <v>174485</v>
      </c>
      <c r="D62" s="196">
        <f>SUM(D63:D64)</f>
        <v>174485</v>
      </c>
      <c r="E62" s="196">
        <f t="shared" ref="E62" si="120">SUM(E63:E64)</f>
        <v>0</v>
      </c>
      <c r="F62" s="196">
        <f t="shared" ref="F62" si="121">SUM(G62:H62)</f>
        <v>174485</v>
      </c>
      <c r="G62" s="196">
        <f>SUM(G63:G64)</f>
        <v>174485</v>
      </c>
      <c r="H62" s="196">
        <f t="shared" ref="H62" si="122">SUM(H63:H64)</f>
        <v>0</v>
      </c>
      <c r="I62" s="196">
        <f t="shared" ref="I62" si="123">SUM(J62:K62)</f>
        <v>221912</v>
      </c>
      <c r="J62" s="196">
        <f>SUM(J63:J64)</f>
        <v>125737</v>
      </c>
      <c r="K62" s="196">
        <f t="shared" ref="K62" si="124">SUM(K63:K64)</f>
        <v>96175</v>
      </c>
      <c r="L62" s="196">
        <f t="shared" ref="L62" si="125">SUM(M62:N62)</f>
        <v>221912</v>
      </c>
      <c r="M62" s="196">
        <f>SUM(M63:M64)</f>
        <v>125737</v>
      </c>
      <c r="N62" s="196">
        <f t="shared" ref="N62" si="126">SUM(N63:N64)</f>
        <v>96175</v>
      </c>
      <c r="O62" s="328">
        <f>SUM(O63:O64)</f>
        <v>221912</v>
      </c>
      <c r="P62" s="328">
        <f t="shared" ref="P62:Q62" si="127">SUM(P63:P64)</f>
        <v>125737</v>
      </c>
      <c r="Q62" s="328">
        <f t="shared" si="127"/>
        <v>96175</v>
      </c>
      <c r="R62" s="5457">
        <f t="shared" si="56"/>
        <v>665736</v>
      </c>
      <c r="S62" s="5456">
        <f t="shared" si="57"/>
        <v>377211</v>
      </c>
      <c r="T62" s="5460">
        <f t="shared" si="58"/>
        <v>288525</v>
      </c>
      <c r="U62" s="1835">
        <f>SUM(U63:U64)</f>
        <v>195063.8</v>
      </c>
      <c r="V62" s="328">
        <f t="shared" ref="V62:W62" si="128">SUM(V63:V64)</f>
        <v>195063.8</v>
      </c>
      <c r="W62" s="328">
        <f t="shared" si="128"/>
        <v>0</v>
      </c>
      <c r="X62" s="328">
        <f>SUM(X63:X64)</f>
        <v>195063.8</v>
      </c>
      <c r="Y62" s="328">
        <f t="shared" ref="Y62:Z62" si="129">SUM(Y63:Y64)</f>
        <v>195063.8</v>
      </c>
      <c r="Z62" s="328">
        <f t="shared" si="129"/>
        <v>0</v>
      </c>
      <c r="AA62" s="328">
        <f>SUM(AA63:AA64)</f>
        <v>195063.8</v>
      </c>
      <c r="AB62" s="328">
        <f t="shared" ref="AB62:AC62" si="130">SUM(AB63:AB64)</f>
        <v>195063.8</v>
      </c>
      <c r="AC62" s="1656">
        <f t="shared" si="130"/>
        <v>0</v>
      </c>
    </row>
    <row r="63" spans="1:33"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328">
        <f>+'Phụ lục số 2'!Q45</f>
        <v>96175</v>
      </c>
      <c r="L63" s="328">
        <f>SUM(M63:N63)</f>
        <v>186007</v>
      </c>
      <c r="M63" s="328">
        <f>+'Phụ lục số 2'!U45</f>
        <v>89832</v>
      </c>
      <c r="N63" s="328">
        <f>+'Phụ lục số 2'!V45</f>
        <v>96175</v>
      </c>
      <c r="O63" s="328">
        <f>SUM(P63:Q63)</f>
        <v>186007</v>
      </c>
      <c r="P63" s="328">
        <f>+'Phụ lục số 2'!Z45</f>
        <v>89832</v>
      </c>
      <c r="Q63" s="328">
        <f>+'Phụ lục số 2'!AA45</f>
        <v>96175</v>
      </c>
      <c r="R63" s="5457">
        <f t="shared" si="56"/>
        <v>558021</v>
      </c>
      <c r="S63" s="5456">
        <f t="shared" si="57"/>
        <v>269496</v>
      </c>
      <c r="T63" s="5460">
        <f t="shared" si="5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1656"/>
    </row>
    <row r="64" spans="1:33" hidden="1">
      <c r="A64" s="603" t="s">
        <v>101</v>
      </c>
      <c r="B64" s="46" t="s">
        <v>102</v>
      </c>
      <c r="C64" s="196">
        <f t="shared" ref="C64:C68" si="13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328">
        <f>+'Phụ lục số 2'!Q46</f>
        <v>0</v>
      </c>
      <c r="L64" s="328">
        <f>SUM(M64:N64)</f>
        <v>35905</v>
      </c>
      <c r="M64" s="328">
        <f>+'Phụ lục số 2'!U46</f>
        <v>35905</v>
      </c>
      <c r="N64" s="328">
        <f>+'Phụ lục số 2'!V46</f>
        <v>0</v>
      </c>
      <c r="O64" s="328">
        <f>SUM(P64:Q64)</f>
        <v>35905</v>
      </c>
      <c r="P64" s="328">
        <f>+'Phụ lục số 2'!Z46</f>
        <v>35905</v>
      </c>
      <c r="Q64" s="328">
        <f>+'Phụ lục số 2'!AA46</f>
        <v>0</v>
      </c>
      <c r="R64" s="5457">
        <f t="shared" si="56"/>
        <v>107715</v>
      </c>
      <c r="S64" s="5456">
        <f t="shared" si="57"/>
        <v>107715</v>
      </c>
      <c r="T64" s="5460">
        <f t="shared" si="5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1656"/>
    </row>
    <row r="65" spans="1:33">
      <c r="A65" s="603">
        <v>3</v>
      </c>
      <c r="B65" s="46" t="s">
        <v>180</v>
      </c>
      <c r="C65" s="196">
        <f t="shared" si="131"/>
        <v>0</v>
      </c>
      <c r="D65" s="196">
        <f>SUM(D66:D67)</f>
        <v>0</v>
      </c>
      <c r="E65" s="196">
        <f t="shared" ref="E65" si="132">SUM(E66:E67)</f>
        <v>0</v>
      </c>
      <c r="F65" s="46">
        <f>SUM(F66:F67)</f>
        <v>138559</v>
      </c>
      <c r="G65" s="46">
        <f t="shared" ref="G65:N65" si="133">SUM(G66:G67)</f>
        <v>138559</v>
      </c>
      <c r="H65" s="46">
        <f t="shared" si="133"/>
        <v>0</v>
      </c>
      <c r="I65" s="46">
        <f>SUM(I66:I67)</f>
        <v>284586</v>
      </c>
      <c r="J65" s="46">
        <f t="shared" si="133"/>
        <v>126376</v>
      </c>
      <c r="K65" s="46">
        <f t="shared" si="133"/>
        <v>158210</v>
      </c>
      <c r="L65" s="46">
        <f>SUM(L66:L67)</f>
        <v>284586</v>
      </c>
      <c r="M65" s="46">
        <f t="shared" si="133"/>
        <v>126376</v>
      </c>
      <c r="N65" s="46">
        <f t="shared" si="133"/>
        <v>158210</v>
      </c>
      <c r="O65" s="328">
        <f>SUM(O66:O67)</f>
        <v>284586</v>
      </c>
      <c r="P65" s="328">
        <f t="shared" ref="P65:Q65" si="134">SUM(P66:P67)</f>
        <v>126376</v>
      </c>
      <c r="Q65" s="328">
        <f t="shared" si="134"/>
        <v>158210</v>
      </c>
      <c r="R65" s="5457">
        <f t="shared" si="56"/>
        <v>853758</v>
      </c>
      <c r="S65" s="5456">
        <f t="shared" si="57"/>
        <v>379128</v>
      </c>
      <c r="T65" s="5460">
        <f t="shared" si="58"/>
        <v>474630</v>
      </c>
      <c r="U65" s="1833">
        <f>SUM(U66:U67)</f>
        <v>379266</v>
      </c>
      <c r="V65" s="297">
        <f t="shared" ref="V65:W65" si="135">SUM(V66:V67)</f>
        <v>379266</v>
      </c>
      <c r="W65" s="297">
        <f t="shared" si="135"/>
        <v>0</v>
      </c>
      <c r="X65" s="297">
        <f>SUM(X66:X67)</f>
        <v>379266</v>
      </c>
      <c r="Y65" s="297">
        <f t="shared" ref="Y65:Z65" si="136">SUM(Y66:Y67)</f>
        <v>379266</v>
      </c>
      <c r="Z65" s="297">
        <f t="shared" si="136"/>
        <v>0</v>
      </c>
      <c r="AA65" s="328">
        <f>SUM(AA66:AA67)</f>
        <v>379266</v>
      </c>
      <c r="AB65" s="328">
        <f t="shared" ref="AB65:AC65" si="137">SUM(AB66:AB67)</f>
        <v>379266</v>
      </c>
      <c r="AC65" s="1656">
        <f t="shared" si="137"/>
        <v>0</v>
      </c>
      <c r="AE65" s="679">
        <f>+I56-AE56-6000</f>
        <v>19499.949999999953</v>
      </c>
      <c r="AF65" s="679">
        <f>368901-AE56</f>
        <v>18000</v>
      </c>
    </row>
    <row r="66" spans="1:33" hidden="1">
      <c r="A66" s="603" t="s">
        <v>99</v>
      </c>
      <c r="B66" s="46" t="s">
        <v>104</v>
      </c>
      <c r="C66" s="196">
        <f t="shared" si="13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328">
        <f>+'Phụ lục số 2'!Q48</f>
        <v>0</v>
      </c>
      <c r="L66" s="328">
        <f>SUM(M66:N66)</f>
        <v>0</v>
      </c>
      <c r="M66" s="328">
        <f>+'Phụ lục số 2'!U48</f>
        <v>0</v>
      </c>
      <c r="N66" s="328">
        <f>+'Phụ lục số 2'!V48</f>
        <v>0</v>
      </c>
      <c r="O66" s="328">
        <f>SUM(P66:Q66)</f>
        <v>0</v>
      </c>
      <c r="P66" s="328">
        <f>+'Phụ lục số 2'!Z48</f>
        <v>0</v>
      </c>
      <c r="Q66" s="328">
        <f>+'Phụ lục số 2'!AA48</f>
        <v>0</v>
      </c>
      <c r="R66" s="5457">
        <f t="shared" si="56"/>
        <v>0</v>
      </c>
      <c r="S66" s="5456">
        <f t="shared" si="57"/>
        <v>0</v>
      </c>
      <c r="T66" s="5460">
        <f t="shared" si="58"/>
        <v>0</v>
      </c>
      <c r="U66" s="1835">
        <f>SUM(V66:W66)</f>
        <v>0</v>
      </c>
      <c r="V66" s="328">
        <f>'Phụ lục số II'!AE43</f>
        <v>0</v>
      </c>
      <c r="W66" s="297"/>
      <c r="X66" s="328">
        <f>SUM(Y66:Z66)</f>
        <v>0</v>
      </c>
      <c r="Y66" s="328">
        <f>'Phụ lục số II'!AJ43</f>
        <v>0</v>
      </c>
      <c r="Z66" s="297"/>
      <c r="AA66" s="328">
        <f>SUM(AB66:AC66)</f>
        <v>0</v>
      </c>
      <c r="AB66" s="328">
        <f>'Phụ lục số II'!AO43</f>
        <v>0</v>
      </c>
      <c r="AC66" s="1656"/>
    </row>
    <row r="67" spans="1:33" hidden="1">
      <c r="A67" s="603" t="s">
        <v>101</v>
      </c>
      <c r="B67" s="46" t="s">
        <v>105</v>
      </c>
      <c r="C67" s="196">
        <f t="shared" si="13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328">
        <f>+'Phụ lục số 2'!Q49</f>
        <v>158210</v>
      </c>
      <c r="L67" s="328">
        <f>SUM(M67:N67)</f>
        <v>284586</v>
      </c>
      <c r="M67" s="328">
        <f>+'Phụ lục số 2'!U49</f>
        <v>126376</v>
      </c>
      <c r="N67" s="328">
        <f>+'Phụ lục số 2'!V49</f>
        <v>158210</v>
      </c>
      <c r="O67" s="328">
        <f>SUM(P67:Q67)</f>
        <v>284586</v>
      </c>
      <c r="P67" s="328">
        <f>+'Phụ lục số 2'!Z49</f>
        <v>126376</v>
      </c>
      <c r="Q67" s="328">
        <f>+'Phụ lục số 2'!AA49</f>
        <v>158210</v>
      </c>
      <c r="R67" s="5457">
        <f t="shared" si="56"/>
        <v>853758</v>
      </c>
      <c r="S67" s="5456">
        <f t="shared" si="57"/>
        <v>379128</v>
      </c>
      <c r="T67" s="5460">
        <f t="shared" si="5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1656"/>
      <c r="AG67" s="679">
        <f>+K67-J67</f>
        <v>31834</v>
      </c>
    </row>
    <row r="68" spans="1:33">
      <c r="A68" s="611" t="s">
        <v>182</v>
      </c>
      <c r="B68" s="1933" t="s">
        <v>181</v>
      </c>
      <c r="C68" s="195">
        <f t="shared" si="131"/>
        <v>0</v>
      </c>
      <c r="D68" s="196"/>
      <c r="E68" s="196"/>
      <c r="F68" s="45">
        <f>SUM(G68:H68)</f>
        <v>0</v>
      </c>
      <c r="G68" s="46">
        <f>+'Phụ lục số 2'!K50</f>
        <v>0</v>
      </c>
      <c r="H68" s="46">
        <f>+'Phụ lục số 2'!L50</f>
        <v>0</v>
      </c>
      <c r="I68" s="329">
        <f>SUM(J68:K68)</f>
        <v>0</v>
      </c>
      <c r="J68" s="329">
        <f>+'Phụ lục số 2'!P50</f>
        <v>0</v>
      </c>
      <c r="K68" s="329">
        <f>+'Phụ lục số 2'!Q50</f>
        <v>0</v>
      </c>
      <c r="L68" s="329">
        <f>SUM(M68:N68)</f>
        <v>0</v>
      </c>
      <c r="M68" s="329">
        <f>+'Phụ lục số 2'!U50</f>
        <v>0</v>
      </c>
      <c r="N68" s="329">
        <f>+'Phụ lục số 2'!V50</f>
        <v>0</v>
      </c>
      <c r="O68" s="329">
        <f>SUM(P68:Q68)</f>
        <v>0</v>
      </c>
      <c r="P68" s="329">
        <f>+'Phụ lục số 2'!Z50</f>
        <v>0</v>
      </c>
      <c r="Q68" s="329">
        <f>+'Phụ lục số 2'!AA50</f>
        <v>0</v>
      </c>
      <c r="R68" s="5457">
        <f t="shared" si="56"/>
        <v>0</v>
      </c>
      <c r="S68" s="5456">
        <f t="shared" si="57"/>
        <v>0</v>
      </c>
      <c r="T68" s="5460">
        <f t="shared" si="58"/>
        <v>0</v>
      </c>
      <c r="U68" s="1834">
        <f>SUM(V68:W68)</f>
        <v>0</v>
      </c>
      <c r="V68" s="329">
        <f>'Phụ lục số II'!AE45</f>
        <v>0</v>
      </c>
      <c r="W68" s="297"/>
      <c r="X68" s="329">
        <f>SUM(Y68:Z68)</f>
        <v>0</v>
      </c>
      <c r="Y68" s="329">
        <f>'Phụ lục số II'!AJ45</f>
        <v>0</v>
      </c>
      <c r="Z68" s="297"/>
      <c r="AA68" s="329">
        <f>SUM(AB68:AC68)</f>
        <v>0</v>
      </c>
      <c r="AB68" s="329">
        <f>'Phụ lục số II'!AO45</f>
        <v>0</v>
      </c>
      <c r="AC68" s="1656"/>
    </row>
    <row r="69" spans="1:33">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627"/>
      <c r="L69" s="329">
        <f>SUM(M69:N69)</f>
        <v>7078351.9069999997</v>
      </c>
      <c r="M69" s="329">
        <f>N18</f>
        <v>7078351.9069999997</v>
      </c>
      <c r="N69" s="330"/>
      <c r="O69" s="329">
        <f>SUM(P69:Q69)</f>
        <v>7078351.9069999997</v>
      </c>
      <c r="P69" s="329">
        <f>Q18</f>
        <v>7078351.9069999997</v>
      </c>
      <c r="Q69" s="329"/>
      <c r="R69" s="5457">
        <f t="shared" si="56"/>
        <v>21235055.721000001</v>
      </c>
      <c r="S69" s="5456">
        <f t="shared" si="57"/>
        <v>21235055.721000001</v>
      </c>
      <c r="T69" s="5460">
        <f t="shared" si="58"/>
        <v>0</v>
      </c>
      <c r="U69" s="1834">
        <f>SUM(V69:W69)</f>
        <v>5396882.9069999997</v>
      </c>
      <c r="V69" s="329">
        <f>W18</f>
        <v>5396882.9069999997</v>
      </c>
      <c r="W69" s="330"/>
      <c r="X69" s="329">
        <f>SUM(Y69:Z69)</f>
        <v>5396882.9069999997</v>
      </c>
      <c r="Y69" s="329">
        <f>Z18</f>
        <v>5396882.9069999997</v>
      </c>
      <c r="Z69" s="330"/>
      <c r="AA69" s="329">
        <f>SUM(AB69:AC69)</f>
        <v>5396882.9069999997</v>
      </c>
      <c r="AB69" s="329">
        <f>AC18</f>
        <v>5396882.9069999997</v>
      </c>
      <c r="AC69" s="1659"/>
    </row>
    <row r="70" spans="1:33">
      <c r="A70" s="611" t="s">
        <v>744</v>
      </c>
      <c r="B70" s="1923" t="s">
        <v>3233</v>
      </c>
      <c r="C70" s="195"/>
      <c r="D70" s="45"/>
      <c r="E70" s="46"/>
      <c r="F70" s="45"/>
      <c r="G70" s="45"/>
      <c r="H70" s="45"/>
      <c r="I70" s="4431">
        <f>SUM(J70:K70)</f>
        <v>5553.7960000000003</v>
      </c>
      <c r="J70" s="4431">
        <f>+'Phụ lục số 2'!P51</f>
        <v>5553.7960000000003</v>
      </c>
      <c r="K70" s="4431">
        <f>+'Phụ lục số 2'!Q51</f>
        <v>0</v>
      </c>
      <c r="L70" s="329">
        <f>+M70+N70</f>
        <v>0</v>
      </c>
      <c r="M70" s="329">
        <f>+'Phụ lục số 2'!U51</f>
        <v>0</v>
      </c>
      <c r="N70" s="329">
        <f>+'Phụ lục số 2'!V51</f>
        <v>0</v>
      </c>
      <c r="O70" s="329">
        <f>+P70+Q70</f>
        <v>0</v>
      </c>
      <c r="P70" s="329">
        <f>+'Phụ lục số 2'!Z51</f>
        <v>0</v>
      </c>
      <c r="Q70" s="329">
        <f>+'Phụ lục số 2'!AA51</f>
        <v>0</v>
      </c>
      <c r="R70" s="5457">
        <f t="shared" si="56"/>
        <v>5553.7960000000003</v>
      </c>
      <c r="S70" s="5456">
        <f t="shared" si="57"/>
        <v>5553.7960000000003</v>
      </c>
      <c r="T70" s="5460">
        <f t="shared" si="58"/>
        <v>0</v>
      </c>
      <c r="U70" s="5180"/>
      <c r="V70" s="5181"/>
      <c r="W70" s="5182"/>
      <c r="X70" s="5181"/>
      <c r="Y70" s="5181"/>
      <c r="Z70" s="5182"/>
      <c r="AA70" s="5181"/>
      <c r="AB70" s="5181"/>
      <c r="AC70" s="5183"/>
    </row>
    <row r="71" spans="1:33" s="1644" customFormat="1" ht="18.600000000000001" thickBo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193">
        <f>K8-K33-K72</f>
        <v>-3.7252902984619141E-9</v>
      </c>
      <c r="L71" s="2699">
        <f>M71+N71</f>
        <v>-8.7682716548442841E-4</v>
      </c>
      <c r="M71" s="2699">
        <f>M8-M33</f>
        <v>-5.6243687868118286E-4</v>
      </c>
      <c r="N71" s="2699">
        <f>N8-N33</f>
        <v>-3.1439028680324554E-4</v>
      </c>
      <c r="O71" s="2699">
        <f>P71+Q71</f>
        <v>1.939261332154274E-3</v>
      </c>
      <c r="P71" s="2699">
        <f>P8-P33</f>
        <v>2.6501379907131195E-3</v>
      </c>
      <c r="Q71" s="2699">
        <f>Q8-Q33</f>
        <v>-7.1087665855884552E-4</v>
      </c>
      <c r="R71" s="5457">
        <f t="shared" si="56"/>
        <v>1.0624285787343979E-3</v>
      </c>
      <c r="S71" s="5456">
        <f t="shared" si="57"/>
        <v>2.0876992493867874E-3</v>
      </c>
      <c r="T71" s="5460">
        <f t="shared" si="58"/>
        <v>-1.0252706706523895E-3</v>
      </c>
      <c r="U71" s="4908">
        <f>V71+W71</f>
        <v>-616133.23736638576</v>
      </c>
      <c r="V71" s="1660">
        <f>V8-V33</f>
        <v>1306261.7540754639</v>
      </c>
      <c r="W71" s="1660">
        <f>W8-W33</f>
        <v>-1922394.9914418496</v>
      </c>
      <c r="X71" s="1660">
        <f>Y71+Z71</f>
        <v>-284136.44699073583</v>
      </c>
      <c r="Y71" s="1660">
        <f>Y8-Y33</f>
        <v>1495168.4144874103</v>
      </c>
      <c r="Z71" s="1660">
        <f>Z8-Z33</f>
        <v>-1779304.8614781462</v>
      </c>
      <c r="AA71" s="1660">
        <f>AB71+AC71</f>
        <v>-288529.84032297321</v>
      </c>
      <c r="AB71" s="1660">
        <f>AB8-AB33</f>
        <v>1501963.567266468</v>
      </c>
      <c r="AC71" s="1661">
        <f>AC8-AC33</f>
        <v>-1790493.4075894412</v>
      </c>
    </row>
    <row r="72" spans="1:33" ht="19.2" thickTop="1" thickBot="1">
      <c r="A72" s="632" t="s">
        <v>46</v>
      </c>
      <c r="B72" s="2632" t="s">
        <v>347</v>
      </c>
      <c r="C72" s="4910"/>
      <c r="D72" s="4911"/>
      <c r="E72" s="4911"/>
      <c r="F72" s="1823"/>
      <c r="G72" s="4912"/>
      <c r="H72" s="4912"/>
      <c r="I72" s="4913">
        <f>SUM(J72:K72)</f>
        <v>186700</v>
      </c>
      <c r="J72" s="4913">
        <f>+'Phụ lục số 2'!P52</f>
        <v>186700</v>
      </c>
      <c r="K72" s="4913">
        <f>+'Phụ lục số 2'!Q52</f>
        <v>0</v>
      </c>
      <c r="L72" s="4914">
        <f>SUM(M72:N72)</f>
        <v>0</v>
      </c>
      <c r="M72" s="4914">
        <f>+'Phụ lục số 2'!U52</f>
        <v>0</v>
      </c>
      <c r="N72" s="4914">
        <f>+'Phụ lục số 2'!V52</f>
        <v>0</v>
      </c>
      <c r="O72" s="4914">
        <f>SUM(P72:Q72)</f>
        <v>0</v>
      </c>
      <c r="P72" s="4914">
        <f>+'Phụ lục số 2'!Z52</f>
        <v>0</v>
      </c>
      <c r="Q72" s="4914">
        <f>+'Phụ lục số 2'!AA52</f>
        <v>0</v>
      </c>
      <c r="R72" s="5465">
        <f t="shared" si="56"/>
        <v>186700</v>
      </c>
      <c r="S72" s="5466">
        <f t="shared" si="57"/>
        <v>186700</v>
      </c>
      <c r="T72" s="5467">
        <f t="shared" si="58"/>
        <v>0</v>
      </c>
      <c r="U72" s="1834"/>
      <c r="V72" s="329"/>
      <c r="W72" s="297"/>
      <c r="X72" s="329"/>
      <c r="Y72" s="329"/>
      <c r="Z72" s="297"/>
      <c r="AA72" s="329"/>
      <c r="AB72" s="329"/>
      <c r="AC72" s="1656"/>
    </row>
    <row r="73" spans="1:33" ht="18.600000000000001" thickTop="1">
      <c r="A73" s="1638"/>
      <c r="B73" s="2733"/>
      <c r="C73" s="5156"/>
      <c r="D73" s="5157"/>
      <c r="E73" s="5157"/>
      <c r="F73" s="5158"/>
      <c r="G73" s="5159"/>
      <c r="H73" s="5159"/>
      <c r="I73" s="5160"/>
      <c r="J73" s="5160"/>
      <c r="K73" s="5160"/>
      <c r="L73" s="5161"/>
      <c r="M73" s="5161"/>
      <c r="N73" s="2770"/>
      <c r="O73" s="5161"/>
      <c r="P73" s="5161"/>
      <c r="Q73" s="2750"/>
      <c r="R73" s="2750"/>
      <c r="S73" s="2750"/>
      <c r="T73" s="2750"/>
      <c r="U73" s="5161"/>
      <c r="V73" s="5161"/>
      <c r="W73" s="2770"/>
      <c r="X73" s="5161"/>
      <c r="Y73" s="5161"/>
      <c r="Z73" s="2770"/>
      <c r="AA73" s="5161"/>
      <c r="AB73" s="5161"/>
      <c r="AC73" s="2750"/>
    </row>
    <row r="74" spans="1:33">
      <c r="E74" s="679"/>
      <c r="F74" s="679"/>
      <c r="I74" s="679">
        <f>'Phụ lục số 5'!C175</f>
        <v>7390.4739999999929</v>
      </c>
      <c r="J74" s="679"/>
      <c r="K74" s="679"/>
      <c r="L74" s="679"/>
      <c r="O74" s="679"/>
      <c r="U74" s="679">
        <f>+U11-U34</f>
        <v>-525944.23736638576</v>
      </c>
      <c r="X74" s="679">
        <f>+X11-X34</f>
        <v>-453947.4469907321</v>
      </c>
      <c r="AA74" s="679">
        <f>+AA11-AA34</f>
        <v>-738340.84032297134</v>
      </c>
    </row>
    <row r="75" spans="1:33">
      <c r="F75" s="679"/>
      <c r="G75" s="679">
        <f>+'Phụ lục số 1'!O124</f>
        <v>12898.323635268956</v>
      </c>
      <c r="H75" s="679"/>
      <c r="I75" s="679">
        <f>I71-I74</f>
        <v>-7390.4740000055808</v>
      </c>
    </row>
    <row r="76" spans="1:33">
      <c r="F76" s="679"/>
      <c r="G76" s="679">
        <f>+G75-G71</f>
        <v>-5.2000001072883606E-2</v>
      </c>
      <c r="H76" s="679"/>
      <c r="I76" s="679"/>
      <c r="J76" s="679"/>
    </row>
    <row r="77" spans="1:33">
      <c r="E77" s="679"/>
      <c r="G77" s="679"/>
      <c r="H77" s="679"/>
      <c r="J77" s="679"/>
    </row>
    <row r="78" spans="1:33" s="49" customFormat="1" ht="17.399999999999999">
      <c r="A78" s="319" t="s">
        <v>3</v>
      </c>
      <c r="B78" s="49" t="s">
        <v>291</v>
      </c>
      <c r="F78" s="6080" t="s">
        <v>304</v>
      </c>
      <c r="G78" s="6080"/>
      <c r="H78" s="6080"/>
      <c r="I78" s="6080" t="s">
        <v>297</v>
      </c>
      <c r="J78" s="6080"/>
      <c r="K78" s="6080"/>
      <c r="L78" s="6080" t="s">
        <v>299</v>
      </c>
      <c r="M78" s="6080"/>
      <c r="N78" s="6080"/>
      <c r="O78" s="6080" t="s">
        <v>300</v>
      </c>
      <c r="P78" s="6080"/>
      <c r="Q78" s="6080"/>
      <c r="R78" s="319"/>
      <c r="S78" s="319"/>
      <c r="T78" s="319"/>
      <c r="U78" s="6080" t="s">
        <v>301</v>
      </c>
      <c r="V78" s="6080"/>
      <c r="W78" s="6080"/>
      <c r="X78" s="6080" t="s">
        <v>302</v>
      </c>
      <c r="Y78" s="6080"/>
      <c r="Z78" s="6080"/>
      <c r="AA78" s="6080" t="s">
        <v>303</v>
      </c>
      <c r="AB78" s="6080"/>
      <c r="AC78" s="6080"/>
    </row>
    <row r="79" spans="1:33" s="49" customFormat="1" ht="17.399999999999999">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c r="S79" s="321"/>
      <c r="T79" s="321"/>
      <c r="U79" s="321">
        <f>SUM(V79:W79)</f>
        <v>1178726.5500362348</v>
      </c>
      <c r="V79" s="321">
        <f>V12-P12</f>
        <v>763209.86515482329</v>
      </c>
      <c r="W79" s="321">
        <f>W12-Q12</f>
        <v>415516.68488141149</v>
      </c>
      <c r="X79" s="321">
        <f>SUM(Y79:Z79)</f>
        <v>995278.35072914604</v>
      </c>
      <c r="Y79" s="321">
        <f>Y12-V12</f>
        <v>570904.72215893678</v>
      </c>
      <c r="Z79" s="321">
        <f>Z12-W12</f>
        <v>424373.62857020926</v>
      </c>
      <c r="AA79" s="321">
        <f>SUM(AB79:AC79)</f>
        <v>1155409.9436806319</v>
      </c>
      <c r="AB79" s="321">
        <f>AB12-Y12</f>
        <v>446246.1963077113</v>
      </c>
      <c r="AC79" s="321">
        <f>AC12-Z12</f>
        <v>709163.74737292062</v>
      </c>
    </row>
    <row r="80" spans="1:33">
      <c r="A80" s="317">
        <v>2</v>
      </c>
      <c r="B80" s="47" t="s">
        <v>293</v>
      </c>
      <c r="F80" s="314">
        <f>SUM(F81:F83)</f>
        <v>189068</v>
      </c>
      <c r="G80" s="314">
        <f>SUM(G81:G83)</f>
        <v>189068</v>
      </c>
      <c r="H80" s="314">
        <f>SUM(H81:H83)</f>
        <v>0</v>
      </c>
      <c r="I80" s="314">
        <f>SUM(I81:I83)</f>
        <v>-432054.16200000001</v>
      </c>
      <c r="J80" s="314">
        <f t="shared" ref="J80:K80" si="138">SUM(J81:J83)</f>
        <v>-382554.16200000001</v>
      </c>
      <c r="K80" s="314">
        <f t="shared" si="138"/>
        <v>-49500</v>
      </c>
      <c r="L80" s="315">
        <f>SUM(L81:L83)</f>
        <v>367000</v>
      </c>
      <c r="M80" s="315">
        <f t="shared" ref="M80" si="139">SUM(M81:M83)</f>
        <v>200500</v>
      </c>
      <c r="N80" s="315">
        <f>SUM(N81:N83)</f>
        <v>166500</v>
      </c>
      <c r="O80" s="314">
        <f>SUM(O81:O83)</f>
        <v>10000</v>
      </c>
      <c r="P80" s="314">
        <f t="shared" ref="P80:Q80" si="140">SUM(P81:P83)</f>
        <v>10000</v>
      </c>
      <c r="Q80" s="314">
        <f t="shared" si="140"/>
        <v>0</v>
      </c>
      <c r="R80" s="314"/>
      <c r="S80" s="314"/>
      <c r="T80" s="314"/>
      <c r="U80" s="314">
        <f>SUM(U81:U83)</f>
        <v>610000</v>
      </c>
      <c r="V80" s="314">
        <f t="shared" ref="V80:W80" si="141">SUM(V81:V83)</f>
        <v>610000</v>
      </c>
      <c r="W80" s="314">
        <f t="shared" si="141"/>
        <v>0</v>
      </c>
      <c r="X80" s="314">
        <f>SUM(X81:X83)</f>
        <v>260000</v>
      </c>
      <c r="Y80" s="314">
        <f t="shared" ref="Y80:Z80" si="142">SUM(Y81:Y83)</f>
        <v>170000</v>
      </c>
      <c r="Z80" s="314">
        <f t="shared" si="142"/>
        <v>90000</v>
      </c>
      <c r="AA80" s="314">
        <f>SUM(AA81:AA83)</f>
        <v>280000</v>
      </c>
      <c r="AB80" s="314">
        <f t="shared" ref="AB80:AC80" si="143">SUM(AB81:AB83)</f>
        <v>145000</v>
      </c>
      <c r="AC80" s="314">
        <f t="shared" si="143"/>
        <v>135000</v>
      </c>
    </row>
    <row r="81" spans="1:29">
      <c r="A81" s="317" t="s">
        <v>29</v>
      </c>
      <c r="B81" s="47" t="s">
        <v>294</v>
      </c>
      <c r="F81" s="314">
        <f>SUM(G81:H81)</f>
        <v>0</v>
      </c>
      <c r="G81" s="314">
        <f t="shared" ref="G81:H83" si="144">G14-D14</f>
        <v>0</v>
      </c>
      <c r="H81" s="314">
        <f t="shared" si="144"/>
        <v>0</v>
      </c>
      <c r="I81" s="314">
        <f>SUM(J81:K81)</f>
        <v>-170000</v>
      </c>
      <c r="J81" s="314">
        <f t="shared" ref="J81:K83" si="145">J14-D14</f>
        <v>-120500</v>
      </c>
      <c r="K81" s="314">
        <f t="shared" si="145"/>
        <v>-49500</v>
      </c>
      <c r="L81" s="315">
        <f>SUM(M81:N81)</f>
        <v>200000</v>
      </c>
      <c r="M81" s="315">
        <f t="shared" ref="M81:N83" si="146">M14-J14</f>
        <v>33500</v>
      </c>
      <c r="N81" s="315">
        <f>N14-K14</f>
        <v>166500</v>
      </c>
      <c r="O81" s="314">
        <f>SUM(P81:Q81)</f>
        <v>0</v>
      </c>
      <c r="P81" s="314">
        <f t="shared" ref="P81:Q83" si="147">P14-M14</f>
        <v>0</v>
      </c>
      <c r="Q81" s="314">
        <f t="shared" si="147"/>
        <v>0</v>
      </c>
      <c r="R81" s="314"/>
      <c r="S81" s="314"/>
      <c r="T81" s="314"/>
      <c r="U81" s="314">
        <f>SUM(V81:W81)</f>
        <v>0</v>
      </c>
      <c r="V81" s="314">
        <f t="shared" ref="V81:W83" si="148">V14-P14</f>
        <v>0</v>
      </c>
      <c r="W81" s="314">
        <f t="shared" si="148"/>
        <v>0</v>
      </c>
      <c r="X81" s="314">
        <f>SUM(Y81:Z81)</f>
        <v>150000</v>
      </c>
      <c r="Y81" s="314">
        <f t="shared" ref="Y81:Z83" si="149">Y14-V14</f>
        <v>60000</v>
      </c>
      <c r="Z81" s="314">
        <f t="shared" si="149"/>
        <v>90000</v>
      </c>
      <c r="AA81" s="314">
        <f>SUM(AB81:AC81)</f>
        <v>150000</v>
      </c>
      <c r="AB81" s="314">
        <f t="shared" ref="AB81:AC83" si="150">AB14-Y14</f>
        <v>15000</v>
      </c>
      <c r="AC81" s="314">
        <f t="shared" si="150"/>
        <v>135000</v>
      </c>
    </row>
    <row r="82" spans="1:29">
      <c r="A82" s="317"/>
      <c r="B82" s="47" t="s">
        <v>295</v>
      </c>
      <c r="F82" s="314">
        <f t="shared" ref="F82:F83" si="151">SUM(G82:H82)</f>
        <v>200000</v>
      </c>
      <c r="G82" s="314">
        <f t="shared" si="144"/>
        <v>200000</v>
      </c>
      <c r="H82" s="314">
        <f t="shared" si="144"/>
        <v>0</v>
      </c>
      <c r="I82" s="314">
        <f t="shared" ref="I82:I83" si="152">SUM(J82:K82)</f>
        <v>150000</v>
      </c>
      <c r="J82" s="314">
        <f t="shared" si="145"/>
        <v>150000</v>
      </c>
      <c r="K82" s="314">
        <f t="shared" si="145"/>
        <v>0</v>
      </c>
      <c r="L82" s="315">
        <f t="shared" ref="L82:L83" si="153">SUM(M82:N82)</f>
        <v>100000</v>
      </c>
      <c r="M82" s="315">
        <f t="shared" si="146"/>
        <v>100000</v>
      </c>
      <c r="N82" s="315">
        <f t="shared" si="146"/>
        <v>0</v>
      </c>
      <c r="O82" s="314">
        <f t="shared" ref="O82:O83" si="154">SUM(P82:Q82)</f>
        <v>0</v>
      </c>
      <c r="P82" s="314">
        <f t="shared" si="147"/>
        <v>0</v>
      </c>
      <c r="Q82" s="314">
        <f t="shared" si="147"/>
        <v>0</v>
      </c>
      <c r="R82" s="314"/>
      <c r="S82" s="314"/>
      <c r="T82" s="314"/>
      <c r="U82" s="314">
        <f t="shared" ref="U82:U83" si="155">SUM(V82:W82)</f>
        <v>600000</v>
      </c>
      <c r="V82" s="314">
        <f t="shared" si="148"/>
        <v>600000</v>
      </c>
      <c r="W82" s="314">
        <f t="shared" si="148"/>
        <v>0</v>
      </c>
      <c r="X82" s="314">
        <f t="shared" ref="X82:X83" si="156">SUM(Y82:Z82)</f>
        <v>100000</v>
      </c>
      <c r="Y82" s="314">
        <f t="shared" si="149"/>
        <v>100000</v>
      </c>
      <c r="Z82" s="314">
        <f t="shared" si="149"/>
        <v>0</v>
      </c>
      <c r="AA82" s="314">
        <f t="shared" ref="AA82:AA83" si="157">SUM(AB82:AC82)</f>
        <v>100000</v>
      </c>
      <c r="AB82" s="314">
        <f t="shared" si="150"/>
        <v>100000</v>
      </c>
      <c r="AC82" s="314">
        <f t="shared" si="150"/>
        <v>0</v>
      </c>
    </row>
    <row r="83" spans="1:29">
      <c r="A83" s="317"/>
      <c r="B83" s="47" t="s">
        <v>296</v>
      </c>
      <c r="F83" s="314">
        <f t="shared" si="151"/>
        <v>-10932</v>
      </c>
      <c r="G83" s="314">
        <f t="shared" si="144"/>
        <v>-10932</v>
      </c>
      <c r="H83" s="314">
        <f t="shared" si="144"/>
        <v>0</v>
      </c>
      <c r="I83" s="314">
        <f t="shared" si="152"/>
        <v>-412054.16200000001</v>
      </c>
      <c r="J83" s="314">
        <f t="shared" si="145"/>
        <v>-412054.16200000001</v>
      </c>
      <c r="K83" s="314">
        <f t="shared" si="145"/>
        <v>0</v>
      </c>
      <c r="L83" s="315">
        <f t="shared" si="153"/>
        <v>67000</v>
      </c>
      <c r="M83" s="315">
        <f t="shared" si="146"/>
        <v>67000</v>
      </c>
      <c r="N83" s="315">
        <f t="shared" si="146"/>
        <v>0</v>
      </c>
      <c r="O83" s="314">
        <f t="shared" si="154"/>
        <v>10000</v>
      </c>
      <c r="P83" s="314">
        <f t="shared" si="147"/>
        <v>10000</v>
      </c>
      <c r="Q83" s="314">
        <f t="shared" si="147"/>
        <v>0</v>
      </c>
      <c r="R83" s="314"/>
      <c r="S83" s="314"/>
      <c r="T83" s="314"/>
      <c r="U83" s="314">
        <f t="shared" si="155"/>
        <v>10000</v>
      </c>
      <c r="V83" s="314">
        <f t="shared" si="148"/>
        <v>10000</v>
      </c>
      <c r="W83" s="314">
        <f t="shared" si="148"/>
        <v>0</v>
      </c>
      <c r="X83" s="314">
        <f t="shared" si="156"/>
        <v>10000</v>
      </c>
      <c r="Y83" s="314">
        <f t="shared" si="149"/>
        <v>10000</v>
      </c>
      <c r="Z83" s="314">
        <f t="shared" si="149"/>
        <v>0</v>
      </c>
      <c r="AA83" s="314">
        <f t="shared" si="157"/>
        <v>30000</v>
      </c>
      <c r="AB83" s="314">
        <f t="shared" si="150"/>
        <v>30000</v>
      </c>
      <c r="AC83" s="314">
        <f t="shared" si="150"/>
        <v>0</v>
      </c>
    </row>
    <row r="84" spans="1:29" s="49" customFormat="1" ht="17.399999999999999">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c r="S84" s="327"/>
      <c r="T84" s="327"/>
      <c r="U84" s="327">
        <f>SUM(V84:W84)</f>
        <v>568726.55003623478</v>
      </c>
      <c r="V84" s="327">
        <f>V79-V80</f>
        <v>153209.86515482329</v>
      </c>
      <c r="W84" s="327">
        <f>W79-W80</f>
        <v>415516.68488141149</v>
      </c>
      <c r="X84" s="327">
        <f>SUM(Y84:Z84)</f>
        <v>735278.35072914604</v>
      </c>
      <c r="Y84" s="327">
        <f>Y79-Y80</f>
        <v>400904.72215893678</v>
      </c>
      <c r="Z84" s="327">
        <f>Z79-Z80</f>
        <v>334373.62857020926</v>
      </c>
      <c r="AA84" s="327">
        <f>SUM(AB84:AC84)</f>
        <v>875409.94368063193</v>
      </c>
      <c r="AB84" s="327">
        <f>AB79-AB80</f>
        <v>301246.1963077113</v>
      </c>
      <c r="AC84" s="327">
        <f>AC79-AC80</f>
        <v>574163.74737292062</v>
      </c>
    </row>
    <row r="85" spans="1:29">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c r="S85" s="314"/>
      <c r="T85" s="314"/>
      <c r="U85" s="314">
        <f>SUM(V85:W85)</f>
        <v>284363.27501811739</v>
      </c>
      <c r="V85" s="314">
        <f>V84*50%</f>
        <v>76604.932577411644</v>
      </c>
      <c r="W85" s="314">
        <f>W84*50%</f>
        <v>207758.34244070575</v>
      </c>
      <c r="X85" s="314">
        <f>SUM(Y85:Z85)</f>
        <v>367639.17536457302</v>
      </c>
      <c r="Y85" s="314">
        <f>Y84*50%</f>
        <v>200452.36107946839</v>
      </c>
      <c r="Z85" s="314">
        <f>Z84*50%</f>
        <v>167186.81428510463</v>
      </c>
      <c r="AA85" s="314">
        <f>SUM(AB85:AC85)</f>
        <v>437704.97184031596</v>
      </c>
      <c r="AB85" s="314">
        <f>AB84*50%</f>
        <v>150623.09815385565</v>
      </c>
      <c r="AC85" s="314">
        <f>AC84*50%</f>
        <v>287081.87368646031</v>
      </c>
    </row>
    <row r="86" spans="1:29" s="49" customFormat="1" ht="17.399999999999999">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c r="S86" s="321"/>
      <c r="T86" s="321"/>
      <c r="U86" s="321">
        <f>SUM(V86:W86)</f>
        <v>-954515.60247548111</v>
      </c>
      <c r="V86" s="321">
        <f>V11-P11</f>
        <v>735245.35546068288</v>
      </c>
      <c r="W86" s="321">
        <f>W11-Q11</f>
        <v>-1689760.957936164</v>
      </c>
      <c r="X86" s="321">
        <f>SUM(Y86:Z86)</f>
        <v>1824036.100617392</v>
      </c>
      <c r="Y86" s="321">
        <f>Y11-V11</f>
        <v>909332.25768231228</v>
      </c>
      <c r="Z86" s="321">
        <f>Z11-W11</f>
        <v>914703.84293507971</v>
      </c>
      <c r="AA86" s="321">
        <f>SUM(AB86:AC86)</f>
        <v>1358707.6190452036</v>
      </c>
      <c r="AB86" s="321">
        <f>AB11-Y11</f>
        <v>608168.55738718063</v>
      </c>
      <c r="AC86" s="321">
        <f>AC11-Z11</f>
        <v>750539.06165802293</v>
      </c>
    </row>
    <row r="87" spans="1:29" s="49" customFormat="1" ht="17.399999999999999">
      <c r="B87" s="318"/>
      <c r="I87" s="321">
        <f t="shared" ref="I87" si="158">I86/2</f>
        <v>1678352.0980000002</v>
      </c>
      <c r="J87" s="321">
        <f>J86/2</f>
        <v>1005224.5980000002</v>
      </c>
      <c r="K87" s="321">
        <f>K86/2</f>
        <v>673127.5</v>
      </c>
      <c r="L87" s="321">
        <f t="shared" ref="L87:AC87" si="159">L86/2</f>
        <v>190712.88923171628</v>
      </c>
      <c r="M87" s="321">
        <f>M86/2</f>
        <v>163988.13441414107</v>
      </c>
      <c r="N87" s="321">
        <f t="shared" si="159"/>
        <v>26724.754817575216</v>
      </c>
      <c r="O87" s="321">
        <f t="shared" si="159"/>
        <v>370097.26267940272</v>
      </c>
      <c r="P87" s="321">
        <f>P86/2</f>
        <v>223177.74568062928</v>
      </c>
      <c r="Q87" s="321">
        <f>Q86/2</f>
        <v>146919.51699877344</v>
      </c>
      <c r="R87" s="321"/>
      <c r="S87" s="321"/>
      <c r="T87" s="321"/>
      <c r="U87" s="321">
        <f t="shared" si="159"/>
        <v>-477257.80123774055</v>
      </c>
      <c r="V87" s="321">
        <f t="shared" si="159"/>
        <v>367622.67773034144</v>
      </c>
      <c r="W87" s="321">
        <f t="shared" si="159"/>
        <v>-844880.478968082</v>
      </c>
      <c r="X87" s="321">
        <f t="shared" si="159"/>
        <v>912018.05030869599</v>
      </c>
      <c r="Y87" s="321">
        <f t="shared" si="159"/>
        <v>454666.12884115614</v>
      </c>
      <c r="Z87" s="321">
        <f t="shared" si="159"/>
        <v>457351.92146753985</v>
      </c>
      <c r="AA87" s="321">
        <f t="shared" si="159"/>
        <v>679353.80952260178</v>
      </c>
      <c r="AB87" s="321">
        <f t="shared" si="159"/>
        <v>304084.27869359031</v>
      </c>
      <c r="AC87" s="321">
        <f t="shared" si="159"/>
        <v>375269.53082901146</v>
      </c>
    </row>
    <row r="88" spans="1:29">
      <c r="A88" s="1638" t="s">
        <v>33</v>
      </c>
      <c r="B88" s="49" t="s">
        <v>307</v>
      </c>
      <c r="I88" s="320">
        <f>(I87-I85)*2</f>
        <v>3102115.4000000008</v>
      </c>
      <c r="J88" s="320">
        <f>(J87-J85)*2</f>
        <v>1598580.4000000008</v>
      </c>
      <c r="K88" s="320">
        <f>(K87-K85)*2</f>
        <v>1503535</v>
      </c>
    </row>
    <row r="89" spans="1:29">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AC89" si="160">L11/I11</f>
        <v>1.0182482960662396</v>
      </c>
      <c r="M89" s="322">
        <f>M11/J11</f>
        <v>1.029257988954106</v>
      </c>
      <c r="N89" s="322">
        <f t="shared" si="160"/>
        <v>1.0055146977727174</v>
      </c>
      <c r="O89" s="322">
        <f t="shared" si="160"/>
        <v>1.0347779880417205</v>
      </c>
      <c r="P89" s="322">
        <f t="shared" si="160"/>
        <v>1.0386864328104346</v>
      </c>
      <c r="Q89" s="322">
        <f t="shared" si="160"/>
        <v>1.0301508149778584</v>
      </c>
      <c r="R89" s="322"/>
      <c r="S89" s="322"/>
      <c r="T89" s="322"/>
      <c r="U89" s="322">
        <f>U11/O11</f>
        <v>0.95665944831702432</v>
      </c>
      <c r="V89" s="322">
        <f>V11/P11</f>
        <v>1.0613515635045905</v>
      </c>
      <c r="W89" s="322">
        <f>W11/Q11</f>
        <v>0.83168840752344952</v>
      </c>
      <c r="X89" s="322">
        <f t="shared" si="160"/>
        <v>1.0865739968047279</v>
      </c>
      <c r="Y89" s="322">
        <f t="shared" si="160"/>
        <v>1.0714918735735333</v>
      </c>
      <c r="Z89" s="322">
        <f t="shared" si="160"/>
        <v>1.1095490493479578</v>
      </c>
      <c r="AA89" s="322">
        <f t="shared" si="160"/>
        <v>1.0593500024861615</v>
      </c>
      <c r="AB89" s="322">
        <f t="shared" si="160"/>
        <v>1.0446240684083217</v>
      </c>
      <c r="AC89" s="322">
        <f t="shared" si="160"/>
        <v>1.0810130352352516</v>
      </c>
    </row>
    <row r="90" spans="1:29">
      <c r="B90" s="47" t="s">
        <v>308</v>
      </c>
      <c r="F90" s="1535">
        <f>(F89-1)/2</f>
        <v>-3.4972395340088225E-4</v>
      </c>
      <c r="G90" s="1535">
        <f>(G89-1)/2</f>
        <v>9.585800416359147E-3</v>
      </c>
      <c r="H90" s="1535">
        <f>(H89-1)/2</f>
        <v>-1.1301208000971008E-2</v>
      </c>
      <c r="I90" s="323">
        <f>(I89-1)/2</f>
        <v>9.5658270567200776E-2</v>
      </c>
      <c r="J90" s="322">
        <f>(J89-1)/2</f>
        <v>0.10927122787874322</v>
      </c>
      <c r="K90" s="323">
        <f t="shared" ref="K90:AC90" si="161">(K89-1)/2</f>
        <v>8.0653316697693711E-2</v>
      </c>
      <c r="L90" s="323">
        <f t="shared" si="161"/>
        <v>9.1241480331197833E-3</v>
      </c>
      <c r="M90" s="323">
        <f t="shared" si="161"/>
        <v>1.4628994477053014E-2</v>
      </c>
      <c r="N90" s="323">
        <f t="shared" si="161"/>
        <v>2.7573488863587015E-3</v>
      </c>
      <c r="O90" s="323">
        <f t="shared" si="161"/>
        <v>1.7388994020860249E-2</v>
      </c>
      <c r="P90" s="323">
        <f t="shared" si="161"/>
        <v>1.9343216405217301E-2</v>
      </c>
      <c r="Q90" s="323">
        <f t="shared" si="161"/>
        <v>1.5075407488929216E-2</v>
      </c>
      <c r="R90" s="323"/>
      <c r="S90" s="323"/>
      <c r="T90" s="323"/>
      <c r="U90" s="323">
        <f t="shared" si="161"/>
        <v>-2.167027584148784E-2</v>
      </c>
      <c r="V90" s="323">
        <f t="shared" si="161"/>
        <v>3.0675781752295239E-2</v>
      </c>
      <c r="W90" s="323">
        <f t="shared" si="161"/>
        <v>-8.4155796238275238E-2</v>
      </c>
      <c r="X90" s="323">
        <f t="shared" si="161"/>
        <v>4.3286998402363941E-2</v>
      </c>
      <c r="Y90" s="323">
        <f t="shared" si="161"/>
        <v>3.574593678676663E-2</v>
      </c>
      <c r="Z90" s="323">
        <f t="shared" si="161"/>
        <v>5.4774524673978919E-2</v>
      </c>
      <c r="AA90" s="323">
        <f t="shared" si="161"/>
        <v>2.9675001243080756E-2</v>
      </c>
      <c r="AB90" s="323">
        <f t="shared" si="161"/>
        <v>2.2312034204160835E-2</v>
      </c>
      <c r="AC90" s="323">
        <f t="shared" si="161"/>
        <v>4.0506517617625803E-2</v>
      </c>
    </row>
    <row r="91" spans="1:29" s="49" customFormat="1" ht="34.799999999999997">
      <c r="B91" s="324" t="s">
        <v>310</v>
      </c>
      <c r="F91" s="325">
        <f t="shared" ref="F91:AC91" si="162">1+F90</f>
        <v>0.99965027604659906</v>
      </c>
      <c r="G91" s="325">
        <f t="shared" si="162"/>
        <v>1.0095858004163591</v>
      </c>
      <c r="H91" s="325">
        <f t="shared" si="162"/>
        <v>0.98869879199902899</v>
      </c>
      <c r="I91" s="325">
        <f t="shared" si="162"/>
        <v>1.0956582705672009</v>
      </c>
      <c r="J91" s="326">
        <f t="shared" si="162"/>
        <v>1.1092712278787431</v>
      </c>
      <c r="K91" s="325">
        <f t="shared" si="162"/>
        <v>1.0806533166976937</v>
      </c>
      <c r="L91" s="325">
        <f t="shared" si="162"/>
        <v>1.0091241480331199</v>
      </c>
      <c r="M91" s="325">
        <f>1+M90</f>
        <v>1.014628994477053</v>
      </c>
      <c r="N91" s="325">
        <f>1+N90</f>
        <v>1.0027573488863588</v>
      </c>
      <c r="O91" s="325">
        <f t="shared" si="162"/>
        <v>1.0173889940208602</v>
      </c>
      <c r="P91" s="325">
        <f>1+P90</f>
        <v>1.0193432164052174</v>
      </c>
      <c r="Q91" s="325">
        <f t="shared" si="162"/>
        <v>1.0150754074889292</v>
      </c>
      <c r="R91" s="325"/>
      <c r="S91" s="325"/>
      <c r="T91" s="325"/>
      <c r="U91" s="325">
        <f t="shared" si="162"/>
        <v>0.97832972415851216</v>
      </c>
      <c r="V91" s="325">
        <f t="shared" si="162"/>
        <v>1.0306757817522954</v>
      </c>
      <c r="W91" s="325">
        <f t="shared" si="162"/>
        <v>0.91584420376172471</v>
      </c>
      <c r="X91" s="325">
        <f t="shared" si="162"/>
        <v>1.0432869984023641</v>
      </c>
      <c r="Y91" s="325">
        <f t="shared" si="162"/>
        <v>1.0357459367867667</v>
      </c>
      <c r="Z91" s="325">
        <f t="shared" si="162"/>
        <v>1.054774524673979</v>
      </c>
      <c r="AA91" s="325">
        <f t="shared" si="162"/>
        <v>1.0296750012430809</v>
      </c>
      <c r="AB91" s="325">
        <f t="shared" si="162"/>
        <v>1.0223120342041607</v>
      </c>
      <c r="AC91" s="325">
        <f t="shared" si="162"/>
        <v>1.0405065176176258</v>
      </c>
    </row>
    <row r="92" spans="1:29">
      <c r="G92" s="1536"/>
      <c r="H92" s="1536"/>
      <c r="J92" s="1535"/>
      <c r="K92" s="1535"/>
      <c r="M92" s="325"/>
      <c r="N92" s="325"/>
    </row>
    <row r="94" spans="1:29">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Q94" si="163">+P17/M17</f>
        <v>1.0913453591099325</v>
      </c>
      <c r="Q94" s="1535">
        <f t="shared" si="163"/>
        <v>1.1252446569115417</v>
      </c>
      <c r="R94" s="1535"/>
      <c r="S94" s="1535"/>
      <c r="T94" s="1535"/>
    </row>
    <row r="95" spans="1:29">
      <c r="F95" s="1535">
        <f t="shared" ref="F95:Q95" si="164">+(F94-1)/2</f>
        <v>-3.8287476375996554E-2</v>
      </c>
      <c r="G95" s="1535">
        <f>+(G94-1)/2</f>
        <v>3.3383346624398236E-3</v>
      </c>
      <c r="H95" s="1535">
        <f t="shared" si="164"/>
        <v>-6.7047319819175388E-2</v>
      </c>
      <c r="I95" s="1535">
        <f t="shared" si="164"/>
        <v>2.6923917655295226E-2</v>
      </c>
      <c r="J95" s="1535">
        <f t="shared" si="164"/>
        <v>0.1065995796775111</v>
      </c>
      <c r="K95" s="1535">
        <f t="shared" si="164"/>
        <v>-2.8125089410889537E-2</v>
      </c>
      <c r="L95" s="1535">
        <f t="shared" si="164"/>
        <v>8.0534184748857096E-2</v>
      </c>
      <c r="M95" s="1535">
        <f t="shared" si="164"/>
        <v>6.9969287567270833E-2</v>
      </c>
      <c r="N95" s="1535">
        <f t="shared" si="164"/>
        <v>8.9917672736689158E-2</v>
      </c>
      <c r="O95" s="1535">
        <f t="shared" si="164"/>
        <v>5.4794506840103674E-2</v>
      </c>
      <c r="P95" s="1535">
        <f t="shared" si="164"/>
        <v>4.5672679554966233E-2</v>
      </c>
      <c r="Q95" s="1535">
        <f t="shared" si="164"/>
        <v>6.262232845577087E-2</v>
      </c>
      <c r="R95" s="1535"/>
      <c r="S95" s="1535"/>
      <c r="T95" s="1535"/>
    </row>
    <row r="96" spans="1:29">
      <c r="F96" s="1535">
        <f>1+F95</f>
        <v>0.96171252362400339</v>
      </c>
      <c r="G96" s="1535">
        <f t="shared" ref="G96" si="165">1+G95</f>
        <v>1.0033383346624398</v>
      </c>
      <c r="H96" s="1535">
        <f>1+H95</f>
        <v>0.93295268018082456</v>
      </c>
      <c r="I96" s="1535">
        <f>1+I95</f>
        <v>1.0269239176552953</v>
      </c>
      <c r="J96" s="1535">
        <f>1+J95</f>
        <v>1.106599579677511</v>
      </c>
      <c r="K96" s="1535">
        <f t="shared" ref="K96" si="166">1+K95</f>
        <v>0.97187491058911046</v>
      </c>
      <c r="L96" s="1535">
        <f>1+L95</f>
        <v>1.0805341847488572</v>
      </c>
      <c r="M96" s="1535">
        <f>1+M95</f>
        <v>1.0699692875672708</v>
      </c>
      <c r="N96" s="1535">
        <f t="shared" ref="N96" si="167">1+N95</f>
        <v>1.0899176727366893</v>
      </c>
      <c r="O96" s="1535">
        <f>1+O95</f>
        <v>1.0547945068401037</v>
      </c>
      <c r="P96" s="1535">
        <f>1+P95</f>
        <v>1.0456726795549662</v>
      </c>
      <c r="Q96" s="1535">
        <f t="shared" ref="Q96" si="168">1+Q95</f>
        <v>1.0626223284557708</v>
      </c>
      <c r="R96" s="1535"/>
      <c r="S96" s="1535"/>
      <c r="T96" s="1535"/>
    </row>
    <row r="97" spans="2:20">
      <c r="F97" s="679"/>
    </row>
    <row r="99" spans="2:20">
      <c r="B99" s="47" t="s">
        <v>117</v>
      </c>
    </row>
    <row r="100" spans="2:20">
      <c r="D100" s="679"/>
      <c r="E100" s="314"/>
      <c r="J100" s="679"/>
      <c r="K100" s="679"/>
    </row>
    <row r="101" spans="2:20">
      <c r="J101" s="1535">
        <f>+J56/D56</f>
        <v>1.0768078925920259</v>
      </c>
      <c r="K101" s="1535">
        <f>+K56/E56</f>
        <v>1.2097728133390657</v>
      </c>
      <c r="M101" s="679">
        <f>+M11-J11</f>
        <v>327976.26882828213</v>
      </c>
      <c r="N101" s="679">
        <f>+N11-K11</f>
        <v>53449.509635150433</v>
      </c>
    </row>
    <row r="103" spans="2:20">
      <c r="J103" s="1536"/>
      <c r="K103" s="1536"/>
    </row>
    <row r="105" spans="2:20">
      <c r="D105" s="314"/>
      <c r="E105" s="314"/>
      <c r="J105" s="314"/>
      <c r="K105" s="314"/>
      <c r="M105" s="314"/>
      <c r="N105" s="314"/>
      <c r="P105" s="314"/>
      <c r="Q105" s="314"/>
      <c r="R105" s="314"/>
      <c r="S105" s="314"/>
      <c r="T105" s="314"/>
    </row>
    <row r="106" spans="2:20">
      <c r="H106" s="679"/>
    </row>
    <row r="107" spans="2:20">
      <c r="H107" s="679"/>
    </row>
    <row r="108" spans="2:20">
      <c r="H108" s="679"/>
      <c r="J108" s="1536"/>
      <c r="K108" s="1536"/>
      <c r="M108" s="1536"/>
      <c r="N108" s="1536"/>
      <c r="P108" s="1536"/>
      <c r="Q108" s="1536"/>
      <c r="R108" s="1536"/>
      <c r="S108" s="1536"/>
      <c r="T108" s="1536"/>
    </row>
    <row r="109" spans="2:20">
      <c r="H109" s="4805"/>
    </row>
    <row r="112" spans="2:20">
      <c r="I112" s="679">
        <f>+I8-I33</f>
        <v>186699.99999999627</v>
      </c>
      <c r="J112" s="679">
        <f>+J8-J33</f>
        <v>186699.99999999814</v>
      </c>
      <c r="K112" s="679">
        <f>+K8-K33</f>
        <v>0</v>
      </c>
    </row>
    <row r="115" spans="7:7">
      <c r="G115" s="2088"/>
    </row>
  </sheetData>
  <mergeCells count="21">
    <mergeCell ref="A1:K1"/>
    <mergeCell ref="A2:K2"/>
    <mergeCell ref="A3:K3"/>
    <mergeCell ref="A6:A7"/>
    <mergeCell ref="B6:B7"/>
    <mergeCell ref="C6:E6"/>
    <mergeCell ref="F6:H6"/>
    <mergeCell ref="I6:K6"/>
    <mergeCell ref="F78:H78"/>
    <mergeCell ref="I78:K78"/>
    <mergeCell ref="L78:N78"/>
    <mergeCell ref="O78:Q78"/>
    <mergeCell ref="U78:W78"/>
    <mergeCell ref="X78:Z78"/>
    <mergeCell ref="AA78:AC78"/>
    <mergeCell ref="R6:T6"/>
    <mergeCell ref="L6:N6"/>
    <mergeCell ref="O6:Q6"/>
    <mergeCell ref="U6:W6"/>
    <mergeCell ref="X6:Z6"/>
    <mergeCell ref="AA6:AC6"/>
  </mergeCells>
  <hyperlinks>
    <hyperlink ref="A6:A7" location="'Danh mục file'!A1" display="TT"/>
  </hyperlinks>
  <printOptions horizontalCentered="1"/>
  <pageMargins left="0" right="0" top="0.39370078740157483" bottom="0" header="0" footer="0"/>
  <pageSetup paperSize="9" scale="40" orientation="landscape" horizontalDpi="1200" verticalDpi="1200" r:id="rId1"/>
  <headerFooter>
    <oddHeader>&amp;R&amp;"Times New Roman,Bold"&amp;9&amp;A</oddHeader>
    <oddFooter>&amp;C&amp;"Times New Roman,Bold"&amp;9&amp;P/&amp;N</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60" zoomScaleNormal="60" workbookViewId="0">
      <pane xSplit="8" ySplit="8" topLeftCell="I9"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6640625" style="47"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31" width="9.109375" style="30"/>
    <col min="32" max="32" width="12" style="30" bestFit="1" customWidth="1"/>
    <col min="33" max="34" width="9.109375" style="30"/>
    <col min="35" max="35" width="12.44140625" style="30" customWidth="1"/>
    <col min="36" max="16384" width="9.109375" style="30"/>
  </cols>
  <sheetData>
    <row r="1" spans="1:32" ht="13.8">
      <c r="A1" s="6067" t="s">
        <v>230</v>
      </c>
      <c r="B1" s="6067"/>
      <c r="C1" s="6067"/>
      <c r="D1" s="6067"/>
      <c r="E1" s="6067"/>
      <c r="F1" s="6067"/>
      <c r="G1" s="6067"/>
      <c r="H1" s="6067"/>
      <c r="I1" s="6067"/>
      <c r="J1" s="6067"/>
      <c r="K1" s="6067"/>
    </row>
    <row r="2" spans="1:32" ht="14.4">
      <c r="A2" s="6093" t="s">
        <v>231</v>
      </c>
      <c r="B2" s="6093"/>
      <c r="C2" s="6093"/>
      <c r="D2" s="6093"/>
      <c r="E2" s="6093"/>
      <c r="F2" s="6093"/>
      <c r="G2" s="6093"/>
      <c r="H2" s="6093"/>
      <c r="I2" s="6093"/>
      <c r="J2" s="6093"/>
      <c r="K2" s="6093"/>
    </row>
    <row r="3" spans="1:32" ht="13.8">
      <c r="A3" s="6094">
        <f>'Phụ lục số III-CĐC'!A3:K3</f>
        <v>0</v>
      </c>
      <c r="B3" s="6094"/>
      <c r="C3" s="6094"/>
      <c r="D3" s="6094"/>
      <c r="E3" s="6094"/>
      <c r="F3" s="6094"/>
      <c r="G3" s="6094"/>
      <c r="H3" s="6094"/>
      <c r="I3" s="6094"/>
      <c r="J3" s="6094"/>
      <c r="K3" s="6094"/>
    </row>
    <row r="5" spans="1:32" ht="18.600000000000001" thickBot="1">
      <c r="I5" s="32"/>
      <c r="J5" s="32"/>
      <c r="K5" s="32"/>
      <c r="L5" s="32"/>
      <c r="O5" s="32"/>
      <c r="U5" s="32">
        <f>+U10-U34</f>
        <v>-236867.23736638576</v>
      </c>
      <c r="X5" s="32">
        <f>+X10-X34</f>
        <v>95129.553009264171</v>
      </c>
      <c r="AA5" s="32">
        <f>+AA10-AA34</f>
        <v>90736.159677028656</v>
      </c>
    </row>
    <row r="6" spans="1:32" thickTop="1">
      <c r="A6" s="6551" t="s">
        <v>200</v>
      </c>
      <c r="B6" s="6553" t="s">
        <v>201</v>
      </c>
      <c r="C6" s="6555" t="s">
        <v>219</v>
      </c>
      <c r="D6" s="6555"/>
      <c r="E6" s="6555"/>
      <c r="F6" s="6555" t="s">
        <v>223</v>
      </c>
      <c r="G6" s="6555"/>
      <c r="H6" s="6555"/>
      <c r="I6" s="6548" t="s">
        <v>224</v>
      </c>
      <c r="J6" s="6548"/>
      <c r="K6" s="6548"/>
      <c r="L6" s="6548" t="s">
        <v>225</v>
      </c>
      <c r="M6" s="6548"/>
      <c r="N6" s="6548"/>
      <c r="O6" s="6548" t="s">
        <v>226</v>
      </c>
      <c r="P6" s="6548"/>
      <c r="Q6" s="6549"/>
      <c r="R6" s="6225" t="s">
        <v>3264</v>
      </c>
      <c r="S6" s="6226"/>
      <c r="T6" s="6227"/>
      <c r="U6" s="6550" t="s">
        <v>227</v>
      </c>
      <c r="V6" s="6091"/>
      <c r="W6" s="6091"/>
      <c r="X6" s="6091" t="s">
        <v>228</v>
      </c>
      <c r="Y6" s="6091"/>
      <c r="Z6" s="6091"/>
      <c r="AA6" s="6091" t="s">
        <v>229</v>
      </c>
      <c r="AB6" s="6091"/>
      <c r="AC6" s="6092"/>
    </row>
    <row r="7" spans="1:32" ht="17.399999999999999">
      <c r="A7" s="6552"/>
      <c r="B7" s="6554"/>
      <c r="C7" s="1571" t="s">
        <v>220</v>
      </c>
      <c r="D7" s="1572" t="s">
        <v>221</v>
      </c>
      <c r="E7" s="1572" t="s">
        <v>222</v>
      </c>
      <c r="F7" s="1573" t="s">
        <v>220</v>
      </c>
      <c r="G7" s="1574" t="s">
        <v>221</v>
      </c>
      <c r="H7" s="1574" t="s">
        <v>222</v>
      </c>
      <c r="I7" s="1573" t="s">
        <v>220</v>
      </c>
      <c r="J7" s="1574" t="s">
        <v>221</v>
      </c>
      <c r="K7" s="1574" t="s">
        <v>222</v>
      </c>
      <c r="L7" s="1573" t="s">
        <v>220</v>
      </c>
      <c r="M7" s="1574" t="s">
        <v>221</v>
      </c>
      <c r="N7" s="1574" t="s">
        <v>222</v>
      </c>
      <c r="O7" s="1573" t="s">
        <v>220</v>
      </c>
      <c r="P7" s="1574" t="s">
        <v>221</v>
      </c>
      <c r="Q7" s="5468" t="s">
        <v>222</v>
      </c>
      <c r="R7" s="50" t="s">
        <v>220</v>
      </c>
      <c r="S7" s="51" t="s">
        <v>221</v>
      </c>
      <c r="T7" s="1640" t="s">
        <v>222</v>
      </c>
      <c r="U7" s="4868" t="s">
        <v>220</v>
      </c>
      <c r="V7" s="342" t="s">
        <v>221</v>
      </c>
      <c r="W7" s="342" t="s">
        <v>222</v>
      </c>
      <c r="X7" s="341" t="s">
        <v>220</v>
      </c>
      <c r="Y7" s="342" t="s">
        <v>221</v>
      </c>
      <c r="Z7" s="342" t="s">
        <v>222</v>
      </c>
      <c r="AA7" s="353" t="s">
        <v>220</v>
      </c>
      <c r="AB7" s="354" t="s">
        <v>221</v>
      </c>
      <c r="AC7" s="355" t="s">
        <v>222</v>
      </c>
    </row>
    <row r="8" spans="1:32" s="123" customFormat="1" ht="17.399999999999999">
      <c r="A8" s="4873" t="s">
        <v>1</v>
      </c>
      <c r="B8" s="4874" t="s">
        <v>233</v>
      </c>
      <c r="C8" s="1642">
        <f>SUM(D8:E8)</f>
        <v>19035463.162</v>
      </c>
      <c r="D8" s="1642">
        <f>SUM(D12+D18+D31+D32)</f>
        <v>14210383.162</v>
      </c>
      <c r="E8" s="1642">
        <f>SUM(E12+E18+E31+E32)</f>
        <v>4825080</v>
      </c>
      <c r="F8" s="125">
        <f>SUM(G8:H8)</f>
        <v>19350818.14563527</v>
      </c>
      <c r="G8" s="125">
        <f>SUM(G12+G18+G31+G32)</f>
        <v>14714376.485635269</v>
      </c>
      <c r="H8" s="125">
        <f t="shared" ref="H8" si="0">SUM(H12+H18+H31+H32)</f>
        <v>4636441.66</v>
      </c>
      <c r="I8" s="1642">
        <f>SUM(J8:K8)</f>
        <v>21559594.195999999</v>
      </c>
      <c r="J8" s="1642">
        <f>SUM(J12+J18+J31+J32)</f>
        <v>16886294.195999999</v>
      </c>
      <c r="K8" s="1642">
        <f>SUM(K12+K18+K31+K32)</f>
        <v>4673300</v>
      </c>
      <c r="L8" s="125">
        <f>SUM(M8:N8)</f>
        <v>22308019.974463433</v>
      </c>
      <c r="M8" s="125">
        <f>SUM(M12+M18+M31+M32)</f>
        <v>17414770.464828283</v>
      </c>
      <c r="N8" s="125">
        <f t="shared" ref="N8" si="1">SUM(N12+N18+N31+N32)</f>
        <v>4893249.5096351504</v>
      </c>
      <c r="O8" s="125">
        <f>SUM(P8:Q8)</f>
        <v>23058214.499822237</v>
      </c>
      <c r="P8" s="125">
        <f>SUM(P12+P18+P31+P32)</f>
        <v>17871125.956189539</v>
      </c>
      <c r="Q8" s="5469">
        <f t="shared" ref="Q8" si="2">SUM(Q12+Q18+Q31+Q32)</f>
        <v>5187088.5436326973</v>
      </c>
      <c r="R8" s="125">
        <f>SUM(S8:T8)</f>
        <v>66925828.670285672</v>
      </c>
      <c r="S8" s="125">
        <f>SUM(S12+S18+S31+S32)</f>
        <v>52172190.617017828</v>
      </c>
      <c r="T8" s="4875">
        <f t="shared" ref="T8" si="3">SUM(T12+T18+T31+T32)</f>
        <v>14753638.053267848</v>
      </c>
      <c r="U8" s="4869">
        <f>SUM(V8:W8)</f>
        <v>24654958.697346758</v>
      </c>
      <c r="V8" s="339">
        <f>SUM(V12+V18+V31+V32)</f>
        <v>19476162.111650225</v>
      </c>
      <c r="W8" s="339">
        <f t="shared" ref="W8" si="4">SUM(W12+W18+W31+W32)</f>
        <v>5178796.5856965333</v>
      </c>
      <c r="X8" s="339">
        <f>SUM(Y8:Z8)</f>
        <v>26738994.797964144</v>
      </c>
      <c r="Y8" s="339">
        <f>SUM(Y12+Y18+Y31+Y32)</f>
        <v>20555494.369332533</v>
      </c>
      <c r="Z8" s="339">
        <f t="shared" ref="Z8" si="5">SUM(Z12+Z18+Z31+Z32)</f>
        <v>6183500.4286316112</v>
      </c>
      <c r="AA8" s="339">
        <f>SUM(AB8:AC8)</f>
        <v>28377702.41700935</v>
      </c>
      <c r="AB8" s="339">
        <f>SUM(AB12+AB18+AB31+AB32)</f>
        <v>21308662.926719714</v>
      </c>
      <c r="AC8" s="340">
        <f t="shared" ref="AC8" si="6">SUM(AC12+AC18+AC31+AC32)</f>
        <v>7069039.4902896369</v>
      </c>
      <c r="AF8" s="5141">
        <f>+I8-I33</f>
        <v>186699.99999999627</v>
      </c>
    </row>
    <row r="9" spans="1:32" s="124" customFormat="1">
      <c r="A9" s="4876"/>
      <c r="B9" s="4877" t="s">
        <v>234</v>
      </c>
      <c r="C9" s="195"/>
      <c r="D9" s="195"/>
      <c r="E9" s="195"/>
      <c r="F9" s="45"/>
      <c r="G9" s="45"/>
      <c r="H9" s="45"/>
      <c r="I9" s="46"/>
      <c r="J9" s="46"/>
      <c r="K9" s="46"/>
      <c r="L9" s="46"/>
      <c r="M9" s="46"/>
      <c r="N9" s="46"/>
      <c r="O9" s="46"/>
      <c r="P9" s="924"/>
      <c r="Q9" s="5470"/>
      <c r="R9" s="46"/>
      <c r="S9" s="924"/>
      <c r="T9" s="2744"/>
      <c r="U9" s="1863"/>
      <c r="V9" s="300"/>
      <c r="W9" s="300"/>
      <c r="X9" s="299"/>
      <c r="Y9" s="300"/>
      <c r="Z9" s="300"/>
      <c r="AA9" s="299"/>
      <c r="AB9" s="300"/>
      <c r="AC9" s="301"/>
    </row>
    <row r="10" spans="1:32" s="124" customFormat="1" ht="17.399999999999999">
      <c r="A10" s="4878"/>
      <c r="B10" s="4879" t="s">
        <v>235</v>
      </c>
      <c r="C10" s="195">
        <f>SUM(D10:E10)</f>
        <v>17046487.162</v>
      </c>
      <c r="D10" s="195">
        <f>SUM(D12,D19,D20,D31)</f>
        <v>12221407.162</v>
      </c>
      <c r="E10" s="195">
        <f>SUM(E12,E19,E20,E31)</f>
        <v>4825080</v>
      </c>
      <c r="F10" s="45">
        <f>SUM(G10:H10)</f>
        <v>17223283.14563527</v>
      </c>
      <c r="G10" s="195">
        <f>SUM(G12,G19,G20,G31)</f>
        <v>12586841.485635269</v>
      </c>
      <c r="H10" s="195">
        <f>SUM(H12,H19,H20,H31)</f>
        <v>4636441.66</v>
      </c>
      <c r="I10" s="45">
        <f>SUM(J10:K10)</f>
        <v>18522602.196000002</v>
      </c>
      <c r="J10" s="195">
        <f>SUM(J12,J19,J20,J31)</f>
        <v>13849302.196</v>
      </c>
      <c r="K10" s="195">
        <f>SUM(K12,K19,K20,K31)</f>
        <v>4673300</v>
      </c>
      <c r="L10" s="45">
        <f>SUM(M10:N10)</f>
        <v>17154432.974463433</v>
      </c>
      <c r="M10" s="126">
        <f>SUM(M12,M19,M29,M31)</f>
        <v>12261183.464828283</v>
      </c>
      <c r="N10" s="126">
        <f>SUM(N12,N19,N29,N31)</f>
        <v>4893249.5096351504</v>
      </c>
      <c r="O10" s="45">
        <f>SUM(P10:Q10)</f>
        <v>17904627.499822237</v>
      </c>
      <c r="P10" s="126">
        <f>SUM(P12,P19,P29,P31)</f>
        <v>12717538.956189541</v>
      </c>
      <c r="Q10" s="5471">
        <f>SUM(Q12,Q19,Q29,Q31)</f>
        <v>5187088.5436326973</v>
      </c>
      <c r="R10" s="45">
        <f>SUM(S10:T10)</f>
        <v>51465067.670285672</v>
      </c>
      <c r="S10" s="126">
        <f>SUM(S12,S19,S29,S31)</f>
        <v>36711429.617017828</v>
      </c>
      <c r="T10" s="4880">
        <f>SUM(T12,T19,T29,T31)</f>
        <v>14753638.053267848</v>
      </c>
      <c r="U10" s="1840">
        <f>SUM(V10:W10)</f>
        <v>21358175.897346757</v>
      </c>
      <c r="V10" s="302">
        <f>SUM(V12,V19,V29,V31)</f>
        <v>16179379.311650224</v>
      </c>
      <c r="W10" s="302">
        <f>SUM(W12,W19,W29,W31)</f>
        <v>5178796.5856965333</v>
      </c>
      <c r="X10" s="298">
        <f>SUM(Y10:Z10)</f>
        <v>23442211.997964147</v>
      </c>
      <c r="Y10" s="302">
        <f>SUM(Y12,Y19,Y29,Y31)</f>
        <v>17258711.569332536</v>
      </c>
      <c r="Z10" s="302">
        <f>SUM(Z12,Z19,Z29,Z31)</f>
        <v>6183500.4286316112</v>
      </c>
      <c r="AA10" s="298">
        <f>SUM(AB10:AC10)</f>
        <v>25080919.617009353</v>
      </c>
      <c r="AB10" s="302">
        <f>SUM(AB12,AB19,AB29,AB31)</f>
        <v>18011880.126719717</v>
      </c>
      <c r="AC10" s="303">
        <f>SUM(AC12,AC19,AC29,AC31)</f>
        <v>7069039.4902896369</v>
      </c>
    </row>
    <row r="11" spans="1:32" s="124" customFormat="1" ht="17.399999999999999">
      <c r="A11" s="4878"/>
      <c r="B11" s="4879" t="s">
        <v>236</v>
      </c>
      <c r="C11" s="195">
        <f>SUM(D11:E11)</f>
        <v>12881433</v>
      </c>
      <c r="D11" s="195">
        <f>D10-D14-D15-D16</f>
        <v>9199353</v>
      </c>
      <c r="E11" s="195">
        <f t="shared" ref="E11" si="7">E10-E14-E15-E16</f>
        <v>3682080</v>
      </c>
      <c r="F11" s="45">
        <f>SUM(G11:H11)</f>
        <v>12869160.983635269</v>
      </c>
      <c r="G11" s="126">
        <f>G10-G14-G15-G16</f>
        <v>9375719.323635269</v>
      </c>
      <c r="H11" s="126">
        <f t="shared" ref="H11" si="8">H10-H14-H15-H16</f>
        <v>3493441.66</v>
      </c>
      <c r="I11" s="45">
        <f>SUM(J11:K11)</f>
        <v>14789602.196</v>
      </c>
      <c r="J11" s="195">
        <f>J10-J14-J15-J16</f>
        <v>11209802.196</v>
      </c>
      <c r="K11" s="195">
        <f t="shared" ref="K11" si="9">K10-K14-K15-K16</f>
        <v>3579800</v>
      </c>
      <c r="L11" s="45">
        <f>SUM(M11:N11)</f>
        <v>13054432.974463433</v>
      </c>
      <c r="M11" s="126">
        <f>M10-M14-M15-M16</f>
        <v>9421183.4648282826</v>
      </c>
      <c r="N11" s="126">
        <f t="shared" ref="N11" si="10">N10-N14-N15-N16</f>
        <v>3633249.5096351504</v>
      </c>
      <c r="O11" s="45">
        <f>SUM(P11:Q11)</f>
        <v>13794627.499822238</v>
      </c>
      <c r="P11" s="126">
        <f>P10-P14-P15-P16</f>
        <v>9867538.9561895411</v>
      </c>
      <c r="Q11" s="5471">
        <f t="shared" ref="Q11" si="11">Q10-Q14-Q15-Q16</f>
        <v>3927088.5436326973</v>
      </c>
      <c r="R11" s="45">
        <f>SUM(S11:T11)</f>
        <v>39522067.670285672</v>
      </c>
      <c r="S11" s="126">
        <f>S10-S14-S15-S16</f>
        <v>28381929.617017828</v>
      </c>
      <c r="T11" s="4880">
        <f t="shared" ref="T11" si="12">T10-T14-T15-T16</f>
        <v>11140138.053267848</v>
      </c>
      <c r="U11" s="1840">
        <f>SUM(V11:W11)</f>
        <v>16638175.897346757</v>
      </c>
      <c r="V11" s="302">
        <f>V10-V14-V15-V16</f>
        <v>12719379.311650224</v>
      </c>
      <c r="W11" s="302">
        <f t="shared" ref="W11" si="13">W10-W14-W15-W16</f>
        <v>3918796.5856965333</v>
      </c>
      <c r="X11" s="298">
        <f>SUM(Y11:Z11)</f>
        <v>18462211.997964147</v>
      </c>
      <c r="Y11" s="302">
        <f>Y10-Y14-Y15-Y16</f>
        <v>13628711.569332536</v>
      </c>
      <c r="Z11" s="302">
        <f t="shared" ref="Z11" si="14">Z10-Z14-Z15-Z16</f>
        <v>4833500.4286316112</v>
      </c>
      <c r="AA11" s="298">
        <f>SUM(AB11:AC11)</f>
        <v>19820919.617009353</v>
      </c>
      <c r="AB11" s="302">
        <f>AB10-AB14-AB15-AB16</f>
        <v>14236880.126719717</v>
      </c>
      <c r="AC11" s="303">
        <f t="shared" ref="AC11" si="15">AC10-AC14-AC15-AC16</f>
        <v>5584039.4902896369</v>
      </c>
    </row>
    <row r="12" spans="1:32" s="124" customFormat="1">
      <c r="A12" s="4878" t="s">
        <v>3</v>
      </c>
      <c r="B12" s="4879" t="s">
        <v>202</v>
      </c>
      <c r="C12" s="195">
        <f>SUM(D12:E12)</f>
        <v>8892984.1620000005</v>
      </c>
      <c r="D12" s="195">
        <f>'Phụ lục số I'!H10</f>
        <v>4953904.1620000005</v>
      </c>
      <c r="E12" s="195">
        <f>'Phụ lục số I'!I10</f>
        <v>3939080</v>
      </c>
      <c r="F12" s="45">
        <f>SUM(G12:H12)</f>
        <v>8720011.1456352696</v>
      </c>
      <c r="G12" s="45">
        <f>+'Phụ lục số 1'!O10</f>
        <v>5155870.4856352694</v>
      </c>
      <c r="H12" s="45">
        <f>+'Phụ lục số 1'!P10</f>
        <v>3564140.66</v>
      </c>
      <c r="I12" s="46">
        <f>SUM(J12:K12)</f>
        <v>8715518.7960000001</v>
      </c>
      <c r="J12" s="46">
        <f>+'Phụ lục số 1'!U10</f>
        <v>4983218.7960000001</v>
      </c>
      <c r="K12" s="46">
        <f>+'Phụ lục số 1'!V10</f>
        <v>3732300</v>
      </c>
      <c r="L12" s="46">
        <f>SUM(M12:N12)</f>
        <v>9885044.974463433</v>
      </c>
      <c r="M12" s="46">
        <f>+'Phụ lục số 1'!AA10</f>
        <v>5511695.4648282835</v>
      </c>
      <c r="N12" s="46">
        <f>+'Phụ lục số 1'!AB10</f>
        <v>4373349.5096351504</v>
      </c>
      <c r="O12" s="46">
        <f>SUM(P12:Q12)</f>
        <v>10529022.347310523</v>
      </c>
      <c r="P12" s="924">
        <f>+'Phụ lục số 1'!AG10</f>
        <v>5765742.4464954007</v>
      </c>
      <c r="Q12" s="5470">
        <f>+'Phụ lục số 1'!AH10</f>
        <v>4763279.9008151218</v>
      </c>
      <c r="R12" s="924">
        <f>SUM(S12:T12)</f>
        <v>29129586.117773958</v>
      </c>
      <c r="S12" s="924">
        <f>+P12+M12+J12</f>
        <v>16260656.707323685</v>
      </c>
      <c r="T12" s="2744">
        <f>+Q12+N12+K12</f>
        <v>12868929.410450272</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32">
      <c r="A13" s="4878"/>
      <c r="B13" s="4879" t="s">
        <v>186</v>
      </c>
      <c r="C13" s="46"/>
      <c r="D13" s="46"/>
      <c r="E13" s="46"/>
      <c r="F13" s="46"/>
      <c r="G13" s="46"/>
      <c r="H13" s="46"/>
      <c r="I13" s="46"/>
      <c r="J13" s="46"/>
      <c r="K13" s="46"/>
      <c r="L13" s="46"/>
      <c r="M13" s="46"/>
      <c r="N13" s="46"/>
      <c r="O13" s="46"/>
      <c r="P13" s="924"/>
      <c r="Q13" s="5470"/>
      <c r="R13" s="924">
        <f t="shared" ref="R13:R73" si="16">SUM(S13:T13)</f>
        <v>0</v>
      </c>
      <c r="S13" s="924">
        <f t="shared" ref="S13:S73" si="17">+P13+M13+J13</f>
        <v>0</v>
      </c>
      <c r="T13" s="2744">
        <f t="shared" ref="T13:T73" si="18">+Q13+N13+K13</f>
        <v>0</v>
      </c>
      <c r="U13" s="1863"/>
      <c r="V13" s="300"/>
      <c r="W13" s="300"/>
      <c r="X13" s="299"/>
      <c r="Y13" s="300"/>
      <c r="Z13" s="300"/>
      <c r="AA13" s="299"/>
      <c r="AB13" s="300"/>
      <c r="AC13" s="301"/>
    </row>
    <row r="14" spans="1:32" s="29" customFormat="1">
      <c r="A14" s="4881"/>
      <c r="B14" s="4882" t="s">
        <v>242</v>
      </c>
      <c r="C14" s="1639">
        <f>SUM(D14:E14)</f>
        <v>1770000</v>
      </c>
      <c r="D14" s="1639">
        <f>'Phụ lục số I'!H42</f>
        <v>627000</v>
      </c>
      <c r="E14" s="1639">
        <f>'Phụ lục số I'!I42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2900">
        <f>+'Phụ lục số 1'!AG42</f>
        <v>540000</v>
      </c>
      <c r="Q14" s="5472">
        <f>+'Phụ lục số 1'!AH42</f>
        <v>1260000</v>
      </c>
      <c r="R14" s="924">
        <f t="shared" si="16"/>
        <v>5200000</v>
      </c>
      <c r="S14" s="924">
        <f t="shared" si="17"/>
        <v>1586500</v>
      </c>
      <c r="T14" s="2744">
        <f t="shared" si="18"/>
        <v>3613500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32">
      <c r="A15" s="4881"/>
      <c r="B15" s="4883" t="s">
        <v>243</v>
      </c>
      <c r="C15" s="1639">
        <f>SUM(D15:E15)</f>
        <v>1950000</v>
      </c>
      <c r="D15" s="1639">
        <f>'Phụ lục số I'!H50</f>
        <v>1950000</v>
      </c>
      <c r="E15" s="1639">
        <f>'Phụ lục số I'!I50</f>
        <v>0</v>
      </c>
      <c r="F15" s="193">
        <f t="shared" ref="F15:F17" si="19">SUM(G15:H15)</f>
        <v>2150000</v>
      </c>
      <c r="G15" s="193">
        <f>+'Phụ lục số 1'!O50</f>
        <v>2150000</v>
      </c>
      <c r="H15" s="193">
        <f>+'Phụ lục số 1'!P50</f>
        <v>0</v>
      </c>
      <c r="I15" s="193">
        <f t="shared" ref="I15:I17" si="20">SUM(J15:K15)</f>
        <v>2100000</v>
      </c>
      <c r="J15" s="193">
        <f>+'Phụ lục số 1'!U50</f>
        <v>2100000</v>
      </c>
      <c r="K15" s="193">
        <f>+'Phụ lục số 1'!V50</f>
        <v>0</v>
      </c>
      <c r="L15" s="193">
        <f t="shared" ref="L15:L17" si="21">SUM(M15:N15)</f>
        <v>2200000</v>
      </c>
      <c r="M15" s="193">
        <f>+'Phụ lục số 1'!AA50</f>
        <v>2200000</v>
      </c>
      <c r="N15" s="193">
        <f>+'Phụ lục số 1'!AB50</f>
        <v>0</v>
      </c>
      <c r="O15" s="193">
        <f t="shared" ref="O15:O17" si="22">SUM(P15:Q15)</f>
        <v>2200000</v>
      </c>
      <c r="P15" s="2900">
        <f>+'Phụ lục số 1'!AG50</f>
        <v>2200000</v>
      </c>
      <c r="Q15" s="5472">
        <f>+'Phụ lục số 1'!AH50</f>
        <v>0</v>
      </c>
      <c r="R15" s="924">
        <f t="shared" si="16"/>
        <v>6500000</v>
      </c>
      <c r="S15" s="924">
        <f t="shared" si="17"/>
        <v>6500000</v>
      </c>
      <c r="T15" s="2744">
        <f t="shared" si="18"/>
        <v>0</v>
      </c>
      <c r="U15" s="1870">
        <f t="shared" ref="U15:U17" si="23">SUM(V15:W15)</f>
        <v>2800000</v>
      </c>
      <c r="V15" s="305">
        <f>'Phụ lục số I'!AM50</f>
        <v>2800000</v>
      </c>
      <c r="W15" s="305">
        <f>'Phụ lục số I'!AN50</f>
        <v>0</v>
      </c>
      <c r="X15" s="304">
        <f t="shared" ref="X15:X17" si="24">SUM(Y15:Z15)</f>
        <v>2900000</v>
      </c>
      <c r="Y15" s="305">
        <f>'Phụ lục số I'!AS50</f>
        <v>2900000</v>
      </c>
      <c r="Z15" s="305">
        <f>'Phụ lục số I'!AT50</f>
        <v>0</v>
      </c>
      <c r="AA15" s="304">
        <f t="shared" ref="AA15:AA17" si="25">SUM(AB15:AC15)</f>
        <v>3000000</v>
      </c>
      <c r="AB15" s="305">
        <f>'Phụ lục số I'!AY50</f>
        <v>3000000</v>
      </c>
      <c r="AC15" s="306">
        <f>'Phụ lục số I'!AZ50</f>
        <v>0</v>
      </c>
    </row>
    <row r="16" spans="1:32">
      <c r="A16" s="4881"/>
      <c r="B16" s="4883" t="s">
        <v>244</v>
      </c>
      <c r="C16" s="1639">
        <f>SUM(D16:E16)</f>
        <v>445054.16200000001</v>
      </c>
      <c r="D16" s="1639">
        <f>'Phụ lục số I'!H47</f>
        <v>445054.16200000001</v>
      </c>
      <c r="E16" s="1639">
        <f>'Phụ lục số I'!I47</f>
        <v>0</v>
      </c>
      <c r="F16" s="193">
        <f t="shared" si="19"/>
        <v>434122.16200000001</v>
      </c>
      <c r="G16" s="193">
        <f>+'Phụ lục số 1'!O47</f>
        <v>434122.16200000001</v>
      </c>
      <c r="H16" s="193">
        <f>+'Phụ lục số 1'!P47</f>
        <v>0</v>
      </c>
      <c r="I16" s="193">
        <f t="shared" si="20"/>
        <v>33000</v>
      </c>
      <c r="J16" s="193">
        <f>+'Phụ lục số 1'!U47</f>
        <v>33000</v>
      </c>
      <c r="K16" s="193">
        <f>+'Phụ lục số 1'!V47</f>
        <v>0</v>
      </c>
      <c r="L16" s="193">
        <f t="shared" si="21"/>
        <v>100000</v>
      </c>
      <c r="M16" s="193">
        <f>+'Phụ lục số 1'!AA47</f>
        <v>100000</v>
      </c>
      <c r="N16" s="193">
        <f>+'Phụ lục số 1'!AB47</f>
        <v>0</v>
      </c>
      <c r="O16" s="193">
        <f t="shared" si="22"/>
        <v>110000</v>
      </c>
      <c r="P16" s="2900">
        <f>+'Phụ lục số 1'!AG47</f>
        <v>110000</v>
      </c>
      <c r="Q16" s="5472">
        <f>+'Phụ lục số 1'!AH47</f>
        <v>0</v>
      </c>
      <c r="R16" s="924">
        <f t="shared" si="16"/>
        <v>243000</v>
      </c>
      <c r="S16" s="924">
        <f t="shared" si="17"/>
        <v>243000</v>
      </c>
      <c r="T16" s="2744">
        <f t="shared" si="18"/>
        <v>0</v>
      </c>
      <c r="U16" s="1870">
        <f t="shared" si="23"/>
        <v>120000</v>
      </c>
      <c r="V16" s="305">
        <f>'Phụ lục số I'!AM47</f>
        <v>120000</v>
      </c>
      <c r="W16" s="305">
        <f>'Phụ lục số I'!AN47</f>
        <v>0</v>
      </c>
      <c r="X16" s="304">
        <f t="shared" si="24"/>
        <v>130000</v>
      </c>
      <c r="Y16" s="305">
        <f>'Phụ lục số I'!AS47</f>
        <v>130000</v>
      </c>
      <c r="Z16" s="305">
        <f>'Phụ lục số I'!AT47</f>
        <v>0</v>
      </c>
      <c r="AA16" s="304">
        <f t="shared" si="25"/>
        <v>160000</v>
      </c>
      <c r="AB16" s="305">
        <f>'Phụ lục số I'!AY47</f>
        <v>160000</v>
      </c>
      <c r="AC16" s="306">
        <f>'Phụ lục số I'!AZ47</f>
        <v>0</v>
      </c>
    </row>
    <row r="17" spans="1:29">
      <c r="A17" s="4881"/>
      <c r="B17" s="4883" t="s">
        <v>245</v>
      </c>
      <c r="C17" s="1639">
        <f>SUM(D17:E17)</f>
        <v>4727930</v>
      </c>
      <c r="D17" s="1639">
        <f>D12-D14-D15-D16</f>
        <v>1931850.0000000005</v>
      </c>
      <c r="E17" s="1639">
        <f t="shared" ref="E17" si="26">E12-E14-E15-E16</f>
        <v>2796080</v>
      </c>
      <c r="F17" s="193">
        <f t="shared" si="19"/>
        <v>4365888.9836352691</v>
      </c>
      <c r="G17" s="129">
        <f>G12-G14-G15-G16</f>
        <v>1944748.3236352694</v>
      </c>
      <c r="H17" s="129">
        <f t="shared" ref="H17" si="27">H12-H14-H15-H16</f>
        <v>2421140.66</v>
      </c>
      <c r="I17" s="2900">
        <f t="shared" si="20"/>
        <v>4982518.7960000001</v>
      </c>
      <c r="J17" s="1639">
        <f>J12-J14-J15-J16</f>
        <v>2343718.7960000001</v>
      </c>
      <c r="K17" s="1639">
        <f t="shared" ref="K17" si="28">K12-K14-K15-K16</f>
        <v>2638800</v>
      </c>
      <c r="L17" s="193">
        <f t="shared" si="21"/>
        <v>5785044.974463434</v>
      </c>
      <c r="M17" s="129">
        <f>M12-M14-M15-M16</f>
        <v>2671695.4648282835</v>
      </c>
      <c r="N17" s="129">
        <f t="shared" ref="N17" si="29">N12-N14-N15-N16</f>
        <v>3113349.5096351504</v>
      </c>
      <c r="O17" s="2900">
        <f t="shared" si="22"/>
        <v>6419022.3473105226</v>
      </c>
      <c r="P17" s="129">
        <f>P12-P14-P15-P16</f>
        <v>2915742.4464954007</v>
      </c>
      <c r="Q17" s="5473">
        <f t="shared" ref="Q17" si="30">Q12-Q14-Q15-Q16</f>
        <v>3503279.9008151218</v>
      </c>
      <c r="R17" s="924">
        <f t="shared" si="16"/>
        <v>17186586.117773958</v>
      </c>
      <c r="S17" s="924">
        <f t="shared" si="17"/>
        <v>7931156.7073236844</v>
      </c>
      <c r="T17" s="2744">
        <f t="shared" si="18"/>
        <v>9255429.4104502723</v>
      </c>
      <c r="U17" s="1873">
        <f t="shared" si="23"/>
        <v>6987748.8973467574</v>
      </c>
      <c r="V17" s="307">
        <f>V12-V14-V15-V16</f>
        <v>3068952.311650224</v>
      </c>
      <c r="W17" s="307">
        <f t="shared" ref="W17" si="31">W12-W14-W15-W16</f>
        <v>3918796.5856965333</v>
      </c>
      <c r="X17" s="305">
        <f t="shared" si="24"/>
        <v>7723027.2480759034</v>
      </c>
      <c r="Y17" s="307">
        <f>Y12-Y14-Y15-Y16</f>
        <v>3469857.0338091608</v>
      </c>
      <c r="Z17" s="307">
        <f t="shared" ref="Z17" si="32">Z12-Z14-Z15-Z16</f>
        <v>4253170.2142667426</v>
      </c>
      <c r="AA17" s="305">
        <f t="shared" si="25"/>
        <v>8598437.1917565353</v>
      </c>
      <c r="AB17" s="307">
        <f>AB12-AB14-AB15-AB16</f>
        <v>3771103.2301168721</v>
      </c>
      <c r="AC17" s="308">
        <f t="shared" ref="AC17" si="33">AC12-AC14-AC15-AC16</f>
        <v>4827333.9616396632</v>
      </c>
    </row>
    <row r="18" spans="1:29" s="124" customFormat="1">
      <c r="A18" s="4878" t="s">
        <v>33</v>
      </c>
      <c r="B18" s="4879" t="s">
        <v>203</v>
      </c>
      <c r="C18" s="195">
        <f>SUM(C19:C21)</f>
        <v>9256479</v>
      </c>
      <c r="D18" s="195">
        <f>SUM(D19:D21)</f>
        <v>9256479</v>
      </c>
      <c r="E18" s="195">
        <f>SUM(E19:E21)</f>
        <v>0</v>
      </c>
      <c r="F18" s="126">
        <f>SUM(F19:F21)</f>
        <v>9558506</v>
      </c>
      <c r="G18" s="126">
        <f t="shared" ref="G18:H18" si="34">SUM(G19:G21)</f>
        <v>9558506</v>
      </c>
      <c r="H18" s="126">
        <f t="shared" si="34"/>
        <v>0</v>
      </c>
      <c r="I18" s="195">
        <f>SUM(I19:I21)</f>
        <v>11903075</v>
      </c>
      <c r="J18" s="195">
        <f>SUM(J19:J21)</f>
        <v>11903075</v>
      </c>
      <c r="K18" s="195">
        <f t="shared" ref="K18" si="35">SUM(K19:K21)</f>
        <v>0</v>
      </c>
      <c r="L18" s="126">
        <f>SUM(L19:L21)</f>
        <v>11903075</v>
      </c>
      <c r="M18" s="126">
        <f t="shared" ref="M18:N18" si="36">SUM(M19:M21)</f>
        <v>11903075</v>
      </c>
      <c r="N18" s="197">
        <f t="shared" si="36"/>
        <v>0</v>
      </c>
      <c r="O18" s="195">
        <f>SUM(O19:O21)</f>
        <v>11903075</v>
      </c>
      <c r="P18" s="195">
        <f t="shared" ref="P18:Q18" si="37">SUM(P19:P21)</f>
        <v>11903075</v>
      </c>
      <c r="Q18" s="5474">
        <f t="shared" si="37"/>
        <v>0</v>
      </c>
      <c r="R18" s="924">
        <f t="shared" si="16"/>
        <v>35709225</v>
      </c>
      <c r="S18" s="924">
        <f t="shared" si="17"/>
        <v>35709225</v>
      </c>
      <c r="T18" s="2744">
        <f t="shared" si="18"/>
        <v>0</v>
      </c>
      <c r="U18" s="1839">
        <f>SUM(U19:U21)</f>
        <v>12947209.800000001</v>
      </c>
      <c r="V18" s="344">
        <f t="shared" ref="V18:AC18" si="38">SUM(V19:V21)</f>
        <v>12947209.800000001</v>
      </c>
      <c r="W18" s="343">
        <f t="shared" si="38"/>
        <v>0</v>
      </c>
      <c r="X18" s="344">
        <f>SUM(X19:X21)</f>
        <v>12947209.800000001</v>
      </c>
      <c r="Y18" s="344">
        <f t="shared" si="38"/>
        <v>12947209.800000001</v>
      </c>
      <c r="Z18" s="343">
        <f t="shared" si="38"/>
        <v>0</v>
      </c>
      <c r="AA18" s="344">
        <f>SUM(AA19:AA21)</f>
        <v>12947209.800000001</v>
      </c>
      <c r="AB18" s="344">
        <f t="shared" si="38"/>
        <v>12947209.800000001</v>
      </c>
      <c r="AC18" s="345">
        <f t="shared" si="38"/>
        <v>0</v>
      </c>
    </row>
    <row r="19" spans="1:29" s="124" customFormat="1">
      <c r="A19" s="4878">
        <v>1</v>
      </c>
      <c r="B19" s="4879" t="s">
        <v>205</v>
      </c>
      <c r="C19" s="195">
        <f>SUM(D19:E19)</f>
        <v>6617188</v>
      </c>
      <c r="D19" s="195">
        <f>'Phụ lục số I'!H56</f>
        <v>6617188</v>
      </c>
      <c r="E19" s="195">
        <v>0</v>
      </c>
      <c r="F19" s="45">
        <f>SUM(G19:H19)</f>
        <v>6617188</v>
      </c>
      <c r="G19" s="45">
        <f>'Phụ lục số I'!O56</f>
        <v>6617188</v>
      </c>
      <c r="H19" s="45">
        <f>E19</f>
        <v>0</v>
      </c>
      <c r="I19" s="45">
        <f>SUM(J19:K19)</f>
        <v>6749488</v>
      </c>
      <c r="J19" s="45">
        <f>+'Phụ lục số 1'!U58</f>
        <v>6749488</v>
      </c>
      <c r="K19" s="45">
        <f>+'Phụ lục số 1'!V58</f>
        <v>0</v>
      </c>
      <c r="L19" s="45">
        <f>SUM(M19:N19)</f>
        <v>6749488</v>
      </c>
      <c r="M19" s="45">
        <f>+'Phụ lục số 1'!AA58</f>
        <v>6749488</v>
      </c>
      <c r="N19" s="295">
        <f>K19</f>
        <v>0</v>
      </c>
      <c r="O19" s="45">
        <f>SUM(P19:Q19)</f>
        <v>6749488</v>
      </c>
      <c r="P19" s="911">
        <f>+'Phụ lục số 1'!AG58</f>
        <v>6749488</v>
      </c>
      <c r="Q19" s="5475">
        <f>+'Phụ lục số 1'!AH58</f>
        <v>0</v>
      </c>
      <c r="R19" s="924">
        <f t="shared" si="16"/>
        <v>20248464</v>
      </c>
      <c r="S19" s="924">
        <f t="shared" si="17"/>
        <v>20248464</v>
      </c>
      <c r="T19" s="2744">
        <f t="shared" si="18"/>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c r="A20" s="4878">
        <v>2</v>
      </c>
      <c r="B20" s="4884" t="str">
        <f>+'Phụ lục số 3-CĐC'!B20</f>
        <v>Bổ sung thực hiện cải cách tiền lương</v>
      </c>
      <c r="C20" s="195">
        <f>SUM(D20:E20)</f>
        <v>650315</v>
      </c>
      <c r="D20" s="195">
        <f>+'Phụ lục số 1'!H60</f>
        <v>650315</v>
      </c>
      <c r="E20" s="195">
        <v>0</v>
      </c>
      <c r="F20" s="45">
        <f>SUM(G20:H20)</f>
        <v>813783</v>
      </c>
      <c r="G20" s="45">
        <f>+'Phụ lục số 1'!O60</f>
        <v>813783</v>
      </c>
      <c r="H20" s="45">
        <f>+'Phụ lục số 1'!P60</f>
        <v>0</v>
      </c>
      <c r="I20" s="45">
        <f>SUM(J20:K20)</f>
        <v>2116595</v>
      </c>
      <c r="J20" s="45">
        <f>+'Phụ lục số 1'!U60</f>
        <v>2116595</v>
      </c>
      <c r="K20" s="45">
        <f>+'Phụ lục số 1'!V60</f>
        <v>0</v>
      </c>
      <c r="L20" s="45">
        <f>SUM(M20:N20)</f>
        <v>2116595</v>
      </c>
      <c r="M20" s="45">
        <f>+'Phụ lục số 1'!AA60</f>
        <v>2116595</v>
      </c>
      <c r="N20" s="295"/>
      <c r="O20" s="45">
        <f>SUM(P20:Q20)</f>
        <v>2116595</v>
      </c>
      <c r="P20" s="911">
        <f>+'Phụ lục số 1'!AG60</f>
        <v>2116595</v>
      </c>
      <c r="Q20" s="5475">
        <f>+'Phụ lục số 1'!AH60</f>
        <v>0</v>
      </c>
      <c r="R20" s="924">
        <f t="shared" si="16"/>
        <v>6349785</v>
      </c>
      <c r="S20" s="924">
        <f t="shared" si="17"/>
        <v>6349785</v>
      </c>
      <c r="T20" s="2744">
        <f t="shared" si="18"/>
        <v>0</v>
      </c>
      <c r="U20" s="1840"/>
      <c r="V20" s="346"/>
      <c r="W20" s="347"/>
      <c r="X20" s="298"/>
      <c r="Y20" s="346"/>
      <c r="Z20" s="346"/>
      <c r="AA20" s="298"/>
      <c r="AB20" s="346"/>
      <c r="AC20" s="348"/>
    </row>
    <row r="21" spans="1:29" s="124" customFormat="1">
      <c r="A21" s="4878">
        <v>3</v>
      </c>
      <c r="B21" s="4879" t="s">
        <v>207</v>
      </c>
      <c r="C21" s="195">
        <f>SUM(C22,C25,C28)</f>
        <v>1988976</v>
      </c>
      <c r="D21" s="195">
        <f t="shared" ref="D21" si="39">SUM(D22,D25,D28)</f>
        <v>1988976</v>
      </c>
      <c r="E21" s="195">
        <f>SUM(E22,E25,E28)</f>
        <v>0</v>
      </c>
      <c r="F21" s="126">
        <f>SUM(F22,F25,F28)</f>
        <v>2127535</v>
      </c>
      <c r="G21" s="126">
        <f t="shared" ref="G21:H21" si="40">SUM(G22,G25,G28)</f>
        <v>2127535</v>
      </c>
      <c r="H21" s="195">
        <f t="shared" si="40"/>
        <v>0</v>
      </c>
      <c r="I21" s="195">
        <f>SUM(I22,I25,I28)</f>
        <v>3036992</v>
      </c>
      <c r="J21" s="195">
        <f t="shared" ref="J21:K21" si="41">SUM(J22,J25,J28)</f>
        <v>3036992</v>
      </c>
      <c r="K21" s="195">
        <f t="shared" si="41"/>
        <v>0</v>
      </c>
      <c r="L21" s="126">
        <f>SUM(L22,L25,L28)</f>
        <v>3036992</v>
      </c>
      <c r="M21" s="126">
        <f t="shared" ref="M21:N21" si="42">SUM(M22,M25,M28)</f>
        <v>3036992</v>
      </c>
      <c r="N21" s="126">
        <f t="shared" si="42"/>
        <v>0</v>
      </c>
      <c r="O21" s="195">
        <f>SUM(O22,O25,O28)</f>
        <v>3036992</v>
      </c>
      <c r="P21" s="195">
        <f t="shared" ref="P21:Q21" si="43">SUM(P22,P25,P28)</f>
        <v>3036992</v>
      </c>
      <c r="Q21" s="5476">
        <f t="shared" si="43"/>
        <v>0</v>
      </c>
      <c r="R21" s="924">
        <f t="shared" si="16"/>
        <v>9110976</v>
      </c>
      <c r="S21" s="924">
        <f t="shared" si="17"/>
        <v>9110976</v>
      </c>
      <c r="T21" s="2744">
        <f t="shared" si="18"/>
        <v>0</v>
      </c>
      <c r="U21" s="1839">
        <f>SUM(U22,U25,U28)</f>
        <v>6330021.7999999998</v>
      </c>
      <c r="V21" s="344">
        <f t="shared" ref="V21:W21" si="44">SUM(V22,V25,V28)</f>
        <v>6330021.7999999998</v>
      </c>
      <c r="W21" s="344">
        <f t="shared" si="44"/>
        <v>0</v>
      </c>
      <c r="X21" s="344">
        <f>SUM(X22,X25,X28)</f>
        <v>6330021.7999999998</v>
      </c>
      <c r="Y21" s="344">
        <f t="shared" ref="Y21:Z21" si="45">SUM(Y22,Y25,Y28)</f>
        <v>6330021.7999999998</v>
      </c>
      <c r="Z21" s="344">
        <f t="shared" si="45"/>
        <v>0</v>
      </c>
      <c r="AA21" s="344">
        <f>SUM(AA22,AA25,AA28)</f>
        <v>6330021.7999999998</v>
      </c>
      <c r="AB21" s="344">
        <f t="shared" ref="AB21:AC21" si="46">SUM(AB22,AB25,AB28)</f>
        <v>6330021.7999999998</v>
      </c>
      <c r="AC21" s="349">
        <f t="shared" si="46"/>
        <v>0</v>
      </c>
    </row>
    <row r="22" spans="1:29" s="29" customFormat="1">
      <c r="A22" s="4885" t="s">
        <v>204</v>
      </c>
      <c r="B22" s="4886" t="s">
        <v>42</v>
      </c>
      <c r="C22" s="196">
        <f>SUM(C23:C24)</f>
        <v>1814491</v>
      </c>
      <c r="D22" s="196">
        <f t="shared" ref="D22:E22" si="47">SUM(D23:D24)</f>
        <v>1814491</v>
      </c>
      <c r="E22" s="196">
        <f t="shared" si="47"/>
        <v>0</v>
      </c>
      <c r="F22" s="127">
        <f>SUM(F23:F24)</f>
        <v>1814491</v>
      </c>
      <c r="G22" s="127">
        <f t="shared" ref="G22:H22" si="48">SUM(G23:G24)</f>
        <v>1814491</v>
      </c>
      <c r="H22" s="196">
        <f t="shared" si="48"/>
        <v>0</v>
      </c>
      <c r="I22" s="196">
        <f>SUM(I23:I24)</f>
        <v>2530494</v>
      </c>
      <c r="J22" s="196">
        <f t="shared" ref="J22:K22" si="49">SUM(J23:J24)</f>
        <v>2530494</v>
      </c>
      <c r="K22" s="196">
        <f t="shared" si="49"/>
        <v>0</v>
      </c>
      <c r="L22" s="127">
        <f>SUM(L23:L24)</f>
        <v>2530494</v>
      </c>
      <c r="M22" s="127">
        <f t="shared" ref="M22:N22" si="50">SUM(M23:M24)</f>
        <v>2530494</v>
      </c>
      <c r="N22" s="127">
        <f t="shared" si="50"/>
        <v>0</v>
      </c>
      <c r="O22" s="196">
        <f>SUM(O23:O24)</f>
        <v>2530494</v>
      </c>
      <c r="P22" s="196">
        <f t="shared" ref="P22:Q22" si="51">SUM(P23:P24)</f>
        <v>2530494</v>
      </c>
      <c r="Q22" s="5477">
        <f t="shared" si="51"/>
        <v>0</v>
      </c>
      <c r="R22" s="924">
        <f t="shared" si="16"/>
        <v>7591482</v>
      </c>
      <c r="S22" s="924">
        <f t="shared" si="17"/>
        <v>7591482</v>
      </c>
      <c r="T22" s="2744">
        <f t="shared" si="18"/>
        <v>0</v>
      </c>
      <c r="U22" s="1841">
        <f>SUM(U23:U24)</f>
        <v>3101719</v>
      </c>
      <c r="V22" s="350">
        <f t="shared" ref="V22:W22" si="52">SUM(V23:V24)</f>
        <v>3101719</v>
      </c>
      <c r="W22" s="350">
        <f t="shared" si="52"/>
        <v>0</v>
      </c>
      <c r="X22" s="350">
        <f>SUM(X23:X24)</f>
        <v>3101719</v>
      </c>
      <c r="Y22" s="350">
        <f t="shared" ref="Y22:Z22" si="53">SUM(Y23:Y24)</f>
        <v>3101719</v>
      </c>
      <c r="Z22" s="350">
        <f t="shared" si="53"/>
        <v>0</v>
      </c>
      <c r="AA22" s="350">
        <f>SUM(AA23:AA24)</f>
        <v>3101719</v>
      </c>
      <c r="AB22" s="350">
        <f t="shared" ref="AB22:AC22" si="54">SUM(AB23:AB24)</f>
        <v>3101719</v>
      </c>
      <c r="AC22" s="351">
        <f t="shared" si="54"/>
        <v>0</v>
      </c>
    </row>
    <row r="23" spans="1:29" s="29" customFormat="1" hidden="1">
      <c r="A23" s="4885" t="s">
        <v>99</v>
      </c>
      <c r="B23" s="4886" t="s">
        <v>100</v>
      </c>
      <c r="C23" s="196">
        <f>SUM(D23:E23)</f>
        <v>1681570</v>
      </c>
      <c r="D23" s="196">
        <f>+'Phụ lục số 1'!H63</f>
        <v>1681570</v>
      </c>
      <c r="E23" s="196"/>
      <c r="F23" s="46">
        <f>SUM(G23:H23)</f>
        <v>1681570</v>
      </c>
      <c r="G23" s="46">
        <f>+'Phụ lục số 1'!O63</f>
        <v>1681570</v>
      </c>
      <c r="H23" s="46">
        <f>+'Phụ lục số 1'!P63</f>
        <v>0</v>
      </c>
      <c r="I23" s="924">
        <f>SUM(J23:K23)</f>
        <v>2399255</v>
      </c>
      <c r="J23" s="924">
        <f>+'Phụ lục số 1'!U63</f>
        <v>2399255</v>
      </c>
      <c r="K23" s="924">
        <f>+'Phụ lục số 1'!V63</f>
        <v>0</v>
      </c>
      <c r="L23" s="46">
        <f>SUM(M23:N23)</f>
        <v>2399255</v>
      </c>
      <c r="M23" s="46">
        <f>+'Phụ lục số 1'!AA63</f>
        <v>2399255</v>
      </c>
      <c r="N23" s="46"/>
      <c r="O23" s="924">
        <f>SUM(P23:Q23)</f>
        <v>2399255</v>
      </c>
      <c r="P23" s="924">
        <f>+'Phụ lục số 1'!AG63</f>
        <v>2399255</v>
      </c>
      <c r="Q23" s="5470"/>
      <c r="R23" s="924">
        <f t="shared" si="16"/>
        <v>7197765</v>
      </c>
      <c r="S23" s="924">
        <f t="shared" si="17"/>
        <v>7197765</v>
      </c>
      <c r="T23" s="2744">
        <f t="shared" si="18"/>
        <v>0</v>
      </c>
      <c r="U23" s="1842">
        <f>SUM(V23:W23)</f>
        <v>2970480</v>
      </c>
      <c r="V23" s="300">
        <f>'Phụ lục số I'!AM60</f>
        <v>2970480</v>
      </c>
      <c r="W23" s="300"/>
      <c r="X23" s="300">
        <f>SUM(Y23:Z23)</f>
        <v>2970480</v>
      </c>
      <c r="Y23" s="300">
        <f>'Phụ lục số I'!AS60</f>
        <v>2970480</v>
      </c>
      <c r="Z23" s="300"/>
      <c r="AA23" s="300">
        <f>SUM(AB23:AC23)</f>
        <v>2970480</v>
      </c>
      <c r="AB23" s="300">
        <f>'Phụ lục số I'!AY60</f>
        <v>2970480</v>
      </c>
      <c r="AC23" s="301"/>
    </row>
    <row r="24" spans="1:29" s="29" customFormat="1" hidden="1">
      <c r="A24" s="4885" t="s">
        <v>101</v>
      </c>
      <c r="B24" s="4886" t="s">
        <v>102</v>
      </c>
      <c r="C24" s="196">
        <f t="shared" ref="C24" si="55">SUM(D24:E24)</f>
        <v>132921</v>
      </c>
      <c r="D24" s="196">
        <f>+'Phụ lục số 1'!H64</f>
        <v>132921</v>
      </c>
      <c r="E24" s="196"/>
      <c r="F24" s="46">
        <f>SUM(G24:H24)</f>
        <v>132921</v>
      </c>
      <c r="G24" s="46">
        <f>+'Phụ lục số 1'!O64</f>
        <v>132921</v>
      </c>
      <c r="H24" s="46">
        <f>+'Phụ lục số 1'!P64</f>
        <v>0</v>
      </c>
      <c r="I24" s="924">
        <f>SUM(J24:K24)</f>
        <v>131239</v>
      </c>
      <c r="J24" s="924">
        <f>+'Phụ lục số 1'!U64</f>
        <v>131239</v>
      </c>
      <c r="K24" s="924">
        <f>+'Phụ lục số 1'!V64</f>
        <v>0</v>
      </c>
      <c r="L24" s="46">
        <f>SUM(M24:N24)</f>
        <v>131239</v>
      </c>
      <c r="M24" s="46">
        <f>+'Phụ lục số 1'!AA64</f>
        <v>131239</v>
      </c>
      <c r="N24" s="46"/>
      <c r="O24" s="924">
        <f>SUM(P24:Q24)</f>
        <v>131239</v>
      </c>
      <c r="P24" s="924">
        <f>+'Phụ lục số 1'!AG64</f>
        <v>131239</v>
      </c>
      <c r="Q24" s="5470"/>
      <c r="R24" s="924">
        <f t="shared" si="16"/>
        <v>393717</v>
      </c>
      <c r="S24" s="924">
        <f t="shared" si="17"/>
        <v>393717</v>
      </c>
      <c r="T24" s="2744">
        <f t="shared" si="18"/>
        <v>0</v>
      </c>
      <c r="U24" s="1842">
        <f>SUM(V24:W24)</f>
        <v>131239</v>
      </c>
      <c r="V24" s="300">
        <f>'Phụ lục số I'!AM61</f>
        <v>131239</v>
      </c>
      <c r="W24" s="300"/>
      <c r="X24" s="300">
        <f>SUM(Y24:Z24)</f>
        <v>131239</v>
      </c>
      <c r="Y24" s="300">
        <f>'Phụ lục số I'!AS61</f>
        <v>131239</v>
      </c>
      <c r="Z24" s="300"/>
      <c r="AA24" s="300">
        <f>SUM(AB24:AC24)</f>
        <v>131239</v>
      </c>
      <c r="AB24" s="300">
        <f>'Phụ lục số I'!AY61</f>
        <v>131239</v>
      </c>
      <c r="AC24" s="301"/>
    </row>
    <row r="25" spans="1:29" s="29" customFormat="1">
      <c r="A25" s="4885" t="s">
        <v>206</v>
      </c>
      <c r="B25" s="4886" t="s">
        <v>43</v>
      </c>
      <c r="C25" s="196">
        <f>SUM(C26:C27)</f>
        <v>174485</v>
      </c>
      <c r="D25" s="196">
        <f t="shared" ref="D25:E25" si="56">SUM(D26:D27)</f>
        <v>174485</v>
      </c>
      <c r="E25" s="196">
        <f t="shared" si="56"/>
        <v>0</v>
      </c>
      <c r="F25" s="127">
        <f>SUM(F26:F27)</f>
        <v>174485</v>
      </c>
      <c r="G25" s="127">
        <f t="shared" ref="G25:H25" si="57">SUM(G26:G27)</f>
        <v>174485</v>
      </c>
      <c r="H25" s="196">
        <f t="shared" si="57"/>
        <v>0</v>
      </c>
      <c r="I25" s="196">
        <f>SUM(I26:I27)</f>
        <v>221912</v>
      </c>
      <c r="J25" s="196">
        <f t="shared" ref="J25:K25" si="58">SUM(J26:J27)</f>
        <v>221912</v>
      </c>
      <c r="K25" s="196">
        <f t="shared" si="58"/>
        <v>0</v>
      </c>
      <c r="L25" s="127">
        <f>SUM(L26:L27)</f>
        <v>221912</v>
      </c>
      <c r="M25" s="127">
        <f t="shared" ref="M25:N25" si="59">SUM(M26:M27)</f>
        <v>221912</v>
      </c>
      <c r="N25" s="127">
        <f t="shared" si="59"/>
        <v>0</v>
      </c>
      <c r="O25" s="196">
        <f>SUM(O26:O27)</f>
        <v>221912</v>
      </c>
      <c r="P25" s="196">
        <f t="shared" ref="P25:Q25" si="60">SUM(P26:P27)</f>
        <v>221912</v>
      </c>
      <c r="Q25" s="5477">
        <f t="shared" si="60"/>
        <v>0</v>
      </c>
      <c r="R25" s="924">
        <f t="shared" si="16"/>
        <v>665736</v>
      </c>
      <c r="S25" s="924">
        <f t="shared" si="17"/>
        <v>665736</v>
      </c>
      <c r="T25" s="2744">
        <f t="shared" si="18"/>
        <v>0</v>
      </c>
      <c r="U25" s="1841">
        <f>SUM(U26:U27)</f>
        <v>195063.8</v>
      </c>
      <c r="V25" s="350">
        <f t="shared" ref="V25:AC25" si="61">SUM(V26:V27)</f>
        <v>195063.8</v>
      </c>
      <c r="W25" s="350">
        <f t="shared" si="61"/>
        <v>0</v>
      </c>
      <c r="X25" s="350">
        <f>SUM(X26:X27)</f>
        <v>195063.8</v>
      </c>
      <c r="Y25" s="350">
        <f t="shared" si="61"/>
        <v>195063.8</v>
      </c>
      <c r="Z25" s="350">
        <f t="shared" si="61"/>
        <v>0</v>
      </c>
      <c r="AA25" s="350">
        <f>SUM(AA26:AA27)</f>
        <v>195063.8</v>
      </c>
      <c r="AB25" s="350">
        <f t="shared" si="61"/>
        <v>195063.8</v>
      </c>
      <c r="AC25" s="351">
        <f t="shared" si="61"/>
        <v>0</v>
      </c>
    </row>
    <row r="26" spans="1:29" s="29" customFormat="1" hidden="1">
      <c r="A26" s="4885" t="s">
        <v>99</v>
      </c>
      <c r="B26" s="4886" t="s">
        <v>103</v>
      </c>
      <c r="C26" s="196">
        <f>SUM(D26:E26)</f>
        <v>72469</v>
      </c>
      <c r="D26" s="196">
        <f>+'Phụ lục số 1'!H66</f>
        <v>72469</v>
      </c>
      <c r="E26" s="196">
        <v>0</v>
      </c>
      <c r="F26" s="46">
        <f>SUM(G26:H26)</f>
        <v>72469</v>
      </c>
      <c r="G26" s="46">
        <f>+'Phụ lục số 1'!O66</f>
        <v>72469</v>
      </c>
      <c r="H26" s="46">
        <f>+'Phụ lục số 1'!P66</f>
        <v>0</v>
      </c>
      <c r="I26" s="924">
        <f>SUM(J26:K26)</f>
        <v>186007</v>
      </c>
      <c r="J26" s="924">
        <f>+'Phụ lục số 1'!U66</f>
        <v>186007</v>
      </c>
      <c r="K26" s="924">
        <f>H26</f>
        <v>0</v>
      </c>
      <c r="L26" s="46">
        <f>SUM(M26:N26)</f>
        <v>186007</v>
      </c>
      <c r="M26" s="46">
        <f>+'Phụ lục số 1'!AA66</f>
        <v>186007</v>
      </c>
      <c r="N26" s="296">
        <f>K26</f>
        <v>0</v>
      </c>
      <c r="O26" s="924">
        <f>SUM(P26:Q26)</f>
        <v>186007</v>
      </c>
      <c r="P26" s="924">
        <f>+'Phụ lục số 1'!AG66</f>
        <v>186007</v>
      </c>
      <c r="Q26" s="5478">
        <f>N26</f>
        <v>0</v>
      </c>
      <c r="R26" s="924">
        <f t="shared" si="16"/>
        <v>558021</v>
      </c>
      <c r="S26" s="924">
        <f t="shared" si="17"/>
        <v>558021</v>
      </c>
      <c r="T26" s="2744">
        <f t="shared" si="18"/>
        <v>0</v>
      </c>
      <c r="U26" s="1842">
        <f>SUM(V26:W26)</f>
        <v>86962.8</v>
      </c>
      <c r="V26" s="300">
        <f>'Phụ lục số I'!AM63</f>
        <v>86962.8</v>
      </c>
      <c r="W26" s="352">
        <f>N26</f>
        <v>0</v>
      </c>
      <c r="X26" s="300">
        <f>SUM(Y26:Z26)</f>
        <v>86962.8</v>
      </c>
      <c r="Y26" s="300">
        <f>'Phụ lục số I'!AS63</f>
        <v>86962.8</v>
      </c>
      <c r="Z26" s="300">
        <f>W26</f>
        <v>0</v>
      </c>
      <c r="AA26" s="300">
        <f>SUM(AB26:AC26)</f>
        <v>86962.8</v>
      </c>
      <c r="AB26" s="300">
        <f>'Phụ lục số I'!AY63</f>
        <v>86962.8</v>
      </c>
      <c r="AC26" s="301">
        <f>Z26</f>
        <v>0</v>
      </c>
    </row>
    <row r="27" spans="1:29" s="29" customFormat="1" hidden="1">
      <c r="A27" s="4885" t="s">
        <v>101</v>
      </c>
      <c r="B27" s="4886" t="s">
        <v>102</v>
      </c>
      <c r="C27" s="196">
        <f t="shared" ref="C27" si="62">SUM(D27:E27)</f>
        <v>102016</v>
      </c>
      <c r="D27" s="196">
        <f>+'Phụ lục số 1'!H67</f>
        <v>102016</v>
      </c>
      <c r="E27" s="196"/>
      <c r="F27" s="46">
        <f>SUM(G27:H27)</f>
        <v>102016</v>
      </c>
      <c r="G27" s="46">
        <f>+'Phụ lục số 1'!O67</f>
        <v>102016</v>
      </c>
      <c r="H27" s="46">
        <f>+'Phụ lục số 1'!P67</f>
        <v>0</v>
      </c>
      <c r="I27" s="924">
        <f>SUM(J27:K27)</f>
        <v>35905</v>
      </c>
      <c r="J27" s="924">
        <f>+'Phụ lục số 1'!U67</f>
        <v>35905</v>
      </c>
      <c r="K27" s="924">
        <f>+'Phụ lục số 1'!V67</f>
        <v>0</v>
      </c>
      <c r="L27" s="46">
        <f>SUM(M27:N27)</f>
        <v>35905</v>
      </c>
      <c r="M27" s="46">
        <f>+'Phụ lục số 1'!AA67</f>
        <v>35905</v>
      </c>
      <c r="N27" s="46"/>
      <c r="O27" s="924">
        <f>SUM(P27:Q27)</f>
        <v>35905</v>
      </c>
      <c r="P27" s="924">
        <f>+'Phụ lục số 1'!AG67</f>
        <v>35905</v>
      </c>
      <c r="Q27" s="5470"/>
      <c r="R27" s="924">
        <f t="shared" si="16"/>
        <v>107715</v>
      </c>
      <c r="S27" s="924">
        <f t="shared" si="17"/>
        <v>107715</v>
      </c>
      <c r="T27" s="2744">
        <f t="shared" si="18"/>
        <v>0</v>
      </c>
      <c r="U27" s="1842">
        <f>SUM(V27:W27)</f>
        <v>108101</v>
      </c>
      <c r="V27" s="300">
        <f>'Phụ lục số I'!AM64</f>
        <v>108101</v>
      </c>
      <c r="W27" s="300"/>
      <c r="X27" s="300">
        <f>SUM(Y27:Z27)</f>
        <v>108101</v>
      </c>
      <c r="Y27" s="300">
        <f>'Phụ lục số I'!AS64</f>
        <v>108101</v>
      </c>
      <c r="Z27" s="300"/>
      <c r="AA27" s="300">
        <f>SUM(AB27:AC27)</f>
        <v>108101</v>
      </c>
      <c r="AB27" s="300">
        <f>'Phụ lục số I'!AY64</f>
        <v>108101</v>
      </c>
      <c r="AC27" s="301"/>
    </row>
    <row r="28" spans="1:29" s="29" customFormat="1">
      <c r="A28" s="4885" t="s">
        <v>237</v>
      </c>
      <c r="B28" s="4887" t="s">
        <v>106</v>
      </c>
      <c r="C28" s="196">
        <f>SUM(C29:C30)</f>
        <v>0</v>
      </c>
      <c r="D28" s="196">
        <f t="shared" ref="D28:E28" si="63">SUM(D29:D30)</f>
        <v>0</v>
      </c>
      <c r="E28" s="196">
        <f t="shared" si="63"/>
        <v>0</v>
      </c>
      <c r="F28" s="127">
        <f>SUM(F29:F30)</f>
        <v>138559</v>
      </c>
      <c r="G28" s="127">
        <f t="shared" ref="G28:H28" si="64">SUM(G29:G30)</f>
        <v>138559</v>
      </c>
      <c r="H28" s="196">
        <f t="shared" si="64"/>
        <v>0</v>
      </c>
      <c r="I28" s="196">
        <f>SUM(I29:I30)</f>
        <v>284586</v>
      </c>
      <c r="J28" s="196">
        <f t="shared" ref="J28:K28" si="65">SUM(J29:J30)</f>
        <v>284586</v>
      </c>
      <c r="K28" s="196">
        <f t="shared" si="65"/>
        <v>0</v>
      </c>
      <c r="L28" s="127">
        <f>SUM(L29:L30)</f>
        <v>284586</v>
      </c>
      <c r="M28" s="127">
        <f t="shared" ref="M28:N28" si="66">SUM(M29:M30)</f>
        <v>284586</v>
      </c>
      <c r="N28" s="127">
        <f t="shared" si="66"/>
        <v>0</v>
      </c>
      <c r="O28" s="196">
        <f>SUM(O29:O30)</f>
        <v>284586</v>
      </c>
      <c r="P28" s="196">
        <f t="shared" ref="P28:Q28" si="67">SUM(P29:P30)</f>
        <v>284586</v>
      </c>
      <c r="Q28" s="5477">
        <f t="shared" si="67"/>
        <v>0</v>
      </c>
      <c r="R28" s="924">
        <f t="shared" si="16"/>
        <v>853758</v>
      </c>
      <c r="S28" s="924">
        <f t="shared" si="17"/>
        <v>853758</v>
      </c>
      <c r="T28" s="2744">
        <f t="shared" si="18"/>
        <v>0</v>
      </c>
      <c r="U28" s="1841">
        <f>SUM(U29:U30)</f>
        <v>3033239</v>
      </c>
      <c r="V28" s="350">
        <f t="shared" ref="V28:AC28" si="68">SUM(V29:V30)</f>
        <v>3033239</v>
      </c>
      <c r="W28" s="350">
        <f t="shared" si="68"/>
        <v>0</v>
      </c>
      <c r="X28" s="350">
        <f>SUM(X29:X30)</f>
        <v>3033239</v>
      </c>
      <c r="Y28" s="350">
        <f t="shared" si="68"/>
        <v>3033239</v>
      </c>
      <c r="Z28" s="350">
        <f t="shared" si="68"/>
        <v>0</v>
      </c>
      <c r="AA28" s="350">
        <f>SUM(AA29:AA30)</f>
        <v>3033239</v>
      </c>
      <c r="AB28" s="350">
        <f t="shared" si="68"/>
        <v>3033239</v>
      </c>
      <c r="AC28" s="351">
        <f t="shared" si="68"/>
        <v>0</v>
      </c>
    </row>
    <row r="29" spans="1:29" s="29" customFormat="1" hidden="1">
      <c r="A29" s="4885" t="s">
        <v>99</v>
      </c>
      <c r="B29" s="4886" t="s">
        <v>104</v>
      </c>
      <c r="C29" s="196">
        <f t="shared" ref="C29:C34" si="69">SUM(D29:E29)</f>
        <v>0</v>
      </c>
      <c r="D29" s="196">
        <f>+'Phụ lục số 1'!H69</f>
        <v>0</v>
      </c>
      <c r="E29" s="196">
        <v>0</v>
      </c>
      <c r="F29" s="46">
        <f>SUM(G29:H29)</f>
        <v>0</v>
      </c>
      <c r="G29" s="46">
        <f>+'Phụ lục số 1'!O69</f>
        <v>0</v>
      </c>
      <c r="H29" s="46">
        <f>+'Phụ lục số 1'!P69</f>
        <v>0</v>
      </c>
      <c r="I29" s="924">
        <f>SUM(J29:K29)</f>
        <v>0</v>
      </c>
      <c r="J29" s="924">
        <f>+'Phụ lục số 1'!U69</f>
        <v>0</v>
      </c>
      <c r="K29" s="924">
        <f>+'Phụ lục số 1'!V69</f>
        <v>0</v>
      </c>
      <c r="L29" s="46">
        <f>SUM(M29:N29)</f>
        <v>0</v>
      </c>
      <c r="M29" s="46">
        <f>+'Phụ lục số 1'!AA69</f>
        <v>0</v>
      </c>
      <c r="N29" s="296">
        <f>K29</f>
        <v>0</v>
      </c>
      <c r="O29" s="924">
        <f>SUM(P29:Q29)</f>
        <v>0</v>
      </c>
      <c r="P29" s="924">
        <f>+'Phụ lục số 1'!AG69</f>
        <v>0</v>
      </c>
      <c r="Q29" s="5478">
        <f>N29</f>
        <v>0</v>
      </c>
      <c r="R29" s="924">
        <f t="shared" si="16"/>
        <v>0</v>
      </c>
      <c r="S29" s="924">
        <f t="shared" si="17"/>
        <v>0</v>
      </c>
      <c r="T29" s="2744">
        <f t="shared" si="18"/>
        <v>0</v>
      </c>
      <c r="U29" s="1842">
        <f>SUM(V29:W29)</f>
        <v>3033239</v>
      </c>
      <c r="V29" s="300">
        <f>'Phụ lục số I'!AM66</f>
        <v>3033239</v>
      </c>
      <c r="W29" s="352">
        <f>N29</f>
        <v>0</v>
      </c>
      <c r="X29" s="300">
        <f>SUM(Y29:Z29)</f>
        <v>3033239</v>
      </c>
      <c r="Y29" s="300">
        <f>'Phụ lục số I'!AS66</f>
        <v>3033239</v>
      </c>
      <c r="Z29" s="300">
        <f>W29</f>
        <v>0</v>
      </c>
      <c r="AA29" s="300">
        <f>SUM(AB29:AC29)</f>
        <v>3033239</v>
      </c>
      <c r="AB29" s="300">
        <f>'Phụ lục số I'!AY66</f>
        <v>3033239</v>
      </c>
      <c r="AC29" s="301">
        <f>Z29</f>
        <v>0</v>
      </c>
    </row>
    <row r="30" spans="1:29" s="29" customFormat="1" hidden="1">
      <c r="A30" s="4885" t="s">
        <v>101</v>
      </c>
      <c r="B30" s="4886" t="s">
        <v>105</v>
      </c>
      <c r="C30" s="196">
        <f t="shared" si="69"/>
        <v>0</v>
      </c>
      <c r="D30" s="196">
        <f>+'Phụ lục số 1'!H70</f>
        <v>0</v>
      </c>
      <c r="E30" s="196">
        <v>0</v>
      </c>
      <c r="F30" s="46">
        <f>SUM(G30:H30)</f>
        <v>138559</v>
      </c>
      <c r="G30" s="46">
        <f>+'Phụ lục số 1'!O70</f>
        <v>138559</v>
      </c>
      <c r="H30" s="46">
        <f>+'Phụ lục số 1'!P70</f>
        <v>0</v>
      </c>
      <c r="I30" s="924">
        <f>SUM(J30:K30)</f>
        <v>284586</v>
      </c>
      <c r="J30" s="924">
        <f>+'Phụ lục số 1'!U70</f>
        <v>284586</v>
      </c>
      <c r="K30" s="924">
        <f>+'Phụ lục số 1'!V70</f>
        <v>0</v>
      </c>
      <c r="L30" s="46">
        <f>SUM(M30:N30)</f>
        <v>284586</v>
      </c>
      <c r="M30" s="46">
        <f>+'Phụ lục số 1'!AA70</f>
        <v>284586</v>
      </c>
      <c r="N30" s="296">
        <f>K30</f>
        <v>0</v>
      </c>
      <c r="O30" s="924">
        <f>SUM(P30:Q30)</f>
        <v>284586</v>
      </c>
      <c r="P30" s="924">
        <f>+'Phụ lục số 1'!AG70</f>
        <v>284586</v>
      </c>
      <c r="Q30" s="5478">
        <f>N30</f>
        <v>0</v>
      </c>
      <c r="R30" s="924">
        <f t="shared" si="16"/>
        <v>853758</v>
      </c>
      <c r="S30" s="924">
        <f t="shared" si="17"/>
        <v>853758</v>
      </c>
      <c r="T30" s="2744">
        <f t="shared" si="18"/>
        <v>0</v>
      </c>
      <c r="U30" s="1842">
        <f>SUM(V30:W30)</f>
        <v>0</v>
      </c>
      <c r="V30" s="300">
        <f>'Phụ lục số I'!AM67</f>
        <v>0</v>
      </c>
      <c r="W30" s="352">
        <f>N30</f>
        <v>0</v>
      </c>
      <c r="X30" s="300">
        <f>SUM(Y30:Z30)</f>
        <v>0</v>
      </c>
      <c r="Y30" s="300">
        <f>'Phụ lục số I'!AS67</f>
        <v>0</v>
      </c>
      <c r="Z30" s="300">
        <f>W30</f>
        <v>0</v>
      </c>
      <c r="AA30" s="300">
        <f>SUM(AB30:AC30)</f>
        <v>0</v>
      </c>
      <c r="AB30" s="300">
        <f>'Phụ lục số I'!AY67</f>
        <v>0</v>
      </c>
      <c r="AC30" s="301">
        <f>Z30</f>
        <v>0</v>
      </c>
    </row>
    <row r="31" spans="1:29" s="124" customFormat="1">
      <c r="A31" s="4878" t="s">
        <v>182</v>
      </c>
      <c r="B31" s="4884" t="s">
        <v>45</v>
      </c>
      <c r="C31" s="195">
        <f t="shared" si="69"/>
        <v>886000</v>
      </c>
      <c r="D31" s="195">
        <f>'Phụ lục số I'!H68</f>
        <v>0</v>
      </c>
      <c r="E31" s="195">
        <f>+'Phụ lục số 8.1'!C23</f>
        <v>886000</v>
      </c>
      <c r="F31" s="45">
        <f>SUM(G31:H31)</f>
        <v>1072301</v>
      </c>
      <c r="G31" s="45">
        <f>+'Phụ lục số 1'!O71</f>
        <v>0</v>
      </c>
      <c r="H31" s="45">
        <f>+'Phụ lục số 1'!P71</f>
        <v>1072301</v>
      </c>
      <c r="I31" s="911">
        <f t="shared" ref="I31:I32" si="70">SUM(J31:K31)</f>
        <v>941000.4</v>
      </c>
      <c r="J31" s="911">
        <f>+'Phụ lục số 1'!U71</f>
        <v>0.40000000001455194</v>
      </c>
      <c r="K31" s="911">
        <f>+'Phụ lục số 1'!V71</f>
        <v>941000</v>
      </c>
      <c r="L31" s="45">
        <f t="shared" ref="L31:L32" si="71">SUM(M31:N31)</f>
        <v>519900</v>
      </c>
      <c r="M31" s="45">
        <f>+'Phụ lục số 1'!AA71</f>
        <v>0</v>
      </c>
      <c r="N31" s="45">
        <f>+'Phụ lục số 1'!AB71</f>
        <v>519900</v>
      </c>
      <c r="O31" s="911">
        <f t="shared" ref="O31:O32" si="72">SUM(P31:Q31)</f>
        <v>626117.15251171635</v>
      </c>
      <c r="P31" s="911">
        <f>+'Phụ lục số 1'!AG71</f>
        <v>202308.50969414107</v>
      </c>
      <c r="Q31" s="5475">
        <f>+'Phụ lục số 1'!AH71</f>
        <v>423808.64281757525</v>
      </c>
      <c r="R31" s="924">
        <f t="shared" si="16"/>
        <v>2087017.5525117163</v>
      </c>
      <c r="S31" s="924">
        <f t="shared" si="17"/>
        <v>202308.9096941411</v>
      </c>
      <c r="T31" s="2744">
        <f t="shared" si="18"/>
        <v>1884708.6428175753</v>
      </c>
      <c r="U31" s="1843">
        <f t="shared" ref="U31:U34" si="73">SUM(V31:W31)</f>
        <v>0</v>
      </c>
      <c r="V31" s="346">
        <f>'Phụ lục số I'!AM68</f>
        <v>0</v>
      </c>
      <c r="W31" s="346">
        <f>'Phụ lục số I'!AN68</f>
        <v>0</v>
      </c>
      <c r="X31" s="346">
        <f t="shared" ref="X31:X34" si="74">SUM(Y31:Z31)</f>
        <v>1088757.7498882432</v>
      </c>
      <c r="Y31" s="346">
        <f>'Phụ lục số I'!AS68</f>
        <v>508427.53552337422</v>
      </c>
      <c r="Z31" s="346">
        <f>'Phụ lục số I'!AT68</f>
        <v>580330.21436486894</v>
      </c>
      <c r="AA31" s="346">
        <f t="shared" ref="AA31:AA34" si="75">SUM(AB31:AC31)</f>
        <v>1572055.4252528162</v>
      </c>
      <c r="AB31" s="346">
        <f>'Phụ lục số I'!AY68</f>
        <v>815349.89660284261</v>
      </c>
      <c r="AC31" s="348">
        <f>'Phụ lục số I'!AZ68</f>
        <v>756705.52864997357</v>
      </c>
    </row>
    <row r="32" spans="1:29" s="124" customFormat="1">
      <c r="A32" s="4878" t="s">
        <v>215</v>
      </c>
      <c r="B32" s="4884" t="s">
        <v>47</v>
      </c>
      <c r="C32" s="195">
        <f t="shared" si="69"/>
        <v>0</v>
      </c>
      <c r="D32" s="195">
        <f>'Phụ lục số I'!H69</f>
        <v>0</v>
      </c>
      <c r="E32" s="195">
        <f>'Phụ lục số I'!I69</f>
        <v>0</v>
      </c>
      <c r="F32" s="45">
        <f t="shared" ref="F32:F34" si="76">SUM(G32:H32)</f>
        <v>0</v>
      </c>
      <c r="G32" s="45">
        <f>+'Phụ lục số 1'!O72</f>
        <v>0</v>
      </c>
      <c r="H32" s="45">
        <f>+'Phụ lục số 1'!P72</f>
        <v>0</v>
      </c>
      <c r="I32" s="911">
        <f t="shared" si="70"/>
        <v>0</v>
      </c>
      <c r="J32" s="911">
        <f>'Phụ lục số I'!U69</f>
        <v>0</v>
      </c>
      <c r="K32" s="911">
        <f>'Phụ lục số I'!V69</f>
        <v>0</v>
      </c>
      <c r="L32" s="45">
        <f t="shared" si="71"/>
        <v>0</v>
      </c>
      <c r="M32" s="45">
        <f>+'Phụ lục số 1'!AA72</f>
        <v>0</v>
      </c>
      <c r="N32" s="45">
        <f>+'Phụ lục số 1'!AB72</f>
        <v>0</v>
      </c>
      <c r="O32" s="911">
        <f t="shared" si="72"/>
        <v>0</v>
      </c>
      <c r="P32" s="911">
        <f>+'Phụ lục số 1'!AG72</f>
        <v>0</v>
      </c>
      <c r="Q32" s="5475">
        <f>+'Phụ lục số 1'!AH72</f>
        <v>0</v>
      </c>
      <c r="R32" s="924">
        <f t="shared" si="16"/>
        <v>0</v>
      </c>
      <c r="S32" s="924">
        <f t="shared" si="17"/>
        <v>0</v>
      </c>
      <c r="T32" s="2744">
        <f t="shared" si="18"/>
        <v>0</v>
      </c>
      <c r="U32" s="1843">
        <f t="shared" si="73"/>
        <v>0</v>
      </c>
      <c r="V32" s="346">
        <f>'Phụ lục số I'!AM69</f>
        <v>0</v>
      </c>
      <c r="W32" s="346">
        <f>'Phụ lục số I'!AN69</f>
        <v>0</v>
      </c>
      <c r="X32" s="346">
        <f t="shared" si="74"/>
        <v>0</v>
      </c>
      <c r="Y32" s="346">
        <f>'Phụ lục số I'!AS69</f>
        <v>0</v>
      </c>
      <c r="Z32" s="346">
        <f>'Phụ lục số I'!AT69</f>
        <v>0</v>
      </c>
      <c r="AA32" s="346">
        <f t="shared" si="75"/>
        <v>0</v>
      </c>
      <c r="AB32" s="346">
        <f>'Phụ lục số I'!AY69</f>
        <v>0</v>
      </c>
      <c r="AC32" s="348">
        <f>'Phụ lục số I'!AZ69</f>
        <v>0</v>
      </c>
    </row>
    <row r="33" spans="1:35" s="123" customFormat="1" ht="17.399999999999999">
      <c r="A33" s="4888" t="s">
        <v>37</v>
      </c>
      <c r="B33" s="4889" t="s">
        <v>238</v>
      </c>
      <c r="C33" s="128">
        <f t="shared" si="69"/>
        <v>19035462.95671108</v>
      </c>
      <c r="D33" s="128">
        <f>D34+D58+D68+D69</f>
        <v>9127060.061999999</v>
      </c>
      <c r="E33" s="128">
        <f>E34+E58+E68+E69</f>
        <v>9908402.8947110809</v>
      </c>
      <c r="F33" s="128">
        <f t="shared" si="76"/>
        <v>19712858.656711079</v>
      </c>
      <c r="G33" s="128">
        <f>G34+G58+G68+G69</f>
        <v>9618154.7620000001</v>
      </c>
      <c r="H33" s="128">
        <f>H34+H58+H68+H69</f>
        <v>10094703.894711081</v>
      </c>
      <c r="I33" s="1654">
        <f>SUM(J33:K33)</f>
        <v>21372894.196000002</v>
      </c>
      <c r="J33" s="1654">
        <f>J34+J58+J68+J69+J70</f>
        <v>9621242.2890000008</v>
      </c>
      <c r="K33" s="1654">
        <f>K34+K58+K68+K69+K70</f>
        <v>11751651.907000003</v>
      </c>
      <c r="L33" s="1883">
        <f>SUM(M33:N33)</f>
        <v>22308019.975340258</v>
      </c>
      <c r="M33" s="1883">
        <f>M34+M58+M68+M69+M70</f>
        <v>10336418.558390718</v>
      </c>
      <c r="N33" s="1883">
        <f>N34+N58+N68+N69+N70</f>
        <v>11971601.41694954</v>
      </c>
      <c r="O33" s="1883">
        <f>SUM(P33:Q33)</f>
        <v>23058214.497882977</v>
      </c>
      <c r="P33" s="1883">
        <f>P34+P58+P68+P69+P70</f>
        <v>10792774.046539402</v>
      </c>
      <c r="Q33" s="5479">
        <f>Q34+Q58+Q68+Q69+Q70</f>
        <v>12265440.451343574</v>
      </c>
      <c r="R33" s="2741">
        <f t="shared" si="16"/>
        <v>66739128.669223234</v>
      </c>
      <c r="S33" s="2741">
        <f t="shared" si="17"/>
        <v>30750434.893930119</v>
      </c>
      <c r="T33" s="5818">
        <f t="shared" si="18"/>
        <v>35988693.775293119</v>
      </c>
      <c r="U33" s="4870">
        <f t="shared" si="73"/>
        <v>25271091.93471314</v>
      </c>
      <c r="V33" s="128">
        <f>V34+V58+V68+V69</f>
        <v>12773017.450574759</v>
      </c>
      <c r="W33" s="128">
        <f>W34+W58+W68+W69</f>
        <v>12498074.484138383</v>
      </c>
      <c r="X33" s="128">
        <f t="shared" si="74"/>
        <v>27023131.244954884</v>
      </c>
      <c r="Y33" s="128">
        <f>Y34+Y58+Y68+Y69</f>
        <v>13663443.047845125</v>
      </c>
      <c r="Z33" s="128">
        <f>Z34+Z58+Z68+Z69</f>
        <v>13359688.197109757</v>
      </c>
      <c r="AA33" s="128">
        <f t="shared" si="75"/>
        <v>28666232.257332325</v>
      </c>
      <c r="AB33" s="128">
        <f>AB34+AB58+AB68+AB69</f>
        <v>14409816.452453248</v>
      </c>
      <c r="AC33" s="358">
        <f>AC34+AC58+AC68+AC69</f>
        <v>14256415.804879077</v>
      </c>
    </row>
    <row r="34" spans="1:35" s="124" customFormat="1" ht="17.399999999999999">
      <c r="A34" s="4878" t="s">
        <v>3</v>
      </c>
      <c r="B34" s="4879" t="s">
        <v>142</v>
      </c>
      <c r="C34" s="126">
        <f t="shared" si="69"/>
        <v>17046486.95671108</v>
      </c>
      <c r="D34" s="126">
        <f>SUM(D35,D47,D52,D53,D54,D55,D56,D57)</f>
        <v>7138084.0619999999</v>
      </c>
      <c r="E34" s="126">
        <f>SUM(E35,E47,E52,E53,E54,E55,E56,E57)</f>
        <v>9908402.8947110809</v>
      </c>
      <c r="F34" s="126">
        <f t="shared" si="76"/>
        <v>17585323.656711079</v>
      </c>
      <c r="G34" s="126">
        <f>SUM(G35,G47,G52,G53,G54,G55,G56,G57)</f>
        <v>7490619.7620000001</v>
      </c>
      <c r="H34" s="126">
        <f>SUM(H35,H47,H52,H53,H54,H55,H56,H57)</f>
        <v>10094703.894711081</v>
      </c>
      <c r="I34" s="195">
        <f>SUM(J34:K34)</f>
        <v>18330348.400000006</v>
      </c>
      <c r="J34" s="195">
        <f>SUM(J35,J47,J52,J53,J54,J55,J56,J57)</f>
        <v>6833081.4930000007</v>
      </c>
      <c r="K34" s="195">
        <f>SUM(K35,K47,K52,K53,K54,K55,K56,K57)</f>
        <v>11497266.907000003</v>
      </c>
      <c r="L34" s="1885">
        <f>SUM(M34:N34)</f>
        <v>19271027.975340258</v>
      </c>
      <c r="M34" s="1885">
        <f>SUM(M35,M47,M52,M53,M54,M55,M56,M57)</f>
        <v>7553811.558390717</v>
      </c>
      <c r="N34" s="1885">
        <f>SUM(N35,N47,N52,N53,N54,N55,N56,N57)</f>
        <v>11717216.41694954</v>
      </c>
      <c r="O34" s="1885">
        <f>SUM(P34:Q34)</f>
        <v>20021222.497882977</v>
      </c>
      <c r="P34" s="1885">
        <f>SUM(P35,P47,P52,P53,P54,P55,P56,P57)</f>
        <v>8010167.0465394016</v>
      </c>
      <c r="Q34" s="5480">
        <f>SUM(Q35,Q47,Q52,Q53,Q54,Q55,Q56,Q57)</f>
        <v>12011055.451343574</v>
      </c>
      <c r="R34" s="911">
        <f t="shared" si="16"/>
        <v>57622598.873223238</v>
      </c>
      <c r="S34" s="911">
        <f t="shared" si="17"/>
        <v>22397060.097930118</v>
      </c>
      <c r="T34" s="5819">
        <f t="shared" si="18"/>
        <v>35225538.775293119</v>
      </c>
      <c r="U34" s="4871">
        <f t="shared" si="73"/>
        <v>21595043.134713143</v>
      </c>
      <c r="V34" s="126">
        <f>SUM(V35,V47,V52,V53,V54,V55,V56,V57)</f>
        <v>9096968.6505747605</v>
      </c>
      <c r="W34" s="126">
        <f>SUM(W35,W47,W52,W53,W54,W55,W56,W57)</f>
        <v>12498074.484138383</v>
      </c>
      <c r="X34" s="126">
        <f t="shared" si="74"/>
        <v>23347082.444954883</v>
      </c>
      <c r="Y34" s="126">
        <f>SUM(Y35,Y47,Y52,Y53,Y54,Y55,Y56,Y57)</f>
        <v>9987394.2478451263</v>
      </c>
      <c r="Z34" s="126">
        <f>SUM(Z35,Z47,Z52,Z53,Z54,Z55,Z56,Z57)</f>
        <v>13359688.197109757</v>
      </c>
      <c r="AA34" s="126">
        <f t="shared" si="75"/>
        <v>24990183.457332324</v>
      </c>
      <c r="AB34" s="126">
        <f>SUM(AB35,AB47,AB52,AB53,AB54,AB55,AB56,AB57)</f>
        <v>10733767.652453247</v>
      </c>
      <c r="AC34" s="359">
        <f>SUM(AC35,AC47,AC52,AC53,AC54,AC55,AC56,AC57)</f>
        <v>14256415.804879077</v>
      </c>
      <c r="AF34" s="5138">
        <f>+I34</f>
        <v>18330348.400000006</v>
      </c>
      <c r="AG34" s="124">
        <v>0</v>
      </c>
      <c r="AI34" s="5138">
        <f>+I10-I34</f>
        <v>192253.79599999636</v>
      </c>
    </row>
    <row r="35" spans="1:35" s="124" customFormat="1" ht="17.399999999999999">
      <c r="A35" s="4878">
        <v>1</v>
      </c>
      <c r="B35" s="4879" t="s">
        <v>208</v>
      </c>
      <c r="C35" s="126">
        <f>SUM(C36:C42)</f>
        <v>5331240.1620000005</v>
      </c>
      <c r="D35" s="126">
        <f t="shared" ref="D35:E35" si="77">SUM(D36:D42)</f>
        <v>3607240.162</v>
      </c>
      <c r="E35" s="126">
        <f t="shared" si="77"/>
        <v>1724000</v>
      </c>
      <c r="F35" s="126">
        <f>SUM(F36:F42)</f>
        <v>5531240.1620000005</v>
      </c>
      <c r="G35" s="126">
        <f t="shared" ref="G35:H35" si="78">SUM(G36:G42)</f>
        <v>3807240.162</v>
      </c>
      <c r="H35" s="126">
        <f t="shared" si="78"/>
        <v>1724000</v>
      </c>
      <c r="I35" s="195">
        <f>+I36+I37+I39+I41+I42</f>
        <v>4666890</v>
      </c>
      <c r="J35" s="195">
        <f t="shared" ref="J35:K35" si="79">+J36+J37+J39+J41+J42</f>
        <v>2983390</v>
      </c>
      <c r="K35" s="195">
        <f t="shared" si="79"/>
        <v>1683500</v>
      </c>
      <c r="L35" s="1885">
        <f>+L36+L37+L39+L41+L42</f>
        <v>5207212.043456913</v>
      </c>
      <c r="M35" s="1885">
        <f t="shared" ref="M35:N35" si="80">+M36+M37+M39+M41+M42</f>
        <v>3357212.043456913</v>
      </c>
      <c r="N35" s="1885">
        <f t="shared" si="80"/>
        <v>1850000</v>
      </c>
      <c r="O35" s="1885">
        <f>+O36+O37+O39+O41+O42</f>
        <v>5338707.7565428363</v>
      </c>
      <c r="P35" s="1885">
        <f t="shared" ref="P35:Q35" si="81">+P36+P37+P39+P41+P42</f>
        <v>3460943.7757059</v>
      </c>
      <c r="Q35" s="5480">
        <f t="shared" si="81"/>
        <v>1877763.9808369365</v>
      </c>
      <c r="R35" s="911">
        <f t="shared" si="16"/>
        <v>15212809.799999747</v>
      </c>
      <c r="S35" s="911">
        <f t="shared" si="17"/>
        <v>9801545.8191628121</v>
      </c>
      <c r="T35" s="5819">
        <f t="shared" si="18"/>
        <v>5411263.9808369363</v>
      </c>
      <c r="U35" s="4871">
        <f>SUM(U36:U42)</f>
        <v>6043442.1840729155</v>
      </c>
      <c r="V35" s="126">
        <f t="shared" ref="V35:W35" si="82">SUM(V36:V42)</f>
        <v>4112611.9808295001</v>
      </c>
      <c r="W35" s="126">
        <f t="shared" si="82"/>
        <v>1930830.2032434158</v>
      </c>
      <c r="X35" s="126">
        <f>SUM(X36:X42)</f>
        <v>6475781.9322816804</v>
      </c>
      <c r="Y35" s="126">
        <f t="shared" ref="Y35:Z35" si="83">SUM(Y36:Y42)</f>
        <v>4406297.6668103859</v>
      </c>
      <c r="Z35" s="126">
        <f t="shared" si="83"/>
        <v>2069484.2654712955</v>
      </c>
      <c r="AA35" s="126">
        <f>SUM(AA36:AA42)</f>
        <v>6943653.6306009274</v>
      </c>
      <c r="AB35" s="126">
        <f t="shared" ref="AB35:AC35" si="84">SUM(AB36:AB42)</f>
        <v>4655289.839687855</v>
      </c>
      <c r="AC35" s="359">
        <f t="shared" si="84"/>
        <v>2288363.7909130724</v>
      </c>
      <c r="AI35" s="5138">
        <f>+AI34-K53</f>
        <v>-327646.20400000364</v>
      </c>
    </row>
    <row r="36" spans="1:35">
      <c r="A36" s="4890" t="s">
        <v>29</v>
      </c>
      <c r="B36" s="4891" t="s">
        <v>143</v>
      </c>
      <c r="C36" s="127">
        <f>SUM(D36:E36)</f>
        <v>1143186</v>
      </c>
      <c r="D36" s="127">
        <f>+'Phụ lục số 2'!F11</f>
        <v>562186</v>
      </c>
      <c r="E36" s="127">
        <f>+'Phụ lục số 2'!G11</f>
        <v>581000</v>
      </c>
      <c r="F36" s="46">
        <f>SUM(G36:H36)</f>
        <v>1143186</v>
      </c>
      <c r="G36" s="46">
        <f>+'Phụ lục số 2'!K11</f>
        <v>562186</v>
      </c>
      <c r="H36" s="46">
        <f>+'Phụ lục số 2'!L11</f>
        <v>581000</v>
      </c>
      <c r="I36" s="46">
        <f>SUM(J36:K36)</f>
        <v>966890</v>
      </c>
      <c r="J36" s="46">
        <f>+'Phụ lục số 2'!P11</f>
        <v>376890</v>
      </c>
      <c r="K36" s="46">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5481">
        <f>+'Phụ lục số 2'!AA11</f>
        <v>617763.98083693651</v>
      </c>
      <c r="R36" s="924">
        <f t="shared" si="16"/>
        <v>3512809.7999997493</v>
      </c>
      <c r="S36" s="924">
        <f t="shared" si="17"/>
        <v>1715045.819162813</v>
      </c>
      <c r="T36" s="2744">
        <f t="shared" si="1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360">
        <f>'Phụ lục số II'!AP12</f>
        <v>803363.79091307241</v>
      </c>
      <c r="AI36" s="32">
        <f>+J72+J70</f>
        <v>192253.796</v>
      </c>
    </row>
    <row r="37" spans="1:35">
      <c r="A37" s="4890" t="s">
        <v>29</v>
      </c>
      <c r="B37" s="4891" t="s">
        <v>144</v>
      </c>
      <c r="C37" s="127">
        <f t="shared" ref="C37:C42" si="85">SUM(D37:E37)</f>
        <v>1770000</v>
      </c>
      <c r="D37" s="127">
        <f>+'Phụ lục số 2'!F12</f>
        <v>627000</v>
      </c>
      <c r="E37" s="127">
        <f>+'Phụ lục số 2'!G12</f>
        <v>1143000</v>
      </c>
      <c r="F37" s="46">
        <f t="shared" ref="F37:F42" si="86">SUM(G37:H37)</f>
        <v>1770000</v>
      </c>
      <c r="G37" s="46">
        <f>+'Phụ lục số 2'!K12</f>
        <v>627000</v>
      </c>
      <c r="H37" s="46">
        <f>+'Phụ lục số 2'!L12</f>
        <v>1143000</v>
      </c>
      <c r="I37" s="46">
        <f t="shared" ref="I37:I42" si="87">SUM(J37:K37)</f>
        <v>1600000</v>
      </c>
      <c r="J37" s="46">
        <f>+'Phụ lục số 2'!P12</f>
        <v>506500</v>
      </c>
      <c r="K37" s="46">
        <f>+'Phụ lục số 2'!Q12</f>
        <v>1093500</v>
      </c>
      <c r="L37" s="46">
        <f t="shared" ref="L37:L42" si="88">SUM(M37:N37)</f>
        <v>1800000</v>
      </c>
      <c r="M37" s="328">
        <f>+'Phụ lục số 2'!U12</f>
        <v>540000</v>
      </c>
      <c r="N37" s="328">
        <f>+'Phụ lục số 2'!V12</f>
        <v>1260000</v>
      </c>
      <c r="O37" s="46">
        <f t="shared" ref="O37:O42" si="89">SUM(P37:Q37)</f>
        <v>1800000</v>
      </c>
      <c r="P37" s="328">
        <f>+'Phụ lục số 2'!Z12</f>
        <v>540000</v>
      </c>
      <c r="Q37" s="5481">
        <f>+'Phụ lục số 2'!AA12</f>
        <v>1260000</v>
      </c>
      <c r="R37" s="924">
        <f t="shared" si="16"/>
        <v>5200000</v>
      </c>
      <c r="S37" s="924">
        <f t="shared" si="17"/>
        <v>1586500</v>
      </c>
      <c r="T37" s="2744">
        <f t="shared" si="18"/>
        <v>3613500</v>
      </c>
      <c r="U37" s="1827">
        <f t="shared" ref="U37:U42" si="90">SUM(V37:W37)</f>
        <v>1660000</v>
      </c>
      <c r="V37" s="46">
        <f>'Phụ lục số II'!AE13</f>
        <v>400000</v>
      </c>
      <c r="W37" s="46">
        <f>'Phụ lục số II'!AF13</f>
        <v>1260000</v>
      </c>
      <c r="X37" s="46">
        <f t="shared" ref="X37:X42" si="91">SUM(Y37:Z37)</f>
        <v>1800000</v>
      </c>
      <c r="Y37" s="328">
        <f>'Phụ lục số II'!AJ13</f>
        <v>450000</v>
      </c>
      <c r="Z37" s="328">
        <f>'Phụ lục số II'!AK13</f>
        <v>1350000</v>
      </c>
      <c r="AA37" s="46">
        <f t="shared" ref="AA37:AA42" si="92">SUM(AB37:AC37)</f>
        <v>1935000</v>
      </c>
      <c r="AB37" s="328">
        <f>'Phụ lục số II'!AO13</f>
        <v>450000</v>
      </c>
      <c r="AC37" s="360">
        <f>'Phụ lục số II'!AP13</f>
        <v>1485000</v>
      </c>
      <c r="AI37" s="32">
        <f>+AI34-AI36</f>
        <v>-3.637978807091713E-9</v>
      </c>
    </row>
    <row r="38" spans="1:35" s="5328" customFormat="1" ht="55.2">
      <c r="A38" s="4881"/>
      <c r="B38" s="4935" t="s">
        <v>3141</v>
      </c>
      <c r="C38" s="5318"/>
      <c r="D38" s="5318"/>
      <c r="E38" s="5318"/>
      <c r="F38" s="193"/>
      <c r="G38" s="193"/>
      <c r="H38" s="193"/>
      <c r="I38" s="193">
        <f t="shared" si="87"/>
        <v>160000</v>
      </c>
      <c r="J38" s="193">
        <f>+'Phụ lục số 2'!P13</f>
        <v>160000</v>
      </c>
      <c r="K38" s="193">
        <f>+'Phụ lục số 2'!Q13</f>
        <v>0</v>
      </c>
      <c r="L38" s="193">
        <f>+M38+N38</f>
        <v>180000</v>
      </c>
      <c r="M38" s="5122">
        <f>+'Phụ lục số 2'!U13</f>
        <v>180000</v>
      </c>
      <c r="N38" s="5122">
        <f>+'Phụ lục số 2'!V13</f>
        <v>0</v>
      </c>
      <c r="O38" s="193">
        <f>+P38+Q38</f>
        <v>180000</v>
      </c>
      <c r="P38" s="5122">
        <f>+'Phụ lục số 2'!Z13</f>
        <v>180000</v>
      </c>
      <c r="Q38" s="5482">
        <f>+'Phụ lục số 2'!AA13</f>
        <v>0</v>
      </c>
      <c r="R38" s="46">
        <f t="shared" si="16"/>
        <v>520000</v>
      </c>
      <c r="S38" s="46">
        <f t="shared" si="17"/>
        <v>520000</v>
      </c>
      <c r="T38" s="1645">
        <f t="shared" si="18"/>
        <v>0</v>
      </c>
      <c r="U38" s="1829"/>
      <c r="V38" s="193"/>
      <c r="W38" s="193"/>
      <c r="X38" s="193"/>
      <c r="Y38" s="5122"/>
      <c r="Z38" s="5122"/>
      <c r="AA38" s="193"/>
      <c r="AB38" s="5122"/>
      <c r="AC38" s="5319"/>
      <c r="AI38" s="5820"/>
    </row>
    <row r="39" spans="1:35">
      <c r="A39" s="4890" t="s">
        <v>29</v>
      </c>
      <c r="B39" s="4887" t="s">
        <v>145</v>
      </c>
      <c r="C39" s="127">
        <f t="shared" si="85"/>
        <v>1950000</v>
      </c>
      <c r="D39" s="127">
        <f>+'Phụ lục số 2'!F14</f>
        <v>1950000</v>
      </c>
      <c r="E39" s="127">
        <f>+'Phụ lục số 2'!G14</f>
        <v>0</v>
      </c>
      <c r="F39" s="46">
        <f t="shared" si="86"/>
        <v>2150000</v>
      </c>
      <c r="G39" s="46">
        <f>+'Phụ lục số 2'!K14</f>
        <v>2150000</v>
      </c>
      <c r="H39" s="46">
        <f>+'Phụ lục số 2'!L14</f>
        <v>0</v>
      </c>
      <c r="I39" s="46">
        <f t="shared" si="87"/>
        <v>2100000</v>
      </c>
      <c r="J39" s="46">
        <f>+'Phụ lục số 2'!P14</f>
        <v>2100000</v>
      </c>
      <c r="K39" s="46">
        <f>+'Phụ lục số 2'!Q14</f>
        <v>0</v>
      </c>
      <c r="L39" s="46">
        <f t="shared" si="88"/>
        <v>2200000</v>
      </c>
      <c r="M39" s="328">
        <f>+'Phụ lục số 2'!U14</f>
        <v>2200000</v>
      </c>
      <c r="N39" s="328">
        <f>+'Phụ lục số 2'!V14</f>
        <v>0</v>
      </c>
      <c r="O39" s="46">
        <f t="shared" si="89"/>
        <v>2200000</v>
      </c>
      <c r="P39" s="328">
        <f>+'Phụ lục số 2'!Z14</f>
        <v>2200000</v>
      </c>
      <c r="Q39" s="5481">
        <f>+'Phụ lục số 2'!AA14</f>
        <v>0</v>
      </c>
      <c r="R39" s="924">
        <f t="shared" si="16"/>
        <v>6500000</v>
      </c>
      <c r="S39" s="924">
        <f t="shared" si="17"/>
        <v>6500000</v>
      </c>
      <c r="T39" s="2744">
        <f t="shared" si="18"/>
        <v>0</v>
      </c>
      <c r="U39" s="1827">
        <f t="shared" si="90"/>
        <v>2000000</v>
      </c>
      <c r="V39" s="46">
        <f>'Phụ lục số II'!AE14</f>
        <v>2000000</v>
      </c>
      <c r="W39" s="46">
        <f>'Phụ lục số II'!AF14</f>
        <v>0</v>
      </c>
      <c r="X39" s="46">
        <f t="shared" si="91"/>
        <v>2100000</v>
      </c>
      <c r="Y39" s="328">
        <f>'Phụ lục số II'!AJ14</f>
        <v>2100000</v>
      </c>
      <c r="Z39" s="328">
        <f>'Phụ lục số II'!AK14</f>
        <v>0</v>
      </c>
      <c r="AA39" s="46">
        <f t="shared" si="92"/>
        <v>2200000</v>
      </c>
      <c r="AB39" s="328">
        <f>'Phụ lục số II'!AO14</f>
        <v>2200000</v>
      </c>
      <c r="AC39" s="360">
        <f>'Phụ lục số II'!AP14</f>
        <v>0</v>
      </c>
    </row>
    <row r="40" spans="1:35" s="5328" customFormat="1" ht="27.6">
      <c r="A40" s="4881"/>
      <c r="B40" s="4935" t="s">
        <v>3142</v>
      </c>
      <c r="C40" s="5318"/>
      <c r="D40" s="5318"/>
      <c r="E40" s="5318"/>
      <c r="F40" s="193"/>
      <c r="G40" s="193"/>
      <c r="H40" s="193"/>
      <c r="I40" s="193">
        <f t="shared" si="87"/>
        <v>100000</v>
      </c>
      <c r="J40" s="193">
        <f>+'Phụ lục số 2'!P15</f>
        <v>100000</v>
      </c>
      <c r="K40" s="193">
        <f>+'Phụ lục số 2'!Q15</f>
        <v>0</v>
      </c>
      <c r="L40" s="193">
        <f>+M40+N40</f>
        <v>120000</v>
      </c>
      <c r="M40" s="5122">
        <f>+'Phụ lục số 2'!U15</f>
        <v>120000</v>
      </c>
      <c r="N40" s="5122">
        <f>+'Phụ lục số 2'!V15</f>
        <v>0</v>
      </c>
      <c r="O40" s="193">
        <f>+P40+Q40</f>
        <v>135000</v>
      </c>
      <c r="P40" s="5122">
        <f>+'Phụ lục số 2'!Z15</f>
        <v>135000</v>
      </c>
      <c r="Q40" s="5482">
        <f>+'Phụ lục số 2'!AA15</f>
        <v>0</v>
      </c>
      <c r="R40" s="46">
        <f t="shared" si="16"/>
        <v>355000</v>
      </c>
      <c r="S40" s="46">
        <f t="shared" si="17"/>
        <v>355000</v>
      </c>
      <c r="T40" s="1645">
        <f t="shared" si="18"/>
        <v>0</v>
      </c>
      <c r="U40" s="1829"/>
      <c r="V40" s="193"/>
      <c r="W40" s="193"/>
      <c r="X40" s="193"/>
      <c r="Y40" s="5122"/>
      <c r="Z40" s="5122"/>
      <c r="AA40" s="193"/>
      <c r="AB40" s="5122"/>
      <c r="AC40" s="5319"/>
    </row>
    <row r="41" spans="1:35">
      <c r="A41" s="4890" t="s">
        <v>29</v>
      </c>
      <c r="B41" s="4887" t="s">
        <v>146</v>
      </c>
      <c r="C41" s="127">
        <f t="shared" si="85"/>
        <v>408054.16200000001</v>
      </c>
      <c r="D41" s="127">
        <f>+'Phụ lục số 2'!F16</f>
        <v>408054.16200000001</v>
      </c>
      <c r="E41" s="127">
        <f>+'Phụ lục số 2'!G16</f>
        <v>0</v>
      </c>
      <c r="F41" s="46">
        <f t="shared" si="86"/>
        <v>408054.16200000001</v>
      </c>
      <c r="G41" s="46">
        <f>+'Phụ lục số 2'!K16</f>
        <v>408054.16200000001</v>
      </c>
      <c r="H41" s="46">
        <f>+'Phụ lục số 2'!L16</f>
        <v>0</v>
      </c>
      <c r="I41" s="46">
        <f t="shared" si="87"/>
        <v>0</v>
      </c>
      <c r="J41" s="46">
        <f>+'Phụ lục số 2'!P16</f>
        <v>0</v>
      </c>
      <c r="K41" s="46">
        <f>+'Phụ lục số 2'!Q16</f>
        <v>0</v>
      </c>
      <c r="L41" s="46">
        <f t="shared" si="88"/>
        <v>0</v>
      </c>
      <c r="M41" s="328">
        <f>+'Phụ lục số 2'!U16</f>
        <v>0</v>
      </c>
      <c r="N41" s="328">
        <f>+'Phụ lục số 2'!V16</f>
        <v>0</v>
      </c>
      <c r="O41" s="46">
        <f t="shared" si="89"/>
        <v>0</v>
      </c>
      <c r="P41" s="328">
        <f>+'Phụ lục số 2'!Z16</f>
        <v>0</v>
      </c>
      <c r="Q41" s="5481">
        <f>+'Phụ lục số 2'!AA16</f>
        <v>0</v>
      </c>
      <c r="R41" s="924">
        <f t="shared" si="16"/>
        <v>0</v>
      </c>
      <c r="S41" s="924">
        <f t="shared" si="17"/>
        <v>0</v>
      </c>
      <c r="T41" s="2744">
        <f t="shared" si="18"/>
        <v>0</v>
      </c>
      <c r="U41" s="1827">
        <f t="shared" si="90"/>
        <v>0</v>
      </c>
      <c r="V41" s="46">
        <f>'Phụ lục số II'!AE15</f>
        <v>0</v>
      </c>
      <c r="W41" s="46">
        <f>'Phụ lục số II'!AF15</f>
        <v>0</v>
      </c>
      <c r="X41" s="46">
        <f t="shared" si="91"/>
        <v>0</v>
      </c>
      <c r="Y41" s="328">
        <f>'Phụ lục số II'!AJ15</f>
        <v>0</v>
      </c>
      <c r="Z41" s="328">
        <f>'Phụ lục số II'!AK15</f>
        <v>0</v>
      </c>
      <c r="AA41" s="46">
        <f t="shared" si="92"/>
        <v>0</v>
      </c>
      <c r="AB41" s="328">
        <f>'Phụ lục số II'!AO15</f>
        <v>0</v>
      </c>
      <c r="AC41" s="360">
        <f>'Phụ lục số II'!AP15</f>
        <v>0</v>
      </c>
    </row>
    <row r="42" spans="1:35">
      <c r="A42" s="603" t="s">
        <v>29</v>
      </c>
      <c r="B42" s="46" t="s">
        <v>321</v>
      </c>
      <c r="C42" s="127">
        <f t="shared" si="85"/>
        <v>60000</v>
      </c>
      <c r="D42" s="127">
        <f>SUM(D43:D46)</f>
        <v>60000</v>
      </c>
      <c r="E42" s="127">
        <f>SUM(E43:E46)</f>
        <v>0</v>
      </c>
      <c r="F42" s="46">
        <f t="shared" si="86"/>
        <v>60000</v>
      </c>
      <c r="G42" s="46">
        <f>SUM(G43:G46)</f>
        <v>60000</v>
      </c>
      <c r="H42" s="46">
        <f t="shared" ref="H42" si="93">SUM(H43:H46)</f>
        <v>0</v>
      </c>
      <c r="I42" s="46">
        <f t="shared" si="87"/>
        <v>0</v>
      </c>
      <c r="J42" s="46">
        <f>SUM(J43:J46)</f>
        <v>0</v>
      </c>
      <c r="K42" s="46">
        <f t="shared" ref="K42" si="94">SUM(K43:K46)</f>
        <v>0</v>
      </c>
      <c r="L42" s="46">
        <f t="shared" si="88"/>
        <v>0</v>
      </c>
      <c r="M42" s="328">
        <f>+'Phụ lục số 2'!U17</f>
        <v>0</v>
      </c>
      <c r="N42" s="328">
        <f>+'Phụ lục số 2'!V17</f>
        <v>0</v>
      </c>
      <c r="O42" s="46">
        <f t="shared" si="89"/>
        <v>0</v>
      </c>
      <c r="P42" s="328">
        <f>+'Phụ lục số 2'!Z17</f>
        <v>0</v>
      </c>
      <c r="Q42" s="5481">
        <f>+'Phụ lục số 2'!AA17</f>
        <v>0</v>
      </c>
      <c r="R42" s="924">
        <f t="shared" si="16"/>
        <v>0</v>
      </c>
      <c r="S42" s="924">
        <f t="shared" si="17"/>
        <v>0</v>
      </c>
      <c r="T42" s="2744">
        <f t="shared" si="18"/>
        <v>0</v>
      </c>
      <c r="U42" s="1827">
        <f t="shared" si="90"/>
        <v>1050000</v>
      </c>
      <c r="V42" s="46">
        <f>'Phụ lục số II'!AE16</f>
        <v>1050000</v>
      </c>
      <c r="W42" s="46">
        <f>'Phụ lục số II'!AF16</f>
        <v>0</v>
      </c>
      <c r="X42" s="46">
        <f t="shared" si="91"/>
        <v>1100000</v>
      </c>
      <c r="Y42" s="328">
        <f>'Phụ lục số II'!AJ16</f>
        <v>1100000</v>
      </c>
      <c r="Z42" s="328">
        <f>'Phụ lục số II'!AK16</f>
        <v>0</v>
      </c>
      <c r="AA42" s="46">
        <f t="shared" si="92"/>
        <v>1200000</v>
      </c>
      <c r="AB42" s="328">
        <f>'Phụ lục số II'!AO16</f>
        <v>1200000</v>
      </c>
      <c r="AC42" s="360">
        <f>'Phụ lục số II'!AP16</f>
        <v>0</v>
      </c>
    </row>
    <row r="43" spans="1:35" ht="27.6" hidden="1">
      <c r="A43" s="4892" t="s">
        <v>3126</v>
      </c>
      <c r="B43" s="4780" t="s">
        <v>3142</v>
      </c>
      <c r="C43" s="127">
        <f>SUM(D43:E43)</f>
        <v>60000</v>
      </c>
      <c r="D43" s="127">
        <f>+'Phụ lục số 2'!F18</f>
        <v>60000</v>
      </c>
      <c r="E43" s="127">
        <f>+'Phụ lục số 2'!G18</f>
        <v>0</v>
      </c>
      <c r="F43" s="46">
        <f>SUM(G43:H43)</f>
        <v>60000</v>
      </c>
      <c r="G43" s="46">
        <f>+'Phụ lục số 2'!K18</f>
        <v>60000</v>
      </c>
      <c r="H43" s="46">
        <f>+'Phụ lục số 2'!L18</f>
        <v>0</v>
      </c>
      <c r="I43" s="46">
        <f>SUM(J43:K43)</f>
        <v>0</v>
      </c>
      <c r="J43" s="46">
        <f>+'Phụ lục số 2'!P18</f>
        <v>0</v>
      </c>
      <c r="K43" s="46">
        <f>+'Phụ lục số 2'!Q18</f>
        <v>0</v>
      </c>
      <c r="L43" s="46"/>
      <c r="M43" s="328"/>
      <c r="N43" s="328"/>
      <c r="O43" s="46"/>
      <c r="P43" s="328"/>
      <c r="Q43" s="5481"/>
      <c r="R43" s="924">
        <f t="shared" si="16"/>
        <v>0</v>
      </c>
      <c r="S43" s="924">
        <f t="shared" si="17"/>
        <v>0</v>
      </c>
      <c r="T43" s="2744">
        <f t="shared" si="18"/>
        <v>0</v>
      </c>
      <c r="U43" s="1827"/>
      <c r="V43" s="46"/>
      <c r="W43" s="46"/>
      <c r="X43" s="46"/>
      <c r="Y43" s="328"/>
      <c r="Z43" s="328"/>
      <c r="AA43" s="46"/>
      <c r="AB43" s="328"/>
      <c r="AC43" s="360"/>
    </row>
    <row r="44" spans="1:35" ht="55.2" hidden="1">
      <c r="A44" s="4892" t="s">
        <v>3127</v>
      </c>
      <c r="B44" s="4780" t="s">
        <v>3141</v>
      </c>
      <c r="C44" s="127">
        <f t="shared" ref="C44:C46" si="95">SUM(D44:E44)</f>
        <v>0</v>
      </c>
      <c r="D44" s="127"/>
      <c r="E44" s="127"/>
      <c r="F44" s="46">
        <f t="shared" ref="F44:F46" si="96">SUM(G44:H44)</f>
        <v>0</v>
      </c>
      <c r="G44" s="46"/>
      <c r="H44" s="46"/>
      <c r="I44" s="46">
        <f t="shared" ref="I44:I46" si="97">SUM(J44:K44)</f>
        <v>0</v>
      </c>
      <c r="J44" s="46">
        <f>+'Phụ lục số 2'!P19</f>
        <v>0</v>
      </c>
      <c r="K44" s="46"/>
      <c r="L44" s="46"/>
      <c r="M44" s="328"/>
      <c r="N44" s="328"/>
      <c r="O44" s="46"/>
      <c r="P44" s="328"/>
      <c r="Q44" s="5481"/>
      <c r="R44" s="924">
        <f t="shared" si="16"/>
        <v>0</v>
      </c>
      <c r="S44" s="924">
        <f t="shared" si="17"/>
        <v>0</v>
      </c>
      <c r="T44" s="2744">
        <f t="shared" si="18"/>
        <v>0</v>
      </c>
      <c r="U44" s="1827"/>
      <c r="V44" s="46"/>
      <c r="W44" s="46"/>
      <c r="X44" s="46"/>
      <c r="Y44" s="328"/>
      <c r="Z44" s="328"/>
      <c r="AA44" s="46"/>
      <c r="AB44" s="328"/>
      <c r="AC44" s="360"/>
    </row>
    <row r="45" spans="1:35" hidden="1">
      <c r="A45" s="4892" t="s">
        <v>3143</v>
      </c>
      <c r="B45" s="4780"/>
      <c r="C45" s="127">
        <f t="shared" si="95"/>
        <v>0</v>
      </c>
      <c r="D45" s="127"/>
      <c r="E45" s="127"/>
      <c r="F45" s="46">
        <f t="shared" si="96"/>
        <v>0</v>
      </c>
      <c r="G45" s="46"/>
      <c r="H45" s="46"/>
      <c r="I45" s="46">
        <f t="shared" si="97"/>
        <v>0</v>
      </c>
      <c r="J45" s="46"/>
      <c r="K45" s="46"/>
      <c r="L45" s="46"/>
      <c r="M45" s="328"/>
      <c r="N45" s="328"/>
      <c r="O45" s="46"/>
      <c r="P45" s="328"/>
      <c r="Q45" s="5481"/>
      <c r="R45" s="924">
        <f t="shared" si="16"/>
        <v>0</v>
      </c>
      <c r="S45" s="924">
        <f t="shared" si="17"/>
        <v>0</v>
      </c>
      <c r="T45" s="2744">
        <f t="shared" si="18"/>
        <v>0</v>
      </c>
      <c r="U45" s="1827"/>
      <c r="V45" s="46"/>
      <c r="W45" s="46"/>
      <c r="X45" s="46"/>
      <c r="Y45" s="328"/>
      <c r="Z45" s="328"/>
      <c r="AA45" s="46"/>
      <c r="AB45" s="328"/>
      <c r="AC45" s="360"/>
    </row>
    <row r="46" spans="1:35" hidden="1">
      <c r="A46" s="4892"/>
      <c r="B46" s="4780"/>
      <c r="C46" s="127">
        <f t="shared" si="95"/>
        <v>0</v>
      </c>
      <c r="D46" s="127"/>
      <c r="E46" s="127"/>
      <c r="F46" s="46">
        <f t="shared" si="96"/>
        <v>0</v>
      </c>
      <c r="G46" s="46"/>
      <c r="H46" s="46"/>
      <c r="I46" s="46">
        <f t="shared" si="97"/>
        <v>0</v>
      </c>
      <c r="J46" s="46"/>
      <c r="K46" s="46"/>
      <c r="L46" s="46"/>
      <c r="M46" s="328"/>
      <c r="N46" s="328"/>
      <c r="O46" s="46"/>
      <c r="P46" s="328"/>
      <c r="Q46" s="5481"/>
      <c r="R46" s="924">
        <f t="shared" si="16"/>
        <v>0</v>
      </c>
      <c r="S46" s="924">
        <f t="shared" si="17"/>
        <v>0</v>
      </c>
      <c r="T46" s="2744">
        <f t="shared" si="18"/>
        <v>0</v>
      </c>
      <c r="U46" s="1827"/>
      <c r="V46" s="46"/>
      <c r="W46" s="46"/>
      <c r="X46" s="46"/>
      <c r="Y46" s="328"/>
      <c r="Z46" s="328"/>
      <c r="AA46" s="46"/>
      <c r="AB46" s="328"/>
      <c r="AC46" s="360"/>
    </row>
    <row r="47" spans="1:35">
      <c r="A47" s="4878">
        <v>2</v>
      </c>
      <c r="B47" s="4879" t="s">
        <v>209</v>
      </c>
      <c r="C47" s="4893">
        <f>SUM(D47:E47)</f>
        <v>10664978.794711081</v>
      </c>
      <c r="D47" s="4893">
        <f>+'Phụ lục số 2'!F22</f>
        <v>3294440.4</v>
      </c>
      <c r="E47" s="4893">
        <f>+'Phụ lục số 2'!G22</f>
        <v>7370538.3947110809</v>
      </c>
      <c r="F47" s="126">
        <f>SUM(G47:H47)</f>
        <v>11721214.294711081</v>
      </c>
      <c r="G47" s="45">
        <f>+'Phụ lục số 2'!K22</f>
        <v>3526114.9</v>
      </c>
      <c r="H47" s="45">
        <f>+'Phụ lục số 2'!L22</f>
        <v>8195099.3947110809</v>
      </c>
      <c r="I47" s="45">
        <f>SUM(J47:K47)</f>
        <v>12761657.450000003</v>
      </c>
      <c r="J47" s="45">
        <f>+'Phụ lục số 2'!P22</f>
        <v>3680232.0929999999</v>
      </c>
      <c r="K47" s="45">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5483">
        <f>+'Phụ lục số 2'!AA22</f>
        <v>9517706.4046643022</v>
      </c>
      <c r="R47" s="924">
        <f t="shared" si="16"/>
        <v>39303539.001061976</v>
      </c>
      <c r="S47" s="924">
        <f t="shared" si="17"/>
        <v>11474612.566208323</v>
      </c>
      <c r="T47" s="2744">
        <f t="shared" si="1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361">
        <f>'Phụ lục số II'!AP17</f>
        <v>10763485.913870698</v>
      </c>
    </row>
    <row r="48" spans="1:35">
      <c r="A48" s="4878"/>
      <c r="B48" s="4879" t="s">
        <v>234</v>
      </c>
      <c r="C48" s="4894"/>
      <c r="D48" s="4894"/>
      <c r="E48" s="4894"/>
      <c r="F48" s="46"/>
      <c r="G48" s="46"/>
      <c r="H48" s="46"/>
      <c r="I48" s="46"/>
      <c r="J48" s="46"/>
      <c r="K48" s="46"/>
      <c r="L48" s="1653"/>
      <c r="M48" s="1653"/>
      <c r="N48" s="1653"/>
      <c r="O48" s="2283">
        <f t="shared" ref="O48:O50" si="98">SUM(P48:Q48)</f>
        <v>0</v>
      </c>
      <c r="P48" s="5165"/>
      <c r="Q48" s="5484"/>
      <c r="R48" s="924">
        <f t="shared" si="16"/>
        <v>0</v>
      </c>
      <c r="S48" s="924">
        <f t="shared" si="17"/>
        <v>0</v>
      </c>
      <c r="T48" s="2744">
        <f t="shared" si="18"/>
        <v>0</v>
      </c>
      <c r="U48" s="1827"/>
      <c r="V48" s="46"/>
      <c r="W48" s="46"/>
      <c r="X48" s="297"/>
      <c r="Y48" s="297"/>
      <c r="Z48" s="297"/>
      <c r="AA48" s="328"/>
      <c r="AB48" s="328"/>
      <c r="AC48" s="360"/>
    </row>
    <row r="49" spans="1:29">
      <c r="A49" s="4890" t="s">
        <v>29</v>
      </c>
      <c r="B49" s="4891" t="s">
        <v>239</v>
      </c>
      <c r="C49" s="4895">
        <f>SUM(D49:E49)</f>
        <v>4797945.7831797441</v>
      </c>
      <c r="D49" s="4895">
        <f>+'Phụ lục số 2'!F23</f>
        <v>956676</v>
      </c>
      <c r="E49" s="4895">
        <f>+'Phụ lục số 2'!G23</f>
        <v>3841269.7831797441</v>
      </c>
      <c r="F49" s="127">
        <f t="shared" ref="F49:F50" si="99">SUM(G49:H49)</f>
        <v>5490754.7831797441</v>
      </c>
      <c r="G49" s="46">
        <f>+'Phụ lục số 2'!K23</f>
        <v>1049198</v>
      </c>
      <c r="H49" s="46">
        <f>+'Phụ lục số 2'!L23</f>
        <v>4441556.7831797441</v>
      </c>
      <c r="I49" s="46">
        <f>SUM(J49:K49)</f>
        <v>5859513.0000000009</v>
      </c>
      <c r="J49" s="46">
        <f>+'Phụ lục số 2'!P23</f>
        <v>1106650</v>
      </c>
      <c r="K49" s="46">
        <f>+'Phụ lục số 2'!Q23</f>
        <v>4752863.0000000009</v>
      </c>
      <c r="L49" s="1653">
        <f>SUM(M49:N49)</f>
        <v>5918101.9564761929</v>
      </c>
      <c r="M49" s="1653">
        <f>+'Phụ lục số 2'!U23</f>
        <v>1139028.3534760615</v>
      </c>
      <c r="N49" s="1653">
        <f>+'Phụ lục số 2'!V23</f>
        <v>4779073.6030001314</v>
      </c>
      <c r="O49" s="2283">
        <f t="shared" si="98"/>
        <v>6106259.8643117491</v>
      </c>
      <c r="P49" s="2283">
        <f>+'Phụ lục số 2'!Z23</f>
        <v>1183093.2973419931</v>
      </c>
      <c r="Q49" s="5485">
        <f>+'Phụ lục số 2'!AA23</f>
        <v>4923166.566969756</v>
      </c>
      <c r="R49" s="924">
        <f t="shared" si="16"/>
        <v>17883874.82078794</v>
      </c>
      <c r="S49" s="924">
        <f t="shared" si="17"/>
        <v>3428771.6508180546</v>
      </c>
      <c r="T49" s="2744">
        <f t="shared" si="1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360">
        <f>'Phụ lục số II'!AP18</f>
        <v>5743058.5827228744</v>
      </c>
    </row>
    <row r="50" spans="1:29">
      <c r="A50" s="4890" t="s">
        <v>29</v>
      </c>
      <c r="B50" s="4896" t="s">
        <v>241</v>
      </c>
      <c r="C50" s="4895">
        <f t="shared" ref="C50:C51" si="100">SUM(D50:E50)</f>
        <v>31218</v>
      </c>
      <c r="D50" s="4895">
        <f>+'Phụ lục số 2'!F24</f>
        <v>31218</v>
      </c>
      <c r="E50" s="4895">
        <f>+'Phụ lục số 2'!G24</f>
        <v>0</v>
      </c>
      <c r="F50" s="127">
        <f t="shared" si="99"/>
        <v>30790</v>
      </c>
      <c r="G50" s="46">
        <f>+'Phụ lục số 2'!K24</f>
        <v>30790</v>
      </c>
      <c r="H50" s="46">
        <f>+'Phụ lục số 2'!L24</f>
        <v>0</v>
      </c>
      <c r="I50" s="46">
        <f>SUM(J50:K50)</f>
        <v>31307</v>
      </c>
      <c r="J50" s="46">
        <f>+'Phụ lục số 2'!P24</f>
        <v>31307</v>
      </c>
      <c r="K50" s="46">
        <f>+'Phụ lục số 2'!Q24</f>
        <v>0</v>
      </c>
      <c r="L50" s="1653">
        <f>SUM(M50:N50)</f>
        <v>32222.979860186198</v>
      </c>
      <c r="M50" s="1653">
        <f>+'Phụ lục số 2'!U24</f>
        <v>32222.979860186198</v>
      </c>
      <c r="N50" s="1653">
        <f>+'Phụ lục số 2'!V24</f>
        <v>0</v>
      </c>
      <c r="O50" s="2283">
        <f t="shared" si="98"/>
        <v>33469.572005499278</v>
      </c>
      <c r="P50" s="2283">
        <f>+'Phụ lục số 2'!Z24</f>
        <v>33469.572005499278</v>
      </c>
      <c r="Q50" s="5485">
        <f>'Phụ lục số II'!AA19</f>
        <v>0</v>
      </c>
      <c r="R50" s="924">
        <f t="shared" si="16"/>
        <v>96999.551865685469</v>
      </c>
      <c r="S50" s="924">
        <f t="shared" si="17"/>
        <v>96999.551865685469</v>
      </c>
      <c r="T50" s="2744">
        <f t="shared" si="18"/>
        <v>0</v>
      </c>
      <c r="U50" s="1827">
        <f>SUM(V50:W50)</f>
        <v>35149.814659228985</v>
      </c>
      <c r="V50" s="46">
        <f>'Phụ lục số II'!AE19</f>
        <v>35149.814659228985</v>
      </c>
      <c r="W50" s="46"/>
      <c r="X50" s="297">
        <f t="shared" ref="X50:X51" si="101">SUM(Y50:Z50)</f>
        <v>36406.277712104355</v>
      </c>
      <c r="Y50" s="328">
        <f>'Phụ lục số II'!AJ19</f>
        <v>36406.277712104355</v>
      </c>
      <c r="Z50" s="328">
        <f>'Phụ lục số II'!AK19</f>
        <v>0</v>
      </c>
      <c r="AA50" s="328">
        <f t="shared" ref="AA50:AA51" si="102">SUM(AB50:AC50)</f>
        <v>37320.513403256889</v>
      </c>
      <c r="AB50" s="328">
        <f>'Phụ lục số II'!AO19</f>
        <v>37320.513403256889</v>
      </c>
      <c r="AC50" s="360"/>
    </row>
    <row r="51" spans="1:29">
      <c r="A51" s="4890" t="s">
        <v>29</v>
      </c>
      <c r="B51" s="4891" t="s">
        <v>240</v>
      </c>
      <c r="C51" s="4895">
        <f t="shared" si="100"/>
        <v>5835815.0115313362</v>
      </c>
      <c r="D51" s="4895">
        <f>D47-D49-D50</f>
        <v>2306546.4</v>
      </c>
      <c r="E51" s="4895">
        <f t="shared" ref="E51" si="103">E47-E49-E50</f>
        <v>3529268.6115313368</v>
      </c>
      <c r="F51" s="127">
        <f>SUM(G51:H51)</f>
        <v>6199669.5115313362</v>
      </c>
      <c r="G51" s="127">
        <f>G47-G49-G50</f>
        <v>2446126.9</v>
      </c>
      <c r="H51" s="127">
        <f t="shared" ref="H51" si="104">H47-H49-H50</f>
        <v>3753542.6115313368</v>
      </c>
      <c r="I51" s="196">
        <f t="shared" ref="I51" si="105">SUM(J51:K51)</f>
        <v>6870837.4500000011</v>
      </c>
      <c r="J51" s="196">
        <f>J47-J49-J50</f>
        <v>2542275.0929999999</v>
      </c>
      <c r="K51" s="196">
        <f t="shared" ref="K51" si="106">K47-K49-K50</f>
        <v>4328562.3570000017</v>
      </c>
      <c r="L51" s="5320">
        <f t="shared" ref="L51" si="107">SUM(M51:N51)</f>
        <v>7099504.2197785098</v>
      </c>
      <c r="M51" s="5320">
        <f>M47-M49-M50</f>
        <v>2648783.1495892932</v>
      </c>
      <c r="N51" s="5320">
        <f t="shared" ref="N51" si="108">N47-N49-N50</f>
        <v>4450721.0701892162</v>
      </c>
      <c r="O51" s="5320">
        <f t="shared" ref="O51" si="109">SUM(P51:Q51)</f>
        <v>7352322.9586298354</v>
      </c>
      <c r="P51" s="5320">
        <f>P47-P49-P50</f>
        <v>2757783.1209352897</v>
      </c>
      <c r="Q51" s="5486">
        <f>Q47-Q49-Q50</f>
        <v>4594539.8376945462</v>
      </c>
      <c r="R51" s="924">
        <f t="shared" si="16"/>
        <v>21322664.628408346</v>
      </c>
      <c r="S51" s="924">
        <f t="shared" si="17"/>
        <v>7948841.3635245822</v>
      </c>
      <c r="T51" s="2744">
        <f t="shared" si="18"/>
        <v>13373823.264883764</v>
      </c>
      <c r="U51" s="4872">
        <f t="shared" ref="U51" si="110">SUM(V51:W51)</f>
        <v>7463552.5087014139</v>
      </c>
      <c r="V51" s="127">
        <f>V47-V49-V50</f>
        <v>2954741.5885987445</v>
      </c>
      <c r="W51" s="127">
        <f>W47-W49-W50</f>
        <v>4508810.9201026689</v>
      </c>
      <c r="X51" s="297">
        <f t="shared" si="101"/>
        <v>7941763.3492903039</v>
      </c>
      <c r="Y51" s="127">
        <f>Y47-Y49-Y50</f>
        <v>3150361.5946460278</v>
      </c>
      <c r="Z51" s="127">
        <f>Z47-Z49-Z50</f>
        <v>4791401.7546442756</v>
      </c>
      <c r="AA51" s="328">
        <f t="shared" si="102"/>
        <v>8374900.9139140751</v>
      </c>
      <c r="AB51" s="127">
        <f>AB47-AB49-AB50</f>
        <v>3354473.5827662521</v>
      </c>
      <c r="AC51" s="362">
        <f>AC47-AC49-AC50</f>
        <v>5020427.3311478235</v>
      </c>
    </row>
    <row r="52" spans="1:29" s="31" customFormat="1">
      <c r="A52" s="4897">
        <v>3</v>
      </c>
      <c r="B52" s="4898" t="s">
        <v>210</v>
      </c>
      <c r="C52" s="4899"/>
      <c r="D52" s="4899"/>
      <c r="E52" s="4899"/>
      <c r="F52" s="46"/>
      <c r="G52" s="46"/>
      <c r="H52" s="46"/>
      <c r="I52" s="46"/>
      <c r="J52" s="46"/>
      <c r="K52" s="46"/>
      <c r="L52" s="2283"/>
      <c r="M52" s="5165"/>
      <c r="N52" s="5165"/>
      <c r="O52" s="297"/>
      <c r="P52" s="297"/>
      <c r="Q52" s="5487"/>
      <c r="R52" s="924">
        <f t="shared" si="16"/>
        <v>0</v>
      </c>
      <c r="S52" s="924">
        <f t="shared" si="17"/>
        <v>0</v>
      </c>
      <c r="T52" s="2744">
        <f t="shared" si="18"/>
        <v>0</v>
      </c>
      <c r="U52" s="1833"/>
      <c r="V52" s="297"/>
      <c r="W52" s="297"/>
      <c r="X52" s="297"/>
      <c r="Y52" s="297"/>
      <c r="Z52" s="297"/>
      <c r="AA52" s="328"/>
      <c r="AB52" s="328"/>
      <c r="AC52" s="360"/>
    </row>
    <row r="53" spans="1:29" s="31" customFormat="1">
      <c r="A53" s="4897">
        <v>4</v>
      </c>
      <c r="B53" s="4898" t="s">
        <v>176</v>
      </c>
      <c r="C53" s="4900">
        <f>SUM(D53:E53)</f>
        <v>717399.2</v>
      </c>
      <c r="D53" s="4900">
        <f>'Phụ lục số II'!F34</f>
        <v>79139.200000000012</v>
      </c>
      <c r="E53" s="4900">
        <f>'Phụ lục số II'!G34</f>
        <v>638260</v>
      </c>
      <c r="F53" s="45">
        <f>SUM(G53:H53)</f>
        <v>0.40000000001455194</v>
      </c>
      <c r="G53" s="45">
        <f>+'Phụ lục số 2'!K39</f>
        <v>0.40000000001455194</v>
      </c>
      <c r="H53" s="45">
        <f>+'Phụ lục số 2'!L39</f>
        <v>0</v>
      </c>
      <c r="I53" s="1651">
        <f>SUM(J53:K53)</f>
        <v>519900</v>
      </c>
      <c r="J53" s="1651">
        <f>+'Phụ lục số 2'!P39</f>
        <v>0</v>
      </c>
      <c r="K53" s="1651">
        <f>+'Phụ lục số 2'!Q39</f>
        <v>519900</v>
      </c>
      <c r="L53" s="1651">
        <f>SUM(M53:N53)</f>
        <v>626117.15251171635</v>
      </c>
      <c r="M53" s="4431">
        <f>+'Phụ lục số 2'!U39</f>
        <v>202308.50969414107</v>
      </c>
      <c r="N53" s="4431">
        <f>+'Phụ lục số 2'!V39</f>
        <v>423808.64281757525</v>
      </c>
      <c r="O53" s="4431">
        <f>SUM(P53:Q53)</f>
        <v>789623.5261911191</v>
      </c>
      <c r="P53" s="4431">
        <f>+'Phụ lục số 2'!Z39</f>
        <v>394092.17037477036</v>
      </c>
      <c r="Q53" s="5483">
        <f>+'Phụ lục số 2'!AA39</f>
        <v>395531.35581634869</v>
      </c>
      <c r="R53" s="924">
        <f t="shared" si="16"/>
        <v>1935640.6787028355</v>
      </c>
      <c r="S53" s="924">
        <f t="shared" si="17"/>
        <v>596400.6800689114</v>
      </c>
      <c r="T53" s="2744">
        <f t="shared" si="1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361">
        <f>'Phụ lục số II'!AP34</f>
        <v>984949.50233643386</v>
      </c>
    </row>
    <row r="54" spans="1:29" s="31" customFormat="1">
      <c r="A54" s="4897">
        <v>5</v>
      </c>
      <c r="B54" s="4901" t="s">
        <v>212</v>
      </c>
      <c r="C54" s="4900">
        <f t="shared" ref="C54:C57" si="111">SUM(D54:E54)</f>
        <v>0</v>
      </c>
      <c r="D54" s="4899"/>
      <c r="E54" s="4899"/>
      <c r="F54" s="45">
        <f t="shared" ref="F54:F57" si="112">SUM(G54:H54)</f>
        <v>0</v>
      </c>
      <c r="G54" s="45"/>
      <c r="H54" s="45"/>
      <c r="I54" s="1653"/>
      <c r="J54" s="1653"/>
      <c r="K54" s="1653"/>
      <c r="L54" s="2283"/>
      <c r="M54" s="5165"/>
      <c r="N54" s="5165"/>
      <c r="O54" s="5165"/>
      <c r="P54" s="5165"/>
      <c r="Q54" s="5484"/>
      <c r="R54" s="924">
        <f t="shared" si="16"/>
        <v>0</v>
      </c>
      <c r="S54" s="924">
        <f t="shared" si="17"/>
        <v>0</v>
      </c>
      <c r="T54" s="2744">
        <f t="shared" si="18"/>
        <v>0</v>
      </c>
      <c r="U54" s="1833"/>
      <c r="V54" s="297"/>
      <c r="W54" s="297"/>
      <c r="X54" s="297"/>
      <c r="Y54" s="297"/>
      <c r="Z54" s="297"/>
      <c r="AA54" s="328"/>
      <c r="AB54" s="328"/>
      <c r="AC54" s="360"/>
    </row>
    <row r="55" spans="1:29" s="31" customFormat="1">
      <c r="A55" s="4897">
        <v>6</v>
      </c>
      <c r="B55" s="4902" t="s">
        <v>174</v>
      </c>
      <c r="C55" s="4900">
        <f t="shared" si="111"/>
        <v>2000</v>
      </c>
      <c r="D55" s="4900">
        <f>+'Phụ lục số 2'!F37</f>
        <v>2000</v>
      </c>
      <c r="E55" s="4900">
        <f>+'Phụ lục số 2'!G37</f>
        <v>0</v>
      </c>
      <c r="F55" s="45">
        <f t="shared" si="112"/>
        <v>2000</v>
      </c>
      <c r="G55" s="45">
        <f>+'Phụ lục số 2'!K37</f>
        <v>2000</v>
      </c>
      <c r="H55" s="45">
        <f>+'Phụ lục số 2'!L37</f>
        <v>0</v>
      </c>
      <c r="I55" s="45">
        <f>SUM(J55:K55)</f>
        <v>2000</v>
      </c>
      <c r="J55" s="45">
        <f>+'Phụ lục số 2'!P37</f>
        <v>2000</v>
      </c>
      <c r="K55" s="45">
        <f>+'Phụ lục số 2'!Q37</f>
        <v>0</v>
      </c>
      <c r="L55" s="45">
        <f>SUM(M55:N55)</f>
        <v>2000</v>
      </c>
      <c r="M55" s="4431">
        <f>+'Phụ lục số 2'!U37</f>
        <v>2000</v>
      </c>
      <c r="N55" s="4431">
        <f>+'Phụ lục số 2'!V37</f>
        <v>0</v>
      </c>
      <c r="O55" s="329">
        <f>SUM(P55:Q55)</f>
        <v>2000</v>
      </c>
      <c r="P55" s="4431">
        <f>+'Phụ lục số 2'!Z37</f>
        <v>2000</v>
      </c>
      <c r="Q55" s="5483">
        <f>+'Phụ lục số 2'!AA37</f>
        <v>0</v>
      </c>
      <c r="R55" s="924">
        <f t="shared" si="16"/>
        <v>6000</v>
      </c>
      <c r="S55" s="924">
        <f t="shared" si="17"/>
        <v>6000</v>
      </c>
      <c r="T55" s="2744">
        <f t="shared" si="1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361"/>
    </row>
    <row r="56" spans="1:29" s="31" customFormat="1">
      <c r="A56" s="4903">
        <v>7</v>
      </c>
      <c r="B56" s="4902" t="s">
        <v>175</v>
      </c>
      <c r="C56" s="4900">
        <f t="shared" si="111"/>
        <v>327868.79999999999</v>
      </c>
      <c r="D56" s="4900">
        <f>+'Phụ lục số 2'!F38</f>
        <v>152264.29999999999</v>
      </c>
      <c r="E56" s="4900">
        <f>+'Phụ lục số 2'!G38</f>
        <v>175604.5</v>
      </c>
      <c r="F56" s="45">
        <f t="shared" si="112"/>
        <v>327868.79999999999</v>
      </c>
      <c r="G56" s="45">
        <f>+'Phụ lục số 2'!K38</f>
        <v>152264.29999999999</v>
      </c>
      <c r="H56" s="45">
        <f>+'Phụ lục số 2'!L38</f>
        <v>175604.5</v>
      </c>
      <c r="I56" s="45">
        <f t="shared" ref="I56:I57" si="113">SUM(J56:K56)</f>
        <v>376400.94999999995</v>
      </c>
      <c r="J56" s="45">
        <f>+'Phụ lục số 2'!P38</f>
        <v>163959.4</v>
      </c>
      <c r="K56" s="45">
        <f>+'Phụ lục số 2'!Q38</f>
        <v>212441.54999999996</v>
      </c>
      <c r="L56" s="45">
        <f t="shared" ref="L56:L57" si="114">SUM(M56:N56)</f>
        <v>382369.62325673946</v>
      </c>
      <c r="M56" s="4431">
        <f>+'Phụ lục số 2'!U38</f>
        <v>168756.52231412186</v>
      </c>
      <c r="N56" s="4431">
        <f>+'Phụ lục số 2'!V38</f>
        <v>213613.1009426176</v>
      </c>
      <c r="O56" s="329">
        <f t="shared" ref="O56:O57" si="115">SUM(P56:Q56)</f>
        <v>395338.82020193478</v>
      </c>
      <c r="P56" s="4431">
        <f>+'Phụ lục số 2'!Z38</f>
        <v>175285.11017594975</v>
      </c>
      <c r="Q56" s="5483">
        <f>+'Phụ lục số 2'!AA38</f>
        <v>220053.71002598506</v>
      </c>
      <c r="R56" s="924">
        <f t="shared" si="16"/>
        <v>1154109.3934586742</v>
      </c>
      <c r="S56" s="924">
        <f t="shared" si="17"/>
        <v>508001.03249007161</v>
      </c>
      <c r="T56" s="2744">
        <f t="shared" si="18"/>
        <v>646108.36096860259</v>
      </c>
      <c r="U56" s="1834">
        <f t="shared" ref="U56:U57" si="116">SUM(V56:W56)</f>
        <v>388554.57695830194</v>
      </c>
      <c r="V56" s="329">
        <f>'Phụ lục số II'!AE33</f>
        <v>193982.6303761786</v>
      </c>
      <c r="W56" s="329">
        <f>'Phụ lục số II'!AF33</f>
        <v>194571.94658212332</v>
      </c>
      <c r="X56" s="329">
        <f t="shared" ref="X56:X57" si="117">SUM(Y56:Z56)</f>
        <v>413799.67800673621</v>
      </c>
      <c r="Y56" s="329">
        <f>'Phụ lục số II'!AJ33</f>
        <v>210916.72121933621</v>
      </c>
      <c r="Z56" s="329">
        <f>'Phụ lục số II'!AK33</f>
        <v>202882.95678739998</v>
      </c>
      <c r="AA56" s="329">
        <f t="shared" ref="AA56:AA57" si="118">SUM(AB56:AC56)</f>
        <v>455829.86689569859</v>
      </c>
      <c r="AB56" s="329">
        <f>'Phụ lục số II'!AO33</f>
        <v>236213.26913682561</v>
      </c>
      <c r="AC56" s="361">
        <f>'Phụ lục số II'!AP33</f>
        <v>219616.59775887299</v>
      </c>
    </row>
    <row r="57" spans="1:29" s="31" customFormat="1">
      <c r="A57" s="4903">
        <v>8</v>
      </c>
      <c r="B57" s="4902" t="s">
        <v>213</v>
      </c>
      <c r="C57" s="4900">
        <f t="shared" si="111"/>
        <v>3000</v>
      </c>
      <c r="D57" s="4900">
        <f>+'Phụ lục số 2'!F36</f>
        <v>3000</v>
      </c>
      <c r="E57" s="4900">
        <f>+'Phụ lục số 2'!G36</f>
        <v>0</v>
      </c>
      <c r="F57" s="45">
        <f t="shared" si="112"/>
        <v>3000</v>
      </c>
      <c r="G57" s="45">
        <f>+'Phụ lục số 2'!K36</f>
        <v>3000</v>
      </c>
      <c r="H57" s="45">
        <f>+'Phụ lục số 2'!L36</f>
        <v>0</v>
      </c>
      <c r="I57" s="45">
        <f t="shared" si="113"/>
        <v>3500</v>
      </c>
      <c r="J57" s="45">
        <f>+'Phụ lục số 2'!P36</f>
        <v>3500</v>
      </c>
      <c r="K57" s="45">
        <f>+'Phụ lục số 2'!Q36</f>
        <v>0</v>
      </c>
      <c r="L57" s="45">
        <f t="shared" si="114"/>
        <v>3500</v>
      </c>
      <c r="M57" s="4431">
        <f>+'Phụ lục số 2'!U36</f>
        <v>3500</v>
      </c>
      <c r="N57" s="4431">
        <f>+'Phụ lục số 2'!V36</f>
        <v>0</v>
      </c>
      <c r="O57" s="329">
        <f t="shared" si="115"/>
        <v>3500</v>
      </c>
      <c r="P57" s="4431">
        <f>+'Phụ lục số 2'!Z36</f>
        <v>3500</v>
      </c>
      <c r="Q57" s="5483">
        <f>+'Phụ lục số 2'!AA36</f>
        <v>0</v>
      </c>
      <c r="R57" s="924">
        <f t="shared" si="16"/>
        <v>10500</v>
      </c>
      <c r="S57" s="924">
        <f t="shared" si="17"/>
        <v>10500</v>
      </c>
      <c r="T57" s="2744">
        <f t="shared" si="18"/>
        <v>0</v>
      </c>
      <c r="U57" s="1834">
        <f t="shared" si="116"/>
        <v>3000</v>
      </c>
      <c r="V57" s="329">
        <f>'Phụ lục số II'!AE31</f>
        <v>3000</v>
      </c>
      <c r="W57" s="330"/>
      <c r="X57" s="329">
        <f t="shared" si="117"/>
        <v>3000</v>
      </c>
      <c r="Y57" s="329">
        <f>'Phụ lục số II'!AJ31</f>
        <v>3000</v>
      </c>
      <c r="Z57" s="330"/>
      <c r="AA57" s="329">
        <f t="shared" si="118"/>
        <v>3000</v>
      </c>
      <c r="AB57" s="329">
        <f>'Phụ lục số II'!AO31</f>
        <v>3000</v>
      </c>
      <c r="AC57" s="361"/>
    </row>
    <row r="58" spans="1:29" s="31" customFormat="1">
      <c r="A58" s="4897" t="s">
        <v>33</v>
      </c>
      <c r="B58" s="4902" t="s">
        <v>214</v>
      </c>
      <c r="C58" s="1582">
        <f>SUM(D58:E58)</f>
        <v>1988976</v>
      </c>
      <c r="D58" s="1582">
        <f>SUM(D59,D62,D65)</f>
        <v>1988976</v>
      </c>
      <c r="E58" s="1582">
        <f t="shared" ref="E58" si="119">SUM(E59,E62,E65)</f>
        <v>0</v>
      </c>
      <c r="F58" s="126">
        <f>SUM(G58:H58)</f>
        <v>2127535</v>
      </c>
      <c r="G58" s="126">
        <f>SUM(G59,G62,G65)</f>
        <v>2127535</v>
      </c>
      <c r="H58" s="126">
        <f t="shared" ref="H58" si="120">SUM(H59,H62,H65)</f>
        <v>0</v>
      </c>
      <c r="I58" s="195">
        <f>SUM(J58:K58)</f>
        <v>3036992</v>
      </c>
      <c r="J58" s="195">
        <f>SUM(J59,J62,J65)</f>
        <v>2782607</v>
      </c>
      <c r="K58" s="195">
        <f t="shared" ref="K58" si="121">SUM(K59,K62,K65)</f>
        <v>254385</v>
      </c>
      <c r="L58" s="126">
        <f>SUM(M58:N58)</f>
        <v>3036992</v>
      </c>
      <c r="M58" s="126">
        <f>SUM(M59,M62,M65)</f>
        <v>2782607</v>
      </c>
      <c r="N58" s="126">
        <f t="shared" ref="N58" si="122">SUM(N59,N62,N65)</f>
        <v>254385</v>
      </c>
      <c r="O58" s="126">
        <f>SUM(P58:Q58)</f>
        <v>3036992</v>
      </c>
      <c r="P58" s="126">
        <f>SUM(P59,P62,P65)</f>
        <v>2782607</v>
      </c>
      <c r="Q58" s="5471">
        <f t="shared" ref="Q58" si="123">SUM(Q59,Q62,Q65)</f>
        <v>254385</v>
      </c>
      <c r="R58" s="924">
        <f t="shared" si="16"/>
        <v>9110976</v>
      </c>
      <c r="S58" s="924">
        <f t="shared" si="17"/>
        <v>8347821</v>
      </c>
      <c r="T58" s="2744">
        <f t="shared" si="18"/>
        <v>763155</v>
      </c>
      <c r="U58" s="4871">
        <f>SUM(V58:W58)</f>
        <v>3676048.8</v>
      </c>
      <c r="V58" s="126">
        <f>SUM(V59,V62,V65)</f>
        <v>3676048.8</v>
      </c>
      <c r="W58" s="126">
        <f t="shared" ref="W58" si="124">SUM(W59,W62,W65)</f>
        <v>0</v>
      </c>
      <c r="X58" s="126">
        <f>SUM(Y58:Z58)</f>
        <v>3676048.8</v>
      </c>
      <c r="Y58" s="126">
        <f>SUM(Y59,Y62,Y65)</f>
        <v>3676048.8</v>
      </c>
      <c r="Z58" s="126">
        <f t="shared" ref="Z58" si="125">SUM(Z59,Z62,Z65)</f>
        <v>0</v>
      </c>
      <c r="AA58" s="126">
        <f>SUM(AB58:AC58)</f>
        <v>3676048.8</v>
      </c>
      <c r="AB58" s="126">
        <f>SUM(AB59,AB62,AB65)</f>
        <v>3676048.8</v>
      </c>
      <c r="AC58" s="359">
        <f t="shared" ref="AC58" si="126">SUM(AC59,AC62,AC65)</f>
        <v>0</v>
      </c>
    </row>
    <row r="59" spans="1:29">
      <c r="A59" s="4890">
        <v>1</v>
      </c>
      <c r="B59" s="4904" t="s">
        <v>178</v>
      </c>
      <c r="C59" s="1577">
        <f t="shared" ref="C59" si="127">SUM(D59:E59)</f>
        <v>1814491</v>
      </c>
      <c r="D59" s="1577">
        <f>SUM(D60:D61)</f>
        <v>1814491</v>
      </c>
      <c r="E59" s="1577">
        <f t="shared" ref="E59" si="128">SUM(E60:E61)</f>
        <v>0</v>
      </c>
      <c r="F59" s="127">
        <f t="shared" ref="F59" si="129">SUM(G59:H59)</f>
        <v>1814491</v>
      </c>
      <c r="G59" s="127">
        <f>SUM(G60:G61)</f>
        <v>1814491</v>
      </c>
      <c r="H59" s="127">
        <f t="shared" ref="H59" si="130">SUM(H60:H61)</f>
        <v>0</v>
      </c>
      <c r="I59" s="196">
        <f t="shared" ref="I59" si="131">SUM(J59:K59)</f>
        <v>2530494</v>
      </c>
      <c r="J59" s="196">
        <f>SUM(J60:J61)</f>
        <v>2530494</v>
      </c>
      <c r="K59" s="196">
        <f t="shared" ref="K59" si="132">SUM(K60:K61)</f>
        <v>0</v>
      </c>
      <c r="L59" s="127">
        <f t="shared" ref="L59" si="133">SUM(M59:N59)</f>
        <v>2530494</v>
      </c>
      <c r="M59" s="127">
        <f>SUM(M60:M61)</f>
        <v>2530494</v>
      </c>
      <c r="N59" s="127">
        <f t="shared" ref="N59" si="134">SUM(N60:N61)</f>
        <v>0</v>
      </c>
      <c r="O59" s="328">
        <f>SUM(O60:O61)</f>
        <v>2530494</v>
      </c>
      <c r="P59" s="328">
        <f t="shared" ref="P59:Q59" si="135">SUM(P60:P61)</f>
        <v>2530494</v>
      </c>
      <c r="Q59" s="5481">
        <f t="shared" si="135"/>
        <v>0</v>
      </c>
      <c r="R59" s="924">
        <f t="shared" si="16"/>
        <v>7591482</v>
      </c>
      <c r="S59" s="924">
        <f t="shared" si="17"/>
        <v>7591482</v>
      </c>
      <c r="T59" s="2744">
        <f t="shared" si="18"/>
        <v>0</v>
      </c>
      <c r="U59" s="1835">
        <f>SUM(U60:U61)</f>
        <v>3101719</v>
      </c>
      <c r="V59" s="328">
        <f t="shared" ref="V59:W59" si="136">SUM(V60:V61)</f>
        <v>3101719</v>
      </c>
      <c r="W59" s="328">
        <f t="shared" si="136"/>
        <v>0</v>
      </c>
      <c r="X59" s="328">
        <f>SUM(X60:X61)</f>
        <v>3101719</v>
      </c>
      <c r="Y59" s="328">
        <f t="shared" ref="Y59:Z59" si="137">SUM(Y60:Y61)</f>
        <v>3101719</v>
      </c>
      <c r="Z59" s="328">
        <f t="shared" si="137"/>
        <v>0</v>
      </c>
      <c r="AA59" s="328">
        <f>SUM(AA60:AA61)</f>
        <v>3101719</v>
      </c>
      <c r="AB59" s="328">
        <f t="shared" ref="AB59:AC59" si="138">SUM(AB60:AB61)</f>
        <v>3101719</v>
      </c>
      <c r="AC59" s="360">
        <f t="shared" si="138"/>
        <v>0</v>
      </c>
    </row>
    <row r="60" spans="1:29" hidden="1">
      <c r="A60" s="4890" t="s">
        <v>99</v>
      </c>
      <c r="B60" s="4904" t="s">
        <v>100</v>
      </c>
      <c r="C60" s="1577">
        <f>SUM(D60:E60)</f>
        <v>1681570</v>
      </c>
      <c r="D60" s="1577">
        <f>+'Phụ lục số 2'!F42</f>
        <v>1681570</v>
      </c>
      <c r="E60" s="1577">
        <f>+'Phụ lục số 2'!G42</f>
        <v>0</v>
      </c>
      <c r="F60" s="46">
        <f>SUM(G60:H60)</f>
        <v>1681570</v>
      </c>
      <c r="G60" s="46">
        <f>+'Phụ lục số 2'!K42</f>
        <v>1681570</v>
      </c>
      <c r="H60" s="46">
        <f>+'Phụ lục số 2'!L42</f>
        <v>0</v>
      </c>
      <c r="I60" s="46">
        <f>SUM(J60:K60)</f>
        <v>2399255</v>
      </c>
      <c r="J60" s="46">
        <f>+'Phụ lục số 2'!P42</f>
        <v>2399255</v>
      </c>
      <c r="K60" s="46">
        <f>+'Phụ lục số 2'!Q42</f>
        <v>0</v>
      </c>
      <c r="L60" s="328">
        <f>SUM(M60:N60)</f>
        <v>2399255</v>
      </c>
      <c r="M60" s="328">
        <f>+'Phụ lục số 2'!U42</f>
        <v>2399255</v>
      </c>
      <c r="N60" s="328">
        <f>+'Phụ lục số 2'!V42</f>
        <v>0</v>
      </c>
      <c r="O60" s="328">
        <f>SUM(P60:Q60)</f>
        <v>2399255</v>
      </c>
      <c r="P60" s="328">
        <f>+'Phụ lục số 2'!Z42</f>
        <v>2399255</v>
      </c>
      <c r="Q60" s="5481">
        <f>+'Phụ lục số 2'!AA42</f>
        <v>0</v>
      </c>
      <c r="R60" s="924">
        <f t="shared" si="16"/>
        <v>7197765</v>
      </c>
      <c r="S60" s="924">
        <f t="shared" si="17"/>
        <v>7197765</v>
      </c>
      <c r="T60" s="2744">
        <f t="shared" si="1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360"/>
    </row>
    <row r="61" spans="1:29" hidden="1">
      <c r="A61" s="4890" t="s">
        <v>101</v>
      </c>
      <c r="B61" s="4904" t="s">
        <v>102</v>
      </c>
      <c r="C61" s="1577">
        <f t="shared" ref="C61:C62" si="139">SUM(D61:E61)</f>
        <v>132921</v>
      </c>
      <c r="D61" s="1577">
        <f>+'Phụ lục số 2'!F43</f>
        <v>132921</v>
      </c>
      <c r="E61" s="1577">
        <f>+'Phụ lục số 2'!G43</f>
        <v>0</v>
      </c>
      <c r="F61" s="46">
        <f>SUM(G61:H61)</f>
        <v>132921</v>
      </c>
      <c r="G61" s="46">
        <f>+'Phụ lục số 2'!K43</f>
        <v>132921</v>
      </c>
      <c r="H61" s="46">
        <f>+'Phụ lục số 2'!L43</f>
        <v>0</v>
      </c>
      <c r="I61" s="46">
        <f>SUM(J61:K61)</f>
        <v>131239</v>
      </c>
      <c r="J61" s="46">
        <f>+'Phụ lục số 2'!P43</f>
        <v>131239</v>
      </c>
      <c r="K61" s="46">
        <f>+'Phụ lục số 2'!Q43</f>
        <v>0</v>
      </c>
      <c r="L61" s="328">
        <f>SUM(M61:N61)</f>
        <v>131239</v>
      </c>
      <c r="M61" s="328">
        <f>+'Phụ lục số 2'!U43</f>
        <v>131239</v>
      </c>
      <c r="N61" s="328">
        <f>+'Phụ lục số 2'!V43</f>
        <v>0</v>
      </c>
      <c r="O61" s="328">
        <f>SUM(P61:Q61)</f>
        <v>131239</v>
      </c>
      <c r="P61" s="328">
        <f>+'Phụ lục số 2'!Z43</f>
        <v>131239</v>
      </c>
      <c r="Q61" s="5481">
        <f>+'Phụ lục số 2'!AA43</f>
        <v>0</v>
      </c>
      <c r="R61" s="924">
        <f t="shared" si="16"/>
        <v>393717</v>
      </c>
      <c r="S61" s="924">
        <f t="shared" si="17"/>
        <v>393717</v>
      </c>
      <c r="T61" s="2744">
        <f t="shared" si="1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360"/>
    </row>
    <row r="62" spans="1:29">
      <c r="A62" s="4890">
        <v>2</v>
      </c>
      <c r="B62" s="4904" t="s">
        <v>179</v>
      </c>
      <c r="C62" s="1577">
        <f t="shared" si="139"/>
        <v>174485</v>
      </c>
      <c r="D62" s="1577">
        <f>SUM(D63:D64)</f>
        <v>174485</v>
      </c>
      <c r="E62" s="1577">
        <f t="shared" ref="E62" si="140">SUM(E63:E64)</f>
        <v>0</v>
      </c>
      <c r="F62" s="127">
        <f t="shared" ref="F62" si="141">SUM(G62:H62)</f>
        <v>174485</v>
      </c>
      <c r="G62" s="127">
        <f>SUM(G63:G64)</f>
        <v>174485</v>
      </c>
      <c r="H62" s="127">
        <f t="shared" ref="H62" si="142">SUM(H63:H64)</f>
        <v>0</v>
      </c>
      <c r="I62" s="196">
        <f t="shared" ref="I62" si="143">SUM(J62:K62)</f>
        <v>221912</v>
      </c>
      <c r="J62" s="196">
        <f>SUM(J63:J64)</f>
        <v>125737</v>
      </c>
      <c r="K62" s="196">
        <f t="shared" ref="K62" si="144">SUM(K63:K64)</f>
        <v>96175</v>
      </c>
      <c r="L62" s="127">
        <f t="shared" ref="L62" si="145">SUM(M62:N62)</f>
        <v>221912</v>
      </c>
      <c r="M62" s="127">
        <f>SUM(M63:M64)</f>
        <v>125737</v>
      </c>
      <c r="N62" s="127">
        <f t="shared" ref="N62" si="146">SUM(N63:N64)</f>
        <v>96175</v>
      </c>
      <c r="O62" s="328">
        <f>SUM(O63:O64)</f>
        <v>221912</v>
      </c>
      <c r="P62" s="328">
        <f t="shared" ref="P62:Q62" si="147">SUM(P63:P64)</f>
        <v>125737</v>
      </c>
      <c r="Q62" s="5481">
        <f t="shared" si="147"/>
        <v>96175</v>
      </c>
      <c r="R62" s="924">
        <f t="shared" si="16"/>
        <v>665736</v>
      </c>
      <c r="S62" s="924">
        <f t="shared" si="17"/>
        <v>377211</v>
      </c>
      <c r="T62" s="2744">
        <f t="shared" si="18"/>
        <v>288525</v>
      </c>
      <c r="U62" s="1835">
        <f>SUM(U63:U64)</f>
        <v>195063.8</v>
      </c>
      <c r="V62" s="328">
        <f t="shared" ref="V62:W62" si="148">SUM(V63:V64)</f>
        <v>195063.8</v>
      </c>
      <c r="W62" s="328">
        <f t="shared" si="148"/>
        <v>0</v>
      </c>
      <c r="X62" s="328">
        <f>SUM(X63:X64)</f>
        <v>195063.8</v>
      </c>
      <c r="Y62" s="328">
        <f t="shared" ref="Y62:Z62" si="149">SUM(Y63:Y64)</f>
        <v>195063.8</v>
      </c>
      <c r="Z62" s="328">
        <f t="shared" si="149"/>
        <v>0</v>
      </c>
      <c r="AA62" s="328">
        <f>SUM(AA63:AA64)</f>
        <v>195063.8</v>
      </c>
      <c r="AB62" s="328">
        <f t="shared" ref="AB62:AC62" si="150">SUM(AB63:AB64)</f>
        <v>195063.8</v>
      </c>
      <c r="AC62" s="360">
        <f t="shared" si="150"/>
        <v>0</v>
      </c>
    </row>
    <row r="63" spans="1:29" hidden="1">
      <c r="A63" s="4890" t="s">
        <v>99</v>
      </c>
      <c r="B63" s="4904" t="s">
        <v>103</v>
      </c>
      <c r="C63" s="1577">
        <f>SUM(D63:E63)</f>
        <v>72469</v>
      </c>
      <c r="D63" s="1577">
        <f>+'Phụ lục số 2'!F45</f>
        <v>72469</v>
      </c>
      <c r="E63" s="1577">
        <f>+'Phụ lục số 2'!G45</f>
        <v>0</v>
      </c>
      <c r="F63" s="46">
        <f>SUM(G63:H63)</f>
        <v>72469</v>
      </c>
      <c r="G63" s="46">
        <f>+'Phụ lục số 2'!K45</f>
        <v>72469</v>
      </c>
      <c r="H63" s="46">
        <f>+'Phụ lục số 2'!L45</f>
        <v>0</v>
      </c>
      <c r="I63" s="46">
        <f>SUM(J63:K63)</f>
        <v>186007</v>
      </c>
      <c r="J63" s="46">
        <f>+'Phụ lục số 2'!P45</f>
        <v>89832</v>
      </c>
      <c r="K63" s="46">
        <f>+'Phụ lục số 2'!Q45</f>
        <v>96175</v>
      </c>
      <c r="L63" s="328">
        <f>SUM(M63:N63)</f>
        <v>186007</v>
      </c>
      <c r="M63" s="328">
        <f>+'Phụ lục số 2'!U45</f>
        <v>89832</v>
      </c>
      <c r="N63" s="328">
        <f>+'Phụ lục số 2'!V45</f>
        <v>96175</v>
      </c>
      <c r="O63" s="328">
        <f>SUM(P63:Q63)</f>
        <v>186007</v>
      </c>
      <c r="P63" s="328">
        <f>+'Phụ lục số 2'!Z45</f>
        <v>89832</v>
      </c>
      <c r="Q63" s="5481">
        <f>+'Phụ lục số 2'!AA45</f>
        <v>96175</v>
      </c>
      <c r="R63" s="924">
        <f t="shared" si="16"/>
        <v>558021</v>
      </c>
      <c r="S63" s="924">
        <f t="shared" si="17"/>
        <v>269496</v>
      </c>
      <c r="T63" s="2744">
        <f t="shared" si="1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360"/>
    </row>
    <row r="64" spans="1:29" hidden="1">
      <c r="A64" s="4890" t="s">
        <v>101</v>
      </c>
      <c r="B64" s="4904" t="s">
        <v>102</v>
      </c>
      <c r="C64" s="1577">
        <f t="shared" ref="C64:C68" si="151">SUM(D64:E64)</f>
        <v>102016</v>
      </c>
      <c r="D64" s="1577">
        <f>+'Phụ lục số 2'!F46</f>
        <v>102016</v>
      </c>
      <c r="E64" s="1577">
        <f>+'Phụ lục số 2'!G46</f>
        <v>0</v>
      </c>
      <c r="F64" s="46">
        <f>SUM(G64:H64)</f>
        <v>102016</v>
      </c>
      <c r="G64" s="46">
        <f>+'Phụ lục số 2'!K46</f>
        <v>102016</v>
      </c>
      <c r="H64" s="46">
        <f>+'Phụ lục số 2'!L46</f>
        <v>0</v>
      </c>
      <c r="I64" s="46">
        <f>SUM(J64:K64)</f>
        <v>35905</v>
      </c>
      <c r="J64" s="46">
        <f>+'Phụ lục số 2'!P46</f>
        <v>35905</v>
      </c>
      <c r="K64" s="46">
        <f>+'Phụ lục số 2'!Q46</f>
        <v>0</v>
      </c>
      <c r="L64" s="328">
        <f>SUM(M64:N64)</f>
        <v>35905</v>
      </c>
      <c r="M64" s="328">
        <f>+'Phụ lục số 2'!U46</f>
        <v>35905</v>
      </c>
      <c r="N64" s="328">
        <f>+'Phụ lục số 2'!V46</f>
        <v>0</v>
      </c>
      <c r="O64" s="328">
        <f>SUM(P64:Q64)</f>
        <v>35905</v>
      </c>
      <c r="P64" s="328">
        <f>+'Phụ lục số 2'!Z46</f>
        <v>35905</v>
      </c>
      <c r="Q64" s="5481">
        <f>+'Phụ lục số 2'!AA46</f>
        <v>0</v>
      </c>
      <c r="R64" s="924">
        <f t="shared" si="16"/>
        <v>107715</v>
      </c>
      <c r="S64" s="924">
        <f t="shared" si="17"/>
        <v>107715</v>
      </c>
      <c r="T64" s="2744">
        <f t="shared" si="1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360"/>
    </row>
    <row r="65" spans="1:29">
      <c r="A65" s="4890">
        <v>3</v>
      </c>
      <c r="B65" s="4904" t="s">
        <v>180</v>
      </c>
      <c r="C65" s="1577">
        <f t="shared" si="151"/>
        <v>0</v>
      </c>
      <c r="D65" s="1577">
        <f>SUM(D66:D67)</f>
        <v>0</v>
      </c>
      <c r="E65" s="1577">
        <f t="shared" ref="E65" si="152">SUM(E66:E67)</f>
        <v>0</v>
      </c>
      <c r="F65" s="46">
        <f>SUM(F66:F67)</f>
        <v>138559</v>
      </c>
      <c r="G65" s="46">
        <f t="shared" ref="G65:H65" si="153">SUM(G66:G67)</f>
        <v>138559</v>
      </c>
      <c r="H65" s="46">
        <f t="shared" si="153"/>
        <v>0</v>
      </c>
      <c r="I65" s="46">
        <f>SUM(I66:I67)</f>
        <v>284586</v>
      </c>
      <c r="J65" s="46">
        <f t="shared" ref="J65:K65" si="154">SUM(J66:J67)</f>
        <v>126376</v>
      </c>
      <c r="K65" s="46">
        <f t="shared" si="154"/>
        <v>158210</v>
      </c>
      <c r="L65" s="46">
        <f>SUM(L66:L67)</f>
        <v>284586</v>
      </c>
      <c r="M65" s="46">
        <f t="shared" ref="M65:N65" si="155">SUM(M66:M67)</f>
        <v>126376</v>
      </c>
      <c r="N65" s="46">
        <f t="shared" si="155"/>
        <v>158210</v>
      </c>
      <c r="O65" s="328">
        <f>SUM(O66:O67)</f>
        <v>284586</v>
      </c>
      <c r="P65" s="328">
        <f t="shared" ref="P65:Q65" si="156">SUM(P66:P67)</f>
        <v>126376</v>
      </c>
      <c r="Q65" s="5481">
        <f t="shared" si="156"/>
        <v>158210</v>
      </c>
      <c r="R65" s="924">
        <f t="shared" si="16"/>
        <v>853758</v>
      </c>
      <c r="S65" s="924">
        <f t="shared" si="17"/>
        <v>379128</v>
      </c>
      <c r="T65" s="2744">
        <f t="shared" si="18"/>
        <v>474630</v>
      </c>
      <c r="U65" s="1833">
        <f>SUM(U66:U67)</f>
        <v>379266</v>
      </c>
      <c r="V65" s="297">
        <f t="shared" ref="V65:W65" si="157">SUM(V66:V67)</f>
        <v>379266</v>
      </c>
      <c r="W65" s="297">
        <f t="shared" si="157"/>
        <v>0</v>
      </c>
      <c r="X65" s="297">
        <f>SUM(X66:X67)</f>
        <v>379266</v>
      </c>
      <c r="Y65" s="297">
        <f t="shared" ref="Y65:Z65" si="158">SUM(Y66:Y67)</f>
        <v>379266</v>
      </c>
      <c r="Z65" s="297">
        <f t="shared" si="158"/>
        <v>0</v>
      </c>
      <c r="AA65" s="328">
        <f>SUM(AA66:AA67)</f>
        <v>379266</v>
      </c>
      <c r="AB65" s="328">
        <f t="shared" ref="AB65:AC65" si="159">SUM(AB66:AB67)</f>
        <v>379266</v>
      </c>
      <c r="AC65" s="360">
        <f t="shared" si="159"/>
        <v>0</v>
      </c>
    </row>
    <row r="66" spans="1:29" hidden="1">
      <c r="A66" s="4890" t="s">
        <v>99</v>
      </c>
      <c r="B66" s="4904" t="s">
        <v>104</v>
      </c>
      <c r="C66" s="1577">
        <f t="shared" si="151"/>
        <v>0</v>
      </c>
      <c r="D66" s="1577">
        <f>+'Phụ lục số 2'!F48</f>
        <v>0</v>
      </c>
      <c r="E66" s="1577">
        <f>+'Phụ lục số 2'!G48</f>
        <v>0</v>
      </c>
      <c r="F66" s="46">
        <f>SUM(G66:H66)</f>
        <v>0</v>
      </c>
      <c r="G66" s="46">
        <f>+'Phụ lục số 2'!K48</f>
        <v>0</v>
      </c>
      <c r="H66" s="46">
        <f>+'Phụ lục số 2'!L48</f>
        <v>0</v>
      </c>
      <c r="I66" s="46">
        <f>SUM(J66:K66)</f>
        <v>0</v>
      </c>
      <c r="J66" s="46">
        <f>+'Phụ lục số 2'!P48</f>
        <v>0</v>
      </c>
      <c r="K66" s="46">
        <f>+'Phụ lục số 2'!Q48</f>
        <v>0</v>
      </c>
      <c r="L66" s="328">
        <f>SUM(M66:N66)</f>
        <v>0</v>
      </c>
      <c r="M66" s="328">
        <f>+'Phụ lục số 2'!U48</f>
        <v>0</v>
      </c>
      <c r="N66" s="328">
        <f>+'Phụ lục số 2'!V48</f>
        <v>0</v>
      </c>
      <c r="O66" s="328">
        <f>SUM(P66:Q66)</f>
        <v>0</v>
      </c>
      <c r="P66" s="328">
        <f>+'Phụ lục số 2'!Z48</f>
        <v>0</v>
      </c>
      <c r="Q66" s="5481">
        <f>+'Phụ lục số 2'!AA48</f>
        <v>0</v>
      </c>
      <c r="R66" s="924">
        <f t="shared" si="16"/>
        <v>0</v>
      </c>
      <c r="S66" s="924">
        <f t="shared" si="17"/>
        <v>0</v>
      </c>
      <c r="T66" s="2744">
        <f t="shared" si="18"/>
        <v>0</v>
      </c>
      <c r="U66" s="1835">
        <f>SUM(V66:W66)</f>
        <v>0</v>
      </c>
      <c r="V66" s="328">
        <f>'Phụ lục số II'!AE43</f>
        <v>0</v>
      </c>
      <c r="W66" s="297"/>
      <c r="X66" s="328">
        <f>SUM(Y66:Z66)</f>
        <v>0</v>
      </c>
      <c r="Y66" s="328">
        <f>'Phụ lục số II'!AJ43</f>
        <v>0</v>
      </c>
      <c r="Z66" s="297"/>
      <c r="AA66" s="328">
        <f>SUM(AB66:AC66)</f>
        <v>0</v>
      </c>
      <c r="AB66" s="328">
        <f>'Phụ lục số II'!AO43</f>
        <v>0</v>
      </c>
      <c r="AC66" s="360"/>
    </row>
    <row r="67" spans="1:29" hidden="1">
      <c r="A67" s="4890" t="s">
        <v>101</v>
      </c>
      <c r="B67" s="4904" t="s">
        <v>105</v>
      </c>
      <c r="C67" s="1577">
        <f t="shared" si="151"/>
        <v>0</v>
      </c>
      <c r="D67" s="1577">
        <f>+'Phụ lục số 2'!F49</f>
        <v>0</v>
      </c>
      <c r="E67" s="1577">
        <f>+'Phụ lục số 2'!G49</f>
        <v>0</v>
      </c>
      <c r="F67" s="46">
        <f>SUM(G67:H67)</f>
        <v>138559</v>
      </c>
      <c r="G67" s="46">
        <f>+'Phụ lục số 2'!K49</f>
        <v>138559</v>
      </c>
      <c r="H67" s="46">
        <f>+'Phụ lục số 2'!L49</f>
        <v>0</v>
      </c>
      <c r="I67" s="46">
        <f>SUM(J67:K67)</f>
        <v>284586</v>
      </c>
      <c r="J67" s="46">
        <f>+'Phụ lục số 2'!P49</f>
        <v>126376</v>
      </c>
      <c r="K67" s="46">
        <f>+'Phụ lục số 2'!Q49</f>
        <v>158210</v>
      </c>
      <c r="L67" s="328">
        <f>SUM(M67:N67)</f>
        <v>284586</v>
      </c>
      <c r="M67" s="328">
        <f>+'Phụ lục số 2'!U49</f>
        <v>126376</v>
      </c>
      <c r="N67" s="328">
        <f>+'Phụ lục số 2'!V49</f>
        <v>158210</v>
      </c>
      <c r="O67" s="328">
        <f>SUM(P67:Q67)</f>
        <v>284586</v>
      </c>
      <c r="P67" s="328">
        <f>+'Phụ lục số 2'!Z49</f>
        <v>126376</v>
      </c>
      <c r="Q67" s="5481">
        <f>+'Phụ lục số 2'!AA49</f>
        <v>158210</v>
      </c>
      <c r="R67" s="924">
        <f t="shared" si="16"/>
        <v>853758</v>
      </c>
      <c r="S67" s="924">
        <f t="shared" si="17"/>
        <v>379128</v>
      </c>
      <c r="T67" s="2744">
        <f t="shared" si="1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360"/>
    </row>
    <row r="68" spans="1:29" s="49" customFormat="1" ht="17.399999999999999">
      <c r="A68" s="4878" t="s">
        <v>182</v>
      </c>
      <c r="B68" s="4905" t="s">
        <v>181</v>
      </c>
      <c r="C68" s="4901">
        <f t="shared" si="151"/>
        <v>0</v>
      </c>
      <c r="D68" s="4901"/>
      <c r="E68" s="4901"/>
      <c r="F68" s="45">
        <f>SUM(G68:H68)</f>
        <v>0</v>
      </c>
      <c r="G68" s="45">
        <f>+'Phụ lục số 2'!K50</f>
        <v>0</v>
      </c>
      <c r="H68" s="45">
        <f>+'Phụ lục số 2'!L50</f>
        <v>0</v>
      </c>
      <c r="I68" s="45">
        <f>SUM(J68:K68)</f>
        <v>0</v>
      </c>
      <c r="J68" s="45">
        <f>'Phụ lục số II'!P45</f>
        <v>0</v>
      </c>
      <c r="K68" s="45"/>
      <c r="L68" s="329">
        <f>SUM(M68:N68)</f>
        <v>0</v>
      </c>
      <c r="M68" s="329">
        <f>+'Phụ lục số 2'!U50</f>
        <v>0</v>
      </c>
      <c r="N68" s="329">
        <f>+'Phụ lục số 2'!V50</f>
        <v>0</v>
      </c>
      <c r="O68" s="329">
        <f>SUM(P68:Q68)</f>
        <v>0</v>
      </c>
      <c r="P68" s="329">
        <f>+'Phụ lục số 2'!Z50</f>
        <v>0</v>
      </c>
      <c r="Q68" s="5488">
        <f>+'Phụ lục số 2'!AA50</f>
        <v>0</v>
      </c>
      <c r="R68" s="911">
        <f t="shared" si="16"/>
        <v>0</v>
      </c>
      <c r="S68" s="911">
        <f t="shared" si="17"/>
        <v>0</v>
      </c>
      <c r="T68" s="5819">
        <f t="shared" si="18"/>
        <v>0</v>
      </c>
      <c r="U68" s="1834">
        <f>SUM(V68:W68)</f>
        <v>0</v>
      </c>
      <c r="V68" s="329">
        <f>'Phụ lục số II'!AE45</f>
        <v>0</v>
      </c>
      <c r="W68" s="330"/>
      <c r="X68" s="329">
        <f>SUM(Y68:Z68)</f>
        <v>0</v>
      </c>
      <c r="Y68" s="329">
        <f>'Phụ lục số II'!AJ45</f>
        <v>0</v>
      </c>
      <c r="Z68" s="330"/>
      <c r="AA68" s="329">
        <f>SUM(AB68:AC68)</f>
        <v>0</v>
      </c>
      <c r="AB68" s="329">
        <f>'Phụ lục số II'!AO45</f>
        <v>0</v>
      </c>
      <c r="AC68" s="361"/>
    </row>
    <row r="69" spans="1:29" s="49" customFormat="1" ht="17.399999999999999">
      <c r="A69" s="4878" t="s">
        <v>718</v>
      </c>
      <c r="B69" s="4879" t="s">
        <v>216</v>
      </c>
      <c r="C69" s="4901"/>
      <c r="D69" s="4901"/>
      <c r="E69" s="4901"/>
      <c r="F69" s="45">
        <f>SUM(G69:H69)</f>
        <v>0</v>
      </c>
      <c r="G69" s="45">
        <f>H18</f>
        <v>0</v>
      </c>
      <c r="H69" s="45"/>
      <c r="I69" s="911">
        <f>SUM(J69:K69)</f>
        <v>0</v>
      </c>
      <c r="J69" s="911">
        <f>K18</f>
        <v>0</v>
      </c>
      <c r="K69" s="911"/>
      <c r="L69" s="5317">
        <f>+M69+N69</f>
        <v>0</v>
      </c>
      <c r="M69" s="5317">
        <f>+N18</f>
        <v>0</v>
      </c>
      <c r="N69" s="5316"/>
      <c r="O69" s="5316">
        <f>+P69+Q69</f>
        <v>0</v>
      </c>
      <c r="P69" s="5317">
        <f>+Q18</f>
        <v>0</v>
      </c>
      <c r="Q69" s="5489"/>
      <c r="R69" s="911">
        <f t="shared" si="16"/>
        <v>0</v>
      </c>
      <c r="S69" s="911">
        <f t="shared" si="17"/>
        <v>0</v>
      </c>
      <c r="T69" s="5819">
        <f t="shared" si="18"/>
        <v>0</v>
      </c>
      <c r="U69" s="5821"/>
      <c r="V69" s="5822"/>
      <c r="W69" s="5822"/>
      <c r="X69" s="5822"/>
      <c r="Y69" s="5822"/>
      <c r="Z69" s="5822"/>
      <c r="AA69" s="5823"/>
      <c r="AB69" s="5823"/>
      <c r="AC69" s="5824"/>
    </row>
    <row r="70" spans="1:29" s="49" customFormat="1" ht="17.399999999999999">
      <c r="A70" s="611" t="s">
        <v>744</v>
      </c>
      <c r="B70" s="1923" t="s">
        <v>3233</v>
      </c>
      <c r="C70" s="4901"/>
      <c r="D70" s="4901"/>
      <c r="E70" s="4901"/>
      <c r="F70" s="45"/>
      <c r="G70" s="45"/>
      <c r="H70" s="45"/>
      <c r="I70" s="911">
        <f>SUM(J70:K70)</f>
        <v>5553.7960000000003</v>
      </c>
      <c r="J70" s="911">
        <f>+'Phụ lục số 2'!P51</f>
        <v>5553.7960000000003</v>
      </c>
      <c r="K70" s="911">
        <f>+'Phụ lục số 2'!Q51</f>
        <v>0</v>
      </c>
      <c r="L70" s="5316">
        <f>+M70+N70</f>
        <v>0</v>
      </c>
      <c r="M70" s="5316">
        <f>+'Phụ lục số 2'!U51</f>
        <v>0</v>
      </c>
      <c r="N70" s="5316">
        <f>+'Phụ lục số 2'!V51</f>
        <v>0</v>
      </c>
      <c r="O70" s="5316">
        <f>+P70+Q70</f>
        <v>0</v>
      </c>
      <c r="P70" s="5317">
        <f>+'Phụ lục số 2'!Z51</f>
        <v>0</v>
      </c>
      <c r="Q70" s="5490">
        <f>+'Phụ lục số 2'!AA51</f>
        <v>0</v>
      </c>
      <c r="R70" s="911">
        <f t="shared" si="16"/>
        <v>5553.7960000000003</v>
      </c>
      <c r="S70" s="911">
        <f t="shared" si="17"/>
        <v>5553.7960000000003</v>
      </c>
      <c r="T70" s="5819">
        <f t="shared" si="18"/>
        <v>0</v>
      </c>
      <c r="U70" s="5825"/>
      <c r="V70" s="5825"/>
      <c r="W70" s="5825"/>
      <c r="X70" s="5825"/>
      <c r="Y70" s="5825"/>
      <c r="Z70" s="5825"/>
      <c r="AA70" s="5826"/>
      <c r="AB70" s="5826"/>
      <c r="AC70" s="5827"/>
    </row>
    <row r="71" spans="1:29" s="2923" customFormat="1" ht="17.399999999999999">
      <c r="A71" s="4888" t="s">
        <v>44</v>
      </c>
      <c r="B71" s="4906" t="s">
        <v>217</v>
      </c>
      <c r="C71" s="5184">
        <f>SUM(D71:E71)</f>
        <v>0.20528892055153847</v>
      </c>
      <c r="D71" s="5184">
        <f>D8-D33</f>
        <v>5083323.1000000015</v>
      </c>
      <c r="E71" s="5184">
        <f>E8-E33</f>
        <v>-5083322.8947110809</v>
      </c>
      <c r="F71" s="2699">
        <f>G71+H71</f>
        <v>-362040.51107581146</v>
      </c>
      <c r="G71" s="2699">
        <f>G8-G33</f>
        <v>5096221.7236352693</v>
      </c>
      <c r="H71" s="2699">
        <f>H8-H33</f>
        <v>-5458262.2347110808</v>
      </c>
      <c r="I71" s="2699">
        <f>J71+K71</f>
        <v>0</v>
      </c>
      <c r="J71" s="5442">
        <f>J8-J33-J72</f>
        <v>7078351.9069999978</v>
      </c>
      <c r="K71" s="5442">
        <f>K8-K33-K72</f>
        <v>-7078351.9070000034</v>
      </c>
      <c r="L71" s="2706">
        <f>M71+N71</f>
        <v>-8.7682530283927917E-4</v>
      </c>
      <c r="M71" s="2706">
        <f>M8-M33</f>
        <v>7078351.9064375646</v>
      </c>
      <c r="N71" s="2706">
        <f>N8-N33</f>
        <v>-7078351.9073143899</v>
      </c>
      <c r="O71" s="2706">
        <f>P71+Q71</f>
        <v>1.939261332154274E-3</v>
      </c>
      <c r="P71" s="2706">
        <f>P8-P33</f>
        <v>7078351.9096501376</v>
      </c>
      <c r="Q71" s="5491">
        <f>Q8-Q33</f>
        <v>-7078351.9077108763</v>
      </c>
      <c r="R71" s="911">
        <f t="shared" si="16"/>
        <v>1.0624304413795471E-3</v>
      </c>
      <c r="S71" s="911">
        <f t="shared" si="17"/>
        <v>21235055.723087698</v>
      </c>
      <c r="T71" s="5819">
        <f t="shared" si="18"/>
        <v>-21235055.722025268</v>
      </c>
      <c r="U71" s="1915">
        <f>V71+W71</f>
        <v>-616133.2373663839</v>
      </c>
      <c r="V71" s="338">
        <f>V8-V33</f>
        <v>6703144.6610754654</v>
      </c>
      <c r="W71" s="338">
        <f>W8-W33</f>
        <v>-7319277.8984418493</v>
      </c>
      <c r="X71" s="338">
        <f>Y71+Z71</f>
        <v>-284136.44699073769</v>
      </c>
      <c r="Y71" s="338">
        <f>Y8-Y33</f>
        <v>6892051.3214874081</v>
      </c>
      <c r="Z71" s="338">
        <f>Z8-Z33</f>
        <v>-7176187.7684781458</v>
      </c>
      <c r="AA71" s="338">
        <f>AB71+AC71</f>
        <v>-288529.84032297414</v>
      </c>
      <c r="AB71" s="338">
        <f>AB8-AB33</f>
        <v>6898846.4742664658</v>
      </c>
      <c r="AC71" s="363">
        <f>AC8-AC33</f>
        <v>-7187376.3145894399</v>
      </c>
    </row>
    <row r="72" spans="1:29" s="2923" customFormat="1" ht="17.399999999999999">
      <c r="A72" s="4888" t="s">
        <v>46</v>
      </c>
      <c r="B72" s="4907" t="s">
        <v>347</v>
      </c>
      <c r="C72" s="5184"/>
      <c r="D72" s="5184"/>
      <c r="E72" s="5184"/>
      <c r="F72" s="2699">
        <f>SUM(G72:H72)</f>
        <v>0</v>
      </c>
      <c r="G72" s="2699"/>
      <c r="H72" s="2699"/>
      <c r="I72" s="2699">
        <f>+J72+K72</f>
        <v>186700</v>
      </c>
      <c r="J72" s="2699">
        <f>+'Phụ lục số 2'!P52</f>
        <v>186700</v>
      </c>
      <c r="K72" s="2699">
        <f>+'Phụ lục số 2'!Q52</f>
        <v>0</v>
      </c>
      <c r="L72" s="2706">
        <f>+M72+N72</f>
        <v>0</v>
      </c>
      <c r="M72" s="2706">
        <f>+'Phụ lục số 2'!U52</f>
        <v>0</v>
      </c>
      <c r="N72" s="2706">
        <f>+'Phụ lục số 2'!V52</f>
        <v>0</v>
      </c>
      <c r="O72" s="2706">
        <f>+P72+Q72</f>
        <v>0</v>
      </c>
      <c r="P72" s="2706">
        <f>+'Phụ lục số 2'!Z52</f>
        <v>0</v>
      </c>
      <c r="Q72" s="5491">
        <f>+'Phụ lục số 2'!AA52</f>
        <v>0</v>
      </c>
      <c r="R72" s="911">
        <f t="shared" si="16"/>
        <v>186700</v>
      </c>
      <c r="S72" s="911">
        <f t="shared" si="17"/>
        <v>186700</v>
      </c>
      <c r="T72" s="5819">
        <f t="shared" si="18"/>
        <v>0</v>
      </c>
      <c r="U72" s="4866"/>
      <c r="V72" s="4866"/>
      <c r="W72" s="4866"/>
      <c r="X72" s="4866"/>
      <c r="Y72" s="4866"/>
      <c r="Z72" s="4866"/>
      <c r="AA72" s="4866"/>
      <c r="AB72" s="4866"/>
      <c r="AC72" s="4867"/>
    </row>
    <row r="73" spans="1:29" s="31" customFormat="1" thickBot="1">
      <c r="A73" s="5828"/>
      <c r="B73" s="5829"/>
      <c r="C73" s="5829"/>
      <c r="D73" s="5829"/>
      <c r="E73" s="5829"/>
      <c r="F73" s="5830"/>
      <c r="G73" s="5830"/>
      <c r="H73" s="5830"/>
      <c r="I73" s="5603"/>
      <c r="J73" s="5603"/>
      <c r="K73" s="5603"/>
      <c r="L73" s="5829"/>
      <c r="M73" s="5829"/>
      <c r="N73" s="5829"/>
      <c r="O73" s="5829"/>
      <c r="P73" s="5829"/>
      <c r="Q73" s="5831"/>
      <c r="R73" s="5832">
        <f t="shared" si="16"/>
        <v>0</v>
      </c>
      <c r="S73" s="5832">
        <f t="shared" si="17"/>
        <v>0</v>
      </c>
      <c r="T73" s="5833">
        <f t="shared" si="18"/>
        <v>0</v>
      </c>
      <c r="U73" s="5834"/>
      <c r="V73" s="5835"/>
      <c r="W73" s="5835"/>
      <c r="X73" s="5835"/>
      <c r="Y73" s="5835"/>
      <c r="Z73" s="5835"/>
      <c r="AA73" s="5835"/>
      <c r="AB73" s="5835"/>
      <c r="AC73" s="5836"/>
    </row>
    <row r="74" spans="1:29" ht="18.600000000000001" thickTop="1">
      <c r="I74" s="32"/>
      <c r="J74" s="32"/>
    </row>
    <row r="75" spans="1:29" hidden="1">
      <c r="G75" s="32"/>
      <c r="H75" s="32"/>
      <c r="J75" s="32"/>
      <c r="K75" s="32">
        <f>-'Phụ lục số 3-CĐC'!J69</f>
        <v>-7078351.9069999997</v>
      </c>
    </row>
    <row r="76" spans="1:29" s="31" customFormat="1" ht="17.399999999999999" hidden="1">
      <c r="A76" s="49"/>
      <c r="B76" s="31" t="s">
        <v>734</v>
      </c>
      <c r="G76" s="1802"/>
      <c r="H76" s="1802"/>
      <c r="J76" s="1802">
        <f>+K76-L76</f>
        <v>0</v>
      </c>
      <c r="K76" s="1802">
        <f>-K75</f>
        <v>7078351.9069999997</v>
      </c>
      <c r="L76" s="1802">
        <f>-K71</f>
        <v>7078351.9070000034</v>
      </c>
    </row>
    <row r="77" spans="1:29" hidden="1">
      <c r="G77" s="32"/>
      <c r="H77" s="32"/>
    </row>
    <row r="78" spans="1:29" hidden="1">
      <c r="A78" s="4439"/>
      <c r="B78" s="672"/>
      <c r="C78" s="672"/>
      <c r="D78" s="672"/>
      <c r="E78" s="672"/>
      <c r="F78" s="672"/>
      <c r="G78" s="672"/>
      <c r="H78" s="672"/>
      <c r="I78" s="6090" t="s">
        <v>746</v>
      </c>
      <c r="J78" s="6090"/>
      <c r="K78" s="6090"/>
      <c r="L78" s="6087" t="s">
        <v>747</v>
      </c>
      <c r="M78" s="6088"/>
      <c r="N78" s="6089"/>
      <c r="O78" s="6087" t="s">
        <v>748</v>
      </c>
      <c r="P78" s="6088"/>
      <c r="Q78" s="6089"/>
      <c r="R78" s="1921"/>
      <c r="S78" s="1921"/>
      <c r="T78" s="1921"/>
      <c r="U78" s="6087" t="s">
        <v>749</v>
      </c>
      <c r="V78" s="6088"/>
      <c r="W78" s="6089"/>
      <c r="X78" s="6087" t="s">
        <v>750</v>
      </c>
      <c r="Y78" s="6088"/>
      <c r="Z78" s="6089"/>
      <c r="AA78" s="6087" t="s">
        <v>751</v>
      </c>
      <c r="AB78" s="6088"/>
      <c r="AC78" s="6089"/>
    </row>
    <row r="79" spans="1:29" ht="17.399999999999999" hidden="1">
      <c r="A79" s="51" t="s">
        <v>247</v>
      </c>
      <c r="B79" s="671" t="s">
        <v>735</v>
      </c>
      <c r="C79" s="672"/>
      <c r="D79" s="672"/>
      <c r="E79" s="672"/>
      <c r="F79" s="672"/>
      <c r="G79" s="672"/>
      <c r="H79" s="672"/>
      <c r="I79" s="678">
        <f>+I80+I86+I90+I91+I92+I93</f>
        <v>1283861.4432889216</v>
      </c>
      <c r="J79" s="678">
        <f>+J80+J86+J90+J91+J92+J93</f>
        <v>-305002.56900000002</v>
      </c>
      <c r="K79" s="678">
        <f t="shared" ref="K79" si="160">+K80+K86+K90+K91+K92+K93</f>
        <v>1588864.0122889217</v>
      </c>
      <c r="L79" s="678">
        <f>+L80+L86+L90+L91+L92+L93</f>
        <v>940679.57534025481</v>
      </c>
      <c r="M79" s="678">
        <f>+M80+M86+M90+M91+M92+M93</f>
        <v>720730.06539071701</v>
      </c>
      <c r="N79" s="678">
        <f t="shared" ref="N79" si="161">+N80+N86+N90+N91+N92+N93</f>
        <v>219949.50994953787</v>
      </c>
      <c r="O79" s="678">
        <f>+O80+O86+O90+O91+O92+O93</f>
        <v>750194.52254271728</v>
      </c>
      <c r="P79" s="678">
        <f t="shared" ref="P79:Q79" si="162">+P80+P86+P90+P91+P92+P93</f>
        <v>456355.48814868531</v>
      </c>
      <c r="Q79" s="678">
        <f t="shared" si="162"/>
        <v>293839.03439403203</v>
      </c>
      <c r="R79" s="678"/>
      <c r="S79" s="678"/>
      <c r="T79" s="678"/>
      <c r="U79" s="678">
        <f>+U80+U86+U90+U91+U92+U93</f>
        <v>1573820.6368301669</v>
      </c>
      <c r="V79" s="678">
        <f t="shared" ref="V79:W79" si="163">+V80+V86+V90+V91+V92+V93</f>
        <v>1086801.6040353579</v>
      </c>
      <c r="W79" s="678">
        <f t="shared" si="163"/>
        <v>487019.03279480909</v>
      </c>
      <c r="X79" s="678">
        <f>+X80+X86+X90+X91+X92+X93</f>
        <v>1752039.3102417402</v>
      </c>
      <c r="Y79" s="678">
        <f t="shared" ref="Y79:Z79" si="164">+Y80+Y86+Y90+Y91+Y92+Y93</f>
        <v>890425.59727036522</v>
      </c>
      <c r="Z79" s="678">
        <f t="shared" si="164"/>
        <v>861613.71297137521</v>
      </c>
      <c r="AA79" s="678">
        <f>+AA80+AA86+AA90+AA91+AA92+AA93</f>
        <v>1643101.0123774426</v>
      </c>
      <c r="AB79" s="678">
        <f t="shared" ref="AB79:AC79" si="165">+AB80+AB86+AB90+AB91+AB92+AB93</f>
        <v>746373.40460812242</v>
      </c>
      <c r="AC79" s="678">
        <f t="shared" si="165"/>
        <v>896727.60776932025</v>
      </c>
    </row>
    <row r="80" spans="1:29" ht="17.399999999999999" hidden="1">
      <c r="A80" s="2614" t="s">
        <v>3</v>
      </c>
      <c r="B80" s="673" t="s">
        <v>736</v>
      </c>
      <c r="C80" s="674"/>
      <c r="D80" s="674"/>
      <c r="E80" s="674"/>
      <c r="F80" s="674"/>
      <c r="G80" s="674"/>
      <c r="H80" s="674"/>
      <c r="I80" s="676">
        <f>SUM(I81:I85)</f>
        <v>-664350.16200000001</v>
      </c>
      <c r="J80" s="676">
        <f t="shared" ref="J80:K80" si="166">SUM(J81:J85)</f>
        <v>-623850.16200000001</v>
      </c>
      <c r="K80" s="676">
        <f t="shared" si="166"/>
        <v>-40500</v>
      </c>
      <c r="L80" s="676">
        <f>SUM(L81:L85)</f>
        <v>540322.04345691297</v>
      </c>
      <c r="M80" s="676">
        <f t="shared" ref="M80:N80" si="167">SUM(M81:M85)</f>
        <v>373822.04345691297</v>
      </c>
      <c r="N80" s="676">
        <f t="shared" si="167"/>
        <v>166500</v>
      </c>
      <c r="O80" s="676">
        <f>SUM(O81:O85)</f>
        <v>131495.71308592346</v>
      </c>
      <c r="P80" s="676">
        <f t="shared" ref="P80:Q80" si="168">SUM(P81:P85)</f>
        <v>103731.73224898695</v>
      </c>
      <c r="Q80" s="676">
        <f t="shared" si="168"/>
        <v>27763.980836936506</v>
      </c>
      <c r="R80" s="676"/>
      <c r="S80" s="676"/>
      <c r="T80" s="676"/>
      <c r="U80" s="676">
        <f>SUM(U81:U85)</f>
        <v>704734.42753007927</v>
      </c>
      <c r="V80" s="676">
        <f t="shared" ref="V80:W80" si="169">SUM(V81:V85)</f>
        <v>651668.20512360008</v>
      </c>
      <c r="W80" s="676">
        <f t="shared" si="169"/>
        <v>53066.222406479181</v>
      </c>
      <c r="X80" s="676">
        <f>SUM(X81:X85)</f>
        <v>432339.74820876529</v>
      </c>
      <c r="Y80" s="676">
        <f t="shared" ref="Y80:Z80" si="170">SUM(Y81:Y85)</f>
        <v>293685.68598088564</v>
      </c>
      <c r="Z80" s="676">
        <f t="shared" si="170"/>
        <v>138654.06222787965</v>
      </c>
      <c r="AA80" s="676">
        <f>SUM(AA81:AA85)</f>
        <v>467871.69831924641</v>
      </c>
      <c r="AB80" s="676">
        <f t="shared" ref="AB80:AC80" si="171">SUM(AB81:AB85)</f>
        <v>248992.17287746933</v>
      </c>
      <c r="AC80" s="676">
        <f t="shared" si="171"/>
        <v>218879.52544177708</v>
      </c>
    </row>
    <row r="81" spans="1:29" hidden="1">
      <c r="A81" s="2615"/>
      <c r="B81" s="669" t="str">
        <f>+B36</f>
        <v>Chi đầu tư xây dựng cơ bản</v>
      </c>
      <c r="C81" s="35"/>
      <c r="D81" s="35"/>
      <c r="E81" s="35"/>
      <c r="F81" s="35"/>
      <c r="G81" s="35"/>
      <c r="H81" s="35"/>
      <c r="I81" s="41">
        <f>SUM(J81:K81)</f>
        <v>-176296</v>
      </c>
      <c r="J81" s="41">
        <f>+J36-D36</f>
        <v>-185296</v>
      </c>
      <c r="K81" s="41">
        <f>+K36-E36</f>
        <v>9000</v>
      </c>
      <c r="L81" s="41">
        <f>SUM(M81:N81)</f>
        <v>240322.04345691297</v>
      </c>
      <c r="M81" s="41">
        <f>+M36-J36</f>
        <v>240322.04345691297</v>
      </c>
      <c r="N81" s="41">
        <f>+N36-K36</f>
        <v>0</v>
      </c>
      <c r="O81" s="41">
        <f>SUM(P81:Q81)</f>
        <v>131495.71308592346</v>
      </c>
      <c r="P81" s="41">
        <f>+P36-M36</f>
        <v>103731.73224898695</v>
      </c>
      <c r="Q81" s="41">
        <f>+Q36-N36</f>
        <v>27763.980836936506</v>
      </c>
      <c r="R81" s="41"/>
      <c r="S81" s="41"/>
      <c r="T81" s="41"/>
      <c r="U81" s="41">
        <f>SUM(V81:W81)</f>
        <v>-5265.5724699207349</v>
      </c>
      <c r="V81" s="41">
        <f>+V36-P36</f>
        <v>-58331.794876399916</v>
      </c>
      <c r="W81" s="41">
        <f>+W36-Q36</f>
        <v>53066.222406479181</v>
      </c>
      <c r="X81" s="41">
        <f>SUM(Y81:Z81)</f>
        <v>142339.74820876529</v>
      </c>
      <c r="Y81" s="41">
        <f>+Y36-V36</f>
        <v>93685.685980885639</v>
      </c>
      <c r="Z81" s="41">
        <f>+Z36-W36</f>
        <v>48654.062227879651</v>
      </c>
      <c r="AA81" s="41">
        <f>SUM(AB81:AC81)</f>
        <v>132871.69831924641</v>
      </c>
      <c r="AB81" s="41">
        <f>+AB36-Y36</f>
        <v>48992.172877469333</v>
      </c>
      <c r="AC81" s="41">
        <f>+AC36-Z36</f>
        <v>83879.525441777078</v>
      </c>
    </row>
    <row r="82" spans="1:29" hidden="1">
      <c r="A82" s="2615"/>
      <c r="B82" s="669" t="str">
        <f>+B37</f>
        <v>Chi đầu tư từ nguồn thu tiền sử dụng đất</v>
      </c>
      <c r="C82" s="35"/>
      <c r="D82" s="35"/>
      <c r="E82" s="35"/>
      <c r="F82" s="35"/>
      <c r="G82" s="35"/>
      <c r="H82" s="35"/>
      <c r="I82" s="41">
        <f t="shared" ref="I82:I85" si="172">SUM(J82:K82)</f>
        <v>-170000</v>
      </c>
      <c r="J82" s="41">
        <f>+J37-D37</f>
        <v>-120500</v>
      </c>
      <c r="K82" s="41">
        <f>+K37-E37</f>
        <v>-49500</v>
      </c>
      <c r="L82" s="41">
        <f t="shared" ref="L82:L85" si="173">SUM(M82:N82)</f>
        <v>200000</v>
      </c>
      <c r="M82" s="41">
        <f>+M37-J37</f>
        <v>33500</v>
      </c>
      <c r="N82" s="41">
        <f>+N37-K37</f>
        <v>166500</v>
      </c>
      <c r="O82" s="41">
        <f t="shared" ref="O82:O85" si="174">SUM(P82:Q82)</f>
        <v>0</v>
      </c>
      <c r="P82" s="41">
        <f>+P37-M37</f>
        <v>0</v>
      </c>
      <c r="Q82" s="41">
        <f>+Q37-N37</f>
        <v>0</v>
      </c>
      <c r="R82" s="41"/>
      <c r="S82" s="41"/>
      <c r="T82" s="41"/>
      <c r="U82" s="41">
        <f t="shared" ref="U82:U85" si="175">SUM(V82:W82)</f>
        <v>-140000</v>
      </c>
      <c r="V82" s="41">
        <f>+V37-P37</f>
        <v>-140000</v>
      </c>
      <c r="W82" s="41">
        <f>+W37-Q37</f>
        <v>0</v>
      </c>
      <c r="X82" s="41">
        <f t="shared" ref="X82:X85" si="176">SUM(Y82:Z82)</f>
        <v>140000</v>
      </c>
      <c r="Y82" s="41">
        <f>+Y37-V37</f>
        <v>50000</v>
      </c>
      <c r="Z82" s="41">
        <f>+Z37-W37</f>
        <v>90000</v>
      </c>
      <c r="AA82" s="41">
        <f t="shared" ref="AA82:AA85" si="177">SUM(AB82:AC82)</f>
        <v>135000</v>
      </c>
      <c r="AB82" s="41">
        <f>+AB37-Y37</f>
        <v>0</v>
      </c>
      <c r="AC82" s="41">
        <f>+AC37-Z37</f>
        <v>135000</v>
      </c>
    </row>
    <row r="83" spans="1:29" hidden="1">
      <c r="A83" s="2615"/>
      <c r="B83" s="669" t="str">
        <f>+B39</f>
        <v>Chi đầu tư từ nguồn thu xổ số kiến thiết</v>
      </c>
      <c r="C83" s="35"/>
      <c r="D83" s="35"/>
      <c r="E83" s="35"/>
      <c r="F83" s="35"/>
      <c r="G83" s="35"/>
      <c r="H83" s="35"/>
      <c r="I83" s="41">
        <f t="shared" si="172"/>
        <v>150000</v>
      </c>
      <c r="J83" s="41">
        <f>+J39-D39</f>
        <v>150000</v>
      </c>
      <c r="K83" s="41">
        <f>+K39-E39</f>
        <v>0</v>
      </c>
      <c r="L83" s="41">
        <f t="shared" si="173"/>
        <v>100000</v>
      </c>
      <c r="M83" s="41">
        <f>+M39-J39</f>
        <v>100000</v>
      </c>
      <c r="N83" s="41">
        <f>+N39-K39</f>
        <v>0</v>
      </c>
      <c r="O83" s="41">
        <f t="shared" si="174"/>
        <v>0</v>
      </c>
      <c r="P83" s="41">
        <f>+P39-M39</f>
        <v>0</v>
      </c>
      <c r="Q83" s="41">
        <f>+Q39-N39</f>
        <v>0</v>
      </c>
      <c r="R83" s="41"/>
      <c r="S83" s="41"/>
      <c r="T83" s="41"/>
      <c r="U83" s="41">
        <f t="shared" si="175"/>
        <v>-200000</v>
      </c>
      <c r="V83" s="41">
        <f>+V39-P39</f>
        <v>-200000</v>
      </c>
      <c r="W83" s="41">
        <f>+W39-Q39</f>
        <v>0</v>
      </c>
      <c r="X83" s="41">
        <f t="shared" si="176"/>
        <v>100000</v>
      </c>
      <c r="Y83" s="41">
        <f>+Y39-V39</f>
        <v>100000</v>
      </c>
      <c r="Z83" s="41">
        <f>+Z39-W39</f>
        <v>0</v>
      </c>
      <c r="AA83" s="41">
        <f t="shared" si="177"/>
        <v>100000</v>
      </c>
      <c r="AB83" s="41">
        <f>+AB39-Y39</f>
        <v>100000</v>
      </c>
      <c r="AC83" s="41">
        <f>+AC39-Z39</f>
        <v>0</v>
      </c>
    </row>
    <row r="84" spans="1:29" hidden="1">
      <c r="A84" s="2615"/>
      <c r="B84" s="669" t="str">
        <f>+B41</f>
        <v>Chi đầu tư từ nguồn thu thoái vốn doanh nghiệp nhà nước địa phương quản lý;…</v>
      </c>
      <c r="C84" s="35"/>
      <c r="D84" s="35"/>
      <c r="E84" s="35"/>
      <c r="F84" s="35"/>
      <c r="G84" s="35"/>
      <c r="H84" s="35"/>
      <c r="I84" s="41">
        <f t="shared" si="172"/>
        <v>-408054.16200000001</v>
      </c>
      <c r="J84" s="41">
        <f t="shared" ref="J84:K85" si="178">+J41-D41</f>
        <v>-408054.16200000001</v>
      </c>
      <c r="K84" s="41">
        <f t="shared" si="178"/>
        <v>0</v>
      </c>
      <c r="L84" s="41">
        <f t="shared" si="173"/>
        <v>0</v>
      </c>
      <c r="M84" s="41">
        <f t="shared" ref="M84:N85" si="179">+M41-J41</f>
        <v>0</v>
      </c>
      <c r="N84" s="41">
        <f t="shared" si="179"/>
        <v>0</v>
      </c>
      <c r="O84" s="41">
        <f t="shared" si="174"/>
        <v>0</v>
      </c>
      <c r="P84" s="41">
        <f t="shared" ref="P84:Q85" si="180">+P41-M41</f>
        <v>0</v>
      </c>
      <c r="Q84" s="41">
        <f t="shared" si="180"/>
        <v>0</v>
      </c>
      <c r="R84" s="41"/>
      <c r="S84" s="41"/>
      <c r="T84" s="41"/>
      <c r="U84" s="41">
        <f t="shared" si="175"/>
        <v>0</v>
      </c>
      <c r="V84" s="41">
        <f>+V41-P41</f>
        <v>0</v>
      </c>
      <c r="W84" s="41">
        <f>+W41-Q41</f>
        <v>0</v>
      </c>
      <c r="X84" s="41">
        <f t="shared" si="176"/>
        <v>0</v>
      </c>
      <c r="Y84" s="41">
        <f t="shared" ref="Y84:Z85" si="181">+Y41-V41</f>
        <v>0</v>
      </c>
      <c r="Z84" s="41">
        <f t="shared" si="181"/>
        <v>0</v>
      </c>
      <c r="AA84" s="41">
        <f t="shared" si="177"/>
        <v>0</v>
      </c>
      <c r="AB84" s="41">
        <f t="shared" ref="AB84:AC85" si="182">+AB41-Y41</f>
        <v>0</v>
      </c>
      <c r="AC84" s="41">
        <f t="shared" si="182"/>
        <v>0</v>
      </c>
    </row>
    <row r="85" spans="1:29" hidden="1">
      <c r="A85" s="2615"/>
      <c r="B85" s="669" t="str">
        <f>+B42</f>
        <v>Chi đầu tư phát triển khác</v>
      </c>
      <c r="C85" s="35"/>
      <c r="D85" s="35"/>
      <c r="E85" s="35"/>
      <c r="F85" s="35"/>
      <c r="G85" s="35"/>
      <c r="H85" s="35"/>
      <c r="I85" s="41">
        <f t="shared" si="172"/>
        <v>-60000</v>
      </c>
      <c r="J85" s="41">
        <f t="shared" si="178"/>
        <v>-60000</v>
      </c>
      <c r="K85" s="41">
        <f t="shared" si="178"/>
        <v>0</v>
      </c>
      <c r="L85" s="41">
        <f t="shared" si="173"/>
        <v>0</v>
      </c>
      <c r="M85" s="41">
        <f t="shared" si="179"/>
        <v>0</v>
      </c>
      <c r="N85" s="41">
        <f t="shared" si="179"/>
        <v>0</v>
      </c>
      <c r="O85" s="41">
        <f t="shared" si="174"/>
        <v>0</v>
      </c>
      <c r="P85" s="41">
        <f t="shared" si="180"/>
        <v>0</v>
      </c>
      <c r="Q85" s="41">
        <f t="shared" si="180"/>
        <v>0</v>
      </c>
      <c r="R85" s="41"/>
      <c r="S85" s="41"/>
      <c r="T85" s="41"/>
      <c r="U85" s="41">
        <f t="shared" si="175"/>
        <v>1050000</v>
      </c>
      <c r="V85" s="41">
        <f>+V42-P42</f>
        <v>1050000</v>
      </c>
      <c r="W85" s="41">
        <f>+W42-Q42</f>
        <v>0</v>
      </c>
      <c r="X85" s="41">
        <f t="shared" si="176"/>
        <v>50000</v>
      </c>
      <c r="Y85" s="41">
        <f t="shared" si="181"/>
        <v>50000</v>
      </c>
      <c r="Z85" s="41">
        <f t="shared" si="181"/>
        <v>0</v>
      </c>
      <c r="AA85" s="41">
        <f t="shared" si="177"/>
        <v>100000</v>
      </c>
      <c r="AB85" s="41">
        <f t="shared" si="182"/>
        <v>100000</v>
      </c>
      <c r="AC85" s="41">
        <f t="shared" si="182"/>
        <v>0</v>
      </c>
    </row>
    <row r="86" spans="1:29" ht="17.399999999999999" hidden="1">
      <c r="A86" s="2615" t="s">
        <v>33</v>
      </c>
      <c r="B86" s="668" t="s">
        <v>737</v>
      </c>
      <c r="C86" s="35"/>
      <c r="D86" s="35"/>
      <c r="E86" s="35"/>
      <c r="F86" s="35"/>
      <c r="G86" s="35"/>
      <c r="H86" s="35"/>
      <c r="I86" s="38">
        <f>SUM(I87:I89)</f>
        <v>2096678.6552889217</v>
      </c>
      <c r="J86" s="38">
        <f t="shared" ref="J86:K86" si="183">SUM(J87:J89)</f>
        <v>385791.69299999997</v>
      </c>
      <c r="K86" s="38">
        <f t="shared" si="183"/>
        <v>1710886.9622889217</v>
      </c>
      <c r="L86" s="38">
        <f>SUM(L87:L89)</f>
        <v>288171.70611488598</v>
      </c>
      <c r="M86" s="38">
        <f t="shared" ref="M86:N86" si="184">SUM(M87:M89)</f>
        <v>139802.38992554098</v>
      </c>
      <c r="N86" s="38">
        <f t="shared" si="184"/>
        <v>148369.31618934497</v>
      </c>
      <c r="O86" s="38">
        <f>SUM(O87:O89)</f>
        <v>442223.23883219576</v>
      </c>
      <c r="P86" s="38">
        <f t="shared" ref="P86:Q86" si="185">SUM(P87:P89)</f>
        <v>154311.50735724115</v>
      </c>
      <c r="Q86" s="38">
        <f t="shared" si="185"/>
        <v>287911.73147495463</v>
      </c>
      <c r="R86" s="38"/>
      <c r="S86" s="38"/>
      <c r="T86" s="38"/>
      <c r="U86" s="38">
        <f>SUM(U87:U89)</f>
        <v>577236.22884659655</v>
      </c>
      <c r="V86" s="38">
        <f t="shared" ref="V86:W86" si="186">SUM(V87:V89)</f>
        <v>302600.51356292528</v>
      </c>
      <c r="W86" s="38">
        <f t="shared" si="186"/>
        <v>274635.71528367139</v>
      </c>
      <c r="X86" s="38">
        <f>SUM(X87:X89)</f>
        <v>811156.78561996785</v>
      </c>
      <c r="Y86" s="38">
        <f t="shared" ref="Y86:Z86" si="187">SUM(Y87:Y89)</f>
        <v>272883.45936685358</v>
      </c>
      <c r="Z86" s="38">
        <f t="shared" si="187"/>
        <v>538273.32625311427</v>
      </c>
      <c r="AA86" s="38">
        <f>SUM(AA87:AA89)</f>
        <v>692125.95332891797</v>
      </c>
      <c r="AB86" s="38">
        <f t="shared" ref="AB86:AC86" si="188">SUM(AB87:AB89)</f>
        <v>259255.48565930806</v>
      </c>
      <c r="AC86" s="38">
        <f t="shared" si="188"/>
        <v>432870.46766960993</v>
      </c>
    </row>
    <row r="87" spans="1:29" hidden="1">
      <c r="A87" s="2615"/>
      <c r="B87" s="669" t="s">
        <v>738</v>
      </c>
      <c r="C87" s="35"/>
      <c r="D87" s="35"/>
      <c r="E87" s="35"/>
      <c r="F87" s="35"/>
      <c r="G87" s="35"/>
      <c r="H87" s="35"/>
      <c r="I87" s="41">
        <f>SUM(J87:K87)</f>
        <v>1061567.2168202568</v>
      </c>
      <c r="J87" s="41">
        <f t="shared" ref="J87:K89" si="189">+J49-D49</f>
        <v>149974</v>
      </c>
      <c r="K87" s="41">
        <f t="shared" si="189"/>
        <v>911593.21682025678</v>
      </c>
      <c r="L87" s="41">
        <f>SUM(M87:N87)</f>
        <v>58588.95647619199</v>
      </c>
      <c r="M87" s="41">
        <f t="shared" ref="M87:N89" si="190">+M49-J49</f>
        <v>32378.353476061486</v>
      </c>
      <c r="N87" s="41">
        <f t="shared" si="190"/>
        <v>26210.603000130504</v>
      </c>
      <c r="O87" s="41">
        <f>SUM(P87:Q87)</f>
        <v>188157.90783555619</v>
      </c>
      <c r="P87" s="41">
        <f t="shared" ref="P87:Q89" si="191">+P49-M49</f>
        <v>44064.943865931593</v>
      </c>
      <c r="Q87" s="41">
        <f t="shared" si="191"/>
        <v>144092.9639696246</v>
      </c>
      <c r="R87" s="41"/>
      <c r="S87" s="41"/>
      <c r="T87" s="41"/>
      <c r="U87" s="41">
        <f>SUM(V87:W87)</f>
        <v>464326.43612128939</v>
      </c>
      <c r="V87" s="41">
        <f t="shared" ref="V87:W89" si="192">+V49-P49</f>
        <v>103961.80324574071</v>
      </c>
      <c r="W87" s="41">
        <f t="shared" si="192"/>
        <v>360364.63287554868</v>
      </c>
      <c r="X87" s="41">
        <f>SUM(Y87:Z87)</f>
        <v>331689.48197820247</v>
      </c>
      <c r="Y87" s="41">
        <f t="shared" ref="Y87:Z89" si="193">+Y49-V49</f>
        <v>76006.99026669492</v>
      </c>
      <c r="Z87" s="41">
        <f t="shared" si="193"/>
        <v>255682.49171150755</v>
      </c>
      <c r="AA87" s="41">
        <f>SUM(AB87:AC87)</f>
        <v>258074.15301399329</v>
      </c>
      <c r="AB87" s="41">
        <f>+AB49-Y49</f>
        <v>54229.261847931193</v>
      </c>
      <c r="AC87" s="41">
        <f>+AC49-Z49</f>
        <v>203844.89116606209</v>
      </c>
    </row>
    <row r="88" spans="1:29" hidden="1">
      <c r="A88" s="2615"/>
      <c r="B88" s="669" t="s">
        <v>739</v>
      </c>
      <c r="C88" s="35"/>
      <c r="D88" s="35"/>
      <c r="E88" s="35"/>
      <c r="F88" s="35"/>
      <c r="G88" s="35"/>
      <c r="H88" s="35"/>
      <c r="I88" s="41">
        <f t="shared" ref="I88:I89" si="194">SUM(J88:K88)</f>
        <v>89</v>
      </c>
      <c r="J88" s="41">
        <f t="shared" si="189"/>
        <v>89</v>
      </c>
      <c r="K88" s="41">
        <f t="shared" si="189"/>
        <v>0</v>
      </c>
      <c r="L88" s="41">
        <f t="shared" ref="L88:L89" si="195">SUM(M88:N88)</f>
        <v>915.97986018619849</v>
      </c>
      <c r="M88" s="41">
        <f t="shared" si="190"/>
        <v>915.97986018619849</v>
      </c>
      <c r="N88" s="41">
        <f t="shared" si="190"/>
        <v>0</v>
      </c>
      <c r="O88" s="41">
        <f t="shared" ref="O88:O89" si="196">SUM(P88:Q88)</f>
        <v>1246.5921453130795</v>
      </c>
      <c r="P88" s="41">
        <f t="shared" si="191"/>
        <v>1246.5921453130795</v>
      </c>
      <c r="Q88" s="41">
        <f t="shared" si="191"/>
        <v>0</v>
      </c>
      <c r="R88" s="41"/>
      <c r="S88" s="41"/>
      <c r="T88" s="41"/>
      <c r="U88" s="41">
        <f t="shared" ref="U88:U89" si="197">SUM(V88:W88)</f>
        <v>1680.2426537297069</v>
      </c>
      <c r="V88" s="41">
        <f t="shared" si="192"/>
        <v>1680.2426537297069</v>
      </c>
      <c r="W88" s="41">
        <f t="shared" si="192"/>
        <v>0</v>
      </c>
      <c r="X88" s="41">
        <f t="shared" ref="X88:X89" si="198">SUM(Y88:Z88)</f>
        <v>1256.4630528753696</v>
      </c>
      <c r="Y88" s="41">
        <f t="shared" si="193"/>
        <v>1256.4630528753696</v>
      </c>
      <c r="Z88" s="41">
        <f t="shared" si="193"/>
        <v>0</v>
      </c>
      <c r="AA88" s="41">
        <f t="shared" ref="AA88:AA89" si="199">SUM(AB88:AC88)</f>
        <v>914.23569115253486</v>
      </c>
      <c r="AB88" s="41">
        <f t="shared" ref="AB88:AC89" si="200">+AB50-Y50</f>
        <v>914.23569115253486</v>
      </c>
      <c r="AC88" s="41">
        <f t="shared" si="200"/>
        <v>0</v>
      </c>
    </row>
    <row r="89" spans="1:29" hidden="1">
      <c r="A89" s="2615"/>
      <c r="B89" s="669" t="s">
        <v>740</v>
      </c>
      <c r="C89" s="35"/>
      <c r="D89" s="35"/>
      <c r="E89" s="35"/>
      <c r="F89" s="35"/>
      <c r="G89" s="35"/>
      <c r="H89" s="35"/>
      <c r="I89" s="41">
        <f t="shared" si="194"/>
        <v>1035022.4384686649</v>
      </c>
      <c r="J89" s="41">
        <f t="shared" si="189"/>
        <v>235728.69299999997</v>
      </c>
      <c r="K89" s="41">
        <f t="shared" si="189"/>
        <v>799293.74546866491</v>
      </c>
      <c r="L89" s="41">
        <f t="shared" si="195"/>
        <v>228666.76977850776</v>
      </c>
      <c r="M89" s="41">
        <f t="shared" si="190"/>
        <v>106508.05658929329</v>
      </c>
      <c r="N89" s="41">
        <f t="shared" si="190"/>
        <v>122158.71318921447</v>
      </c>
      <c r="O89" s="41">
        <f t="shared" si="196"/>
        <v>252818.73885132652</v>
      </c>
      <c r="P89" s="41">
        <f t="shared" si="191"/>
        <v>108999.97134599648</v>
      </c>
      <c r="Q89" s="41">
        <f t="shared" si="191"/>
        <v>143818.76750533003</v>
      </c>
      <c r="R89" s="41"/>
      <c r="S89" s="41"/>
      <c r="T89" s="41"/>
      <c r="U89" s="41">
        <f t="shared" si="197"/>
        <v>111229.55007157754</v>
      </c>
      <c r="V89" s="41">
        <f t="shared" si="192"/>
        <v>196958.46766345482</v>
      </c>
      <c r="W89" s="41">
        <f t="shared" si="192"/>
        <v>-85728.917591877282</v>
      </c>
      <c r="X89" s="41">
        <f t="shared" si="198"/>
        <v>478210.84058889002</v>
      </c>
      <c r="Y89" s="41">
        <f t="shared" si="193"/>
        <v>195620.0060472833</v>
      </c>
      <c r="Z89" s="41">
        <f t="shared" si="193"/>
        <v>282590.83454160672</v>
      </c>
      <c r="AA89" s="41">
        <f t="shared" si="199"/>
        <v>433137.56462377217</v>
      </c>
      <c r="AB89" s="41">
        <f t="shared" si="200"/>
        <v>204111.98812022433</v>
      </c>
      <c r="AC89" s="41">
        <f t="shared" si="200"/>
        <v>229025.57650354784</v>
      </c>
    </row>
    <row r="90" spans="1:29" ht="17.399999999999999" hidden="1">
      <c r="A90" s="2615" t="s">
        <v>182</v>
      </c>
      <c r="B90" s="668" t="s">
        <v>741</v>
      </c>
      <c r="C90" s="35"/>
      <c r="D90" s="35"/>
      <c r="E90" s="35"/>
      <c r="F90" s="35"/>
      <c r="G90" s="35"/>
      <c r="H90" s="35"/>
      <c r="I90" s="38">
        <f>SUM(J90:K90)</f>
        <v>-197499.2</v>
      </c>
      <c r="J90" s="38">
        <f>+J53-D53</f>
        <v>-79139.200000000012</v>
      </c>
      <c r="K90" s="38">
        <f>+K53-E53</f>
        <v>-118360</v>
      </c>
      <c r="L90" s="38">
        <f>SUM(M90:N90)</f>
        <v>106217.15251171633</v>
      </c>
      <c r="M90" s="38">
        <f>+M53-J53</f>
        <v>202308.50969414107</v>
      </c>
      <c r="N90" s="38">
        <f>+N53-K53</f>
        <v>-96091.357182424748</v>
      </c>
      <c r="O90" s="38">
        <f>SUM(P90:Q90)</f>
        <v>163506.37367940272</v>
      </c>
      <c r="P90" s="38">
        <f>+P53-M53</f>
        <v>191783.66068062928</v>
      </c>
      <c r="Q90" s="38">
        <f>+Q53-N53</f>
        <v>-28277.287001226563</v>
      </c>
      <c r="R90" s="38"/>
      <c r="S90" s="38"/>
      <c r="T90" s="38"/>
      <c r="U90" s="38">
        <f>SUM(V90:W90)</f>
        <v>299134.22369712411</v>
      </c>
      <c r="V90" s="38">
        <f>+V53-P53</f>
        <v>114335.36514860386</v>
      </c>
      <c r="W90" s="38">
        <f>+W53-Q53</f>
        <v>184798.85854852025</v>
      </c>
      <c r="X90" s="38">
        <f>SUM(Y90:Z90)</f>
        <v>483297.67536457302</v>
      </c>
      <c r="Y90" s="38">
        <f>+Y53-V53</f>
        <v>306922.36107946839</v>
      </c>
      <c r="Z90" s="38">
        <f>+Z53-W53</f>
        <v>176375.31428510463</v>
      </c>
      <c r="AA90" s="38">
        <f>SUM(AB90:AC90)</f>
        <v>441073.17184031592</v>
      </c>
      <c r="AB90" s="38">
        <f>+AB53-Y53</f>
        <v>212829.19815385563</v>
      </c>
      <c r="AC90" s="38">
        <f>+AC53-Z53</f>
        <v>228243.97368646029</v>
      </c>
    </row>
    <row r="91" spans="1:29" ht="17.399999999999999" hidden="1">
      <c r="A91" s="2615" t="s">
        <v>744</v>
      </c>
      <c r="B91" s="668" t="s">
        <v>742</v>
      </c>
      <c r="C91" s="35"/>
      <c r="D91" s="35"/>
      <c r="E91" s="35"/>
      <c r="F91" s="35"/>
      <c r="G91" s="35"/>
      <c r="H91" s="35"/>
      <c r="I91" s="38">
        <f>SUM(J91:K91)</f>
        <v>0</v>
      </c>
      <c r="J91" s="38">
        <f>+J55-D55</f>
        <v>0</v>
      </c>
      <c r="K91" s="38">
        <f>-K55-E55</f>
        <v>0</v>
      </c>
      <c r="L91" s="38">
        <f>SUM(M91:N91)</f>
        <v>0</v>
      </c>
      <c r="M91" s="38">
        <f t="shared" ref="M91:N93" si="201">+M55-J55</f>
        <v>0</v>
      </c>
      <c r="N91" s="38">
        <f t="shared" si="201"/>
        <v>0</v>
      </c>
      <c r="O91" s="38">
        <f>SUM(P91:Q91)</f>
        <v>0</v>
      </c>
      <c r="P91" s="38">
        <f t="shared" ref="P91:Q93" si="202">+P55-M55</f>
        <v>0</v>
      </c>
      <c r="Q91" s="38">
        <f t="shared" si="202"/>
        <v>0</v>
      </c>
      <c r="R91" s="38"/>
      <c r="S91" s="38"/>
      <c r="T91" s="38"/>
      <c r="U91" s="38">
        <f>SUM(V91:W91)</f>
        <v>0</v>
      </c>
      <c r="V91" s="38">
        <f t="shared" ref="V91:W93" si="203">+V55-P55</f>
        <v>0</v>
      </c>
      <c r="W91" s="38">
        <f t="shared" si="203"/>
        <v>0</v>
      </c>
      <c r="X91" s="38">
        <f>SUM(Y91:Z91)</f>
        <v>0</v>
      </c>
      <c r="Y91" s="38">
        <f t="shared" ref="Y91:Z93" si="204">+Y55-V55</f>
        <v>0</v>
      </c>
      <c r="Z91" s="38">
        <f t="shared" si="204"/>
        <v>0</v>
      </c>
      <c r="AA91" s="38">
        <f>SUM(AB91:AC91)</f>
        <v>0</v>
      </c>
      <c r="AB91" s="38">
        <f t="shared" ref="AB91:AC93" si="205">+AB55-Y55</f>
        <v>0</v>
      </c>
      <c r="AC91" s="38">
        <f t="shared" si="205"/>
        <v>0</v>
      </c>
    </row>
    <row r="92" spans="1:29" ht="17.399999999999999" hidden="1">
      <c r="A92" s="2615" t="s">
        <v>744</v>
      </c>
      <c r="B92" s="668" t="s">
        <v>743</v>
      </c>
      <c r="C92" s="35"/>
      <c r="D92" s="35"/>
      <c r="E92" s="35"/>
      <c r="F92" s="35"/>
      <c r="G92" s="35"/>
      <c r="H92" s="35"/>
      <c r="I92" s="38">
        <f>SUM(J92:K92)</f>
        <v>48532.149999999965</v>
      </c>
      <c r="J92" s="38">
        <f>+J56-D56</f>
        <v>11695.100000000006</v>
      </c>
      <c r="K92" s="38">
        <f>+K56-E56</f>
        <v>36837.049999999959</v>
      </c>
      <c r="L92" s="38">
        <f>SUM(M92:N92)</f>
        <v>5968.6732567395084</v>
      </c>
      <c r="M92" s="38">
        <f t="shared" si="201"/>
        <v>4797.1223141218652</v>
      </c>
      <c r="N92" s="38">
        <f t="shared" si="201"/>
        <v>1171.5509426176432</v>
      </c>
      <c r="O92" s="38">
        <f>SUM(P92:Q92)</f>
        <v>12969.196945195348</v>
      </c>
      <c r="P92" s="38">
        <f t="shared" si="202"/>
        <v>6528.5878618278948</v>
      </c>
      <c r="Q92" s="38">
        <f t="shared" si="202"/>
        <v>6440.6090833674534</v>
      </c>
      <c r="R92" s="38"/>
      <c r="S92" s="38"/>
      <c r="T92" s="38"/>
      <c r="U92" s="38">
        <f>SUM(V92:W92)</f>
        <v>-6784.2432436328963</v>
      </c>
      <c r="V92" s="38">
        <f t="shared" si="203"/>
        <v>18697.520200228842</v>
      </c>
      <c r="W92" s="38">
        <f t="shared" si="203"/>
        <v>-25481.763443861739</v>
      </c>
      <c r="X92" s="38">
        <f>SUM(Y92:Z92)</f>
        <v>25245.10104843427</v>
      </c>
      <c r="Y92" s="38">
        <f t="shared" si="204"/>
        <v>16934.09084315761</v>
      </c>
      <c r="Z92" s="38">
        <f t="shared" si="204"/>
        <v>8311.0102052766597</v>
      </c>
      <c r="AA92" s="38">
        <f>SUM(AB92:AC92)</f>
        <v>42030.18888896241</v>
      </c>
      <c r="AB92" s="38">
        <f t="shared" si="205"/>
        <v>25296.547917489399</v>
      </c>
      <c r="AC92" s="38">
        <f t="shared" si="205"/>
        <v>16733.640971473011</v>
      </c>
    </row>
    <row r="93" spans="1:29" ht="17.399999999999999" hidden="1">
      <c r="A93" s="1085" t="s">
        <v>745</v>
      </c>
      <c r="B93" s="670" t="s">
        <v>213</v>
      </c>
      <c r="C93" s="36"/>
      <c r="D93" s="36"/>
      <c r="E93" s="36"/>
      <c r="F93" s="36"/>
      <c r="G93" s="36"/>
      <c r="H93" s="36"/>
      <c r="I93" s="677">
        <f>SUM(J93:K93)</f>
        <v>500</v>
      </c>
      <c r="J93" s="677">
        <f>+J57-D57</f>
        <v>500</v>
      </c>
      <c r="K93" s="677">
        <f>+K57-E57</f>
        <v>0</v>
      </c>
      <c r="L93" s="677">
        <f>SUM(M93:N93)</f>
        <v>0</v>
      </c>
      <c r="M93" s="677">
        <f t="shared" si="201"/>
        <v>0</v>
      </c>
      <c r="N93" s="677">
        <f t="shared" si="201"/>
        <v>0</v>
      </c>
      <c r="O93" s="677">
        <f>SUM(P93:Q93)</f>
        <v>0</v>
      </c>
      <c r="P93" s="677">
        <f t="shared" si="202"/>
        <v>0</v>
      </c>
      <c r="Q93" s="677">
        <f t="shared" si="202"/>
        <v>0</v>
      </c>
      <c r="R93" s="677"/>
      <c r="S93" s="677"/>
      <c r="T93" s="677"/>
      <c r="U93" s="677">
        <f>SUM(V93:W93)</f>
        <v>-500</v>
      </c>
      <c r="V93" s="677">
        <f t="shared" si="203"/>
        <v>-500</v>
      </c>
      <c r="W93" s="677">
        <f t="shared" si="203"/>
        <v>0</v>
      </c>
      <c r="X93" s="677">
        <f>SUM(Y93:Z93)</f>
        <v>0</v>
      </c>
      <c r="Y93" s="677">
        <f t="shared" si="204"/>
        <v>0</v>
      </c>
      <c r="Z93" s="677">
        <f t="shared" si="204"/>
        <v>0</v>
      </c>
      <c r="AA93" s="677">
        <f>SUM(AB93:AC93)</f>
        <v>0</v>
      </c>
      <c r="AB93" s="677">
        <f t="shared" si="205"/>
        <v>0</v>
      </c>
      <c r="AC93" s="677">
        <f t="shared" si="205"/>
        <v>0</v>
      </c>
    </row>
    <row r="94" spans="1:29" hidden="1"/>
    <row r="95" spans="1:29" hidden="1">
      <c r="J95" s="32"/>
    </row>
    <row r="96" spans="1:29" hidden="1">
      <c r="I96" s="32">
        <f t="shared" ref="I96:J96" si="206">+I8-I33</f>
        <v>186699.99999999627</v>
      </c>
      <c r="J96" s="32">
        <f t="shared" si="206"/>
        <v>7265051.9069999978</v>
      </c>
      <c r="K96" s="32">
        <f>+K8-K33</f>
        <v>-7078351.9070000034</v>
      </c>
    </row>
    <row r="97" spans="2:2" hidden="1"/>
    <row r="98" spans="2:2" hidden="1"/>
    <row r="99" spans="2:2" hidden="1">
      <c r="B99" s="30" t="s">
        <v>117</v>
      </c>
    </row>
    <row r="100" spans="2:2" hidden="1"/>
  </sheetData>
  <mergeCells count="20">
    <mergeCell ref="A1:K1"/>
    <mergeCell ref="A2:K2"/>
    <mergeCell ref="A3:K3"/>
    <mergeCell ref="A6:A7"/>
    <mergeCell ref="B6:B7"/>
    <mergeCell ref="C6:E6"/>
    <mergeCell ref="F6:H6"/>
    <mergeCell ref="I6:K6"/>
    <mergeCell ref="I78:K78"/>
    <mergeCell ref="L78:N78"/>
    <mergeCell ref="O78:Q78"/>
    <mergeCell ref="U78:W78"/>
    <mergeCell ref="X78:Z78"/>
    <mergeCell ref="AA78:AC78"/>
    <mergeCell ref="R6:T6"/>
    <mergeCell ref="L6:N6"/>
    <mergeCell ref="O6:Q6"/>
    <mergeCell ref="U6:W6"/>
    <mergeCell ref="X6:Z6"/>
    <mergeCell ref="AA6:AC6"/>
  </mergeCells>
  <conditionalFormatting sqref="B80:B93">
    <cfRule type="expression" dxfId="2" priority="1">
      <formula>MOD(COLUMN(),2)</formula>
    </cfRule>
  </conditionalFormatting>
  <hyperlinks>
    <hyperlink ref="A6:A7" location="'Danh mục file'!A1" display="TT"/>
  </hyperlinks>
  <printOptions horizontalCentered="1"/>
  <pageMargins left="0" right="0" top="0.39370078740157483" bottom="0" header="0" footer="0"/>
  <pageSetup paperSize="9" scale="40" orientation="landscape" r:id="rId1"/>
  <headerFooter>
    <oddHeader>&amp;R&amp;"Times New Roman,Bold"&amp;9&amp;A</oddHeader>
    <oddFooter>&amp;C&amp;"Times New Roman,Bold"&amp;9&amp;P/&amp;N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sheetPr>
  <dimension ref="A1:Z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E21" sqref="AE21"/>
    </sheetView>
  </sheetViews>
  <sheetFormatPr defaultColWidth="9.109375" defaultRowHeight="13.8"/>
  <cols>
    <col min="1" max="1" width="5.6640625" style="30"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18" width="14.44140625" style="30" hidden="1" customWidth="1"/>
    <col min="19" max="20" width="14" style="30" hidden="1" customWidth="1"/>
    <col min="21" max="21" width="14.44140625" style="30" hidden="1" customWidth="1"/>
    <col min="22" max="23" width="14" style="30" hidden="1" customWidth="1"/>
    <col min="24" max="24" width="14.44140625" style="30" hidden="1" customWidth="1"/>
    <col min="25" max="26" width="14" style="30" hidden="1" customWidth="1"/>
    <col min="27" max="16384" width="9.109375" style="30"/>
  </cols>
  <sheetData>
    <row r="1" spans="1:26">
      <c r="A1" s="6067" t="s">
        <v>230</v>
      </c>
      <c r="B1" s="6067"/>
      <c r="C1" s="6067"/>
      <c r="D1" s="6067"/>
      <c r="E1" s="6067"/>
      <c r="F1" s="6067"/>
      <c r="G1" s="6067"/>
      <c r="H1" s="6067"/>
      <c r="I1" s="6067"/>
      <c r="J1" s="6067"/>
      <c r="K1" s="6067"/>
    </row>
    <row r="2" spans="1:26" ht="14.4">
      <c r="A2" s="6093" t="s">
        <v>231</v>
      </c>
      <c r="B2" s="6093"/>
      <c r="C2" s="6093"/>
      <c r="D2" s="6093"/>
      <c r="E2" s="6093"/>
      <c r="F2" s="6093"/>
      <c r="G2" s="6093"/>
      <c r="H2" s="6093"/>
      <c r="I2" s="6093"/>
      <c r="J2" s="6093"/>
      <c r="K2" s="6093"/>
    </row>
    <row r="3" spans="1:26">
      <c r="A3" s="6094">
        <f>'Phụ lục số III-CĐC'!A3:K3</f>
        <v>0</v>
      </c>
      <c r="B3" s="6094"/>
      <c r="C3" s="6094"/>
      <c r="D3" s="6094"/>
      <c r="E3" s="6094"/>
      <c r="F3" s="6094"/>
      <c r="G3" s="6094"/>
      <c r="H3" s="6094"/>
      <c r="I3" s="6094"/>
      <c r="J3" s="6094"/>
      <c r="K3" s="6094"/>
    </row>
    <row r="5" spans="1:26" ht="14.4" thickBot="1">
      <c r="I5" s="32">
        <f>+I10-I33</f>
        <v>0.19594352692365646</v>
      </c>
      <c r="L5" s="32">
        <f>+L10-L33</f>
        <v>0.1303233690559864</v>
      </c>
      <c r="O5" s="32">
        <f>+O10-O33</f>
        <v>-0.36055498942732811</v>
      </c>
      <c r="R5" s="32">
        <f>+R10-R33</f>
        <v>-236867.23736638576</v>
      </c>
      <c r="U5" s="32">
        <f>+U10-U33</f>
        <v>95129.553009264171</v>
      </c>
      <c r="X5" s="32">
        <f>+X10-X33</f>
        <v>90736.159677028656</v>
      </c>
    </row>
    <row r="6" spans="1:26" ht="14.4" thickTop="1">
      <c r="A6" s="6095" t="s">
        <v>200</v>
      </c>
      <c r="B6" s="6097" t="s">
        <v>201</v>
      </c>
      <c r="C6" s="6099" t="s">
        <v>219</v>
      </c>
      <c r="D6" s="6099"/>
      <c r="E6" s="6099"/>
      <c r="F6" s="6099" t="s">
        <v>223</v>
      </c>
      <c r="G6" s="6099"/>
      <c r="H6" s="6100"/>
      <c r="I6" s="6091" t="s">
        <v>224</v>
      </c>
      <c r="J6" s="6091"/>
      <c r="K6" s="6091"/>
      <c r="L6" s="6091" t="s">
        <v>225</v>
      </c>
      <c r="M6" s="6091"/>
      <c r="N6" s="6091"/>
      <c r="O6" s="6091" t="s">
        <v>226</v>
      </c>
      <c r="P6" s="6091"/>
      <c r="Q6" s="6091"/>
      <c r="R6" s="6091" t="s">
        <v>227</v>
      </c>
      <c r="S6" s="6091"/>
      <c r="T6" s="6091"/>
      <c r="U6" s="6091" t="s">
        <v>228</v>
      </c>
      <c r="V6" s="6091"/>
      <c r="W6" s="6091"/>
      <c r="X6" s="6091" t="s">
        <v>229</v>
      </c>
      <c r="Y6" s="6091"/>
      <c r="Z6" s="6092"/>
    </row>
    <row r="7" spans="1:26">
      <c r="A7" s="6096"/>
      <c r="B7" s="6098"/>
      <c r="C7" s="1937" t="s">
        <v>220</v>
      </c>
      <c r="D7" s="1938" t="s">
        <v>221</v>
      </c>
      <c r="E7" s="1938" t="s">
        <v>222</v>
      </c>
      <c r="F7" s="1939" t="s">
        <v>220</v>
      </c>
      <c r="G7" s="1940" t="s">
        <v>221</v>
      </c>
      <c r="H7" s="1941" t="s">
        <v>222</v>
      </c>
      <c r="I7" s="341" t="s">
        <v>220</v>
      </c>
      <c r="J7" s="342" t="s">
        <v>221</v>
      </c>
      <c r="K7" s="342" t="s">
        <v>222</v>
      </c>
      <c r="L7" s="341" t="s">
        <v>220</v>
      </c>
      <c r="M7" s="342" t="s">
        <v>221</v>
      </c>
      <c r="N7" s="342" t="s">
        <v>222</v>
      </c>
      <c r="O7" s="341" t="s">
        <v>220</v>
      </c>
      <c r="P7" s="342" t="s">
        <v>221</v>
      </c>
      <c r="Q7" s="342" t="s">
        <v>222</v>
      </c>
      <c r="R7" s="341" t="s">
        <v>220</v>
      </c>
      <c r="S7" s="342" t="s">
        <v>221</v>
      </c>
      <c r="T7" s="342" t="s">
        <v>222</v>
      </c>
      <c r="U7" s="341" t="s">
        <v>220</v>
      </c>
      <c r="V7" s="342" t="s">
        <v>221</v>
      </c>
      <c r="W7" s="342" t="s">
        <v>222</v>
      </c>
      <c r="X7" s="353" t="s">
        <v>220</v>
      </c>
      <c r="Y7" s="354" t="s">
        <v>221</v>
      </c>
      <c r="Z7" s="355" t="s">
        <v>222</v>
      </c>
    </row>
    <row r="8" spans="1:26" s="123" customFormat="1" ht="17.399999999999999">
      <c r="A8" s="1942" t="s">
        <v>1</v>
      </c>
      <c r="B8" s="1943" t="s">
        <v>233</v>
      </c>
      <c r="C8" s="1944">
        <f>SUM(D8:E8)</f>
        <v>19035463.162</v>
      </c>
      <c r="D8" s="1944">
        <f>SUM(D12+D18+D30+D31)</f>
        <v>14210383.162</v>
      </c>
      <c r="E8" s="1944">
        <f t="shared" ref="E8" si="0">SUM(E12+E18+E30+E31)</f>
        <v>4825080</v>
      </c>
      <c r="F8" s="1944">
        <f>SUM(G8:H8)</f>
        <v>19382765.032347649</v>
      </c>
      <c r="G8" s="1944">
        <f>SUM(G12+G18+G30+G31)</f>
        <v>14808565.560735388</v>
      </c>
      <c r="H8" s="1945">
        <f t="shared" ref="H8" si="1">SUM(H12+H18+H30+H31)</f>
        <v>4574199.4716122607</v>
      </c>
      <c r="I8" s="339">
        <f>SUM(J8:K8)</f>
        <v>21909396.029745102</v>
      </c>
      <c r="J8" s="339">
        <f>SUM(J12+J18+J30+J31)</f>
        <v>18182896.264020003</v>
      </c>
      <c r="K8" s="339">
        <f t="shared" ref="K8" si="2">SUM(K12+K18+K30+K31)</f>
        <v>3726499.7657251004</v>
      </c>
      <c r="L8" s="125">
        <f>SUM(M8:N8)</f>
        <v>22059476.20269176</v>
      </c>
      <c r="M8" s="125">
        <f>SUM(M12+M18+M30+M31)</f>
        <v>18226479.65153978</v>
      </c>
      <c r="N8" s="125">
        <f t="shared" ref="N8" si="3">SUM(N12+N18+N30+N31)</f>
        <v>3832996.5511519788</v>
      </c>
      <c r="O8" s="339">
        <f>SUM(P8:Q8)</f>
        <v>22223556.197570272</v>
      </c>
      <c r="P8" s="339">
        <f>SUM(P12+P18+P30+P31)</f>
        <v>18343599.840603478</v>
      </c>
      <c r="Q8" s="339">
        <f t="shared" ref="Q8" si="4">SUM(Q12+Q18+Q30+Q31)</f>
        <v>3879956.3569667954</v>
      </c>
      <c r="R8" s="339">
        <f>SUM(S8:T8)</f>
        <v>24654958.697346758</v>
      </c>
      <c r="S8" s="339">
        <f>SUM(S12+S18+S30+S31)</f>
        <v>19476162.111650225</v>
      </c>
      <c r="T8" s="339">
        <f t="shared" ref="T8" si="5">SUM(T12+T18+T30+T31)</f>
        <v>5178796.5856965333</v>
      </c>
      <c r="U8" s="339">
        <f>SUM(V8:W8)</f>
        <v>26738994.797964144</v>
      </c>
      <c r="V8" s="339">
        <f>SUM(V12+V18+V30+V31)</f>
        <v>20555494.369332533</v>
      </c>
      <c r="W8" s="339">
        <f t="shared" ref="W8" si="6">SUM(W12+W18+W30+W31)</f>
        <v>6183500.4286316112</v>
      </c>
      <c r="X8" s="339">
        <f>SUM(Y8:Z8)</f>
        <v>28377702.41700935</v>
      </c>
      <c r="Y8" s="339">
        <f>SUM(Y12+Y18+Y30+Y31)</f>
        <v>21308662.926719714</v>
      </c>
      <c r="Z8" s="340">
        <f t="shared" ref="Z8" si="7">SUM(Z12+Z18+Z30+Z31)</f>
        <v>7069039.4902896369</v>
      </c>
    </row>
    <row r="9" spans="1:26" s="124" customFormat="1" ht="18">
      <c r="A9" s="1946"/>
      <c r="B9" s="1947" t="s">
        <v>234</v>
      </c>
      <c r="C9" s="1948"/>
      <c r="D9" s="1948"/>
      <c r="E9" s="1948"/>
      <c r="F9" s="1949"/>
      <c r="G9" s="1949"/>
      <c r="H9" s="1950"/>
      <c r="I9" s="299"/>
      <c r="J9" s="299"/>
      <c r="K9" s="299"/>
      <c r="L9" s="46"/>
      <c r="M9" s="46"/>
      <c r="N9" s="46"/>
      <c r="O9" s="299"/>
      <c r="P9" s="300"/>
      <c r="Q9" s="300"/>
      <c r="R9" s="299"/>
      <c r="S9" s="300"/>
      <c r="T9" s="300"/>
      <c r="U9" s="299"/>
      <c r="V9" s="300"/>
      <c r="W9" s="300"/>
      <c r="X9" s="299"/>
      <c r="Y9" s="300"/>
      <c r="Z9" s="301"/>
    </row>
    <row r="10" spans="1:26" s="124" customFormat="1" ht="17.399999999999999">
      <c r="A10" s="1951"/>
      <c r="B10" s="1952" t="s">
        <v>235</v>
      </c>
      <c r="C10" s="1948">
        <f>SUM(D10:E10)</f>
        <v>17046487.162</v>
      </c>
      <c r="D10" s="1948">
        <f>SUM(D12,D19,D28,D30)</f>
        <v>12221407.162</v>
      </c>
      <c r="E10" s="1948">
        <f t="shared" ref="E10" si="8">SUM(E12,E19,E28,E30)</f>
        <v>4825080</v>
      </c>
      <c r="F10" s="1949">
        <f>SUM(G10:H10)</f>
        <v>17255230.032347649</v>
      </c>
      <c r="G10" s="1948">
        <f>SUM(G12,G19,G28,G30)</f>
        <v>12681030.560735388</v>
      </c>
      <c r="H10" s="1953">
        <f>SUM(H12,H19,H28,H30)</f>
        <v>4574199.4716122607</v>
      </c>
      <c r="I10" s="298">
        <f>SUM(J10:K10)</f>
        <v>18233347.229745105</v>
      </c>
      <c r="J10" s="302">
        <f>SUM(J12,J19,J28,J30)</f>
        <v>14506847.464020004</v>
      </c>
      <c r="K10" s="302">
        <f>SUM(K12,K19,K28,K30)</f>
        <v>3726499.7657251004</v>
      </c>
      <c r="L10" s="45">
        <f>SUM(M10:N10)</f>
        <v>18383427.402691755</v>
      </c>
      <c r="M10" s="126">
        <f>SUM(M12,M19,M28,M30)</f>
        <v>14550430.851539778</v>
      </c>
      <c r="N10" s="126">
        <f>SUM(N12,N19,N28,N30)</f>
        <v>3832996.5511519788</v>
      </c>
      <c r="O10" s="298">
        <f>SUM(P10:Q10)</f>
        <v>18547507.397570271</v>
      </c>
      <c r="P10" s="302">
        <f>SUM(P12,P19,P28,P30)</f>
        <v>14667551.040603476</v>
      </c>
      <c r="Q10" s="302">
        <f>SUM(Q12,Q19,Q28,Q30)</f>
        <v>3879956.3569667954</v>
      </c>
      <c r="R10" s="298">
        <f>SUM(S10:T10)</f>
        <v>21358175.897346757</v>
      </c>
      <c r="S10" s="302">
        <f>SUM(S12,S19,S28,S30)</f>
        <v>16179379.311650224</v>
      </c>
      <c r="T10" s="302">
        <f>SUM(T12,T19,T28,T30)</f>
        <v>5178796.5856965333</v>
      </c>
      <c r="U10" s="298">
        <f>SUM(V10:W10)</f>
        <v>23442211.997964147</v>
      </c>
      <c r="V10" s="302">
        <f>SUM(V12,V19,V28,V30)</f>
        <v>17258711.569332536</v>
      </c>
      <c r="W10" s="302">
        <f>SUM(W12,W19,W28,W30)</f>
        <v>6183500.4286316112</v>
      </c>
      <c r="X10" s="298">
        <f>SUM(Y10:Z10)</f>
        <v>25080919.617009353</v>
      </c>
      <c r="Y10" s="302">
        <f>SUM(Y12,Y19,Y28,Y30)</f>
        <v>18011880.126719717</v>
      </c>
      <c r="Z10" s="303">
        <f>SUM(Z12,Z19,Z28,Z30)</f>
        <v>7069039.4902896369</v>
      </c>
    </row>
    <row r="11" spans="1:26" s="124" customFormat="1" ht="17.399999999999999">
      <c r="A11" s="1951"/>
      <c r="B11" s="1952" t="s">
        <v>236</v>
      </c>
      <c r="C11" s="1948">
        <f>SUM(D11:E11)</f>
        <v>12881433</v>
      </c>
      <c r="D11" s="1948">
        <f>D10-D14-D15-D16</f>
        <v>9199353</v>
      </c>
      <c r="E11" s="1948">
        <f t="shared" ref="E11" si="9">E10-E14-E15-E16</f>
        <v>3682080</v>
      </c>
      <c r="F11" s="1949">
        <f>SUM(G11:H11)</f>
        <v>13090175.870347649</v>
      </c>
      <c r="G11" s="1948">
        <f>G10-G14-G15-G16</f>
        <v>9658976.3987353873</v>
      </c>
      <c r="H11" s="1953">
        <f t="shared" ref="H11" si="10">H10-H14-H15-H16</f>
        <v>3431199.4716122607</v>
      </c>
      <c r="I11" s="298">
        <f>SUM(J11:K11)</f>
        <v>14446347.229745105</v>
      </c>
      <c r="J11" s="302">
        <f>J10-J14-J15-J16</f>
        <v>11979847.464020004</v>
      </c>
      <c r="K11" s="302">
        <f t="shared" ref="K11" si="11">K10-K14-K15-K16</f>
        <v>2466499.7657251004</v>
      </c>
      <c r="L11" s="45">
        <f>SUM(M11:N11)</f>
        <v>14699427.402691755</v>
      </c>
      <c r="M11" s="126">
        <f>M10-M14-M15-M16</f>
        <v>12036430.851539778</v>
      </c>
      <c r="N11" s="126">
        <f t="shared" ref="N11" si="12">N10-N14-N15-N16</f>
        <v>2662996.5511519788</v>
      </c>
      <c r="O11" s="298">
        <f>SUM(P11:Q11)</f>
        <v>14910507.397570271</v>
      </c>
      <c r="P11" s="302">
        <f>P10-P14-P15-P16</f>
        <v>12110551.040603476</v>
      </c>
      <c r="Q11" s="302">
        <f t="shared" ref="Q11" si="13">Q10-Q14-Q15-Q16</f>
        <v>2799956.3569667954</v>
      </c>
      <c r="R11" s="298">
        <f>SUM(S11:T11)</f>
        <v>16638175.897346757</v>
      </c>
      <c r="S11" s="302">
        <f>S10-S14-S15-S16</f>
        <v>12719379.311650224</v>
      </c>
      <c r="T11" s="302">
        <f t="shared" ref="T11" si="14">T10-T14-T15-T16</f>
        <v>3918796.5856965333</v>
      </c>
      <c r="U11" s="298">
        <f>SUM(V11:W11)</f>
        <v>18462211.997964147</v>
      </c>
      <c r="V11" s="302">
        <f>V10-V14-V15-V16</f>
        <v>13628711.569332536</v>
      </c>
      <c r="W11" s="302">
        <f t="shared" ref="W11" si="15">W10-W14-W15-W16</f>
        <v>4833500.4286316112</v>
      </c>
      <c r="X11" s="298">
        <f>SUM(Y11:Z11)</f>
        <v>19820919.617009353</v>
      </c>
      <c r="Y11" s="302">
        <f>Y10-Y14-Y15-Y16</f>
        <v>14236880.126719717</v>
      </c>
      <c r="Z11" s="303">
        <f t="shared" ref="Z11" si="16">Z10-Z14-Z15-Z16</f>
        <v>5584039.4902896369</v>
      </c>
    </row>
    <row r="12" spans="1:26" s="124" customFormat="1" ht="18">
      <c r="A12" s="1951" t="s">
        <v>3</v>
      </c>
      <c r="B12" s="1952" t="s">
        <v>202</v>
      </c>
      <c r="C12" s="1948">
        <f>SUM(D12:E12)</f>
        <v>8892984.1620000005</v>
      </c>
      <c r="D12" s="1948">
        <f>'Phụ lục số I'!H10</f>
        <v>4953904.1620000005</v>
      </c>
      <c r="E12" s="1948">
        <f>'Phụ lục số I'!I10</f>
        <v>3939080</v>
      </c>
      <c r="F12" s="1949">
        <f>SUM(G12:H12)</f>
        <v>8321554.0323476484</v>
      </c>
      <c r="G12" s="1949">
        <f>'Phụ lục số I'!O10</f>
        <v>4903753.5607353877</v>
      </c>
      <c r="H12" s="1950">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11707748.897346757</v>
      </c>
      <c r="S12" s="300">
        <f>'Phụ lục số I'!AM10</f>
        <v>6528952.311650224</v>
      </c>
      <c r="T12" s="300">
        <f>'Phụ lục số I'!AN10</f>
        <v>5178796.5856965333</v>
      </c>
      <c r="U12" s="299">
        <f>SUM(V12:W12)</f>
        <v>12703027.248075902</v>
      </c>
      <c r="V12" s="300">
        <f>'Phụ lục số I'!AS10</f>
        <v>7099857.0338091608</v>
      </c>
      <c r="W12" s="300">
        <f>'Phụ lục số I'!AT10</f>
        <v>5603170.2142667426</v>
      </c>
      <c r="X12" s="299">
        <f>SUM(Y12:Z12)</f>
        <v>13858437.191756535</v>
      </c>
      <c r="Y12" s="300">
        <f>'Phụ lục số I'!AY10</f>
        <v>7546103.2301168721</v>
      </c>
      <c r="Z12" s="301">
        <f>'Phụ lục số I'!AZ10</f>
        <v>6312333.9616396632</v>
      </c>
    </row>
    <row r="13" spans="1:26" ht="18">
      <c r="A13" s="1951"/>
      <c r="B13" s="1952" t="s">
        <v>186</v>
      </c>
      <c r="C13" s="1954"/>
      <c r="D13" s="1954"/>
      <c r="E13" s="1954"/>
      <c r="F13" s="1955"/>
      <c r="G13" s="1955"/>
      <c r="H13" s="1956"/>
      <c r="I13" s="299"/>
      <c r="J13" s="299"/>
      <c r="K13" s="299"/>
      <c r="L13" s="46"/>
      <c r="M13" s="46"/>
      <c r="N13" s="46"/>
      <c r="O13" s="299"/>
      <c r="P13" s="300"/>
      <c r="Q13" s="300"/>
      <c r="R13" s="299"/>
      <c r="S13" s="300"/>
      <c r="T13" s="300"/>
      <c r="U13" s="299"/>
      <c r="V13" s="300"/>
      <c r="W13" s="300"/>
      <c r="X13" s="299"/>
      <c r="Y13" s="300"/>
      <c r="Z13" s="301"/>
    </row>
    <row r="14" spans="1:26" s="29" customFormat="1" ht="18">
      <c r="A14" s="1957"/>
      <c r="B14" s="1958" t="s">
        <v>242</v>
      </c>
      <c r="C14" s="1959">
        <f>SUM(D14:E14)</f>
        <v>1770000</v>
      </c>
      <c r="D14" s="1959">
        <f>'Phụ lục số I'!H42</f>
        <v>627000</v>
      </c>
      <c r="E14" s="1959">
        <f>'Phụ lục số I'!I42</f>
        <v>1143000</v>
      </c>
      <c r="F14" s="1960">
        <f>SUM(G14:H14)</f>
        <v>1770000</v>
      </c>
      <c r="G14" s="1960">
        <f>'Phụ lục số I'!O42</f>
        <v>627000</v>
      </c>
      <c r="H14" s="1961">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1800000</v>
      </c>
      <c r="S14" s="305">
        <f>'Phụ lục số I'!AM42</f>
        <v>540000</v>
      </c>
      <c r="T14" s="305">
        <f>'Phụ lục số I'!AN42</f>
        <v>1260000</v>
      </c>
      <c r="U14" s="304">
        <f>SUM(V14:W14)</f>
        <v>1950000</v>
      </c>
      <c r="V14" s="305">
        <f>'Phụ lục số I'!AS42</f>
        <v>600000</v>
      </c>
      <c r="W14" s="305">
        <f>'Phụ lục số I'!AT42</f>
        <v>1350000</v>
      </c>
      <c r="X14" s="304">
        <f>SUM(Y14:Z14)</f>
        <v>2100000</v>
      </c>
      <c r="Y14" s="305">
        <f>'Phụ lục số I'!AY42</f>
        <v>615000</v>
      </c>
      <c r="Z14" s="306">
        <f>'Phụ lục số I'!AZ42</f>
        <v>1485000</v>
      </c>
    </row>
    <row r="15" spans="1:26" ht="18">
      <c r="A15" s="1957"/>
      <c r="B15" s="1962" t="s">
        <v>243</v>
      </c>
      <c r="C15" s="1959">
        <f>SUM(D15:E15)</f>
        <v>1950000</v>
      </c>
      <c r="D15" s="1959">
        <f>'Phụ lục số I'!H50</f>
        <v>1950000</v>
      </c>
      <c r="E15" s="1959">
        <f>'Phụ lục số I'!I50</f>
        <v>0</v>
      </c>
      <c r="F15" s="1960">
        <f t="shared" ref="F15:F17" si="17">SUM(G15:H15)</f>
        <v>1950000</v>
      </c>
      <c r="G15" s="1960">
        <f>'Phụ lục số I'!O50</f>
        <v>1950000</v>
      </c>
      <c r="H15" s="1961">
        <f>'Phụ lục số I'!P50</f>
        <v>0</v>
      </c>
      <c r="I15" s="304">
        <f t="shared" ref="I15:I17" si="18">SUM(J15:K15)</f>
        <v>1950000</v>
      </c>
      <c r="J15" s="304">
        <f>'Phụ lục số I'!U50</f>
        <v>1950000</v>
      </c>
      <c r="K15" s="304">
        <f>'Phụ lục số I'!V50</f>
        <v>0</v>
      </c>
      <c r="L15" s="193">
        <f t="shared" ref="L15:L17" si="19">SUM(M15:N15)</f>
        <v>1950000</v>
      </c>
      <c r="M15" s="193">
        <f>'Phụ lục số I'!AA50</f>
        <v>1950000</v>
      </c>
      <c r="N15" s="193">
        <f>'Phụ lục số I'!AB50</f>
        <v>0</v>
      </c>
      <c r="O15" s="304">
        <f t="shared" ref="O15:O17" si="20">SUM(P15:Q15)</f>
        <v>2000000</v>
      </c>
      <c r="P15" s="305">
        <f>'Phụ lục số I'!AG50</f>
        <v>2000000</v>
      </c>
      <c r="Q15" s="305">
        <f>'Phụ lục số I'!AH50</f>
        <v>0</v>
      </c>
      <c r="R15" s="304">
        <f t="shared" ref="R15:R17" si="21">SUM(S15:T15)</f>
        <v>2800000</v>
      </c>
      <c r="S15" s="305">
        <f>'Phụ lục số I'!AM50</f>
        <v>2800000</v>
      </c>
      <c r="T15" s="305">
        <f>'Phụ lục số I'!AN50</f>
        <v>0</v>
      </c>
      <c r="U15" s="304">
        <f t="shared" ref="U15:U17" si="22">SUM(V15:W15)</f>
        <v>2900000</v>
      </c>
      <c r="V15" s="305">
        <f>'Phụ lục số I'!AS50</f>
        <v>2900000</v>
      </c>
      <c r="W15" s="305">
        <f>'Phụ lục số I'!AT50</f>
        <v>0</v>
      </c>
      <c r="X15" s="304">
        <f t="shared" ref="X15:X17" si="23">SUM(Y15:Z15)</f>
        <v>3000000</v>
      </c>
      <c r="Y15" s="305">
        <f>'Phụ lục số I'!AY50</f>
        <v>3000000</v>
      </c>
      <c r="Z15" s="306">
        <f>'Phụ lục số I'!AZ50</f>
        <v>0</v>
      </c>
    </row>
    <row r="16" spans="1:26" ht="18">
      <c r="A16" s="1957"/>
      <c r="B16" s="1962" t="s">
        <v>244</v>
      </c>
      <c r="C16" s="1959">
        <f>SUM(D16:E16)</f>
        <v>445054.16200000001</v>
      </c>
      <c r="D16" s="1959">
        <f>'Phụ lục số I'!H47</f>
        <v>445054.16200000001</v>
      </c>
      <c r="E16" s="1959">
        <f>'Phụ lục số I'!I47</f>
        <v>0</v>
      </c>
      <c r="F16" s="1960">
        <f t="shared" si="17"/>
        <v>445054.16200000001</v>
      </c>
      <c r="G16" s="1960">
        <f>'Phụ lục số I'!O47</f>
        <v>445054.16200000001</v>
      </c>
      <c r="H16" s="1961">
        <f>'Phụ lục số I'!P47</f>
        <v>0</v>
      </c>
      <c r="I16" s="304">
        <f t="shared" si="18"/>
        <v>37000</v>
      </c>
      <c r="J16" s="304">
        <f>'Phụ lục số I'!U47</f>
        <v>37000</v>
      </c>
      <c r="K16" s="304">
        <f>'Phụ lục số I'!V47</f>
        <v>0</v>
      </c>
      <c r="L16" s="193">
        <f t="shared" si="19"/>
        <v>34000</v>
      </c>
      <c r="M16" s="193">
        <f>'Phụ lục số I'!AA47</f>
        <v>34000</v>
      </c>
      <c r="N16" s="193">
        <f>'Phụ lục số I'!AB47</f>
        <v>0</v>
      </c>
      <c r="O16" s="304">
        <f t="shared" si="20"/>
        <v>37000</v>
      </c>
      <c r="P16" s="305">
        <f>'Phụ lục số I'!AG47</f>
        <v>37000</v>
      </c>
      <c r="Q16" s="305">
        <f>'Phụ lục số I'!AH47</f>
        <v>0</v>
      </c>
      <c r="R16" s="304">
        <f t="shared" si="21"/>
        <v>120000</v>
      </c>
      <c r="S16" s="305">
        <f>'Phụ lục số I'!AM47</f>
        <v>120000</v>
      </c>
      <c r="T16" s="305">
        <f>'Phụ lục số I'!AN47</f>
        <v>0</v>
      </c>
      <c r="U16" s="304">
        <f t="shared" si="22"/>
        <v>130000</v>
      </c>
      <c r="V16" s="305">
        <f>'Phụ lục số I'!AS47</f>
        <v>130000</v>
      </c>
      <c r="W16" s="305">
        <f>'Phụ lục số I'!AT47</f>
        <v>0</v>
      </c>
      <c r="X16" s="304">
        <f t="shared" si="23"/>
        <v>160000</v>
      </c>
      <c r="Y16" s="305">
        <f>'Phụ lục số I'!AY47</f>
        <v>160000</v>
      </c>
      <c r="Z16" s="306">
        <f>'Phụ lục số I'!AZ47</f>
        <v>0</v>
      </c>
    </row>
    <row r="17" spans="1:26" ht="18">
      <c r="A17" s="1957"/>
      <c r="B17" s="1962" t="s">
        <v>245</v>
      </c>
      <c r="C17" s="1959">
        <f t="shared" ref="C17" si="24">SUM(D17:E17)</f>
        <v>4727930</v>
      </c>
      <c r="D17" s="1959">
        <f>D12-D14-D15-D16</f>
        <v>1931850.0000000005</v>
      </c>
      <c r="E17" s="1959">
        <f t="shared" ref="E17" si="25">E12-E14-E15-E16</f>
        <v>2796080</v>
      </c>
      <c r="F17" s="1960">
        <f t="shared" si="17"/>
        <v>4156499.8703476484</v>
      </c>
      <c r="G17" s="1963">
        <f>G12-G14-G15-G16</f>
        <v>1881699.3987353877</v>
      </c>
      <c r="H17" s="1964">
        <f t="shared" ref="H17" si="26">H12-H14-H15-H16</f>
        <v>2274800.4716122607</v>
      </c>
      <c r="I17" s="305">
        <f t="shared" si="18"/>
        <v>4795919.8297451045</v>
      </c>
      <c r="J17" s="307">
        <f>J12-J14-J15-J16</f>
        <v>2329420.0640200041</v>
      </c>
      <c r="K17" s="307">
        <f t="shared" ref="K17" si="27">K12-K14-K15-K16</f>
        <v>2466499.7657251004</v>
      </c>
      <c r="L17" s="193">
        <f t="shared" si="19"/>
        <v>5049000.4026917564</v>
      </c>
      <c r="M17" s="129">
        <f>M12-M14-M15-M16</f>
        <v>2386003.8515397776</v>
      </c>
      <c r="N17" s="129">
        <f t="shared" ref="N17" si="28">N12-N14-N15-N16</f>
        <v>2662996.5511519788</v>
      </c>
      <c r="O17" s="305">
        <f t="shared" si="20"/>
        <v>5260080.397570271</v>
      </c>
      <c r="P17" s="307">
        <f>P12-P14-P15-P16</f>
        <v>2460124.0406034756</v>
      </c>
      <c r="Q17" s="307">
        <f t="shared" ref="Q17" si="29">Q12-Q14-Q15-Q16</f>
        <v>2799956.3569667954</v>
      </c>
      <c r="R17" s="305">
        <f t="shared" si="21"/>
        <v>6987748.8973467574</v>
      </c>
      <c r="S17" s="307">
        <f>S12-S14-S15-S16</f>
        <v>3068952.311650224</v>
      </c>
      <c r="T17" s="307">
        <f t="shared" ref="T17" si="30">T12-T14-T15-T16</f>
        <v>3918796.5856965333</v>
      </c>
      <c r="U17" s="305">
        <f t="shared" si="22"/>
        <v>7723027.2480759034</v>
      </c>
      <c r="V17" s="307">
        <f>V12-V14-V15-V16</f>
        <v>3469857.0338091608</v>
      </c>
      <c r="W17" s="307">
        <f t="shared" ref="W17" si="31">W12-W14-W15-W16</f>
        <v>4253170.2142667426</v>
      </c>
      <c r="X17" s="305">
        <f t="shared" si="23"/>
        <v>8598437.1917565353</v>
      </c>
      <c r="Y17" s="307">
        <f>Y12-Y14-Y15-Y16</f>
        <v>3771103.2301168721</v>
      </c>
      <c r="Z17" s="308">
        <f t="shared" ref="Z17" si="32">Z12-Z14-Z15-Z16</f>
        <v>4827333.9616396632</v>
      </c>
    </row>
    <row r="18" spans="1:26" s="124" customFormat="1" ht="17.399999999999999">
      <c r="A18" s="1951" t="s">
        <v>33</v>
      </c>
      <c r="B18" s="1952" t="s">
        <v>203</v>
      </c>
      <c r="C18" s="1948">
        <f>SUM(C19:C20)</f>
        <v>9256479</v>
      </c>
      <c r="D18" s="1948">
        <f t="shared" ref="D18:E18" si="33">SUM(D19:D20)</f>
        <v>9256479</v>
      </c>
      <c r="E18" s="1948">
        <f t="shared" si="33"/>
        <v>0</v>
      </c>
      <c r="F18" s="1948">
        <f>SUM(F19:F20)</f>
        <v>9904812</v>
      </c>
      <c r="G18" s="1948">
        <f t="shared" ref="G18:H18" si="34">SUM(G19:G20)</f>
        <v>9904812</v>
      </c>
      <c r="H18" s="1965">
        <f t="shared" si="34"/>
        <v>0</v>
      </c>
      <c r="I18" s="344">
        <f>SUM(I19:I20)</f>
        <v>13326475.800000001</v>
      </c>
      <c r="J18" s="344">
        <f t="shared" ref="J18:K18" si="35">SUM(J19:J20)</f>
        <v>13326475.800000001</v>
      </c>
      <c r="K18" s="343">
        <f t="shared" si="35"/>
        <v>0</v>
      </c>
      <c r="L18" s="126">
        <f>SUM(L19:L20)</f>
        <v>13326475.800000001</v>
      </c>
      <c r="M18" s="126">
        <f t="shared" ref="M18:N18" si="36">SUM(M19:M20)</f>
        <v>13326475.800000001</v>
      </c>
      <c r="N18" s="197">
        <f t="shared" si="36"/>
        <v>0</v>
      </c>
      <c r="O18" s="344">
        <f>SUM(O19:O20)</f>
        <v>13326475.800000001</v>
      </c>
      <c r="P18" s="344">
        <f t="shared" ref="P18:Q18" si="37">SUM(P19:P20)</f>
        <v>13326475.800000001</v>
      </c>
      <c r="Q18" s="343">
        <f t="shared" si="37"/>
        <v>0</v>
      </c>
      <c r="R18" s="344">
        <f>SUM(R19:R20)</f>
        <v>12947209.800000001</v>
      </c>
      <c r="S18" s="344">
        <f t="shared" ref="S18:Z18" si="38">SUM(S19:S20)</f>
        <v>12947209.800000001</v>
      </c>
      <c r="T18" s="343">
        <f t="shared" si="38"/>
        <v>0</v>
      </c>
      <c r="U18" s="344">
        <f>SUM(U19:U20)</f>
        <v>12947209.800000001</v>
      </c>
      <c r="V18" s="344">
        <f t="shared" si="38"/>
        <v>12947209.800000001</v>
      </c>
      <c r="W18" s="343">
        <f t="shared" si="38"/>
        <v>0</v>
      </c>
      <c r="X18" s="344">
        <f>SUM(X19:X20)</f>
        <v>12947209.800000001</v>
      </c>
      <c r="Y18" s="344">
        <f t="shared" si="38"/>
        <v>12947209.800000001</v>
      </c>
      <c r="Z18" s="345">
        <f t="shared" si="38"/>
        <v>0</v>
      </c>
    </row>
    <row r="19" spans="1:26" s="124" customFormat="1" ht="17.399999999999999">
      <c r="A19" s="1951">
        <v>1</v>
      </c>
      <c r="B19" s="1952" t="s">
        <v>205</v>
      </c>
      <c r="C19" s="1948">
        <f>SUM(D19:E19)</f>
        <v>6617188</v>
      </c>
      <c r="D19" s="1948">
        <f>'Phụ lục số I'!H56</f>
        <v>6617188</v>
      </c>
      <c r="E19" s="1948"/>
      <c r="F19" s="1949">
        <f>SUM(G19:H19)</f>
        <v>6617188</v>
      </c>
      <c r="G19" s="1949">
        <f>'Phụ lục số I'!O56</f>
        <v>6617188</v>
      </c>
      <c r="H19" s="1950">
        <f>E19</f>
        <v>0</v>
      </c>
      <c r="I19" s="298">
        <f>SUM(J19:K19)</f>
        <v>6617188</v>
      </c>
      <c r="J19" s="298">
        <f>'Phụ lục số I'!U56</f>
        <v>6617188</v>
      </c>
      <c r="K19" s="298">
        <f>H19</f>
        <v>0</v>
      </c>
      <c r="L19" s="45">
        <f>SUM(M19:N19)</f>
        <v>6617188</v>
      </c>
      <c r="M19" s="45">
        <f>'Phụ lục số I'!AA56</f>
        <v>6617188</v>
      </c>
      <c r="N19" s="295">
        <f>K19</f>
        <v>0</v>
      </c>
      <c r="O19" s="298">
        <f>SUM(P19:Q19)</f>
        <v>6617188</v>
      </c>
      <c r="P19" s="346">
        <f>'Phụ lục số I'!AG56</f>
        <v>6617188</v>
      </c>
      <c r="Q19" s="346">
        <f>N19</f>
        <v>0</v>
      </c>
      <c r="R19" s="298">
        <f>SUM(S19:T19)</f>
        <v>6617188</v>
      </c>
      <c r="S19" s="346">
        <f>'Phụ lục số I'!AM56</f>
        <v>6617188</v>
      </c>
      <c r="T19" s="347">
        <f>N19</f>
        <v>0</v>
      </c>
      <c r="U19" s="298">
        <f>SUM(V19:W19)</f>
        <v>6617188</v>
      </c>
      <c r="V19" s="346">
        <f>'Phụ lục số I'!AS56</f>
        <v>6617188</v>
      </c>
      <c r="W19" s="346">
        <f>T19</f>
        <v>0</v>
      </c>
      <c r="X19" s="298">
        <f>SUM(Y19:Z19)</f>
        <v>6617188</v>
      </c>
      <c r="Y19" s="346">
        <f>'Phụ lục số I'!AY56</f>
        <v>6617188</v>
      </c>
      <c r="Z19" s="348">
        <f>W19</f>
        <v>0</v>
      </c>
    </row>
    <row r="20" spans="1:26" s="124" customFormat="1" ht="17.399999999999999">
      <c r="A20" s="1951">
        <v>2</v>
      </c>
      <c r="B20" s="1952" t="s">
        <v>207</v>
      </c>
      <c r="C20" s="1948">
        <f>SUM(C21,C24,C27)</f>
        <v>2639291</v>
      </c>
      <c r="D20" s="1948">
        <f t="shared" ref="D20:E20" si="39">SUM(D21,D24,D27)</f>
        <v>2639291</v>
      </c>
      <c r="E20" s="1948">
        <f t="shared" si="39"/>
        <v>0</v>
      </c>
      <c r="F20" s="1948">
        <f>SUM(F21,F24,F27)</f>
        <v>3287624</v>
      </c>
      <c r="G20" s="1948">
        <f t="shared" ref="G20:H20" si="40">SUM(G21,G24,G27)</f>
        <v>3287624</v>
      </c>
      <c r="H20" s="1966">
        <f t="shared" si="40"/>
        <v>0</v>
      </c>
      <c r="I20" s="344">
        <f>SUM(I21,I24,I27)</f>
        <v>6709287.7999999998</v>
      </c>
      <c r="J20" s="344">
        <f t="shared" ref="J20:K20" si="41">SUM(J21,J24,J27)</f>
        <v>6709287.7999999998</v>
      </c>
      <c r="K20" s="344">
        <f t="shared" si="41"/>
        <v>0</v>
      </c>
      <c r="L20" s="126">
        <f>SUM(L21,L24,L27)</f>
        <v>6709287.7999999998</v>
      </c>
      <c r="M20" s="126">
        <f t="shared" ref="M20:N20" si="42">SUM(M21,M24,M27)</f>
        <v>6709287.7999999998</v>
      </c>
      <c r="N20" s="126">
        <f t="shared" si="42"/>
        <v>0</v>
      </c>
      <c r="O20" s="344">
        <f>SUM(O21,O24,O27)</f>
        <v>6709287.7999999998</v>
      </c>
      <c r="P20" s="344">
        <f t="shared" ref="P20:Q20" si="43">SUM(P21,P24,P27)</f>
        <v>6709287.7999999998</v>
      </c>
      <c r="Q20" s="344">
        <f t="shared" si="43"/>
        <v>0</v>
      </c>
      <c r="R20" s="344">
        <f>SUM(R21,R24,R27)</f>
        <v>6330021.7999999998</v>
      </c>
      <c r="S20" s="344">
        <f t="shared" ref="S20:T20" si="44">SUM(S21,S24,S27)</f>
        <v>6330021.7999999998</v>
      </c>
      <c r="T20" s="344">
        <f t="shared" si="44"/>
        <v>0</v>
      </c>
      <c r="U20" s="344">
        <f>SUM(U21,U24,U27)</f>
        <v>6330021.7999999998</v>
      </c>
      <c r="V20" s="344">
        <f t="shared" ref="V20:W20" si="45">SUM(V21,V24,V27)</f>
        <v>6330021.7999999998</v>
      </c>
      <c r="W20" s="344">
        <f t="shared" si="45"/>
        <v>0</v>
      </c>
      <c r="X20" s="344">
        <f>SUM(X21,X24,X27)</f>
        <v>6330021.7999999998</v>
      </c>
      <c r="Y20" s="344">
        <f t="shared" ref="Y20:Z20" si="46">SUM(Y21,Y24,Y27)</f>
        <v>6330021.7999999998</v>
      </c>
      <c r="Z20" s="349">
        <f t="shared" si="46"/>
        <v>0</v>
      </c>
    </row>
    <row r="21" spans="1:26" s="29" customFormat="1" ht="18">
      <c r="A21" s="1967" t="s">
        <v>204</v>
      </c>
      <c r="B21" s="1968" t="s">
        <v>42</v>
      </c>
      <c r="C21" s="1969">
        <f>SUM(C22:C23)</f>
        <v>1814491</v>
      </c>
      <c r="D21" s="1969">
        <f t="shared" ref="D21:E21" si="47">SUM(D22:D23)</f>
        <v>1814491</v>
      </c>
      <c r="E21" s="1969">
        <f t="shared" si="47"/>
        <v>0</v>
      </c>
      <c r="F21" s="1969">
        <f>SUM(F22:F23)</f>
        <v>1814491</v>
      </c>
      <c r="G21" s="1969">
        <f t="shared" ref="G21:H21" si="48">SUM(G22:G23)</f>
        <v>1814491</v>
      </c>
      <c r="H21" s="1970">
        <f t="shared" si="48"/>
        <v>0</v>
      </c>
      <c r="I21" s="350">
        <f>SUM(I22:I23)</f>
        <v>3101719</v>
      </c>
      <c r="J21" s="350">
        <f t="shared" ref="J21:K21" si="49">SUM(J22:J23)</f>
        <v>3101719</v>
      </c>
      <c r="K21" s="350">
        <f t="shared" si="49"/>
        <v>0</v>
      </c>
      <c r="L21" s="127">
        <f>SUM(L22:L23)</f>
        <v>3101719</v>
      </c>
      <c r="M21" s="127">
        <f t="shared" ref="M21:N21" si="50">SUM(M22:M23)</f>
        <v>3101719</v>
      </c>
      <c r="N21" s="127">
        <f t="shared" si="50"/>
        <v>0</v>
      </c>
      <c r="O21" s="350">
        <f>SUM(O22:O23)</f>
        <v>3101719</v>
      </c>
      <c r="P21" s="350">
        <f t="shared" ref="P21:Q21" si="51">SUM(P22:P23)</f>
        <v>3101719</v>
      </c>
      <c r="Q21" s="350">
        <f t="shared" si="51"/>
        <v>0</v>
      </c>
      <c r="R21" s="350">
        <f>SUM(R22:R23)</f>
        <v>3101719</v>
      </c>
      <c r="S21" s="350">
        <f t="shared" ref="S21:T21" si="52">SUM(S22:S23)</f>
        <v>3101719</v>
      </c>
      <c r="T21" s="350">
        <f t="shared" si="52"/>
        <v>0</v>
      </c>
      <c r="U21" s="350">
        <f>SUM(U22:U23)</f>
        <v>3101719</v>
      </c>
      <c r="V21" s="350">
        <f t="shared" ref="V21:W21" si="53">SUM(V22:V23)</f>
        <v>3101719</v>
      </c>
      <c r="W21" s="350">
        <f t="shared" si="53"/>
        <v>0</v>
      </c>
      <c r="X21" s="350">
        <f>SUM(X22:X23)</f>
        <v>3101719</v>
      </c>
      <c r="Y21" s="350">
        <f t="shared" ref="Y21:Z21" si="54">SUM(Y22:Y23)</f>
        <v>3101719</v>
      </c>
      <c r="Z21" s="351">
        <f t="shared" si="54"/>
        <v>0</v>
      </c>
    </row>
    <row r="22" spans="1:26" s="29" customFormat="1" ht="18" hidden="1">
      <c r="A22" s="1967" t="s">
        <v>99</v>
      </c>
      <c r="B22" s="1968" t="s">
        <v>100</v>
      </c>
      <c r="C22" s="1969">
        <f>SUM(D22:E22)</f>
        <v>1681570</v>
      </c>
      <c r="D22" s="1969">
        <f>'Phụ lục số I'!H60</f>
        <v>1681570</v>
      </c>
      <c r="E22" s="1969"/>
      <c r="F22" s="1955">
        <f>SUM(G22:H22)</f>
        <v>1681570</v>
      </c>
      <c r="G22" s="1955">
        <f>'Phụ lục số I'!O60</f>
        <v>1681570</v>
      </c>
      <c r="H22" s="1956"/>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2970480</v>
      </c>
      <c r="S22" s="300">
        <f>'Phụ lục số I'!AM60</f>
        <v>2970480</v>
      </c>
      <c r="T22" s="300"/>
      <c r="U22" s="300">
        <f>SUM(V22:W22)</f>
        <v>2970480</v>
      </c>
      <c r="V22" s="300">
        <f>'Phụ lục số I'!AS60</f>
        <v>2970480</v>
      </c>
      <c r="W22" s="300"/>
      <c r="X22" s="300">
        <f>SUM(Y22:Z22)</f>
        <v>2970480</v>
      </c>
      <c r="Y22" s="300">
        <f>'Phụ lục số I'!AY60</f>
        <v>2970480</v>
      </c>
      <c r="Z22" s="301"/>
    </row>
    <row r="23" spans="1:26" s="29" customFormat="1" ht="18" hidden="1">
      <c r="A23" s="1967" t="s">
        <v>101</v>
      </c>
      <c r="B23" s="1968" t="s">
        <v>102</v>
      </c>
      <c r="C23" s="1969">
        <f t="shared" ref="C23" si="55">SUM(D23:E23)</f>
        <v>132921</v>
      </c>
      <c r="D23" s="1969">
        <f>'Phụ lục số I'!H61</f>
        <v>132921</v>
      </c>
      <c r="E23" s="1969"/>
      <c r="F23" s="1955">
        <f>SUM(G23:H23)</f>
        <v>132921</v>
      </c>
      <c r="G23" s="1955">
        <f>'Phụ lục số I'!O61</f>
        <v>132921</v>
      </c>
      <c r="H23" s="1956"/>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131239</v>
      </c>
      <c r="S23" s="300">
        <f>'Phụ lục số I'!AM61</f>
        <v>131239</v>
      </c>
      <c r="T23" s="300"/>
      <c r="U23" s="300">
        <f>SUM(V23:W23)</f>
        <v>131239</v>
      </c>
      <c r="V23" s="300">
        <f>'Phụ lục số I'!AS61</f>
        <v>131239</v>
      </c>
      <c r="W23" s="300"/>
      <c r="X23" s="300">
        <f>SUM(Y23:Z23)</f>
        <v>131239</v>
      </c>
      <c r="Y23" s="300">
        <f>'Phụ lục số I'!AY61</f>
        <v>131239</v>
      </c>
      <c r="Z23" s="301"/>
    </row>
    <row r="24" spans="1:26" s="29" customFormat="1" ht="18">
      <c r="A24" s="1967" t="s">
        <v>206</v>
      </c>
      <c r="B24" s="1968" t="s">
        <v>43</v>
      </c>
      <c r="C24" s="1969">
        <f>SUM(C25:C26)</f>
        <v>174485</v>
      </c>
      <c r="D24" s="1969">
        <f t="shared" ref="D24:E24" si="56">SUM(D25:D26)</f>
        <v>174485</v>
      </c>
      <c r="E24" s="1969">
        <f t="shared" si="56"/>
        <v>0</v>
      </c>
      <c r="F24" s="1969">
        <f>SUM(F25:F26)</f>
        <v>174485</v>
      </c>
      <c r="G24" s="1969">
        <f t="shared" ref="G24:H24" si="57">SUM(G25:G26)</f>
        <v>174485</v>
      </c>
      <c r="H24" s="1970">
        <f t="shared" si="57"/>
        <v>0</v>
      </c>
      <c r="I24" s="350">
        <f>SUM(I25:I26)</f>
        <v>195063.8</v>
      </c>
      <c r="J24" s="350">
        <f t="shared" ref="J24:K24" si="58">SUM(J25:J26)</f>
        <v>195063.8</v>
      </c>
      <c r="K24" s="350">
        <f t="shared" si="58"/>
        <v>0</v>
      </c>
      <c r="L24" s="127">
        <f>SUM(L25:L26)</f>
        <v>195063.8</v>
      </c>
      <c r="M24" s="127">
        <f t="shared" ref="M24:N24" si="59">SUM(M25:M26)</f>
        <v>195063.8</v>
      </c>
      <c r="N24" s="127">
        <f t="shared" si="59"/>
        <v>0</v>
      </c>
      <c r="O24" s="350">
        <f>SUM(O25:O26)</f>
        <v>195063.8</v>
      </c>
      <c r="P24" s="350">
        <f t="shared" ref="P24:Q24" si="60">SUM(P25:P26)</f>
        <v>195063.8</v>
      </c>
      <c r="Q24" s="350">
        <f t="shared" si="60"/>
        <v>0</v>
      </c>
      <c r="R24" s="350">
        <f>SUM(R25:R26)</f>
        <v>195063.8</v>
      </c>
      <c r="S24" s="350">
        <f t="shared" ref="S24:Z24" si="61">SUM(S25:S26)</f>
        <v>195063.8</v>
      </c>
      <c r="T24" s="350">
        <f t="shared" si="61"/>
        <v>0</v>
      </c>
      <c r="U24" s="350">
        <f>SUM(U25:U26)</f>
        <v>195063.8</v>
      </c>
      <c r="V24" s="350">
        <f t="shared" si="61"/>
        <v>195063.8</v>
      </c>
      <c r="W24" s="350">
        <f t="shared" si="61"/>
        <v>0</v>
      </c>
      <c r="X24" s="350">
        <f>SUM(X25:X26)</f>
        <v>195063.8</v>
      </c>
      <c r="Y24" s="350">
        <f t="shared" si="61"/>
        <v>195063.8</v>
      </c>
      <c r="Z24" s="351">
        <f t="shared" si="61"/>
        <v>0</v>
      </c>
    </row>
    <row r="25" spans="1:26" s="29" customFormat="1" ht="18" hidden="1">
      <c r="A25" s="1967" t="s">
        <v>99</v>
      </c>
      <c r="B25" s="1968" t="s">
        <v>103</v>
      </c>
      <c r="C25" s="1969">
        <f>SUM(D25:E25)</f>
        <v>72469</v>
      </c>
      <c r="D25" s="1969">
        <f>'Phụ lục số I'!H63</f>
        <v>72469</v>
      </c>
      <c r="E25" s="1969"/>
      <c r="F25" s="1955">
        <f>SUM(G25:H25)</f>
        <v>72469</v>
      </c>
      <c r="G25" s="1955">
        <f>'Phụ lục số I'!O63</f>
        <v>72469</v>
      </c>
      <c r="H25" s="1956">
        <f>E25</f>
        <v>0</v>
      </c>
      <c r="I25" s="300">
        <f>SUM(J25:K25)</f>
        <v>86962.8</v>
      </c>
      <c r="J25" s="300">
        <f>'Phụ lục số I'!U63</f>
        <v>86962.8</v>
      </c>
      <c r="K25" s="352">
        <f>H25</f>
        <v>0</v>
      </c>
      <c r="L25" s="46">
        <f>SUM(M25:N25)</f>
        <v>86962.8</v>
      </c>
      <c r="M25" s="46">
        <f>'Phụ lục số I'!AA63</f>
        <v>86962.8</v>
      </c>
      <c r="N25" s="296">
        <f>K25</f>
        <v>0</v>
      </c>
      <c r="O25" s="300">
        <f>SUM(P25:Q25)</f>
        <v>86962.8</v>
      </c>
      <c r="P25" s="300">
        <f>'Phụ lục số I'!AG63</f>
        <v>86962.8</v>
      </c>
      <c r="Q25" s="352">
        <f>N25</f>
        <v>0</v>
      </c>
      <c r="R25" s="300">
        <f>SUM(S25:T25)</f>
        <v>86962.8</v>
      </c>
      <c r="S25" s="300">
        <f>'Phụ lục số I'!AM63</f>
        <v>86962.8</v>
      </c>
      <c r="T25" s="352">
        <f>N25</f>
        <v>0</v>
      </c>
      <c r="U25" s="300">
        <f>SUM(V25:W25)</f>
        <v>86962.8</v>
      </c>
      <c r="V25" s="300">
        <f>'Phụ lục số I'!AS63</f>
        <v>86962.8</v>
      </c>
      <c r="W25" s="300">
        <f>T25</f>
        <v>0</v>
      </c>
      <c r="X25" s="300">
        <f>SUM(Y25:Z25)</f>
        <v>86962.8</v>
      </c>
      <c r="Y25" s="300">
        <f>'Phụ lục số I'!AY63</f>
        <v>86962.8</v>
      </c>
      <c r="Z25" s="301">
        <f>W25</f>
        <v>0</v>
      </c>
    </row>
    <row r="26" spans="1:26" s="29" customFormat="1" ht="18" hidden="1">
      <c r="A26" s="1967" t="s">
        <v>101</v>
      </c>
      <c r="B26" s="1968" t="s">
        <v>102</v>
      </c>
      <c r="C26" s="1969">
        <f t="shared" ref="C26" si="62">SUM(D26:E26)</f>
        <v>102016</v>
      </c>
      <c r="D26" s="1969">
        <f>'Phụ lục số I'!H64</f>
        <v>102016</v>
      </c>
      <c r="E26" s="1969"/>
      <c r="F26" s="1955">
        <f>SUM(G26:H26)</f>
        <v>102016</v>
      </c>
      <c r="G26" s="1955">
        <f>'Phụ lục số I'!O64</f>
        <v>102016</v>
      </c>
      <c r="H26" s="1956"/>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108101</v>
      </c>
      <c r="S26" s="300">
        <f>'Phụ lục số I'!AM64</f>
        <v>108101</v>
      </c>
      <c r="T26" s="300"/>
      <c r="U26" s="300">
        <f>SUM(V26:W26)</f>
        <v>108101</v>
      </c>
      <c r="V26" s="300">
        <f>'Phụ lục số I'!AS64</f>
        <v>108101</v>
      </c>
      <c r="W26" s="300"/>
      <c r="X26" s="300">
        <f>SUM(Y26:Z26)</f>
        <v>108101</v>
      </c>
      <c r="Y26" s="300">
        <f>'Phụ lục số I'!AY64</f>
        <v>108101</v>
      </c>
      <c r="Z26" s="301"/>
    </row>
    <row r="27" spans="1:26" s="29" customFormat="1" ht="18">
      <c r="A27" s="1967" t="s">
        <v>237</v>
      </c>
      <c r="B27" s="1971" t="s">
        <v>106</v>
      </c>
      <c r="C27" s="1969">
        <f>SUM(C28:C29)</f>
        <v>650315</v>
      </c>
      <c r="D27" s="1969">
        <f t="shared" ref="D27:E27" si="63">SUM(D28:D29)</f>
        <v>650315</v>
      </c>
      <c r="E27" s="1969">
        <f t="shared" si="63"/>
        <v>0</v>
      </c>
      <c r="F27" s="1969">
        <f>SUM(F28:F29)</f>
        <v>1298648</v>
      </c>
      <c r="G27" s="1969">
        <f t="shared" ref="G27:H27" si="64">SUM(G28:G29)</f>
        <v>1298648</v>
      </c>
      <c r="H27" s="1970">
        <f t="shared" si="64"/>
        <v>0</v>
      </c>
      <c r="I27" s="350">
        <f>SUM(I28:I29)</f>
        <v>3412505</v>
      </c>
      <c r="J27" s="350">
        <f t="shared" ref="J27:K27" si="65">SUM(J28:J29)</f>
        <v>3412505</v>
      </c>
      <c r="K27" s="350">
        <f t="shared" si="65"/>
        <v>0</v>
      </c>
      <c r="L27" s="127">
        <f>SUM(L28:L29)</f>
        <v>3412505</v>
      </c>
      <c r="M27" s="127">
        <f t="shared" ref="M27:N27" si="66">SUM(M28:M29)</f>
        <v>3412505</v>
      </c>
      <c r="N27" s="127">
        <f t="shared" si="66"/>
        <v>0</v>
      </c>
      <c r="O27" s="350">
        <f>SUM(O28:O29)</f>
        <v>3412505</v>
      </c>
      <c r="P27" s="350">
        <f t="shared" ref="P27:Q27" si="67">SUM(P28:P29)</f>
        <v>3412505</v>
      </c>
      <c r="Q27" s="350">
        <f t="shared" si="67"/>
        <v>0</v>
      </c>
      <c r="R27" s="350">
        <f>SUM(R28:R29)</f>
        <v>3033239</v>
      </c>
      <c r="S27" s="350">
        <f t="shared" ref="S27:Z27" si="68">SUM(S28:S29)</f>
        <v>3033239</v>
      </c>
      <c r="T27" s="350">
        <f t="shared" si="68"/>
        <v>0</v>
      </c>
      <c r="U27" s="350">
        <f>SUM(U28:U29)</f>
        <v>3033239</v>
      </c>
      <c r="V27" s="350">
        <f t="shared" si="68"/>
        <v>3033239</v>
      </c>
      <c r="W27" s="350">
        <f t="shared" si="68"/>
        <v>0</v>
      </c>
      <c r="X27" s="350">
        <f>SUM(X28:X29)</f>
        <v>3033239</v>
      </c>
      <c r="Y27" s="350">
        <f t="shared" si="68"/>
        <v>3033239</v>
      </c>
      <c r="Z27" s="351">
        <f t="shared" si="68"/>
        <v>0</v>
      </c>
    </row>
    <row r="28" spans="1:26" s="29" customFormat="1" ht="18" hidden="1">
      <c r="A28" s="1967" t="s">
        <v>99</v>
      </c>
      <c r="B28" s="1968" t="s">
        <v>104</v>
      </c>
      <c r="C28" s="1969">
        <f t="shared" ref="C28:C33" si="69">SUM(D28:E28)</f>
        <v>650315</v>
      </c>
      <c r="D28" s="1969">
        <f>'Phụ lục số I'!H66</f>
        <v>650315</v>
      </c>
      <c r="E28" s="1969"/>
      <c r="F28" s="1955">
        <f>SUM(G28:H28)</f>
        <v>1160089</v>
      </c>
      <c r="G28" s="1955">
        <f>'Phụ lục số I'!O66</f>
        <v>1160089</v>
      </c>
      <c r="H28" s="1956">
        <f>E28</f>
        <v>0</v>
      </c>
      <c r="I28" s="300">
        <f>SUM(J28:K28)</f>
        <v>3033239</v>
      </c>
      <c r="J28" s="300">
        <f>'Phụ lục số I'!U66</f>
        <v>3033239</v>
      </c>
      <c r="K28" s="352">
        <f>H28</f>
        <v>0</v>
      </c>
      <c r="L28" s="46">
        <f>SUM(M28:N28)</f>
        <v>3033239</v>
      </c>
      <c r="M28" s="46">
        <f>'Phụ lục số I'!AA66</f>
        <v>3033239</v>
      </c>
      <c r="N28" s="296">
        <f>K28</f>
        <v>0</v>
      </c>
      <c r="O28" s="300">
        <f>SUM(P28:Q28)</f>
        <v>3033239</v>
      </c>
      <c r="P28" s="300">
        <f>'Phụ lục số I'!AG66</f>
        <v>3033239</v>
      </c>
      <c r="Q28" s="352">
        <f>N28</f>
        <v>0</v>
      </c>
      <c r="R28" s="300">
        <f>SUM(S28:T28)</f>
        <v>3033239</v>
      </c>
      <c r="S28" s="300">
        <f>'Phụ lục số I'!AM66</f>
        <v>3033239</v>
      </c>
      <c r="T28" s="352">
        <f>N28</f>
        <v>0</v>
      </c>
      <c r="U28" s="300">
        <f>SUM(V28:W28)</f>
        <v>3033239</v>
      </c>
      <c r="V28" s="300">
        <f>'Phụ lục số I'!AS66</f>
        <v>3033239</v>
      </c>
      <c r="W28" s="300">
        <f>T28</f>
        <v>0</v>
      </c>
      <c r="X28" s="300">
        <f>SUM(Y28:Z28)</f>
        <v>3033239</v>
      </c>
      <c r="Y28" s="300">
        <f>'Phụ lục số I'!AY66</f>
        <v>3033239</v>
      </c>
      <c r="Z28" s="301">
        <f>W28</f>
        <v>0</v>
      </c>
    </row>
    <row r="29" spans="1:26" s="29" customFormat="1" ht="18" hidden="1">
      <c r="A29" s="1967" t="s">
        <v>101</v>
      </c>
      <c r="B29" s="1968" t="s">
        <v>105</v>
      </c>
      <c r="C29" s="1969">
        <f t="shared" si="69"/>
        <v>0</v>
      </c>
      <c r="D29" s="1969">
        <f>'Phụ lục số I'!H67</f>
        <v>0</v>
      </c>
      <c r="E29" s="1969"/>
      <c r="F29" s="1955">
        <f>SUM(G29:H29)</f>
        <v>138559</v>
      </c>
      <c r="G29" s="1955">
        <f>'Phụ lục số I'!O67</f>
        <v>138559</v>
      </c>
      <c r="H29" s="1956">
        <f>E29</f>
        <v>0</v>
      </c>
      <c r="I29" s="300">
        <f>SUM(J29:K29)</f>
        <v>379266</v>
      </c>
      <c r="J29" s="300">
        <f>'Phụ lục số I'!U67</f>
        <v>379266</v>
      </c>
      <c r="K29" s="352">
        <f>H29</f>
        <v>0</v>
      </c>
      <c r="L29" s="46">
        <f>SUM(M29:N29)</f>
        <v>379266</v>
      </c>
      <c r="M29" s="46">
        <f>'Phụ lục số I'!AA67</f>
        <v>379266</v>
      </c>
      <c r="N29" s="296">
        <f>K29</f>
        <v>0</v>
      </c>
      <c r="O29" s="300">
        <f>SUM(P29:Q29)</f>
        <v>379266</v>
      </c>
      <c r="P29" s="300">
        <f>'Phụ lục số I'!AG67</f>
        <v>379266</v>
      </c>
      <c r="Q29" s="352">
        <f>N29</f>
        <v>0</v>
      </c>
      <c r="R29" s="300">
        <f>SUM(S29:T29)</f>
        <v>0</v>
      </c>
      <c r="S29" s="300">
        <f>'Phụ lục số I'!AM67</f>
        <v>0</v>
      </c>
      <c r="T29" s="352">
        <f>N29</f>
        <v>0</v>
      </c>
      <c r="U29" s="300">
        <f>SUM(V29:W29)</f>
        <v>0</v>
      </c>
      <c r="V29" s="300">
        <f>'Phụ lục số I'!AS67</f>
        <v>0</v>
      </c>
      <c r="W29" s="300">
        <f>T29</f>
        <v>0</v>
      </c>
      <c r="X29" s="300">
        <f>SUM(Y29:Z29)</f>
        <v>0</v>
      </c>
      <c r="Y29" s="300">
        <f>'Phụ lục số I'!AY67</f>
        <v>0</v>
      </c>
      <c r="Z29" s="301">
        <f>W29</f>
        <v>0</v>
      </c>
    </row>
    <row r="30" spans="1:26" s="124" customFormat="1" ht="17.399999999999999">
      <c r="A30" s="1951" t="s">
        <v>182</v>
      </c>
      <c r="B30" s="1972" t="s">
        <v>45</v>
      </c>
      <c r="C30" s="1948">
        <f t="shared" si="69"/>
        <v>886000</v>
      </c>
      <c r="D30" s="1948">
        <f>'Phụ lục số I'!H68</f>
        <v>0</v>
      </c>
      <c r="E30" s="1948">
        <f>'Phụ lục số I'!I68</f>
        <v>886000</v>
      </c>
      <c r="F30" s="1949">
        <f>SUM(G30:H30)</f>
        <v>1156399</v>
      </c>
      <c r="G30" s="1949">
        <f>'Phụ lục số I'!O68</f>
        <v>0</v>
      </c>
      <c r="H30" s="1950">
        <f>'Phụ lục số I'!P68</f>
        <v>1156399</v>
      </c>
      <c r="I30" s="346">
        <f t="shared" ref="I30:I31" si="70">SUM(J30:K30)</f>
        <v>0.40000000001455194</v>
      </c>
      <c r="J30" s="346">
        <f>'Phụ lục số I'!U68</f>
        <v>0.40000000001455194</v>
      </c>
      <c r="K30" s="346">
        <f>'Phụ lục số I'!V68</f>
        <v>0</v>
      </c>
      <c r="L30" s="45">
        <f t="shared" ref="L30:L33" si="71">SUM(M30:N30)</f>
        <v>0</v>
      </c>
      <c r="M30" s="45">
        <f>'Phụ lục số I'!AA68</f>
        <v>0</v>
      </c>
      <c r="N30" s="45">
        <f>'Phụ lục số I'!AB68</f>
        <v>0</v>
      </c>
      <c r="O30" s="346">
        <f t="shared" ref="O30:O33" si="72">SUM(P30:Q30)</f>
        <v>0</v>
      </c>
      <c r="P30" s="346">
        <f>'Phụ lục số I'!AG68</f>
        <v>0</v>
      </c>
      <c r="Q30" s="346">
        <f>'Phụ lục số I'!AH68</f>
        <v>0</v>
      </c>
      <c r="R30" s="346">
        <f t="shared" ref="R30:R33" si="73">SUM(S30:T30)</f>
        <v>0</v>
      </c>
      <c r="S30" s="346">
        <f>'Phụ lục số I'!AM68</f>
        <v>0</v>
      </c>
      <c r="T30" s="346">
        <f>'Phụ lục số I'!AN68</f>
        <v>0</v>
      </c>
      <c r="U30" s="346">
        <f t="shared" ref="U30:U33" si="74">SUM(V30:W30)</f>
        <v>1088757.7498882432</v>
      </c>
      <c r="V30" s="346">
        <f>'Phụ lục số I'!AS68</f>
        <v>508427.53552337422</v>
      </c>
      <c r="W30" s="346">
        <f>'Phụ lục số I'!AT68</f>
        <v>580330.21436486894</v>
      </c>
      <c r="X30" s="346">
        <f t="shared" ref="X30:X33" si="75">SUM(Y30:Z30)</f>
        <v>1572055.4252528162</v>
      </c>
      <c r="Y30" s="346">
        <f>'Phụ lục số I'!AY68</f>
        <v>815349.89660284261</v>
      </c>
      <c r="Z30" s="348">
        <f>'Phụ lục số I'!AZ68</f>
        <v>756705.52864997357</v>
      </c>
    </row>
    <row r="31" spans="1:26" s="124" customFormat="1" ht="18">
      <c r="A31" s="1951" t="s">
        <v>215</v>
      </c>
      <c r="B31" s="1972" t="s">
        <v>47</v>
      </c>
      <c r="C31" s="1948">
        <f t="shared" si="69"/>
        <v>0</v>
      </c>
      <c r="D31" s="1948">
        <f>'Phụ lục số I'!H69</f>
        <v>0</v>
      </c>
      <c r="E31" s="1948">
        <f>'Phụ lục số I'!I69</f>
        <v>0</v>
      </c>
      <c r="F31" s="1949">
        <f t="shared" ref="F31:F33" si="76">SUM(G31:H31)</f>
        <v>0</v>
      </c>
      <c r="G31" s="1949">
        <f>'Phụ lục số I'!O69</f>
        <v>0</v>
      </c>
      <c r="H31" s="1950">
        <f>'Phụ lục số I'!P69</f>
        <v>0</v>
      </c>
      <c r="I31" s="346">
        <f t="shared" si="70"/>
        <v>0</v>
      </c>
      <c r="J31" s="346">
        <f>'Phụ lục số I'!U69</f>
        <v>0</v>
      </c>
      <c r="K31" s="346">
        <f>'Phụ lục số I'!V69</f>
        <v>0</v>
      </c>
      <c r="L31" s="45">
        <f t="shared" si="71"/>
        <v>0</v>
      </c>
      <c r="M31" s="45">
        <f>'Phụ lục số I'!AA69</f>
        <v>0</v>
      </c>
      <c r="N31" s="46"/>
      <c r="O31" s="346">
        <f t="shared" si="72"/>
        <v>0</v>
      </c>
      <c r="P31" s="346">
        <f>'Phụ lục số I'!AG69</f>
        <v>0</v>
      </c>
      <c r="Q31" s="346">
        <f>'Phụ lục số I'!AH69</f>
        <v>0</v>
      </c>
      <c r="R31" s="346">
        <f t="shared" si="73"/>
        <v>0</v>
      </c>
      <c r="S31" s="346">
        <f>'Phụ lục số I'!AM69</f>
        <v>0</v>
      </c>
      <c r="T31" s="346">
        <f>'Phụ lục số I'!AN69</f>
        <v>0</v>
      </c>
      <c r="U31" s="346">
        <f t="shared" si="74"/>
        <v>0</v>
      </c>
      <c r="V31" s="346">
        <f>'Phụ lục số I'!AS69</f>
        <v>0</v>
      </c>
      <c r="W31" s="346">
        <f>'Phụ lục số I'!AT69</f>
        <v>0</v>
      </c>
      <c r="X31" s="346">
        <f t="shared" si="75"/>
        <v>0</v>
      </c>
      <c r="Y31" s="346">
        <f>'Phụ lục số I'!AY69</f>
        <v>0</v>
      </c>
      <c r="Z31" s="348">
        <f>'Phụ lục số I'!AZ69</f>
        <v>0</v>
      </c>
    </row>
    <row r="32" spans="1:26" s="124" customFormat="1" ht="17.399999999999999">
      <c r="A32" s="1973" t="s">
        <v>37</v>
      </c>
      <c r="B32" s="1974" t="s">
        <v>238</v>
      </c>
      <c r="C32" s="1948">
        <f t="shared" si="69"/>
        <v>19035463.078000002</v>
      </c>
      <c r="D32" s="1948">
        <f>D33+D51+D61+D62</f>
        <v>9127059.7300000004</v>
      </c>
      <c r="E32" s="1948">
        <f t="shared" ref="E32" si="77">E33+E51+E61+E62</f>
        <v>9908403.3479999993</v>
      </c>
      <c r="F32" s="1975">
        <f t="shared" si="76"/>
        <v>19382765.094239719</v>
      </c>
      <c r="G32" s="1975">
        <f>G33+G51+G61+G62</f>
        <v>9429600.2589892782</v>
      </c>
      <c r="H32" s="1976">
        <f t="shared" ref="H32" si="78">H33+H51+H61+H62</f>
        <v>9953164.8352504428</v>
      </c>
      <c r="I32" s="331">
        <f t="shared" ref="I32:I33" si="79">SUM(J32:K32)</f>
        <v>21909395.833801575</v>
      </c>
      <c r="J32" s="331">
        <f>J33+J51+J61+J62</f>
        <v>10975001.773972481</v>
      </c>
      <c r="K32" s="331">
        <f t="shared" ref="K32" si="80">K33+K51+K61+K62</f>
        <v>10934394.059829095</v>
      </c>
      <c r="L32" s="128">
        <f t="shared" si="71"/>
        <v>22059476.072368387</v>
      </c>
      <c r="M32" s="128">
        <f>M33+M51+M61+M62</f>
        <v>11018585.461110013</v>
      </c>
      <c r="N32" s="128">
        <f t="shared" ref="N32" si="81">N33+N51+N61+N62</f>
        <v>11040890.611258375</v>
      </c>
      <c r="O32" s="128">
        <f t="shared" si="72"/>
        <v>22223556.558125257</v>
      </c>
      <c r="P32" s="128">
        <f>P33+P51+P61+P62</f>
        <v>11135705.557981655</v>
      </c>
      <c r="Q32" s="128">
        <f t="shared" ref="Q32" si="82">Q33+Q51+Q61+Q62</f>
        <v>11087851.000143604</v>
      </c>
      <c r="R32" s="128">
        <f t="shared" si="73"/>
        <v>25271091.93471314</v>
      </c>
      <c r="S32" s="128">
        <f>S33+S51+S61+S62</f>
        <v>12773017.450574759</v>
      </c>
      <c r="T32" s="128">
        <f t="shared" ref="T32" si="83">T33+T51+T61+T62</f>
        <v>12498074.484138383</v>
      </c>
      <c r="U32" s="128">
        <f t="shared" si="74"/>
        <v>27023131.244954884</v>
      </c>
      <c r="V32" s="128">
        <f>V33+V51+V61+V62</f>
        <v>13663443.047845125</v>
      </c>
      <c r="W32" s="128">
        <f t="shared" ref="W32" si="84">W33+W51+W61+W62</f>
        <v>13359688.197109757</v>
      </c>
      <c r="X32" s="128">
        <f t="shared" si="75"/>
        <v>28666232.257332325</v>
      </c>
      <c r="Y32" s="128">
        <f>Y33+Y51+Y61+Y62</f>
        <v>14409816.452453248</v>
      </c>
      <c r="Z32" s="358">
        <f t="shared" ref="Z32" si="85">Z33+Z51+Z61+Z62</f>
        <v>14256415.804879077</v>
      </c>
    </row>
    <row r="33" spans="1:26" s="124" customFormat="1" ht="17.399999999999999">
      <c r="A33" s="1951" t="s">
        <v>3</v>
      </c>
      <c r="B33" s="1952" t="s">
        <v>142</v>
      </c>
      <c r="C33" s="1948">
        <f t="shared" si="69"/>
        <v>17046487.078000002</v>
      </c>
      <c r="D33" s="1948">
        <f>SUM(D34,D40,D45,D46,D47,D48,D49,D50)</f>
        <v>7138083.7300000004</v>
      </c>
      <c r="E33" s="1948">
        <f t="shared" ref="E33" si="86">SUM(E34,E40,E45,E46,E47,E48,E49,E50)</f>
        <v>9908403.3479999993</v>
      </c>
      <c r="F33" s="1948">
        <f t="shared" si="76"/>
        <v>17255230.094239719</v>
      </c>
      <c r="G33" s="1948">
        <f>SUM(G34,G40,G45,G46,G47,G48,G49,G50)</f>
        <v>7302065.2589892773</v>
      </c>
      <c r="H33" s="1953">
        <f t="shared" ref="H33" si="87">SUM(H34,H40,H45,H46,H47,H48,H49,H50)</f>
        <v>9953164.8352504428</v>
      </c>
      <c r="I33" s="332">
        <f t="shared" si="79"/>
        <v>18233347.033801578</v>
      </c>
      <c r="J33" s="332">
        <f>SUM(J34,J40,J45,J46,J47,J48,J49,J50)</f>
        <v>7298952.9739724817</v>
      </c>
      <c r="K33" s="332">
        <f t="shared" ref="K33" si="88">SUM(K34,K40,K45,K46,K47,K48,K49,K50)</f>
        <v>10934394.059829095</v>
      </c>
      <c r="L33" s="126">
        <f t="shared" si="71"/>
        <v>18383427.272368386</v>
      </c>
      <c r="M33" s="126">
        <f>SUM(M34,M40,M45,M46,M47,M48,M49,M50)</f>
        <v>7342536.6611100128</v>
      </c>
      <c r="N33" s="126">
        <f t="shared" ref="N33" si="89">SUM(N34,N40,N45,N46,N47,N48,N49,N50)</f>
        <v>11040890.611258375</v>
      </c>
      <c r="O33" s="126">
        <f t="shared" si="72"/>
        <v>18547507.75812526</v>
      </c>
      <c r="P33" s="126">
        <f>SUM(P34,P40,P45,P46,P47,P48,P49,P50)</f>
        <v>7459656.7579816561</v>
      </c>
      <c r="Q33" s="126">
        <f t="shared" ref="Q33" si="90">SUM(Q34,Q40,Q45,Q46,Q47,Q48,Q49,Q50)</f>
        <v>11087851.000143604</v>
      </c>
      <c r="R33" s="126">
        <f t="shared" si="73"/>
        <v>21595043.134713143</v>
      </c>
      <c r="S33" s="126">
        <f>SUM(S34,S40,S45,S46,S47,S48,S49,S50)</f>
        <v>9096968.6505747605</v>
      </c>
      <c r="T33" s="126">
        <f t="shared" ref="T33" si="91">SUM(T34,T40,T45,T46,T47,T48,T49,T50)</f>
        <v>12498074.484138383</v>
      </c>
      <c r="U33" s="126">
        <f t="shared" si="74"/>
        <v>23347082.444954883</v>
      </c>
      <c r="V33" s="126">
        <f>SUM(V34,V40,V45,V46,V47,V48,V49,V50)</f>
        <v>9987394.2478451263</v>
      </c>
      <c r="W33" s="126">
        <f t="shared" ref="W33" si="92">SUM(W34,W40,W45,W46,W47,W48,W49,W50)</f>
        <v>13359688.197109757</v>
      </c>
      <c r="X33" s="126">
        <f t="shared" si="75"/>
        <v>24990183.457332324</v>
      </c>
      <c r="Y33" s="126">
        <f>SUM(Y34,Y40,Y45,Y46,Y47,Y48,Y49,Y50)</f>
        <v>10733767.652453247</v>
      </c>
      <c r="Z33" s="359">
        <f t="shared" ref="Z33" si="93">SUM(Z34,Z40,Z45,Z46,Z47,Z48,Z49,Z50)</f>
        <v>14256415.804879077</v>
      </c>
    </row>
    <row r="34" spans="1:26" s="124" customFormat="1" ht="17.399999999999999">
      <c r="A34" s="1951">
        <v>1</v>
      </c>
      <c r="B34" s="1952" t="s">
        <v>208</v>
      </c>
      <c r="C34" s="1948">
        <f>SUM(C35:C39)</f>
        <v>5331240.5709698759</v>
      </c>
      <c r="D34" s="1948">
        <f t="shared" ref="D34:E34" si="94">SUM(D35:D39)</f>
        <v>3607240.162</v>
      </c>
      <c r="E34" s="1948">
        <f t="shared" si="94"/>
        <v>1724000.4089698761</v>
      </c>
      <c r="F34" s="1948">
        <f>SUM(F35:F39)</f>
        <v>5331240.5709698759</v>
      </c>
      <c r="G34" s="1948">
        <f t="shared" ref="G34:H34" si="95">SUM(G35:G39)</f>
        <v>3607240.162</v>
      </c>
      <c r="H34" s="1953">
        <f t="shared" si="95"/>
        <v>1724000.4089698761</v>
      </c>
      <c r="I34" s="332">
        <f>SUM(I35:I39)</f>
        <v>4950795.363429876</v>
      </c>
      <c r="J34" s="332">
        <f t="shared" ref="J34:K34" si="96">SUM(J35:J39)</f>
        <v>3109794.9544600002</v>
      </c>
      <c r="K34" s="332">
        <f t="shared" si="96"/>
        <v>1841000.4089698761</v>
      </c>
      <c r="L34" s="126">
        <f>SUM(L35:L39)</f>
        <v>4892210.8713205801</v>
      </c>
      <c r="M34" s="126">
        <f t="shared" ref="M34:N34" si="97">SUM(M35:M39)</f>
        <v>3141210.4623507038</v>
      </c>
      <c r="N34" s="126">
        <f t="shared" si="97"/>
        <v>1751000.4089698761</v>
      </c>
      <c r="O34" s="126">
        <f>SUM(O35:O39)</f>
        <v>4823362.7382765934</v>
      </c>
      <c r="P34" s="126">
        <f t="shared" ref="P34:Q34" si="98">SUM(P35:P39)</f>
        <v>3154867.4240310052</v>
      </c>
      <c r="Q34" s="126">
        <f t="shared" si="98"/>
        <v>1668495.3142455874</v>
      </c>
      <c r="R34" s="126">
        <f>SUM(R35:R39)</f>
        <v>6043442.1840729155</v>
      </c>
      <c r="S34" s="126">
        <f t="shared" ref="S34:T34" si="99">SUM(S35:S39)</f>
        <v>4112611.9808295001</v>
      </c>
      <c r="T34" s="126">
        <f t="shared" si="99"/>
        <v>1930830.2032434158</v>
      </c>
      <c r="U34" s="126">
        <f>SUM(U35:U39)</f>
        <v>6475781.9322816804</v>
      </c>
      <c r="V34" s="126">
        <f t="shared" ref="V34:W34" si="100">SUM(V35:V39)</f>
        <v>4406297.6668103859</v>
      </c>
      <c r="W34" s="126">
        <f t="shared" si="100"/>
        <v>2069484.2654712955</v>
      </c>
      <c r="X34" s="126">
        <f>SUM(X35:X39)</f>
        <v>6943653.6306009274</v>
      </c>
      <c r="Y34" s="126">
        <f t="shared" ref="Y34:Z34" si="101">SUM(Y35:Y39)</f>
        <v>4655289.839687855</v>
      </c>
      <c r="Z34" s="359">
        <f t="shared" si="101"/>
        <v>2288363.7909130724</v>
      </c>
    </row>
    <row r="35" spans="1:26" ht="18">
      <c r="A35" s="1977" t="s">
        <v>29</v>
      </c>
      <c r="B35" s="1978" t="s">
        <v>143</v>
      </c>
      <c r="C35" s="1969">
        <f>SUM(D35:E35)</f>
        <v>1143186.4089698761</v>
      </c>
      <c r="D35" s="1969">
        <f>'Phụ lục số II'!F12</f>
        <v>562186</v>
      </c>
      <c r="E35" s="1969">
        <f>'Phụ lục số II'!G12</f>
        <v>581000.40896987612</v>
      </c>
      <c r="F35" s="1955">
        <f>SUM(G35:H35)</f>
        <v>1143186.4089698761</v>
      </c>
      <c r="G35" s="1955">
        <f>'Phụ lục số II'!K12</f>
        <v>562186</v>
      </c>
      <c r="H35" s="1956">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360">
        <f>'Phụ lục số II'!AP12</f>
        <v>803363.79091307241</v>
      </c>
    </row>
    <row r="36" spans="1:26" ht="18">
      <c r="A36" s="1977" t="s">
        <v>29</v>
      </c>
      <c r="B36" s="1978" t="s">
        <v>144</v>
      </c>
      <c r="C36" s="1969">
        <f t="shared" ref="C36:C39" si="102">SUM(D36:E36)</f>
        <v>1770000</v>
      </c>
      <c r="D36" s="1969">
        <f>'Phụ lục số II'!F13</f>
        <v>627000</v>
      </c>
      <c r="E36" s="1969">
        <f>'Phụ lục số II'!G13</f>
        <v>1143000</v>
      </c>
      <c r="F36" s="1955">
        <f t="shared" ref="F36:F39" si="103">SUM(G36:H36)</f>
        <v>1770000</v>
      </c>
      <c r="G36" s="1955">
        <f>'Phụ lục số II'!K13</f>
        <v>627000</v>
      </c>
      <c r="H36" s="1956">
        <f>'Phụ lục số II'!L13</f>
        <v>1143000</v>
      </c>
      <c r="I36" s="333">
        <f t="shared" ref="I36:I39" si="104">SUM(J36:K36)</f>
        <v>1660000</v>
      </c>
      <c r="J36" s="333">
        <f>'Phụ lục số II'!P13</f>
        <v>400000</v>
      </c>
      <c r="K36" s="333">
        <f>'Phụ lục số II'!Q13</f>
        <v>1260000</v>
      </c>
      <c r="L36" s="46">
        <f t="shared" ref="L36:L39" si="105">SUM(M36:N36)</f>
        <v>1570000</v>
      </c>
      <c r="M36" s="328">
        <f>'Phụ lục số II'!U13</f>
        <v>400000</v>
      </c>
      <c r="N36" s="328">
        <f>'Phụ lục số II'!V13</f>
        <v>1170000</v>
      </c>
      <c r="O36" s="46">
        <f t="shared" ref="O36:O39" si="106">SUM(P36:Q36)</f>
        <v>1480000</v>
      </c>
      <c r="P36" s="328">
        <f>'Phụ lục số II'!Z13</f>
        <v>400000</v>
      </c>
      <c r="Q36" s="328">
        <f>'Phụ lục số II'!AA13</f>
        <v>1080000</v>
      </c>
      <c r="R36" s="46">
        <f t="shared" ref="R36:R39" si="107">SUM(S36:T36)</f>
        <v>1660000</v>
      </c>
      <c r="S36" s="46">
        <f>'Phụ lục số II'!AE13</f>
        <v>400000</v>
      </c>
      <c r="T36" s="46">
        <f>'Phụ lục số II'!AF13</f>
        <v>1260000</v>
      </c>
      <c r="U36" s="46">
        <f t="shared" ref="U36:U39" si="108">SUM(V36:W36)</f>
        <v>1800000</v>
      </c>
      <c r="V36" s="328">
        <f>'Phụ lục số II'!AJ13</f>
        <v>450000</v>
      </c>
      <c r="W36" s="328">
        <f>'Phụ lục số II'!AK13</f>
        <v>1350000</v>
      </c>
      <c r="X36" s="46">
        <f t="shared" ref="X36:X39" si="109">SUM(Y36:Z36)</f>
        <v>1935000</v>
      </c>
      <c r="Y36" s="328">
        <f>'Phụ lục số II'!AO13</f>
        <v>450000</v>
      </c>
      <c r="Z36" s="360">
        <f>'Phụ lục số II'!AP13</f>
        <v>1485000</v>
      </c>
    </row>
    <row r="37" spans="1:26" ht="18">
      <c r="A37" s="1977" t="s">
        <v>29</v>
      </c>
      <c r="B37" s="1971" t="s">
        <v>145</v>
      </c>
      <c r="C37" s="1969">
        <f t="shared" si="102"/>
        <v>1950000</v>
      </c>
      <c r="D37" s="1969">
        <f>'Phụ lục số II'!F14</f>
        <v>1950000</v>
      </c>
      <c r="E37" s="1969">
        <f>'Phụ lục số II'!G14</f>
        <v>0</v>
      </c>
      <c r="F37" s="1955">
        <f t="shared" si="103"/>
        <v>1950000</v>
      </c>
      <c r="G37" s="1955">
        <f>'Phụ lục số II'!K14</f>
        <v>1950000</v>
      </c>
      <c r="H37" s="1956">
        <f>'Phụ lục số II'!L14</f>
        <v>0</v>
      </c>
      <c r="I37" s="333">
        <f t="shared" si="104"/>
        <v>1850000</v>
      </c>
      <c r="J37" s="333">
        <f>'Phụ lục số II'!P14</f>
        <v>1850000</v>
      </c>
      <c r="K37" s="333">
        <f>'Phụ lục số II'!Q14</f>
        <v>0</v>
      </c>
      <c r="L37" s="46">
        <f t="shared" si="105"/>
        <v>1850000</v>
      </c>
      <c r="M37" s="328">
        <f>'Phụ lục số II'!U14</f>
        <v>1850000</v>
      </c>
      <c r="N37" s="328">
        <f>'Phụ lục số II'!V14</f>
        <v>0</v>
      </c>
      <c r="O37" s="46">
        <f t="shared" si="106"/>
        <v>1850000</v>
      </c>
      <c r="P37" s="328">
        <f>'Phụ lục số II'!Z14</f>
        <v>1850000</v>
      </c>
      <c r="Q37" s="328">
        <f>'Phụ lục số II'!AA14</f>
        <v>0</v>
      </c>
      <c r="R37" s="46">
        <f t="shared" si="107"/>
        <v>2000000</v>
      </c>
      <c r="S37" s="46">
        <f>'Phụ lục số II'!AE14</f>
        <v>2000000</v>
      </c>
      <c r="T37" s="46">
        <f>'Phụ lục số II'!AF14</f>
        <v>0</v>
      </c>
      <c r="U37" s="46">
        <f t="shared" si="108"/>
        <v>2100000</v>
      </c>
      <c r="V37" s="328">
        <f>'Phụ lục số II'!AJ14</f>
        <v>2100000</v>
      </c>
      <c r="W37" s="328">
        <f>'Phụ lục số II'!AK14</f>
        <v>0</v>
      </c>
      <c r="X37" s="46">
        <f t="shared" si="109"/>
        <v>2200000</v>
      </c>
      <c r="Y37" s="328">
        <f>'Phụ lục số II'!AO14</f>
        <v>2200000</v>
      </c>
      <c r="Z37" s="360">
        <f>'Phụ lục số II'!AP14</f>
        <v>0</v>
      </c>
    </row>
    <row r="38" spans="1:26" ht="18">
      <c r="A38" s="1977" t="s">
        <v>29</v>
      </c>
      <c r="B38" s="1971" t="s">
        <v>146</v>
      </c>
      <c r="C38" s="1969">
        <f t="shared" si="102"/>
        <v>408054.16200000001</v>
      </c>
      <c r="D38" s="1969">
        <f>'Phụ lục số II'!F15</f>
        <v>408054.16200000001</v>
      </c>
      <c r="E38" s="1969">
        <f>'Phụ lục số II'!G15</f>
        <v>0</v>
      </c>
      <c r="F38" s="1955">
        <f t="shared" si="103"/>
        <v>408054.16200000001</v>
      </c>
      <c r="G38" s="1955">
        <f>'Phụ lục số II'!K15</f>
        <v>408054.16200000001</v>
      </c>
      <c r="H38" s="1956">
        <f>'Phụ lục số II'!L15</f>
        <v>0</v>
      </c>
      <c r="I38" s="333">
        <f t="shared" si="104"/>
        <v>0</v>
      </c>
      <c r="J38" s="333">
        <f>'Phụ lục số II'!P15</f>
        <v>0</v>
      </c>
      <c r="K38" s="333">
        <f>'Phụ lục số II'!Q15</f>
        <v>0</v>
      </c>
      <c r="L38" s="46">
        <f t="shared" si="105"/>
        <v>0</v>
      </c>
      <c r="M38" s="328">
        <f>'Phụ lục số II'!U15</f>
        <v>0</v>
      </c>
      <c r="N38" s="328">
        <f>'Phụ lục số II'!V15</f>
        <v>0</v>
      </c>
      <c r="O38" s="46">
        <f t="shared" si="106"/>
        <v>0</v>
      </c>
      <c r="P38" s="328">
        <f>'Phụ lục số II'!Z15</f>
        <v>0</v>
      </c>
      <c r="Q38" s="328">
        <f>'Phụ lục số II'!AA15</f>
        <v>0</v>
      </c>
      <c r="R38" s="46">
        <f t="shared" si="107"/>
        <v>0</v>
      </c>
      <c r="S38" s="46">
        <f>'Phụ lục số II'!AE15</f>
        <v>0</v>
      </c>
      <c r="T38" s="46">
        <f>'Phụ lục số II'!AF15</f>
        <v>0</v>
      </c>
      <c r="U38" s="46">
        <f t="shared" si="108"/>
        <v>0</v>
      </c>
      <c r="V38" s="328">
        <f>'Phụ lục số II'!AJ15</f>
        <v>0</v>
      </c>
      <c r="W38" s="328">
        <f>'Phụ lục số II'!AK15</f>
        <v>0</v>
      </c>
      <c r="X38" s="46">
        <f t="shared" si="109"/>
        <v>0</v>
      </c>
      <c r="Y38" s="328">
        <f>'Phụ lục số II'!AO15</f>
        <v>0</v>
      </c>
      <c r="Z38" s="360">
        <f>'Phụ lục số II'!AP15</f>
        <v>0</v>
      </c>
    </row>
    <row r="39" spans="1:26" ht="18">
      <c r="A39" s="1977" t="s">
        <v>29</v>
      </c>
      <c r="B39" s="1971" t="s">
        <v>218</v>
      </c>
      <c r="C39" s="1969">
        <f t="shared" si="102"/>
        <v>60000</v>
      </c>
      <c r="D39" s="1969">
        <f>'Phụ lục số II'!F16</f>
        <v>60000</v>
      </c>
      <c r="E39" s="1969">
        <f>'Phụ lục số II'!G16</f>
        <v>0</v>
      </c>
      <c r="F39" s="1955">
        <f t="shared" si="103"/>
        <v>60000</v>
      </c>
      <c r="G39" s="1955">
        <f>'Phụ lục số II'!K16</f>
        <v>60000</v>
      </c>
      <c r="H39" s="1956">
        <f>'Phụ lục số II'!L16</f>
        <v>0</v>
      </c>
      <c r="I39" s="333">
        <f t="shared" si="104"/>
        <v>270000</v>
      </c>
      <c r="J39" s="333">
        <f>'Phụ lục số II'!P16</f>
        <v>270000</v>
      </c>
      <c r="K39" s="333">
        <f>'Phụ lục số II'!Q16</f>
        <v>0</v>
      </c>
      <c r="L39" s="46">
        <f t="shared" si="105"/>
        <v>300000</v>
      </c>
      <c r="M39" s="328">
        <f>'Phụ lục số II'!U16</f>
        <v>300000</v>
      </c>
      <c r="N39" s="328">
        <f>'Phụ lục số II'!V16</f>
        <v>0</v>
      </c>
      <c r="O39" s="46">
        <f t="shared" si="106"/>
        <v>300000</v>
      </c>
      <c r="P39" s="328">
        <f>'Phụ lục số II'!Z16</f>
        <v>300000</v>
      </c>
      <c r="Q39" s="328">
        <f>'Phụ lục số II'!AA16</f>
        <v>0</v>
      </c>
      <c r="R39" s="46">
        <f t="shared" si="107"/>
        <v>1050000</v>
      </c>
      <c r="S39" s="46">
        <f>'Phụ lục số II'!AE16</f>
        <v>1050000</v>
      </c>
      <c r="T39" s="46">
        <f>'Phụ lục số II'!AF16</f>
        <v>0</v>
      </c>
      <c r="U39" s="46">
        <f t="shared" si="108"/>
        <v>1100000</v>
      </c>
      <c r="V39" s="328">
        <f>'Phụ lục số II'!AJ16</f>
        <v>1100000</v>
      </c>
      <c r="W39" s="328">
        <f>'Phụ lục số II'!AK16</f>
        <v>0</v>
      </c>
      <c r="X39" s="46">
        <f t="shared" si="109"/>
        <v>1200000</v>
      </c>
      <c r="Y39" s="328">
        <f>'Phụ lục số II'!AO16</f>
        <v>1200000</v>
      </c>
      <c r="Z39" s="360">
        <f>'Phụ lục số II'!AP16</f>
        <v>0</v>
      </c>
    </row>
    <row r="40" spans="1:26" ht="17.399999999999999">
      <c r="A40" s="1951">
        <v>2</v>
      </c>
      <c r="B40" s="1952" t="s">
        <v>209</v>
      </c>
      <c r="C40" s="1979">
        <f>SUM(D40:E40)</f>
        <v>10664978.394711081</v>
      </c>
      <c r="D40" s="1979">
        <f>'Phụ lục số II'!F17</f>
        <v>3294440</v>
      </c>
      <c r="E40" s="1979">
        <f>'Phụ lục số II'!G17</f>
        <v>7370538.3947110809</v>
      </c>
      <c r="F40" s="1948">
        <f>SUM(G40:H40)</f>
        <v>11591120.210950801</v>
      </c>
      <c r="G40" s="1949">
        <f>'Phụ lục số II'!K17</f>
        <v>3537560.3289892771</v>
      </c>
      <c r="H40" s="1950">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361">
        <f>'Phụ lục số II'!AP17</f>
        <v>10763485.913870698</v>
      </c>
    </row>
    <row r="41" spans="1:26" ht="18">
      <c r="A41" s="1951"/>
      <c r="B41" s="1952" t="s">
        <v>234</v>
      </c>
      <c r="C41" s="1980"/>
      <c r="D41" s="1980"/>
      <c r="E41" s="1980"/>
      <c r="F41" s="1955"/>
      <c r="G41" s="1955"/>
      <c r="H41" s="1956"/>
      <c r="I41" s="333"/>
      <c r="J41" s="333"/>
      <c r="K41" s="333"/>
      <c r="L41" s="46"/>
      <c r="M41" s="46"/>
      <c r="N41" s="46"/>
      <c r="O41" s="328">
        <f t="shared" ref="O41:O43" si="110">SUM(P41:Q41)</f>
        <v>0</v>
      </c>
      <c r="P41" s="297"/>
      <c r="Q41" s="297"/>
      <c r="R41" s="46"/>
      <c r="S41" s="46"/>
      <c r="T41" s="46"/>
      <c r="U41" s="297"/>
      <c r="V41" s="297"/>
      <c r="W41" s="297"/>
      <c r="X41" s="328"/>
      <c r="Y41" s="328"/>
      <c r="Z41" s="360"/>
    </row>
    <row r="42" spans="1:26" ht="18">
      <c r="A42" s="1977" t="s">
        <v>29</v>
      </c>
      <c r="B42" s="1978" t="s">
        <v>239</v>
      </c>
      <c r="C42" s="1981">
        <f>SUM(D42:E42)</f>
        <v>4797945.7831797441</v>
      </c>
      <c r="D42" s="1981">
        <f>'Phụ lục số II'!F18</f>
        <v>956676</v>
      </c>
      <c r="E42" s="1981">
        <f>'Phụ lục số II'!G18</f>
        <v>3841269.7831797441</v>
      </c>
      <c r="F42" s="1969">
        <f t="shared" ref="F42:F43" si="111">SUM(G42:H42)</f>
        <v>5395798.649100964</v>
      </c>
      <c r="G42" s="1955">
        <f>'Phụ lục số II'!K18</f>
        <v>1052842.94860096</v>
      </c>
      <c r="H42" s="1956">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10"/>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360">
        <f>'Phụ lục số II'!AP18</f>
        <v>5743058.5827228744</v>
      </c>
    </row>
    <row r="43" spans="1:26" ht="18">
      <c r="A43" s="1977" t="s">
        <v>29</v>
      </c>
      <c r="B43" s="1982" t="s">
        <v>241</v>
      </c>
      <c r="C43" s="1981">
        <f t="shared" ref="C43:C44" si="112">SUM(D43:E43)</f>
        <v>31218</v>
      </c>
      <c r="D43" s="1981">
        <f>'Phụ lục số II'!F19</f>
        <v>31218</v>
      </c>
      <c r="E43" s="1981">
        <f>'Phụ lục số II'!G19</f>
        <v>0</v>
      </c>
      <c r="F43" s="1969">
        <f t="shared" si="111"/>
        <v>31107.539891692453</v>
      </c>
      <c r="G43" s="1955">
        <f>'Phụ lục số II'!K19</f>
        <v>31107.539891692453</v>
      </c>
      <c r="H43" s="1956">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10"/>
        <v>34148.038429599939</v>
      </c>
      <c r="P43" s="328">
        <f>'Phụ lục số II'!Z19</f>
        <v>34148.038429599939</v>
      </c>
      <c r="Q43" s="328">
        <f>'Phụ lục số II'!AA19</f>
        <v>0</v>
      </c>
      <c r="R43" s="46">
        <f>SUM(S43:T43)</f>
        <v>35149.814659228985</v>
      </c>
      <c r="S43" s="46">
        <f>'Phụ lục số II'!AE19</f>
        <v>35149.814659228985</v>
      </c>
      <c r="T43" s="46"/>
      <c r="U43" s="297">
        <f t="shared" ref="U43:U44" si="113">SUM(V43:W43)</f>
        <v>36406.277712104355</v>
      </c>
      <c r="V43" s="328">
        <f>'Phụ lục số II'!AJ19</f>
        <v>36406.277712104355</v>
      </c>
      <c r="W43" s="328">
        <f>'Phụ lục số II'!AK19</f>
        <v>0</v>
      </c>
      <c r="X43" s="328">
        <f t="shared" ref="X43:X44" si="114">SUM(Y43:Z43)</f>
        <v>37320.513403256889</v>
      </c>
      <c r="Y43" s="328">
        <f>'Phụ lục số II'!AO19</f>
        <v>37320.513403256889</v>
      </c>
      <c r="Z43" s="360"/>
    </row>
    <row r="44" spans="1:26" ht="18">
      <c r="A44" s="1977" t="s">
        <v>29</v>
      </c>
      <c r="B44" s="1978" t="s">
        <v>240</v>
      </c>
      <c r="C44" s="1981">
        <f t="shared" si="112"/>
        <v>5835814.6115313368</v>
      </c>
      <c r="D44" s="1981">
        <f>D40-D42-D43</f>
        <v>2306546</v>
      </c>
      <c r="E44" s="1981">
        <f t="shared" ref="E44" si="115">E40-E42-E43</f>
        <v>3529268.6115313368</v>
      </c>
      <c r="F44" s="1969">
        <f>SUM(G44:H44)</f>
        <v>6164214.0219581444</v>
      </c>
      <c r="G44" s="1969">
        <f>G40-G42-G43</f>
        <v>2453609.8404966248</v>
      </c>
      <c r="H44" s="1983">
        <f t="shared" ref="H44" si="116">H40-H42-H43</f>
        <v>3710604.1814615196</v>
      </c>
      <c r="I44" s="335">
        <f t="shared" ref="I44" si="117">SUM(J44:K44)</f>
        <v>6820326.0272453995</v>
      </c>
      <c r="J44" s="335">
        <f>J40-J42-J43</f>
        <v>2766832.4740600018</v>
      </c>
      <c r="K44" s="335">
        <f t="shared" ref="K44" si="118">K40-K42-K43</f>
        <v>4053493.5531853978</v>
      </c>
      <c r="L44" s="127">
        <f t="shared" ref="L44" si="119">SUM(M44:N44)</f>
        <v>6971158.3555575442</v>
      </c>
      <c r="M44" s="127">
        <f>M40-M42-M43</f>
        <v>2775599.0719977436</v>
      </c>
      <c r="N44" s="127">
        <f t="shared" ref="N44" si="120">N40-N42-N43</f>
        <v>4195559.2835598001</v>
      </c>
      <c r="O44" s="127">
        <f t="shared" ref="O44" si="121">SUM(P44:Q44)</f>
        <v>7105551.3088786099</v>
      </c>
      <c r="P44" s="127">
        <f>P40-P42-P43</f>
        <v>2846243.4105608924</v>
      </c>
      <c r="Q44" s="127">
        <f>Q40-Q42-Q43</f>
        <v>4259307.898317717</v>
      </c>
      <c r="R44" s="127">
        <f t="shared" ref="R44" si="122">SUM(S44:T44)</f>
        <v>7463552.5087014139</v>
      </c>
      <c r="S44" s="127">
        <f>S40-S42-S43</f>
        <v>2954741.5885987445</v>
      </c>
      <c r="T44" s="127">
        <f>T40-T42-T43</f>
        <v>4508810.9201026689</v>
      </c>
      <c r="U44" s="297">
        <f t="shared" si="113"/>
        <v>7941763.3492903039</v>
      </c>
      <c r="V44" s="127">
        <f>V40-V42-V43</f>
        <v>3150361.5946460278</v>
      </c>
      <c r="W44" s="127">
        <f>W40-W42-W43</f>
        <v>4791401.7546442756</v>
      </c>
      <c r="X44" s="328">
        <f t="shared" si="114"/>
        <v>8374900.9139140751</v>
      </c>
      <c r="Y44" s="127">
        <f>Y40-Y42-Y43</f>
        <v>3354473.5827662521</v>
      </c>
      <c r="Z44" s="362">
        <f>Z40-Z42-Z43</f>
        <v>5020427.3311478235</v>
      </c>
    </row>
    <row r="45" spans="1:26" s="31" customFormat="1" ht="18">
      <c r="A45" s="1984">
        <v>3</v>
      </c>
      <c r="B45" s="1985" t="s">
        <v>210</v>
      </c>
      <c r="C45" s="1986"/>
      <c r="D45" s="1986"/>
      <c r="E45" s="1986"/>
      <c r="F45" s="1955"/>
      <c r="G45" s="1955"/>
      <c r="H45" s="1956"/>
      <c r="I45" s="333"/>
      <c r="J45" s="333"/>
      <c r="K45" s="333"/>
      <c r="L45" s="328"/>
      <c r="M45" s="297"/>
      <c r="N45" s="297"/>
      <c r="O45" s="297"/>
      <c r="P45" s="297"/>
      <c r="Q45" s="297"/>
      <c r="R45" s="297"/>
      <c r="S45" s="297"/>
      <c r="T45" s="297"/>
      <c r="U45" s="297"/>
      <c r="V45" s="297"/>
      <c r="W45" s="297"/>
      <c r="X45" s="328"/>
      <c r="Y45" s="328"/>
      <c r="Z45" s="360"/>
    </row>
    <row r="46" spans="1:26" s="31" customFormat="1" ht="17.399999999999999">
      <c r="A46" s="1984">
        <v>4</v>
      </c>
      <c r="B46" s="1985" t="s">
        <v>176</v>
      </c>
      <c r="C46" s="1987">
        <f>SUM(D46:E46)</f>
        <v>717399.2</v>
      </c>
      <c r="D46" s="1987">
        <f>'Phụ lục số II'!F34</f>
        <v>79139.200000000012</v>
      </c>
      <c r="E46" s="1987">
        <f>'Phụ lục số II'!G34</f>
        <v>638260</v>
      </c>
      <c r="F46" s="1949">
        <f>SUM(G46:H46)</f>
        <v>0.40000000001455194</v>
      </c>
      <c r="G46" s="1949">
        <f>'Phụ lục số II'!K34</f>
        <v>0.40000000001455194</v>
      </c>
      <c r="H46" s="1950">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361">
        <f>'Phụ lục số II'!AP34</f>
        <v>984949.50233643386</v>
      </c>
    </row>
    <row r="47" spans="1:26" s="31" customFormat="1" ht="18">
      <c r="A47" s="1984">
        <v>5</v>
      </c>
      <c r="B47" s="1988" t="s">
        <v>212</v>
      </c>
      <c r="C47" s="1987">
        <f t="shared" ref="C47:C50" si="123">SUM(D47:E47)</f>
        <v>0</v>
      </c>
      <c r="D47" s="1986"/>
      <c r="E47" s="1986"/>
      <c r="F47" s="1949">
        <f t="shared" ref="F47:F50" si="124">SUM(G47:H47)</f>
        <v>0</v>
      </c>
      <c r="G47" s="1949"/>
      <c r="H47" s="1950"/>
      <c r="I47" s="333"/>
      <c r="J47" s="333"/>
      <c r="K47" s="333"/>
      <c r="L47" s="328"/>
      <c r="M47" s="297"/>
      <c r="N47" s="297"/>
      <c r="O47" s="297"/>
      <c r="P47" s="297"/>
      <c r="Q47" s="297"/>
      <c r="R47" s="297"/>
      <c r="S47" s="297"/>
      <c r="T47" s="297"/>
      <c r="U47" s="297"/>
      <c r="V47" s="297"/>
      <c r="W47" s="297"/>
      <c r="X47" s="328"/>
      <c r="Y47" s="328"/>
      <c r="Z47" s="360"/>
    </row>
    <row r="48" spans="1:26" s="31" customFormat="1" ht="17.399999999999999">
      <c r="A48" s="1984">
        <v>6</v>
      </c>
      <c r="B48" s="1989" t="s">
        <v>174</v>
      </c>
      <c r="C48" s="1987">
        <f t="shared" si="123"/>
        <v>2000</v>
      </c>
      <c r="D48" s="1987">
        <f>'Phụ lục số II'!F32</f>
        <v>2000</v>
      </c>
      <c r="E48" s="1987">
        <f>'Phụ lục số II'!G32</f>
        <v>0</v>
      </c>
      <c r="F48" s="1949">
        <f t="shared" si="124"/>
        <v>2000</v>
      </c>
      <c r="G48" s="1949">
        <f>'Phụ lục số II'!K32</f>
        <v>2000</v>
      </c>
      <c r="H48" s="1950"/>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361"/>
    </row>
    <row r="49" spans="1:26" s="31" customFormat="1" ht="17.399999999999999">
      <c r="A49" s="1990">
        <v>7</v>
      </c>
      <c r="B49" s="1989" t="s">
        <v>175</v>
      </c>
      <c r="C49" s="1987">
        <f t="shared" si="123"/>
        <v>327868.91231904214</v>
      </c>
      <c r="D49" s="1987">
        <f>'Phụ lục số II'!F33</f>
        <v>152264.36799999999</v>
      </c>
      <c r="E49" s="1987">
        <f>'Phụ lục số II'!G33</f>
        <v>175604.54431904212</v>
      </c>
      <c r="F49" s="1949">
        <f t="shared" si="124"/>
        <v>327868.91231904214</v>
      </c>
      <c r="G49" s="1949">
        <f>'Phụ lục số II'!K33</f>
        <v>152264.36799999999</v>
      </c>
      <c r="H49" s="1950">
        <f>'Phụ lục số II'!L33</f>
        <v>175604.54431904212</v>
      </c>
      <c r="I49" s="334">
        <f t="shared" ref="I49:I50" si="125">SUM(J49:K49)</f>
        <v>354094.47910195083</v>
      </c>
      <c r="J49" s="334">
        <f>'Phụ lục số II'!P33</f>
        <v>183758.07111247999</v>
      </c>
      <c r="K49" s="334">
        <f>'Phụ lục số II'!Q33</f>
        <v>170336.40798947084</v>
      </c>
      <c r="L49" s="45">
        <f t="shared" ref="L49:L50" si="126">SUM(M49:N49)</f>
        <v>356375.03167890699</v>
      </c>
      <c r="M49" s="329">
        <f>'Phụ lục số II'!U33</f>
        <v>184199.09048314992</v>
      </c>
      <c r="N49" s="329">
        <f>'Phụ lục số II'!V33</f>
        <v>172175.9411957571</v>
      </c>
      <c r="O49" s="329">
        <f t="shared" ref="O49:O50" si="127">SUM(P49:Q49)</f>
        <v>362851.10031049303</v>
      </c>
      <c r="P49" s="329">
        <f>'Phụ lục số II'!Z33</f>
        <v>188454.08947331071</v>
      </c>
      <c r="Q49" s="329">
        <f>'Phụ lục số II'!AA33</f>
        <v>174397.01083718234</v>
      </c>
      <c r="R49" s="329">
        <f t="shared" ref="R49:R50" si="128">SUM(S49:T49)</f>
        <v>388554.57695830194</v>
      </c>
      <c r="S49" s="329">
        <f>'Phụ lục số II'!AE33</f>
        <v>193982.6303761786</v>
      </c>
      <c r="T49" s="329">
        <f>'Phụ lục số II'!AF33</f>
        <v>194571.94658212332</v>
      </c>
      <c r="U49" s="329">
        <f t="shared" ref="U49:U50" si="129">SUM(V49:W49)</f>
        <v>413799.67800673621</v>
      </c>
      <c r="V49" s="329">
        <f>'Phụ lục số II'!AJ33</f>
        <v>210916.72121933621</v>
      </c>
      <c r="W49" s="329">
        <f>'Phụ lục số II'!AK33</f>
        <v>202882.95678739998</v>
      </c>
      <c r="X49" s="329">
        <f t="shared" ref="X49:X50" si="130">SUM(Y49:Z49)</f>
        <v>455829.86689569859</v>
      </c>
      <c r="Y49" s="329">
        <f>'Phụ lục số II'!AO33</f>
        <v>236213.26913682561</v>
      </c>
      <c r="Z49" s="361">
        <f>'Phụ lục số II'!AP33</f>
        <v>219616.59775887299</v>
      </c>
    </row>
    <row r="50" spans="1:26" s="31" customFormat="1" ht="17.399999999999999">
      <c r="A50" s="1990">
        <v>8</v>
      </c>
      <c r="B50" s="1989" t="s">
        <v>213</v>
      </c>
      <c r="C50" s="1987">
        <f t="shared" si="123"/>
        <v>3000</v>
      </c>
      <c r="D50" s="1987">
        <f>'Phụ lục số II'!F31</f>
        <v>3000</v>
      </c>
      <c r="E50" s="1987">
        <f>'Phụ lục số II'!G31</f>
        <v>0</v>
      </c>
      <c r="F50" s="1949">
        <f t="shared" si="124"/>
        <v>3000</v>
      </c>
      <c r="G50" s="1949">
        <f>'Phụ lục số II'!K31</f>
        <v>3000</v>
      </c>
      <c r="H50" s="1950"/>
      <c r="I50" s="334">
        <f t="shared" si="125"/>
        <v>3000</v>
      </c>
      <c r="J50" s="334">
        <f>'Phụ lục số II'!P31</f>
        <v>3000</v>
      </c>
      <c r="K50" s="334">
        <f>'Phụ lục số II'!Q31</f>
        <v>0</v>
      </c>
      <c r="L50" s="45">
        <f t="shared" si="126"/>
        <v>3000</v>
      </c>
      <c r="M50" s="329">
        <f>'Phụ lục số II'!U31</f>
        <v>3000</v>
      </c>
      <c r="N50" s="329">
        <f>'Phụ lục số II'!V31</f>
        <v>0</v>
      </c>
      <c r="O50" s="329">
        <f t="shared" si="127"/>
        <v>3000</v>
      </c>
      <c r="P50" s="329">
        <f>'Phụ lục số II'!Z31</f>
        <v>3000</v>
      </c>
      <c r="Q50" s="329">
        <f>'Phụ lục số II'!AA31</f>
        <v>0</v>
      </c>
      <c r="R50" s="329">
        <f t="shared" si="128"/>
        <v>3000</v>
      </c>
      <c r="S50" s="329">
        <f>'Phụ lục số II'!AE31</f>
        <v>3000</v>
      </c>
      <c r="T50" s="330"/>
      <c r="U50" s="329">
        <f t="shared" si="129"/>
        <v>3000</v>
      </c>
      <c r="V50" s="329">
        <f>'Phụ lục số II'!AJ31</f>
        <v>3000</v>
      </c>
      <c r="W50" s="330"/>
      <c r="X50" s="329">
        <f t="shared" si="130"/>
        <v>3000</v>
      </c>
      <c r="Y50" s="329">
        <f>'Phụ lục số II'!AO31</f>
        <v>3000</v>
      </c>
      <c r="Z50" s="361"/>
    </row>
    <row r="51" spans="1:26" s="31" customFormat="1" ht="17.399999999999999">
      <c r="A51" s="1984" t="s">
        <v>33</v>
      </c>
      <c r="B51" s="1989" t="s">
        <v>214</v>
      </c>
      <c r="C51" s="1991">
        <f>SUM(D51:E51)</f>
        <v>1988976</v>
      </c>
      <c r="D51" s="1991">
        <f>SUM(D52,D55,D58)</f>
        <v>1988976</v>
      </c>
      <c r="E51" s="1991">
        <f t="shared" ref="E51" si="131">SUM(E52,E55,E58)</f>
        <v>0</v>
      </c>
      <c r="F51" s="1948">
        <f>SUM(G51:H51)</f>
        <v>2127535</v>
      </c>
      <c r="G51" s="1948">
        <f>SUM(G52,G55,G58)</f>
        <v>2127535</v>
      </c>
      <c r="H51" s="1953">
        <f t="shared" ref="H51" si="132">SUM(H52,H55,H58)</f>
        <v>0</v>
      </c>
      <c r="I51" s="332">
        <f>SUM(J51:K51)</f>
        <v>3676048.8</v>
      </c>
      <c r="J51" s="332">
        <f>SUM(J52,J55,J58)</f>
        <v>3676048.8</v>
      </c>
      <c r="K51" s="332">
        <f t="shared" ref="K51" si="133">SUM(K52,K55,K58)</f>
        <v>0</v>
      </c>
      <c r="L51" s="126">
        <f>SUM(M51:N51)</f>
        <v>3676048.8</v>
      </c>
      <c r="M51" s="126">
        <f>SUM(M52,M55,M58)</f>
        <v>3676048.8</v>
      </c>
      <c r="N51" s="126">
        <f t="shared" ref="N51" si="134">SUM(N52,N55,N58)</f>
        <v>0</v>
      </c>
      <c r="O51" s="126">
        <f>SUM(P51:Q51)</f>
        <v>3676048.8</v>
      </c>
      <c r="P51" s="126">
        <f>SUM(P52,P55,P58)</f>
        <v>3676048.8</v>
      </c>
      <c r="Q51" s="126">
        <f t="shared" ref="Q51" si="135">SUM(Q52,Q55,Q58)</f>
        <v>0</v>
      </c>
      <c r="R51" s="126">
        <f>SUM(S51:T51)</f>
        <v>3676048.8</v>
      </c>
      <c r="S51" s="126">
        <f>SUM(S52,S55,S58)</f>
        <v>3676048.8</v>
      </c>
      <c r="T51" s="126">
        <f t="shared" ref="T51" si="136">SUM(T52,T55,T58)</f>
        <v>0</v>
      </c>
      <c r="U51" s="126">
        <f>SUM(V51:W51)</f>
        <v>3676048.8</v>
      </c>
      <c r="V51" s="126">
        <f>SUM(V52,V55,V58)</f>
        <v>3676048.8</v>
      </c>
      <c r="W51" s="126">
        <f t="shared" ref="W51" si="137">SUM(W52,W55,W58)</f>
        <v>0</v>
      </c>
      <c r="X51" s="126">
        <f>SUM(Y51:Z51)</f>
        <v>3676048.8</v>
      </c>
      <c r="Y51" s="126">
        <f>SUM(Y52,Y55,Y58)</f>
        <v>3676048.8</v>
      </c>
      <c r="Z51" s="359">
        <f t="shared" ref="Z51" si="138">SUM(Z52,Z55,Z58)</f>
        <v>0</v>
      </c>
    </row>
    <row r="52" spans="1:26" ht="18">
      <c r="A52" s="1977">
        <v>1</v>
      </c>
      <c r="B52" s="1992" t="s">
        <v>178</v>
      </c>
      <c r="C52" s="1954">
        <f t="shared" ref="C52" si="139">SUM(D52:E52)</f>
        <v>1814491</v>
      </c>
      <c r="D52" s="1954">
        <f>SUM(D53:D54)</f>
        <v>1814491</v>
      </c>
      <c r="E52" s="1954">
        <f t="shared" ref="E52" si="140">SUM(E53:E54)</f>
        <v>0</v>
      </c>
      <c r="F52" s="1969">
        <f t="shared" ref="F52" si="141">SUM(G52:H52)</f>
        <v>1814491</v>
      </c>
      <c r="G52" s="1969">
        <f>SUM(G53:G54)</f>
        <v>1814491</v>
      </c>
      <c r="H52" s="1983">
        <f t="shared" ref="H52" si="142">SUM(H53:H54)</f>
        <v>0</v>
      </c>
      <c r="I52" s="335">
        <f t="shared" ref="I52" si="143">SUM(J52:K52)</f>
        <v>3101719</v>
      </c>
      <c r="J52" s="335">
        <f>SUM(J53:J54)</f>
        <v>3101719</v>
      </c>
      <c r="K52" s="335">
        <f t="shared" ref="K52" si="144">SUM(K53:K54)</f>
        <v>0</v>
      </c>
      <c r="L52" s="127">
        <f t="shared" ref="L52" si="145">SUM(M52:N52)</f>
        <v>3101719</v>
      </c>
      <c r="M52" s="127">
        <f>SUM(M53:M54)</f>
        <v>3101719</v>
      </c>
      <c r="N52" s="127">
        <f t="shared" ref="N52" si="146">SUM(N53:N54)</f>
        <v>0</v>
      </c>
      <c r="O52" s="328">
        <f>SUM(O53:O54)</f>
        <v>3101719</v>
      </c>
      <c r="P52" s="328">
        <f t="shared" ref="P52:Q52" si="147">SUM(P53:P54)</f>
        <v>3101719</v>
      </c>
      <c r="Q52" s="328">
        <f t="shared" si="147"/>
        <v>0</v>
      </c>
      <c r="R52" s="328">
        <f>SUM(R53:R54)</f>
        <v>3101719</v>
      </c>
      <c r="S52" s="328">
        <f t="shared" ref="S52:T52" si="148">SUM(S53:S54)</f>
        <v>3101719</v>
      </c>
      <c r="T52" s="328">
        <f t="shared" si="148"/>
        <v>0</v>
      </c>
      <c r="U52" s="328">
        <f>SUM(U53:U54)</f>
        <v>3101719</v>
      </c>
      <c r="V52" s="328">
        <f t="shared" ref="V52:W52" si="149">SUM(V53:V54)</f>
        <v>3101719</v>
      </c>
      <c r="W52" s="328">
        <f t="shared" si="149"/>
        <v>0</v>
      </c>
      <c r="X52" s="328">
        <f>SUM(X53:X54)</f>
        <v>3101719</v>
      </c>
      <c r="Y52" s="328">
        <f t="shared" ref="Y52:Z52" si="150">SUM(Y53:Y54)</f>
        <v>3101719</v>
      </c>
      <c r="Z52" s="360">
        <f t="shared" si="150"/>
        <v>0</v>
      </c>
    </row>
    <row r="53" spans="1:26" ht="18" hidden="1">
      <c r="A53" s="1977" t="s">
        <v>99</v>
      </c>
      <c r="B53" s="1992" t="s">
        <v>100</v>
      </c>
      <c r="C53" s="1954">
        <f>SUM(D53:E53)</f>
        <v>1681570</v>
      </c>
      <c r="D53" s="1954">
        <f>'Phụ lục số II'!F37</f>
        <v>1681570</v>
      </c>
      <c r="E53" s="1954"/>
      <c r="F53" s="1955">
        <f>SUM(G53:H53)</f>
        <v>1681570</v>
      </c>
      <c r="G53" s="1955">
        <f>'Phụ lục số II'!K37</f>
        <v>1681570</v>
      </c>
      <c r="H53" s="1956">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360"/>
    </row>
    <row r="54" spans="1:26" ht="18" hidden="1">
      <c r="A54" s="1977" t="s">
        <v>101</v>
      </c>
      <c r="B54" s="1992" t="s">
        <v>102</v>
      </c>
      <c r="C54" s="1954">
        <f t="shared" ref="C54" si="151">SUM(D54:E54)</f>
        <v>132921</v>
      </c>
      <c r="D54" s="1954">
        <f>'Phụ lục số II'!F38</f>
        <v>132921</v>
      </c>
      <c r="E54" s="1954"/>
      <c r="F54" s="1955">
        <f>SUM(G54:H54)</f>
        <v>132921</v>
      </c>
      <c r="G54" s="1955">
        <f>'Phụ lục số II'!K38</f>
        <v>132921</v>
      </c>
      <c r="H54" s="1956">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360"/>
    </row>
    <row r="55" spans="1:26" ht="18">
      <c r="A55" s="1977">
        <v>2</v>
      </c>
      <c r="B55" s="1992" t="s">
        <v>179</v>
      </c>
      <c r="C55" s="1954">
        <f t="shared" ref="C55" si="152">SUM(D55:E55)</f>
        <v>174485</v>
      </c>
      <c r="D55" s="1954">
        <f>SUM(D56:D57)</f>
        <v>174485</v>
      </c>
      <c r="E55" s="1954">
        <f t="shared" ref="E55" si="153">SUM(E56:E57)</f>
        <v>0</v>
      </c>
      <c r="F55" s="1969">
        <f t="shared" ref="F55" si="154">SUM(G55:H55)</f>
        <v>174485</v>
      </c>
      <c r="G55" s="1969">
        <f>SUM(G56:G57)</f>
        <v>174485</v>
      </c>
      <c r="H55" s="1983">
        <f t="shared" ref="H55" si="155">SUM(H56:H57)</f>
        <v>0</v>
      </c>
      <c r="I55" s="335">
        <f t="shared" ref="I55" si="156">SUM(J55:K55)</f>
        <v>195063.8</v>
      </c>
      <c r="J55" s="335">
        <f>SUM(J56:J57)</f>
        <v>195063.8</v>
      </c>
      <c r="K55" s="335">
        <f t="shared" ref="K55" si="157">SUM(K56:K57)</f>
        <v>0</v>
      </c>
      <c r="L55" s="127">
        <f t="shared" ref="L55" si="158">SUM(M55:N55)</f>
        <v>195063.8</v>
      </c>
      <c r="M55" s="127">
        <f>SUM(M56:M57)</f>
        <v>195063.8</v>
      </c>
      <c r="N55" s="127">
        <f t="shared" ref="N55" si="159">SUM(N56:N57)</f>
        <v>0</v>
      </c>
      <c r="O55" s="328">
        <f>SUM(O56:O57)</f>
        <v>195063.8</v>
      </c>
      <c r="P55" s="328">
        <f t="shared" ref="P55:Q55" si="160">SUM(P56:P57)</f>
        <v>195063.8</v>
      </c>
      <c r="Q55" s="328">
        <f t="shared" si="160"/>
        <v>0</v>
      </c>
      <c r="R55" s="328">
        <f>SUM(R56:R57)</f>
        <v>195063.8</v>
      </c>
      <c r="S55" s="328">
        <f t="shared" ref="S55:T55" si="161">SUM(S56:S57)</f>
        <v>195063.8</v>
      </c>
      <c r="T55" s="328">
        <f t="shared" si="161"/>
        <v>0</v>
      </c>
      <c r="U55" s="328">
        <f>SUM(U56:U57)</f>
        <v>195063.8</v>
      </c>
      <c r="V55" s="328">
        <f t="shared" ref="V55:W55" si="162">SUM(V56:V57)</f>
        <v>195063.8</v>
      </c>
      <c r="W55" s="328">
        <f t="shared" si="162"/>
        <v>0</v>
      </c>
      <c r="X55" s="328">
        <f>SUM(X56:X57)</f>
        <v>195063.8</v>
      </c>
      <c r="Y55" s="328">
        <f t="shared" ref="Y55:Z55" si="163">SUM(Y56:Y57)</f>
        <v>195063.8</v>
      </c>
      <c r="Z55" s="360">
        <f t="shared" si="163"/>
        <v>0</v>
      </c>
    </row>
    <row r="56" spans="1:26" ht="18" hidden="1">
      <c r="A56" s="1977" t="s">
        <v>99</v>
      </c>
      <c r="B56" s="1992" t="s">
        <v>103</v>
      </c>
      <c r="C56" s="1954">
        <f>SUM(D56:E56)</f>
        <v>72469</v>
      </c>
      <c r="D56" s="1954">
        <f>'Phụ lục số II'!F40</f>
        <v>72469</v>
      </c>
      <c r="E56" s="1954"/>
      <c r="F56" s="1955">
        <f>SUM(G56:H56)</f>
        <v>72469</v>
      </c>
      <c r="G56" s="1955">
        <f>'Phụ lục số II'!K40</f>
        <v>72469</v>
      </c>
      <c r="H56" s="1956">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360"/>
    </row>
    <row r="57" spans="1:26" ht="18" hidden="1">
      <c r="A57" s="1977" t="s">
        <v>101</v>
      </c>
      <c r="B57" s="1992" t="s">
        <v>102</v>
      </c>
      <c r="C57" s="1954">
        <f t="shared" ref="C57:C61" si="164">SUM(D57:E57)</f>
        <v>102016</v>
      </c>
      <c r="D57" s="1954">
        <f>'Phụ lục số II'!F41</f>
        <v>102016</v>
      </c>
      <c r="E57" s="1954"/>
      <c r="F57" s="1955">
        <f>SUM(G57:H57)</f>
        <v>102016</v>
      </c>
      <c r="G57" s="1955">
        <f>'Phụ lục số II'!K41</f>
        <v>102016</v>
      </c>
      <c r="H57" s="1956">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360"/>
    </row>
    <row r="58" spans="1:26" ht="18">
      <c r="A58" s="1977">
        <v>3</v>
      </c>
      <c r="B58" s="1992" t="s">
        <v>180</v>
      </c>
      <c r="C58" s="1954">
        <f t="shared" ref="C58" si="165">SUM(D58:E58)</f>
        <v>0</v>
      </c>
      <c r="D58" s="1954">
        <f>SUM(D59:D60)</f>
        <v>0</v>
      </c>
      <c r="E58" s="1954">
        <f t="shared" ref="E58" si="166">SUM(E59:E60)</f>
        <v>0</v>
      </c>
      <c r="F58" s="1955">
        <f>SUM(F59:F60)</f>
        <v>138559</v>
      </c>
      <c r="G58" s="1955">
        <f t="shared" ref="G58:H58" si="167">SUM(G59:G60)</f>
        <v>138559</v>
      </c>
      <c r="H58" s="1956">
        <f t="shared" si="167"/>
        <v>0</v>
      </c>
      <c r="I58" s="333">
        <f>SUM(I59:I60)</f>
        <v>379266</v>
      </c>
      <c r="J58" s="333">
        <f t="shared" ref="J58:K58" si="168">SUM(J59:J60)</f>
        <v>379266</v>
      </c>
      <c r="K58" s="333">
        <f t="shared" si="168"/>
        <v>0</v>
      </c>
      <c r="L58" s="46">
        <f>SUM(L59:L60)</f>
        <v>379266</v>
      </c>
      <c r="M58" s="46">
        <f t="shared" ref="M58:N58" si="169">SUM(M59:M60)</f>
        <v>379266</v>
      </c>
      <c r="N58" s="46">
        <f t="shared" si="169"/>
        <v>0</v>
      </c>
      <c r="O58" s="328">
        <f>SUM(O59:O60)</f>
        <v>379266</v>
      </c>
      <c r="P58" s="328">
        <f t="shared" ref="P58:Q58" si="170">SUM(P59:P60)</f>
        <v>379266</v>
      </c>
      <c r="Q58" s="328">
        <f t="shared" si="170"/>
        <v>0</v>
      </c>
      <c r="R58" s="297">
        <f>SUM(R59:R60)</f>
        <v>379266</v>
      </c>
      <c r="S58" s="297">
        <f t="shared" ref="S58:T58" si="171">SUM(S59:S60)</f>
        <v>379266</v>
      </c>
      <c r="T58" s="297">
        <f t="shared" si="171"/>
        <v>0</v>
      </c>
      <c r="U58" s="297">
        <f>SUM(U59:U60)</f>
        <v>379266</v>
      </c>
      <c r="V58" s="297">
        <f t="shared" ref="V58:W58" si="172">SUM(V59:V60)</f>
        <v>379266</v>
      </c>
      <c r="W58" s="297">
        <f t="shared" si="172"/>
        <v>0</v>
      </c>
      <c r="X58" s="328">
        <f>SUM(X59:X60)</f>
        <v>379266</v>
      </c>
      <c r="Y58" s="328">
        <f t="shared" ref="Y58:Z58" si="173">SUM(Y59:Y60)</f>
        <v>379266</v>
      </c>
      <c r="Z58" s="360">
        <f t="shared" si="173"/>
        <v>0</v>
      </c>
    </row>
    <row r="59" spans="1:26" ht="18" hidden="1">
      <c r="A59" s="1977" t="s">
        <v>99</v>
      </c>
      <c r="B59" s="1992" t="s">
        <v>104</v>
      </c>
      <c r="C59" s="1954">
        <f t="shared" si="164"/>
        <v>0</v>
      </c>
      <c r="D59" s="1954"/>
      <c r="E59" s="1954"/>
      <c r="F59" s="1955">
        <f>SUM(G59:H59)</f>
        <v>0</v>
      </c>
      <c r="G59" s="1955">
        <f>'Phụ lục số II'!K43</f>
        <v>0</v>
      </c>
      <c r="H59" s="1956">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28">
        <f>'Phụ lục số II'!AE43</f>
        <v>0</v>
      </c>
      <c r="T59" s="297"/>
      <c r="U59" s="328">
        <f>SUM(V59:W59)</f>
        <v>0</v>
      </c>
      <c r="V59" s="328">
        <f>'Phụ lục số II'!AJ43</f>
        <v>0</v>
      </c>
      <c r="W59" s="297"/>
      <c r="X59" s="328">
        <f>SUM(Y59:Z59)</f>
        <v>0</v>
      </c>
      <c r="Y59" s="328">
        <f>'Phụ lục số II'!AO43</f>
        <v>0</v>
      </c>
      <c r="Z59" s="360"/>
    </row>
    <row r="60" spans="1:26" ht="18" hidden="1">
      <c r="A60" s="1977" t="s">
        <v>101</v>
      </c>
      <c r="B60" s="1992" t="s">
        <v>105</v>
      </c>
      <c r="C60" s="1954">
        <f t="shared" si="164"/>
        <v>0</v>
      </c>
      <c r="D60" s="1954"/>
      <c r="E60" s="1954"/>
      <c r="F60" s="1955">
        <f>SUM(G60:H60)</f>
        <v>138559</v>
      </c>
      <c r="G60" s="1955">
        <f>'Phụ lục số II'!K44</f>
        <v>138559</v>
      </c>
      <c r="H60" s="1956">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360"/>
    </row>
    <row r="61" spans="1:26" ht="18">
      <c r="A61" s="1951" t="s">
        <v>182</v>
      </c>
      <c r="B61" s="1993" t="s">
        <v>181</v>
      </c>
      <c r="C61" s="1991">
        <f t="shared" si="164"/>
        <v>0</v>
      </c>
      <c r="D61" s="1954"/>
      <c r="E61" s="1954"/>
      <c r="F61" s="1949">
        <f>SUM(G61:H61)</f>
        <v>0</v>
      </c>
      <c r="G61" s="1955"/>
      <c r="H61" s="1956"/>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29">
        <f>'Phụ lục số II'!AE45</f>
        <v>0</v>
      </c>
      <c r="T61" s="297"/>
      <c r="U61" s="329">
        <f>SUM(V61:W61)</f>
        <v>0</v>
      </c>
      <c r="V61" s="329">
        <f>'Phụ lục số II'!AJ45</f>
        <v>0</v>
      </c>
      <c r="W61" s="297"/>
      <c r="X61" s="329">
        <f>SUM(Y61:Z61)</f>
        <v>0</v>
      </c>
      <c r="Y61" s="329">
        <f>'Phụ lục số II'!AO45</f>
        <v>0</v>
      </c>
      <c r="Z61" s="360"/>
    </row>
    <row r="62" spans="1:26" ht="17.399999999999999">
      <c r="A62" s="1951" t="s">
        <v>215</v>
      </c>
      <c r="B62" s="1952" t="s">
        <v>216</v>
      </c>
      <c r="C62" s="1954"/>
      <c r="D62" s="1954"/>
      <c r="E62" s="1954"/>
      <c r="F62" s="1949">
        <f>SUM(G62:H62)</f>
        <v>0</v>
      </c>
      <c r="G62" s="1949">
        <f>H18</f>
        <v>0</v>
      </c>
      <c r="H62" s="1950"/>
      <c r="I62" s="336">
        <f>SUM(J62:K62)</f>
        <v>0</v>
      </c>
      <c r="J62" s="337"/>
      <c r="K62" s="337"/>
      <c r="L62" s="309"/>
      <c r="M62" s="309"/>
      <c r="N62" s="309"/>
      <c r="O62" s="309"/>
      <c r="P62" s="309"/>
      <c r="Q62" s="309"/>
      <c r="R62" s="309"/>
      <c r="S62" s="309"/>
      <c r="T62" s="309"/>
      <c r="U62" s="309"/>
      <c r="V62" s="309"/>
      <c r="W62" s="309"/>
      <c r="X62" s="356"/>
      <c r="Y62" s="356"/>
      <c r="Z62" s="357"/>
    </row>
    <row r="63" spans="1:26" s="48" customFormat="1" ht="17.399999999999999">
      <c r="A63" s="1973" t="s">
        <v>44</v>
      </c>
      <c r="B63" s="1994" t="s">
        <v>217</v>
      </c>
      <c r="C63" s="1975">
        <f>SUM(D63:E63)</f>
        <v>8.4000000730156898E-2</v>
      </c>
      <c r="D63" s="1975">
        <f>D8-D32</f>
        <v>5083323.432</v>
      </c>
      <c r="E63" s="1975">
        <f>E8-E32</f>
        <v>-5083323.3479999993</v>
      </c>
      <c r="F63" s="1995">
        <f>G63+H63</f>
        <v>-0.16189207229763269</v>
      </c>
      <c r="G63" s="1995">
        <f>G8-G32-0.1</f>
        <v>5378965.2017461099</v>
      </c>
      <c r="H63" s="1996">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338">
        <f>S63+T63</f>
        <v>-616133.2373663839</v>
      </c>
      <c r="S63" s="338">
        <f>S8-S32</f>
        <v>6703144.6610754654</v>
      </c>
      <c r="T63" s="338">
        <f>T8-T32</f>
        <v>-7319277.8984418493</v>
      </c>
      <c r="U63" s="338">
        <f>V63+W63</f>
        <v>-284136.44699073769</v>
      </c>
      <c r="V63" s="338">
        <f>V8-V32</f>
        <v>6892051.3214874081</v>
      </c>
      <c r="W63" s="338">
        <f>W8-W32</f>
        <v>-7176187.7684781458</v>
      </c>
      <c r="X63" s="338">
        <f>Y63+Z63</f>
        <v>-288529.84032297414</v>
      </c>
      <c r="Y63" s="338">
        <f>Y8-Y32</f>
        <v>6898846.4742664658</v>
      </c>
      <c r="Z63" s="363">
        <f>Z8-Z32</f>
        <v>-7187376.3145894399</v>
      </c>
    </row>
    <row r="64" spans="1:26" ht="14.4" thickBot="1">
      <c r="A64" s="310"/>
      <c r="B64" s="311"/>
      <c r="C64" s="311"/>
      <c r="D64" s="311"/>
      <c r="E64" s="311"/>
      <c r="F64" s="312"/>
      <c r="G64" s="312"/>
      <c r="H64" s="312"/>
      <c r="I64" s="311"/>
      <c r="J64" s="311"/>
      <c r="K64" s="311"/>
      <c r="L64" s="311"/>
      <c r="M64" s="311"/>
      <c r="N64" s="311"/>
      <c r="O64" s="311"/>
      <c r="P64" s="311"/>
      <c r="Q64" s="311"/>
      <c r="R64" s="311"/>
      <c r="S64" s="311"/>
      <c r="T64" s="311"/>
      <c r="U64" s="311"/>
      <c r="V64" s="311"/>
      <c r="W64" s="311"/>
      <c r="X64" s="311"/>
      <c r="Y64" s="311"/>
      <c r="Z64" s="313"/>
    </row>
    <row r="65" spans="1:26" ht="14.4" thickTop="1"/>
    <row r="66" spans="1:26" hidden="1">
      <c r="G66" s="32"/>
    </row>
    <row r="67" spans="1:26" s="31" customFormat="1" hidden="1">
      <c r="B67" s="31" t="s">
        <v>734</v>
      </c>
    </row>
    <row r="68" spans="1:26" hidden="1"/>
    <row r="69" spans="1:26" hidden="1">
      <c r="A69" s="672"/>
      <c r="B69" s="672"/>
      <c r="C69" s="672"/>
      <c r="D69" s="672"/>
      <c r="E69" s="672"/>
      <c r="F69" s="672"/>
      <c r="G69" s="672"/>
      <c r="H69" s="672"/>
      <c r="I69" s="6090" t="s">
        <v>746</v>
      </c>
      <c r="J69" s="6090"/>
      <c r="K69" s="6090"/>
      <c r="L69" s="6087" t="s">
        <v>747</v>
      </c>
      <c r="M69" s="6088"/>
      <c r="N69" s="6089"/>
      <c r="O69" s="6087" t="s">
        <v>748</v>
      </c>
      <c r="P69" s="6088"/>
      <c r="Q69" s="6089"/>
      <c r="R69" s="6087" t="s">
        <v>749</v>
      </c>
      <c r="S69" s="6088"/>
      <c r="T69" s="6089"/>
      <c r="U69" s="6087" t="s">
        <v>750</v>
      </c>
      <c r="V69" s="6088"/>
      <c r="W69" s="6089"/>
      <c r="X69" s="6087" t="s">
        <v>751</v>
      </c>
      <c r="Y69" s="6088"/>
      <c r="Z69" s="6089"/>
    </row>
    <row r="70" spans="1:26" hidden="1">
      <c r="A70" s="671" t="s">
        <v>247</v>
      </c>
      <c r="B70" s="671" t="s">
        <v>735</v>
      </c>
      <c r="C70" s="672"/>
      <c r="D70" s="672"/>
      <c r="E70" s="672"/>
      <c r="F70" s="672"/>
      <c r="G70" s="672"/>
      <c r="H70" s="672"/>
      <c r="I70" s="678">
        <f>+I71+I77+I81+I82+I83+I84</f>
        <v>1186859.9558015796</v>
      </c>
      <c r="J70" s="678">
        <f>+J71+J77+J81+J82+J83+J84</f>
        <v>160869.24397248175</v>
      </c>
      <c r="K70" s="678">
        <f t="shared" ref="K70" si="174">+K71+K77+K81+K82+K83+K84</f>
        <v>1025990.7118290975</v>
      </c>
      <c r="L70" s="678">
        <f>+L71+L77+L81+L82+L83+L84</f>
        <v>150080.23856681105</v>
      </c>
      <c r="M70" s="678">
        <f>+M71+M77+M81+M82+M83+M84</f>
        <v>43583.68713753156</v>
      </c>
      <c r="N70" s="678">
        <f t="shared" ref="N70" si="175">+N71+N77+N81+N82+N83+N84</f>
        <v>106496.5514292795</v>
      </c>
      <c r="O70" s="678">
        <f>+O71+O77+O81+O82+O83+O84</f>
        <v>164080.48575687091</v>
      </c>
      <c r="P70" s="678">
        <f t="shared" ref="P70" si="176">+P71+P77+P81+P82+P83+P84</f>
        <v>117120.09687164251</v>
      </c>
      <c r="Q70" s="678">
        <f t="shared" ref="Q70" si="177">+Q71+Q77+Q81+Q82+Q83+Q84</f>
        <v>46960.3888852284</v>
      </c>
      <c r="R70" s="678">
        <f>+R71+R77+R81+R82+R83+R84</f>
        <v>3047535.3765878812</v>
      </c>
      <c r="S70" s="678">
        <f t="shared" ref="S70" si="178">+S71+S77+S81+S82+S83+S84</f>
        <v>1637311.8925931044</v>
      </c>
      <c r="T70" s="678">
        <f t="shared" ref="T70" si="179">+T71+T77+T81+T82+T83+T84</f>
        <v>1410223.4839947771</v>
      </c>
      <c r="U70" s="678">
        <f>+U71+U77+U81+U82+U83+U84</f>
        <v>1752039.3102417402</v>
      </c>
      <c r="V70" s="678">
        <f t="shared" ref="V70" si="180">+V71+V77+V81+V82+V83+V84</f>
        <v>890425.59727036522</v>
      </c>
      <c r="W70" s="678">
        <f t="shared" ref="W70" si="181">+W71+W77+W81+W82+W83+W84</f>
        <v>861613.71297137521</v>
      </c>
      <c r="X70" s="678">
        <f>+X71+X77+X81+X82+X83+X84</f>
        <v>1643101.0123774426</v>
      </c>
      <c r="Y70" s="678">
        <f t="shared" ref="Y70" si="182">+Y71+Y77+Y81+Y82+Y83+Y84</f>
        <v>746373.40460812242</v>
      </c>
      <c r="Z70" s="678">
        <f t="shared" ref="Z70" si="183">+Z71+Z77+Z81+Z82+Z83+Z84</f>
        <v>896727.60776932025</v>
      </c>
    </row>
    <row r="71" spans="1:26" ht="17.399999999999999" hidden="1">
      <c r="A71" s="33" t="s">
        <v>3</v>
      </c>
      <c r="B71" s="673" t="s">
        <v>736</v>
      </c>
      <c r="C71" s="674"/>
      <c r="D71" s="674"/>
      <c r="E71" s="674"/>
      <c r="F71" s="674"/>
      <c r="G71" s="674"/>
      <c r="H71" s="674"/>
      <c r="I71" s="676">
        <f>SUM(I72:I76)</f>
        <v>-380445.20753999997</v>
      </c>
      <c r="J71" s="676">
        <f t="shared" ref="J71:K71" si="184">SUM(J72:J76)</f>
        <v>-497445.20753999997</v>
      </c>
      <c r="K71" s="676">
        <f t="shared" si="184"/>
        <v>117000</v>
      </c>
      <c r="L71" s="676">
        <f>SUM(L72:L76)</f>
        <v>-58584.492109296029</v>
      </c>
      <c r="M71" s="676">
        <f t="shared" ref="M71" si="185">SUM(M72:M76)</f>
        <v>31415.507890703971</v>
      </c>
      <c r="N71" s="676">
        <f t="shared" ref="N71" si="186">SUM(N72:N76)</f>
        <v>-90000</v>
      </c>
      <c r="O71" s="676">
        <f>SUM(O72:O76)</f>
        <v>-68848.133043987327</v>
      </c>
      <c r="P71" s="676">
        <f t="shared" ref="P71" si="187">SUM(P72:P76)</f>
        <v>13656.961680301349</v>
      </c>
      <c r="Q71" s="676">
        <f t="shared" ref="Q71" si="188">SUM(Q72:Q76)</f>
        <v>-82505.094724288676</v>
      </c>
      <c r="R71" s="676">
        <f>SUM(R72:R76)</f>
        <v>1220079.445796323</v>
      </c>
      <c r="S71" s="676">
        <f t="shared" ref="S71" si="189">SUM(S72:S76)</f>
        <v>957744.55679849465</v>
      </c>
      <c r="T71" s="676">
        <f t="shared" ref="T71" si="190">SUM(T72:T76)</f>
        <v>262334.88899782824</v>
      </c>
      <c r="U71" s="676">
        <f>SUM(U72:U76)</f>
        <v>432339.74820876529</v>
      </c>
      <c r="V71" s="676">
        <f t="shared" ref="V71" si="191">SUM(V72:V76)</f>
        <v>293685.68598088564</v>
      </c>
      <c r="W71" s="676">
        <f t="shared" ref="W71" si="192">SUM(W72:W76)</f>
        <v>138654.06222787965</v>
      </c>
      <c r="X71" s="676">
        <f>SUM(X72:X76)</f>
        <v>467871.69831924641</v>
      </c>
      <c r="Y71" s="676">
        <f t="shared" ref="Y71" si="193">SUM(Y72:Y76)</f>
        <v>248992.17287746933</v>
      </c>
      <c r="Z71" s="676">
        <f t="shared" ref="Z71" si="194">SUM(Z72:Z76)</f>
        <v>218879.52544177708</v>
      </c>
    </row>
    <row r="72" spans="1:26"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f>SUM(S72:T72)</f>
        <v>140079.44579632289</v>
      </c>
      <c r="S72" s="41">
        <f>+S35-P35</f>
        <v>57744.556798494654</v>
      </c>
      <c r="T72" s="41">
        <f>+T35-Q35</f>
        <v>82334.888997828239</v>
      </c>
      <c r="U72" s="41">
        <f>SUM(V72:W72)</f>
        <v>142339.74820876529</v>
      </c>
      <c r="V72" s="41">
        <f>+V35-S35</f>
        <v>93685.685980885639</v>
      </c>
      <c r="W72" s="41">
        <f>+W35-T35</f>
        <v>48654.062227879651</v>
      </c>
      <c r="X72" s="41">
        <f>SUM(Y72:Z72)</f>
        <v>132871.69831924641</v>
      </c>
      <c r="Y72" s="41">
        <f>+Y35-V35</f>
        <v>48992.172877469333</v>
      </c>
      <c r="Z72" s="41">
        <f>+Z35-W35</f>
        <v>83879.525441777078</v>
      </c>
    </row>
    <row r="73" spans="1:26" ht="18" hidden="1">
      <c r="A73" s="34"/>
      <c r="B73" s="669" t="str">
        <f t="shared" ref="B73:B76" si="195">+B36</f>
        <v>Chi đầu tư từ nguồn thu tiền sử dụng đất</v>
      </c>
      <c r="C73" s="35"/>
      <c r="D73" s="35"/>
      <c r="E73" s="35"/>
      <c r="F73" s="35"/>
      <c r="G73" s="35"/>
      <c r="H73" s="35"/>
      <c r="I73" s="41">
        <f t="shared" ref="I73:I76" si="196">SUM(J73:K73)</f>
        <v>-110000</v>
      </c>
      <c r="J73" s="41">
        <f t="shared" ref="J73:K73" si="197">+J36-D36</f>
        <v>-227000</v>
      </c>
      <c r="K73" s="41">
        <f t="shared" si="197"/>
        <v>117000</v>
      </c>
      <c r="L73" s="41">
        <f t="shared" ref="L73:L76" si="198">SUM(M73:N73)</f>
        <v>-90000</v>
      </c>
      <c r="M73" s="41">
        <f t="shared" ref="M73:N73" si="199">+M36-J36</f>
        <v>0</v>
      </c>
      <c r="N73" s="41">
        <f t="shared" si="199"/>
        <v>-90000</v>
      </c>
      <c r="O73" s="41">
        <f t="shared" ref="O73:O76" si="200">SUM(P73:Q73)</f>
        <v>-90000</v>
      </c>
      <c r="P73" s="41">
        <f t="shared" ref="P73:Q73" si="201">+P36-M36</f>
        <v>0</v>
      </c>
      <c r="Q73" s="41">
        <f t="shared" si="201"/>
        <v>-90000</v>
      </c>
      <c r="R73" s="41">
        <f t="shared" ref="R73:R76" si="202">SUM(S73:T73)</f>
        <v>180000</v>
      </c>
      <c r="S73" s="41">
        <f t="shared" ref="S73:T76" si="203">+S36-P36</f>
        <v>0</v>
      </c>
      <c r="T73" s="41">
        <f t="shared" si="203"/>
        <v>180000</v>
      </c>
      <c r="U73" s="41">
        <f t="shared" ref="U73:U76" si="204">SUM(V73:W73)</f>
        <v>140000</v>
      </c>
      <c r="V73" s="41">
        <f t="shared" ref="V73:W73" si="205">+V36-S36</f>
        <v>50000</v>
      </c>
      <c r="W73" s="41">
        <f t="shared" si="205"/>
        <v>90000</v>
      </c>
      <c r="X73" s="41">
        <f t="shared" ref="X73:X76" si="206">SUM(Y73:Z73)</f>
        <v>135000</v>
      </c>
      <c r="Y73" s="41">
        <f t="shared" ref="Y73:Z73" si="207">+Y36-V36</f>
        <v>0</v>
      </c>
      <c r="Z73" s="41">
        <f t="shared" si="207"/>
        <v>135000</v>
      </c>
    </row>
    <row r="74" spans="1:26" ht="18" hidden="1">
      <c r="A74" s="34"/>
      <c r="B74" s="669" t="str">
        <f t="shared" si="195"/>
        <v>Chi đầu tư từ nguồn thu xổ số kiến thiết</v>
      </c>
      <c r="C74" s="35"/>
      <c r="D74" s="35"/>
      <c r="E74" s="35"/>
      <c r="F74" s="35"/>
      <c r="G74" s="35"/>
      <c r="H74" s="35"/>
      <c r="I74" s="41">
        <f t="shared" si="196"/>
        <v>-100000</v>
      </c>
      <c r="J74" s="41">
        <f t="shared" ref="J74:K74" si="208">+J37-D37</f>
        <v>-100000</v>
      </c>
      <c r="K74" s="41">
        <f t="shared" si="208"/>
        <v>0</v>
      </c>
      <c r="L74" s="41">
        <f t="shared" si="198"/>
        <v>0</v>
      </c>
      <c r="M74" s="41">
        <f t="shared" ref="M74:N74" si="209">+M37-J37</f>
        <v>0</v>
      </c>
      <c r="N74" s="41">
        <f t="shared" si="209"/>
        <v>0</v>
      </c>
      <c r="O74" s="41">
        <f t="shared" si="200"/>
        <v>0</v>
      </c>
      <c r="P74" s="41">
        <f t="shared" ref="P74:Q74" si="210">+P37-M37</f>
        <v>0</v>
      </c>
      <c r="Q74" s="41">
        <f t="shared" si="210"/>
        <v>0</v>
      </c>
      <c r="R74" s="41">
        <f t="shared" si="202"/>
        <v>150000</v>
      </c>
      <c r="S74" s="41">
        <f t="shared" si="203"/>
        <v>150000</v>
      </c>
      <c r="T74" s="41">
        <f t="shared" si="203"/>
        <v>0</v>
      </c>
      <c r="U74" s="41">
        <f t="shared" si="204"/>
        <v>100000</v>
      </c>
      <c r="V74" s="41">
        <f t="shared" ref="V74:W74" si="211">+V37-S37</f>
        <v>100000</v>
      </c>
      <c r="W74" s="41">
        <f t="shared" si="211"/>
        <v>0</v>
      </c>
      <c r="X74" s="41">
        <f t="shared" si="206"/>
        <v>100000</v>
      </c>
      <c r="Y74" s="41">
        <f t="shared" ref="Y74:Z74" si="212">+Y37-V37</f>
        <v>100000</v>
      </c>
      <c r="Z74" s="41">
        <f t="shared" si="212"/>
        <v>0</v>
      </c>
    </row>
    <row r="75" spans="1:26" ht="18" hidden="1">
      <c r="A75" s="34"/>
      <c r="B75" s="669" t="str">
        <f t="shared" si="195"/>
        <v>Chi đầu tư từ nguồn thu thoái vốn doanh nghiệp nhà nước địa phương quản lý;…</v>
      </c>
      <c r="C75" s="35"/>
      <c r="D75" s="35"/>
      <c r="E75" s="35"/>
      <c r="F75" s="35"/>
      <c r="G75" s="35"/>
      <c r="H75" s="35"/>
      <c r="I75" s="41">
        <f t="shared" si="196"/>
        <v>-408054.16200000001</v>
      </c>
      <c r="J75" s="41">
        <f t="shared" ref="J75:K75" si="213">+J38-D38</f>
        <v>-408054.16200000001</v>
      </c>
      <c r="K75" s="41">
        <f t="shared" si="213"/>
        <v>0</v>
      </c>
      <c r="L75" s="41">
        <f t="shared" si="198"/>
        <v>0</v>
      </c>
      <c r="M75" s="41">
        <f t="shared" ref="M75:N75" si="214">+M38-J38</f>
        <v>0</v>
      </c>
      <c r="N75" s="41">
        <f t="shared" si="214"/>
        <v>0</v>
      </c>
      <c r="O75" s="41">
        <f t="shared" si="200"/>
        <v>0</v>
      </c>
      <c r="P75" s="41">
        <f t="shared" ref="P75:Q75" si="215">+P38-M38</f>
        <v>0</v>
      </c>
      <c r="Q75" s="41">
        <f t="shared" si="215"/>
        <v>0</v>
      </c>
      <c r="R75" s="41">
        <f t="shared" si="202"/>
        <v>0</v>
      </c>
      <c r="S75" s="41">
        <f t="shared" si="203"/>
        <v>0</v>
      </c>
      <c r="T75" s="41">
        <f t="shared" si="203"/>
        <v>0</v>
      </c>
      <c r="U75" s="41">
        <f t="shared" si="204"/>
        <v>0</v>
      </c>
      <c r="V75" s="41">
        <f t="shared" ref="V75:W75" si="216">+V38-S38</f>
        <v>0</v>
      </c>
      <c r="W75" s="41">
        <f t="shared" si="216"/>
        <v>0</v>
      </c>
      <c r="X75" s="41">
        <f t="shared" si="206"/>
        <v>0</v>
      </c>
      <c r="Y75" s="41">
        <f t="shared" ref="Y75:Z75" si="217">+Y38-V38</f>
        <v>0</v>
      </c>
      <c r="Z75" s="41">
        <f t="shared" si="217"/>
        <v>0</v>
      </c>
    </row>
    <row r="76" spans="1:26" ht="18" hidden="1">
      <c r="A76" s="34"/>
      <c r="B76" s="669" t="str">
        <f t="shared" si="195"/>
        <v>Chi đầu tư phát triển khác (Ủy thác qua NH Chính sách xã hội chi nhánh tỉnh Đồng Tháp)</v>
      </c>
      <c r="C76" s="35"/>
      <c r="D76" s="35"/>
      <c r="E76" s="35"/>
      <c r="F76" s="35"/>
      <c r="G76" s="35"/>
      <c r="H76" s="35"/>
      <c r="I76" s="41">
        <f t="shared" si="196"/>
        <v>210000</v>
      </c>
      <c r="J76" s="41">
        <f>+J39-D39</f>
        <v>210000</v>
      </c>
      <c r="K76" s="41">
        <f t="shared" ref="K76" si="218">+K39-E39</f>
        <v>0</v>
      </c>
      <c r="L76" s="41">
        <f t="shared" si="198"/>
        <v>30000</v>
      </c>
      <c r="M76" s="41">
        <f t="shared" ref="M76:N76" si="219">+M39-J39</f>
        <v>30000</v>
      </c>
      <c r="N76" s="41">
        <f t="shared" si="219"/>
        <v>0</v>
      </c>
      <c r="O76" s="41">
        <f t="shared" si="200"/>
        <v>0</v>
      </c>
      <c r="P76" s="41">
        <f t="shared" ref="P76:Q76" si="220">+P39-M39</f>
        <v>0</v>
      </c>
      <c r="Q76" s="41">
        <f t="shared" si="220"/>
        <v>0</v>
      </c>
      <c r="R76" s="41">
        <f t="shared" si="202"/>
        <v>750000</v>
      </c>
      <c r="S76" s="41">
        <f t="shared" si="203"/>
        <v>750000</v>
      </c>
      <c r="T76" s="41">
        <f t="shared" si="203"/>
        <v>0</v>
      </c>
      <c r="U76" s="41">
        <f t="shared" si="204"/>
        <v>50000</v>
      </c>
      <c r="V76" s="41">
        <f t="shared" ref="V76:W76" si="221">+V39-S39</f>
        <v>50000</v>
      </c>
      <c r="W76" s="41">
        <f t="shared" si="221"/>
        <v>0</v>
      </c>
      <c r="X76" s="41">
        <f t="shared" si="206"/>
        <v>100000</v>
      </c>
      <c r="Y76" s="41">
        <f t="shared" ref="Y76:Z76" si="222">+Y39-V39</f>
        <v>100000</v>
      </c>
      <c r="Z76" s="41">
        <f t="shared" si="222"/>
        <v>0</v>
      </c>
    </row>
    <row r="77" spans="1:26" ht="17.399999999999999" hidden="1">
      <c r="A77" s="34" t="s">
        <v>33</v>
      </c>
      <c r="B77" s="668" t="s">
        <v>737</v>
      </c>
      <c r="C77" s="35"/>
      <c r="D77" s="35"/>
      <c r="E77" s="35"/>
      <c r="F77" s="35"/>
      <c r="G77" s="35"/>
      <c r="H77" s="35"/>
      <c r="I77" s="38">
        <f>SUM(I78:I80)</f>
        <v>2258478.7965586707</v>
      </c>
      <c r="J77" s="38">
        <f t="shared" ref="J77:K77" si="223">SUM(J78:J80)</f>
        <v>705959.94840000174</v>
      </c>
      <c r="K77" s="38">
        <f t="shared" si="223"/>
        <v>1552518.8481586687</v>
      </c>
      <c r="L77" s="38">
        <f>SUM(L78:L80)</f>
        <v>206384.17809915089</v>
      </c>
      <c r="M77" s="38">
        <f t="shared" ref="M77" si="224">SUM(M78:M80)</f>
        <v>11727.159876157653</v>
      </c>
      <c r="N77" s="38">
        <f t="shared" ref="N77" si="225">SUM(N78:N80)</f>
        <v>194657.01822299324</v>
      </c>
      <c r="O77" s="38">
        <f>SUM(O78:O80)</f>
        <v>226452.5501692722</v>
      </c>
      <c r="P77" s="38">
        <f t="shared" ref="P77" si="226">SUM(P78:P80)</f>
        <v>99208.136201180372</v>
      </c>
      <c r="Q77" s="38">
        <f t="shared" ref="Q77" si="227">SUM(Q78:Q80)</f>
        <v>127244.41396809183</v>
      </c>
      <c r="R77" s="38">
        <f>SUM(R78:R80)</f>
        <v>712994.7042555064</v>
      </c>
      <c r="S77" s="38">
        <f t="shared" ref="S77" si="228">SUM(S78:S80)</f>
        <v>165611.25936836749</v>
      </c>
      <c r="T77" s="38">
        <f t="shared" ref="T77" si="229">SUM(T78:T80)</f>
        <v>547383.4448871389</v>
      </c>
      <c r="U77" s="38">
        <f>SUM(U78:U80)</f>
        <v>811156.78561996785</v>
      </c>
      <c r="V77" s="38">
        <f t="shared" ref="V77" si="230">SUM(V78:V80)</f>
        <v>272883.45936685358</v>
      </c>
      <c r="W77" s="38">
        <f t="shared" ref="W77" si="231">SUM(W78:W80)</f>
        <v>538273.32625311427</v>
      </c>
      <c r="X77" s="38">
        <f>SUM(X78:X80)</f>
        <v>692125.95332891797</v>
      </c>
      <c r="Y77" s="38">
        <f t="shared" ref="Y77" si="232">SUM(Y78:Y80)</f>
        <v>259255.48565930806</v>
      </c>
      <c r="Z77" s="38">
        <f t="shared" ref="Z77" si="233">SUM(Z78:Z80)</f>
        <v>432870.46766960993</v>
      </c>
    </row>
    <row r="78" spans="1:26" ht="18" hidden="1">
      <c r="A78" s="34"/>
      <c r="B78" s="669" t="s">
        <v>738</v>
      </c>
      <c r="C78" s="35"/>
      <c r="D78" s="35"/>
      <c r="E78" s="35"/>
      <c r="F78" s="35"/>
      <c r="G78" s="35"/>
      <c r="H78" s="35"/>
      <c r="I78" s="41">
        <f>SUM(J78:K78)</f>
        <v>1271888.2648646077</v>
      </c>
      <c r="J78" s="41">
        <f t="shared" ref="J78:K80" si="234">+J42-D42</f>
        <v>243594.35835999995</v>
      </c>
      <c r="K78" s="41">
        <f t="shared" si="23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f>SUM(S78:T78)</f>
        <v>353991.72820307338</v>
      </c>
      <c r="S78" s="41">
        <f>+S42-P42</f>
        <v>56111.305100886384</v>
      </c>
      <c r="T78" s="41">
        <f>+T42-Q42</f>
        <v>297880.42310218699</v>
      </c>
      <c r="U78" s="41">
        <f>SUM(V78:W78)</f>
        <v>331689.48197820247</v>
      </c>
      <c r="V78" s="41">
        <f>+V42-S42</f>
        <v>76006.99026669492</v>
      </c>
      <c r="W78" s="41">
        <f>+W42-T42</f>
        <v>255682.49171150755</v>
      </c>
      <c r="X78" s="41">
        <f>SUM(Y78:Z78)</f>
        <v>258074.15301399329</v>
      </c>
      <c r="Y78" s="41">
        <f>+Y42-V42</f>
        <v>54229.261847931193</v>
      </c>
      <c r="Z78" s="41">
        <f>+Z42-W42</f>
        <v>203844.89116606209</v>
      </c>
    </row>
    <row r="79" spans="1:26" ht="18" hidden="1">
      <c r="A79" s="34"/>
      <c r="B79" s="669" t="s">
        <v>739</v>
      </c>
      <c r="C79" s="35"/>
      <c r="D79" s="35"/>
      <c r="E79" s="35"/>
      <c r="F79" s="35"/>
      <c r="G79" s="35"/>
      <c r="H79" s="35"/>
      <c r="I79" s="41">
        <f t="shared" ref="I79:I80" si="235">SUM(J79:K79)</f>
        <v>2079.1159800000023</v>
      </c>
      <c r="J79" s="41">
        <f t="shared" si="234"/>
        <v>2079.1159800000023</v>
      </c>
      <c r="K79" s="41">
        <f t="shared" si="234"/>
        <v>0</v>
      </c>
      <c r="L79" s="41">
        <f t="shared" ref="L79:L80" si="236">SUM(M79:N79)</f>
        <v>79.913078352001321</v>
      </c>
      <c r="M79" s="41">
        <f t="shared" ref="M79:N79" si="237">+M43-J43</f>
        <v>79.913078352001321</v>
      </c>
      <c r="N79" s="41">
        <f t="shared" si="237"/>
        <v>0</v>
      </c>
      <c r="O79" s="41">
        <f t="shared" ref="O79:O80" si="238">SUM(P79:Q79)</f>
        <v>771.00937124793563</v>
      </c>
      <c r="P79" s="41">
        <f t="shared" ref="P79:Q79" si="239">+P43-M43</f>
        <v>771.00937124793563</v>
      </c>
      <c r="Q79" s="41">
        <f t="shared" si="239"/>
        <v>0</v>
      </c>
      <c r="R79" s="41">
        <f t="shared" ref="R79:R80" si="240">SUM(S79:T79)</f>
        <v>1001.7762296290457</v>
      </c>
      <c r="S79" s="41">
        <f t="shared" ref="S79:T80" si="241">+S43-P43</f>
        <v>1001.7762296290457</v>
      </c>
      <c r="T79" s="41">
        <f t="shared" si="241"/>
        <v>0</v>
      </c>
      <c r="U79" s="41">
        <f t="shared" ref="U79:U80" si="242">SUM(V79:W79)</f>
        <v>1256.4630528753696</v>
      </c>
      <c r="V79" s="41">
        <f t="shared" ref="V79:W80" si="243">+V43-S43</f>
        <v>1256.4630528753696</v>
      </c>
      <c r="W79" s="41">
        <f t="shared" si="243"/>
        <v>0</v>
      </c>
      <c r="X79" s="41">
        <f t="shared" ref="X79:X80" si="244">SUM(Y79:Z79)</f>
        <v>914.23569115253486</v>
      </c>
      <c r="Y79" s="41">
        <f t="shared" ref="Y79:Z80" si="245">+Y43-V43</f>
        <v>914.23569115253486</v>
      </c>
      <c r="Z79" s="41">
        <f t="shared" si="245"/>
        <v>0</v>
      </c>
    </row>
    <row r="80" spans="1:26" ht="18" hidden="1">
      <c r="A80" s="34"/>
      <c r="B80" s="669" t="s">
        <v>740</v>
      </c>
      <c r="C80" s="35"/>
      <c r="D80" s="35"/>
      <c r="E80" s="35"/>
      <c r="F80" s="35"/>
      <c r="G80" s="35"/>
      <c r="H80" s="35"/>
      <c r="I80" s="41">
        <f t="shared" si="235"/>
        <v>984511.41571406275</v>
      </c>
      <c r="J80" s="41">
        <f t="shared" si="234"/>
        <v>460286.47406000178</v>
      </c>
      <c r="K80" s="41">
        <f t="shared" si="234"/>
        <v>524224.94165406097</v>
      </c>
      <c r="L80" s="41">
        <f t="shared" si="236"/>
        <v>150832.32831214415</v>
      </c>
      <c r="M80" s="41">
        <f t="shared" ref="M80:N80" si="246">+M44-J44</f>
        <v>8766.5979377417825</v>
      </c>
      <c r="N80" s="41">
        <f t="shared" si="246"/>
        <v>142065.73037440237</v>
      </c>
      <c r="O80" s="41">
        <f t="shared" si="238"/>
        <v>134392.95332106575</v>
      </c>
      <c r="P80" s="41">
        <f t="shared" ref="P80:Q80" si="247">+P44-M44</f>
        <v>70644.338563148864</v>
      </c>
      <c r="Q80" s="41">
        <f t="shared" si="247"/>
        <v>63748.61475791689</v>
      </c>
      <c r="R80" s="41">
        <f t="shared" si="240"/>
        <v>358001.19982280396</v>
      </c>
      <c r="S80" s="41">
        <f t="shared" si="241"/>
        <v>108498.17803785205</v>
      </c>
      <c r="T80" s="41">
        <f t="shared" si="241"/>
        <v>249503.02178495191</v>
      </c>
      <c r="U80" s="41">
        <f t="shared" si="242"/>
        <v>478210.84058889002</v>
      </c>
      <c r="V80" s="41">
        <f t="shared" si="243"/>
        <v>195620.0060472833</v>
      </c>
      <c r="W80" s="41">
        <f t="shared" si="243"/>
        <v>282590.83454160672</v>
      </c>
      <c r="X80" s="41">
        <f t="shared" si="244"/>
        <v>433137.56462377217</v>
      </c>
      <c r="Y80" s="41">
        <f t="shared" si="245"/>
        <v>204111.98812022433</v>
      </c>
      <c r="Z80" s="41">
        <f t="shared" si="245"/>
        <v>229025.57650354784</v>
      </c>
    </row>
    <row r="81" spans="1:26"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f>SUM(S81:T81)</f>
        <v>1088757.7498882432</v>
      </c>
      <c r="S81" s="38">
        <f>+S46-P46</f>
        <v>508427.53552337422</v>
      </c>
      <c r="T81" s="38">
        <f>+T46-Q46</f>
        <v>580330.21436486894</v>
      </c>
      <c r="U81" s="38">
        <f>SUM(V81:W81)</f>
        <v>483297.67536457302</v>
      </c>
      <c r="V81" s="38">
        <f>+V46-S46</f>
        <v>306922.36107946839</v>
      </c>
      <c r="W81" s="38">
        <f>+W46-T46</f>
        <v>176375.31428510463</v>
      </c>
      <c r="X81" s="38">
        <f>SUM(Y81:Z81)</f>
        <v>441073.17184031592</v>
      </c>
      <c r="Y81" s="38">
        <f>+Y46-V46</f>
        <v>212829.19815385563</v>
      </c>
      <c r="Z81" s="38">
        <f>+Z46-W46</f>
        <v>228243.97368646029</v>
      </c>
    </row>
    <row r="82" spans="1:26"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48">+M48-J48</f>
        <v>0</v>
      </c>
      <c r="N82" s="38">
        <f t="shared" si="248"/>
        <v>0</v>
      </c>
      <c r="O82" s="38">
        <f>SUM(P82:Q82)</f>
        <v>0</v>
      </c>
      <c r="P82" s="38">
        <f t="shared" ref="P82:Q84" si="249">+P48-M48</f>
        <v>0</v>
      </c>
      <c r="Q82" s="38">
        <f t="shared" si="249"/>
        <v>0</v>
      </c>
      <c r="R82" s="38">
        <f>SUM(S82:T82)</f>
        <v>0</v>
      </c>
      <c r="S82" s="38">
        <f t="shared" ref="S82:T84" si="250">+S48-P48</f>
        <v>0</v>
      </c>
      <c r="T82" s="38">
        <f t="shared" si="250"/>
        <v>0</v>
      </c>
      <c r="U82" s="38">
        <f>SUM(V82:W82)</f>
        <v>0</v>
      </c>
      <c r="V82" s="38">
        <f t="shared" ref="V82:W84" si="251">+V48-S48</f>
        <v>0</v>
      </c>
      <c r="W82" s="38">
        <f t="shared" si="251"/>
        <v>0</v>
      </c>
      <c r="X82" s="38">
        <f>SUM(Y82:Z82)</f>
        <v>0</v>
      </c>
      <c r="Y82" s="38">
        <f t="shared" ref="Y82:Z84" si="252">+Y48-V48</f>
        <v>0</v>
      </c>
      <c r="Z82" s="38">
        <f t="shared" si="252"/>
        <v>0</v>
      </c>
    </row>
    <row r="83" spans="1:26"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48"/>
        <v>441.0193706699356</v>
      </c>
      <c r="N83" s="38">
        <f t="shared" si="248"/>
        <v>1839.5332062862581</v>
      </c>
      <c r="O83" s="38">
        <f>SUM(P83:Q83)</f>
        <v>6476.0686315860366</v>
      </c>
      <c r="P83" s="38">
        <f t="shared" si="249"/>
        <v>4254.9989901607914</v>
      </c>
      <c r="Q83" s="38">
        <f t="shared" si="249"/>
        <v>2221.0696414252452</v>
      </c>
      <c r="R83" s="38">
        <f>SUM(S83:T83)</f>
        <v>25703.476647808857</v>
      </c>
      <c r="S83" s="38">
        <f t="shared" si="250"/>
        <v>5528.5409028678841</v>
      </c>
      <c r="T83" s="38">
        <f t="shared" si="250"/>
        <v>20174.935744940973</v>
      </c>
      <c r="U83" s="38">
        <f>SUM(V83:W83)</f>
        <v>25245.10104843427</v>
      </c>
      <c r="V83" s="38">
        <f t="shared" si="251"/>
        <v>16934.09084315761</v>
      </c>
      <c r="W83" s="38">
        <f t="shared" si="251"/>
        <v>8311.0102052766597</v>
      </c>
      <c r="X83" s="38">
        <f>SUM(Y83:Z83)</f>
        <v>42030.18888896241</v>
      </c>
      <c r="Y83" s="38">
        <f t="shared" si="252"/>
        <v>25296.547917489399</v>
      </c>
      <c r="Z83" s="38">
        <f t="shared" si="252"/>
        <v>16733.640971473011</v>
      </c>
    </row>
    <row r="84" spans="1:26"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48"/>
        <v>0</v>
      </c>
      <c r="N84" s="677">
        <f t="shared" si="248"/>
        <v>0</v>
      </c>
      <c r="O84" s="677">
        <f>SUM(P84:Q84)</f>
        <v>0</v>
      </c>
      <c r="P84" s="677">
        <f t="shared" si="249"/>
        <v>0</v>
      </c>
      <c r="Q84" s="677">
        <f t="shared" si="249"/>
        <v>0</v>
      </c>
      <c r="R84" s="677">
        <f>SUM(S84:T84)</f>
        <v>0</v>
      </c>
      <c r="S84" s="677">
        <f t="shared" si="250"/>
        <v>0</v>
      </c>
      <c r="T84" s="677">
        <f t="shared" si="250"/>
        <v>0</v>
      </c>
      <c r="U84" s="677">
        <f>SUM(V84:W84)</f>
        <v>0</v>
      </c>
      <c r="V84" s="677">
        <f t="shared" si="251"/>
        <v>0</v>
      </c>
      <c r="W84" s="677">
        <f t="shared" si="251"/>
        <v>0</v>
      </c>
      <c r="X84" s="677">
        <f>SUM(Y84:Z84)</f>
        <v>0</v>
      </c>
      <c r="Y84" s="677">
        <f t="shared" si="252"/>
        <v>0</v>
      </c>
      <c r="Z84" s="677">
        <f t="shared" si="252"/>
        <v>0</v>
      </c>
    </row>
    <row r="85" spans="1:26" hidden="1"/>
    <row r="86" spans="1:26">
      <c r="J86" s="32"/>
    </row>
    <row r="90" spans="1:26">
      <c r="B90" s="30" t="s">
        <v>117</v>
      </c>
    </row>
  </sheetData>
  <mergeCells count="19">
    <mergeCell ref="O6:Q6"/>
    <mergeCell ref="R6:T6"/>
    <mergeCell ref="U6:W6"/>
    <mergeCell ref="X6:Z6"/>
    <mergeCell ref="A1:K1"/>
    <mergeCell ref="A2:K2"/>
    <mergeCell ref="A3:K3"/>
    <mergeCell ref="A6:A7"/>
    <mergeCell ref="B6:B7"/>
    <mergeCell ref="C6:E6"/>
    <mergeCell ref="F6:H6"/>
    <mergeCell ref="I6:K6"/>
    <mergeCell ref="L6:N6"/>
    <mergeCell ref="X69:Z69"/>
    <mergeCell ref="I69:K69"/>
    <mergeCell ref="L69:N69"/>
    <mergeCell ref="O69:Q69"/>
    <mergeCell ref="R69:T69"/>
    <mergeCell ref="U69:W69"/>
  </mergeCells>
  <conditionalFormatting sqref="B71:B84">
    <cfRule type="expression" dxfId="4"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6"/>
  <sheetViews>
    <sheetView workbookViewId="0">
      <selection activeCell="A6" sqref="A6"/>
    </sheetView>
  </sheetViews>
  <sheetFormatPr defaultRowHeight="14.4"/>
  <sheetData>
    <row r="6" spans="1:1" ht="15.6">
      <c r="A6" s="4437" t="s">
        <v>247</v>
      </c>
    </row>
  </sheetData>
  <hyperlinks>
    <hyperlink ref="A6" location="'Danh mục file'!A1" display="ST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tabSelected="1" topLeftCell="A4" workbookViewId="0">
      <selection activeCell="A5" sqref="A5:C5"/>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74" t="s">
        <v>1658</v>
      </c>
      <c r="B1" s="6574"/>
      <c r="C1" s="6574"/>
    </row>
    <row r="2" spans="1:7" s="386" customFormat="1" ht="17.399999999999999" hidden="1">
      <c r="A2" s="6574" t="s">
        <v>1673</v>
      </c>
      <c r="B2" s="6574"/>
      <c r="C2" s="6574"/>
    </row>
    <row r="3" spans="1:7" s="386" customFormat="1" ht="17.399999999999999" hidden="1">
      <c r="C3" s="641"/>
    </row>
    <row r="4" spans="1:7">
      <c r="A4" s="6290" t="s">
        <v>3186</v>
      </c>
      <c r="B4" s="6080"/>
      <c r="C4" s="6080"/>
    </row>
    <row r="5" spans="1:7">
      <c r="A5" s="6522" t="s">
        <v>3286</v>
      </c>
      <c r="B5" s="6258"/>
      <c r="C5" s="6258"/>
    </row>
    <row r="6" spans="1:7" ht="18.600000000000001" thickBot="1">
      <c r="A6" s="317"/>
      <c r="B6" s="6506" t="s">
        <v>638</v>
      </c>
      <c r="C6" s="6506"/>
    </row>
    <row r="7" spans="1:7" s="431" customFormat="1" ht="35.4" thickTop="1">
      <c r="A7" s="5254" t="s">
        <v>1660</v>
      </c>
      <c r="B7" s="2620" t="s">
        <v>137</v>
      </c>
      <c r="C7" s="2621" t="s">
        <v>1455</v>
      </c>
    </row>
    <row r="8" spans="1:7" s="588" customFormat="1" ht="17.399999999999999">
      <c r="A8" s="2622" t="s">
        <v>1</v>
      </c>
      <c r="B8" s="2623" t="s">
        <v>1661</v>
      </c>
      <c r="C8" s="2624">
        <f>SUM(C9,C13,C14)</f>
        <v>10100553.796</v>
      </c>
    </row>
    <row r="9" spans="1:7" s="386" customFormat="1" ht="17.399999999999999">
      <c r="A9" s="611" t="s">
        <v>3</v>
      </c>
      <c r="B9" s="330" t="s">
        <v>4</v>
      </c>
      <c r="C9" s="1657">
        <f>+'Phụ lục số 1'!Q11</f>
        <v>9595000</v>
      </c>
    </row>
    <row r="10" spans="1:7">
      <c r="A10" s="603"/>
      <c r="B10" s="297" t="s">
        <v>234</v>
      </c>
      <c r="C10" s="1656"/>
    </row>
    <row r="11" spans="1:7" s="873" customFormat="1">
      <c r="A11" s="614" t="s">
        <v>29</v>
      </c>
      <c r="B11" s="2625" t="s">
        <v>242</v>
      </c>
      <c r="C11" s="2626">
        <f>+'Phụ lục số 1'!Q42</f>
        <v>1600000</v>
      </c>
    </row>
    <row r="12" spans="1:7" s="873" customFormat="1">
      <c r="A12" s="614" t="s">
        <v>29</v>
      </c>
      <c r="B12" s="2625" t="s">
        <v>32</v>
      </c>
      <c r="C12" s="2626">
        <f>+'Phụ lục số 1'!Q50</f>
        <v>2100000</v>
      </c>
    </row>
    <row r="13" spans="1:7" s="386" customFormat="1" ht="17.399999999999999">
      <c r="A13" s="611" t="s">
        <v>33</v>
      </c>
      <c r="B13" s="330" t="s">
        <v>1662</v>
      </c>
      <c r="C13" s="1657">
        <f>+'Phụ lục số 1'!Q51</f>
        <v>500000</v>
      </c>
    </row>
    <row r="14" spans="1:7" s="386" customFormat="1" ht="17.399999999999999">
      <c r="A14" s="611" t="s">
        <v>182</v>
      </c>
      <c r="B14" s="330" t="s">
        <v>3239</v>
      </c>
      <c r="C14" s="1657">
        <f>+'Phụ lục số 1'!Q56</f>
        <v>5553.7960000000003</v>
      </c>
    </row>
    <row r="15" spans="1:7" s="588" customFormat="1" ht="17.399999999999999">
      <c r="A15" s="606" t="s">
        <v>37</v>
      </c>
      <c r="B15" s="2627" t="s">
        <v>1663</v>
      </c>
      <c r="C15" s="2628">
        <f>SUM(C16,C19,C24,C23)</f>
        <v>21559594.195999999</v>
      </c>
      <c r="F15" s="708"/>
      <c r="G15" s="708"/>
    </row>
    <row r="16" spans="1:7" s="386" customFormat="1" ht="17.399999999999999">
      <c r="A16" s="611" t="s">
        <v>3</v>
      </c>
      <c r="B16" s="330" t="s">
        <v>1664</v>
      </c>
      <c r="C16" s="1657">
        <f>+'Phụ lục số 1'!T10</f>
        <v>8715518.7960000001</v>
      </c>
    </row>
    <row r="17" spans="1:8" s="873" customFormat="1" ht="19.95" customHeight="1">
      <c r="A17" s="614" t="s">
        <v>99</v>
      </c>
      <c r="B17" s="2625" t="s">
        <v>832</v>
      </c>
      <c r="C17" s="2626">
        <f>C16-C18</f>
        <v>4789918.7960000001</v>
      </c>
    </row>
    <row r="18" spans="1:8" s="873" customFormat="1" ht="19.95" customHeight="1">
      <c r="A18" s="2629" t="s">
        <v>101</v>
      </c>
      <c r="B18" s="2630" t="s">
        <v>1665</v>
      </c>
      <c r="C18" s="2626">
        <f>+'Phụ lục số 1'!T77</f>
        <v>3925600</v>
      </c>
      <c r="F18" s="5912">
        <v>3925600</v>
      </c>
      <c r="G18" s="688"/>
    </row>
    <row r="19" spans="1:8" s="386" customFormat="1" ht="19.95" customHeight="1">
      <c r="A19" s="611" t="s">
        <v>33</v>
      </c>
      <c r="B19" s="330" t="s">
        <v>834</v>
      </c>
      <c r="C19" s="1657">
        <f>SUM(C20:C22)</f>
        <v>11903075</v>
      </c>
    </row>
    <row r="20" spans="1:8" s="873" customFormat="1" ht="19.95" customHeight="1">
      <c r="A20" s="614" t="s">
        <v>99</v>
      </c>
      <c r="B20" s="2625" t="s">
        <v>205</v>
      </c>
      <c r="C20" s="2626">
        <f>+'Phụ lục số 1'!T58</f>
        <v>6749488</v>
      </c>
    </row>
    <row r="21" spans="1:8" s="873" customFormat="1" ht="19.95" customHeight="1">
      <c r="A21" s="614" t="s">
        <v>101</v>
      </c>
      <c r="B21" s="2625" t="s">
        <v>3187</v>
      </c>
      <c r="C21" s="2626">
        <f>+'Phụ lục số 1'!T60</f>
        <v>2116595</v>
      </c>
    </row>
    <row r="22" spans="1:8" s="873" customFormat="1" ht="19.95" customHeight="1">
      <c r="A22" s="614" t="s">
        <v>147</v>
      </c>
      <c r="B22" s="2625" t="s">
        <v>207</v>
      </c>
      <c r="C22" s="2626">
        <f>+'Phụ lục số 1'!T61</f>
        <v>3036992</v>
      </c>
    </row>
    <row r="23" spans="1:8" s="873" customFormat="1" ht="19.95" customHeight="1">
      <c r="A23" s="611" t="s">
        <v>182</v>
      </c>
      <c r="B23" s="330" t="s">
        <v>1531</v>
      </c>
      <c r="C23" s="1657">
        <f>'Phụ lục số 1'!T71</f>
        <v>941000.4</v>
      </c>
    </row>
    <row r="24" spans="1:8" s="4934" customFormat="1" ht="19.95" customHeight="1">
      <c r="A24" s="606" t="s">
        <v>215</v>
      </c>
      <c r="B24" s="2627" t="s">
        <v>1666</v>
      </c>
      <c r="C24" s="2628">
        <v>0</v>
      </c>
    </row>
    <row r="25" spans="1:8" s="588" customFormat="1" ht="19.95" customHeight="1">
      <c r="A25" s="606" t="s">
        <v>44</v>
      </c>
      <c r="B25" s="2627" t="s">
        <v>1667</v>
      </c>
      <c r="C25" s="2628">
        <f>SUM(C26,C48,C58,C59)</f>
        <v>21372894.196000002</v>
      </c>
      <c r="F25" s="4957">
        <f>+C15-C60</f>
        <v>21372894.195999999</v>
      </c>
      <c r="H25" s="708">
        <f>+C25-C15</f>
        <v>-186699.99999999627</v>
      </c>
    </row>
    <row r="26" spans="1:8" s="380" customFormat="1" ht="19.95" customHeight="1">
      <c r="A26" s="611" t="s">
        <v>3</v>
      </c>
      <c r="B26" s="330" t="s">
        <v>142</v>
      </c>
      <c r="C26" s="1657">
        <f>SUM(C27,C39,C44,C45,C46,C47)</f>
        <v>18330348.400000002</v>
      </c>
      <c r="F26" s="4432">
        <f>+F25-C48</f>
        <v>18335902.195999999</v>
      </c>
      <c r="H26" s="2710">
        <f>+F26-C26</f>
        <v>5553.7959999963641</v>
      </c>
    </row>
    <row r="27" spans="1:8" s="380" customFormat="1" ht="19.95" customHeight="1">
      <c r="A27" s="611">
        <v>1</v>
      </c>
      <c r="B27" s="330" t="s">
        <v>1680</v>
      </c>
      <c r="C27" s="1657">
        <f>+C28+C29+C31+C33+C34</f>
        <v>4666890</v>
      </c>
      <c r="D27" s="4433"/>
      <c r="E27" s="4433"/>
      <c r="F27" s="5096">
        <v>17358348</v>
      </c>
    </row>
    <row r="28" spans="1:8" s="596" customFormat="1" ht="19.95" customHeight="1">
      <c r="A28" s="603" t="s">
        <v>99</v>
      </c>
      <c r="B28" s="4940" t="str">
        <f>+'Phụ lục số 2'!B11</f>
        <v>Chi đầu tư xây dựng cơ bản</v>
      </c>
      <c r="C28" s="1656">
        <f>+'Phụ lục số 2'!M11</f>
        <v>966890</v>
      </c>
      <c r="F28" s="4826">
        <f>+F26-F27</f>
        <v>977554.1959999986</v>
      </c>
    </row>
    <row r="29" spans="1:8" s="596" customFormat="1" ht="19.95" customHeight="1">
      <c r="A29" s="603" t="s">
        <v>101</v>
      </c>
      <c r="B29" s="4940" t="str">
        <f>+'Phụ lục số 2'!B12</f>
        <v>Chi đầu tư từ nguồn thu tiền sử dụng đất</v>
      </c>
      <c r="C29" s="1656">
        <f>+'Phụ lục số 2'!M12</f>
        <v>1600000</v>
      </c>
      <c r="F29" s="596">
        <f>+-5554</f>
        <v>-5554</v>
      </c>
    </row>
    <row r="30" spans="1:8" s="617" customFormat="1" ht="96.75" customHeight="1">
      <c r="A30" s="614" t="s">
        <v>29</v>
      </c>
      <c r="B30"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0" s="2626">
        <f>+'Phụ lục số 2'!M13</f>
        <v>160000</v>
      </c>
    </row>
    <row r="31" spans="1:8" s="596" customFormat="1" ht="19.95" customHeight="1">
      <c r="A31" s="603" t="s">
        <v>147</v>
      </c>
      <c r="B31" s="4940" t="str">
        <f>+'Phụ lục số 2'!B14</f>
        <v>Chi đầu tư từ nguồn thu xổ số kiến thiết</v>
      </c>
      <c r="C31" s="1656">
        <f>+'Phụ lục số 2'!M14</f>
        <v>2100000</v>
      </c>
    </row>
    <row r="32" spans="1:8" s="617" customFormat="1" ht="36">
      <c r="A32" s="614" t="s">
        <v>29</v>
      </c>
      <c r="B32" s="4939" t="str">
        <f>+'Phụ lục số 2'!B15</f>
        <v>Trong đó: Ủy thác qua Ngân hàng Chính sách xã hội chi nhánh tỉnh Đồng Tháp (từ nguồn thu sổ số kiến thiết năm 2025)</v>
      </c>
      <c r="C32" s="2626">
        <f>+'Phụ lục số 2'!M15</f>
        <v>100000</v>
      </c>
    </row>
    <row r="33" spans="1:6" s="596" customFormat="1" hidden="1">
      <c r="A33" s="603" t="s">
        <v>148</v>
      </c>
      <c r="B33" s="4940" t="str">
        <f>+'Phụ lục số 2'!B16</f>
        <v>Chi đầu tư từ nguồn thu thoái vốn doanh nghiệp nhà nước địa phương quản lý;…</v>
      </c>
      <c r="C33" s="1656">
        <f>'[28]Phụ lục số 2'!X13</f>
        <v>0</v>
      </c>
    </row>
    <row r="34" spans="1:6" s="596" customFormat="1" ht="19.95" hidden="1" customHeight="1">
      <c r="A34" s="603" t="s">
        <v>149</v>
      </c>
      <c r="B34" s="4940" t="str">
        <f>+'Phụ lục số 2'!B17</f>
        <v xml:space="preserve">Chi đầu tư phát triển khác </v>
      </c>
      <c r="C34" s="1656">
        <f>+C35+C36+C37+C38</f>
        <v>0</v>
      </c>
    </row>
    <row r="35" spans="1:6" s="4276" customFormat="1" ht="36" hidden="1">
      <c r="A35" s="614" t="s">
        <v>3126</v>
      </c>
      <c r="B35" s="4939" t="str">
        <f>+'Phụ lục số 2'!B18</f>
        <v>Ủy thác qua Ngân hàng Chính sách xã hội chi nhánh tỉnh Đồng Tháp (từ nguồn thu sổ số kiến thiết năm 2025)</v>
      </c>
      <c r="C35" s="2626">
        <f>+'Phụ lục số 2'!M18</f>
        <v>0</v>
      </c>
    </row>
    <row r="36" spans="1:6" s="4276" customFormat="1" ht="90" hidden="1">
      <c r="A36" s="614" t="s">
        <v>3127</v>
      </c>
      <c r="B36"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6" s="2626">
        <f>+'Phụ lục số 2'!M19</f>
        <v>0</v>
      </c>
    </row>
    <row r="37" spans="1:6" s="617" customFormat="1" ht="19.95" hidden="1" customHeight="1">
      <c r="A37" s="603"/>
      <c r="B37" s="4937"/>
      <c r="C37" s="2626"/>
    </row>
    <row r="38" spans="1:6" s="617" customFormat="1" ht="19.95" hidden="1" customHeight="1">
      <c r="A38" s="614"/>
      <c r="B38" s="4937"/>
      <c r="C38" s="2626"/>
    </row>
    <row r="39" spans="1:6" s="386" customFormat="1" ht="19.95" customHeight="1">
      <c r="A39" s="611">
        <v>2</v>
      </c>
      <c r="B39" s="330" t="s">
        <v>209</v>
      </c>
      <c r="C39" s="1657">
        <f>+'Phụ lục số 2'!M22</f>
        <v>12761657.450000003</v>
      </c>
      <c r="F39" s="685">
        <f>+C39</f>
        <v>12761657.450000003</v>
      </c>
    </row>
    <row r="40" spans="1:6">
      <c r="A40" s="603" t="s">
        <v>29</v>
      </c>
      <c r="B40" s="297" t="s">
        <v>822</v>
      </c>
      <c r="C40" s="1656"/>
    </row>
    <row r="41" spans="1:6" s="873" customFormat="1">
      <c r="A41" s="614" t="s">
        <v>99</v>
      </c>
      <c r="B41" s="2625" t="s">
        <v>1669</v>
      </c>
      <c r="C41" s="2626">
        <f>+'Phụ lục số 2'!M23</f>
        <v>5859513.0000000009</v>
      </c>
    </row>
    <row r="42" spans="1:6" s="873" customFormat="1">
      <c r="A42" s="614" t="s">
        <v>101</v>
      </c>
      <c r="B42" s="2625" t="s">
        <v>153</v>
      </c>
      <c r="C42" s="2626">
        <f>+'Phụ lục số 2'!M24</f>
        <v>31307</v>
      </c>
    </row>
    <row r="43" spans="1:6" s="873" customFormat="1">
      <c r="A43" s="614" t="s">
        <v>148</v>
      </c>
      <c r="B43" s="2625" t="s">
        <v>740</v>
      </c>
      <c r="C43" s="2626">
        <f>C39-C41-C42</f>
        <v>6870837.450000002</v>
      </c>
    </row>
    <row r="44" spans="1:6" s="386" customFormat="1" ht="17.399999999999999">
      <c r="A44" s="611">
        <v>3</v>
      </c>
      <c r="B44" s="330" t="s">
        <v>1670</v>
      </c>
      <c r="C44" s="1657">
        <f>+'Phụ lục số 2'!M37</f>
        <v>2000</v>
      </c>
    </row>
    <row r="45" spans="1:6" s="386" customFormat="1" ht="17.399999999999999">
      <c r="A45" s="611">
        <v>4</v>
      </c>
      <c r="B45" s="330" t="s">
        <v>175</v>
      </c>
      <c r="C45" s="1657">
        <f>+'Phụ lục số 2'!M38</f>
        <v>376400.94999999995</v>
      </c>
    </row>
    <row r="46" spans="1:6" s="386" customFormat="1" ht="17.399999999999999">
      <c r="A46" s="611">
        <v>5</v>
      </c>
      <c r="B46" s="330" t="s">
        <v>176</v>
      </c>
      <c r="C46" s="1657">
        <f>+'Phụ lục số 2'!M39</f>
        <v>519900</v>
      </c>
    </row>
    <row r="47" spans="1:6" s="386" customFormat="1" ht="17.399999999999999">
      <c r="A47" s="611">
        <v>6</v>
      </c>
      <c r="B47" s="45" t="s">
        <v>1671</v>
      </c>
      <c r="C47" s="1657">
        <f>+'Phụ lục số 2'!M36</f>
        <v>3500</v>
      </c>
    </row>
    <row r="48" spans="1:6" s="386" customFormat="1" ht="17.399999999999999">
      <c r="A48" s="611" t="s">
        <v>33</v>
      </c>
      <c r="B48" s="1923" t="s">
        <v>1672</v>
      </c>
      <c r="C48" s="1657">
        <f>+C49+C52+C55</f>
        <v>3036992</v>
      </c>
      <c r="F48" s="685">
        <f>+C48-'Phụ lục số 2'!P40</f>
        <v>254385</v>
      </c>
    </row>
    <row r="49" spans="1:6" s="386" customFormat="1" hidden="1">
      <c r="A49" s="2747">
        <v>1</v>
      </c>
      <c r="B49" s="4936" t="s">
        <v>178</v>
      </c>
      <c r="C49" s="1656">
        <f>SUM(C50:C51)</f>
        <v>2530494</v>
      </c>
    </row>
    <row r="50" spans="1:6" s="4426" customFormat="1" hidden="1">
      <c r="A50" s="5106" t="s">
        <v>99</v>
      </c>
      <c r="B50" s="4937" t="s">
        <v>100</v>
      </c>
      <c r="C50" s="2626">
        <f>+'Phụ lục số 2'!M42</f>
        <v>2399255</v>
      </c>
    </row>
    <row r="51" spans="1:6" s="4426" customFormat="1" hidden="1">
      <c r="A51" s="5106" t="s">
        <v>101</v>
      </c>
      <c r="B51" s="4937" t="s">
        <v>102</v>
      </c>
      <c r="C51" s="2626">
        <f>+'Phụ lục số 2'!M43</f>
        <v>131239</v>
      </c>
    </row>
    <row r="52" spans="1:6" s="386" customFormat="1" hidden="1">
      <c r="A52" s="2747">
        <v>2</v>
      </c>
      <c r="B52" s="4936" t="s">
        <v>179</v>
      </c>
      <c r="C52" s="1656">
        <f>SUM(C53:C54)</f>
        <v>221912</v>
      </c>
    </row>
    <row r="53" spans="1:6" s="4426" customFormat="1" hidden="1">
      <c r="A53" s="5106" t="s">
        <v>99</v>
      </c>
      <c r="B53" s="4937" t="s">
        <v>103</v>
      </c>
      <c r="C53" s="2626">
        <f>+'Phụ lục số 2'!M45</f>
        <v>186007</v>
      </c>
    </row>
    <row r="54" spans="1:6" s="4426" customFormat="1" hidden="1">
      <c r="A54" s="5106" t="s">
        <v>101</v>
      </c>
      <c r="B54" s="4937" t="s">
        <v>102</v>
      </c>
      <c r="C54" s="2626">
        <f>+'Phụ lục số 2'!M46</f>
        <v>35905</v>
      </c>
    </row>
    <row r="55" spans="1:6" s="386" customFormat="1" hidden="1">
      <c r="A55" s="2747">
        <v>3</v>
      </c>
      <c r="B55" s="4936" t="s">
        <v>180</v>
      </c>
      <c r="C55" s="1656">
        <f>SUM(C56:C57)</f>
        <v>284586</v>
      </c>
    </row>
    <row r="56" spans="1:6" s="4426" customFormat="1" hidden="1">
      <c r="A56" s="5106" t="s">
        <v>99</v>
      </c>
      <c r="B56" s="4937" t="s">
        <v>104</v>
      </c>
      <c r="C56" s="2626">
        <f>+'Phụ lục số 2'!M48</f>
        <v>0</v>
      </c>
    </row>
    <row r="57" spans="1:6" s="4426" customFormat="1" hidden="1">
      <c r="A57" s="5106" t="s">
        <v>101</v>
      </c>
      <c r="B57" s="4937" t="s">
        <v>105</v>
      </c>
      <c r="C57" s="2626">
        <f>+'Phụ lục số 2'!M49</f>
        <v>284586</v>
      </c>
    </row>
    <row r="58" spans="1:6" s="386" customFormat="1" ht="17.399999999999999">
      <c r="A58" s="611" t="s">
        <v>182</v>
      </c>
      <c r="B58" s="1933" t="s">
        <v>181</v>
      </c>
      <c r="C58" s="1657">
        <f>+'Phụ lục số 2'!M50</f>
        <v>0</v>
      </c>
    </row>
    <row r="59" spans="1:6" s="386" customFormat="1" ht="17.399999999999999">
      <c r="A59" s="5241" t="s">
        <v>46</v>
      </c>
      <c r="B59" s="5242" t="s">
        <v>3233</v>
      </c>
      <c r="C59" s="5255">
        <f>+'Phụ lục số 2'!M51</f>
        <v>5553.7960000000003</v>
      </c>
    </row>
    <row r="60" spans="1:6" s="386" customFormat="1" ht="17.399999999999999">
      <c r="A60" s="611" t="s">
        <v>725</v>
      </c>
      <c r="B60" s="1933" t="s">
        <v>347</v>
      </c>
      <c r="C60" s="1657">
        <f>+'Phụ lục số 2'!M52</f>
        <v>186700</v>
      </c>
    </row>
    <row r="61" spans="1:6" s="873" customFormat="1">
      <c r="A61" s="5448"/>
      <c r="B61" s="5449" t="s">
        <v>3219</v>
      </c>
      <c r="C61" s="5078"/>
    </row>
    <row r="62" spans="1:6" s="873" customFormat="1">
      <c r="A62" s="5448"/>
      <c r="B62" s="5450" t="s">
        <v>3221</v>
      </c>
      <c r="C62" s="5451">
        <v>20800</v>
      </c>
    </row>
    <row r="63" spans="1:6" s="873" customFormat="1" ht="18.600000000000001" thickBot="1">
      <c r="A63" s="5452"/>
      <c r="B63" s="5453" t="s">
        <v>3222</v>
      </c>
      <c r="C63" s="5454">
        <f>165900</f>
        <v>165900</v>
      </c>
      <c r="F63" s="873" t="s">
        <v>117</v>
      </c>
    </row>
    <row r="64" spans="1:6" ht="18.600000000000001" thickTop="1"/>
    <row r="66" spans="3:3">
      <c r="C66" s="2634"/>
    </row>
  </sheetData>
  <mergeCells count="5">
    <mergeCell ref="A1:C1"/>
    <mergeCell ref="A2:C2"/>
    <mergeCell ref="A4:C4"/>
    <mergeCell ref="A5:C5"/>
    <mergeCell ref="B6:C6"/>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6"/>
  <sheetViews>
    <sheetView workbookViewId="0">
      <selection activeCell="A6" sqref="A6"/>
    </sheetView>
  </sheetViews>
  <sheetFormatPr defaultRowHeight="14.4"/>
  <sheetData>
    <row r="6" spans="1:1" ht="17.399999999999999">
      <c r="A6" s="4438" t="s">
        <v>136</v>
      </c>
    </row>
  </sheetData>
  <hyperlinks>
    <hyperlink ref="A6" location="'Danh mục file'!A1" display="Số TT"/>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R157"/>
  <sheetViews>
    <sheetView zoomScale="80" zoomScaleNormal="80" workbookViewId="0">
      <pane xSplit="10" ySplit="12" topLeftCell="K16" activePane="bottomRight" state="frozen"/>
      <selection activeCell="AG36" sqref="AG36"/>
      <selection pane="topRight" activeCell="AG36" sqref="AG36"/>
      <selection pane="bottomLeft" activeCell="AG36" sqref="AG36"/>
      <selection pane="bottomRight" activeCell="Q39" sqref="Q39"/>
    </sheetView>
  </sheetViews>
  <sheetFormatPr defaultColWidth="9.109375" defaultRowHeight="15.6"/>
  <cols>
    <col min="1" max="1" width="6.44140625" style="1" customWidth="1"/>
    <col min="2" max="2" width="59.6640625" style="1" customWidth="1"/>
    <col min="3" max="3" width="11.6640625" style="1" customWidth="1"/>
    <col min="4" max="4" width="12.88671875" style="1" customWidth="1"/>
    <col min="5" max="8" width="10.6640625" style="1" customWidth="1"/>
    <col min="9" max="9" width="11.6640625" style="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52" width="10.6640625" style="1" customWidth="1"/>
    <col min="53" max="53" width="9.109375" style="1" customWidth="1"/>
    <col min="54" max="55" width="9.109375" style="1"/>
    <col min="56" max="56" width="13.88671875" style="1" hidden="1" customWidth="1"/>
    <col min="57" max="60" width="0" style="1" hidden="1" customWidth="1"/>
    <col min="61" max="61" width="10.33203125" style="1" hidden="1" customWidth="1"/>
    <col min="62" max="62" width="11.6640625" style="1" hidden="1" customWidth="1"/>
    <col min="63" max="64" width="0" style="1" hidden="1" customWidth="1"/>
    <col min="65" max="65" width="10.5546875" style="1" hidden="1" customWidth="1"/>
    <col min="66" max="66" width="0" style="1" hidden="1" customWidth="1"/>
    <col min="67" max="67" width="12.109375" style="1" hidden="1" customWidth="1"/>
    <col min="68" max="68" width="0" style="1" hidden="1" customWidth="1"/>
    <col min="69" max="69" width="10.109375" style="1" hidden="1" customWidth="1"/>
    <col min="70" max="70" width="10.5546875" style="1" hidden="1" customWidth="1"/>
    <col min="71" max="71" width="0" style="1" hidden="1" customWidth="1"/>
    <col min="72" max="16384" width="9.109375" style="1"/>
  </cols>
  <sheetData>
    <row r="1" spans="1:70">
      <c r="A1" s="6056" t="s">
        <v>1411</v>
      </c>
      <c r="B1" s="6056"/>
      <c r="C1" s="6056"/>
      <c r="D1" s="6056"/>
      <c r="E1" s="6056"/>
      <c r="F1" s="6056"/>
      <c r="G1" s="6056"/>
      <c r="H1" s="6056"/>
      <c r="I1" s="6056"/>
      <c r="J1" s="6056"/>
      <c r="K1" s="6056"/>
      <c r="L1" s="6056"/>
      <c r="M1" s="6056"/>
      <c r="N1" s="6056"/>
      <c r="O1" s="6056"/>
      <c r="P1" s="6056"/>
      <c r="Q1" s="6056"/>
      <c r="R1" s="6056"/>
      <c r="S1" s="6056"/>
      <c r="T1" s="6056"/>
      <c r="U1" s="6056"/>
      <c r="V1" s="6056"/>
    </row>
    <row r="2" spans="1:70">
      <c r="A2" s="6056" t="s">
        <v>1412</v>
      </c>
      <c r="B2" s="6056"/>
      <c r="C2" s="6056"/>
      <c r="D2" s="6056"/>
      <c r="E2" s="6056"/>
      <c r="F2" s="6056"/>
      <c r="G2" s="6056"/>
      <c r="H2" s="6056"/>
      <c r="I2" s="6056"/>
      <c r="J2" s="6056"/>
      <c r="K2" s="6056"/>
      <c r="L2" s="6056"/>
      <c r="M2" s="6056"/>
      <c r="N2" s="6056"/>
      <c r="O2" s="6056"/>
      <c r="P2" s="6056"/>
      <c r="Q2" s="6056"/>
      <c r="R2" s="6056"/>
      <c r="S2" s="6056"/>
      <c r="T2" s="6056"/>
      <c r="U2" s="6056"/>
      <c r="V2" s="6056"/>
    </row>
    <row r="3" spans="1:70">
      <c r="A3" s="6577" t="s">
        <v>3277</v>
      </c>
      <c r="B3" s="6577"/>
      <c r="C3" s="6577"/>
      <c r="D3" s="6577"/>
      <c r="E3" s="6577"/>
      <c r="F3" s="6577"/>
      <c r="G3" s="6577"/>
      <c r="H3" s="6577"/>
      <c r="I3" s="6577"/>
      <c r="J3" s="6577"/>
      <c r="K3" s="6577"/>
      <c r="L3" s="6577"/>
      <c r="M3" s="6577"/>
      <c r="N3" s="6577"/>
      <c r="O3" s="6577"/>
      <c r="P3" s="6577"/>
      <c r="Q3" s="6577"/>
      <c r="R3" s="6577"/>
      <c r="S3" s="6577"/>
      <c r="T3" s="6577"/>
      <c r="U3" s="6577"/>
      <c r="V3" s="6577"/>
    </row>
    <row r="4" spans="1:70">
      <c r="R4" s="6"/>
      <c r="T4" s="1704"/>
      <c r="V4" s="3189">
        <f>+V10-'Phụ lục số 7.1'!J9</f>
        <v>0</v>
      </c>
      <c r="AA4" s="6"/>
    </row>
    <row r="5" spans="1:70" ht="16.2" thickBot="1">
      <c r="D5" s="1700"/>
      <c r="J5" s="5948">
        <f>410000-J51</f>
        <v>0.43058333400404081</v>
      </c>
      <c r="K5" s="6"/>
      <c r="M5" s="6"/>
      <c r="N5" s="6"/>
      <c r="Q5" s="1704"/>
      <c r="R5" s="1704"/>
      <c r="S5" s="1704"/>
      <c r="T5" s="6529" t="s">
        <v>246</v>
      </c>
      <c r="U5" s="6529"/>
      <c r="V5" s="6529"/>
      <c r="Z5" s="6"/>
      <c r="AA5" s="6"/>
    </row>
    <row r="6" spans="1:70" ht="16.2" thickTop="1">
      <c r="A6" s="6530" t="s">
        <v>0</v>
      </c>
      <c r="B6" s="6532" t="s">
        <v>49</v>
      </c>
      <c r="C6" s="6533" t="s">
        <v>50</v>
      </c>
      <c r="D6" s="6533"/>
      <c r="E6" s="6533"/>
      <c r="F6" s="6533"/>
      <c r="G6" s="6533"/>
      <c r="H6" s="6533"/>
      <c r="I6" s="6533"/>
      <c r="J6" s="6527" t="s">
        <v>120</v>
      </c>
      <c r="K6" s="6527"/>
      <c r="L6" s="6527"/>
      <c r="M6" s="6527"/>
      <c r="N6" s="6527"/>
      <c r="O6" s="6527"/>
      <c r="P6" s="6527"/>
      <c r="Q6" s="6527" t="s">
        <v>121</v>
      </c>
      <c r="R6" s="6527"/>
      <c r="S6" s="6527"/>
      <c r="T6" s="6527"/>
      <c r="U6" s="6527"/>
      <c r="V6" s="6528"/>
      <c r="W6" s="6224" t="s">
        <v>125</v>
      </c>
      <c r="X6" s="6065"/>
      <c r="Y6" s="6065"/>
      <c r="Z6" s="6065"/>
      <c r="AA6" s="6065"/>
      <c r="AB6" s="6065"/>
      <c r="AC6" s="6065" t="s">
        <v>126</v>
      </c>
      <c r="AD6" s="6065"/>
      <c r="AE6" s="6065"/>
      <c r="AF6" s="6065"/>
      <c r="AG6" s="6065"/>
      <c r="AH6" s="6065"/>
      <c r="AI6" s="6065" t="s">
        <v>127</v>
      </c>
      <c r="AJ6" s="6065"/>
      <c r="AK6" s="6065"/>
      <c r="AL6" s="6065"/>
      <c r="AM6" s="6065"/>
      <c r="AN6" s="6065"/>
      <c r="AO6" s="6065" t="s">
        <v>128</v>
      </c>
      <c r="AP6" s="6065"/>
      <c r="AQ6" s="6065"/>
      <c r="AR6" s="6065"/>
      <c r="AS6" s="6065"/>
      <c r="AT6" s="6065"/>
      <c r="AU6" s="6065" t="s">
        <v>129</v>
      </c>
      <c r="AV6" s="6065"/>
      <c r="AW6" s="6065"/>
      <c r="AX6" s="6065"/>
      <c r="AY6" s="6065"/>
      <c r="AZ6" s="6065"/>
    </row>
    <row r="7" spans="1:70">
      <c r="A7" s="6531"/>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526"/>
      <c r="W7" s="6525" t="s">
        <v>51</v>
      </c>
      <c r="X7" s="6064" t="s">
        <v>131</v>
      </c>
      <c r="Y7" s="6061" t="s">
        <v>53</v>
      </c>
      <c r="Z7" s="6061" t="s">
        <v>124</v>
      </c>
      <c r="AA7" s="6061"/>
      <c r="AB7" s="6061"/>
      <c r="AC7" s="6064" t="s">
        <v>51</v>
      </c>
      <c r="AD7" s="6064" t="s">
        <v>132</v>
      </c>
      <c r="AE7" s="6061" t="s">
        <v>53</v>
      </c>
      <c r="AF7" s="6061" t="s">
        <v>124</v>
      </c>
      <c r="AG7" s="6061"/>
      <c r="AH7" s="6061"/>
      <c r="AI7" s="6064" t="s">
        <v>51</v>
      </c>
      <c r="AJ7" s="6064" t="s">
        <v>133</v>
      </c>
      <c r="AK7" s="6061" t="s">
        <v>53</v>
      </c>
      <c r="AL7" s="6061" t="s">
        <v>124</v>
      </c>
      <c r="AM7" s="6061"/>
      <c r="AN7" s="6061"/>
      <c r="AO7" s="6064" t="s">
        <v>51</v>
      </c>
      <c r="AP7" s="6064" t="s">
        <v>130</v>
      </c>
      <c r="AQ7" s="6061" t="s">
        <v>53</v>
      </c>
      <c r="AR7" s="6061" t="s">
        <v>124</v>
      </c>
      <c r="AS7" s="6061"/>
      <c r="AT7" s="6061"/>
      <c r="AU7" s="6064" t="s">
        <v>51</v>
      </c>
      <c r="AV7" s="6064" t="s">
        <v>134</v>
      </c>
      <c r="AW7" s="6061" t="s">
        <v>53</v>
      </c>
      <c r="AX7" s="6061" t="s">
        <v>124</v>
      </c>
      <c r="AY7" s="6061"/>
      <c r="AZ7" s="6061"/>
      <c r="BI7" s="6056" t="s">
        <v>1841</v>
      </c>
      <c r="BJ7" s="6056"/>
      <c r="BK7" s="6056"/>
      <c r="BL7" s="6056"/>
      <c r="BM7" s="6056"/>
    </row>
    <row r="8" spans="1:70" ht="31.2">
      <c r="A8" s="6531"/>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5529" t="s">
        <v>56</v>
      </c>
      <c r="W8" s="6525"/>
      <c r="X8" s="6064"/>
      <c r="Y8" s="6064"/>
      <c r="Z8" s="1538" t="s">
        <v>54</v>
      </c>
      <c r="AA8" s="1538" t="s">
        <v>55</v>
      </c>
      <c r="AB8" s="130" t="s">
        <v>56</v>
      </c>
      <c r="AC8" s="6064"/>
      <c r="AD8" s="6064"/>
      <c r="AE8" s="6064"/>
      <c r="AF8" s="1538" t="s">
        <v>54</v>
      </c>
      <c r="AG8" s="1538" t="s">
        <v>55</v>
      </c>
      <c r="AH8" s="130" t="s">
        <v>56</v>
      </c>
      <c r="AI8" s="6064"/>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c r="BI8" s="851" t="s">
        <v>1464</v>
      </c>
      <c r="BJ8" s="851" t="s">
        <v>1837</v>
      </c>
      <c r="BK8" s="851" t="s">
        <v>1838</v>
      </c>
      <c r="BL8" s="851" t="s">
        <v>1839</v>
      </c>
      <c r="BM8" s="851" t="s">
        <v>1840</v>
      </c>
      <c r="BQ8" s="1" t="s">
        <v>87</v>
      </c>
    </row>
    <row r="9" spans="1:70">
      <c r="A9" s="5530">
        <v>1</v>
      </c>
      <c r="B9" s="133">
        <v>2</v>
      </c>
      <c r="C9" s="133"/>
      <c r="D9" s="133"/>
      <c r="E9" s="133"/>
      <c r="F9" s="133"/>
      <c r="G9" s="133"/>
      <c r="H9" s="133"/>
      <c r="I9" s="133"/>
      <c r="J9" s="10"/>
      <c r="K9" s="10"/>
      <c r="L9" s="10"/>
      <c r="M9" s="10"/>
      <c r="N9" s="10"/>
      <c r="O9" s="10"/>
      <c r="P9" s="10"/>
      <c r="Q9" s="10"/>
      <c r="R9" s="134"/>
      <c r="S9" s="10"/>
      <c r="T9" s="10"/>
      <c r="U9" s="10"/>
      <c r="V9" s="5531"/>
      <c r="W9" s="5518"/>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70" s="4" customFormat="1">
      <c r="A10" s="5532"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9675053.6514166668</v>
      </c>
      <c r="K10" s="137">
        <f>J10/C10*100</f>
        <v>108.53773447853563</v>
      </c>
      <c r="L10" s="1666">
        <f>J10/D10*100</f>
        <v>100.01033164999834</v>
      </c>
      <c r="M10" s="1667">
        <f t="shared" ref="M10:N10" si="1">SUM(M11+M51)</f>
        <v>955042.50578139594</v>
      </c>
      <c r="N10" s="1667">
        <f t="shared" si="1"/>
        <v>8720011.1456352696</v>
      </c>
      <c r="O10" s="1667">
        <f t="shared" ref="O10:P10" si="2">SUM(O11+O51)</f>
        <v>5155870.4856352694</v>
      </c>
      <c r="P10" s="1667">
        <f t="shared" si="2"/>
        <v>3564140.66</v>
      </c>
      <c r="Q10" s="1663">
        <f>+Q11+Q51+Q56</f>
        <v>10100553.796</v>
      </c>
      <c r="R10" s="1668">
        <f>Q10/J10*100</f>
        <v>104.3979099229184</v>
      </c>
      <c r="S10" s="1663">
        <f>+S11+S51+S56</f>
        <v>1385035</v>
      </c>
      <c r="T10" s="1663">
        <f>+T11+T51+T56</f>
        <v>8715518.7960000001</v>
      </c>
      <c r="U10" s="1663">
        <f>+U11+U51+U56</f>
        <v>4983218.7960000001</v>
      </c>
      <c r="V10" s="5533">
        <f>+V11+V51+V56</f>
        <v>3732300</v>
      </c>
      <c r="W10" s="5519">
        <f>SUM(W11+W51)+W56</f>
        <v>11087000</v>
      </c>
      <c r="X10" s="137">
        <f>W10/Q10*100</f>
        <v>109.76625860248031</v>
      </c>
      <c r="Y10" s="1663">
        <f>SUM(Y11+Y51)+Y56</f>
        <v>1201955.025536566</v>
      </c>
      <c r="Z10" s="1663">
        <f>SUM(Z11+Z51)+Z56</f>
        <v>9885044.974463433</v>
      </c>
      <c r="AA10" s="1663">
        <f>SUM(AA11+AA51)+AA56</f>
        <v>5511695.4648282835</v>
      </c>
      <c r="AB10" s="1663">
        <f>SUM(AB11+AB51)+AB56</f>
        <v>4373349.5096351504</v>
      </c>
      <c r="AC10" s="1663">
        <f t="shared" ref="AC10" si="3">SUM(AC11+AC51)</f>
        <v>11812000</v>
      </c>
      <c r="AD10" s="138">
        <f>AC10/W10*100</f>
        <v>106.53919004239198</v>
      </c>
      <c r="AE10" s="1663">
        <f t="shared" ref="AE10:AI10" si="4">SUM(AE11+AE51)</f>
        <v>1282977.652689477</v>
      </c>
      <c r="AF10" s="1663">
        <f t="shared" si="4"/>
        <v>10529022.347310523</v>
      </c>
      <c r="AG10" s="1663">
        <f t="shared" si="4"/>
        <v>5765742.4464954007</v>
      </c>
      <c r="AH10" s="1663">
        <f t="shared" si="4"/>
        <v>4763279.9008151218</v>
      </c>
      <c r="AI10" s="166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I10" s="1663">
        <f t="shared" ref="BI10" si="8">SUM(BI11+BI51)</f>
        <v>999.48941666586325</v>
      </c>
      <c r="BJ10" s="1663">
        <f t="shared" ref="BJ10:BM10" si="9">SUM(BJ11+BJ51)</f>
        <v>173942.50578139588</v>
      </c>
      <c r="BK10" s="1663">
        <f>SUM(BK11+BK51)</f>
        <v>-172973.01636473002</v>
      </c>
      <c r="BL10" s="1663">
        <f t="shared" si="9"/>
        <v>201966.32363527006</v>
      </c>
      <c r="BM10" s="1663">
        <f t="shared" si="9"/>
        <v>-374939.34000000008</v>
      </c>
      <c r="BN10" s="1671"/>
    </row>
    <row r="11" spans="1:70" s="4" customFormat="1">
      <c r="A11" s="5534"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1">SUM(O13+O19+O25+O30+O36+O37+O38+O39+O40+O41+O42+O43+O44+O45+O46+O47+O49+O50)</f>
        <v>5155870.4856352694</v>
      </c>
      <c r="P11" s="1673">
        <f t="shared" si="11"/>
        <v>3564140.66</v>
      </c>
      <c r="Q11" s="173">
        <f>SUM(Q13+Q19+Q25+Q30+Q36+Q37+Q38+Q39+Q40+Q41+Q42+Q43+Q44+Q45+Q46+Q47+Q49+Q50)</f>
        <v>9595000</v>
      </c>
      <c r="R11" s="1674">
        <f t="shared" ref="R11:R13" si="12">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5535">
        <f>SUM(V13+V19+V25+V30+V36+V37+V38+V39+V40+V41+V42+V43+V44+V45+V46+V47+V49+V50)</f>
        <v>3732300</v>
      </c>
      <c r="W11" s="5520">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173">
        <f>SUM(AH13+AH19+AH25+AH30+AH36+AH37+AH38+AH39+AH40+AH41+AH42+AH43+AH44+AH45+AH46+AH47+AH49+AH50)</f>
        <v>4763279.9008151218</v>
      </c>
      <c r="AI11" s="173">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I11" s="173">
        <f t="shared" ref="BI11" si="13">SUM(BI13+BI19+BI25+BI30+BI36+BI37+BI38+BI39+BI40+BI41+BI42+BI43+BI44+BI45+BI46+BI47+BI49+BI50)</f>
        <v>-209000.08000000013</v>
      </c>
      <c r="BJ11" s="173">
        <f t="shared" ref="BJ11:BM11" si="14">SUM(BJ13+BJ19+BJ25+BJ30+BJ36+BJ37+BJ38+BJ39+BJ40+BJ41+BJ42+BJ43+BJ44+BJ45+BJ46+BJ47+BJ49+BJ50)</f>
        <v>-36057.063635270046</v>
      </c>
      <c r="BK11" s="173">
        <f>SUM(BK13+BK19+BK25+BK30+BK36+BK37+BK38+BK39+BK40+BK41+BK42+BK43+BK44+BK45+BK46+BK47+BK49+BK50)</f>
        <v>-172973.01636473008</v>
      </c>
      <c r="BL11" s="173">
        <f t="shared" si="14"/>
        <v>201966.32363527</v>
      </c>
      <c r="BM11" s="173">
        <f t="shared" si="14"/>
        <v>-374939.34000000008</v>
      </c>
      <c r="BN11" s="1671"/>
    </row>
    <row r="12" spans="1:70"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5537">
        <f>V11-V42-V50-V47</f>
        <v>2638800</v>
      </c>
      <c r="W12" s="5521">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1678">
        <f>AH11-AH42-AH50-AH47</f>
        <v>3503279.9008151218</v>
      </c>
      <c r="AI12" s="1678">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I12" s="1676">
        <f>BI11-BI42-BI50-BI47</f>
        <v>-398068.08000000013</v>
      </c>
      <c r="BJ12" s="1676">
        <f t="shared" ref="BJ12" si="15">BJ11-BJ42-BJ50-BJ47</f>
        <v>-36057.063635270046</v>
      </c>
      <c r="BK12" s="1676">
        <f>BK11-BK42-BK50-BK47</f>
        <v>-362041.01636473008</v>
      </c>
      <c r="BL12" s="1676">
        <f t="shared" ref="BL12:BM12" si="16">BL11-BL42-BL50-BL47</f>
        <v>12898.323635270004</v>
      </c>
      <c r="BM12" s="1676">
        <f t="shared" si="16"/>
        <v>-374939.34000000008</v>
      </c>
      <c r="BN12" s="1671"/>
      <c r="BO12" s="1729">
        <f>+BM12+BL12</f>
        <v>-362041.01636473008</v>
      </c>
    </row>
    <row r="13" spans="1:70">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7">SUM(O14:O18)</f>
        <v>252000.4</v>
      </c>
      <c r="P13" s="150">
        <f t="shared" si="17"/>
        <v>0</v>
      </c>
      <c r="Q13" s="147">
        <f>SUM(Q14:Q18)</f>
        <v>255000</v>
      </c>
      <c r="R13" s="1674">
        <f t="shared" si="12"/>
        <v>101.19031557092765</v>
      </c>
      <c r="S13" s="147">
        <f>SUM(S14:S18)</f>
        <v>0</v>
      </c>
      <c r="T13" s="150">
        <f t="shared" ref="T13:V13" si="18">SUM(T14:T18)</f>
        <v>255000</v>
      </c>
      <c r="U13" s="150">
        <f t="shared" si="18"/>
        <v>255000</v>
      </c>
      <c r="V13" s="5539">
        <f t="shared" si="18"/>
        <v>0</v>
      </c>
      <c r="W13" s="5522">
        <f>SUM(W14:W18)</f>
        <v>300000</v>
      </c>
      <c r="X13" s="141">
        <f>W13/Q13*100</f>
        <v>117.64705882352942</v>
      </c>
      <c r="Y13" s="147">
        <f>SUM(Y14:Y18)</f>
        <v>0</v>
      </c>
      <c r="Z13" s="147">
        <f t="shared" ref="Z13:AB13" si="19">SUM(Z14:Z18)</f>
        <v>300000</v>
      </c>
      <c r="AA13" s="147">
        <f t="shared" si="19"/>
        <v>300000</v>
      </c>
      <c r="AB13" s="147">
        <f t="shared" si="19"/>
        <v>0</v>
      </c>
      <c r="AC13" s="147">
        <f>SUM(AC14:AC18)</f>
        <v>370000</v>
      </c>
      <c r="AD13" s="142">
        <f>AC13/W13*100</f>
        <v>123.33333333333334</v>
      </c>
      <c r="AE13" s="147">
        <f>SUM(AE14:AE18)</f>
        <v>0</v>
      </c>
      <c r="AF13" s="147">
        <f t="shared" ref="AF13:AH13" si="20">SUM(AF14:AF18)</f>
        <v>370000</v>
      </c>
      <c r="AG13" s="147">
        <f t="shared" si="20"/>
        <v>370000</v>
      </c>
      <c r="AH13" s="147">
        <f t="shared" si="20"/>
        <v>0</v>
      </c>
      <c r="AI13" s="147">
        <f>SUM(AI14:AI18)</f>
        <v>410000</v>
      </c>
      <c r="AJ13" s="142">
        <f>AI13/AC13*100</f>
        <v>110.81081081081081</v>
      </c>
      <c r="AK13" s="147">
        <f>SUM(AK14:AK18)</f>
        <v>0</v>
      </c>
      <c r="AL13" s="147">
        <f t="shared" ref="AL13:AN13" si="21">SUM(AL14:AL18)</f>
        <v>410000</v>
      </c>
      <c r="AM13" s="147">
        <f t="shared" si="21"/>
        <v>410000</v>
      </c>
      <c r="AN13" s="147">
        <f t="shared" si="21"/>
        <v>0</v>
      </c>
      <c r="AO13" s="147">
        <f>SUM(AO14:AO18)</f>
        <v>455000</v>
      </c>
      <c r="AP13" s="142">
        <f>AO13/AI13*100</f>
        <v>110.97560975609757</v>
      </c>
      <c r="AQ13" s="147">
        <f>SUM(AQ14:AQ18)</f>
        <v>0</v>
      </c>
      <c r="AR13" s="147">
        <f t="shared" ref="AR13:AT13" si="22">SUM(AR14:AR18)</f>
        <v>455000</v>
      </c>
      <c r="AS13" s="147">
        <f t="shared" si="22"/>
        <v>455000</v>
      </c>
      <c r="AT13" s="147">
        <f t="shared" si="22"/>
        <v>0</v>
      </c>
      <c r="AU13" s="147">
        <f>SUM(AU14:AU18)</f>
        <v>510000</v>
      </c>
      <c r="AV13" s="142">
        <f>AU13/AO13*100</f>
        <v>112.08791208791209</v>
      </c>
      <c r="AW13" s="147">
        <f>SUM(AW14:AW18)</f>
        <v>0</v>
      </c>
      <c r="AX13" s="147">
        <f t="shared" ref="AX13:AZ13" si="23">SUM(AX14:AX18)</f>
        <v>510000</v>
      </c>
      <c r="AY13" s="147">
        <f t="shared" si="23"/>
        <v>510000</v>
      </c>
      <c r="AZ13" s="147">
        <f t="shared" si="23"/>
        <v>0</v>
      </c>
      <c r="BI13" s="147">
        <f>SUM(BI14:BI18)</f>
        <v>22000.399999999994</v>
      </c>
      <c r="BJ13" s="147">
        <f t="shared" ref="BJ13:BM13" si="24">SUM(BJ14:BJ18)</f>
        <v>0</v>
      </c>
      <c r="BK13" s="147">
        <f t="shared" si="24"/>
        <v>22000.399999999994</v>
      </c>
      <c r="BL13" s="147">
        <f t="shared" si="24"/>
        <v>22000.399999999994</v>
      </c>
      <c r="BM13" s="147">
        <f t="shared" si="24"/>
        <v>0</v>
      </c>
      <c r="BN13" s="4"/>
      <c r="BQ13" s="6">
        <f>+'Biểu số 1'!AZ13</f>
        <v>209114</v>
      </c>
      <c r="BR13" s="816">
        <f>+J13/BQ13-100%</f>
        <v>0.20508622091299489</v>
      </c>
    </row>
    <row r="14" spans="1:70">
      <c r="A14" s="5538"/>
      <c r="B14" s="1716" t="s">
        <v>7</v>
      </c>
      <c r="C14" s="152">
        <v>170000</v>
      </c>
      <c r="D14" s="152">
        <f>C14</f>
        <v>170000</v>
      </c>
      <c r="E14" s="153"/>
      <c r="F14" s="154"/>
      <c r="G14" s="154">
        <f>SUM(H14:I14)</f>
        <v>170000</v>
      </c>
      <c r="H14" s="154">
        <f>D14-F14-I14</f>
        <v>170000</v>
      </c>
      <c r="I14" s="154"/>
      <c r="J14" s="5420">
        <v>165389.4</v>
      </c>
      <c r="K14" s="155"/>
      <c r="L14" s="155"/>
      <c r="M14" s="1680"/>
      <c r="N14" s="1680">
        <f>SUM(O14:P14)</f>
        <v>165389.4</v>
      </c>
      <c r="O14" s="1680">
        <f>J14-M14-P14</f>
        <v>165389.4</v>
      </c>
      <c r="P14" s="1680"/>
      <c r="Q14" s="157">
        <f>173500-4000</f>
        <v>169500</v>
      </c>
      <c r="R14" s="199"/>
      <c r="S14" s="199"/>
      <c r="T14" s="1681">
        <f>SUM(U14:V14)</f>
        <v>169500</v>
      </c>
      <c r="U14" s="5913">
        <f>Q14-S14-V14</f>
        <v>169500</v>
      </c>
      <c r="V14" s="5540"/>
      <c r="W14" s="5523">
        <v>218000</v>
      </c>
      <c r="X14" s="155"/>
      <c r="Y14" s="157"/>
      <c r="Z14" s="157">
        <f>SUM(AA14:AB14)</f>
        <v>218000</v>
      </c>
      <c r="AA14" s="157">
        <f>W14-Y14-AB14</f>
        <v>218000</v>
      </c>
      <c r="AB14" s="157"/>
      <c r="AC14" s="157">
        <v>282000</v>
      </c>
      <c r="AD14" s="157"/>
      <c r="AE14" s="157"/>
      <c r="AF14" s="157">
        <f>SUM(AG14:AH14)</f>
        <v>282000</v>
      </c>
      <c r="AG14" s="157">
        <f>AC14-AE14-AH14</f>
        <v>282000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I14" s="6">
        <f>SUM(BJ14:BK14)</f>
        <v>-4610.6000000000058</v>
      </c>
      <c r="BJ14" s="6">
        <f>+M14-F14</f>
        <v>0</v>
      </c>
      <c r="BK14" s="6">
        <f>SUM(BL14:BM14)</f>
        <v>-4610.6000000000058</v>
      </c>
      <c r="BL14" s="1703">
        <f>+O14-H14</f>
        <v>-4610.6000000000058</v>
      </c>
      <c r="BM14" s="1703">
        <f>+P14-I14</f>
        <v>0</v>
      </c>
      <c r="BN14" s="4"/>
    </row>
    <row r="15" spans="1:70">
      <c r="A15" s="5538"/>
      <c r="B15" s="1716" t="s">
        <v>8</v>
      </c>
      <c r="C15" s="152">
        <v>20000</v>
      </c>
      <c r="D15" s="152">
        <v>20000</v>
      </c>
      <c r="E15" s="153"/>
      <c r="F15" s="154"/>
      <c r="G15" s="154">
        <f t="shared" ref="G15:G18" si="25">SUM(H15:I15)</f>
        <v>20000</v>
      </c>
      <c r="H15" s="154">
        <f t="shared" ref="H15:H44" si="26">D15-F15-I15</f>
        <v>20000</v>
      </c>
      <c r="I15" s="154"/>
      <c r="J15" s="1679">
        <v>31353</v>
      </c>
      <c r="K15" s="155"/>
      <c r="L15" s="155"/>
      <c r="M15" s="1680"/>
      <c r="N15" s="1680">
        <f t="shared" ref="N15:N18" si="27">SUM(O15:P15)</f>
        <v>31353</v>
      </c>
      <c r="O15" s="1680">
        <f t="shared" ref="O15:O24" si="28">J15-M15-P15</f>
        <v>31353</v>
      </c>
      <c r="P15" s="1680"/>
      <c r="Q15" s="157">
        <f>31000+4000</f>
        <v>35000</v>
      </c>
      <c r="R15" s="199"/>
      <c r="S15" s="199"/>
      <c r="T15" s="1681">
        <f t="shared" ref="T15:T17" si="29">SUM(U15:V15)</f>
        <v>35000</v>
      </c>
      <c r="U15" s="5913">
        <f t="shared" ref="U15:U18" si="30">Q15-S15-V15</f>
        <v>35000</v>
      </c>
      <c r="V15" s="5540"/>
      <c r="W15" s="5523">
        <v>25000</v>
      </c>
      <c r="X15" s="155"/>
      <c r="Y15" s="157"/>
      <c r="Z15" s="157">
        <f t="shared" ref="Z15:Z17" si="31">SUM(AA15:AB15)</f>
        <v>25000</v>
      </c>
      <c r="AA15" s="157">
        <f t="shared" ref="AA15:AA18" si="32">W15-Y15-AB15</f>
        <v>25000</v>
      </c>
      <c r="AB15" s="157"/>
      <c r="AC15" s="157">
        <v>26000</v>
      </c>
      <c r="AD15" s="157"/>
      <c r="AE15" s="157"/>
      <c r="AF15" s="157">
        <f t="shared" ref="AF15:AF17" si="33">SUM(AG15:AH15)</f>
        <v>26000</v>
      </c>
      <c r="AG15" s="157">
        <f t="shared" ref="AG15:AG18" si="34">AC15-AE15-AH15</f>
        <v>26000</v>
      </c>
      <c r="AH15" s="157"/>
      <c r="AI15" s="157">
        <v>27000</v>
      </c>
      <c r="AJ15" s="157"/>
      <c r="AK15" s="157"/>
      <c r="AL15" s="157">
        <f t="shared" ref="AL15:AL16" si="35">SUM(AM15:AN15)</f>
        <v>27000</v>
      </c>
      <c r="AM15" s="157">
        <f t="shared" ref="AM15:AM18" si="36">AI15-AK15-AN15</f>
        <v>27000</v>
      </c>
      <c r="AN15" s="157"/>
      <c r="AO15" s="157">
        <v>29000</v>
      </c>
      <c r="AP15" s="157"/>
      <c r="AQ15" s="157"/>
      <c r="AR15" s="157">
        <f t="shared" ref="AR15:AR16" si="37">SUM(AS15:AT15)</f>
        <v>29000</v>
      </c>
      <c r="AS15" s="157">
        <f t="shared" ref="AS15:AS18" si="38">AO15-AQ15-AT15</f>
        <v>29000</v>
      </c>
      <c r="AT15" s="157"/>
      <c r="AU15" s="157">
        <v>30000</v>
      </c>
      <c r="AV15" s="157"/>
      <c r="AW15" s="157"/>
      <c r="AX15" s="157">
        <f t="shared" ref="AX15:AX16" si="39">SUM(AY15:AZ15)</f>
        <v>30000</v>
      </c>
      <c r="AY15" s="157">
        <f t="shared" ref="AY15:AY18" si="40">AU15-AW15-AZ15</f>
        <v>30000</v>
      </c>
      <c r="AZ15" s="157"/>
      <c r="BI15" s="6">
        <f t="shared" ref="BI15:BI18" si="41">SUM(BJ15:BK15)</f>
        <v>11353</v>
      </c>
      <c r="BJ15" s="6">
        <f t="shared" ref="BJ15:BJ18" si="42">+M15-F15</f>
        <v>0</v>
      </c>
      <c r="BK15" s="6">
        <f t="shared" ref="BK15:BK18" si="43">SUM(BL15:BM15)</f>
        <v>11353</v>
      </c>
      <c r="BL15" s="1703">
        <f t="shared" ref="BL15:BL18" si="44">+O15-H15</f>
        <v>11353</v>
      </c>
      <c r="BM15" s="1703">
        <f t="shared" ref="BM15:BM18" si="45">+P15-I15</f>
        <v>0</v>
      </c>
      <c r="BN15" s="4"/>
    </row>
    <row r="16" spans="1:70">
      <c r="A16" s="5538"/>
      <c r="B16" s="1716" t="s">
        <v>9</v>
      </c>
      <c r="C16" s="152">
        <f>40000</f>
        <v>40000</v>
      </c>
      <c r="D16" s="152">
        <f>C16</f>
        <v>40000</v>
      </c>
      <c r="E16" s="153"/>
      <c r="F16" s="154"/>
      <c r="G16" s="154">
        <f t="shared" si="25"/>
        <v>40000</v>
      </c>
      <c r="H16" s="154">
        <f t="shared" si="26"/>
        <v>40000</v>
      </c>
      <c r="I16" s="154"/>
      <c r="J16" s="1679">
        <v>44657</v>
      </c>
      <c r="K16" s="155"/>
      <c r="L16" s="155"/>
      <c r="M16" s="1680"/>
      <c r="N16" s="1680">
        <f t="shared" si="27"/>
        <v>44657</v>
      </c>
      <c r="O16" s="1680">
        <f t="shared" si="28"/>
        <v>44657</v>
      </c>
      <c r="P16" s="1680"/>
      <c r="Q16" s="157">
        <v>42000</v>
      </c>
      <c r="R16" s="199"/>
      <c r="S16" s="199"/>
      <c r="T16" s="1681">
        <f t="shared" si="29"/>
        <v>42000</v>
      </c>
      <c r="U16" s="1681">
        <f t="shared" si="30"/>
        <v>42000</v>
      </c>
      <c r="V16" s="5540"/>
      <c r="W16" s="5523">
        <v>57000</v>
      </c>
      <c r="X16" s="155"/>
      <c r="Y16" s="157"/>
      <c r="Z16" s="157">
        <f t="shared" si="31"/>
        <v>57000</v>
      </c>
      <c r="AA16" s="157">
        <f t="shared" si="32"/>
        <v>57000</v>
      </c>
      <c r="AB16" s="157"/>
      <c r="AC16" s="157">
        <v>62000</v>
      </c>
      <c r="AD16" s="157"/>
      <c r="AE16" s="157"/>
      <c r="AF16" s="157">
        <f t="shared" si="33"/>
        <v>62000</v>
      </c>
      <c r="AG16" s="157">
        <f t="shared" si="34"/>
        <v>62000</v>
      </c>
      <c r="AH16" s="157"/>
      <c r="AI16" s="157">
        <v>68000</v>
      </c>
      <c r="AJ16" s="157"/>
      <c r="AK16" s="157"/>
      <c r="AL16" s="157">
        <f t="shared" si="35"/>
        <v>68000</v>
      </c>
      <c r="AM16" s="157">
        <f t="shared" si="36"/>
        <v>68000</v>
      </c>
      <c r="AN16" s="157"/>
      <c r="AO16" s="157">
        <v>75000</v>
      </c>
      <c r="AP16" s="157"/>
      <c r="AQ16" s="157"/>
      <c r="AR16" s="157">
        <f t="shared" si="37"/>
        <v>75000</v>
      </c>
      <c r="AS16" s="157">
        <f t="shared" si="38"/>
        <v>75000</v>
      </c>
      <c r="AT16" s="157"/>
      <c r="AU16" s="157">
        <v>84000</v>
      </c>
      <c r="AV16" s="157"/>
      <c r="AW16" s="157"/>
      <c r="AX16" s="157">
        <f t="shared" si="39"/>
        <v>84000</v>
      </c>
      <c r="AY16" s="157">
        <f t="shared" si="40"/>
        <v>84000</v>
      </c>
      <c r="AZ16" s="157"/>
      <c r="BI16" s="6">
        <f t="shared" si="41"/>
        <v>4657</v>
      </c>
      <c r="BJ16" s="6">
        <f t="shared" si="42"/>
        <v>0</v>
      </c>
      <c r="BK16" s="6">
        <f t="shared" si="43"/>
        <v>4657</v>
      </c>
      <c r="BL16" s="1703">
        <f t="shared" si="44"/>
        <v>4657</v>
      </c>
      <c r="BM16" s="1703">
        <f t="shared" si="45"/>
        <v>0</v>
      </c>
      <c r="BN16" s="4"/>
    </row>
    <row r="17" spans="1:70">
      <c r="A17" s="5538"/>
      <c r="B17" s="1716" t="s">
        <v>10</v>
      </c>
      <c r="C17" s="152">
        <v>0</v>
      </c>
      <c r="D17" s="152"/>
      <c r="E17" s="153"/>
      <c r="F17" s="154"/>
      <c r="G17" s="154">
        <f t="shared" si="25"/>
        <v>0</v>
      </c>
      <c r="H17" s="154">
        <f t="shared" si="26"/>
        <v>0</v>
      </c>
      <c r="I17" s="154"/>
      <c r="J17" s="1679">
        <v>10601</v>
      </c>
      <c r="K17" s="155"/>
      <c r="L17" s="155"/>
      <c r="M17" s="1680"/>
      <c r="N17" s="1680">
        <f t="shared" si="27"/>
        <v>10601</v>
      </c>
      <c r="O17" s="1680">
        <f t="shared" si="28"/>
        <v>10601</v>
      </c>
      <c r="P17" s="1680"/>
      <c r="Q17" s="157">
        <v>8500</v>
      </c>
      <c r="R17" s="199"/>
      <c r="S17" s="199"/>
      <c r="T17" s="1681">
        <f t="shared" si="29"/>
        <v>8500</v>
      </c>
      <c r="U17" s="1681">
        <f t="shared" si="30"/>
        <v>8500</v>
      </c>
      <c r="V17" s="5540"/>
      <c r="W17" s="5523">
        <v>0</v>
      </c>
      <c r="X17" s="155"/>
      <c r="Y17" s="157"/>
      <c r="Z17" s="157">
        <f t="shared" si="31"/>
        <v>0</v>
      </c>
      <c r="AA17" s="157">
        <f t="shared" si="32"/>
        <v>0</v>
      </c>
      <c r="AB17" s="157"/>
      <c r="AC17" s="157">
        <v>0</v>
      </c>
      <c r="AD17" s="157"/>
      <c r="AE17" s="157"/>
      <c r="AF17" s="157">
        <f t="shared" si="33"/>
        <v>0</v>
      </c>
      <c r="AG17" s="157">
        <f t="shared" si="34"/>
        <v>0</v>
      </c>
      <c r="AH17" s="157"/>
      <c r="AI17" s="157"/>
      <c r="AJ17" s="157"/>
      <c r="AK17" s="157"/>
      <c r="AL17" s="157"/>
      <c r="AM17" s="157">
        <f t="shared" si="36"/>
        <v>0</v>
      </c>
      <c r="AN17" s="157"/>
      <c r="AO17" s="157"/>
      <c r="AP17" s="157"/>
      <c r="AQ17" s="157"/>
      <c r="AR17" s="157"/>
      <c r="AS17" s="157">
        <f t="shared" si="38"/>
        <v>0</v>
      </c>
      <c r="AT17" s="157"/>
      <c r="AU17" s="157"/>
      <c r="AV17" s="157"/>
      <c r="AW17" s="157"/>
      <c r="AX17" s="157"/>
      <c r="AY17" s="157">
        <f t="shared" si="40"/>
        <v>0</v>
      </c>
      <c r="AZ17" s="157"/>
      <c r="BI17" s="6">
        <f t="shared" si="41"/>
        <v>10601</v>
      </c>
      <c r="BJ17" s="6">
        <f t="shared" si="42"/>
        <v>0</v>
      </c>
      <c r="BK17" s="6">
        <f t="shared" si="43"/>
        <v>10601</v>
      </c>
      <c r="BL17" s="1703">
        <f t="shared" si="44"/>
        <v>10601</v>
      </c>
      <c r="BM17" s="1703">
        <f t="shared" si="45"/>
        <v>0</v>
      </c>
      <c r="BN17" s="4"/>
    </row>
    <row r="18" spans="1:70">
      <c r="A18" s="5538"/>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5540"/>
      <c r="W18" s="5523"/>
      <c r="X18" s="155"/>
      <c r="Y18" s="157"/>
      <c r="Z18" s="157"/>
      <c r="AA18" s="157">
        <f t="shared" si="32"/>
        <v>0</v>
      </c>
      <c r="AB18" s="157"/>
      <c r="AC18" s="157"/>
      <c r="AD18" s="157"/>
      <c r="AE18" s="157"/>
      <c r="AF18" s="157"/>
      <c r="AG18" s="157">
        <f t="shared" si="34"/>
        <v>0</v>
      </c>
      <c r="AH18" s="157"/>
      <c r="AI18" s="157"/>
      <c r="AJ18" s="157"/>
      <c r="AK18" s="157"/>
      <c r="AL18" s="157"/>
      <c r="AM18" s="157">
        <f t="shared" si="36"/>
        <v>0</v>
      </c>
      <c r="AN18" s="157"/>
      <c r="AO18" s="157"/>
      <c r="AP18" s="157"/>
      <c r="AQ18" s="157"/>
      <c r="AR18" s="157"/>
      <c r="AS18" s="157">
        <f t="shared" si="38"/>
        <v>0</v>
      </c>
      <c r="AT18" s="157"/>
      <c r="AU18" s="157"/>
      <c r="AV18" s="157"/>
      <c r="AW18" s="157"/>
      <c r="AX18" s="157"/>
      <c r="AY18" s="157">
        <f t="shared" si="40"/>
        <v>0</v>
      </c>
      <c r="AZ18" s="157"/>
      <c r="BI18" s="6">
        <f t="shared" si="41"/>
        <v>0</v>
      </c>
      <c r="BJ18" s="6">
        <f t="shared" si="42"/>
        <v>0</v>
      </c>
      <c r="BK18" s="6">
        <f t="shared" si="43"/>
        <v>0</v>
      </c>
      <c r="BL18" s="1703">
        <f t="shared" si="44"/>
        <v>0</v>
      </c>
      <c r="BM18" s="1703">
        <f t="shared" si="45"/>
        <v>0</v>
      </c>
      <c r="BN18" s="4"/>
    </row>
    <row r="19" spans="1:70">
      <c r="A19" s="5538">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300000.2</v>
      </c>
      <c r="K19" s="141">
        <f>J19/C19*100</f>
        <v>100.00006666666667</v>
      </c>
      <c r="L19" s="1672">
        <f>J19/D19*100</f>
        <v>100.00006666666667</v>
      </c>
      <c r="M19" s="150">
        <f>SUM(M20:M24)</f>
        <v>0</v>
      </c>
      <c r="N19" s="150">
        <f>SUM(N20:N24)</f>
        <v>300000.2</v>
      </c>
      <c r="O19" s="150">
        <f t="shared" ref="O19:P19" si="47">SUM(O20:O24)</f>
        <v>300000.2</v>
      </c>
      <c r="P19" s="150">
        <f t="shared" si="47"/>
        <v>0</v>
      </c>
      <c r="Q19" s="142">
        <f>SUM(Q20:Q24)</f>
        <v>360000</v>
      </c>
      <c r="R19" s="1674">
        <f t="shared" ref="R19" si="48">Q19/J19*100</f>
        <v>119.99992000005332</v>
      </c>
      <c r="S19" s="1682">
        <f>SUM(S20:S24)</f>
        <v>0</v>
      </c>
      <c r="T19" s="1683">
        <f t="shared" ref="T19:V19" si="49">SUM(T20:T24)</f>
        <v>360000</v>
      </c>
      <c r="U19" s="1683">
        <f t="shared" si="49"/>
        <v>360000</v>
      </c>
      <c r="V19" s="5541">
        <f t="shared" si="49"/>
        <v>0</v>
      </c>
      <c r="W19" s="5524">
        <f>SUM(W20:W24)</f>
        <v>510000</v>
      </c>
      <c r="X19" s="141">
        <f>W19/Q19*100</f>
        <v>141.66666666666669</v>
      </c>
      <c r="Y19" s="142">
        <f>SUM(Y20:Y24)</f>
        <v>0</v>
      </c>
      <c r="Z19" s="142">
        <f t="shared" ref="Z19:AB19" si="50">SUM(Z20:Z24)</f>
        <v>510000</v>
      </c>
      <c r="AA19" s="142">
        <f t="shared" si="50"/>
        <v>510000</v>
      </c>
      <c r="AB19" s="142">
        <f t="shared" si="50"/>
        <v>0</v>
      </c>
      <c r="AC19" s="142">
        <f>SUM(AC20:AC24)</f>
        <v>560000</v>
      </c>
      <c r="AD19" s="142">
        <f>AC19/W19*100</f>
        <v>109.80392156862746</v>
      </c>
      <c r="AE19" s="142">
        <f>SUM(AE20:AE24)</f>
        <v>0</v>
      </c>
      <c r="AF19" s="142">
        <f t="shared" ref="AF19:AH19" si="51">SUM(AF20:AF24)</f>
        <v>560000</v>
      </c>
      <c r="AG19" s="142">
        <f t="shared" si="51"/>
        <v>560000</v>
      </c>
      <c r="AH19" s="142">
        <f t="shared" si="51"/>
        <v>0</v>
      </c>
      <c r="AI19" s="142">
        <f>SUM(AI20:AI24)</f>
        <v>620000</v>
      </c>
      <c r="AJ19" s="142">
        <f>AI19/AC19*100</f>
        <v>110.71428571428572</v>
      </c>
      <c r="AK19" s="142">
        <f>SUM(AK20:AK24)</f>
        <v>0</v>
      </c>
      <c r="AL19" s="142">
        <f t="shared" ref="AL19:AN19" si="52">SUM(AL20:AL24)</f>
        <v>620000</v>
      </c>
      <c r="AM19" s="142">
        <f t="shared" si="52"/>
        <v>620000</v>
      </c>
      <c r="AN19" s="142">
        <f t="shared" si="52"/>
        <v>0</v>
      </c>
      <c r="AO19" s="142">
        <f>SUM(AO20:AO24)</f>
        <v>690000</v>
      </c>
      <c r="AP19" s="142">
        <f>AO19/AI19*100</f>
        <v>111.29032258064515</v>
      </c>
      <c r="AQ19" s="142">
        <f>SUM(AQ20:AQ24)</f>
        <v>0</v>
      </c>
      <c r="AR19" s="142">
        <f t="shared" ref="AR19:AT19" si="53">SUM(AR20:AR24)</f>
        <v>690000</v>
      </c>
      <c r="AS19" s="142">
        <f t="shared" si="53"/>
        <v>690000</v>
      </c>
      <c r="AT19" s="142">
        <f t="shared" si="53"/>
        <v>0</v>
      </c>
      <c r="AU19" s="142">
        <f>SUM(AU20:AU24)</f>
        <v>770000</v>
      </c>
      <c r="AV19" s="142">
        <f>AU19/AO19*100</f>
        <v>111.59420289855073</v>
      </c>
      <c r="AW19" s="142">
        <f>SUM(AW20:AW24)</f>
        <v>0</v>
      </c>
      <c r="AX19" s="142">
        <f t="shared" ref="AX19:AZ19" si="54">SUM(AX20:AX24)</f>
        <v>770000</v>
      </c>
      <c r="AY19" s="142">
        <f t="shared" si="54"/>
        <v>770000</v>
      </c>
      <c r="AZ19" s="142">
        <f t="shared" si="54"/>
        <v>0</v>
      </c>
      <c r="BI19" s="142">
        <f>SUM(BI20:BI24)</f>
        <v>0.19999999999708962</v>
      </c>
      <c r="BJ19" s="142">
        <f t="shared" ref="BJ19:BM19" si="55">SUM(BJ20:BJ24)</f>
        <v>0</v>
      </c>
      <c r="BK19" s="142">
        <f t="shared" si="55"/>
        <v>0.19999999999708962</v>
      </c>
      <c r="BL19" s="142">
        <f t="shared" si="55"/>
        <v>0.19999999999708962</v>
      </c>
      <c r="BM19" s="142">
        <f t="shared" si="55"/>
        <v>0</v>
      </c>
      <c r="BN19" s="4"/>
      <c r="BQ19" s="6">
        <f>+'Biểu số 1'!AZ19</f>
        <v>281821</v>
      </c>
      <c r="BR19" s="816">
        <f>+J19/BQ19-100%</f>
        <v>6.4506193647740906E-2</v>
      </c>
    </row>
    <row r="20" spans="1:70" ht="18">
      <c r="A20" s="5538"/>
      <c r="B20" s="1716" t="s">
        <v>7</v>
      </c>
      <c r="C20" s="152">
        <f>110000</f>
        <v>110000</v>
      </c>
      <c r="D20" s="152">
        <f>C20</f>
        <v>110000</v>
      </c>
      <c r="E20" s="153"/>
      <c r="F20" s="154"/>
      <c r="G20" s="154">
        <f>SUM(H20:I20)</f>
        <v>110000</v>
      </c>
      <c r="H20" s="154">
        <f t="shared" si="26"/>
        <v>110000</v>
      </c>
      <c r="I20" s="154"/>
      <c r="J20" s="5419">
        <f>240342.65-49376</f>
        <v>190966.65</v>
      </c>
      <c r="K20" s="155"/>
      <c r="L20" s="155"/>
      <c r="M20" s="1680"/>
      <c r="N20" s="1680">
        <f>SUM(O20:P20)</f>
        <v>190966.65</v>
      </c>
      <c r="O20" s="1680">
        <f t="shared" si="28"/>
        <v>190966.65</v>
      </c>
      <c r="P20" s="1680"/>
      <c r="Q20" s="1717">
        <v>200000</v>
      </c>
      <c r="R20" s="199"/>
      <c r="S20" s="199"/>
      <c r="T20" s="1681">
        <f>SUM(U20:V20)</f>
        <v>200000</v>
      </c>
      <c r="U20" s="1681">
        <f>Q20-S20-V20</f>
        <v>200000</v>
      </c>
      <c r="V20" s="5540"/>
      <c r="W20" s="5523">
        <v>305000</v>
      </c>
      <c r="X20" s="155"/>
      <c r="Y20" s="157"/>
      <c r="Z20" s="157">
        <f>SUM(AA20:AB20)</f>
        <v>305000</v>
      </c>
      <c r="AA20" s="157">
        <f>W20-Y20-AB20</f>
        <v>305000</v>
      </c>
      <c r="AB20" s="157"/>
      <c r="AC20" s="157">
        <v>338000</v>
      </c>
      <c r="AD20" s="157"/>
      <c r="AE20" s="157"/>
      <c r="AF20" s="157">
        <f>SUM(AG20:AH20)</f>
        <v>338000</v>
      </c>
      <c r="AG20" s="157">
        <f>AC20-AE20-AH20</f>
        <v>338000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I20" s="6">
        <f t="shared" ref="BI20" si="56">+J20-D20</f>
        <v>80966.649999999994</v>
      </c>
      <c r="BJ20" s="6">
        <f t="shared" ref="BJ20" si="57">+M20-F20</f>
        <v>0</v>
      </c>
      <c r="BK20" s="6">
        <f t="shared" ref="BK20" si="58">SUM(BL20:BM20)</f>
        <v>80966.649999999994</v>
      </c>
      <c r="BL20" s="1703">
        <f t="shared" ref="BL20" si="59">+O20-H20</f>
        <v>80966.649999999994</v>
      </c>
      <c r="BM20" s="1703">
        <f t="shared" ref="BM20" si="60">+P20-I20</f>
        <v>0</v>
      </c>
      <c r="BN20" s="4"/>
    </row>
    <row r="21" spans="1:70" ht="16.8">
      <c r="A21" s="5538"/>
      <c r="B21" s="1716" t="s">
        <v>8</v>
      </c>
      <c r="C21" s="152">
        <f>106000</f>
        <v>106000</v>
      </c>
      <c r="D21" s="152">
        <f>C21</f>
        <v>106000</v>
      </c>
      <c r="E21" s="153"/>
      <c r="F21" s="154"/>
      <c r="G21" s="154">
        <f t="shared" ref="G21:G24" si="61">SUM(H21:I21)</f>
        <v>106000</v>
      </c>
      <c r="H21" s="154">
        <f t="shared" si="26"/>
        <v>106000</v>
      </c>
      <c r="I21" s="154"/>
      <c r="J21" s="160">
        <v>76431.55</v>
      </c>
      <c r="K21" s="155"/>
      <c r="L21" s="155"/>
      <c r="M21" s="1680"/>
      <c r="N21" s="1680">
        <f t="shared" ref="N21:N24" si="62">SUM(O21:P21)</f>
        <v>76431.55</v>
      </c>
      <c r="O21" s="1680">
        <f t="shared" si="28"/>
        <v>76431.55</v>
      </c>
      <c r="P21" s="1680"/>
      <c r="Q21" s="1717">
        <v>80000</v>
      </c>
      <c r="R21" s="199"/>
      <c r="S21" s="199"/>
      <c r="T21" s="1681">
        <f t="shared" ref="T21:T24" si="63">SUM(U21:V21)</f>
        <v>80000</v>
      </c>
      <c r="U21" s="1681">
        <f t="shared" ref="U21:U24" si="64">Q21-S21-V21</f>
        <v>80000</v>
      </c>
      <c r="V21" s="5540"/>
      <c r="W21" s="5523">
        <v>110000</v>
      </c>
      <c r="X21" s="155"/>
      <c r="Y21" s="157"/>
      <c r="Z21" s="157">
        <f t="shared" ref="Z21:Z24" si="65">SUM(AA21:AB21)</f>
        <v>110000</v>
      </c>
      <c r="AA21" s="157">
        <f t="shared" ref="AA21:AA24" si="66">W21-Y21-AB21</f>
        <v>110000</v>
      </c>
      <c r="AB21" s="157"/>
      <c r="AC21" s="157">
        <v>122000</v>
      </c>
      <c r="AD21" s="157"/>
      <c r="AE21" s="157"/>
      <c r="AF21" s="157">
        <f t="shared" ref="AF21:AF24" si="67">SUM(AG21:AH21)</f>
        <v>122000</v>
      </c>
      <c r="AG21" s="157">
        <f t="shared" ref="AG21:AG24" si="68">AC21-AE21-AH21</f>
        <v>122000</v>
      </c>
      <c r="AH21" s="157"/>
      <c r="AI21" s="157">
        <v>135000</v>
      </c>
      <c r="AJ21" s="157"/>
      <c r="AK21" s="157"/>
      <c r="AL21" s="157">
        <f t="shared" ref="AL21:AL24" si="69">SUM(AM21:AN21)</f>
        <v>135000</v>
      </c>
      <c r="AM21" s="157">
        <f t="shared" ref="AM21:AM24" si="70">AI21-AK21-AN21</f>
        <v>135000</v>
      </c>
      <c r="AN21" s="157"/>
      <c r="AO21" s="157">
        <v>150000</v>
      </c>
      <c r="AP21" s="157"/>
      <c r="AQ21" s="157"/>
      <c r="AR21" s="157">
        <f t="shared" ref="AR21:AR24" si="71">SUM(AS21:AT21)</f>
        <v>150000</v>
      </c>
      <c r="AS21" s="157">
        <f t="shared" ref="AS21:AS24" si="72">AO21-AQ21-AT21</f>
        <v>150000</v>
      </c>
      <c r="AT21" s="157"/>
      <c r="AU21" s="157">
        <v>166000</v>
      </c>
      <c r="AV21" s="157"/>
      <c r="AW21" s="157"/>
      <c r="AX21" s="157">
        <f t="shared" ref="AX21:AX24" si="73">SUM(AY21:AZ21)</f>
        <v>166000</v>
      </c>
      <c r="AY21" s="157">
        <f t="shared" ref="AY21:AY24" si="74">AU21-AW21-AZ21</f>
        <v>166000</v>
      </c>
      <c r="AZ21" s="157"/>
      <c r="BI21" s="6">
        <f t="shared" ref="BI21:BI24" si="75">+J21-D21</f>
        <v>-29568.449999999997</v>
      </c>
      <c r="BJ21" s="6">
        <f t="shared" ref="BJ21:BJ24" si="76">+M21-F21</f>
        <v>0</v>
      </c>
      <c r="BK21" s="6">
        <f t="shared" ref="BK21:BK24" si="77">SUM(BL21:BM21)</f>
        <v>-29568.449999999997</v>
      </c>
      <c r="BL21" s="1703">
        <f t="shared" ref="BL21:BL24" si="78">+O21-H21</f>
        <v>-29568.449999999997</v>
      </c>
      <c r="BM21" s="1703">
        <f t="shared" ref="BM21:BM24" si="79">+P21-I21</f>
        <v>0</v>
      </c>
      <c r="BN21" s="4"/>
    </row>
    <row r="22" spans="1:70">
      <c r="A22" s="5538"/>
      <c r="B22" s="1716" t="s">
        <v>9</v>
      </c>
      <c r="C22" s="152">
        <v>0</v>
      </c>
      <c r="D22" s="152"/>
      <c r="E22" s="153"/>
      <c r="F22" s="154"/>
      <c r="G22" s="154">
        <f t="shared" si="61"/>
        <v>0</v>
      </c>
      <c r="H22" s="154">
        <f t="shared" si="26"/>
        <v>0</v>
      </c>
      <c r="I22" s="154"/>
      <c r="J22" s="160"/>
      <c r="K22" s="155"/>
      <c r="L22" s="155"/>
      <c r="M22" s="1680"/>
      <c r="N22" s="1680">
        <f t="shared" si="62"/>
        <v>0</v>
      </c>
      <c r="O22" s="1680">
        <f t="shared" si="28"/>
        <v>0</v>
      </c>
      <c r="P22" s="1680"/>
      <c r="Q22" s="157"/>
      <c r="R22" s="199"/>
      <c r="S22" s="199"/>
      <c r="T22" s="1681">
        <f t="shared" si="63"/>
        <v>0</v>
      </c>
      <c r="U22" s="1681">
        <f t="shared" si="64"/>
        <v>0</v>
      </c>
      <c r="V22" s="5540"/>
      <c r="W22" s="5523"/>
      <c r="X22" s="155"/>
      <c r="Y22" s="157"/>
      <c r="Z22" s="157">
        <f t="shared" si="65"/>
        <v>0</v>
      </c>
      <c r="AA22" s="157">
        <f t="shared" si="66"/>
        <v>0</v>
      </c>
      <c r="AB22" s="157"/>
      <c r="AC22" s="157"/>
      <c r="AD22" s="157"/>
      <c r="AE22" s="157"/>
      <c r="AF22" s="157">
        <f t="shared" si="67"/>
        <v>0</v>
      </c>
      <c r="AG22" s="157">
        <f t="shared" si="68"/>
        <v>0</v>
      </c>
      <c r="AH22" s="157"/>
      <c r="AI22" s="157"/>
      <c r="AJ22" s="157"/>
      <c r="AK22" s="157"/>
      <c r="AL22" s="157">
        <f t="shared" si="69"/>
        <v>0</v>
      </c>
      <c r="AM22" s="157">
        <f t="shared" si="70"/>
        <v>0</v>
      </c>
      <c r="AN22" s="157"/>
      <c r="AO22" s="157"/>
      <c r="AP22" s="157"/>
      <c r="AQ22" s="157"/>
      <c r="AR22" s="157">
        <f t="shared" si="71"/>
        <v>0</v>
      </c>
      <c r="AS22" s="157">
        <f t="shared" si="72"/>
        <v>0</v>
      </c>
      <c r="AT22" s="157"/>
      <c r="AU22" s="157"/>
      <c r="AV22" s="157"/>
      <c r="AW22" s="157"/>
      <c r="AX22" s="157">
        <f t="shared" si="73"/>
        <v>0</v>
      </c>
      <c r="AY22" s="157">
        <f t="shared" si="74"/>
        <v>0</v>
      </c>
      <c r="AZ22" s="157"/>
      <c r="BI22" s="6">
        <f t="shared" si="75"/>
        <v>0</v>
      </c>
      <c r="BJ22" s="6">
        <f t="shared" si="76"/>
        <v>0</v>
      </c>
      <c r="BK22" s="6">
        <f t="shared" si="77"/>
        <v>0</v>
      </c>
      <c r="BL22" s="1703">
        <f t="shared" si="78"/>
        <v>0</v>
      </c>
      <c r="BM22" s="1703">
        <f t="shared" si="79"/>
        <v>0</v>
      </c>
      <c r="BN22" s="4"/>
    </row>
    <row r="23" spans="1:70" ht="16.8">
      <c r="A23" s="5538"/>
      <c r="B23" s="1716" t="s">
        <v>10</v>
      </c>
      <c r="C23" s="152">
        <f>84000</f>
        <v>84000</v>
      </c>
      <c r="D23" s="152">
        <f>C23</f>
        <v>84000</v>
      </c>
      <c r="E23" s="153"/>
      <c r="F23" s="154"/>
      <c r="G23" s="154">
        <f t="shared" si="61"/>
        <v>84000</v>
      </c>
      <c r="H23" s="154">
        <f t="shared" si="26"/>
        <v>84000</v>
      </c>
      <c r="I23" s="154"/>
      <c r="J23" s="160">
        <v>32602</v>
      </c>
      <c r="K23" s="155"/>
      <c r="L23" s="155"/>
      <c r="M23" s="1680"/>
      <c r="N23" s="1680">
        <f t="shared" si="62"/>
        <v>32602</v>
      </c>
      <c r="O23" s="1680">
        <f t="shared" si="28"/>
        <v>32602</v>
      </c>
      <c r="P23" s="1680"/>
      <c r="Q23" s="1717">
        <v>80000</v>
      </c>
      <c r="R23" s="199"/>
      <c r="S23" s="199"/>
      <c r="T23" s="1681">
        <f t="shared" si="63"/>
        <v>80000</v>
      </c>
      <c r="U23" s="1681">
        <f t="shared" si="64"/>
        <v>80000</v>
      </c>
      <c r="V23" s="5540"/>
      <c r="W23" s="5523">
        <v>95000</v>
      </c>
      <c r="X23" s="155"/>
      <c r="Y23" s="157"/>
      <c r="Z23" s="157">
        <f t="shared" si="65"/>
        <v>95000</v>
      </c>
      <c r="AA23" s="157">
        <f t="shared" si="66"/>
        <v>95000</v>
      </c>
      <c r="AB23" s="157"/>
      <c r="AC23" s="157">
        <v>100000</v>
      </c>
      <c r="AD23" s="157"/>
      <c r="AE23" s="157"/>
      <c r="AF23" s="157">
        <f t="shared" si="67"/>
        <v>100000</v>
      </c>
      <c r="AG23" s="157">
        <f t="shared" si="68"/>
        <v>100000</v>
      </c>
      <c r="AH23" s="157"/>
      <c r="AI23" s="157">
        <v>110000</v>
      </c>
      <c r="AJ23" s="157"/>
      <c r="AK23" s="157"/>
      <c r="AL23" s="157">
        <f t="shared" si="69"/>
        <v>110000</v>
      </c>
      <c r="AM23" s="157">
        <f t="shared" si="70"/>
        <v>110000</v>
      </c>
      <c r="AN23" s="157"/>
      <c r="AO23" s="157">
        <v>120000</v>
      </c>
      <c r="AP23" s="157"/>
      <c r="AQ23" s="157"/>
      <c r="AR23" s="157">
        <f t="shared" si="71"/>
        <v>120000</v>
      </c>
      <c r="AS23" s="157">
        <f t="shared" si="72"/>
        <v>120000</v>
      </c>
      <c r="AT23" s="157"/>
      <c r="AU23" s="157">
        <v>135000</v>
      </c>
      <c r="AV23" s="157"/>
      <c r="AW23" s="157"/>
      <c r="AX23" s="157">
        <f t="shared" si="73"/>
        <v>135000</v>
      </c>
      <c r="AY23" s="157">
        <f t="shared" si="74"/>
        <v>135000</v>
      </c>
      <c r="AZ23" s="157"/>
      <c r="BI23" s="6">
        <f t="shared" si="75"/>
        <v>-51398</v>
      </c>
      <c r="BJ23" s="6">
        <f t="shared" si="76"/>
        <v>0</v>
      </c>
      <c r="BK23" s="6">
        <f t="shared" si="77"/>
        <v>-51398</v>
      </c>
      <c r="BL23" s="1703">
        <f t="shared" si="78"/>
        <v>-51398</v>
      </c>
      <c r="BM23" s="1703">
        <f t="shared" si="79"/>
        <v>0</v>
      </c>
      <c r="BN23" s="4"/>
    </row>
    <row r="24" spans="1:70">
      <c r="A24" s="5538"/>
      <c r="B24" s="1716" t="s">
        <v>11</v>
      </c>
      <c r="C24" s="152">
        <v>0</v>
      </c>
      <c r="D24" s="152"/>
      <c r="E24" s="153"/>
      <c r="F24" s="154"/>
      <c r="G24" s="154">
        <f t="shared" si="61"/>
        <v>0</v>
      </c>
      <c r="H24" s="154">
        <f t="shared" si="26"/>
        <v>0</v>
      </c>
      <c r="I24" s="154"/>
      <c r="J24" s="160"/>
      <c r="K24" s="155"/>
      <c r="L24" s="155"/>
      <c r="M24" s="1680"/>
      <c r="N24" s="1680">
        <f t="shared" si="62"/>
        <v>0</v>
      </c>
      <c r="O24" s="1680">
        <f t="shared" si="28"/>
        <v>0</v>
      </c>
      <c r="P24" s="1680"/>
      <c r="Q24" s="157"/>
      <c r="R24" s="199"/>
      <c r="S24" s="199"/>
      <c r="T24" s="1681">
        <f t="shared" si="63"/>
        <v>0</v>
      </c>
      <c r="U24" s="1681">
        <f t="shared" si="64"/>
        <v>0</v>
      </c>
      <c r="V24" s="5540"/>
      <c r="W24" s="5523"/>
      <c r="X24" s="155"/>
      <c r="Y24" s="157"/>
      <c r="Z24" s="157">
        <f t="shared" si="65"/>
        <v>0</v>
      </c>
      <c r="AA24" s="157">
        <f t="shared" si="66"/>
        <v>0</v>
      </c>
      <c r="AB24" s="157"/>
      <c r="AC24" s="157"/>
      <c r="AD24" s="157"/>
      <c r="AE24" s="157"/>
      <c r="AF24" s="157">
        <f t="shared" si="67"/>
        <v>0</v>
      </c>
      <c r="AG24" s="157">
        <f t="shared" si="68"/>
        <v>0</v>
      </c>
      <c r="AH24" s="157"/>
      <c r="AI24" s="157"/>
      <c r="AJ24" s="157"/>
      <c r="AK24" s="157"/>
      <c r="AL24" s="157">
        <f t="shared" si="69"/>
        <v>0</v>
      </c>
      <c r="AM24" s="157">
        <f t="shared" si="70"/>
        <v>0</v>
      </c>
      <c r="AN24" s="157"/>
      <c r="AO24" s="157"/>
      <c r="AP24" s="157"/>
      <c r="AQ24" s="157"/>
      <c r="AR24" s="157">
        <f t="shared" si="71"/>
        <v>0</v>
      </c>
      <c r="AS24" s="157">
        <f t="shared" si="72"/>
        <v>0</v>
      </c>
      <c r="AT24" s="157"/>
      <c r="AU24" s="157"/>
      <c r="AV24" s="157"/>
      <c r="AW24" s="157"/>
      <c r="AX24" s="157">
        <f t="shared" si="73"/>
        <v>0</v>
      </c>
      <c r="AY24" s="157">
        <f t="shared" si="74"/>
        <v>0</v>
      </c>
      <c r="AZ24" s="157"/>
      <c r="BI24" s="6">
        <f t="shared" si="75"/>
        <v>0</v>
      </c>
      <c r="BJ24" s="6">
        <f t="shared" si="76"/>
        <v>0</v>
      </c>
      <c r="BK24" s="6">
        <f t="shared" si="77"/>
        <v>0</v>
      </c>
      <c r="BL24" s="1703">
        <f t="shared" si="78"/>
        <v>0</v>
      </c>
      <c r="BM24" s="1703">
        <f t="shared" si="79"/>
        <v>0</v>
      </c>
      <c r="BN24" s="4"/>
    </row>
    <row r="25" spans="1:70">
      <c r="A25" s="5538">
        <v>3</v>
      </c>
      <c r="B25" s="165" t="s">
        <v>13</v>
      </c>
      <c r="C25" s="147">
        <f>SUM(C26:C29)</f>
        <v>75000</v>
      </c>
      <c r="D25" s="147">
        <f>SUM(D26:D29)</f>
        <v>75000</v>
      </c>
      <c r="E25" s="148"/>
      <c r="F25" s="149">
        <f>SUM(F26:F29)</f>
        <v>0</v>
      </c>
      <c r="G25" s="149">
        <f>SUM(G26:G29)</f>
        <v>75000</v>
      </c>
      <c r="H25" s="149">
        <f t="shared" ref="H25:I25" si="80">SUM(H26:H29)</f>
        <v>75000</v>
      </c>
      <c r="I25" s="149">
        <f t="shared" si="80"/>
        <v>0</v>
      </c>
      <c r="J25" s="147">
        <f>SUM(J26:J29)</f>
        <v>107000</v>
      </c>
      <c r="K25" s="141">
        <f>J25/C25*100</f>
        <v>142.66666666666669</v>
      </c>
      <c r="L25" s="1672">
        <f>J25/D25*100</f>
        <v>142.66666666666669</v>
      </c>
      <c r="M25" s="150">
        <f>SUM(M26:M29)</f>
        <v>0</v>
      </c>
      <c r="N25" s="150">
        <f t="shared" ref="N25:P25" si="81">SUM(N26:N29)</f>
        <v>107000</v>
      </c>
      <c r="O25" s="150">
        <f t="shared" si="81"/>
        <v>107000</v>
      </c>
      <c r="P25" s="150">
        <f t="shared" si="81"/>
        <v>0</v>
      </c>
      <c r="Q25" s="142">
        <f>SUM(Q26:Q29)</f>
        <v>70000</v>
      </c>
      <c r="R25" s="1674">
        <f>Q25/J25*100</f>
        <v>65.420560747663544</v>
      </c>
      <c r="S25" s="1682">
        <f>SUM(S26:S29)</f>
        <v>0</v>
      </c>
      <c r="T25" s="1683">
        <f t="shared" ref="T25:V25" si="82">SUM(T26:T29)</f>
        <v>70000</v>
      </c>
      <c r="U25" s="1683">
        <f t="shared" si="82"/>
        <v>70000</v>
      </c>
      <c r="V25" s="5541">
        <f t="shared" si="82"/>
        <v>0</v>
      </c>
      <c r="W25" s="5524">
        <f>SUM(W26:W29)</f>
        <v>110000</v>
      </c>
      <c r="X25" s="141">
        <f>W25/Q25*100</f>
        <v>157.14285714285714</v>
      </c>
      <c r="Y25" s="142">
        <f>SUM(Y26:Y29)</f>
        <v>0</v>
      </c>
      <c r="Z25" s="142">
        <f t="shared" ref="Z25:AB25" si="83">SUM(Z26:Z29)</f>
        <v>110000</v>
      </c>
      <c r="AA25" s="142">
        <f t="shared" si="83"/>
        <v>110000</v>
      </c>
      <c r="AB25" s="142">
        <f t="shared" si="83"/>
        <v>0</v>
      </c>
      <c r="AC25" s="142">
        <f>SUM(AC26:AC29)</f>
        <v>120000</v>
      </c>
      <c r="AD25" s="142">
        <f>AC25/W25*100</f>
        <v>109.09090909090908</v>
      </c>
      <c r="AE25" s="142">
        <f>SUM(AE26:AE29)</f>
        <v>0</v>
      </c>
      <c r="AF25" s="142">
        <f t="shared" ref="AF25:AH25" si="84">SUM(AF26:AF29)</f>
        <v>120000</v>
      </c>
      <c r="AG25" s="142">
        <f t="shared" si="84"/>
        <v>120000</v>
      </c>
      <c r="AH25" s="142">
        <f t="shared" si="84"/>
        <v>0</v>
      </c>
      <c r="AI25" s="142">
        <f>SUM(AI26:AI29)</f>
        <v>130000</v>
      </c>
      <c r="AJ25" s="142">
        <f>AI25/AC25*100</f>
        <v>108.33333333333333</v>
      </c>
      <c r="AK25" s="142">
        <f>SUM(AK26:AK29)</f>
        <v>0</v>
      </c>
      <c r="AL25" s="142">
        <f t="shared" ref="AL25:AN25" si="85">SUM(AL26:AL29)</f>
        <v>130000</v>
      </c>
      <c r="AM25" s="142">
        <f t="shared" si="85"/>
        <v>0</v>
      </c>
      <c r="AN25" s="142">
        <f t="shared" si="85"/>
        <v>130000</v>
      </c>
      <c r="AO25" s="142">
        <f>SUM(AO26:AO29)</f>
        <v>140000</v>
      </c>
      <c r="AP25" s="142">
        <f>AO25/AI25*100</f>
        <v>107.69230769230769</v>
      </c>
      <c r="AQ25" s="142">
        <f>SUM(AQ26:AQ29)</f>
        <v>0</v>
      </c>
      <c r="AR25" s="142">
        <f t="shared" ref="AR25:AT25" si="86">SUM(AR26:AR29)</f>
        <v>140000</v>
      </c>
      <c r="AS25" s="142">
        <f t="shared" si="86"/>
        <v>140000</v>
      </c>
      <c r="AT25" s="142">
        <f t="shared" si="86"/>
        <v>0</v>
      </c>
      <c r="AU25" s="142">
        <f>SUM(AU26:AU29)</f>
        <v>153000</v>
      </c>
      <c r="AV25" s="142">
        <f>AU25/AO25*100</f>
        <v>109.28571428571428</v>
      </c>
      <c r="AW25" s="142">
        <f>SUM(AW26:AW29)</f>
        <v>0</v>
      </c>
      <c r="AX25" s="142">
        <f t="shared" ref="AX25:AZ25" si="87">SUM(AX26:AX29)</f>
        <v>153000</v>
      </c>
      <c r="AY25" s="142">
        <f t="shared" si="87"/>
        <v>153000</v>
      </c>
      <c r="AZ25" s="142">
        <f t="shared" si="87"/>
        <v>0</v>
      </c>
      <c r="BI25" s="142">
        <f>SUM(BI26:BI29)</f>
        <v>32000</v>
      </c>
      <c r="BJ25" s="142">
        <f t="shared" ref="BJ25" si="88">SUM(BJ26:BJ29)</f>
        <v>0</v>
      </c>
      <c r="BK25" s="142">
        <f>SUM(BK26:BK29)</f>
        <v>32000</v>
      </c>
      <c r="BL25" s="142">
        <f t="shared" ref="BL25:BM25" si="89">SUM(BL26:BL29)</f>
        <v>32000</v>
      </c>
      <c r="BM25" s="142">
        <f t="shared" si="89"/>
        <v>0</v>
      </c>
      <c r="BN25" s="4"/>
      <c r="BQ25" s="6">
        <f>+'Biểu số 1'!AZ25</f>
        <v>63555</v>
      </c>
      <c r="BR25" s="816">
        <f>+J25/BQ25-100%</f>
        <v>0.68358115018487919</v>
      </c>
    </row>
    <row r="26" spans="1:70" ht="16.8">
      <c r="A26" s="5538"/>
      <c r="B26" s="1716" t="s">
        <v>7</v>
      </c>
      <c r="C26" s="152">
        <v>16000</v>
      </c>
      <c r="D26" s="152">
        <f>C26</f>
        <v>16000</v>
      </c>
      <c r="E26" s="153"/>
      <c r="F26" s="154"/>
      <c r="G26" s="154">
        <f>SUM(H26:I26)</f>
        <v>16000</v>
      </c>
      <c r="H26" s="154">
        <f t="shared" si="26"/>
        <v>16000</v>
      </c>
      <c r="I26" s="154"/>
      <c r="J26" s="160">
        <v>9893</v>
      </c>
      <c r="K26" s="155"/>
      <c r="L26" s="155"/>
      <c r="M26" s="1680"/>
      <c r="N26" s="1680">
        <f>SUM(O26:P26)</f>
        <v>9893</v>
      </c>
      <c r="O26" s="1680">
        <f>J26-M26-P26</f>
        <v>9893</v>
      </c>
      <c r="P26" s="1680"/>
      <c r="Q26" s="1717">
        <v>16000</v>
      </c>
      <c r="R26" s="199"/>
      <c r="S26" s="199"/>
      <c r="T26" s="1681">
        <f>SUM(U26:V26)</f>
        <v>16000</v>
      </c>
      <c r="U26" s="1681">
        <f>Q26-S26-V26</f>
        <v>16000</v>
      </c>
      <c r="V26" s="5540"/>
      <c r="W26" s="5523">
        <v>24000</v>
      </c>
      <c r="X26" s="155"/>
      <c r="Y26" s="157"/>
      <c r="Z26" s="157">
        <f>SUM(AA26:AB26)</f>
        <v>24000</v>
      </c>
      <c r="AA26" s="157">
        <f>W26-Y26-AB26</f>
        <v>24000</v>
      </c>
      <c r="AB26" s="157"/>
      <c r="AC26" s="157">
        <v>26000</v>
      </c>
      <c r="AD26" s="157"/>
      <c r="AE26" s="157"/>
      <c r="AF26" s="157">
        <f>SUM(AG26:AH26)</f>
        <v>26000</v>
      </c>
      <c r="AG26" s="157">
        <f>AC26-AE26-AH26</f>
        <v>26000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I26" s="6">
        <f t="shared" ref="BI26" si="90">+J26-D26</f>
        <v>-6107</v>
      </c>
      <c r="BJ26" s="6">
        <f t="shared" ref="BJ26" si="91">+M26-F26</f>
        <v>0</v>
      </c>
      <c r="BK26" s="6">
        <f t="shared" ref="BK26" si="92">SUM(BL26:BM26)</f>
        <v>-6107</v>
      </c>
      <c r="BL26" s="1703">
        <f t="shared" ref="BL26" si="93">+O26-H26</f>
        <v>-6107</v>
      </c>
      <c r="BM26" s="1703">
        <f t="shared" ref="BM26" si="94">+P26-I26</f>
        <v>0</v>
      </c>
      <c r="BN26" s="4"/>
    </row>
    <row r="27" spans="1:70" ht="16.8">
      <c r="A27" s="5538"/>
      <c r="B27" s="1716" t="s">
        <v>8</v>
      </c>
      <c r="C27" s="152">
        <v>59000</v>
      </c>
      <c r="D27" s="152">
        <f>C27</f>
        <v>59000</v>
      </c>
      <c r="E27" s="153"/>
      <c r="F27" s="154"/>
      <c r="G27" s="154">
        <f t="shared" ref="G27:G29" si="95">SUM(H27:I27)</f>
        <v>59000</v>
      </c>
      <c r="H27" s="154">
        <f t="shared" si="26"/>
        <v>59000</v>
      </c>
      <c r="I27" s="154"/>
      <c r="J27" s="160">
        <v>97094</v>
      </c>
      <c r="K27" s="155"/>
      <c r="L27" s="155"/>
      <c r="M27" s="1680"/>
      <c r="N27" s="1680">
        <f t="shared" ref="N27:N29" si="96">SUM(O27:P27)</f>
        <v>97094</v>
      </c>
      <c r="O27" s="1680">
        <f t="shared" ref="O27:O29" si="97">J27-M27-P27</f>
        <v>97094</v>
      </c>
      <c r="P27" s="1680"/>
      <c r="Q27" s="1717">
        <v>54000</v>
      </c>
      <c r="R27" s="199"/>
      <c r="S27" s="199"/>
      <c r="T27" s="1681">
        <f t="shared" ref="T27:T29" si="98">SUM(U27:V27)</f>
        <v>54000</v>
      </c>
      <c r="U27" s="1681">
        <f t="shared" ref="U27:U29" si="99">Q27-S27-V27</f>
        <v>54000</v>
      </c>
      <c r="V27" s="5540"/>
      <c r="W27" s="5523">
        <v>86000</v>
      </c>
      <c r="X27" s="155"/>
      <c r="Y27" s="157"/>
      <c r="Z27" s="157">
        <f t="shared" ref="Z27:Z29" si="100">SUM(AA27:AB27)</f>
        <v>86000</v>
      </c>
      <c r="AA27" s="157">
        <f t="shared" ref="AA27:AA29" si="101">W27-Y27-AB27</f>
        <v>86000</v>
      </c>
      <c r="AB27" s="157"/>
      <c r="AC27" s="157">
        <v>94000</v>
      </c>
      <c r="AD27" s="157"/>
      <c r="AE27" s="157"/>
      <c r="AF27" s="157">
        <f t="shared" ref="AF27:AF29" si="102">SUM(AG27:AH27)</f>
        <v>94000</v>
      </c>
      <c r="AG27" s="157">
        <f t="shared" ref="AG27:AG29" si="103">AC27-AE27-AH27</f>
        <v>94000</v>
      </c>
      <c r="AH27" s="157"/>
      <c r="AI27" s="157">
        <v>102000</v>
      </c>
      <c r="AJ27" s="157"/>
      <c r="AK27" s="157"/>
      <c r="AL27" s="157">
        <f t="shared" ref="AL27:AL29" si="104">SUM(AM27:AN27)</f>
        <v>102000</v>
      </c>
      <c r="AM27" s="157">
        <f t="shared" ref="AM27:AM29" si="105">AI27-AK27-AN27</f>
        <v>0</v>
      </c>
      <c r="AN27" s="157">
        <f>AI27</f>
        <v>102000</v>
      </c>
      <c r="AO27" s="157">
        <v>110000</v>
      </c>
      <c r="AP27" s="157"/>
      <c r="AQ27" s="157"/>
      <c r="AR27" s="157">
        <f t="shared" ref="AR27:AR29" si="106">SUM(AS27:AT27)</f>
        <v>110000</v>
      </c>
      <c r="AS27" s="157">
        <f t="shared" ref="AS27:AS29" si="107">AO27-AQ27-AT27</f>
        <v>110000</v>
      </c>
      <c r="AT27" s="157"/>
      <c r="AU27" s="157">
        <v>120500</v>
      </c>
      <c r="AV27" s="157"/>
      <c r="AW27" s="157"/>
      <c r="AX27" s="157">
        <f t="shared" ref="AX27:AX29" si="108">SUM(AY27:AZ27)</f>
        <v>120500</v>
      </c>
      <c r="AY27" s="157">
        <f t="shared" ref="AY27:AY29" si="109">AU27-AW27-AZ27</f>
        <v>120500</v>
      </c>
      <c r="AZ27" s="157"/>
      <c r="BI27" s="6">
        <f t="shared" ref="BI27:BI29" si="110">+J27-D27</f>
        <v>38094</v>
      </c>
      <c r="BJ27" s="6">
        <f t="shared" ref="BJ27:BJ29" si="111">+M27-F27</f>
        <v>0</v>
      </c>
      <c r="BK27" s="6">
        <f t="shared" ref="BK27:BK28" si="112">SUM(BL27:BM27)</f>
        <v>38094</v>
      </c>
      <c r="BL27" s="1703">
        <f t="shared" ref="BL27:BL29" si="113">+O27-H27</f>
        <v>38094</v>
      </c>
      <c r="BM27" s="1703">
        <f t="shared" ref="BM27:BM29" si="114">+P27-I27</f>
        <v>0</v>
      </c>
      <c r="BN27" s="4"/>
    </row>
    <row r="28" spans="1:70">
      <c r="A28" s="5538"/>
      <c r="B28" s="1716" t="s">
        <v>10</v>
      </c>
      <c r="C28" s="152">
        <v>0</v>
      </c>
      <c r="D28" s="152"/>
      <c r="E28" s="153"/>
      <c r="F28" s="154"/>
      <c r="G28" s="154">
        <f t="shared" si="95"/>
        <v>0</v>
      </c>
      <c r="H28" s="154">
        <f t="shared" si="26"/>
        <v>0</v>
      </c>
      <c r="I28" s="154"/>
      <c r="J28" s="160">
        <v>13</v>
      </c>
      <c r="K28" s="155"/>
      <c r="L28" s="155"/>
      <c r="M28" s="1680"/>
      <c r="N28" s="1680">
        <f t="shared" si="96"/>
        <v>13</v>
      </c>
      <c r="O28" s="1680">
        <f t="shared" si="97"/>
        <v>13</v>
      </c>
      <c r="P28" s="1680"/>
      <c r="Q28" s="157"/>
      <c r="R28" s="199"/>
      <c r="S28" s="199"/>
      <c r="T28" s="1681">
        <f t="shared" si="98"/>
        <v>0</v>
      </c>
      <c r="U28" s="1681">
        <f t="shared" si="99"/>
        <v>0</v>
      </c>
      <c r="V28" s="5540"/>
      <c r="W28" s="5523"/>
      <c r="X28" s="155"/>
      <c r="Y28" s="157"/>
      <c r="Z28" s="157">
        <f t="shared" si="100"/>
        <v>0</v>
      </c>
      <c r="AA28" s="157">
        <f t="shared" si="101"/>
        <v>0</v>
      </c>
      <c r="AB28" s="157"/>
      <c r="AC28" s="157"/>
      <c r="AD28" s="157"/>
      <c r="AE28" s="157"/>
      <c r="AF28" s="157">
        <f t="shared" si="102"/>
        <v>0</v>
      </c>
      <c r="AG28" s="157">
        <f t="shared" si="103"/>
        <v>0</v>
      </c>
      <c r="AH28" s="157"/>
      <c r="AI28" s="157">
        <v>0</v>
      </c>
      <c r="AJ28" s="157"/>
      <c r="AK28" s="157"/>
      <c r="AL28" s="157">
        <f t="shared" si="104"/>
        <v>0</v>
      </c>
      <c r="AM28" s="157">
        <f t="shared" si="105"/>
        <v>0</v>
      </c>
      <c r="AN28" s="157"/>
      <c r="AO28" s="157"/>
      <c r="AP28" s="157"/>
      <c r="AQ28" s="157"/>
      <c r="AR28" s="157">
        <f t="shared" si="106"/>
        <v>0</v>
      </c>
      <c r="AS28" s="157">
        <f t="shared" si="107"/>
        <v>0</v>
      </c>
      <c r="AT28" s="157"/>
      <c r="AU28" s="157"/>
      <c r="AV28" s="157"/>
      <c r="AW28" s="157"/>
      <c r="AX28" s="157">
        <f t="shared" si="108"/>
        <v>0</v>
      </c>
      <c r="AY28" s="157">
        <f t="shared" si="109"/>
        <v>0</v>
      </c>
      <c r="AZ28" s="157"/>
      <c r="BI28" s="6">
        <f t="shared" si="110"/>
        <v>13</v>
      </c>
      <c r="BJ28" s="6">
        <f t="shared" si="111"/>
        <v>0</v>
      </c>
      <c r="BK28" s="6">
        <f t="shared" si="112"/>
        <v>13</v>
      </c>
      <c r="BL28" s="1703">
        <f t="shared" si="113"/>
        <v>13</v>
      </c>
      <c r="BM28" s="1703">
        <f t="shared" si="114"/>
        <v>0</v>
      </c>
      <c r="BN28" s="4"/>
    </row>
    <row r="29" spans="1:70">
      <c r="A29" s="5538"/>
      <c r="B29" s="1716" t="s">
        <v>14</v>
      </c>
      <c r="C29" s="152">
        <v>0</v>
      </c>
      <c r="D29" s="152"/>
      <c r="E29" s="153"/>
      <c r="F29" s="154"/>
      <c r="G29" s="154">
        <f t="shared" si="95"/>
        <v>0</v>
      </c>
      <c r="H29" s="154">
        <f t="shared" si="26"/>
        <v>0</v>
      </c>
      <c r="I29" s="154"/>
      <c r="J29" s="160"/>
      <c r="K29" s="155"/>
      <c r="L29" s="155"/>
      <c r="M29" s="1680"/>
      <c r="N29" s="1680">
        <f t="shared" si="96"/>
        <v>0</v>
      </c>
      <c r="O29" s="1680">
        <f t="shared" si="97"/>
        <v>0</v>
      </c>
      <c r="P29" s="1680"/>
      <c r="Q29" s="157"/>
      <c r="R29" s="199"/>
      <c r="S29" s="199"/>
      <c r="T29" s="1681">
        <f t="shared" si="98"/>
        <v>0</v>
      </c>
      <c r="U29" s="1681">
        <f t="shared" si="99"/>
        <v>0</v>
      </c>
      <c r="V29" s="5540"/>
      <c r="W29" s="5523"/>
      <c r="X29" s="155"/>
      <c r="Y29" s="157"/>
      <c r="Z29" s="157">
        <f t="shared" si="100"/>
        <v>0</v>
      </c>
      <c r="AA29" s="157">
        <f t="shared" si="101"/>
        <v>0</v>
      </c>
      <c r="AB29" s="157"/>
      <c r="AC29" s="157"/>
      <c r="AD29" s="157"/>
      <c r="AE29" s="157"/>
      <c r="AF29" s="157">
        <f t="shared" si="102"/>
        <v>0</v>
      </c>
      <c r="AG29" s="157">
        <f t="shared" si="103"/>
        <v>0</v>
      </c>
      <c r="AH29" s="157"/>
      <c r="AI29" s="157">
        <v>0</v>
      </c>
      <c r="AJ29" s="157"/>
      <c r="AK29" s="157"/>
      <c r="AL29" s="157">
        <f t="shared" si="104"/>
        <v>0</v>
      </c>
      <c r="AM29" s="157">
        <f t="shared" si="105"/>
        <v>0</v>
      </c>
      <c r="AN29" s="157"/>
      <c r="AO29" s="157"/>
      <c r="AP29" s="157"/>
      <c r="AQ29" s="157"/>
      <c r="AR29" s="157">
        <f t="shared" si="106"/>
        <v>0</v>
      </c>
      <c r="AS29" s="157">
        <f t="shared" si="107"/>
        <v>0</v>
      </c>
      <c r="AT29" s="157"/>
      <c r="AU29" s="157"/>
      <c r="AV29" s="157"/>
      <c r="AW29" s="157"/>
      <c r="AX29" s="157">
        <f t="shared" si="108"/>
        <v>0</v>
      </c>
      <c r="AY29" s="157">
        <f t="shared" si="109"/>
        <v>0</v>
      </c>
      <c r="AZ29" s="157"/>
      <c r="BI29" s="6">
        <f t="shared" si="110"/>
        <v>0</v>
      </c>
      <c r="BJ29" s="6">
        <f t="shared" si="111"/>
        <v>0</v>
      </c>
      <c r="BK29" s="6">
        <f>SUM(BL29:BM29)</f>
        <v>0</v>
      </c>
      <c r="BL29" s="1703">
        <f t="shared" si="113"/>
        <v>0</v>
      </c>
      <c r="BM29" s="1703">
        <f t="shared" si="114"/>
        <v>0</v>
      </c>
      <c r="BN29" s="4"/>
    </row>
    <row r="30" spans="1:70">
      <c r="A30" s="5538">
        <v>4</v>
      </c>
      <c r="B30" s="165" t="s">
        <v>15</v>
      </c>
      <c r="C30" s="147">
        <f>SUM(C31:C35)</f>
        <v>1652000</v>
      </c>
      <c r="D30" s="147">
        <f>SUM(D31:D35)</f>
        <v>1701000</v>
      </c>
      <c r="E30" s="148"/>
      <c r="F30" s="149">
        <f>SUM(F31:F35)</f>
        <v>0</v>
      </c>
      <c r="G30" s="149">
        <f>SUM(G31:G35)</f>
        <v>1701000</v>
      </c>
      <c r="H30" s="149">
        <f>SUM(H31:H35)</f>
        <v>70920</v>
      </c>
      <c r="I30" s="149">
        <f>SUM(I31:I35)</f>
        <v>1630080</v>
      </c>
      <c r="J30" s="147">
        <f>SUM(J31:J35)</f>
        <v>1400000.3199999998</v>
      </c>
      <c r="K30" s="141">
        <f>J30/C30*100</f>
        <v>84.745782082324453</v>
      </c>
      <c r="L30" s="1672">
        <f>J30/D30*100</f>
        <v>82.304545561434438</v>
      </c>
      <c r="M30" s="150">
        <f>SUM(M31:M35)</f>
        <v>0</v>
      </c>
      <c r="N30" s="150">
        <f t="shared" ref="N30:P30" si="115">SUM(N31:N35)</f>
        <v>1400000.3199999998</v>
      </c>
      <c r="O30" s="150">
        <f t="shared" si="115"/>
        <v>92385.659999999989</v>
      </c>
      <c r="P30" s="150">
        <f t="shared" si="115"/>
        <v>1307614.6599999999</v>
      </c>
      <c r="Q30" s="142">
        <f>SUM(Q31:Q35)</f>
        <v>1550000</v>
      </c>
      <c r="R30" s="1674">
        <f>Q30/J30*100</f>
        <v>110.71426040816905</v>
      </c>
      <c r="S30" s="1682">
        <f>SUM(S31:S35)</f>
        <v>0</v>
      </c>
      <c r="T30" s="1683">
        <f t="shared" ref="T30:V30" si="116">SUM(T31:T35)</f>
        <v>1550000</v>
      </c>
      <c r="U30" s="1683">
        <f t="shared" si="116"/>
        <v>73000</v>
      </c>
      <c r="V30" s="5541">
        <f t="shared" si="116"/>
        <v>1477000</v>
      </c>
      <c r="W30" s="5524">
        <f>SUM(W31:W35)</f>
        <v>1770000</v>
      </c>
      <c r="X30" s="141">
        <f>W30/Q30*100</f>
        <v>114.19354838709677</v>
      </c>
      <c r="Y30" s="142">
        <f>SUM(Y31:Y35)</f>
        <v>0</v>
      </c>
      <c r="Z30" s="142">
        <f t="shared" ref="Z30:AB30" si="117">SUM(Z31:Z35)</f>
        <v>1770000</v>
      </c>
      <c r="AA30" s="142">
        <f t="shared" si="117"/>
        <v>92900</v>
      </c>
      <c r="AB30" s="142">
        <f t="shared" si="117"/>
        <v>1677100</v>
      </c>
      <c r="AC30" s="142">
        <f>SUM(AC31:AC35)</f>
        <v>1980000</v>
      </c>
      <c r="AD30" s="142">
        <f>AC30/W30*100</f>
        <v>111.86440677966101</v>
      </c>
      <c r="AE30" s="142">
        <f>SUM(AE31:AE35)</f>
        <v>0</v>
      </c>
      <c r="AF30" s="142">
        <f t="shared" ref="AF30:AH30" si="118">SUM(AF31:AF35)</f>
        <v>1980000</v>
      </c>
      <c r="AG30" s="142">
        <f t="shared" si="118"/>
        <v>98900</v>
      </c>
      <c r="AH30" s="142">
        <f t="shared" si="118"/>
        <v>1881100</v>
      </c>
      <c r="AI30" s="142">
        <f>SUM(AI31:AI35)</f>
        <v>2190000</v>
      </c>
      <c r="AJ30" s="142">
        <f>AI30/AC30*100</f>
        <v>110.60606060606059</v>
      </c>
      <c r="AK30" s="142">
        <f>SUM(AK31:AK35)</f>
        <v>0</v>
      </c>
      <c r="AL30" s="142">
        <f t="shared" ref="AL30:AN30" si="119">SUM(AL31:AL35)</f>
        <v>2190000</v>
      </c>
      <c r="AM30" s="142">
        <f t="shared" si="119"/>
        <v>105900</v>
      </c>
      <c r="AN30" s="142">
        <f t="shared" si="119"/>
        <v>2084100</v>
      </c>
      <c r="AO30" s="142">
        <f>SUM(AO31:AO35)</f>
        <v>2430000</v>
      </c>
      <c r="AP30" s="142">
        <f>AO30/AI30*100</f>
        <v>110.95890410958904</v>
      </c>
      <c r="AQ30" s="142">
        <f>SUM(AQ31:AQ35)</f>
        <v>0</v>
      </c>
      <c r="AR30" s="142">
        <f t="shared" ref="AR30:AT30" si="120">SUM(AR31:AR35)</f>
        <v>2430000</v>
      </c>
      <c r="AS30" s="142">
        <f t="shared" si="120"/>
        <v>114900</v>
      </c>
      <c r="AT30" s="142">
        <f t="shared" si="120"/>
        <v>2315100</v>
      </c>
      <c r="AU30" s="142">
        <f>SUM(AU31:AU35)</f>
        <v>2730000</v>
      </c>
      <c r="AV30" s="142">
        <f>AU30/AO30*100</f>
        <v>112.34567901234568</v>
      </c>
      <c r="AW30" s="142">
        <f>SUM(AW31:AW35)</f>
        <v>0</v>
      </c>
      <c r="AX30" s="142">
        <f t="shared" ref="AX30:AZ30" si="121">SUM(AX31:AX35)</f>
        <v>2730000</v>
      </c>
      <c r="AY30" s="142">
        <f t="shared" si="121"/>
        <v>124900</v>
      </c>
      <c r="AZ30" s="142">
        <f t="shared" si="121"/>
        <v>2605100</v>
      </c>
      <c r="BI30" s="142">
        <f>SUM(BI31:BI35)</f>
        <v>-300999.68000000011</v>
      </c>
      <c r="BJ30" s="142">
        <f t="shared" ref="BJ30:BL30" si="122">SUM(BJ31:BJ35)</f>
        <v>0</v>
      </c>
      <c r="BK30" s="142">
        <f>SUM(BK31:BK35)</f>
        <v>-300999.68000000011</v>
      </c>
      <c r="BL30" s="142">
        <f t="shared" si="122"/>
        <v>21465.659999999989</v>
      </c>
      <c r="BM30" s="142">
        <f>SUM(BM31:BM35)</f>
        <v>-322465.34000000008</v>
      </c>
      <c r="BN30" s="4"/>
      <c r="BQ30" s="6">
        <f>+'Biểu số 1'!AZ30</f>
        <v>1585808</v>
      </c>
      <c r="BR30" s="816">
        <f>+J30/BQ30-100%</f>
        <v>-0.11716908982676355</v>
      </c>
    </row>
    <row r="31" spans="1:70" ht="16.8">
      <c r="A31" s="5538"/>
      <c r="B31" s="1716" t="s">
        <v>7</v>
      </c>
      <c r="C31" s="152">
        <f>752500</f>
        <v>752500</v>
      </c>
      <c r="D31" s="152">
        <v>724290</v>
      </c>
      <c r="E31" s="153"/>
      <c r="F31" s="154"/>
      <c r="G31" s="154">
        <f>SUM(H31:I31)</f>
        <v>724290</v>
      </c>
      <c r="H31" s="154">
        <f>D31-F31-I31</f>
        <v>0</v>
      </c>
      <c r="I31" s="154">
        <f>D31</f>
        <v>724290</v>
      </c>
      <c r="J31" s="160">
        <v>709366.96</v>
      </c>
      <c r="K31" s="155"/>
      <c r="L31" s="155"/>
      <c r="M31" s="1680"/>
      <c r="N31" s="1680">
        <f>SUM(O31:P31)</f>
        <v>709366.96</v>
      </c>
      <c r="O31" s="1680">
        <f>J31-M31-P31</f>
        <v>0</v>
      </c>
      <c r="P31" s="1680">
        <f>J31</f>
        <v>709366.96</v>
      </c>
      <c r="Q31" s="1718">
        <f>'Phụ lục số 7'!C10</f>
        <v>757000</v>
      </c>
      <c r="R31" s="199"/>
      <c r="S31" s="199"/>
      <c r="T31" s="1681">
        <f>SUM(U31:V31)</f>
        <v>757000</v>
      </c>
      <c r="U31" s="1681">
        <f>Q31-S31-V31</f>
        <v>0</v>
      </c>
      <c r="V31" s="5542">
        <f>'Phụ lục số 7'!E10</f>
        <v>757000</v>
      </c>
      <c r="W31" s="5523">
        <v>877100</v>
      </c>
      <c r="X31" s="155"/>
      <c r="Y31" s="157"/>
      <c r="Z31" s="157">
        <f>SUM(AA31:AB31)</f>
        <v>877100</v>
      </c>
      <c r="AA31" s="157">
        <f>W31-Y31-AB31</f>
        <v>0</v>
      </c>
      <c r="AB31" s="157">
        <f>W31</f>
        <v>877100</v>
      </c>
      <c r="AC31" s="157">
        <v>1031100</v>
      </c>
      <c r="AD31" s="157"/>
      <c r="AE31" s="157"/>
      <c r="AF31" s="157">
        <f>SUM(AG31:AH31)</f>
        <v>1031100</v>
      </c>
      <c r="AG31" s="157">
        <f>AC31-AE31-AH31</f>
        <v>0</v>
      </c>
      <c r="AH31" s="157">
        <f>AC31</f>
        <v>1031100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I31" s="6">
        <f t="shared" ref="BI31" si="123">+J31-D31</f>
        <v>-14923.040000000037</v>
      </c>
      <c r="BJ31" s="6">
        <f t="shared" ref="BJ31" si="124">+M31-F31</f>
        <v>0</v>
      </c>
      <c r="BK31" s="6">
        <f t="shared" ref="BK31" si="125">SUM(BL31:BM31)</f>
        <v>-14923.040000000037</v>
      </c>
      <c r="BL31" s="1703">
        <f t="shared" ref="BL31" si="126">+O31-H31</f>
        <v>0</v>
      </c>
      <c r="BM31" s="1703">
        <f t="shared" ref="BM31" si="127">+P31-I31</f>
        <v>-14923.040000000037</v>
      </c>
      <c r="BN31" s="4"/>
    </row>
    <row r="32" spans="1:70" ht="16.8">
      <c r="A32" s="5538"/>
      <c r="B32" s="1716" t="s">
        <v>8</v>
      </c>
      <c r="C32" s="152">
        <v>822000</v>
      </c>
      <c r="D32" s="152">
        <v>905790</v>
      </c>
      <c r="E32" s="153"/>
      <c r="F32" s="154"/>
      <c r="G32" s="154">
        <f t="shared" ref="G32:G35" si="128">SUM(H32:I32)</f>
        <v>905790</v>
      </c>
      <c r="H32" s="154">
        <f t="shared" si="26"/>
        <v>0</v>
      </c>
      <c r="I32" s="154">
        <f t="shared" ref="I32" si="129">D32</f>
        <v>905790</v>
      </c>
      <c r="J32" s="160">
        <v>598247.69999999995</v>
      </c>
      <c r="K32" s="155"/>
      <c r="L32" s="155"/>
      <c r="M32" s="1680"/>
      <c r="N32" s="1680">
        <f t="shared" ref="N32:N35" si="130">SUM(O32:P32)</f>
        <v>598247.69999999995</v>
      </c>
      <c r="O32" s="1680">
        <f t="shared" ref="O32:O35" si="131">J32-M32-P32</f>
        <v>0</v>
      </c>
      <c r="P32" s="1680">
        <f>J32</f>
        <v>598247.69999999995</v>
      </c>
      <c r="Q32" s="1718">
        <f>'Phụ lục số 7'!C11</f>
        <v>720000</v>
      </c>
      <c r="R32" s="199"/>
      <c r="S32" s="199"/>
      <c r="T32" s="1681">
        <f t="shared" ref="T32:T35" si="132">SUM(U32:V32)</f>
        <v>720000</v>
      </c>
      <c r="U32" s="1681">
        <f t="shared" ref="U32:U45" si="133">Q32-S32-V32</f>
        <v>0</v>
      </c>
      <c r="V32" s="5542">
        <f>'Phụ lục số 7'!E11</f>
        <v>720000</v>
      </c>
      <c r="W32" s="5523">
        <v>800000</v>
      </c>
      <c r="X32" s="155"/>
      <c r="Y32" s="157"/>
      <c r="Z32" s="157">
        <f t="shared" ref="Z32:Z47" si="134">SUM(AA32:AB32)</f>
        <v>800000</v>
      </c>
      <c r="AA32" s="157">
        <f t="shared" ref="AA32:AA47" si="135">W32-Y32-AB32</f>
        <v>0</v>
      </c>
      <c r="AB32" s="157">
        <f>W32</f>
        <v>800000</v>
      </c>
      <c r="AC32" s="157">
        <v>850000</v>
      </c>
      <c r="AD32" s="157"/>
      <c r="AE32" s="157"/>
      <c r="AF32" s="157">
        <f t="shared" ref="AF32:AF47" si="136">SUM(AG32:AH32)</f>
        <v>850000</v>
      </c>
      <c r="AG32" s="157">
        <f t="shared" ref="AG32:AG47" si="137">AC32-AE32-AH32</f>
        <v>0</v>
      </c>
      <c r="AH32" s="157">
        <f>AC32</f>
        <v>850000</v>
      </c>
      <c r="AI32" s="157">
        <v>935000</v>
      </c>
      <c r="AJ32" s="157"/>
      <c r="AK32" s="157"/>
      <c r="AL32" s="157">
        <f t="shared" ref="AL32:AL47" si="138">SUM(AM32:AN32)</f>
        <v>935000</v>
      </c>
      <c r="AM32" s="157">
        <f t="shared" ref="AM32:AM47" si="139">AI32-AK32-AN32</f>
        <v>0</v>
      </c>
      <c r="AN32" s="157">
        <f>AI32</f>
        <v>935000</v>
      </c>
      <c r="AO32" s="157">
        <v>1030000</v>
      </c>
      <c r="AP32" s="157"/>
      <c r="AQ32" s="157"/>
      <c r="AR32" s="157">
        <f t="shared" ref="AR32:AR47" si="140">SUM(AS32:AT32)</f>
        <v>1030000</v>
      </c>
      <c r="AS32" s="157">
        <f t="shared" ref="AS32:AS47" si="141">AO32-AQ32-AT32</f>
        <v>0</v>
      </c>
      <c r="AT32" s="157">
        <f>AO32</f>
        <v>1030000</v>
      </c>
      <c r="AU32" s="157">
        <v>1170000</v>
      </c>
      <c r="AV32" s="157"/>
      <c r="AW32" s="157"/>
      <c r="AX32" s="157">
        <f t="shared" ref="AX32:AX47" si="142">SUM(AY32:AZ32)</f>
        <v>1170000</v>
      </c>
      <c r="AY32" s="157">
        <f t="shared" ref="AY32:AY47" si="143">AU32-AW32-AZ32</f>
        <v>0</v>
      </c>
      <c r="AZ32" s="157">
        <f>AU32</f>
        <v>1170000</v>
      </c>
      <c r="BI32" s="6">
        <f t="shared" ref="BI32:BI35" si="144">+J32-D32</f>
        <v>-307542.30000000005</v>
      </c>
      <c r="BJ32" s="6">
        <f t="shared" ref="BJ32:BJ35" si="145">+M32-F32</f>
        <v>0</v>
      </c>
      <c r="BK32" s="6">
        <f t="shared" ref="BK32:BK35" si="146">SUM(BL32:BM32)</f>
        <v>-307542.30000000005</v>
      </c>
      <c r="BL32" s="1703">
        <f t="shared" ref="BL32:BL35" si="147">+O32-H32</f>
        <v>0</v>
      </c>
      <c r="BM32" s="1703">
        <f t="shared" ref="BM32:BM35" si="148">+P32-I32</f>
        <v>-307542.30000000005</v>
      </c>
      <c r="BN32" s="4"/>
    </row>
    <row r="33" spans="1:70" ht="16.8">
      <c r="A33" s="5538"/>
      <c r="B33" s="1716" t="s">
        <v>9</v>
      </c>
      <c r="C33" s="152">
        <f>72000</f>
        <v>72000</v>
      </c>
      <c r="D33" s="152">
        <v>63450</v>
      </c>
      <c r="E33" s="153"/>
      <c r="F33" s="154"/>
      <c r="G33" s="154">
        <f t="shared" si="128"/>
        <v>63450</v>
      </c>
      <c r="H33" s="154">
        <f t="shared" si="26"/>
        <v>63450</v>
      </c>
      <c r="I33" s="154"/>
      <c r="J33" s="160">
        <v>23183.05</v>
      </c>
      <c r="K33" s="155"/>
      <c r="L33" s="155"/>
      <c r="M33" s="1680"/>
      <c r="N33" s="1680">
        <f t="shared" si="130"/>
        <v>23183.05</v>
      </c>
      <c r="O33" s="1680">
        <f t="shared" si="131"/>
        <v>23183.05</v>
      </c>
      <c r="P33" s="1680"/>
      <c r="Q33" s="1718">
        <f>'Phụ lục số 7'!C12</f>
        <v>28650</v>
      </c>
      <c r="R33" s="199"/>
      <c r="S33" s="199"/>
      <c r="T33" s="1681">
        <f t="shared" si="132"/>
        <v>28650</v>
      </c>
      <c r="U33" s="5913">
        <f t="shared" si="133"/>
        <v>28650</v>
      </c>
      <c r="V33" s="5542">
        <f>'Phụ lục số 7'!E12</f>
        <v>0</v>
      </c>
      <c r="W33" s="5523">
        <v>47000</v>
      </c>
      <c r="X33" s="155"/>
      <c r="Y33" s="157"/>
      <c r="Z33" s="157">
        <f t="shared" si="134"/>
        <v>47000</v>
      </c>
      <c r="AA33" s="157">
        <f t="shared" si="135"/>
        <v>47000</v>
      </c>
      <c r="AB33" s="157"/>
      <c r="AC33" s="157">
        <v>50000</v>
      </c>
      <c r="AD33" s="157"/>
      <c r="AE33" s="157"/>
      <c r="AF33" s="157">
        <f t="shared" si="136"/>
        <v>50000</v>
      </c>
      <c r="AG33" s="157">
        <f t="shared" si="137"/>
        <v>50000</v>
      </c>
      <c r="AH33" s="157"/>
      <c r="AI33" s="157">
        <v>55000</v>
      </c>
      <c r="AJ33" s="157"/>
      <c r="AK33" s="157"/>
      <c r="AL33" s="157">
        <f t="shared" si="138"/>
        <v>55000</v>
      </c>
      <c r="AM33" s="157">
        <f t="shared" si="139"/>
        <v>55000</v>
      </c>
      <c r="AN33" s="157"/>
      <c r="AO33" s="157">
        <v>59000</v>
      </c>
      <c r="AP33" s="157"/>
      <c r="AQ33" s="157"/>
      <c r="AR33" s="157">
        <f t="shared" si="140"/>
        <v>59000</v>
      </c>
      <c r="AS33" s="157">
        <f t="shared" si="141"/>
        <v>59000</v>
      </c>
      <c r="AT33" s="157"/>
      <c r="AU33" s="157">
        <v>64000</v>
      </c>
      <c r="AV33" s="157"/>
      <c r="AW33" s="157"/>
      <c r="AX33" s="157">
        <f t="shared" si="142"/>
        <v>64000</v>
      </c>
      <c r="AY33" s="157">
        <f t="shared" si="143"/>
        <v>64000</v>
      </c>
      <c r="AZ33" s="157"/>
      <c r="BI33" s="6">
        <f t="shared" si="144"/>
        <v>-40266.949999999997</v>
      </c>
      <c r="BJ33" s="6">
        <f t="shared" si="145"/>
        <v>0</v>
      </c>
      <c r="BK33" s="6">
        <f t="shared" si="146"/>
        <v>-40266.949999999997</v>
      </c>
      <c r="BL33" s="1703">
        <f t="shared" si="147"/>
        <v>-40266.949999999997</v>
      </c>
      <c r="BM33" s="1703">
        <f t="shared" si="148"/>
        <v>0</v>
      </c>
      <c r="BN33" s="4"/>
    </row>
    <row r="34" spans="1:70" ht="16.8">
      <c r="A34" s="5538"/>
      <c r="B34" s="1716" t="s">
        <v>10</v>
      </c>
      <c r="C34" s="152">
        <v>5500</v>
      </c>
      <c r="D34" s="152">
        <v>5970</v>
      </c>
      <c r="E34" s="153"/>
      <c r="F34" s="154"/>
      <c r="G34" s="154">
        <f t="shared" si="128"/>
        <v>5970</v>
      </c>
      <c r="H34" s="154">
        <f t="shared" si="26"/>
        <v>5970</v>
      </c>
      <c r="I34" s="154"/>
      <c r="J34" s="160">
        <v>69029.609999999986</v>
      </c>
      <c r="K34" s="155"/>
      <c r="L34" s="155"/>
      <c r="M34" s="1680"/>
      <c r="N34" s="1680">
        <f t="shared" si="130"/>
        <v>69029.609999999986</v>
      </c>
      <c r="O34" s="1680">
        <f t="shared" si="131"/>
        <v>69029.609999999986</v>
      </c>
      <c r="P34" s="1680"/>
      <c r="Q34" s="1718">
        <f>'Phụ lục số 7'!C13</f>
        <v>44350</v>
      </c>
      <c r="R34" s="199"/>
      <c r="S34" s="199"/>
      <c r="T34" s="1681">
        <f t="shared" si="132"/>
        <v>44350</v>
      </c>
      <c r="U34" s="5913">
        <f t="shared" si="133"/>
        <v>44350</v>
      </c>
      <c r="V34" s="5542">
        <f>'Phụ lục số 7'!E13</f>
        <v>0</v>
      </c>
      <c r="W34" s="5523">
        <v>45900</v>
      </c>
      <c r="X34" s="155"/>
      <c r="Y34" s="157"/>
      <c r="Z34" s="157">
        <f t="shared" si="134"/>
        <v>45900</v>
      </c>
      <c r="AA34" s="157">
        <f t="shared" si="135"/>
        <v>45900</v>
      </c>
      <c r="AB34" s="157"/>
      <c r="AC34" s="157">
        <v>48900</v>
      </c>
      <c r="AD34" s="157"/>
      <c r="AE34" s="157"/>
      <c r="AF34" s="157">
        <f t="shared" si="136"/>
        <v>48900</v>
      </c>
      <c r="AG34" s="157">
        <f t="shared" si="137"/>
        <v>48900</v>
      </c>
      <c r="AH34" s="157"/>
      <c r="AI34" s="157">
        <v>50900</v>
      </c>
      <c r="AJ34" s="157"/>
      <c r="AK34" s="157"/>
      <c r="AL34" s="157">
        <f t="shared" si="138"/>
        <v>50900</v>
      </c>
      <c r="AM34" s="157">
        <f t="shared" si="139"/>
        <v>50900</v>
      </c>
      <c r="AN34" s="157"/>
      <c r="AO34" s="157">
        <v>55900</v>
      </c>
      <c r="AP34" s="157"/>
      <c r="AQ34" s="157"/>
      <c r="AR34" s="157">
        <f t="shared" si="140"/>
        <v>55900</v>
      </c>
      <c r="AS34" s="157">
        <f t="shared" si="141"/>
        <v>55900</v>
      </c>
      <c r="AT34" s="157"/>
      <c r="AU34" s="157">
        <v>60900</v>
      </c>
      <c r="AV34" s="157"/>
      <c r="AW34" s="157"/>
      <c r="AX34" s="157">
        <f t="shared" si="142"/>
        <v>60900</v>
      </c>
      <c r="AY34" s="157">
        <f t="shared" si="143"/>
        <v>60900</v>
      </c>
      <c r="AZ34" s="157"/>
      <c r="BI34" s="6">
        <f t="shared" si="144"/>
        <v>63059.609999999986</v>
      </c>
      <c r="BJ34" s="6">
        <f t="shared" si="145"/>
        <v>0</v>
      </c>
      <c r="BK34" s="6">
        <f t="shared" si="146"/>
        <v>63059.609999999986</v>
      </c>
      <c r="BL34" s="1703">
        <f t="shared" si="147"/>
        <v>63059.609999999986</v>
      </c>
      <c r="BM34" s="1703">
        <f t="shared" si="148"/>
        <v>0</v>
      </c>
      <c r="BN34" s="4"/>
    </row>
    <row r="35" spans="1:70" ht="16.8">
      <c r="A35" s="5538"/>
      <c r="B35" s="1716" t="s">
        <v>16</v>
      </c>
      <c r="C35" s="152">
        <v>0</v>
      </c>
      <c r="D35" s="152">
        <v>1500</v>
      </c>
      <c r="E35" s="153"/>
      <c r="F35" s="154"/>
      <c r="G35" s="154">
        <f t="shared" si="128"/>
        <v>1500</v>
      </c>
      <c r="H35" s="154">
        <f t="shared" si="26"/>
        <v>1500</v>
      </c>
      <c r="I35" s="154"/>
      <c r="J35" s="160">
        <v>173</v>
      </c>
      <c r="K35" s="1068"/>
      <c r="L35" s="1068"/>
      <c r="M35" s="1684"/>
      <c r="N35" s="1684">
        <f t="shared" si="130"/>
        <v>173</v>
      </c>
      <c r="O35" s="1684">
        <f t="shared" si="131"/>
        <v>173</v>
      </c>
      <c r="P35" s="1684"/>
      <c r="Q35" s="1718">
        <f>'Phụ lục số 7'!C14</f>
        <v>0</v>
      </c>
      <c r="R35" s="199"/>
      <c r="S35" s="199"/>
      <c r="T35" s="1681">
        <f t="shared" si="132"/>
        <v>0</v>
      </c>
      <c r="U35" s="1681">
        <f t="shared" si="133"/>
        <v>0</v>
      </c>
      <c r="V35" s="5542">
        <f>'Phụ lục số 7'!E14</f>
        <v>0</v>
      </c>
      <c r="W35" s="5523"/>
      <c r="X35" s="155"/>
      <c r="Y35" s="157"/>
      <c r="Z35" s="157">
        <f t="shared" si="134"/>
        <v>0</v>
      </c>
      <c r="AA35" s="157">
        <f t="shared" si="135"/>
        <v>0</v>
      </c>
      <c r="AB35" s="157"/>
      <c r="AC35" s="157"/>
      <c r="AD35" s="157"/>
      <c r="AE35" s="157"/>
      <c r="AF35" s="157">
        <f t="shared" si="136"/>
        <v>0</v>
      </c>
      <c r="AG35" s="157">
        <f t="shared" si="137"/>
        <v>0</v>
      </c>
      <c r="AH35" s="157"/>
      <c r="AI35" s="157"/>
      <c r="AJ35" s="157"/>
      <c r="AK35" s="157"/>
      <c r="AL35" s="157">
        <f t="shared" si="138"/>
        <v>0</v>
      </c>
      <c r="AM35" s="157">
        <f t="shared" si="139"/>
        <v>0</v>
      </c>
      <c r="AN35" s="157"/>
      <c r="AO35" s="157"/>
      <c r="AP35" s="157"/>
      <c r="AQ35" s="157"/>
      <c r="AR35" s="157">
        <f t="shared" si="140"/>
        <v>0</v>
      </c>
      <c r="AS35" s="157">
        <f t="shared" si="141"/>
        <v>0</v>
      </c>
      <c r="AT35" s="157"/>
      <c r="AU35" s="157"/>
      <c r="AV35" s="157"/>
      <c r="AW35" s="157"/>
      <c r="AX35" s="157">
        <f t="shared" si="142"/>
        <v>0</v>
      </c>
      <c r="AY35" s="157">
        <f t="shared" si="143"/>
        <v>0</v>
      </c>
      <c r="AZ35" s="157"/>
      <c r="BI35" s="6">
        <f t="shared" si="144"/>
        <v>-1327</v>
      </c>
      <c r="BJ35" s="6">
        <f t="shared" si="145"/>
        <v>0</v>
      </c>
      <c r="BK35" s="6">
        <f t="shared" si="146"/>
        <v>-1327</v>
      </c>
      <c r="BL35" s="1703">
        <f t="shared" si="147"/>
        <v>-1327</v>
      </c>
      <c r="BM35" s="1703">
        <f t="shared" si="148"/>
        <v>0</v>
      </c>
      <c r="BN35" s="4"/>
    </row>
    <row r="36" spans="1:70" ht="16.8">
      <c r="A36" s="5538">
        <v>5</v>
      </c>
      <c r="B36" s="165" t="s">
        <v>17</v>
      </c>
      <c r="C36" s="147">
        <v>350000</v>
      </c>
      <c r="D36" s="147">
        <f t="shared" ref="D36:D42" si="149">C36</f>
        <v>350000</v>
      </c>
      <c r="E36" s="148"/>
      <c r="F36" s="149">
        <v>0</v>
      </c>
      <c r="G36" s="149">
        <f>SUM(H36:I36)</f>
        <v>350000</v>
      </c>
      <c r="H36" s="149">
        <f t="shared" si="26"/>
        <v>0</v>
      </c>
      <c r="I36" s="149">
        <f>C36</f>
        <v>350000</v>
      </c>
      <c r="J36" s="142">
        <v>313000</v>
      </c>
      <c r="K36" s="1067">
        <f>J36/C36*100</f>
        <v>89.428571428571431</v>
      </c>
      <c r="L36" s="1685">
        <f t="shared" ref="L36:L43" si="150">J36/D36*100</f>
        <v>89.428571428571431</v>
      </c>
      <c r="M36" s="1686"/>
      <c r="N36" s="1686">
        <f>SUM(O36:P36)</f>
        <v>313000</v>
      </c>
      <c r="O36" s="1686">
        <f>J36-M36-P36</f>
        <v>0</v>
      </c>
      <c r="P36" s="1686">
        <f>+J36</f>
        <v>313000</v>
      </c>
      <c r="Q36" s="1064">
        <f>'Phụ lục số 7'!C18</f>
        <v>330000</v>
      </c>
      <c r="R36" s="1674">
        <f t="shared" ref="R36:R54" si="151">Q36/J36*100</f>
        <v>105.43130990415335</v>
      </c>
      <c r="S36" s="199"/>
      <c r="T36" s="1683">
        <f t="shared" ref="T36" si="152">SUM(U36:V36)</f>
        <v>330000</v>
      </c>
      <c r="U36" s="1683">
        <f t="shared" si="133"/>
        <v>0</v>
      </c>
      <c r="V36" s="5541">
        <f>'Phụ lục số 7'!E18</f>
        <v>330000</v>
      </c>
      <c r="W36" s="5524">
        <v>480000</v>
      </c>
      <c r="X36" s="141">
        <f>W36/Q36*100</f>
        <v>145.45454545454547</v>
      </c>
      <c r="Y36" s="157"/>
      <c r="Z36" s="142">
        <f t="shared" si="134"/>
        <v>480000</v>
      </c>
      <c r="AA36" s="142">
        <f t="shared" si="135"/>
        <v>0</v>
      </c>
      <c r="AB36" s="142">
        <f>W36</f>
        <v>480000</v>
      </c>
      <c r="AC36" s="142">
        <v>528000</v>
      </c>
      <c r="AD36" s="142">
        <f>AC36/W36*100</f>
        <v>110.00000000000001</v>
      </c>
      <c r="AE36" s="157"/>
      <c r="AF36" s="142">
        <f t="shared" si="136"/>
        <v>528000</v>
      </c>
      <c r="AG36" s="142">
        <f t="shared" si="137"/>
        <v>0</v>
      </c>
      <c r="AH36" s="142">
        <f>AC36</f>
        <v>528000</v>
      </c>
      <c r="AI36" s="142">
        <v>585000</v>
      </c>
      <c r="AJ36" s="142">
        <f>AI36/AC36*100</f>
        <v>110.79545454545455</v>
      </c>
      <c r="AK36" s="157"/>
      <c r="AL36" s="142">
        <f t="shared" si="138"/>
        <v>585000</v>
      </c>
      <c r="AM36" s="142">
        <f t="shared" si="139"/>
        <v>0</v>
      </c>
      <c r="AN36" s="142">
        <f>AI36</f>
        <v>585000</v>
      </c>
      <c r="AO36" s="142">
        <v>650000</v>
      </c>
      <c r="AP36" s="142">
        <f>AO36/AI36*100</f>
        <v>111.11111111111111</v>
      </c>
      <c r="AQ36" s="157"/>
      <c r="AR36" s="142">
        <f t="shared" si="140"/>
        <v>650000</v>
      </c>
      <c r="AS36" s="142">
        <f t="shared" si="141"/>
        <v>0</v>
      </c>
      <c r="AT36" s="142">
        <f>AO36</f>
        <v>650000</v>
      </c>
      <c r="AU36" s="142">
        <v>750000</v>
      </c>
      <c r="AV36" s="142">
        <f>AU36/AO36*100</f>
        <v>115.38461538461537</v>
      </c>
      <c r="AW36" s="157"/>
      <c r="AX36" s="142">
        <f t="shared" si="142"/>
        <v>750000</v>
      </c>
      <c r="AY36" s="142">
        <f t="shared" si="143"/>
        <v>0</v>
      </c>
      <c r="AZ36" s="142">
        <f>AU36</f>
        <v>750000</v>
      </c>
      <c r="BI36" s="1729">
        <f t="shared" ref="BI36:BI51" si="153">+J36-D36</f>
        <v>-37000</v>
      </c>
      <c r="BJ36" s="1729">
        <f t="shared" ref="BJ36:BJ51" si="154">+M36-F36</f>
        <v>0</v>
      </c>
      <c r="BK36" s="1729">
        <f>SUM(BL36:BM36)</f>
        <v>-37000</v>
      </c>
      <c r="BL36" s="5293">
        <f t="shared" ref="BL36:BL51" si="155">+O36-H36</f>
        <v>0</v>
      </c>
      <c r="BM36" s="5293">
        <f>+P36-I36</f>
        <v>-37000</v>
      </c>
      <c r="BN36" s="4"/>
      <c r="BQ36" s="6">
        <f>+'Biểu số 1'!AZ36</f>
        <v>299939</v>
      </c>
      <c r="BR36" s="816">
        <f t="shared" ref="BR36:BR51" si="156">+J36/BQ36-100%</f>
        <v>4.3545520922587677E-2</v>
      </c>
    </row>
    <row r="37" spans="1:70">
      <c r="A37" s="5538">
        <v>6</v>
      </c>
      <c r="B37" s="165" t="s">
        <v>18</v>
      </c>
      <c r="C37" s="147">
        <v>0</v>
      </c>
      <c r="D37" s="147">
        <f t="shared" si="149"/>
        <v>0</v>
      </c>
      <c r="E37" s="148"/>
      <c r="F37" s="149"/>
      <c r="G37" s="149">
        <f>SUM(H37:I37)</f>
        <v>0</v>
      </c>
      <c r="H37" s="149">
        <f t="shared" si="26"/>
        <v>0</v>
      </c>
      <c r="I37" s="149">
        <f>C37</f>
        <v>0</v>
      </c>
      <c r="J37" s="142">
        <v>13</v>
      </c>
      <c r="K37" s="142" t="e">
        <f>J37/C37*100</f>
        <v>#DIV/0!</v>
      </c>
      <c r="L37" s="1687" t="e">
        <f t="shared" si="150"/>
        <v>#DIV/0!</v>
      </c>
      <c r="M37" s="1686"/>
      <c r="N37" s="1686">
        <f t="shared" ref="N37:N41" si="157">SUM(O37:P37)</f>
        <v>13</v>
      </c>
      <c r="O37" s="1686">
        <f t="shared" ref="O37:O43" si="158">J37-M37-P37</f>
        <v>0</v>
      </c>
      <c r="P37" s="1686">
        <f>+J37</f>
        <v>13</v>
      </c>
      <c r="Q37" s="142">
        <f>'Phụ lục số 7'!C19</f>
        <v>0</v>
      </c>
      <c r="R37" s="1674">
        <f t="shared" si="151"/>
        <v>0</v>
      </c>
      <c r="S37" s="199"/>
      <c r="T37" s="1683">
        <f t="shared" ref="T37" si="159">SUM(U37:V37)</f>
        <v>0</v>
      </c>
      <c r="U37" s="1683">
        <f t="shared" si="133"/>
        <v>0</v>
      </c>
      <c r="V37" s="5540">
        <f>'Phụ lục số 7'!E19</f>
        <v>0</v>
      </c>
      <c r="W37" s="5524">
        <v>0</v>
      </c>
      <c r="X37" s="141" t="e">
        <f t="shared" ref="X37:X50" si="160">W37/Q37*100</f>
        <v>#DIV/0!</v>
      </c>
      <c r="Y37" s="157"/>
      <c r="Z37" s="142">
        <f t="shared" si="134"/>
        <v>0</v>
      </c>
      <c r="AA37" s="142">
        <f t="shared" si="135"/>
        <v>0</v>
      </c>
      <c r="AB37" s="157"/>
      <c r="AC37" s="157">
        <v>0</v>
      </c>
      <c r="AD37" s="142" t="e">
        <f t="shared" ref="AD37:AD47" si="161">AC37/W37*100</f>
        <v>#DIV/0!</v>
      </c>
      <c r="AE37" s="157"/>
      <c r="AF37" s="142">
        <f t="shared" si="136"/>
        <v>0</v>
      </c>
      <c r="AG37" s="142">
        <f t="shared" si="137"/>
        <v>0</v>
      </c>
      <c r="AH37" s="157"/>
      <c r="AI37" s="157">
        <v>0</v>
      </c>
      <c r="AJ37" s="142" t="e">
        <f t="shared" ref="AJ37:AJ47" si="162">AI37/AC37*100</f>
        <v>#DIV/0!</v>
      </c>
      <c r="AK37" s="157"/>
      <c r="AL37" s="142">
        <f t="shared" si="138"/>
        <v>0</v>
      </c>
      <c r="AM37" s="142">
        <f t="shared" si="139"/>
        <v>0</v>
      </c>
      <c r="AN37" s="157"/>
      <c r="AO37" s="157"/>
      <c r="AP37" s="142" t="e">
        <f t="shared" ref="AP37:AP47" si="163">AO37/AI37*100</f>
        <v>#DIV/0!</v>
      </c>
      <c r="AQ37" s="157"/>
      <c r="AR37" s="142">
        <f t="shared" si="140"/>
        <v>0</v>
      </c>
      <c r="AS37" s="142">
        <f t="shared" si="141"/>
        <v>0</v>
      </c>
      <c r="AT37" s="157"/>
      <c r="AU37" s="157"/>
      <c r="AV37" s="142" t="e">
        <f t="shared" ref="AV37:AV47" si="164">AU37/AO37*100</f>
        <v>#DIV/0!</v>
      </c>
      <c r="AW37" s="157"/>
      <c r="AX37" s="142">
        <f t="shared" si="142"/>
        <v>0</v>
      </c>
      <c r="AY37" s="142">
        <f t="shared" si="143"/>
        <v>0</v>
      </c>
      <c r="AZ37" s="157"/>
      <c r="BI37" s="1729">
        <f t="shared" si="153"/>
        <v>13</v>
      </c>
      <c r="BJ37" s="1729">
        <f t="shared" si="154"/>
        <v>0</v>
      </c>
      <c r="BK37" s="1729">
        <f t="shared" ref="BK37:BK49" si="165">SUM(BL37:BM37)</f>
        <v>13</v>
      </c>
      <c r="BL37" s="5293">
        <f t="shared" si="155"/>
        <v>0</v>
      </c>
      <c r="BM37" s="5293">
        <f t="shared" ref="BM37:BM51" si="166">+P37-I37</f>
        <v>13</v>
      </c>
      <c r="BN37" s="4"/>
      <c r="BQ37" s="6">
        <f>+'Biểu số 1'!AZ37</f>
        <v>342</v>
      </c>
      <c r="BR37" s="816">
        <f t="shared" si="156"/>
        <v>-0.96198830409356728</v>
      </c>
    </row>
    <row r="38" spans="1:70">
      <c r="A38" s="5538">
        <v>7</v>
      </c>
      <c r="B38" s="165" t="s">
        <v>19</v>
      </c>
      <c r="C38" s="147">
        <v>15000</v>
      </c>
      <c r="D38" s="147">
        <f t="shared" si="149"/>
        <v>15000</v>
      </c>
      <c r="E38" s="148"/>
      <c r="F38" s="149"/>
      <c r="G38" s="149">
        <f>SUM(H38:I38)</f>
        <v>15000</v>
      </c>
      <c r="H38" s="149">
        <f t="shared" si="26"/>
        <v>0</v>
      </c>
      <c r="I38" s="149">
        <f>C38</f>
        <v>15000</v>
      </c>
      <c r="J38" s="142">
        <v>18918</v>
      </c>
      <c r="K38" s="1067">
        <f>J38/C38*100</f>
        <v>126.12</v>
      </c>
      <c r="L38" s="1685">
        <f t="shared" si="150"/>
        <v>126.12</v>
      </c>
      <c r="M38" s="1686"/>
      <c r="N38" s="1686">
        <f t="shared" si="157"/>
        <v>18918</v>
      </c>
      <c r="O38" s="1686">
        <f t="shared" si="158"/>
        <v>0</v>
      </c>
      <c r="P38" s="1686">
        <f>+J38</f>
        <v>18918</v>
      </c>
      <c r="Q38" s="142">
        <f>'Phụ lục số 7'!C20</f>
        <v>17000</v>
      </c>
      <c r="R38" s="1674">
        <f t="shared" si="151"/>
        <v>89.861507558938584</v>
      </c>
      <c r="S38" s="199"/>
      <c r="T38" s="1683">
        <f t="shared" ref="T38" si="167">SUM(U38:V38)</f>
        <v>17000</v>
      </c>
      <c r="U38" s="1683">
        <f t="shared" si="133"/>
        <v>0</v>
      </c>
      <c r="V38" s="5541">
        <f>'Phụ lục số 7'!E20</f>
        <v>17000</v>
      </c>
      <c r="W38" s="5524">
        <v>16000</v>
      </c>
      <c r="X38" s="141">
        <f t="shared" si="160"/>
        <v>94.117647058823522</v>
      </c>
      <c r="Y38" s="157"/>
      <c r="Z38" s="142">
        <f t="shared" si="134"/>
        <v>16000</v>
      </c>
      <c r="AA38" s="142">
        <f t="shared" si="135"/>
        <v>0</v>
      </c>
      <c r="AB38" s="142">
        <f>W38</f>
        <v>16000</v>
      </c>
      <c r="AC38" s="142">
        <v>16000</v>
      </c>
      <c r="AD38" s="142">
        <f t="shared" si="161"/>
        <v>100</v>
      </c>
      <c r="AE38" s="157"/>
      <c r="AF38" s="142">
        <f t="shared" si="136"/>
        <v>16000</v>
      </c>
      <c r="AG38" s="142">
        <f t="shared" si="137"/>
        <v>0</v>
      </c>
      <c r="AH38" s="142">
        <f>AC38</f>
        <v>16000</v>
      </c>
      <c r="AI38" s="142">
        <v>16000</v>
      </c>
      <c r="AJ38" s="142">
        <f t="shared" si="162"/>
        <v>100</v>
      </c>
      <c r="AK38" s="157"/>
      <c r="AL38" s="142">
        <f t="shared" si="138"/>
        <v>16000</v>
      </c>
      <c r="AM38" s="142">
        <f t="shared" si="139"/>
        <v>0</v>
      </c>
      <c r="AN38" s="142">
        <f>AI38</f>
        <v>16000</v>
      </c>
      <c r="AO38" s="142">
        <v>16000</v>
      </c>
      <c r="AP38" s="142">
        <f t="shared" si="163"/>
        <v>100</v>
      </c>
      <c r="AQ38" s="157"/>
      <c r="AR38" s="142">
        <f t="shared" si="140"/>
        <v>16000</v>
      </c>
      <c r="AS38" s="142">
        <f t="shared" si="141"/>
        <v>0</v>
      </c>
      <c r="AT38" s="142">
        <f>AO38</f>
        <v>16000</v>
      </c>
      <c r="AU38" s="142">
        <v>15000</v>
      </c>
      <c r="AV38" s="142">
        <f t="shared" si="164"/>
        <v>93.75</v>
      </c>
      <c r="AW38" s="157"/>
      <c r="AX38" s="142">
        <f t="shared" si="142"/>
        <v>15000</v>
      </c>
      <c r="AY38" s="142">
        <f t="shared" si="143"/>
        <v>0</v>
      </c>
      <c r="AZ38" s="142">
        <f>AU38</f>
        <v>15000</v>
      </c>
      <c r="BI38" s="1729">
        <f t="shared" si="153"/>
        <v>3918</v>
      </c>
      <c r="BJ38" s="1729">
        <f t="shared" si="154"/>
        <v>0</v>
      </c>
      <c r="BK38" s="1729">
        <f t="shared" si="165"/>
        <v>3918</v>
      </c>
      <c r="BL38" s="5293">
        <f t="shared" si="155"/>
        <v>0</v>
      </c>
      <c r="BM38" s="5293">
        <f t="shared" si="166"/>
        <v>3918</v>
      </c>
      <c r="BN38" s="4"/>
      <c r="BQ38" s="6">
        <f>+'Biểu số 1'!AZ38</f>
        <v>17533</v>
      </c>
      <c r="BR38" s="816">
        <f t="shared" si="156"/>
        <v>7.8993897222380705E-2</v>
      </c>
    </row>
    <row r="39" spans="1:70" ht="16.8">
      <c r="A39" s="5538">
        <v>8</v>
      </c>
      <c r="B39" s="165" t="s">
        <v>20</v>
      </c>
      <c r="C39" s="147">
        <f>745000-15000</f>
        <v>730000</v>
      </c>
      <c r="D39" s="147">
        <f t="shared" si="149"/>
        <v>730000</v>
      </c>
      <c r="E39" s="148"/>
      <c r="F39" s="149"/>
      <c r="G39" s="149">
        <f t="shared" ref="G39" si="168">SUM(H39:I39)</f>
        <v>730000</v>
      </c>
      <c r="H39" s="149">
        <f t="shared" si="26"/>
        <v>408000</v>
      </c>
      <c r="I39" s="149">
        <v>322000</v>
      </c>
      <c r="J39" s="142">
        <v>720000</v>
      </c>
      <c r="K39" s="1067">
        <f t="shared" ref="K39:K54" si="169">J39/C39*100</f>
        <v>98.630136986301366</v>
      </c>
      <c r="L39" s="1685">
        <f t="shared" si="150"/>
        <v>98.630136986301366</v>
      </c>
      <c r="M39" s="1686"/>
      <c r="N39" s="1686">
        <f t="shared" si="157"/>
        <v>720000</v>
      </c>
      <c r="O39" s="1686">
        <f t="shared" si="158"/>
        <v>402500</v>
      </c>
      <c r="P39" s="1686">
        <f>+'Phụ lục số 7.1'!H19</f>
        <v>317500</v>
      </c>
      <c r="Q39" s="1064">
        <v>785000</v>
      </c>
      <c r="R39" s="1674">
        <f t="shared" si="151"/>
        <v>109.02777777777777</v>
      </c>
      <c r="S39" s="199"/>
      <c r="T39" s="1683">
        <f t="shared" ref="T39" si="170">SUM(U39:V39)</f>
        <v>785000</v>
      </c>
      <c r="U39" s="1683">
        <f t="shared" si="133"/>
        <v>432000</v>
      </c>
      <c r="V39" s="5541">
        <f>'Phụ lục số 7'!E15</f>
        <v>353000</v>
      </c>
      <c r="W39" s="5524">
        <v>890000</v>
      </c>
      <c r="X39" s="141">
        <f t="shared" si="160"/>
        <v>113.37579617834395</v>
      </c>
      <c r="Y39" s="157"/>
      <c r="Z39" s="142">
        <f t="shared" si="134"/>
        <v>890000</v>
      </c>
      <c r="AA39" s="142">
        <f>W39-Y39-AB39</f>
        <v>489800.43949044583</v>
      </c>
      <c r="AB39" s="142">
        <f>(V39*X39)/100-17</f>
        <v>400199.56050955417</v>
      </c>
      <c r="AC39" s="142">
        <v>970000</v>
      </c>
      <c r="AD39" s="142">
        <f t="shared" si="161"/>
        <v>108.98876404494382</v>
      </c>
      <c r="AE39" s="157"/>
      <c r="AF39" s="142">
        <f t="shared" si="136"/>
        <v>970000</v>
      </c>
      <c r="AG39" s="142">
        <f>AC39-AE39-AH39</f>
        <v>533830.44528733985</v>
      </c>
      <c r="AH39" s="142">
        <f>(AB39*AD39)/100-3</f>
        <v>436169.55471266015</v>
      </c>
      <c r="AI39" s="142">
        <v>1050000</v>
      </c>
      <c r="AJ39" s="142">
        <f t="shared" si="162"/>
        <v>108.24742268041237</v>
      </c>
      <c r="AK39" s="157"/>
      <c r="AL39" s="142">
        <f t="shared" si="138"/>
        <v>1050000</v>
      </c>
      <c r="AM39" s="142">
        <f t="shared" si="139"/>
        <v>577859.69850691431</v>
      </c>
      <c r="AN39" s="142">
        <f>(AJ39*AH39)/100-2</f>
        <v>472140.30149308569</v>
      </c>
      <c r="AO39" s="142">
        <v>1130000</v>
      </c>
      <c r="AP39" s="142">
        <f t="shared" si="163"/>
        <v>107.61904761904762</v>
      </c>
      <c r="AQ39" s="157"/>
      <c r="AR39" s="142">
        <f t="shared" si="140"/>
        <v>1130000</v>
      </c>
      <c r="AS39" s="142">
        <f t="shared" si="141"/>
        <v>621880.10410744115</v>
      </c>
      <c r="AT39" s="142">
        <f>(AP39*AN39)/100+7</f>
        <v>508119.89589255891</v>
      </c>
      <c r="AU39" s="142">
        <v>1200000</v>
      </c>
      <c r="AV39" s="142">
        <f t="shared" si="164"/>
        <v>106.19469026548674</v>
      </c>
      <c r="AW39" s="157"/>
      <c r="AX39" s="142">
        <f t="shared" si="142"/>
        <v>1200000</v>
      </c>
      <c r="AY39" s="142">
        <f t="shared" si="143"/>
        <v>660399.65037958336</v>
      </c>
      <c r="AZ39" s="142">
        <f>(AT39*AV39)/100+4</f>
        <v>539600.34962041664</v>
      </c>
      <c r="BI39" s="1729">
        <f t="shared" si="153"/>
        <v>-10000</v>
      </c>
      <c r="BJ39" s="1729">
        <f t="shared" si="154"/>
        <v>0</v>
      </c>
      <c r="BK39" s="1729">
        <f t="shared" si="165"/>
        <v>-10000</v>
      </c>
      <c r="BL39" s="5293">
        <f t="shared" si="155"/>
        <v>-5500</v>
      </c>
      <c r="BM39" s="5293">
        <f t="shared" si="166"/>
        <v>-4500</v>
      </c>
      <c r="BN39" s="4"/>
      <c r="BQ39" s="6">
        <f>+'Biểu số 1'!AZ39</f>
        <v>694807</v>
      </c>
      <c r="BR39" s="816">
        <f t="shared" si="156"/>
        <v>3.6258989906549521E-2</v>
      </c>
    </row>
    <row r="40" spans="1:70" ht="16.8">
      <c r="A40" s="5538">
        <v>9</v>
      </c>
      <c r="B40" s="165" t="s">
        <v>21</v>
      </c>
      <c r="C40" s="147">
        <f>1065000</f>
        <v>1065000</v>
      </c>
      <c r="D40" s="147">
        <f t="shared" si="149"/>
        <v>1065000</v>
      </c>
      <c r="E40" s="148"/>
      <c r="F40" s="149">
        <f>C40*40%</f>
        <v>426000</v>
      </c>
      <c r="G40" s="149">
        <f t="shared" ref="G40:G44" si="171">SUM(H40:I40)</f>
        <v>639000</v>
      </c>
      <c r="H40" s="149">
        <f t="shared" si="26"/>
        <v>639000</v>
      </c>
      <c r="I40" s="149"/>
      <c r="J40" s="142">
        <v>950000</v>
      </c>
      <c r="K40" s="1067">
        <f t="shared" si="169"/>
        <v>89.201877934272304</v>
      </c>
      <c r="L40" s="1685">
        <f t="shared" si="150"/>
        <v>89.201877934272304</v>
      </c>
      <c r="M40" s="1686">
        <f>+J40*40%</f>
        <v>380000</v>
      </c>
      <c r="N40" s="1686">
        <f t="shared" si="157"/>
        <v>570000</v>
      </c>
      <c r="O40" s="1686">
        <f>J40-M40-P40</f>
        <v>570000</v>
      </c>
      <c r="P40" s="1686"/>
      <c r="Q40" s="1064">
        <f>1500000+220000</f>
        <v>1720000</v>
      </c>
      <c r="R40" s="1674">
        <f>Q40/J40*100</f>
        <v>181.05263157894737</v>
      </c>
      <c r="S40" s="1683">
        <f>Q40*40%</f>
        <v>688000</v>
      </c>
      <c r="T40" s="1683">
        <f t="shared" ref="T40" si="172">SUM(U40:V40)</f>
        <v>1032000</v>
      </c>
      <c r="U40" s="1683">
        <f t="shared" si="133"/>
        <v>1032000</v>
      </c>
      <c r="V40" s="5540"/>
      <c r="W40" s="5524">
        <v>1720000</v>
      </c>
      <c r="X40" s="141">
        <f t="shared" si="160"/>
        <v>100</v>
      </c>
      <c r="Y40" s="142">
        <f>W40*40%</f>
        <v>688000</v>
      </c>
      <c r="Z40" s="142">
        <f t="shared" si="134"/>
        <v>1032000</v>
      </c>
      <c r="AA40" s="142">
        <f t="shared" si="135"/>
        <v>1032000</v>
      </c>
      <c r="AB40" s="157"/>
      <c r="AC40" s="142">
        <v>1800000</v>
      </c>
      <c r="AD40" s="142">
        <f t="shared" si="161"/>
        <v>104.65116279069768</v>
      </c>
      <c r="AE40" s="142">
        <f>AC40*40%</f>
        <v>720000</v>
      </c>
      <c r="AF40" s="142">
        <f t="shared" si="136"/>
        <v>1080000</v>
      </c>
      <c r="AG40" s="142">
        <f t="shared" si="137"/>
        <v>1080000</v>
      </c>
      <c r="AH40" s="157"/>
      <c r="AI40" s="142">
        <f>1800000</f>
        <v>1800000</v>
      </c>
      <c r="AJ40" s="142">
        <f t="shared" si="162"/>
        <v>100</v>
      </c>
      <c r="AK40" s="142">
        <f>AI40*40%</f>
        <v>720000</v>
      </c>
      <c r="AL40" s="142">
        <f t="shared" si="138"/>
        <v>1080000</v>
      </c>
      <c r="AM40" s="142">
        <f t="shared" si="139"/>
        <v>1080000</v>
      </c>
      <c r="AN40" s="157"/>
      <c r="AO40" s="142">
        <v>1900000</v>
      </c>
      <c r="AP40" s="142">
        <f t="shared" si="163"/>
        <v>105.55555555555556</v>
      </c>
      <c r="AQ40" s="142">
        <f>(40%*AO40)</f>
        <v>760000</v>
      </c>
      <c r="AR40" s="142">
        <f t="shared" si="140"/>
        <v>1140000</v>
      </c>
      <c r="AS40" s="142">
        <f t="shared" si="141"/>
        <v>1140000</v>
      </c>
      <c r="AT40" s="157"/>
      <c r="AU40" s="142">
        <f>2000000</f>
        <v>2000000</v>
      </c>
      <c r="AV40" s="142">
        <f t="shared" si="164"/>
        <v>105.26315789473684</v>
      </c>
      <c r="AW40" s="142">
        <f>(AU40*40%)</f>
        <v>800000</v>
      </c>
      <c r="AX40" s="142">
        <f t="shared" si="142"/>
        <v>1200000</v>
      </c>
      <c r="AY40" s="142">
        <f t="shared" si="143"/>
        <v>1200000</v>
      </c>
      <c r="AZ40" s="157"/>
      <c r="BI40" s="1729">
        <f t="shared" si="153"/>
        <v>-115000</v>
      </c>
      <c r="BJ40" s="1729">
        <f t="shared" si="154"/>
        <v>-46000</v>
      </c>
      <c r="BK40" s="1729">
        <f t="shared" si="165"/>
        <v>-69000</v>
      </c>
      <c r="BL40" s="5293">
        <f>+O40-H40</f>
        <v>-69000</v>
      </c>
      <c r="BM40" s="5293">
        <f t="shared" si="166"/>
        <v>0</v>
      </c>
      <c r="BN40" s="4"/>
      <c r="BQ40" s="6">
        <f>+'Biểu số 1'!AZ40</f>
        <v>946183</v>
      </c>
      <c r="BR40" s="816">
        <f t="shared" si="156"/>
        <v>4.0341033394173387E-3</v>
      </c>
    </row>
    <row r="41" spans="1:70" ht="16.8">
      <c r="A41" s="5538">
        <v>10</v>
      </c>
      <c r="B41" s="165" t="s">
        <v>22</v>
      </c>
      <c r="C41" s="147">
        <v>170000</v>
      </c>
      <c r="D41" s="147">
        <f t="shared" si="149"/>
        <v>170000</v>
      </c>
      <c r="E41" s="148"/>
      <c r="F41" s="149">
        <v>60000</v>
      </c>
      <c r="G41" s="149">
        <f t="shared" si="171"/>
        <v>110000</v>
      </c>
      <c r="H41" s="149">
        <f t="shared" si="26"/>
        <v>47600</v>
      </c>
      <c r="I41" s="149">
        <f>62400</f>
        <v>62400</v>
      </c>
      <c r="J41" s="142">
        <v>178000</v>
      </c>
      <c r="K41" s="1067">
        <f t="shared" si="169"/>
        <v>104.70588235294119</v>
      </c>
      <c r="L41" s="1685">
        <f t="shared" si="150"/>
        <v>104.70588235294119</v>
      </c>
      <c r="M41" s="1686">
        <f>F41*L41/100-12824</f>
        <v>49999.529411764714</v>
      </c>
      <c r="N41" s="1686">
        <f t="shared" si="157"/>
        <v>128000.47058823529</v>
      </c>
      <c r="O41" s="1686">
        <f t="shared" si="158"/>
        <v>63405.470588235286</v>
      </c>
      <c r="P41" s="1686">
        <f>+'Phụ lục số 7.1'!H26</f>
        <v>64595</v>
      </c>
      <c r="Q41" s="1064">
        <v>170000</v>
      </c>
      <c r="R41" s="1674">
        <f t="shared" si="151"/>
        <v>95.50561797752809</v>
      </c>
      <c r="S41" s="1065">
        <v>50000</v>
      </c>
      <c r="T41" s="1683">
        <f t="shared" ref="T41" si="173">SUM(U41:V41)</f>
        <v>120000</v>
      </c>
      <c r="U41" s="1683">
        <f t="shared" si="133"/>
        <v>47600</v>
      </c>
      <c r="V41" s="5541">
        <f>'Phụ lục số 7'!E24</f>
        <v>72400</v>
      </c>
      <c r="W41" s="5524">
        <v>232000</v>
      </c>
      <c r="X41" s="141">
        <f t="shared" si="160"/>
        <v>136.47058823529412</v>
      </c>
      <c r="Y41" s="142">
        <f>(S41*X41)/100-235</f>
        <v>68000.294117647049</v>
      </c>
      <c r="Z41" s="142">
        <f t="shared" si="134"/>
        <v>163999.70588235295</v>
      </c>
      <c r="AA41" s="142">
        <f t="shared" si="135"/>
        <v>65190</v>
      </c>
      <c r="AB41" s="142">
        <f>(V41*X41)/100+5</f>
        <v>98809.705882352951</v>
      </c>
      <c r="AC41" s="142">
        <v>245000</v>
      </c>
      <c r="AD41" s="142">
        <f t="shared" si="161"/>
        <v>105.60344827586208</v>
      </c>
      <c r="AE41" s="142">
        <f>(Y41*AD41)/100+9</f>
        <v>71819.655425963487</v>
      </c>
      <c r="AF41" s="142">
        <f t="shared" si="136"/>
        <v>173180.34457403651</v>
      </c>
      <c r="AG41" s="142">
        <f t="shared" si="137"/>
        <v>68829.887931034464</v>
      </c>
      <c r="AH41" s="142">
        <f>(AB41*AD41)/100+4</f>
        <v>104350.45664300205</v>
      </c>
      <c r="AI41" s="142">
        <f>270000</f>
        <v>270000</v>
      </c>
      <c r="AJ41" s="142">
        <f t="shared" si="162"/>
        <v>110.20408163265304</v>
      </c>
      <c r="AK41" s="142">
        <f>(AJ41*AE41)/100+2</f>
        <v>79150.191693918925</v>
      </c>
      <c r="AL41" s="142">
        <f t="shared" si="138"/>
        <v>190849.80830608107</v>
      </c>
      <c r="AM41" s="142">
        <f t="shared" si="139"/>
        <v>75849.345883180882</v>
      </c>
      <c r="AN41" s="142">
        <f>(AH41*AJ41)/100+2</f>
        <v>115000.46242290019</v>
      </c>
      <c r="AO41" s="142">
        <v>300000</v>
      </c>
      <c r="AP41" s="142">
        <f t="shared" si="163"/>
        <v>111.11111111111111</v>
      </c>
      <c r="AQ41" s="142">
        <f>(AP41*AK41)/100+5</f>
        <v>87949.657437687696</v>
      </c>
      <c r="AR41" s="142">
        <f t="shared" si="140"/>
        <v>212050.34256231232</v>
      </c>
      <c r="AS41" s="142">
        <f t="shared" si="141"/>
        <v>84270.050981312103</v>
      </c>
      <c r="AT41" s="142">
        <f>(AP41*AN41)/100+2</f>
        <v>127780.29158100022</v>
      </c>
      <c r="AU41" s="142">
        <f>350000</f>
        <v>350000</v>
      </c>
      <c r="AV41" s="142">
        <f t="shared" si="164"/>
        <v>116.66666666666667</v>
      </c>
      <c r="AW41" s="142">
        <f>(AV41*AQ41)/100+2</f>
        <v>102609.93367730232</v>
      </c>
      <c r="AX41" s="142">
        <f t="shared" si="142"/>
        <v>247390.06632269768</v>
      </c>
      <c r="AY41" s="142">
        <f t="shared" si="143"/>
        <v>98310.059478197421</v>
      </c>
      <c r="AZ41" s="142">
        <f>(AV41*AT41)/100+3</f>
        <v>149080.00684450025</v>
      </c>
      <c r="BD41" s="1729">
        <f>+AU41+AO41+AI41+AC41+W41</f>
        <v>1397000</v>
      </c>
      <c r="BI41" s="1729">
        <f t="shared" si="153"/>
        <v>8000</v>
      </c>
      <c r="BJ41" s="1729">
        <f t="shared" si="154"/>
        <v>-10000.470588235286</v>
      </c>
      <c r="BK41" s="1729">
        <f t="shared" si="165"/>
        <v>18000.470588235286</v>
      </c>
      <c r="BL41" s="5293">
        <f t="shared" si="155"/>
        <v>15805.470588235286</v>
      </c>
      <c r="BM41" s="5293">
        <f t="shared" si="166"/>
        <v>2195</v>
      </c>
      <c r="BN41" s="4"/>
      <c r="BQ41" s="6">
        <f>+'Biểu số 1'!AZ41</f>
        <v>154887</v>
      </c>
      <c r="BR41" s="816">
        <f t="shared" si="156"/>
        <v>0.14922491881177891</v>
      </c>
    </row>
    <row r="42" spans="1:70" ht="16.8">
      <c r="A42" s="5538">
        <v>11</v>
      </c>
      <c r="B42" s="165" t="s">
        <v>23</v>
      </c>
      <c r="C42" s="147">
        <f>1200000+270000+300000</f>
        <v>1770000</v>
      </c>
      <c r="D42" s="147">
        <f t="shared" si="149"/>
        <v>1770000</v>
      </c>
      <c r="E42" s="148"/>
      <c r="F42" s="149"/>
      <c r="G42" s="149">
        <f t="shared" si="171"/>
        <v>1770000</v>
      </c>
      <c r="H42" s="149">
        <f t="shared" si="26"/>
        <v>627000</v>
      </c>
      <c r="I42" s="149">
        <f>(1270000)-(1270000*10%)</f>
        <v>1143000</v>
      </c>
      <c r="J42" s="142">
        <v>1770000</v>
      </c>
      <c r="K42" s="1067">
        <f t="shared" si="169"/>
        <v>100</v>
      </c>
      <c r="L42" s="1685">
        <f t="shared" si="150"/>
        <v>100</v>
      </c>
      <c r="M42" s="1684"/>
      <c r="N42" s="1686">
        <f>SUM(O42:P42)</f>
        <v>1770000</v>
      </c>
      <c r="O42" s="1686">
        <f>J42-M42-P42</f>
        <v>627000</v>
      </c>
      <c r="P42" s="1686">
        <f>+I42</f>
        <v>1143000</v>
      </c>
      <c r="Q42" s="1064">
        <f>'Phụ lục số 7'!C28</f>
        <v>1600000</v>
      </c>
      <c r="R42" s="1674">
        <f>Q42/J42*100</f>
        <v>90.395480225988706</v>
      </c>
      <c r="S42" s="199"/>
      <c r="T42" s="1683">
        <f t="shared" ref="T42" si="174">SUM(U42:V42)</f>
        <v>1600000</v>
      </c>
      <c r="U42" s="1683">
        <f t="shared" si="133"/>
        <v>506500</v>
      </c>
      <c r="V42" s="5541">
        <f>'Phụ lục số 7'!E28</f>
        <v>1093500</v>
      </c>
      <c r="W42" s="5524">
        <v>1800000</v>
      </c>
      <c r="X42" s="141">
        <f t="shared" si="160"/>
        <v>112.5</v>
      </c>
      <c r="Y42" s="157"/>
      <c r="Z42" s="142">
        <f t="shared" si="134"/>
        <v>1800000</v>
      </c>
      <c r="AA42" s="142">
        <f t="shared" si="135"/>
        <v>540000</v>
      </c>
      <c r="AB42" s="5307">
        <f>(1400000)-(1400000*10%)</f>
        <v>1260000</v>
      </c>
      <c r="AC42" s="142">
        <v>1800000</v>
      </c>
      <c r="AD42" s="142">
        <f t="shared" si="161"/>
        <v>100</v>
      </c>
      <c r="AE42" s="157"/>
      <c r="AF42" s="142">
        <f t="shared" si="136"/>
        <v>1800000</v>
      </c>
      <c r="AG42" s="142">
        <f t="shared" si="137"/>
        <v>540000</v>
      </c>
      <c r="AH42" s="5307">
        <f>(1400000)-(1400000*10%)</f>
        <v>1260000</v>
      </c>
      <c r="AI42" s="142">
        <v>1800000</v>
      </c>
      <c r="AJ42" s="142">
        <f t="shared" si="162"/>
        <v>100</v>
      </c>
      <c r="AK42" s="157"/>
      <c r="AL42" s="142">
        <f t="shared" si="138"/>
        <v>1800000</v>
      </c>
      <c r="AM42" s="142">
        <f t="shared" si="139"/>
        <v>540000</v>
      </c>
      <c r="AN42" s="1683">
        <f>(1400000)-(1400000*10%)</f>
        <v>1260000</v>
      </c>
      <c r="AO42" s="142">
        <v>1950000</v>
      </c>
      <c r="AP42" s="142">
        <f t="shared" si="163"/>
        <v>108.33333333333333</v>
      </c>
      <c r="AQ42" s="157"/>
      <c r="AR42" s="142">
        <f t="shared" si="140"/>
        <v>1950000</v>
      </c>
      <c r="AS42" s="142">
        <f t="shared" si="141"/>
        <v>600000</v>
      </c>
      <c r="AT42" s="142">
        <f>(1500000)-(1500000*10%)</f>
        <v>1350000</v>
      </c>
      <c r="AU42" s="142">
        <f>2100000</f>
        <v>2100000</v>
      </c>
      <c r="AV42" s="142">
        <f t="shared" si="164"/>
        <v>107.69230769230769</v>
      </c>
      <c r="AW42" s="157"/>
      <c r="AX42" s="142">
        <f t="shared" si="142"/>
        <v>2100000</v>
      </c>
      <c r="AY42" s="142">
        <f t="shared" si="143"/>
        <v>615000</v>
      </c>
      <c r="AZ42" s="142">
        <f>(1650000)-(1650000*10%)</f>
        <v>1485000</v>
      </c>
      <c r="BD42" s="1729">
        <f>+AU42+AO42+AI42+AC42+W42</f>
        <v>9450000</v>
      </c>
      <c r="BI42" s="1729">
        <f t="shared" si="153"/>
        <v>0</v>
      </c>
      <c r="BJ42" s="1729">
        <f t="shared" si="154"/>
        <v>0</v>
      </c>
      <c r="BK42" s="1729">
        <f t="shared" si="165"/>
        <v>0</v>
      </c>
      <c r="BL42" s="5293">
        <f t="shared" si="155"/>
        <v>0</v>
      </c>
      <c r="BM42" s="5293">
        <f t="shared" si="166"/>
        <v>0</v>
      </c>
      <c r="BN42" s="4"/>
      <c r="BQ42" s="6">
        <f>+'Biểu số 1'!AZ42</f>
        <v>1157443</v>
      </c>
      <c r="BR42" s="816">
        <f t="shared" si="156"/>
        <v>0.52923297302761352</v>
      </c>
    </row>
    <row r="43" spans="1:70">
      <c r="A43" s="5538">
        <v>12</v>
      </c>
      <c r="B43" s="165" t="s">
        <v>24</v>
      </c>
      <c r="C43" s="147">
        <v>155000</v>
      </c>
      <c r="D43" s="147">
        <f>C43+160000</f>
        <v>315000</v>
      </c>
      <c r="E43" s="148"/>
      <c r="F43" s="149"/>
      <c r="G43" s="149">
        <f>SUM(H43:I43)</f>
        <v>315000</v>
      </c>
      <c r="H43" s="149">
        <f t="shared" si="26"/>
        <v>45900</v>
      </c>
      <c r="I43" s="149">
        <f>299000-(299000*10%)</f>
        <v>269100</v>
      </c>
      <c r="J43" s="142">
        <v>240000</v>
      </c>
      <c r="K43" s="1067">
        <f t="shared" si="169"/>
        <v>154.83870967741936</v>
      </c>
      <c r="L43" s="1685">
        <f t="shared" si="150"/>
        <v>76.19047619047619</v>
      </c>
      <c r="M43" s="1684"/>
      <c r="N43" s="1686">
        <f>SUM(O43:P43)</f>
        <v>240000</v>
      </c>
      <c r="O43" s="1686">
        <f t="shared" si="158"/>
        <v>24000</v>
      </c>
      <c r="P43" s="1686">
        <f>240000-(240000*10%)</f>
        <v>216000</v>
      </c>
      <c r="Q43" s="142">
        <f>'Phụ lục số 7'!C25</f>
        <v>201000</v>
      </c>
      <c r="R43" s="1674">
        <f>Q43/J43*100</f>
        <v>83.75</v>
      </c>
      <c r="S43" s="199"/>
      <c r="T43" s="1688">
        <f>SUM(U43:V43)</f>
        <v>201000</v>
      </c>
      <c r="U43" s="1065">
        <f>Q43-S43-V43</f>
        <v>20100</v>
      </c>
      <c r="V43" s="5543">
        <f>'Phụ lục số 7'!E25</f>
        <v>180900</v>
      </c>
      <c r="W43" s="5524">
        <v>240000</v>
      </c>
      <c r="X43" s="141">
        <f t="shared" si="160"/>
        <v>119.40298507462686</v>
      </c>
      <c r="Y43" s="157"/>
      <c r="Z43" s="142">
        <f t="shared" si="134"/>
        <v>240000</v>
      </c>
      <c r="AA43" s="142">
        <f t="shared" si="135"/>
        <v>24000.000000000029</v>
      </c>
      <c r="AB43" s="142">
        <f>(V43*X43)/100</f>
        <v>215999.99999999997</v>
      </c>
      <c r="AC43" s="142">
        <v>300000</v>
      </c>
      <c r="AD43" s="142">
        <f t="shared" si="161"/>
        <v>125</v>
      </c>
      <c r="AE43" s="157"/>
      <c r="AF43" s="142">
        <f t="shared" si="136"/>
        <v>300000</v>
      </c>
      <c r="AG43" s="142">
        <f t="shared" si="137"/>
        <v>30000.000000000058</v>
      </c>
      <c r="AH43" s="142">
        <f>(AB43*AD43)/100</f>
        <v>269999.99999999994</v>
      </c>
      <c r="AI43" s="142">
        <v>365000</v>
      </c>
      <c r="AJ43" s="142">
        <f t="shared" si="162"/>
        <v>121.66666666666666</v>
      </c>
      <c r="AK43" s="157"/>
      <c r="AL43" s="142">
        <f t="shared" si="138"/>
        <v>365000</v>
      </c>
      <c r="AM43" s="142">
        <f t="shared" si="139"/>
        <v>36500.000000000116</v>
      </c>
      <c r="AN43" s="142">
        <f>(AJ43*AH43)/100</f>
        <v>328499.99999999988</v>
      </c>
      <c r="AO43" s="142">
        <v>487000</v>
      </c>
      <c r="AP43" s="142">
        <f t="shared" si="163"/>
        <v>133.42465753424656</v>
      </c>
      <c r="AQ43" s="157"/>
      <c r="AR43" s="142">
        <f t="shared" si="140"/>
        <v>487000</v>
      </c>
      <c r="AS43" s="142">
        <f t="shared" si="141"/>
        <v>48700.000000000233</v>
      </c>
      <c r="AT43" s="142">
        <f>(AP43*AN43)/100</f>
        <v>438299.99999999977</v>
      </c>
      <c r="AU43" s="142">
        <v>620000</v>
      </c>
      <c r="AV43" s="142">
        <f t="shared" si="164"/>
        <v>127.31006160164272</v>
      </c>
      <c r="AW43" s="157"/>
      <c r="AX43" s="142">
        <f t="shared" si="142"/>
        <v>620000</v>
      </c>
      <c r="AY43" s="142">
        <f t="shared" si="143"/>
        <v>62000.000000000349</v>
      </c>
      <c r="AZ43" s="142">
        <f>(AV43*AT43)/100</f>
        <v>557999.99999999965</v>
      </c>
      <c r="BI43" s="1729">
        <f t="shared" si="153"/>
        <v>-75000</v>
      </c>
      <c r="BJ43" s="1729">
        <f t="shared" si="154"/>
        <v>0</v>
      </c>
      <c r="BK43" s="1729">
        <f t="shared" si="165"/>
        <v>-75000</v>
      </c>
      <c r="BL43" s="5293">
        <f t="shared" si="155"/>
        <v>-21900</v>
      </c>
      <c r="BM43" s="5293">
        <f>+P43-I43</f>
        <v>-53100</v>
      </c>
      <c r="BN43" s="4"/>
      <c r="BQ43" s="6">
        <f>+'Biểu số 1'!AZ43</f>
        <v>118474</v>
      </c>
      <c r="BR43" s="816">
        <f t="shared" si="156"/>
        <v>1.025760926447997</v>
      </c>
    </row>
    <row r="44" spans="1:70">
      <c r="A44" s="5538">
        <v>13</v>
      </c>
      <c r="B44" s="165" t="s">
        <v>25</v>
      </c>
      <c r="C44" s="147">
        <v>0</v>
      </c>
      <c r="D44" s="147"/>
      <c r="E44" s="148"/>
      <c r="F44" s="149"/>
      <c r="G44" s="149">
        <f t="shared" si="171"/>
        <v>0</v>
      </c>
      <c r="H44" s="149">
        <f t="shared" si="26"/>
        <v>0</v>
      </c>
      <c r="I44" s="149">
        <v>0</v>
      </c>
      <c r="J44" s="142">
        <v>0</v>
      </c>
      <c r="K44" s="142"/>
      <c r="L44" s="142"/>
      <c r="M44" s="1686"/>
      <c r="N44" s="1686"/>
      <c r="O44" s="1686"/>
      <c r="P44" s="1686"/>
      <c r="Q44" s="157"/>
      <c r="R44" s="1674" t="e">
        <f t="shared" si="151"/>
        <v>#DIV/0!</v>
      </c>
      <c r="S44" s="199"/>
      <c r="T44" s="1682">
        <f t="shared" ref="T44:T46" si="175">SUM(U44:V44)</f>
        <v>0</v>
      </c>
      <c r="U44" s="1682">
        <f t="shared" si="133"/>
        <v>0</v>
      </c>
      <c r="V44" s="5544"/>
      <c r="W44" s="5523"/>
      <c r="X44" s="141" t="e">
        <f t="shared" si="160"/>
        <v>#DIV/0!</v>
      </c>
      <c r="Y44" s="157"/>
      <c r="Z44" s="142">
        <f t="shared" si="134"/>
        <v>0</v>
      </c>
      <c r="AA44" s="142">
        <f t="shared" si="135"/>
        <v>0</v>
      </c>
      <c r="AB44" s="157"/>
      <c r="AC44" s="157"/>
      <c r="AD44" s="142" t="e">
        <f t="shared" si="161"/>
        <v>#DIV/0!</v>
      </c>
      <c r="AE44" s="157"/>
      <c r="AF44" s="142">
        <f t="shared" si="136"/>
        <v>0</v>
      </c>
      <c r="AG44" s="142">
        <f t="shared" si="137"/>
        <v>0</v>
      </c>
      <c r="AH44" s="157"/>
      <c r="AI44" s="157"/>
      <c r="AJ44" s="142" t="e">
        <f t="shared" si="162"/>
        <v>#DIV/0!</v>
      </c>
      <c r="AK44" s="157"/>
      <c r="AL44" s="142">
        <f t="shared" si="138"/>
        <v>0</v>
      </c>
      <c r="AM44" s="142">
        <f t="shared" si="139"/>
        <v>0</v>
      </c>
      <c r="AN44" s="157"/>
      <c r="AO44" s="157"/>
      <c r="AP44" s="142" t="e">
        <f t="shared" si="163"/>
        <v>#DIV/0!</v>
      </c>
      <c r="AQ44" s="157"/>
      <c r="AR44" s="142">
        <f t="shared" si="140"/>
        <v>0</v>
      </c>
      <c r="AS44" s="142">
        <f t="shared" si="141"/>
        <v>0</v>
      </c>
      <c r="AT44" s="157"/>
      <c r="AU44" s="157"/>
      <c r="AV44" s="142" t="e">
        <f t="shared" si="164"/>
        <v>#DIV/0!</v>
      </c>
      <c r="AW44" s="157"/>
      <c r="AX44" s="142">
        <f t="shared" si="142"/>
        <v>0</v>
      </c>
      <c r="AY44" s="142">
        <f t="shared" si="143"/>
        <v>0</v>
      </c>
      <c r="AZ44" s="157"/>
      <c r="BI44" s="1729">
        <f t="shared" si="153"/>
        <v>0</v>
      </c>
      <c r="BJ44" s="1729">
        <f t="shared" si="154"/>
        <v>0</v>
      </c>
      <c r="BK44" s="1729">
        <f t="shared" si="165"/>
        <v>0</v>
      </c>
      <c r="BL44" s="5293">
        <f t="shared" si="155"/>
        <v>0</v>
      </c>
      <c r="BM44" s="5293">
        <f t="shared" si="166"/>
        <v>0</v>
      </c>
      <c r="BN44" s="4"/>
      <c r="BQ44" s="6">
        <f>+'Biểu số 1'!AZ44</f>
        <v>33</v>
      </c>
      <c r="BR44" s="816">
        <f t="shared" si="156"/>
        <v>-1</v>
      </c>
    </row>
    <row r="45" spans="1:70">
      <c r="A45" s="5538">
        <v>14</v>
      </c>
      <c r="B45" s="165" t="s">
        <v>26</v>
      </c>
      <c r="C45" s="147">
        <v>326000</v>
      </c>
      <c r="D45" s="147">
        <f>C45</f>
        <v>326000</v>
      </c>
      <c r="E45" s="148"/>
      <c r="F45" s="149">
        <v>95000</v>
      </c>
      <c r="G45" s="149">
        <f>SUM(H45:I45)</f>
        <v>231030</v>
      </c>
      <c r="H45" s="149">
        <f>D45-F45-I45+30</f>
        <v>85530</v>
      </c>
      <c r="I45" s="149">
        <f>145500</f>
        <v>145500</v>
      </c>
      <c r="J45" s="142">
        <f>380000+7000</f>
        <v>387000</v>
      </c>
      <c r="K45" s="1067">
        <f t="shared" si="169"/>
        <v>118.71165644171779</v>
      </c>
      <c r="L45" s="1685">
        <f>J45/D45*100</f>
        <v>118.71165644171779</v>
      </c>
      <c r="M45" s="1686">
        <f>F45*L45/100+2224</f>
        <v>115000.0736196319</v>
      </c>
      <c r="N45" s="1686">
        <f t="shared" ref="N45:N50" si="176">SUM(O45:P45)</f>
        <v>271999.92638036807</v>
      </c>
      <c r="O45" s="1686">
        <f t="shared" ref="O45:O47" si="177">J45-M45-P45</f>
        <v>90499.926380368066</v>
      </c>
      <c r="P45" s="1686">
        <f>+'Phụ lục số 7.1'!H36+3</f>
        <v>181500</v>
      </c>
      <c r="Q45" s="142">
        <v>370000</v>
      </c>
      <c r="R45" s="1674">
        <f t="shared" si="151"/>
        <v>95.607235142118867</v>
      </c>
      <c r="S45" s="1065">
        <v>147000</v>
      </c>
      <c r="T45" s="1065">
        <f t="shared" si="175"/>
        <v>223000</v>
      </c>
      <c r="U45" s="1065">
        <f t="shared" si="133"/>
        <v>16500</v>
      </c>
      <c r="V45" s="5543">
        <f>'Phụ lục số 7'!E31</f>
        <v>206500</v>
      </c>
      <c r="W45" s="5524">
        <v>400000</v>
      </c>
      <c r="X45" s="141">
        <f t="shared" si="160"/>
        <v>108.10810810810811</v>
      </c>
      <c r="Y45" s="142">
        <f>(S45*X45)/100+1</f>
        <v>158919.91891891893</v>
      </c>
      <c r="Z45" s="142">
        <f t="shared" si="134"/>
        <v>241080.08108108107</v>
      </c>
      <c r="AA45" s="142">
        <f t="shared" si="135"/>
        <v>17839.837837837811</v>
      </c>
      <c r="AB45" s="142">
        <f>(V45*X45)/100-3</f>
        <v>223240.24324324325</v>
      </c>
      <c r="AC45" s="142">
        <v>476000</v>
      </c>
      <c r="AD45" s="142">
        <f t="shared" si="161"/>
        <v>119</v>
      </c>
      <c r="AE45" s="142">
        <f>(AD45*Y45)/100+5</f>
        <v>189119.70351351355</v>
      </c>
      <c r="AF45" s="142">
        <f t="shared" si="136"/>
        <v>286880.29648648645</v>
      </c>
      <c r="AG45" s="142">
        <f t="shared" si="137"/>
        <v>21220.407027026988</v>
      </c>
      <c r="AH45" s="142">
        <f>(AD45*AB45)/100+4</f>
        <v>265659.88945945946</v>
      </c>
      <c r="AI45" s="142">
        <f>510000</f>
        <v>510000</v>
      </c>
      <c r="AJ45" s="142">
        <f t="shared" si="162"/>
        <v>107.14285714285714</v>
      </c>
      <c r="AK45" s="142">
        <f>(AJ45*AE45)/100+2</f>
        <v>202630.25376447878</v>
      </c>
      <c r="AL45" s="142">
        <f t="shared" si="138"/>
        <v>307369.74623552122</v>
      </c>
      <c r="AM45" s="142">
        <f t="shared" si="139"/>
        <v>22730.150386100402</v>
      </c>
      <c r="AN45" s="142">
        <f>(AJ45*AH45)/100+4</f>
        <v>284639.59584942082</v>
      </c>
      <c r="AO45" s="142">
        <v>550000</v>
      </c>
      <c r="AP45" s="142">
        <f t="shared" si="163"/>
        <v>107.84313725490196</v>
      </c>
      <c r="AQ45" s="142">
        <f>(AP45*AK45)/100+7</f>
        <v>218529.82268718298</v>
      </c>
      <c r="AR45" s="142">
        <f t="shared" si="140"/>
        <v>331470.17731281702</v>
      </c>
      <c r="AS45" s="142">
        <f t="shared" si="141"/>
        <v>24509.907279127918</v>
      </c>
      <c r="AT45" s="142">
        <f>(AP45*AN45)/100-4</f>
        <v>306960.2700336891</v>
      </c>
      <c r="AU45" s="142">
        <v>600000</v>
      </c>
      <c r="AV45" s="142">
        <f t="shared" si="164"/>
        <v>109.09090909090908</v>
      </c>
      <c r="AW45" s="142">
        <f>(AV45*AQ45)/100+4</f>
        <v>238400.17020419959</v>
      </c>
      <c r="AX45" s="142">
        <f t="shared" si="142"/>
        <v>361599.82979580038</v>
      </c>
      <c r="AY45" s="142">
        <f t="shared" si="143"/>
        <v>26730.080668139562</v>
      </c>
      <c r="AZ45" s="142">
        <f>(AV45*AT45)/100+4</f>
        <v>334869.74912766082</v>
      </c>
      <c r="BI45" s="1729">
        <f t="shared" si="153"/>
        <v>61000</v>
      </c>
      <c r="BJ45" s="1729">
        <f t="shared" si="154"/>
        <v>20000.073619631905</v>
      </c>
      <c r="BK45" s="1729">
        <f t="shared" si="165"/>
        <v>40969.926380368066</v>
      </c>
      <c r="BL45" s="5293">
        <f t="shared" si="155"/>
        <v>4969.926380368066</v>
      </c>
      <c r="BM45" s="5293">
        <f t="shared" si="166"/>
        <v>36000</v>
      </c>
      <c r="BN45" s="4"/>
      <c r="BQ45" s="6">
        <f>+'Biểu số 1'!AZ45</f>
        <v>377228</v>
      </c>
      <c r="BR45" s="816">
        <f t="shared" si="156"/>
        <v>2.5904757865269801E-2</v>
      </c>
    </row>
    <row r="46" spans="1:70">
      <c r="A46" s="5538">
        <v>15</v>
      </c>
      <c r="B46" s="165" t="s">
        <v>27</v>
      </c>
      <c r="C46" s="147">
        <v>30000</v>
      </c>
      <c r="D46" s="147">
        <f>C46</f>
        <v>30000</v>
      </c>
      <c r="E46" s="148"/>
      <c r="F46" s="149">
        <f>100</f>
        <v>100</v>
      </c>
      <c r="G46" s="149">
        <f t="shared" ref="G46:G47" si="178">SUM(H46:I46)</f>
        <v>29900</v>
      </c>
      <c r="H46" s="149">
        <f>D46-F46-I46</f>
        <v>29900</v>
      </c>
      <c r="I46" s="149"/>
      <c r="J46" s="142">
        <v>43000</v>
      </c>
      <c r="K46" s="1067">
        <f t="shared" si="169"/>
        <v>143.33333333333334</v>
      </c>
      <c r="L46" s="1685">
        <f>J46/D46*100</f>
        <v>143.33333333333334</v>
      </c>
      <c r="M46" s="1686">
        <f>F46*L46/100-100</f>
        <v>43.333333333333343</v>
      </c>
      <c r="N46" s="1686">
        <f t="shared" si="176"/>
        <v>42956.666666666664</v>
      </c>
      <c r="O46" s="1686">
        <f t="shared" si="177"/>
        <v>42956.666666666664</v>
      </c>
      <c r="P46" s="1686">
        <f>I46*L46/100</f>
        <v>0</v>
      </c>
      <c r="Q46" s="1065">
        <v>32000</v>
      </c>
      <c r="R46" s="1683">
        <f>Q46/J46*100</f>
        <v>74.418604651162795</v>
      </c>
      <c r="S46" s="1065">
        <v>35</v>
      </c>
      <c r="T46" s="1683">
        <f t="shared" si="175"/>
        <v>31965</v>
      </c>
      <c r="U46" s="1683">
        <f>Q46-S46-V46</f>
        <v>31965</v>
      </c>
      <c r="V46" s="5540"/>
      <c r="W46" s="5524">
        <v>30000</v>
      </c>
      <c r="X46" s="141">
        <f t="shared" si="160"/>
        <v>93.75</v>
      </c>
      <c r="Y46" s="142">
        <f>(S46*X46)/100+2</f>
        <v>34.8125</v>
      </c>
      <c r="Z46" s="142">
        <f t="shared" si="134"/>
        <v>29965.1875</v>
      </c>
      <c r="AA46" s="142">
        <f t="shared" si="135"/>
        <v>29965.1875</v>
      </c>
      <c r="AB46" s="157"/>
      <c r="AC46" s="142">
        <v>33000</v>
      </c>
      <c r="AD46" s="142">
        <f t="shared" si="161"/>
        <v>110.00000000000001</v>
      </c>
      <c r="AE46" s="142">
        <f>(Y46*AD46)/100</f>
        <v>38.293750000000003</v>
      </c>
      <c r="AF46" s="142">
        <f t="shared" si="136"/>
        <v>32961.706250000003</v>
      </c>
      <c r="AG46" s="142">
        <f t="shared" si="137"/>
        <v>32961.706250000003</v>
      </c>
      <c r="AH46" s="157"/>
      <c r="AI46" s="142">
        <v>42000</v>
      </c>
      <c r="AJ46" s="142">
        <f t="shared" si="162"/>
        <v>127.27272727272727</v>
      </c>
      <c r="AK46" s="142">
        <f>(AJ46*AE46)/100</f>
        <v>48.737499999999997</v>
      </c>
      <c r="AL46" s="142">
        <f t="shared" si="138"/>
        <v>41951.262499999997</v>
      </c>
      <c r="AM46" s="142">
        <f t="shared" si="139"/>
        <v>41951.262499999997</v>
      </c>
      <c r="AN46" s="157"/>
      <c r="AO46" s="142">
        <v>40000</v>
      </c>
      <c r="AP46" s="142">
        <f t="shared" si="163"/>
        <v>95.238095238095227</v>
      </c>
      <c r="AQ46" s="142">
        <f>(AP46*AK46)/100</f>
        <v>46.416666666666657</v>
      </c>
      <c r="AR46" s="142">
        <f t="shared" si="140"/>
        <v>39953.583333333336</v>
      </c>
      <c r="AS46" s="142">
        <f t="shared" si="141"/>
        <v>39953.583333333336</v>
      </c>
      <c r="AT46" s="157"/>
      <c r="AU46" s="142">
        <v>40000</v>
      </c>
      <c r="AV46" s="142">
        <f t="shared" si="164"/>
        <v>100</v>
      </c>
      <c r="AW46" s="142">
        <f>(AV46*AQ46)/100</f>
        <v>46.416666666666657</v>
      </c>
      <c r="AX46" s="142">
        <f t="shared" si="142"/>
        <v>39953.583333333336</v>
      </c>
      <c r="AY46" s="142">
        <f t="shared" si="143"/>
        <v>39953.583333333336</v>
      </c>
      <c r="AZ46" s="157"/>
      <c r="BI46" s="1729">
        <f t="shared" si="153"/>
        <v>13000</v>
      </c>
      <c r="BJ46" s="1729">
        <f t="shared" si="154"/>
        <v>-56.666666666666657</v>
      </c>
      <c r="BK46" s="1729">
        <f t="shared" si="165"/>
        <v>13056.666666666664</v>
      </c>
      <c r="BL46" s="5293">
        <f t="shared" si="155"/>
        <v>13056.666666666664</v>
      </c>
      <c r="BM46" s="5293">
        <f t="shared" si="166"/>
        <v>0</v>
      </c>
      <c r="BN46" s="4"/>
      <c r="BQ46" s="6">
        <f>+'Biểu số 1'!AZ46</f>
        <v>52181</v>
      </c>
      <c r="BR46" s="816">
        <f t="shared" si="156"/>
        <v>-0.17594526743450678</v>
      </c>
    </row>
    <row r="47" spans="1:70" s="204" customFormat="1" ht="16.2">
      <c r="A47" s="5538">
        <v>16</v>
      </c>
      <c r="B47" s="147" t="s">
        <v>3118</v>
      </c>
      <c r="C47" s="166">
        <f>37000+C48</f>
        <v>37000</v>
      </c>
      <c r="D47" s="166">
        <f>37000+D48</f>
        <v>445054.16200000001</v>
      </c>
      <c r="E47" s="167"/>
      <c r="F47" s="149"/>
      <c r="G47" s="149">
        <f t="shared" si="178"/>
        <v>445054.16200000001</v>
      </c>
      <c r="H47" s="168">
        <f>D47-F47-I47</f>
        <v>445054.16200000001</v>
      </c>
      <c r="I47" s="149"/>
      <c r="J47" s="147">
        <f>26068+J48</f>
        <v>434122.16200000001</v>
      </c>
      <c r="K47" s="5294">
        <f t="shared" si="169"/>
        <v>1173.3031405405407</v>
      </c>
      <c r="L47" s="5167">
        <f>J47/D47*100</f>
        <v>97.543669752267135</v>
      </c>
      <c r="M47" s="5168">
        <f>F47*L47/100</f>
        <v>0</v>
      </c>
      <c r="N47" s="5168">
        <f t="shared" si="176"/>
        <v>434122.16200000001</v>
      </c>
      <c r="O47" s="5168">
        <f t="shared" si="177"/>
        <v>434122.16200000001</v>
      </c>
      <c r="P47" s="5168">
        <f>I47*L47/100</f>
        <v>0</v>
      </c>
      <c r="Q47" s="147">
        <f>33000+Q48</f>
        <v>33000</v>
      </c>
      <c r="R47" s="5295">
        <f>Q47/J47*100</f>
        <v>7.6015469581117587</v>
      </c>
      <c r="S47" s="5296"/>
      <c r="T47" s="5168">
        <f t="shared" ref="T47" si="179">SUM(U47:V47)</f>
        <v>33000</v>
      </c>
      <c r="U47" s="5168">
        <f t="shared" ref="U47" si="180">Q47-S47-V47</f>
        <v>33000</v>
      </c>
      <c r="V47" s="5545"/>
      <c r="W47" s="5522">
        <v>100000</v>
      </c>
      <c r="X47" s="1062">
        <f t="shared" si="160"/>
        <v>303.030303030303</v>
      </c>
      <c r="Y47" s="152"/>
      <c r="Z47" s="147">
        <f t="shared" si="134"/>
        <v>100000</v>
      </c>
      <c r="AA47" s="147">
        <f t="shared" si="135"/>
        <v>100000</v>
      </c>
      <c r="AB47" s="152"/>
      <c r="AC47" s="147">
        <v>110000</v>
      </c>
      <c r="AD47" s="147">
        <f t="shared" si="161"/>
        <v>110.00000000000001</v>
      </c>
      <c r="AE47" s="152"/>
      <c r="AF47" s="147">
        <f t="shared" si="136"/>
        <v>110000</v>
      </c>
      <c r="AG47" s="147">
        <f t="shared" si="137"/>
        <v>110000</v>
      </c>
      <c r="AH47" s="152"/>
      <c r="AI47" s="147">
        <f>120000+AI48</f>
        <v>120000</v>
      </c>
      <c r="AJ47" s="147">
        <f t="shared" si="162"/>
        <v>109.09090909090908</v>
      </c>
      <c r="AK47" s="152"/>
      <c r="AL47" s="147">
        <f t="shared" si="138"/>
        <v>120000</v>
      </c>
      <c r="AM47" s="147">
        <f t="shared" si="139"/>
        <v>120000</v>
      </c>
      <c r="AN47" s="152"/>
      <c r="AO47" s="147">
        <f>130000+AO48</f>
        <v>130000</v>
      </c>
      <c r="AP47" s="147">
        <f t="shared" si="163"/>
        <v>108.33333333333333</v>
      </c>
      <c r="AQ47" s="152"/>
      <c r="AR47" s="147">
        <f t="shared" si="140"/>
        <v>130000</v>
      </c>
      <c r="AS47" s="147">
        <f t="shared" si="141"/>
        <v>130000</v>
      </c>
      <c r="AT47" s="152"/>
      <c r="AU47" s="147">
        <f>160000+AU48</f>
        <v>160000</v>
      </c>
      <c r="AV47" s="147">
        <f t="shared" si="164"/>
        <v>123.07692307692308</v>
      </c>
      <c r="AW47" s="152"/>
      <c r="AX47" s="147">
        <f t="shared" si="142"/>
        <v>160000</v>
      </c>
      <c r="AY47" s="147">
        <f t="shared" si="143"/>
        <v>160000</v>
      </c>
      <c r="AZ47" s="152"/>
      <c r="BI47" s="5297">
        <f t="shared" si="153"/>
        <v>-10932</v>
      </c>
      <c r="BJ47" s="1729">
        <f t="shared" si="154"/>
        <v>0</v>
      </c>
      <c r="BK47" s="1729">
        <f t="shared" si="165"/>
        <v>-10932</v>
      </c>
      <c r="BL47" s="5293">
        <f>+O47-H47</f>
        <v>-10932</v>
      </c>
      <c r="BM47" s="5293">
        <f t="shared" si="166"/>
        <v>0</v>
      </c>
      <c r="BN47" s="738"/>
      <c r="BQ47" s="5298">
        <f>+'Biểu số 1'!AZ47</f>
        <v>80341</v>
      </c>
      <c r="BR47" s="5299">
        <f t="shared" si="156"/>
        <v>4.4034946291432773</v>
      </c>
    </row>
    <row r="48" spans="1:70">
      <c r="A48" s="5546" t="s">
        <v>29</v>
      </c>
      <c r="B48" s="1690" t="s">
        <v>30</v>
      </c>
      <c r="C48" s="263"/>
      <c r="D48" s="263">
        <f>(408054162000+91945838000)/1000000-(408054162000+91945838000)/1000000+(408054162000/1000000)</f>
        <v>408054.16200000001</v>
      </c>
      <c r="E48" s="1533"/>
      <c r="F48" s="170"/>
      <c r="G48" s="170">
        <f>SUM(H48:I48)</f>
        <v>408054.16200000001</v>
      </c>
      <c r="H48" s="170">
        <f>D48-F48-I48</f>
        <v>408054.16200000001</v>
      </c>
      <c r="I48" s="170"/>
      <c r="J48" s="171">
        <f>408054162000/1000000</f>
        <v>408054.16200000001</v>
      </c>
      <c r="K48" s="157"/>
      <c r="L48" s="157"/>
      <c r="M48" s="1684"/>
      <c r="N48" s="1691">
        <f t="shared" si="176"/>
        <v>408054.16200000001</v>
      </c>
      <c r="O48" s="1691">
        <f>J48</f>
        <v>408054.16200000001</v>
      </c>
      <c r="P48" s="1684"/>
      <c r="Q48" s="157"/>
      <c r="R48" s="199"/>
      <c r="S48" s="199"/>
      <c r="T48" s="157"/>
      <c r="U48" s="157"/>
      <c r="V48" s="5547"/>
      <c r="W48" s="5523"/>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I48" s="1729">
        <f t="shared" si="153"/>
        <v>0</v>
      </c>
      <c r="BJ48" s="1729">
        <f t="shared" si="154"/>
        <v>0</v>
      </c>
      <c r="BK48" s="1729">
        <f t="shared" si="165"/>
        <v>0</v>
      </c>
      <c r="BL48" s="5293">
        <f t="shared" si="155"/>
        <v>0</v>
      </c>
      <c r="BM48" s="5293">
        <f t="shared" si="166"/>
        <v>0</v>
      </c>
      <c r="BQ48" s="1">
        <v>0</v>
      </c>
      <c r="BR48" s="816" t="e">
        <f t="shared" si="156"/>
        <v>#DIV/0!</v>
      </c>
    </row>
    <row r="49" spans="1:70">
      <c r="A49" s="5538">
        <v>17</v>
      </c>
      <c r="B49" s="165" t="s">
        <v>31</v>
      </c>
      <c r="C49" s="147">
        <v>2000</v>
      </c>
      <c r="D49" s="147">
        <f>C49</f>
        <v>2000</v>
      </c>
      <c r="E49" s="148"/>
      <c r="F49" s="149"/>
      <c r="G49" s="149">
        <f>SUM(H49:I49)</f>
        <v>2000</v>
      </c>
      <c r="H49" s="170">
        <f>D49-F49-I49</f>
        <v>0</v>
      </c>
      <c r="I49" s="149">
        <f>C49</f>
        <v>2000</v>
      </c>
      <c r="J49" s="142">
        <v>2000</v>
      </c>
      <c r="K49" s="1067">
        <f t="shared" si="169"/>
        <v>100</v>
      </c>
      <c r="L49" s="1685">
        <f>J49/D49*100</f>
        <v>100</v>
      </c>
      <c r="M49" s="1686">
        <f>F49*L49/100</f>
        <v>0</v>
      </c>
      <c r="N49" s="1686">
        <f t="shared" si="176"/>
        <v>2000</v>
      </c>
      <c r="O49" s="1686">
        <f t="shared" ref="O49:O50" si="181">J49-M49-P49</f>
        <v>0</v>
      </c>
      <c r="P49" s="1686">
        <f>+J49</f>
        <v>2000</v>
      </c>
      <c r="Q49" s="142">
        <f>'Phụ lục số 7'!C35</f>
        <v>2000</v>
      </c>
      <c r="R49" s="1674">
        <f t="shared" si="151"/>
        <v>100</v>
      </c>
      <c r="S49" s="199"/>
      <c r="T49" s="142">
        <f t="shared" ref="T49:T50" si="182">SUM(U49:V49)</f>
        <v>2000</v>
      </c>
      <c r="U49" s="142">
        <f t="shared" ref="U49:U50" si="183">Q49-S49-V49</f>
        <v>0</v>
      </c>
      <c r="V49" s="5548">
        <f>'Phụ lục số 7'!E35</f>
        <v>2000</v>
      </c>
      <c r="W49" s="5524">
        <v>2000</v>
      </c>
      <c r="X49" s="141">
        <f t="shared" si="160"/>
        <v>100</v>
      </c>
      <c r="Y49" s="157"/>
      <c r="Z49" s="142">
        <f t="shared" ref="Z49:Z50" si="184">SUM(AA49:AB49)</f>
        <v>2000</v>
      </c>
      <c r="AA49" s="142">
        <f t="shared" ref="AA49:AA50" si="185">W49-Y49-AB49</f>
        <v>0</v>
      </c>
      <c r="AB49" s="142">
        <f>W49</f>
        <v>2000</v>
      </c>
      <c r="AC49" s="142">
        <v>2000</v>
      </c>
      <c r="AD49" s="142">
        <f t="shared" ref="AD49:AD50" si="186">AC49/W49*100</f>
        <v>100</v>
      </c>
      <c r="AE49" s="157"/>
      <c r="AF49" s="142">
        <f t="shared" ref="AF49:AF50" si="187">SUM(AG49:AH49)</f>
        <v>2000</v>
      </c>
      <c r="AG49" s="142">
        <f t="shared" ref="AG49:AG50" si="188">AC49-AE49-AH49</f>
        <v>0</v>
      </c>
      <c r="AH49" s="142">
        <f>AC49</f>
        <v>2000</v>
      </c>
      <c r="AI49" s="142">
        <v>2000</v>
      </c>
      <c r="AJ49" s="142">
        <f t="shared" ref="AJ49:AJ50" si="189">AI49/AC49*100</f>
        <v>100</v>
      </c>
      <c r="AK49" s="157"/>
      <c r="AL49" s="142">
        <f t="shared" ref="AL49:AL50" si="190">SUM(AM49:AN49)</f>
        <v>2000</v>
      </c>
      <c r="AM49" s="142">
        <f t="shared" ref="AM49:AM50" si="191">AI49-AK49-AN49</f>
        <v>0</v>
      </c>
      <c r="AN49" s="142">
        <f>AI49</f>
        <v>2000</v>
      </c>
      <c r="AO49" s="142">
        <v>2000</v>
      </c>
      <c r="AP49" s="142">
        <f t="shared" ref="AP49:AP50" si="192">AO49/AI49*100</f>
        <v>100</v>
      </c>
      <c r="AQ49" s="157"/>
      <c r="AR49" s="142">
        <f t="shared" ref="AR49:AR50" si="193">SUM(AS49:AT49)</f>
        <v>2000</v>
      </c>
      <c r="AS49" s="142">
        <f t="shared" ref="AS49:AS50" si="194">AO49-AQ49-AT49</f>
        <v>0</v>
      </c>
      <c r="AT49" s="142">
        <f>AO49</f>
        <v>2000</v>
      </c>
      <c r="AU49" s="142">
        <v>2000</v>
      </c>
      <c r="AV49" s="142">
        <f t="shared" ref="AV49:AV50" si="195">AU49/AO49*100</f>
        <v>100</v>
      </c>
      <c r="AW49" s="157"/>
      <c r="AX49" s="142">
        <f t="shared" ref="AX49:AX50" si="196">SUM(AY49:AZ49)</f>
        <v>2000</v>
      </c>
      <c r="AY49" s="142">
        <f t="shared" ref="AY49:AY50" si="197">AU49-AW49-AZ49</f>
        <v>0</v>
      </c>
      <c r="AZ49" s="142">
        <f>AU49</f>
        <v>2000</v>
      </c>
      <c r="BI49" s="1729">
        <f t="shared" si="153"/>
        <v>0</v>
      </c>
      <c r="BJ49" s="1729">
        <f t="shared" si="154"/>
        <v>0</v>
      </c>
      <c r="BK49" s="1729">
        <f t="shared" si="165"/>
        <v>0</v>
      </c>
      <c r="BL49" s="5293">
        <f t="shared" si="155"/>
        <v>0</v>
      </c>
      <c r="BM49" s="5293">
        <f t="shared" si="166"/>
        <v>0</v>
      </c>
      <c r="BN49" s="4"/>
      <c r="BQ49" s="6">
        <f>+'Biểu số 1'!AZ49</f>
        <v>2116</v>
      </c>
      <c r="BR49" s="816">
        <f t="shared" si="156"/>
        <v>-5.4820415879016982E-2</v>
      </c>
    </row>
    <row r="50" spans="1:70">
      <c r="A50" s="5538">
        <v>18</v>
      </c>
      <c r="B50" s="165" t="s">
        <v>32</v>
      </c>
      <c r="C50" s="147">
        <f>1850000</f>
        <v>1850000</v>
      </c>
      <c r="D50" s="147">
        <f>C50+100000</f>
        <v>1950000</v>
      </c>
      <c r="E50" s="148"/>
      <c r="F50" s="149"/>
      <c r="G50" s="149">
        <f>SUM(H50:I50)</f>
        <v>1950000</v>
      </c>
      <c r="H50" s="149">
        <f>D50-F50-I50</f>
        <v>1950000</v>
      </c>
      <c r="I50" s="149">
        <v>0</v>
      </c>
      <c r="J50" s="142">
        <v>2150000</v>
      </c>
      <c r="K50" s="1067">
        <f t="shared" si="169"/>
        <v>116.21621621621621</v>
      </c>
      <c r="L50" s="1685">
        <f>J50/D50*100</f>
        <v>110.25641025641026</v>
      </c>
      <c r="M50" s="1686">
        <f>F50*L50/100</f>
        <v>0</v>
      </c>
      <c r="N50" s="1686">
        <f t="shared" si="176"/>
        <v>2150000</v>
      </c>
      <c r="O50" s="1686">
        <f t="shared" si="181"/>
        <v>2150000</v>
      </c>
      <c r="P50" s="1686">
        <f>I50*L50/100</f>
        <v>0</v>
      </c>
      <c r="Q50" s="142">
        <f>1950000+150000</f>
        <v>2100000</v>
      </c>
      <c r="R50" s="1692">
        <f>Q50/J50*100</f>
        <v>97.674418604651152</v>
      </c>
      <c r="S50" s="199"/>
      <c r="T50" s="142">
        <f t="shared" si="182"/>
        <v>2100000</v>
      </c>
      <c r="U50" s="142">
        <f t="shared" si="183"/>
        <v>2100000</v>
      </c>
      <c r="V50" s="5547"/>
      <c r="W50" s="5524">
        <v>2200000</v>
      </c>
      <c r="X50" s="141">
        <f t="shared" si="160"/>
        <v>104.76190476190477</v>
      </c>
      <c r="Y50" s="157"/>
      <c r="Z50" s="142">
        <f t="shared" si="184"/>
        <v>2200000</v>
      </c>
      <c r="AA50" s="142">
        <f t="shared" si="185"/>
        <v>2200000</v>
      </c>
      <c r="AB50" s="157"/>
      <c r="AC50" s="142">
        <v>2200000</v>
      </c>
      <c r="AD50" s="142">
        <f t="shared" si="186"/>
        <v>100</v>
      </c>
      <c r="AE50" s="157"/>
      <c r="AF50" s="142">
        <f t="shared" si="187"/>
        <v>2200000</v>
      </c>
      <c r="AG50" s="142">
        <f t="shared" si="188"/>
        <v>2200000</v>
      </c>
      <c r="AH50" s="157"/>
      <c r="AI50" s="142">
        <v>2300000</v>
      </c>
      <c r="AJ50" s="142">
        <f t="shared" si="189"/>
        <v>104.54545454545455</v>
      </c>
      <c r="AK50" s="157"/>
      <c r="AL50" s="142">
        <f t="shared" si="190"/>
        <v>2300000</v>
      </c>
      <c r="AM50" s="142">
        <f t="shared" si="191"/>
        <v>2300000</v>
      </c>
      <c r="AN50" s="157"/>
      <c r="AO50" s="142">
        <v>2450000</v>
      </c>
      <c r="AP50" s="142">
        <f t="shared" si="192"/>
        <v>106.5217391304348</v>
      </c>
      <c r="AQ50" s="157"/>
      <c r="AR50" s="142">
        <f t="shared" si="193"/>
        <v>2450000</v>
      </c>
      <c r="AS50" s="142">
        <f t="shared" si="194"/>
        <v>2450000</v>
      </c>
      <c r="AT50" s="157"/>
      <c r="AU50" s="142">
        <v>3000000</v>
      </c>
      <c r="AV50" s="142">
        <f t="shared" si="195"/>
        <v>122.44897959183673</v>
      </c>
      <c r="AW50" s="157"/>
      <c r="AX50" s="142">
        <f t="shared" si="196"/>
        <v>3000000</v>
      </c>
      <c r="AY50" s="142">
        <f t="shared" si="197"/>
        <v>3000000</v>
      </c>
      <c r="AZ50" s="157"/>
      <c r="BD50" s="1729">
        <f>+AU50+AO50+AI50+AC50+W50</f>
        <v>12150000</v>
      </c>
      <c r="BI50" s="1729">
        <f t="shared" si="153"/>
        <v>200000</v>
      </c>
      <c r="BJ50" s="1729">
        <f t="shared" si="154"/>
        <v>0</v>
      </c>
      <c r="BK50" s="1729">
        <f>SUM(BL50:BM50)</f>
        <v>200000</v>
      </c>
      <c r="BL50" s="5293">
        <f t="shared" si="155"/>
        <v>200000</v>
      </c>
      <c r="BM50" s="5293">
        <f t="shared" si="166"/>
        <v>0</v>
      </c>
      <c r="BN50" s="4"/>
      <c r="BQ50" s="6">
        <f>+'Biểu số 1'!AZ50</f>
        <v>2017388</v>
      </c>
      <c r="BR50" s="816">
        <f t="shared" si="156"/>
        <v>6.5734504220308576E-2</v>
      </c>
    </row>
    <row r="51" spans="1:70" s="5302" customFormat="1">
      <c r="A51" s="5534" t="s">
        <v>33</v>
      </c>
      <c r="B51" s="1713" t="s">
        <v>34</v>
      </c>
      <c r="C51" s="173">
        <f>SUM(C52:C55)</f>
        <v>157000</v>
      </c>
      <c r="D51" s="173">
        <f>SUM(D52:D55)</f>
        <v>200000</v>
      </c>
      <c r="E51" s="176"/>
      <c r="F51" s="174">
        <f>SUM(F52:F55)</f>
        <v>200000</v>
      </c>
      <c r="G51" s="174">
        <f>SUM(G52:G54)</f>
        <v>0</v>
      </c>
      <c r="H51" s="174">
        <f>SUM(H52:H54)</f>
        <v>0</v>
      </c>
      <c r="I51" s="174">
        <f>SUM(I52:I54)</f>
        <v>0</v>
      </c>
      <c r="J51" s="758">
        <f>SUM(J52:J54)</f>
        <v>409999.569416666</v>
      </c>
      <c r="K51" s="5411">
        <f t="shared" si="169"/>
        <v>261.146222558386</v>
      </c>
      <c r="L51" s="5412">
        <f>J51/D51*100</f>
        <v>204.99978470833301</v>
      </c>
      <c r="M51" s="758">
        <f>SUM(M52:M54)</f>
        <v>409999.56941666594</v>
      </c>
      <c r="N51" s="758">
        <f t="shared" ref="N51:O51" si="198">SUM(N52:N54)</f>
        <v>5.8207660913467407E-11</v>
      </c>
      <c r="O51" s="758">
        <f t="shared" si="198"/>
        <v>5.8207660913467407E-11</v>
      </c>
      <c r="P51" s="758">
        <f>SUM(P52:P54)</f>
        <v>0</v>
      </c>
      <c r="Q51" s="758">
        <f>SUM(Q52:Q55)</f>
        <v>500000</v>
      </c>
      <c r="R51" s="5413">
        <f t="shared" si="151"/>
        <v>121.95134758589714</v>
      </c>
      <c r="S51" s="758">
        <f>SUM(S52:S55)</f>
        <v>500000</v>
      </c>
      <c r="T51" s="758">
        <f t="shared" ref="T51:V51" si="199">SUM(T52:T54)</f>
        <v>0</v>
      </c>
      <c r="U51" s="758">
        <f t="shared" si="199"/>
        <v>0</v>
      </c>
      <c r="V51" s="5549">
        <f t="shared" si="199"/>
        <v>0</v>
      </c>
      <c r="W51" s="5525">
        <f>SUM(W52:W54)</f>
        <v>287000</v>
      </c>
      <c r="X51" s="5414">
        <f>W51/Q51*100</f>
        <v>57.4</v>
      </c>
      <c r="Y51" s="758">
        <f>SUM(Y52:Y54)</f>
        <v>287000</v>
      </c>
      <c r="Z51" s="758">
        <f t="shared" ref="Z51:AB51" si="200">SUM(Z52:Z54)</f>
        <v>0</v>
      </c>
      <c r="AA51" s="758">
        <f t="shared" si="200"/>
        <v>0</v>
      </c>
      <c r="AB51" s="758">
        <f t="shared" si="200"/>
        <v>0</v>
      </c>
      <c r="AC51" s="758">
        <f>SUM(AC52:AC54)</f>
        <v>302000</v>
      </c>
      <c r="AD51" s="758">
        <f>AC51/W51*100</f>
        <v>105.22648083623693</v>
      </c>
      <c r="AE51" s="758">
        <f>SUM(AE52:AE54)</f>
        <v>302000</v>
      </c>
      <c r="AF51" s="758">
        <f t="shared" ref="AF51:AH51" si="201">SUM(AF52:AF54)</f>
        <v>0</v>
      </c>
      <c r="AG51" s="758">
        <f t="shared" si="201"/>
        <v>0</v>
      </c>
      <c r="AH51" s="758">
        <f t="shared" si="201"/>
        <v>0</v>
      </c>
      <c r="AI51" s="758">
        <f>SUM(AI52:AI54)</f>
        <v>318000</v>
      </c>
      <c r="AJ51" s="758">
        <f>AI51/AC51*100</f>
        <v>105.29801324503312</v>
      </c>
      <c r="AK51" s="758">
        <f>SUM(AK52:AK54)</f>
        <v>318000</v>
      </c>
      <c r="AL51" s="758">
        <f t="shared" ref="AL51:AN51" si="202">SUM(AL52:AL54)</f>
        <v>0</v>
      </c>
      <c r="AM51" s="758">
        <f t="shared" si="202"/>
        <v>0</v>
      </c>
      <c r="AN51" s="758">
        <f t="shared" si="202"/>
        <v>0</v>
      </c>
      <c r="AO51" s="758">
        <f>SUM(AO52:AO54)</f>
        <v>335000</v>
      </c>
      <c r="AP51" s="758">
        <f>AO51/AI51*100</f>
        <v>105.34591194968554</v>
      </c>
      <c r="AQ51" s="758">
        <f>SUM(AQ52:AQ54)</f>
        <v>335000</v>
      </c>
      <c r="AR51" s="758">
        <f t="shared" ref="AR51:AT51" si="203">SUM(AR52:AR54)</f>
        <v>0</v>
      </c>
      <c r="AS51" s="758">
        <f t="shared" si="203"/>
        <v>0</v>
      </c>
      <c r="AT51" s="758">
        <f t="shared" si="203"/>
        <v>0</v>
      </c>
      <c r="AU51" s="758">
        <f>SUM(AU52:AU54)</f>
        <v>352000</v>
      </c>
      <c r="AV51" s="758">
        <f>AU51/AO51*100</f>
        <v>105.07462686567163</v>
      </c>
      <c r="AW51" s="758">
        <f>SUM(AW52:AW54)</f>
        <v>352000</v>
      </c>
      <c r="AX51" s="758">
        <f t="shared" ref="AX51:AZ51" si="204">SUM(AX52:AX54)</f>
        <v>0</v>
      </c>
      <c r="AY51" s="758">
        <f t="shared" si="204"/>
        <v>0</v>
      </c>
      <c r="AZ51" s="758">
        <f t="shared" si="204"/>
        <v>0</v>
      </c>
      <c r="BD51" s="3145">
        <f>+'[29]Phụ lục số 1'!$BC$50</f>
        <v>13750000</v>
      </c>
      <c r="BI51" s="3145">
        <f t="shared" si="153"/>
        <v>209999.569416666</v>
      </c>
      <c r="BJ51" s="1729">
        <f t="shared" si="154"/>
        <v>209999.56941666594</v>
      </c>
      <c r="BK51" s="1729">
        <f>SUM(BL51:BM51)</f>
        <v>5.8207660913467407E-11</v>
      </c>
      <c r="BL51" s="5293">
        <f t="shared" si="155"/>
        <v>5.8207660913467407E-11</v>
      </c>
      <c r="BM51" s="5293">
        <f t="shared" si="166"/>
        <v>0</v>
      </c>
      <c r="BN51" s="739"/>
      <c r="BQ51" s="5415">
        <f>+'Biểu số 1'!AZ51</f>
        <v>281887.67128599994</v>
      </c>
      <c r="BR51" s="5416">
        <f t="shared" si="156"/>
        <v>0.45447854298205614</v>
      </c>
    </row>
    <row r="52" spans="1:70">
      <c r="A52" s="5538"/>
      <c r="B52" s="1716" t="s">
        <v>35</v>
      </c>
      <c r="C52" s="152">
        <v>35000</v>
      </c>
      <c r="D52" s="152">
        <f>C52+9000</f>
        <v>44000</v>
      </c>
      <c r="E52" s="153"/>
      <c r="F52" s="154">
        <f>D52</f>
        <v>44000</v>
      </c>
      <c r="G52" s="154"/>
      <c r="H52" s="154">
        <f>D52-F52-I52</f>
        <v>0</v>
      </c>
      <c r="I52" s="154">
        <v>0</v>
      </c>
      <c r="J52" s="157">
        <f>102880.399083333+20000+35000+26000</f>
        <v>183880.399083333</v>
      </c>
      <c r="K52" s="157">
        <f t="shared" si="169"/>
        <v>525.37256880952293</v>
      </c>
      <c r="L52" s="1693">
        <f>J52/D52*100</f>
        <v>417.90999791666587</v>
      </c>
      <c r="M52" s="1684">
        <f>F52*L52/100</f>
        <v>183880.39908333297</v>
      </c>
      <c r="N52" s="1684">
        <f t="shared" ref="N52:N54" si="205">SUM(O52:P52)</f>
        <v>2.9103830456733704E-11</v>
      </c>
      <c r="O52" s="1684">
        <f t="shared" ref="O52:O54" si="206">J52-M52-P52</f>
        <v>2.9103830456733704E-11</v>
      </c>
      <c r="P52" s="1684">
        <f>I52*L52/100</f>
        <v>0</v>
      </c>
      <c r="Q52" s="157">
        <v>343000</v>
      </c>
      <c r="R52" s="1694">
        <f t="shared" si="151"/>
        <v>186.53429169715656</v>
      </c>
      <c r="S52" s="157">
        <f>+Q52</f>
        <v>343000</v>
      </c>
      <c r="T52" s="157">
        <f t="shared" ref="T52:T54" si="207">SUM(U52:V52)</f>
        <v>0</v>
      </c>
      <c r="U52" s="157">
        <f t="shared" ref="U52:U54" si="208">Q52-S52-V52</f>
        <v>0</v>
      </c>
      <c r="V52" s="5547"/>
      <c r="W52" s="5523">
        <v>200000</v>
      </c>
      <c r="X52" s="175">
        <f>W52/Q52*100</f>
        <v>58.309037900874635</v>
      </c>
      <c r="Y52" s="157">
        <f>+W52</f>
        <v>200000</v>
      </c>
      <c r="Z52" s="157">
        <f t="shared" ref="Z52:Z54" si="209">SUM(AA52:AB52)</f>
        <v>0</v>
      </c>
      <c r="AA52" s="157">
        <f t="shared" ref="AA52:AA54" si="210">W52-Y52-AB52</f>
        <v>0</v>
      </c>
      <c r="AB52" s="157"/>
      <c r="AC52" s="157">
        <v>205000</v>
      </c>
      <c r="AD52" s="157">
        <f>AC52/W52*100</f>
        <v>102.49999999999999</v>
      </c>
      <c r="AE52" s="157">
        <f>+AC52</f>
        <v>205000</v>
      </c>
      <c r="AF52" s="157">
        <f t="shared" ref="AF52:AF54" si="211">SUM(AG52:AH52)</f>
        <v>0</v>
      </c>
      <c r="AG52" s="157">
        <f t="shared" ref="AG52:AG54" si="212">AC52-AE52-AH52</f>
        <v>0</v>
      </c>
      <c r="AH52" s="157"/>
      <c r="AI52" s="157">
        <v>212000</v>
      </c>
      <c r="AJ52" s="157">
        <f>AI52/AC52*100</f>
        <v>103.41463414634147</v>
      </c>
      <c r="AK52" s="157">
        <f>+AI52</f>
        <v>212000</v>
      </c>
      <c r="AL52" s="157">
        <f t="shared" ref="AL52:AL54" si="213">SUM(AM52:AN52)</f>
        <v>0</v>
      </c>
      <c r="AM52" s="157"/>
      <c r="AN52" s="157"/>
      <c r="AO52" s="157">
        <v>217000</v>
      </c>
      <c r="AP52" s="157">
        <f>AO52/AI52*100</f>
        <v>102.35849056603774</v>
      </c>
      <c r="AQ52" s="157">
        <f>+AO52</f>
        <v>217000</v>
      </c>
      <c r="AR52" s="157">
        <f t="shared" ref="AR52:AR54" si="214">SUM(AS52:AT52)</f>
        <v>0</v>
      </c>
      <c r="AS52" s="157"/>
      <c r="AT52" s="157"/>
      <c r="AU52" s="157">
        <v>225000</v>
      </c>
      <c r="AV52" s="157">
        <f>AU52/AO52*100</f>
        <v>103.68663594470047</v>
      </c>
      <c r="AW52" s="157">
        <f>AU52</f>
        <v>225000</v>
      </c>
      <c r="AX52" s="157">
        <f t="shared" ref="AX52:AX54" si="215">SUM(AY52:AZ52)</f>
        <v>0</v>
      </c>
      <c r="AY52" s="157">
        <f t="shared" ref="AY52:AY54" si="216">AU52-AW52-AZ52</f>
        <v>0</v>
      </c>
      <c r="AZ52" s="157"/>
      <c r="BD52" s="1729">
        <f>+BD50-BD51</f>
        <v>-1600000</v>
      </c>
    </row>
    <row r="53" spans="1:70">
      <c r="A53" s="5538"/>
      <c r="B53" s="1716" t="s">
        <v>36</v>
      </c>
      <c r="C53" s="152">
        <v>121000</v>
      </c>
      <c r="D53" s="152">
        <f>C53+33000</f>
        <v>154000</v>
      </c>
      <c r="E53" s="153"/>
      <c r="F53" s="154">
        <f>D53</f>
        <v>154000</v>
      </c>
      <c r="G53" s="154"/>
      <c r="H53" s="154">
        <f t="shared" ref="H53:H54" si="217">D53-F53-I53</f>
        <v>0</v>
      </c>
      <c r="I53" s="154">
        <v>0</v>
      </c>
      <c r="J53" s="157">
        <f>106188.436333333+28800+35000+50000</f>
        <v>219988.436333333</v>
      </c>
      <c r="K53" s="157">
        <f t="shared" si="169"/>
        <v>181.80862506887024</v>
      </c>
      <c r="L53" s="1693">
        <f t="shared" ref="L53:L54" si="218">J53/D53*100</f>
        <v>142.84963398268374</v>
      </c>
      <c r="M53" s="1684">
        <f t="shared" ref="M53:M54" si="219">F53*L53/100</f>
        <v>219988.43633333297</v>
      </c>
      <c r="N53" s="1684">
        <f t="shared" si="205"/>
        <v>2.9103830456733704E-11</v>
      </c>
      <c r="O53" s="1684">
        <f t="shared" si="206"/>
        <v>2.9103830456733704E-11</v>
      </c>
      <c r="P53" s="1684">
        <f t="shared" ref="P53:P54" si="220">I53*L53/100</f>
        <v>0</v>
      </c>
      <c r="Q53" s="157">
        <v>152000</v>
      </c>
      <c r="R53" s="1694">
        <f t="shared" si="151"/>
        <v>69.094540846540269</v>
      </c>
      <c r="S53" s="157">
        <f t="shared" ref="S53:S55" si="221">+Q53</f>
        <v>152000</v>
      </c>
      <c r="T53" s="157">
        <f t="shared" si="207"/>
        <v>0</v>
      </c>
      <c r="U53" s="157">
        <f t="shared" si="208"/>
        <v>0</v>
      </c>
      <c r="V53" s="5547"/>
      <c r="W53" s="5523">
        <v>83000</v>
      </c>
      <c r="X53" s="175">
        <f t="shared" ref="X53:X54" si="222">W53/Q53*100</f>
        <v>54.605263157894733</v>
      </c>
      <c r="Y53" s="157">
        <f>+W53</f>
        <v>83000</v>
      </c>
      <c r="Z53" s="157">
        <f t="shared" si="209"/>
        <v>0</v>
      </c>
      <c r="AA53" s="157">
        <f t="shared" si="210"/>
        <v>0</v>
      </c>
      <c r="AB53" s="157"/>
      <c r="AC53" s="157">
        <v>92000</v>
      </c>
      <c r="AD53" s="157">
        <f t="shared" ref="AD53:AD54" si="223">AC53/W53*100</f>
        <v>110.8433734939759</v>
      </c>
      <c r="AE53" s="157">
        <f t="shared" ref="AE53:AE54" si="224">+AC53</f>
        <v>92000</v>
      </c>
      <c r="AF53" s="157">
        <f t="shared" si="211"/>
        <v>0</v>
      </c>
      <c r="AG53" s="157">
        <f t="shared" si="212"/>
        <v>0</v>
      </c>
      <c r="AH53" s="157"/>
      <c r="AI53" s="157">
        <v>100000</v>
      </c>
      <c r="AJ53" s="157">
        <f t="shared" ref="AJ53:AJ54" si="225">AI53/AC53*100</f>
        <v>108.69565217391303</v>
      </c>
      <c r="AK53" s="157">
        <f>+AI53</f>
        <v>100000</v>
      </c>
      <c r="AL53" s="157">
        <f t="shared" si="213"/>
        <v>0</v>
      </c>
      <c r="AM53" s="157"/>
      <c r="AN53" s="157"/>
      <c r="AO53" s="157">
        <v>111000</v>
      </c>
      <c r="AP53" s="157">
        <f t="shared" ref="AP53:AP54" si="226">AO53/AI53*100</f>
        <v>111.00000000000001</v>
      </c>
      <c r="AQ53" s="157">
        <f>+AO53</f>
        <v>111000</v>
      </c>
      <c r="AR53" s="157">
        <f t="shared" si="214"/>
        <v>0</v>
      </c>
      <c r="AS53" s="157"/>
      <c r="AT53" s="157"/>
      <c r="AU53" s="157">
        <v>120000</v>
      </c>
      <c r="AV53" s="157">
        <f t="shared" ref="AV53:AV54" si="227">AU53/AO53*100</f>
        <v>108.10810810810811</v>
      </c>
      <c r="AW53" s="157">
        <f t="shared" ref="AW53:AW54" si="228">AU53</f>
        <v>120000</v>
      </c>
      <c r="AX53" s="157">
        <f t="shared" si="215"/>
        <v>0</v>
      </c>
      <c r="AY53" s="157">
        <f t="shared" si="216"/>
        <v>0</v>
      </c>
      <c r="AZ53" s="157"/>
    </row>
    <row r="54" spans="1:70">
      <c r="A54" s="5538"/>
      <c r="B54" s="1716" t="s">
        <v>135</v>
      </c>
      <c r="C54" s="152">
        <v>1000</v>
      </c>
      <c r="D54" s="152">
        <v>2000</v>
      </c>
      <c r="E54" s="153"/>
      <c r="F54" s="154">
        <f>D54</f>
        <v>2000</v>
      </c>
      <c r="G54" s="154"/>
      <c r="H54" s="154">
        <f t="shared" si="217"/>
        <v>0</v>
      </c>
      <c r="I54" s="154"/>
      <c r="J54" s="157">
        <f>930.734+1200+4000</f>
        <v>6130.7340000000004</v>
      </c>
      <c r="K54" s="157">
        <f t="shared" si="169"/>
        <v>613.07339999999999</v>
      </c>
      <c r="L54" s="1693">
        <f t="shared" si="218"/>
        <v>306.5367</v>
      </c>
      <c r="M54" s="1684">
        <f t="shared" si="219"/>
        <v>6130.7340000000004</v>
      </c>
      <c r="N54" s="1684">
        <f t="shared" si="205"/>
        <v>0</v>
      </c>
      <c r="O54" s="1684">
        <f t="shared" si="206"/>
        <v>0</v>
      </c>
      <c r="P54" s="1684">
        <f t="shared" si="220"/>
        <v>0</v>
      </c>
      <c r="Q54" s="157">
        <v>4000</v>
      </c>
      <c r="R54" s="1694">
        <f t="shared" si="151"/>
        <v>65.245042437006731</v>
      </c>
      <c r="S54" s="157">
        <f t="shared" si="221"/>
        <v>4000</v>
      </c>
      <c r="T54" s="157">
        <f t="shared" si="207"/>
        <v>0</v>
      </c>
      <c r="U54" s="157">
        <f t="shared" si="208"/>
        <v>0</v>
      </c>
      <c r="V54" s="5547"/>
      <c r="W54" s="5523">
        <v>4000</v>
      </c>
      <c r="X54" s="175">
        <f t="shared" si="222"/>
        <v>100</v>
      </c>
      <c r="Y54" s="157">
        <f>+W54</f>
        <v>4000</v>
      </c>
      <c r="Z54" s="157">
        <f t="shared" si="209"/>
        <v>0</v>
      </c>
      <c r="AA54" s="157">
        <f t="shared" si="210"/>
        <v>0</v>
      </c>
      <c r="AB54" s="157"/>
      <c r="AC54" s="157">
        <v>5000</v>
      </c>
      <c r="AD54" s="157">
        <f t="shared" si="223"/>
        <v>125</v>
      </c>
      <c r="AE54" s="157">
        <f t="shared" si="224"/>
        <v>5000</v>
      </c>
      <c r="AF54" s="157">
        <f t="shared" si="211"/>
        <v>0</v>
      </c>
      <c r="AG54" s="157">
        <f t="shared" si="212"/>
        <v>0</v>
      </c>
      <c r="AH54" s="157"/>
      <c r="AI54" s="157">
        <v>6000</v>
      </c>
      <c r="AJ54" s="157">
        <f t="shared" si="225"/>
        <v>120</v>
      </c>
      <c r="AK54" s="157">
        <f>+AI54</f>
        <v>6000</v>
      </c>
      <c r="AL54" s="157">
        <f t="shared" si="213"/>
        <v>0</v>
      </c>
      <c r="AM54" s="157"/>
      <c r="AN54" s="157"/>
      <c r="AO54" s="157">
        <v>7000</v>
      </c>
      <c r="AP54" s="157">
        <f t="shared" si="226"/>
        <v>116.66666666666667</v>
      </c>
      <c r="AQ54" s="157">
        <f>+AO54</f>
        <v>7000</v>
      </c>
      <c r="AR54" s="157">
        <f t="shared" si="214"/>
        <v>0</v>
      </c>
      <c r="AS54" s="157"/>
      <c r="AT54" s="157"/>
      <c r="AU54" s="157">
        <v>7000</v>
      </c>
      <c r="AV54" s="157">
        <f t="shared" si="227"/>
        <v>100</v>
      </c>
      <c r="AW54" s="157">
        <f t="shared" si="228"/>
        <v>7000</v>
      </c>
      <c r="AX54" s="157">
        <f t="shared" si="215"/>
        <v>0</v>
      </c>
      <c r="AY54" s="157">
        <f t="shared" si="216"/>
        <v>0</v>
      </c>
      <c r="AZ54" s="157"/>
    </row>
    <row r="55" spans="1:70">
      <c r="A55" s="5538"/>
      <c r="B55" s="1716" t="s">
        <v>114</v>
      </c>
      <c r="C55" s="152"/>
      <c r="D55" s="152"/>
      <c r="E55" s="153"/>
      <c r="F55" s="154"/>
      <c r="G55" s="154"/>
      <c r="H55" s="154"/>
      <c r="I55" s="154"/>
      <c r="J55" s="157"/>
      <c r="K55" s="157"/>
      <c r="L55" s="1693"/>
      <c r="M55" s="1684"/>
      <c r="N55" s="1684"/>
      <c r="O55" s="1684"/>
      <c r="P55" s="1684"/>
      <c r="Q55" s="157">
        <v>1000</v>
      </c>
      <c r="R55" s="1694"/>
      <c r="S55" s="157">
        <f t="shared" si="221"/>
        <v>1000</v>
      </c>
      <c r="T55" s="157"/>
      <c r="U55" s="157"/>
      <c r="V55" s="5547"/>
      <c r="W55" s="5523"/>
      <c r="X55" s="17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row>
    <row r="56" spans="1:70" s="4" customFormat="1">
      <c r="A56" s="5538" t="s">
        <v>182</v>
      </c>
      <c r="B56" s="165" t="s">
        <v>3231</v>
      </c>
      <c r="C56" s="147"/>
      <c r="D56" s="147"/>
      <c r="E56" s="148"/>
      <c r="F56" s="149"/>
      <c r="G56" s="149"/>
      <c r="H56" s="149"/>
      <c r="I56" s="149"/>
      <c r="J56" s="142"/>
      <c r="K56" s="142"/>
      <c r="L56" s="1687"/>
      <c r="M56" s="1686"/>
      <c r="N56" s="1686"/>
      <c r="O56" s="1686"/>
      <c r="P56" s="1686"/>
      <c r="Q56" s="142">
        <f>5553.796</f>
        <v>5553.7960000000003</v>
      </c>
      <c r="R56" s="1692"/>
      <c r="S56" s="142"/>
      <c r="T56" s="142">
        <f>SUM(U56:V56)</f>
        <v>5553.7960000000003</v>
      </c>
      <c r="U56" s="142">
        <f>+Q56</f>
        <v>5553.7960000000003</v>
      </c>
      <c r="V56" s="5548"/>
      <c r="W56" s="5524"/>
      <c r="X56" s="141"/>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row>
    <row r="57" spans="1:70">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229">R58+R61+R60</f>
        <v>0</v>
      </c>
      <c r="S57" s="173">
        <f t="shared" si="229"/>
        <v>0</v>
      </c>
      <c r="T57" s="173">
        <f>T58+T61+T60</f>
        <v>11903075</v>
      </c>
      <c r="U57" s="173">
        <f>U58+U61+U60</f>
        <v>11903075</v>
      </c>
      <c r="V57" s="5535">
        <f t="shared" si="229"/>
        <v>0</v>
      </c>
      <c r="W57" s="5520">
        <f>W58+W61+W60</f>
        <v>11903075</v>
      </c>
      <c r="X57" s="173">
        <f t="shared" si="229"/>
        <v>0</v>
      </c>
      <c r="Y57" s="173">
        <f t="shared" si="229"/>
        <v>0</v>
      </c>
      <c r="Z57" s="173">
        <f t="shared" si="229"/>
        <v>11903075</v>
      </c>
      <c r="AA57" s="173">
        <f t="shared" si="229"/>
        <v>11903075</v>
      </c>
      <c r="AB57" s="173">
        <f t="shared" si="229"/>
        <v>0</v>
      </c>
      <c r="AC57" s="173">
        <f t="shared" si="229"/>
        <v>11903075</v>
      </c>
      <c r="AD57" s="173">
        <f t="shared" si="229"/>
        <v>0</v>
      </c>
      <c r="AE57" s="173">
        <f t="shared" si="229"/>
        <v>0</v>
      </c>
      <c r="AF57" s="173">
        <f t="shared" si="229"/>
        <v>11903075</v>
      </c>
      <c r="AG57" s="173">
        <f t="shared" si="229"/>
        <v>11903075</v>
      </c>
      <c r="AH57" s="173">
        <f t="shared" si="229"/>
        <v>0</v>
      </c>
      <c r="AI57" s="173">
        <f t="shared" si="229"/>
        <v>11903075</v>
      </c>
      <c r="AJ57" s="173">
        <f t="shared" si="229"/>
        <v>0</v>
      </c>
      <c r="AK57" s="173">
        <f t="shared" si="229"/>
        <v>0</v>
      </c>
      <c r="AL57" s="173">
        <f t="shared" si="229"/>
        <v>11903075</v>
      </c>
      <c r="AM57" s="173">
        <f t="shared" si="229"/>
        <v>11903075</v>
      </c>
      <c r="AN57" s="173">
        <f t="shared" si="229"/>
        <v>0</v>
      </c>
      <c r="AO57" s="173">
        <f t="shared" si="229"/>
        <v>11903075</v>
      </c>
      <c r="AP57" s="173">
        <f t="shared" si="229"/>
        <v>0</v>
      </c>
      <c r="AQ57" s="173">
        <f t="shared" si="229"/>
        <v>0</v>
      </c>
      <c r="AR57" s="173">
        <f t="shared" si="229"/>
        <v>11903075</v>
      </c>
      <c r="AS57" s="173">
        <f t="shared" si="229"/>
        <v>11903075</v>
      </c>
      <c r="AT57" s="173">
        <f t="shared" si="229"/>
        <v>0</v>
      </c>
      <c r="AU57" s="173">
        <f t="shared" si="229"/>
        <v>11903075</v>
      </c>
      <c r="AV57" s="173">
        <f t="shared" si="229"/>
        <v>0</v>
      </c>
      <c r="AW57" s="173">
        <f t="shared" si="229"/>
        <v>0</v>
      </c>
      <c r="AX57" s="173">
        <f t="shared" si="229"/>
        <v>11903075</v>
      </c>
      <c r="AY57" s="173">
        <f t="shared" si="229"/>
        <v>11903075</v>
      </c>
      <c r="AZ57" s="173">
        <f t="shared" si="229"/>
        <v>0</v>
      </c>
    </row>
    <row r="58" spans="1:70" s="5302" customFormat="1">
      <c r="A58" s="5534" t="s">
        <v>3</v>
      </c>
      <c r="B58" s="1713" t="s">
        <v>39</v>
      </c>
      <c r="C58" s="173">
        <f>6487488+C59</f>
        <v>6617188</v>
      </c>
      <c r="D58" s="173">
        <f>6487488+D59</f>
        <v>6617188</v>
      </c>
      <c r="E58" s="176"/>
      <c r="F58" s="174"/>
      <c r="G58" s="174">
        <f>SUM(H58:I58)</f>
        <v>6617188</v>
      </c>
      <c r="H58" s="174">
        <f>D58-F58-I58</f>
        <v>6617188</v>
      </c>
      <c r="I58" s="174">
        <v>0</v>
      </c>
      <c r="J58" s="173">
        <f>6487488+J59</f>
        <v>6617188</v>
      </c>
      <c r="K58" s="5300"/>
      <c r="L58" s="5300"/>
      <c r="M58" s="5300"/>
      <c r="N58" s="173">
        <f>6487488+N59</f>
        <v>6617188</v>
      </c>
      <c r="O58" s="173">
        <f t="shared" ref="O58" si="230">6487488+O59</f>
        <v>6617188</v>
      </c>
      <c r="P58" s="173"/>
      <c r="Q58" s="173">
        <f>6617188+Q59</f>
        <v>6749488</v>
      </c>
      <c r="R58" s="5300"/>
      <c r="S58" s="5300"/>
      <c r="T58" s="758">
        <f>SUM(U58:V58)</f>
        <v>6749488</v>
      </c>
      <c r="U58" s="758">
        <f>Q58</f>
        <v>6749488</v>
      </c>
      <c r="V58" s="5549"/>
      <c r="W58" s="5520">
        <f>6617188+W59</f>
        <v>6749488</v>
      </c>
      <c r="X58" s="5301"/>
      <c r="Y58" s="5300"/>
      <c r="Z58" s="173">
        <f>SUM(AA58:AB58)</f>
        <v>6749488</v>
      </c>
      <c r="AA58" s="173">
        <f>+W58</f>
        <v>6749488</v>
      </c>
      <c r="AB58" s="173"/>
      <c r="AC58" s="173">
        <f>6617188+AC59</f>
        <v>6749488</v>
      </c>
      <c r="AD58" s="5300"/>
      <c r="AE58" s="5300"/>
      <c r="AF58" s="173">
        <f>SUM(AG58:AH58)</f>
        <v>6749488</v>
      </c>
      <c r="AG58" s="173">
        <f>+AC58</f>
        <v>6749488</v>
      </c>
      <c r="AH58" s="173"/>
      <c r="AI58" s="173">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row>
    <row r="59" spans="1:70" s="5" customFormat="1">
      <c r="A59" s="5550"/>
      <c r="B59" s="1723" t="s">
        <v>40</v>
      </c>
      <c r="C59" s="179">
        <f>129700</f>
        <v>129700</v>
      </c>
      <c r="D59" s="179">
        <f>C59</f>
        <v>129700</v>
      </c>
      <c r="E59" s="180"/>
      <c r="F59" s="181"/>
      <c r="G59" s="181">
        <f>SUM(H59:I59)</f>
        <v>129700</v>
      </c>
      <c r="H59" s="181">
        <f>D59-F59-I59</f>
        <v>129700</v>
      </c>
      <c r="I59" s="181"/>
      <c r="J59" s="179">
        <f>H59</f>
        <v>129700</v>
      </c>
      <c r="K59" s="171"/>
      <c r="L59" s="171"/>
      <c r="M59" s="171"/>
      <c r="N59" s="171">
        <f>SUM(O59:P59)</f>
        <v>129700</v>
      </c>
      <c r="O59" s="171">
        <f>J59-M59-P59</f>
        <v>129700</v>
      </c>
      <c r="P59" s="171"/>
      <c r="Q59" s="171">
        <v>132300</v>
      </c>
      <c r="R59" s="171"/>
      <c r="S59" s="171"/>
      <c r="T59" s="171">
        <f>SUM(U59:V59)</f>
        <v>132300</v>
      </c>
      <c r="U59" s="171">
        <f>Q59</f>
        <v>132300</v>
      </c>
      <c r="V59" s="5551"/>
      <c r="W59" s="5526">
        <v>132300</v>
      </c>
      <c r="X59" s="182"/>
      <c r="Y59" s="171"/>
      <c r="Z59" s="171">
        <f>SUM(AA59:AB59)</f>
        <v>132300</v>
      </c>
      <c r="AA59" s="171">
        <f>W59</f>
        <v>132300</v>
      </c>
      <c r="AB59" s="171"/>
      <c r="AC59" s="171">
        <v>132300</v>
      </c>
      <c r="AD59" s="171"/>
      <c r="AE59" s="171"/>
      <c r="AF59" s="171">
        <f>SUM(AG59:AH59)</f>
        <v>132300</v>
      </c>
      <c r="AG59" s="171">
        <f>AC59</f>
        <v>132300</v>
      </c>
      <c r="AH59" s="171"/>
      <c r="AI59" s="17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row>
    <row r="60" spans="1:70" s="739" customFormat="1" ht="17.399999999999999">
      <c r="A60" s="5534" t="s">
        <v>33</v>
      </c>
      <c r="B60" s="1928" t="s">
        <v>3187</v>
      </c>
      <c r="C60" s="173">
        <v>650315</v>
      </c>
      <c r="D60" s="173">
        <f>C60</f>
        <v>650315</v>
      </c>
      <c r="E60" s="176"/>
      <c r="F60" s="174"/>
      <c r="G60" s="174">
        <f>SUM(H60:I60)</f>
        <v>650315</v>
      </c>
      <c r="H60" s="174">
        <f>D60-F60-I60</f>
        <v>650315</v>
      </c>
      <c r="I60" s="174"/>
      <c r="J60" s="173">
        <f>C60+319368+190406-(346306)</f>
        <v>813783</v>
      </c>
      <c r="K60" s="758"/>
      <c r="L60" s="758"/>
      <c r="M60" s="758"/>
      <c r="N60" s="758">
        <f>SUM(O60:P60)</f>
        <v>813783</v>
      </c>
      <c r="O60" s="758">
        <f>J60-M60-P60</f>
        <v>813783</v>
      </c>
      <c r="P60" s="744"/>
      <c r="Q60" s="758">
        <v>2116595</v>
      </c>
      <c r="R60" s="758"/>
      <c r="S60" s="758"/>
      <c r="T60" s="758">
        <f>SUM(U60:V60)</f>
        <v>2116595</v>
      </c>
      <c r="U60" s="758">
        <f t="shared" ref="U60" si="231">Q60</f>
        <v>2116595</v>
      </c>
      <c r="V60" s="5549"/>
      <c r="W60" s="5525">
        <f>+Q60</f>
        <v>2116595</v>
      </c>
      <c r="X60" s="744"/>
      <c r="Y60" s="758"/>
      <c r="Z60" s="758">
        <f>SUM(AA60:AB60)</f>
        <v>2116595</v>
      </c>
      <c r="AA60" s="758">
        <f>W60</f>
        <v>2116595</v>
      </c>
      <c r="AB60" s="758"/>
      <c r="AC60" s="758">
        <f>+W60</f>
        <v>2116595</v>
      </c>
      <c r="AD60" s="758"/>
      <c r="AE60" s="758"/>
      <c r="AF60" s="758">
        <f>SUM(AG60:AH60)</f>
        <v>2116595</v>
      </c>
      <c r="AG60" s="758">
        <f>+AC60</f>
        <v>2116595</v>
      </c>
      <c r="AH60" s="758"/>
      <c r="AI60" s="758">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row>
    <row r="61" spans="1:70">
      <c r="A61" s="5534" t="s">
        <v>182</v>
      </c>
      <c r="B61" s="1713" t="s">
        <v>41</v>
      </c>
      <c r="C61" s="173">
        <f>SUM(C62,C65,C68)</f>
        <v>1988976</v>
      </c>
      <c r="D61" s="173">
        <f t="shared" ref="D61" si="232">SUM(D62,D65,D68)</f>
        <v>1988976</v>
      </c>
      <c r="E61" s="176"/>
      <c r="F61" s="174">
        <f>SUM(F62:F68)</f>
        <v>0</v>
      </c>
      <c r="G61" s="174">
        <f t="shared" ref="G61:I61" si="233">SUM(G62,G65,G68)</f>
        <v>1988976</v>
      </c>
      <c r="H61" s="174">
        <f t="shared" si="233"/>
        <v>1988976</v>
      </c>
      <c r="I61" s="174">
        <f t="shared" si="233"/>
        <v>0</v>
      </c>
      <c r="J61" s="173">
        <f>SUM(J62,J65,J68)</f>
        <v>2127535</v>
      </c>
      <c r="K61" s="157"/>
      <c r="L61" s="157"/>
      <c r="M61" s="157"/>
      <c r="N61" s="173">
        <f t="shared" ref="N61:P61" si="234">SUM(N62,N65,N68)</f>
        <v>2127535</v>
      </c>
      <c r="O61" s="173">
        <f t="shared" si="234"/>
        <v>2127535</v>
      </c>
      <c r="P61" s="173">
        <f t="shared" si="234"/>
        <v>0</v>
      </c>
      <c r="Q61" s="173">
        <f>SUM(Q62,Q65,Q68)</f>
        <v>3036992</v>
      </c>
      <c r="R61" s="157"/>
      <c r="S61" s="157"/>
      <c r="T61" s="173">
        <f t="shared" ref="T61:W61" si="235">SUM(T62,T65,T68)</f>
        <v>3036992</v>
      </c>
      <c r="U61" s="173">
        <f t="shared" si="235"/>
        <v>3036992</v>
      </c>
      <c r="V61" s="5535">
        <f t="shared" si="235"/>
        <v>0</v>
      </c>
      <c r="W61" s="5520">
        <f t="shared" si="235"/>
        <v>3036992</v>
      </c>
      <c r="X61" s="157"/>
      <c r="Y61" s="157"/>
      <c r="Z61" s="173">
        <f t="shared" ref="Z61:AC61" si="236">SUM(Z62,Z65,Z68)</f>
        <v>3036992</v>
      </c>
      <c r="AA61" s="173">
        <f t="shared" si="236"/>
        <v>3036992</v>
      </c>
      <c r="AB61" s="173">
        <f t="shared" si="236"/>
        <v>0</v>
      </c>
      <c r="AC61" s="173">
        <f t="shared" si="236"/>
        <v>3036992</v>
      </c>
      <c r="AD61" s="157"/>
      <c r="AE61" s="157"/>
      <c r="AF61" s="173">
        <f t="shared" ref="AF61:AI61" si="237">SUM(AF62,AF65,AF68)</f>
        <v>3036992</v>
      </c>
      <c r="AG61" s="173">
        <f t="shared" si="237"/>
        <v>3036992</v>
      </c>
      <c r="AH61" s="173">
        <f t="shared" si="237"/>
        <v>0</v>
      </c>
      <c r="AI61" s="173">
        <f t="shared" si="237"/>
        <v>3036992</v>
      </c>
      <c r="AJ61" s="157"/>
      <c r="AK61" s="157"/>
      <c r="AL61" s="173">
        <f t="shared" ref="AL61:AO61" si="238">SUM(AL62,AL65,AL68)</f>
        <v>3036992</v>
      </c>
      <c r="AM61" s="173">
        <f t="shared" si="238"/>
        <v>3036992</v>
      </c>
      <c r="AN61" s="173">
        <f t="shared" si="238"/>
        <v>0</v>
      </c>
      <c r="AO61" s="173">
        <f t="shared" si="238"/>
        <v>3036992</v>
      </c>
      <c r="AP61" s="157"/>
      <c r="AQ61" s="157"/>
      <c r="AR61" s="173">
        <f t="shared" ref="AR61:AU61" si="239">SUM(AR62,AR65,AR68)</f>
        <v>3036992</v>
      </c>
      <c r="AS61" s="173">
        <f t="shared" si="239"/>
        <v>3036992</v>
      </c>
      <c r="AT61" s="173">
        <f t="shared" si="239"/>
        <v>0</v>
      </c>
      <c r="AU61" s="173">
        <f t="shared" si="239"/>
        <v>3036992</v>
      </c>
      <c r="AV61" s="157"/>
      <c r="AW61" s="157"/>
      <c r="AX61" s="173">
        <f t="shared" ref="AX61:AZ61" si="240">SUM(AX62,AX65,AX68)</f>
        <v>3036992</v>
      </c>
      <c r="AY61" s="173">
        <f t="shared" si="240"/>
        <v>3036992</v>
      </c>
      <c r="AZ61" s="173">
        <f t="shared" si="240"/>
        <v>0</v>
      </c>
    </row>
    <row r="62" spans="1:70" s="204" customFormat="1" ht="31.2">
      <c r="A62" s="5538">
        <v>1</v>
      </c>
      <c r="B62" s="1716" t="s">
        <v>42</v>
      </c>
      <c r="C62" s="152">
        <f>SUM(C63:C64)</f>
        <v>1814491</v>
      </c>
      <c r="D62" s="152">
        <f t="shared" ref="D62" si="241">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242">SUM(P63:P64)</f>
        <v>0</v>
      </c>
      <c r="Q62" s="152">
        <f>SUM(Q63:Q64)</f>
        <v>2530494</v>
      </c>
      <c r="R62" s="152"/>
      <c r="S62" s="152"/>
      <c r="T62" s="152">
        <f>SUM(T63:T64)</f>
        <v>2530494</v>
      </c>
      <c r="U62" s="152">
        <f>SUM(U63:U64)</f>
        <v>2530494</v>
      </c>
      <c r="V62" s="5552">
        <f t="shared" ref="V62" si="243">SUM(V63:V64)</f>
        <v>0</v>
      </c>
      <c r="W62" s="5527">
        <f>SUM(W63:W64)</f>
        <v>2530494</v>
      </c>
      <c r="X62" s="152"/>
      <c r="Y62" s="152"/>
      <c r="Z62" s="152">
        <f>SUM(Z63:Z64)</f>
        <v>2530494</v>
      </c>
      <c r="AA62" s="152">
        <f t="shared" ref="AA62:AB62" si="244">SUM(AA63:AA64)</f>
        <v>2530494</v>
      </c>
      <c r="AB62" s="152">
        <f t="shared" si="244"/>
        <v>0</v>
      </c>
      <c r="AC62" s="152">
        <f>SUM(AC63:AC64)</f>
        <v>2530494</v>
      </c>
      <c r="AD62" s="152"/>
      <c r="AE62" s="152"/>
      <c r="AF62" s="152">
        <f>SUM(AF63:AF64)</f>
        <v>2530494</v>
      </c>
      <c r="AG62" s="152">
        <f t="shared" ref="AG62:AH62" si="245">SUM(AG63:AG64)</f>
        <v>2530494</v>
      </c>
      <c r="AH62" s="152">
        <f t="shared" si="245"/>
        <v>0</v>
      </c>
      <c r="AI62" s="152">
        <f>SUM(AI63:AI64)</f>
        <v>2530494</v>
      </c>
      <c r="AJ62" s="152"/>
      <c r="AK62" s="152"/>
      <c r="AL62" s="152">
        <f>SUM(AL63:AL64)</f>
        <v>2530494</v>
      </c>
      <c r="AM62" s="152">
        <f t="shared" ref="AM62:AN62" si="246">SUM(AM63:AM64)</f>
        <v>2530494</v>
      </c>
      <c r="AN62" s="152">
        <f t="shared" si="246"/>
        <v>0</v>
      </c>
      <c r="AO62" s="152">
        <f>SUM(AO63:AO64)</f>
        <v>2530494</v>
      </c>
      <c r="AP62" s="152"/>
      <c r="AQ62" s="152"/>
      <c r="AR62" s="152">
        <f>SUM(AR63:AR64)</f>
        <v>2530494</v>
      </c>
      <c r="AS62" s="152">
        <f t="shared" ref="AS62:AT62" si="247">SUM(AS63:AS64)</f>
        <v>2530494</v>
      </c>
      <c r="AT62" s="152">
        <f t="shared" si="247"/>
        <v>0</v>
      </c>
      <c r="AU62" s="152">
        <f>SUM(AU63:AU64)</f>
        <v>2530494</v>
      </c>
      <c r="AV62" s="152"/>
      <c r="AW62" s="152"/>
      <c r="AX62" s="152">
        <f>SUM(AX63:AX64)</f>
        <v>2530494</v>
      </c>
      <c r="AY62" s="152">
        <f t="shared" ref="AY62:AZ62" si="248">SUM(AY63:AY64)</f>
        <v>2530494</v>
      </c>
      <c r="AZ62" s="152">
        <f t="shared" si="248"/>
        <v>0</v>
      </c>
    </row>
    <row r="63" spans="1:70" s="5" customFormat="1">
      <c r="A63" s="5546" t="s">
        <v>99</v>
      </c>
      <c r="B63" s="1690" t="s">
        <v>100</v>
      </c>
      <c r="C63" s="263">
        <f>1596570+85000</f>
        <v>1681570</v>
      </c>
      <c r="D63" s="263">
        <f>C63</f>
        <v>1681570</v>
      </c>
      <c r="E63" s="1533"/>
      <c r="F63" s="170"/>
      <c r="G63" s="170">
        <f>SUM(H63:I63)</f>
        <v>1681570</v>
      </c>
      <c r="H63" s="170">
        <f>D63-F63-I63</f>
        <v>1681570</v>
      </c>
      <c r="I63" s="170"/>
      <c r="J63" s="182">
        <f>H63</f>
        <v>1681570</v>
      </c>
      <c r="K63" s="258"/>
      <c r="L63" s="258"/>
      <c r="M63" s="182"/>
      <c r="N63" s="171">
        <f>SUM(O63:P63)</f>
        <v>1681570</v>
      </c>
      <c r="O63" s="171">
        <f>J63-M63-P63</f>
        <v>1681570</v>
      </c>
      <c r="P63" s="182"/>
      <c r="Q63" s="171">
        <f>+'Phụ lục số 6'!D12</f>
        <v>2399255</v>
      </c>
      <c r="R63" s="171"/>
      <c r="S63" s="171"/>
      <c r="T63" s="171">
        <f>SUM(U63:V63)</f>
        <v>2399255</v>
      </c>
      <c r="U63" s="171">
        <f>Q63</f>
        <v>2399255</v>
      </c>
      <c r="V63" s="5551"/>
      <c r="W63" s="5526">
        <f>U63</f>
        <v>2399255</v>
      </c>
      <c r="X63" s="171"/>
      <c r="Y63" s="171"/>
      <c r="Z63" s="171">
        <f>SUM(AA63:AB63)</f>
        <v>2399255</v>
      </c>
      <c r="AA63" s="171">
        <f>W63</f>
        <v>2399255</v>
      </c>
      <c r="AB63" s="171"/>
      <c r="AC63" s="171">
        <f>AA63</f>
        <v>2399255</v>
      </c>
      <c r="AD63" s="171"/>
      <c r="AE63" s="171"/>
      <c r="AF63" s="171">
        <f>SUM(AG63:AH63)</f>
        <v>2399255</v>
      </c>
      <c r="AG63" s="171">
        <f>AC63</f>
        <v>2399255</v>
      </c>
      <c r="AH63" s="171"/>
      <c r="AI63" s="17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row>
    <row r="64" spans="1:70" s="5" customFormat="1">
      <c r="A64" s="5546" t="s">
        <v>101</v>
      </c>
      <c r="B64" s="1690" t="s">
        <v>102</v>
      </c>
      <c r="C64" s="263">
        <f>127705+5216</f>
        <v>132921</v>
      </c>
      <c r="D64" s="263">
        <f>C64</f>
        <v>132921</v>
      </c>
      <c r="E64" s="1533"/>
      <c r="F64" s="170"/>
      <c r="G64" s="170">
        <f t="shared" ref="G64" si="249">SUM(H64:I64)</f>
        <v>132921</v>
      </c>
      <c r="H64" s="170">
        <f t="shared" ref="H64" si="250">D64-F64-I64</f>
        <v>132921</v>
      </c>
      <c r="I64" s="170"/>
      <c r="J64" s="182">
        <f>H64</f>
        <v>132921</v>
      </c>
      <c r="K64" s="258"/>
      <c r="L64" s="258"/>
      <c r="M64" s="182"/>
      <c r="N64" s="171">
        <f t="shared" ref="N64" si="251">SUM(O64:P64)</f>
        <v>132921</v>
      </c>
      <c r="O64" s="171">
        <f t="shared" ref="O64" si="252">J64-M64-P64</f>
        <v>132921</v>
      </c>
      <c r="P64" s="182"/>
      <c r="Q64" s="171">
        <f>+'Phụ lục số 6'!D18</f>
        <v>131239</v>
      </c>
      <c r="R64" s="171"/>
      <c r="S64" s="171"/>
      <c r="T64" s="171">
        <f>SUM(U64:V64)</f>
        <v>131239</v>
      </c>
      <c r="U64" s="171">
        <f>Q64</f>
        <v>131239</v>
      </c>
      <c r="V64" s="5551"/>
      <c r="W64" s="5526">
        <f t="shared" ref="W64" si="253">U64</f>
        <v>131239</v>
      </c>
      <c r="X64" s="171"/>
      <c r="Y64" s="171"/>
      <c r="Z64" s="171">
        <f>SUM(AA64:AB64)</f>
        <v>131239</v>
      </c>
      <c r="AA64" s="171">
        <f>W64</f>
        <v>131239</v>
      </c>
      <c r="AB64" s="171"/>
      <c r="AC64" s="171">
        <f t="shared" ref="AC64" si="254">AA64</f>
        <v>131239</v>
      </c>
      <c r="AD64" s="171"/>
      <c r="AE64" s="171"/>
      <c r="AF64" s="171">
        <f>SUM(AG64:AH64)</f>
        <v>131239</v>
      </c>
      <c r="AG64" s="171">
        <f>AC64</f>
        <v>131239</v>
      </c>
      <c r="AH64" s="171"/>
      <c r="AI64" s="171">
        <f t="shared" ref="AI64" si="255">AG64</f>
        <v>131239</v>
      </c>
      <c r="AJ64" s="171"/>
      <c r="AK64" s="171"/>
      <c r="AL64" s="171">
        <f>SUM(AM64:AN64)</f>
        <v>131239</v>
      </c>
      <c r="AM64" s="171">
        <f>AI64</f>
        <v>131239</v>
      </c>
      <c r="AN64" s="171"/>
      <c r="AO64" s="171">
        <f t="shared" ref="AO64" si="256">AM64</f>
        <v>131239</v>
      </c>
      <c r="AP64" s="171"/>
      <c r="AQ64" s="171"/>
      <c r="AR64" s="171">
        <f>SUM(AS64:AT64)</f>
        <v>131239</v>
      </c>
      <c r="AS64" s="171">
        <f>AO64</f>
        <v>131239</v>
      </c>
      <c r="AT64" s="171"/>
      <c r="AU64" s="171">
        <f t="shared" ref="AU64" si="257">AS64</f>
        <v>131239</v>
      </c>
      <c r="AV64" s="171"/>
      <c r="AW64" s="171"/>
      <c r="AX64" s="171">
        <f>SUM(AY64:AZ64)</f>
        <v>131239</v>
      </c>
      <c r="AY64" s="171">
        <f>AU64</f>
        <v>131239</v>
      </c>
      <c r="AZ64" s="171"/>
    </row>
    <row r="65" spans="1:52" s="204" customFormat="1" ht="31.2">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258">SUM(O66:O67)</f>
        <v>174485</v>
      </c>
      <c r="P65" s="202">
        <f t="shared" si="258"/>
        <v>0</v>
      </c>
      <c r="Q65" s="152">
        <f>SUM(Q66:Q67)</f>
        <v>221912</v>
      </c>
      <c r="R65" s="152"/>
      <c r="S65" s="152"/>
      <c r="T65" s="152">
        <f>SUM(T66:T67)</f>
        <v>221912</v>
      </c>
      <c r="U65" s="152">
        <f>SUM(U66:U67)</f>
        <v>221912</v>
      </c>
      <c r="V65" s="5552">
        <f t="shared" ref="V65" si="259">SUM(V66:V67)</f>
        <v>0</v>
      </c>
      <c r="W65" s="5527">
        <f>SUM(W66:W67)</f>
        <v>221912</v>
      </c>
      <c r="X65" s="152"/>
      <c r="Y65" s="152"/>
      <c r="Z65" s="152">
        <f>SUM(Z66:Z67)</f>
        <v>221912</v>
      </c>
      <c r="AA65" s="152">
        <f t="shared" ref="AA65:AB65" si="260">SUM(AA66:AA67)</f>
        <v>221912</v>
      </c>
      <c r="AB65" s="152">
        <f t="shared" si="260"/>
        <v>0</v>
      </c>
      <c r="AC65" s="152">
        <f>SUM(AC66:AC67)</f>
        <v>221912</v>
      </c>
      <c r="AD65" s="152"/>
      <c r="AE65" s="152"/>
      <c r="AF65" s="152">
        <f>SUM(AF66:AF67)</f>
        <v>221912</v>
      </c>
      <c r="AG65" s="152">
        <f t="shared" ref="AG65:AH65" si="261">SUM(AG66:AG67)</f>
        <v>221912</v>
      </c>
      <c r="AH65" s="152">
        <f t="shared" si="261"/>
        <v>0</v>
      </c>
      <c r="AI65" s="152">
        <f>SUM(AI66:AI67)</f>
        <v>221912</v>
      </c>
      <c r="AJ65" s="152"/>
      <c r="AK65" s="152"/>
      <c r="AL65" s="152">
        <f>SUM(AL66:AL67)</f>
        <v>221912</v>
      </c>
      <c r="AM65" s="152">
        <f t="shared" ref="AM65:AN65" si="262">SUM(AM66:AM67)</f>
        <v>221912</v>
      </c>
      <c r="AN65" s="152">
        <f t="shared" si="262"/>
        <v>0</v>
      </c>
      <c r="AO65" s="152">
        <f>SUM(AO66:AO67)</f>
        <v>221912</v>
      </c>
      <c r="AP65" s="152"/>
      <c r="AQ65" s="152"/>
      <c r="AR65" s="152">
        <f>SUM(AR66:AR67)</f>
        <v>221912</v>
      </c>
      <c r="AS65" s="152">
        <f t="shared" ref="AS65:AT65" si="263">SUM(AS66:AS67)</f>
        <v>221912</v>
      </c>
      <c r="AT65" s="152">
        <f t="shared" si="263"/>
        <v>0</v>
      </c>
      <c r="AU65" s="152">
        <f>SUM(AU66:AU67)</f>
        <v>221912</v>
      </c>
      <c r="AV65" s="152"/>
      <c r="AW65" s="152"/>
      <c r="AX65" s="152">
        <f>SUM(AX66:AX67)</f>
        <v>221912</v>
      </c>
      <c r="AY65" s="152">
        <f t="shared" ref="AY65:AZ65" si="264">SUM(AY66:AY67)</f>
        <v>221912</v>
      </c>
      <c r="AZ65" s="152">
        <f t="shared" si="264"/>
        <v>0</v>
      </c>
    </row>
    <row r="66" spans="1:52" s="5" customFormat="1">
      <c r="A66" s="5546" t="s">
        <v>99</v>
      </c>
      <c r="B66" s="1690" t="s">
        <v>103</v>
      </c>
      <c r="C66" s="263">
        <f>72469</f>
        <v>72469</v>
      </c>
      <c r="D66" s="263">
        <f>C66</f>
        <v>72469</v>
      </c>
      <c r="E66" s="1533"/>
      <c r="F66" s="170"/>
      <c r="G66" s="170">
        <f>SUM(H66:I66)</f>
        <v>72469</v>
      </c>
      <c r="H66" s="170">
        <f>D66-F66-I66</f>
        <v>72469</v>
      </c>
      <c r="I66" s="170"/>
      <c r="J66" s="182">
        <f>H66</f>
        <v>72469</v>
      </c>
      <c r="K66" s="258"/>
      <c r="L66" s="258"/>
      <c r="M66" s="182"/>
      <c r="N66" s="171">
        <f>SUM(O66:P66)</f>
        <v>72469</v>
      </c>
      <c r="O66" s="171">
        <f>J66-M66-P66</f>
        <v>72469</v>
      </c>
      <c r="P66" s="182"/>
      <c r="Q66" s="171">
        <f>+'Phụ lục số 6'!E28-Q70</f>
        <v>186007</v>
      </c>
      <c r="R66" s="171"/>
      <c r="S66" s="171"/>
      <c r="T66" s="171">
        <f>SUM(U66:V66)</f>
        <v>186007</v>
      </c>
      <c r="U66" s="171">
        <f>Q66</f>
        <v>186007</v>
      </c>
      <c r="V66" s="5551"/>
      <c r="W66" s="5526">
        <f>U66</f>
        <v>186007</v>
      </c>
      <c r="X66" s="171"/>
      <c r="Y66" s="171"/>
      <c r="Z66" s="171">
        <f>SUM(AA66:AB66)</f>
        <v>186007</v>
      </c>
      <c r="AA66" s="171">
        <f>W66</f>
        <v>186007</v>
      </c>
      <c r="AB66" s="171"/>
      <c r="AC66" s="171">
        <f>AA66</f>
        <v>186007</v>
      </c>
      <c r="AD66" s="171"/>
      <c r="AE66" s="171"/>
      <c r="AF66" s="171">
        <f>SUM(AG66:AH66)</f>
        <v>186007</v>
      </c>
      <c r="AG66" s="171">
        <f>AC66</f>
        <v>186007</v>
      </c>
      <c r="AH66" s="171"/>
      <c r="AI66" s="17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row>
    <row r="67" spans="1:52" s="5" customFormat="1">
      <c r="A67" s="5546" t="s">
        <v>101</v>
      </c>
      <c r="B67" s="1690" t="s">
        <v>102</v>
      </c>
      <c r="C67" s="263">
        <f>36361+65655</f>
        <v>102016</v>
      </c>
      <c r="D67" s="263">
        <f>C67</f>
        <v>102016</v>
      </c>
      <c r="E67" s="1533"/>
      <c r="F67" s="170"/>
      <c r="G67" s="170">
        <f>SUM(H67:I67)</f>
        <v>102016</v>
      </c>
      <c r="H67" s="170">
        <f t="shared" ref="H67" si="265">D67-F67-I67</f>
        <v>102016</v>
      </c>
      <c r="I67" s="170"/>
      <c r="J67" s="182">
        <f>H67</f>
        <v>102016</v>
      </c>
      <c r="K67" s="258"/>
      <c r="L67" s="258"/>
      <c r="M67" s="182"/>
      <c r="N67" s="171">
        <f t="shared" ref="N67" si="266">SUM(O67:P67)</f>
        <v>102016</v>
      </c>
      <c r="O67" s="171">
        <f t="shared" ref="O67" si="267">J67-M67-P67</f>
        <v>102016</v>
      </c>
      <c r="P67" s="182"/>
      <c r="Q67" s="171">
        <f>+'Phụ lục số 6'!E18</f>
        <v>35905</v>
      </c>
      <c r="R67" s="171"/>
      <c r="S67" s="171"/>
      <c r="T67" s="171">
        <f>SUM(U67:V67)</f>
        <v>35905</v>
      </c>
      <c r="U67" s="171">
        <f>Q67</f>
        <v>35905</v>
      </c>
      <c r="V67" s="5551"/>
      <c r="W67" s="5526">
        <f>U67</f>
        <v>35905</v>
      </c>
      <c r="X67" s="171"/>
      <c r="Y67" s="171"/>
      <c r="Z67" s="171">
        <f>SUM(AA67:AB67)</f>
        <v>35905</v>
      </c>
      <c r="AA67" s="171">
        <f>W67</f>
        <v>35905</v>
      </c>
      <c r="AB67" s="171"/>
      <c r="AC67" s="171">
        <f>AA67</f>
        <v>35905</v>
      </c>
      <c r="AD67" s="171"/>
      <c r="AE67" s="171"/>
      <c r="AF67" s="171">
        <f>SUM(AG67:AH67)</f>
        <v>35905</v>
      </c>
      <c r="AG67" s="171">
        <f>AC67</f>
        <v>35905</v>
      </c>
      <c r="AH67" s="171"/>
      <c r="AI67" s="17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row>
    <row r="68" spans="1:52" s="204" customFormat="1">
      <c r="A68" s="5538">
        <v>3</v>
      </c>
      <c r="B68" s="1725" t="s">
        <v>106</v>
      </c>
      <c r="C68" s="152">
        <f>SUM(C69:C70)</f>
        <v>0</v>
      </c>
      <c r="D68" s="152">
        <f t="shared" ref="D68:I68" si="268">SUM(D69:D70)</f>
        <v>0</v>
      </c>
      <c r="E68" s="153"/>
      <c r="F68" s="154">
        <f t="shared" si="268"/>
        <v>0</v>
      </c>
      <c r="G68" s="154">
        <f t="shared" si="268"/>
        <v>0</v>
      </c>
      <c r="H68" s="154">
        <f t="shared" si="268"/>
        <v>0</v>
      </c>
      <c r="I68" s="154">
        <f t="shared" si="268"/>
        <v>0</v>
      </c>
      <c r="J68" s="202">
        <f>SUM(J69:J70)</f>
        <v>138559</v>
      </c>
      <c r="K68" s="203"/>
      <c r="L68" s="203"/>
      <c r="M68" s="202"/>
      <c r="N68" s="152">
        <f>SUM(N69:N70)</f>
        <v>138559</v>
      </c>
      <c r="O68" s="152">
        <f t="shared" ref="O68:P68" si="269">SUM(O69:O70)</f>
        <v>138559</v>
      </c>
      <c r="P68" s="202">
        <f t="shared" si="269"/>
        <v>0</v>
      </c>
      <c r="Q68" s="152">
        <f>SUM(Q69:Q70)</f>
        <v>284586</v>
      </c>
      <c r="R68" s="152"/>
      <c r="S68" s="152"/>
      <c r="T68" s="152">
        <f>SUM(T69:T70)</f>
        <v>284586</v>
      </c>
      <c r="U68" s="152">
        <f>SUM(U69:U70)</f>
        <v>284586</v>
      </c>
      <c r="V68" s="5552">
        <f t="shared" ref="V68" si="270">SUM(V69:V70)</f>
        <v>0</v>
      </c>
      <c r="W68" s="5527">
        <f>SUM(W69:W70)</f>
        <v>284586</v>
      </c>
      <c r="X68" s="152"/>
      <c r="Y68" s="152"/>
      <c r="Z68" s="152">
        <f>SUM(Z69:Z70)</f>
        <v>284586</v>
      </c>
      <c r="AA68" s="152">
        <f t="shared" ref="AA68:AB68" si="271">SUM(AA69:AA70)</f>
        <v>284586</v>
      </c>
      <c r="AB68" s="152">
        <f t="shared" si="271"/>
        <v>0</v>
      </c>
      <c r="AC68" s="152">
        <f>SUM(AC69:AC70)</f>
        <v>284586</v>
      </c>
      <c r="AD68" s="152"/>
      <c r="AE68" s="152"/>
      <c r="AF68" s="152">
        <f>SUM(AF69:AF70)</f>
        <v>284586</v>
      </c>
      <c r="AG68" s="152">
        <f t="shared" ref="AG68:AH68" si="272">SUM(AG69:AG70)</f>
        <v>284586</v>
      </c>
      <c r="AH68" s="152">
        <f t="shared" si="272"/>
        <v>0</v>
      </c>
      <c r="AI68" s="152">
        <f>SUM(AI69:AI70)</f>
        <v>284586</v>
      </c>
      <c r="AJ68" s="152"/>
      <c r="AK68" s="152"/>
      <c r="AL68" s="152">
        <f>SUM(AL69:AL70)</f>
        <v>284586</v>
      </c>
      <c r="AM68" s="152">
        <f t="shared" ref="AM68:AN68" si="273">SUM(AM69:AM70)</f>
        <v>284586</v>
      </c>
      <c r="AN68" s="152">
        <f t="shared" si="273"/>
        <v>0</v>
      </c>
      <c r="AO68" s="152">
        <f>SUM(AO69:AO70)</f>
        <v>284586</v>
      </c>
      <c r="AP68" s="152"/>
      <c r="AQ68" s="152"/>
      <c r="AR68" s="152">
        <f>SUM(AR69:AR70)</f>
        <v>284586</v>
      </c>
      <c r="AS68" s="152">
        <f t="shared" ref="AS68:AT68" si="274">SUM(AS69:AS70)</f>
        <v>284586</v>
      </c>
      <c r="AT68" s="152">
        <f t="shared" si="274"/>
        <v>0</v>
      </c>
      <c r="AU68" s="152">
        <f>SUM(AU69:AU70)</f>
        <v>284586</v>
      </c>
      <c r="AV68" s="152"/>
      <c r="AW68" s="152"/>
      <c r="AX68" s="152">
        <f>SUM(AX69:AX70)</f>
        <v>284586</v>
      </c>
      <c r="AY68" s="152">
        <f t="shared" ref="AY68:AZ68" si="275">SUM(AY69:AY70)</f>
        <v>284586</v>
      </c>
      <c r="AZ68" s="152">
        <f t="shared" si="275"/>
        <v>0</v>
      </c>
    </row>
    <row r="69" spans="1:52" s="5" customFormat="1" ht="16.2">
      <c r="A69" s="5546" t="s">
        <v>99</v>
      </c>
      <c r="B69" s="1690" t="s">
        <v>104</v>
      </c>
      <c r="C69" s="263">
        <f>650315-650315</f>
        <v>0</v>
      </c>
      <c r="D69" s="263">
        <f>C69</f>
        <v>0</v>
      </c>
      <c r="E69" s="1533"/>
      <c r="F69" s="170"/>
      <c r="G69" s="170">
        <f>SUM(H69:I69)</f>
        <v>0</v>
      </c>
      <c r="H69" s="170">
        <f>D69-F69-I69</f>
        <v>0</v>
      </c>
      <c r="I69" s="170"/>
      <c r="J69" s="1726">
        <f>C69+319368+190406-(319368+190406)</f>
        <v>0</v>
      </c>
      <c r="K69" s="258"/>
      <c r="L69" s="258"/>
      <c r="M69" s="182"/>
      <c r="N69" s="249">
        <f>SUM(O69:P69)</f>
        <v>0</v>
      </c>
      <c r="O69" s="249">
        <f>J69-M69-P69</f>
        <v>0</v>
      </c>
      <c r="P69" s="1726"/>
      <c r="Q69" s="171">
        <v>0</v>
      </c>
      <c r="R69" s="171"/>
      <c r="S69" s="171"/>
      <c r="T69" s="171">
        <f>SUM(U69:V69)</f>
        <v>0</v>
      </c>
      <c r="U69" s="171">
        <f>Q69</f>
        <v>0</v>
      </c>
      <c r="V69" s="5551"/>
      <c r="W69" s="5526">
        <f>U69</f>
        <v>0</v>
      </c>
      <c r="X69" s="171"/>
      <c r="Y69" s="171"/>
      <c r="Z69" s="171">
        <f>SUM(AA69:AB69)</f>
        <v>0</v>
      </c>
      <c r="AA69" s="171">
        <f>W69</f>
        <v>0</v>
      </c>
      <c r="AB69" s="171"/>
      <c r="AC69" s="171">
        <f>AA69</f>
        <v>0</v>
      </c>
      <c r="AD69" s="171"/>
      <c r="AE69" s="171"/>
      <c r="AF69" s="171">
        <f>SUM(AG69:AH69)</f>
        <v>0</v>
      </c>
      <c r="AG69" s="171">
        <f>AC69</f>
        <v>0</v>
      </c>
      <c r="AH69" s="171"/>
      <c r="AI69" s="17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row>
    <row r="70" spans="1:52" s="5" customFormat="1">
      <c r="A70" s="5546" t="s">
        <v>101</v>
      </c>
      <c r="B70" s="1690" t="s">
        <v>105</v>
      </c>
      <c r="C70" s="263"/>
      <c r="D70" s="263"/>
      <c r="E70" s="1533"/>
      <c r="F70" s="170"/>
      <c r="G70" s="170"/>
      <c r="H70" s="170"/>
      <c r="I70" s="170"/>
      <c r="J70" s="182">
        <f>138559</f>
        <v>138559</v>
      </c>
      <c r="K70" s="258"/>
      <c r="L70" s="258"/>
      <c r="M70" s="182"/>
      <c r="N70" s="171">
        <f>SUM(O70:P70)</f>
        <v>138559</v>
      </c>
      <c r="O70" s="171">
        <f>J70-M70-P70</f>
        <v>138559</v>
      </c>
      <c r="P70" s="182"/>
      <c r="Q70" s="171">
        <f>+'Phụ lục số 6'!E32</f>
        <v>284586</v>
      </c>
      <c r="R70" s="171"/>
      <c r="S70" s="171"/>
      <c r="T70" s="171">
        <f>SUM(U70:V70)</f>
        <v>284586</v>
      </c>
      <c r="U70" s="171">
        <f t="shared" ref="U70" si="276">Q70</f>
        <v>284586</v>
      </c>
      <c r="V70" s="5551"/>
      <c r="W70" s="5526">
        <f>U70</f>
        <v>284586</v>
      </c>
      <c r="X70" s="171"/>
      <c r="Y70" s="171"/>
      <c r="Z70" s="171">
        <f>SUM(AA70:AB70)</f>
        <v>284586</v>
      </c>
      <c r="AA70" s="171">
        <f t="shared" ref="AA70" si="277">W70</f>
        <v>284586</v>
      </c>
      <c r="AB70" s="171"/>
      <c r="AC70" s="171">
        <f>W70</f>
        <v>284586</v>
      </c>
      <c r="AD70" s="171"/>
      <c r="AE70" s="171"/>
      <c r="AF70" s="171">
        <f>SUM(AG70:AH70)</f>
        <v>284586</v>
      </c>
      <c r="AG70" s="171">
        <f t="shared" ref="AG70" si="278">AC70</f>
        <v>284586</v>
      </c>
      <c r="AH70" s="171"/>
      <c r="AI70" s="171">
        <f>+AC70</f>
        <v>284586</v>
      </c>
      <c r="AJ70" s="171"/>
      <c r="AK70" s="171"/>
      <c r="AL70" s="171">
        <f>SUM(AM70:AN70)</f>
        <v>284586</v>
      </c>
      <c r="AM70" s="171">
        <f t="shared" ref="AM70" si="279">AI70</f>
        <v>284586</v>
      </c>
      <c r="AN70" s="171"/>
      <c r="AO70" s="171">
        <f>+AI70</f>
        <v>284586</v>
      </c>
      <c r="AP70" s="171"/>
      <c r="AQ70" s="171"/>
      <c r="AR70" s="171">
        <f>SUM(AS70:AT70)</f>
        <v>284586</v>
      </c>
      <c r="AS70" s="171">
        <f t="shared" ref="AS70" si="280">AO70</f>
        <v>284586</v>
      </c>
      <c r="AT70" s="171"/>
      <c r="AU70" s="171">
        <f>+AO70</f>
        <v>284586</v>
      </c>
      <c r="AV70" s="171"/>
      <c r="AW70" s="171"/>
      <c r="AX70" s="171">
        <f>SUM(AY70:AZ70)</f>
        <v>284586</v>
      </c>
      <c r="AY70" s="171">
        <f t="shared" ref="AY70" si="281">AU70</f>
        <v>284586</v>
      </c>
      <c r="AZ70" s="171"/>
    </row>
    <row r="71" spans="1:52" s="4" customFormat="1">
      <c r="A71" s="5534" t="s">
        <v>44</v>
      </c>
      <c r="B71" s="1713" t="s">
        <v>45</v>
      </c>
      <c r="C71" s="173">
        <v>0</v>
      </c>
      <c r="D71" s="173">
        <f>SUM(G71)</f>
        <v>886000</v>
      </c>
      <c r="E71" s="176"/>
      <c r="F71" s="1695"/>
      <c r="G71" s="174">
        <f>SUM(H71:I71)</f>
        <v>886000</v>
      </c>
      <c r="H71" s="174"/>
      <c r="I71" s="174">
        <v>886000</v>
      </c>
      <c r="J71" s="161">
        <f>+N71</f>
        <v>1072301</v>
      </c>
      <c r="K71" s="158"/>
      <c r="L71" s="158"/>
      <c r="M71" s="161"/>
      <c r="N71" s="161">
        <f>SUM(O71:P71)</f>
        <v>1072301</v>
      </c>
      <c r="O71" s="161"/>
      <c r="P71" s="142">
        <f>886000+270399-(84098)</f>
        <v>1072301</v>
      </c>
      <c r="Q71" s="142">
        <f>T71</f>
        <v>941000.4</v>
      </c>
      <c r="R71" s="142"/>
      <c r="S71" s="142"/>
      <c r="T71" s="142">
        <f>SUM(U71:V71)</f>
        <v>941000.4</v>
      </c>
      <c r="U71" s="142">
        <f>+'Phụ lục số II'!K34</f>
        <v>0.40000000001455194</v>
      </c>
      <c r="V71" s="5548">
        <f>+'Phụ lục số 7'!E40</f>
        <v>941000</v>
      </c>
      <c r="W71" s="5524">
        <f>Z71</f>
        <v>519900</v>
      </c>
      <c r="X71" s="142"/>
      <c r="Y71" s="142"/>
      <c r="Z71" s="142">
        <f>SUM(AA71:AB71)</f>
        <v>519900</v>
      </c>
      <c r="AA71" s="142"/>
      <c r="AB71" s="142">
        <f>+'Phụ lục số 2'!Q39</f>
        <v>519900</v>
      </c>
      <c r="AC71" s="142">
        <f>AF71</f>
        <v>626117.15251171635</v>
      </c>
      <c r="AD71" s="142"/>
      <c r="AE71" s="142"/>
      <c r="AF71" s="142">
        <f>SUM(AG71:AH71)</f>
        <v>626117.15251171635</v>
      </c>
      <c r="AG71" s="142">
        <f>+'Phụ lục số 2'!U39</f>
        <v>202308.50969414107</v>
      </c>
      <c r="AH71" s="142">
        <f>+'Phụ lục số 2'!V39</f>
        <v>423808.64281757525</v>
      </c>
      <c r="AI71" s="142">
        <f>AL71</f>
        <v>789623.5261911191</v>
      </c>
      <c r="AJ71" s="142"/>
      <c r="AK71" s="142"/>
      <c r="AL71" s="142">
        <f>SUM(AM71:AN71)</f>
        <v>789623.5261911191</v>
      </c>
      <c r="AM71" s="142">
        <f>+'Phụ lục số 2'!Z39</f>
        <v>394092.17037477036</v>
      </c>
      <c r="AN71" s="142">
        <f>+'Phụ lục số 2'!AA39</f>
        <v>395531.35581634869</v>
      </c>
      <c r="AO71" s="142">
        <f>AR71</f>
        <v>1134327.0610566589</v>
      </c>
      <c r="AP71" s="142"/>
      <c r="AQ71" s="142"/>
      <c r="AR71" s="142">
        <f>SUM(AS71:AT71)</f>
        <v>1134327.0610566589</v>
      </c>
      <c r="AS71" s="142">
        <f>+'Phụ lục số 2'!AE39</f>
        <v>403102.79576516763</v>
      </c>
      <c r="AT71" s="142">
        <f>+'Phụ lục số 2'!AF39</f>
        <v>731224.26529149117</v>
      </c>
      <c r="AU71" s="142">
        <f>AX71</f>
        <v>1555493.1441400896</v>
      </c>
      <c r="AV71" s="142"/>
      <c r="AW71" s="142"/>
      <c r="AX71" s="142">
        <f>SUM(AY71:AZ71)</f>
        <v>1555493.1441400896</v>
      </c>
      <c r="AY71" s="142">
        <f>+'Phụ lục số 2'!AJ39</f>
        <v>595525.54997767729</v>
      </c>
      <c r="AZ71" s="142">
        <f>+'Phụ lục số 2'!AK39</f>
        <v>959967.59416241234</v>
      </c>
    </row>
    <row r="72" spans="1:52" s="4" customFormat="1">
      <c r="A72" s="5534" t="s">
        <v>46</v>
      </c>
      <c r="B72" s="1713" t="s">
        <v>47</v>
      </c>
      <c r="C72" s="173">
        <v>0</v>
      </c>
      <c r="D72" s="173">
        <v>0</v>
      </c>
      <c r="E72" s="176"/>
      <c r="F72" s="174"/>
      <c r="G72" s="174">
        <f>SUM(H72:I72)</f>
        <v>0</v>
      </c>
      <c r="H72" s="174"/>
      <c r="I72" s="174"/>
      <c r="J72" s="161">
        <f>G72</f>
        <v>0</v>
      </c>
      <c r="K72" s="158"/>
      <c r="L72" s="158"/>
      <c r="M72" s="161"/>
      <c r="N72" s="161">
        <f>SUM(O72:P72)</f>
        <v>0</v>
      </c>
      <c r="O72" s="161">
        <f>J72-M72-P72</f>
        <v>0</v>
      </c>
      <c r="P72" s="161">
        <f>I72</f>
        <v>0</v>
      </c>
      <c r="Q72" s="142">
        <f>T72</f>
        <v>0</v>
      </c>
      <c r="R72" s="142"/>
      <c r="S72" s="142"/>
      <c r="T72" s="142">
        <f>SUM(U72:V72)</f>
        <v>0</v>
      </c>
      <c r="U72" s="142"/>
      <c r="V72" s="5548"/>
      <c r="W72" s="5524">
        <f>Z72</f>
        <v>0</v>
      </c>
      <c r="X72" s="142"/>
      <c r="Y72" s="142"/>
      <c r="Z72" s="142">
        <f>SUM(AA72:AB72)</f>
        <v>0</v>
      </c>
      <c r="AA72" s="142"/>
      <c r="AB72" s="142"/>
      <c r="AC72" s="142">
        <f>AF72</f>
        <v>0</v>
      </c>
      <c r="AD72" s="142"/>
      <c r="AE72" s="142"/>
      <c r="AF72" s="142">
        <f>SUM(AG72:AH72)</f>
        <v>0</v>
      </c>
      <c r="AG72" s="142"/>
      <c r="AH72" s="142"/>
      <c r="AI72" s="142">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row>
    <row r="73" spans="1:52"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5558">
        <f>SUM(V10,V57,V71,V72)</f>
        <v>4673300</v>
      </c>
      <c r="W73" s="5528">
        <f>SUM(W10,W57,W71,W72)</f>
        <v>23509975</v>
      </c>
      <c r="X73" s="183"/>
      <c r="Y73" s="1696">
        <f>SUM(Y10,Y57,Y71,Y72)</f>
        <v>1201955.025536566</v>
      </c>
      <c r="Z73" s="1696">
        <f>SUM(Z10,Z57,Z71,Z72)</f>
        <v>22308019.974463433</v>
      </c>
      <c r="AA73" s="1696">
        <f>SUM(AA10,AA57,AA71,AA72)</f>
        <v>17414770.464828283</v>
      </c>
      <c r="AB73" s="1696">
        <f>SUM(AB10,AB57,AB71,AB72)</f>
        <v>4893249.5096351504</v>
      </c>
      <c r="AC73" s="1696">
        <f>SUM(AC10,AC57,AC71,AC72)</f>
        <v>24341192.152511716</v>
      </c>
      <c r="AD73" s="184"/>
      <c r="AE73" s="1696">
        <f>SUM(AE10,AE57,AE71,AE72)</f>
        <v>1282977.652689477</v>
      </c>
      <c r="AF73" s="1696">
        <f>SUM(AF10,AF57,AF71,AF72)</f>
        <v>23058214.499822237</v>
      </c>
      <c r="AG73" s="1696">
        <f>SUM(AG10,AG57,AG71,AG72)</f>
        <v>17871125.956189539</v>
      </c>
      <c r="AH73" s="1696">
        <f>SUM(AH10,AH57,AH71,AH72)</f>
        <v>5187088.5436326973</v>
      </c>
      <c r="AI73" s="1696">
        <f>SUM(AI10,AI57,AI71,AI72)</f>
        <v>25220698.526191119</v>
      </c>
      <c r="AJ73" s="184"/>
      <c r="AK73" s="1696">
        <f>SUM(AK10,AK57,AK71,AK72)</f>
        <v>1319829.1829583978</v>
      </c>
      <c r="AL73" s="1696">
        <f>SUM(AL10,AL57,AL71,AL72)</f>
        <v>23900869.343232721</v>
      </c>
      <c r="AM73" s="1696">
        <f>SUM(AM10,AM57,AM71,AM72)</f>
        <v>18227957.627650965</v>
      </c>
      <c r="AN73" s="1696">
        <f>SUM(AN10,AN57,AN71,AN72)</f>
        <v>5672911.7155817552</v>
      </c>
      <c r="AO73" s="1696">
        <f>SUM(AO10,AO57,AO71,AO72)</f>
        <v>26692402.061056659</v>
      </c>
      <c r="AP73" s="184"/>
      <c r="AQ73" s="1696">
        <f>SUM(AQ10,AQ57,AQ71,AQ72)</f>
        <v>1401525.8967915375</v>
      </c>
      <c r="AR73" s="1696">
        <f>SUM(AR10,AR57,AR71,AR72)</f>
        <v>25290876.164265122</v>
      </c>
      <c r="AS73" s="1696">
        <f>SUM(AS10,AS57,AS71,AS72)</f>
        <v>18845391.441466384</v>
      </c>
      <c r="AT73" s="1696">
        <f>SUM(AT10,AT57,AT71,AT72)</f>
        <v>6445484.7227987405</v>
      </c>
      <c r="AU73" s="1696">
        <f>SUM(AU10,AU57,AU71,AU72)</f>
        <v>28810568.144140091</v>
      </c>
      <c r="AV73" s="184"/>
      <c r="AW73" s="1696">
        <f>SUM(AW10,AW57,AW71,AW72)</f>
        <v>1493056.5205481686</v>
      </c>
      <c r="AX73" s="1696">
        <f>SUM(AX10,AX57,AX71,AX72)</f>
        <v>27317511.623591922</v>
      </c>
      <c r="AY73" s="1696">
        <f>SUM(AY10,AY57,AY71,AY72)</f>
        <v>19918893.923836932</v>
      </c>
      <c r="AZ73" s="1696">
        <f>SUM(AZ10,AZ57,AZ71,AZ72)</f>
        <v>7398617.6997549897</v>
      </c>
    </row>
    <row r="74" spans="1:52" ht="16.2" thickTop="1"/>
    <row r="75" spans="1:52">
      <c r="L75" s="1" t="s">
        <v>117</v>
      </c>
      <c r="T75" s="8"/>
    </row>
    <row r="76" spans="1:52">
      <c r="B76" s="1" t="str">
        <f>+'Phụ lục 1-HĐND'!B18</f>
        <v>Các khoản thu NSĐP hưởng 100 %</v>
      </c>
      <c r="G76" s="1703">
        <f>+G10-G77</f>
        <v>5309454.1620000005</v>
      </c>
      <c r="N76" s="1703">
        <f>+N10-N77</f>
        <v>5483415.8356352691</v>
      </c>
      <c r="T76" s="1703">
        <f>+T10-T77</f>
        <v>4789918.7960000001</v>
      </c>
      <c r="U76" s="1703">
        <f>+U10-U77</f>
        <v>2887618.7960000001</v>
      </c>
      <c r="V76" s="1703">
        <f>+V10-V77</f>
        <v>1902300</v>
      </c>
      <c r="Z76" s="1703">
        <f>+Z10-Z77</f>
        <v>5413944.974463433</v>
      </c>
      <c r="AF76" s="1703">
        <f>+AF10-AF77</f>
        <v>5597922.3473105226</v>
      </c>
    </row>
    <row r="77" spans="1:52">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5914">
        <f>+T14+T15+T16+T20+T21+T22+T26+T27+T31+T32+T33+T40+T28+T39+6450</f>
        <v>3925600</v>
      </c>
      <c r="U77" s="5914">
        <f>+U14+U15+U16+U20+U21+U22+U26+U27+U31+U32+U33+U40+U28+U39+6450</f>
        <v>2095600</v>
      </c>
      <c r="V77" s="1703">
        <f>+V14+V15+V16+V20+V21+V22+V26+V27+V31+V32+V33+V40+V28+V39</f>
        <v>1830000</v>
      </c>
      <c r="Z77" s="1703">
        <f>+Z14+Z15+Z16+Z20+Z21+Z22+Z26+Z27+Z31+Z32+Z33+Z40+Z28+Z39</f>
        <v>4471100</v>
      </c>
      <c r="AF77" s="1703">
        <f>+AF14+AF15+AF16+AF20+AF21+AF22+AF26+AF27+AF31+AF32+AF33+AF40+AF28+AF39</f>
        <v>4931100</v>
      </c>
    </row>
    <row r="78" spans="1:52">
      <c r="G78" s="6">
        <f>+G77-'Phụ lục 1-HĐND'!C19</f>
        <v>-342070</v>
      </c>
      <c r="J78" s="6">
        <f>132300+J58</f>
        <v>6749488</v>
      </c>
      <c r="Q78" s="6"/>
      <c r="T78" s="6"/>
    </row>
    <row r="79" spans="1:52">
      <c r="J79" s="1">
        <f>+J58*2%</f>
        <v>132343.76</v>
      </c>
      <c r="Q79" s="6">
        <f>+Q10-Q56</f>
        <v>10095000</v>
      </c>
      <c r="T79" s="1703"/>
    </row>
    <row r="80" spans="1:52">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82">+U84-U85</f>
        <v>13626048</v>
      </c>
      <c r="V86" s="16">
        <f t="shared" si="282"/>
        <v>3732300</v>
      </c>
      <c r="Z86" s="6"/>
      <c r="AF86" s="6"/>
      <c r="AL86" s="6"/>
      <c r="AR86" s="6"/>
      <c r="AX86" s="6"/>
    </row>
    <row r="87" spans="7:50">
      <c r="J87" s="1700"/>
      <c r="N87" s="6"/>
      <c r="T87" s="198">
        <f>+T61</f>
        <v>3036992</v>
      </c>
      <c r="U87" s="198">
        <f>+U61</f>
        <v>3036992</v>
      </c>
      <c r="V87" s="198">
        <f t="shared" ref="V87" si="283">+V61</f>
        <v>0</v>
      </c>
      <c r="Z87" s="6"/>
      <c r="AF87" s="6"/>
      <c r="AL87" s="6"/>
      <c r="AR87" s="6"/>
      <c r="AX87" s="6"/>
    </row>
    <row r="88" spans="7:50">
      <c r="J88" s="1700"/>
      <c r="N88" s="6"/>
      <c r="Q88" s="1" t="s">
        <v>641</v>
      </c>
      <c r="T88" s="16">
        <f>+T87+T86</f>
        <v>20395340</v>
      </c>
      <c r="U88" s="16">
        <f t="shared" ref="U88:V88" si="284">+U87+U86</f>
        <v>16663040</v>
      </c>
      <c r="V88" s="16">
        <f t="shared" si="284"/>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85">+U71+U60+U58+U10</f>
        <v>13849302.196</v>
      </c>
      <c r="V90" s="1729">
        <f t="shared" si="285"/>
        <v>4673300</v>
      </c>
      <c r="Z90" s="6"/>
      <c r="AF90" s="6"/>
      <c r="AL90" s="6"/>
      <c r="AR90" s="6"/>
      <c r="AX90" s="6"/>
    </row>
    <row r="91" spans="7:50">
      <c r="J91" s="5425">
        <f>+J90+J89</f>
        <v>9668054</v>
      </c>
      <c r="N91" s="6"/>
      <c r="Q91" s="1" t="s">
        <v>3259</v>
      </c>
      <c r="T91" s="6">
        <f>+T90-T84</f>
        <v>977554.19600000232</v>
      </c>
      <c r="U91" s="6">
        <f t="shared" ref="U91:V91" si="286">+U90-U84</f>
        <v>36554.196000000462</v>
      </c>
      <c r="V91" s="6">
        <f t="shared" si="286"/>
        <v>941000</v>
      </c>
      <c r="Z91" s="6"/>
      <c r="AF91" s="6"/>
      <c r="AL91" s="6"/>
      <c r="AR91" s="6"/>
      <c r="AX91" s="6"/>
    </row>
    <row r="92" spans="7:50">
      <c r="J92" s="1705">
        <f>+J91/D10</f>
        <v>0.99937976758249203</v>
      </c>
      <c r="N92" s="6"/>
      <c r="Q92" s="4" t="s">
        <v>641</v>
      </c>
      <c r="T92" s="1729">
        <f>+T90+T61</f>
        <v>21559594.196000002</v>
      </c>
      <c r="U92" s="1729">
        <f t="shared" ref="U92:V92" si="287">+U90+U61</f>
        <v>16886294.196000002</v>
      </c>
      <c r="V92" s="1729">
        <f t="shared" si="287"/>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88">+U92-U93-U94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89">+V95+V94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55" t="s">
        <v>1421</v>
      </c>
      <c r="N111" s="6055"/>
      <c r="O111" s="6055"/>
      <c r="P111" s="6055"/>
      <c r="S111" s="6057" t="s">
        <v>1423</v>
      </c>
      <c r="T111" s="6057"/>
      <c r="U111" s="6057"/>
      <c r="V111" s="6057"/>
      <c r="Y111" s="6055" t="s">
        <v>1426</v>
      </c>
      <c r="Z111" s="6055"/>
      <c r="AA111" s="6055"/>
      <c r="AB111" s="6055"/>
      <c r="AE111" s="6055" t="s">
        <v>1426</v>
      </c>
      <c r="AF111" s="6055"/>
      <c r="AG111" s="6055"/>
      <c r="AH111" s="6055"/>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90">+U116/2</f>
        <v>214867.5</v>
      </c>
      <c r="V117" s="1729">
        <f t="shared" si="290"/>
        <v>14150</v>
      </c>
      <c r="Y117" s="189" t="s">
        <v>1420</v>
      </c>
      <c r="Z117" s="1729">
        <f>+Z116/2</f>
        <v>404039.98723171698</v>
      </c>
      <c r="AA117" s="1729">
        <f t="shared" ref="AA117:AB117" si="291">+AA116/2</f>
        <v>166765.23241414176</v>
      </c>
      <c r="AB117" s="1729">
        <f t="shared" si="291"/>
        <v>237274.75481757522</v>
      </c>
      <c r="AE117" s="189" t="s">
        <v>1420</v>
      </c>
      <c r="AF117" s="1729">
        <f>+AF116/2</f>
        <v>316988.68642354431</v>
      </c>
      <c r="AG117" s="1729">
        <f>+AG116/2</f>
        <v>122023.49083355861</v>
      </c>
      <c r="AH117" s="1729">
        <f t="shared" ref="AH117" si="292">+AH116/2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55" t="s">
        <v>1422</v>
      </c>
      <c r="N119" s="6055"/>
      <c r="O119" s="6055"/>
      <c r="P119" s="6055"/>
      <c r="S119" s="6057" t="s">
        <v>1425</v>
      </c>
      <c r="T119" s="6057"/>
      <c r="U119" s="6057"/>
      <c r="V119" s="6057"/>
      <c r="Y119" s="6055" t="s">
        <v>1427</v>
      </c>
      <c r="Z119" s="6055"/>
      <c r="AA119" s="6055"/>
      <c r="AB119" s="6055"/>
      <c r="AE119" s="6055" t="s">
        <v>1427</v>
      </c>
      <c r="AF119" s="6055"/>
      <c r="AG119" s="6055"/>
      <c r="AH119" s="6055"/>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93">V122/P122</f>
        <v>0.94374982117822093</v>
      </c>
      <c r="Z123" s="1704">
        <f>Z122/T122</f>
        <v>1.1623640058677194</v>
      </c>
      <c r="AA123" s="1704">
        <f t="shared" ref="AA123:AB123" si="294">AA122/U122</f>
        <v>1.1426462481596822</v>
      </c>
      <c r="AB123" s="1704">
        <f t="shared" si="294"/>
        <v>1.1798353454733783</v>
      </c>
      <c r="AF123" s="1704">
        <f>AF122/Z122</f>
        <v>1.1095890136802073</v>
      </c>
      <c r="AG123" s="1704">
        <f t="shared" ref="AG123:AH123" si="295">AG122/AA122</f>
        <v>1.0913453591099325</v>
      </c>
      <c r="AH123" s="1704">
        <f t="shared" si="295"/>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56" t="s">
        <v>1428</v>
      </c>
      <c r="N128" s="6056"/>
      <c r="O128" s="6056"/>
      <c r="P128" s="6056"/>
      <c r="S128" s="6056" t="s">
        <v>1429</v>
      </c>
      <c r="T128" s="6056"/>
      <c r="U128" s="6056"/>
      <c r="V128" s="6056"/>
      <c r="Y128" s="6056" t="s">
        <v>1429</v>
      </c>
      <c r="Z128" s="6056"/>
      <c r="AA128" s="6056"/>
      <c r="AB128" s="6056"/>
      <c r="AE128" s="6056" t="s">
        <v>1429</v>
      </c>
      <c r="AF128" s="6056"/>
      <c r="AG128" s="6056"/>
      <c r="AH128" s="6056"/>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96">+U117*10%</f>
        <v>21486.75</v>
      </c>
      <c r="V134" s="6">
        <f t="shared" si="296"/>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59">
    <mergeCell ref="S7:S8"/>
    <mergeCell ref="A1:V1"/>
    <mergeCell ref="A2:V2"/>
    <mergeCell ref="A3:V3"/>
    <mergeCell ref="T5:V5"/>
    <mergeCell ref="A6:A8"/>
    <mergeCell ref="B6:B8"/>
    <mergeCell ref="C6:I6"/>
    <mergeCell ref="J6:P6"/>
    <mergeCell ref="Q6:V6"/>
    <mergeCell ref="K7:L7"/>
    <mergeCell ref="AD7:AD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M128:P128"/>
    <mergeCell ref="S128:V128"/>
    <mergeCell ref="Y128:AB128"/>
    <mergeCell ref="AE128:AH128"/>
    <mergeCell ref="AW7:AW8"/>
    <mergeCell ref="M111:P111"/>
    <mergeCell ref="S111:V111"/>
    <mergeCell ref="Y111:AB111"/>
    <mergeCell ref="AE111:AH111"/>
    <mergeCell ref="AO7:AO8"/>
    <mergeCell ref="AP7:AP8"/>
    <mergeCell ref="AQ7:AQ8"/>
    <mergeCell ref="AR7:AT7"/>
    <mergeCell ref="AU7:AU8"/>
    <mergeCell ref="AV7:AV8"/>
    <mergeCell ref="AE7:AE8"/>
    <mergeCell ref="BI7:BM7"/>
    <mergeCell ref="M119:P119"/>
    <mergeCell ref="S119:V119"/>
    <mergeCell ref="Y119:AB119"/>
    <mergeCell ref="AE119:AH119"/>
    <mergeCell ref="AX7:AZ7"/>
    <mergeCell ref="AF7:AH7"/>
    <mergeCell ref="AI7:AI8"/>
    <mergeCell ref="AJ7:AJ8"/>
    <mergeCell ref="AK7:AK8"/>
    <mergeCell ref="AL7:AN7"/>
    <mergeCell ref="W7:W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XFD129"/>
  <sheetViews>
    <sheetView workbookViewId="0">
      <pane xSplit="3" ySplit="8" topLeftCell="M15" activePane="bottomRight" state="frozen"/>
      <selection activeCell="AG36" sqref="AG36"/>
      <selection pane="topRight" activeCell="AG36" sqref="AG36"/>
      <selection pane="bottomLeft" activeCell="AG36" sqref="AG36"/>
      <selection pane="bottomRight" activeCell="A15" sqref="A15:XFD15"/>
    </sheetView>
  </sheetViews>
  <sheetFormatPr defaultColWidth="9.109375" defaultRowHeight="13.8"/>
  <cols>
    <col min="1" max="1" width="5.6640625" style="1731" customWidth="1"/>
    <col min="2" max="2" width="71.44140625" style="30" customWidth="1"/>
    <col min="3" max="17" width="9" style="30" customWidth="1"/>
    <col min="18" max="20" width="9.6640625" style="30" hidden="1" customWidth="1"/>
    <col min="21" max="21" width="10.6640625" style="30" hidden="1" customWidth="1"/>
    <col min="22" max="27" width="9.6640625" style="30" hidden="1" customWidth="1"/>
    <col min="28" max="42" width="8.33203125" style="30" hidden="1" customWidth="1"/>
    <col min="43" max="43" width="0" style="30" hidden="1" customWidth="1"/>
    <col min="44" max="44" width="9.109375" style="30" hidden="1" customWidth="1"/>
    <col min="45" max="46" width="9.109375" style="30"/>
    <col min="47" max="53" width="0" style="30" hidden="1" customWidth="1"/>
    <col min="54" max="54" width="9.44140625" style="30" hidden="1" customWidth="1"/>
    <col min="55" max="65" width="0" style="30" hidden="1" customWidth="1"/>
    <col min="66" max="16384" width="9.109375" style="30"/>
  </cols>
  <sheetData>
    <row r="1" spans="1:58" s="1" customFormat="1" ht="15.6">
      <c r="A1" s="6056" t="s">
        <v>1415</v>
      </c>
      <c r="B1" s="6056"/>
      <c r="C1" s="6056"/>
      <c r="D1" s="6056"/>
      <c r="E1" s="6056"/>
      <c r="F1" s="6056"/>
      <c r="G1" s="6056"/>
      <c r="H1" s="6056"/>
      <c r="I1" s="6056"/>
      <c r="J1" s="6056"/>
      <c r="K1" s="6056"/>
      <c r="L1" s="6056"/>
      <c r="M1" s="6056"/>
      <c r="N1" s="6056"/>
      <c r="O1" s="6056"/>
      <c r="P1" s="6056"/>
      <c r="Q1" s="6056"/>
    </row>
    <row r="2" spans="1:58" s="1" customFormat="1" ht="15.6">
      <c r="A2" s="6056" t="s">
        <v>1416</v>
      </c>
      <c r="B2" s="6056"/>
      <c r="C2" s="6056"/>
      <c r="D2" s="6056"/>
      <c r="E2" s="6056"/>
      <c r="F2" s="6056"/>
      <c r="G2" s="6056"/>
      <c r="H2" s="6056"/>
      <c r="I2" s="6056"/>
      <c r="J2" s="6056"/>
      <c r="K2" s="6056"/>
      <c r="L2" s="6056"/>
      <c r="M2" s="6056"/>
      <c r="N2" s="6056"/>
      <c r="O2" s="6056"/>
      <c r="P2" s="6056"/>
      <c r="Q2" s="6056"/>
    </row>
    <row r="3" spans="1:58" s="1" customFormat="1" ht="15.6">
      <c r="A3" s="6577" t="str">
        <f>+'Phụ lục số 1'!A3:V3</f>
        <v>(Kèm theo Báo cáo số     462/BC-UBND ngày 22 tháng 11 năm 2024 của Ủy ban nhân dân tỉnh Đồng Tháp)</v>
      </c>
      <c r="B3" s="6577"/>
      <c r="C3" s="6577"/>
      <c r="D3" s="6577"/>
      <c r="E3" s="6577"/>
      <c r="F3" s="6577"/>
      <c r="G3" s="6577"/>
      <c r="H3" s="6577"/>
      <c r="I3" s="6577"/>
      <c r="J3" s="6577"/>
      <c r="K3" s="6577"/>
      <c r="L3" s="6577"/>
      <c r="M3" s="6577"/>
      <c r="N3" s="6577"/>
      <c r="O3" s="6577"/>
      <c r="P3" s="6577"/>
      <c r="Q3" s="6577"/>
    </row>
    <row r="4" spans="1:58" ht="14.4" thickBot="1">
      <c r="C4" s="2172"/>
      <c r="D4" s="1732"/>
      <c r="E4" s="32"/>
      <c r="H4" s="2194"/>
      <c r="I4" s="2195">
        <f>+H23/C23</f>
        <v>1.1805673046257137</v>
      </c>
      <c r="J4" s="2195">
        <f>+H23/D23</f>
        <v>1.1443970047408194</v>
      </c>
      <c r="K4" s="5427"/>
      <c r="L4" s="2194"/>
      <c r="M4" s="2196" t="s">
        <v>417</v>
      </c>
      <c r="N4" s="2195" t="s">
        <v>417</v>
      </c>
      <c r="O4" s="6537" t="s">
        <v>246</v>
      </c>
      <c r="P4" s="6538"/>
      <c r="Q4" s="6538"/>
      <c r="W4" s="32"/>
      <c r="AB4" s="32">
        <f>+AB11-W11</f>
        <v>131095.67231274373</v>
      </c>
      <c r="AH4" s="32">
        <f>+AG11-AB11</f>
        <v>135946.81832517032</v>
      </c>
      <c r="AM4" s="32">
        <f>+AL11-AG11</f>
        <v>148149.45423725364</v>
      </c>
    </row>
    <row r="5" spans="1:58" s="1735" customFormat="1" ht="15" customHeight="1" thickTop="1">
      <c r="A5" s="6539" t="s">
        <v>136</v>
      </c>
      <c r="B5" s="6541" t="s">
        <v>137</v>
      </c>
      <c r="C5" s="6542" t="s">
        <v>140</v>
      </c>
      <c r="D5" s="6543"/>
      <c r="E5" s="6543"/>
      <c r="F5" s="6543"/>
      <c r="G5" s="6544"/>
      <c r="H5" s="6545" t="s">
        <v>120</v>
      </c>
      <c r="I5" s="6545"/>
      <c r="J5" s="6545"/>
      <c r="K5" s="6545"/>
      <c r="L5" s="6545"/>
      <c r="M5" s="6545" t="s">
        <v>121</v>
      </c>
      <c r="N5" s="6545"/>
      <c r="O5" s="6545"/>
      <c r="P5" s="6545"/>
      <c r="Q5" s="6580"/>
      <c r="R5" s="6578" t="s">
        <v>187</v>
      </c>
      <c r="S5" s="6579"/>
      <c r="T5" s="6579"/>
      <c r="U5" s="6579"/>
      <c r="V5" s="6579"/>
      <c r="W5" s="6579" t="s">
        <v>188</v>
      </c>
      <c r="X5" s="6579"/>
      <c r="Y5" s="6579"/>
      <c r="Z5" s="6579"/>
      <c r="AA5" s="6579"/>
      <c r="AB5" s="6077" t="s">
        <v>189</v>
      </c>
      <c r="AC5" s="6077"/>
      <c r="AD5" s="6077"/>
      <c r="AE5" s="6077"/>
      <c r="AF5" s="6077"/>
      <c r="AG5" s="6077" t="s">
        <v>190</v>
      </c>
      <c r="AH5" s="6077"/>
      <c r="AI5" s="6077"/>
      <c r="AJ5" s="6077"/>
      <c r="AK5" s="6077"/>
      <c r="AL5" s="6077" t="s">
        <v>193</v>
      </c>
      <c r="AM5" s="6077"/>
      <c r="AN5" s="6077"/>
      <c r="AO5" s="6077"/>
      <c r="AP5" s="6077"/>
      <c r="BA5" s="6240" t="s">
        <v>3279</v>
      </c>
      <c r="BB5" s="6240"/>
      <c r="BC5" s="6240"/>
      <c r="BD5" s="6240"/>
      <c r="BE5" s="6240"/>
    </row>
    <row r="6" spans="1:58" s="29" customFormat="1" ht="15" customHeight="1">
      <c r="A6" s="6540"/>
      <c r="B6" s="6071"/>
      <c r="C6" s="6070" t="s">
        <v>119</v>
      </c>
      <c r="D6" s="6070" t="s">
        <v>118</v>
      </c>
      <c r="E6" s="6070" t="s">
        <v>69</v>
      </c>
      <c r="F6" s="6074" t="s">
        <v>186</v>
      </c>
      <c r="G6" s="6076"/>
      <c r="H6" s="6077" t="s">
        <v>59</v>
      </c>
      <c r="I6" s="6077" t="s">
        <v>69</v>
      </c>
      <c r="J6" s="6077" t="s">
        <v>1417</v>
      </c>
      <c r="K6" s="6077" t="s">
        <v>186</v>
      </c>
      <c r="L6" s="6077"/>
      <c r="M6" s="6077" t="s">
        <v>59</v>
      </c>
      <c r="N6" s="6077" t="s">
        <v>69</v>
      </c>
      <c r="O6" s="6077" t="s">
        <v>194</v>
      </c>
      <c r="P6" s="6077" t="s">
        <v>186</v>
      </c>
      <c r="Q6" s="6534"/>
      <c r="R6" s="6076" t="s">
        <v>59</v>
      </c>
      <c r="S6" s="6077" t="s">
        <v>69</v>
      </c>
      <c r="T6" s="6077" t="s">
        <v>195</v>
      </c>
      <c r="U6" s="6077" t="s">
        <v>186</v>
      </c>
      <c r="V6" s="6077"/>
      <c r="W6" s="6077" t="s">
        <v>59</v>
      </c>
      <c r="X6" s="6077" t="s">
        <v>69</v>
      </c>
      <c r="Y6" s="6077" t="s">
        <v>196</v>
      </c>
      <c r="Z6" s="6077" t="s">
        <v>186</v>
      </c>
      <c r="AA6" s="6077"/>
      <c r="AB6" s="6077" t="s">
        <v>59</v>
      </c>
      <c r="AC6" s="6077" t="s">
        <v>69</v>
      </c>
      <c r="AD6" s="6077" t="s">
        <v>197</v>
      </c>
      <c r="AE6" s="6077" t="s">
        <v>186</v>
      </c>
      <c r="AF6" s="6077"/>
      <c r="AG6" s="6077" t="s">
        <v>59</v>
      </c>
      <c r="AH6" s="6077" t="s">
        <v>69</v>
      </c>
      <c r="AI6" s="6077" t="s">
        <v>198</v>
      </c>
      <c r="AJ6" s="6077" t="s">
        <v>186</v>
      </c>
      <c r="AK6" s="6077"/>
      <c r="AL6" s="6077" t="s">
        <v>59</v>
      </c>
      <c r="AM6" s="6077" t="s">
        <v>69</v>
      </c>
      <c r="AN6" s="6077" t="s">
        <v>199</v>
      </c>
      <c r="AO6" s="6077" t="s">
        <v>186</v>
      </c>
      <c r="AP6" s="6077"/>
    </row>
    <row r="7" spans="1:58" s="29" customFormat="1" ht="60.6" customHeight="1">
      <c r="A7" s="6540"/>
      <c r="B7" s="6072"/>
      <c r="C7" s="6072"/>
      <c r="D7" s="6072"/>
      <c r="E7" s="6072"/>
      <c r="F7" s="1736" t="s">
        <v>138</v>
      </c>
      <c r="G7" s="1736" t="s">
        <v>139</v>
      </c>
      <c r="H7" s="6077"/>
      <c r="I7" s="6077"/>
      <c r="J7" s="6077"/>
      <c r="K7" s="1736" t="s">
        <v>138</v>
      </c>
      <c r="L7" s="1736" t="s">
        <v>139</v>
      </c>
      <c r="M7" s="6077"/>
      <c r="N7" s="6077"/>
      <c r="O7" s="6077"/>
      <c r="P7" s="1736" t="s">
        <v>138</v>
      </c>
      <c r="Q7" s="5574" t="s">
        <v>139</v>
      </c>
      <c r="R7" s="6076"/>
      <c r="S7" s="6077"/>
      <c r="T7" s="6077"/>
      <c r="U7" s="1736" t="s">
        <v>138</v>
      </c>
      <c r="V7" s="1736" t="s">
        <v>139</v>
      </c>
      <c r="W7" s="6077"/>
      <c r="X7" s="6077"/>
      <c r="Y7" s="6077"/>
      <c r="Z7" s="1736" t="s">
        <v>138</v>
      </c>
      <c r="AA7" s="1736" t="s">
        <v>139</v>
      </c>
      <c r="AB7" s="6077"/>
      <c r="AC7" s="6077"/>
      <c r="AD7" s="6077"/>
      <c r="AE7" s="1736" t="s">
        <v>138</v>
      </c>
      <c r="AF7" s="1736" t="s">
        <v>139</v>
      </c>
      <c r="AG7" s="6077"/>
      <c r="AH7" s="6077"/>
      <c r="AI7" s="6077"/>
      <c r="AJ7" s="1736" t="s">
        <v>138</v>
      </c>
      <c r="AK7" s="1736" t="s">
        <v>139</v>
      </c>
      <c r="AL7" s="6077"/>
      <c r="AM7" s="6077"/>
      <c r="AN7" s="6077"/>
      <c r="AO7" s="1736" t="s">
        <v>138</v>
      </c>
      <c r="AP7" s="1736" t="s">
        <v>139</v>
      </c>
      <c r="BB7" s="29" t="s">
        <v>3280</v>
      </c>
      <c r="BC7" s="29" t="s">
        <v>3281</v>
      </c>
    </row>
    <row r="8" spans="1:58" s="124" customFormat="1">
      <c r="A8" s="5575" t="s">
        <v>1</v>
      </c>
      <c r="B8" s="1737" t="s">
        <v>191</v>
      </c>
      <c r="C8" s="194">
        <f>C9+C40+C50</f>
        <v>17419409</v>
      </c>
      <c r="D8" s="194">
        <f>D9+D40+D50</f>
        <v>19035462.956711084</v>
      </c>
      <c r="E8" s="1739">
        <f>D8/$D$8*100</f>
        <v>100</v>
      </c>
      <c r="F8" s="194">
        <f>F9+F40+F50</f>
        <v>9127060.061999999</v>
      </c>
      <c r="G8" s="194">
        <f>G9+G40+G50</f>
        <v>9908402.8947110809</v>
      </c>
      <c r="H8" s="194">
        <f>H9+H40+H50</f>
        <v>19712858.656711083</v>
      </c>
      <c r="I8" s="1740">
        <f>H8/$H$8*100</f>
        <v>100</v>
      </c>
      <c r="J8" s="1741">
        <f>H8/D8</f>
        <v>1.0355859850396325</v>
      </c>
      <c r="K8" s="194">
        <f>K9+K40+K50</f>
        <v>9618154.7620000001</v>
      </c>
      <c r="L8" s="194">
        <f>L9+L40+L50</f>
        <v>10094703.894711081</v>
      </c>
      <c r="M8" s="1742">
        <f>M9+M40+M50+M51</f>
        <v>21372894.196000002</v>
      </c>
      <c r="N8" s="1740">
        <f>M8/$M$8*100</f>
        <v>100</v>
      </c>
      <c r="O8" s="1743">
        <f>M8/D8</f>
        <v>1.122793506236466</v>
      </c>
      <c r="P8" s="1742">
        <f>P9+P40+P50+P51</f>
        <v>9621242.2890000008</v>
      </c>
      <c r="Q8" s="5576">
        <f>Q9+Q40+Q50+Q51</f>
        <v>11751651.907000003</v>
      </c>
      <c r="R8" s="5559">
        <f>R9+R40+R50</f>
        <v>22308019.975340258</v>
      </c>
      <c r="S8" s="1740">
        <f>R8/$R$8*100</f>
        <v>100</v>
      </c>
      <c r="T8" s="1741">
        <f>R8/M8</f>
        <v>1.0437528848814153</v>
      </c>
      <c r="U8" s="194">
        <f>U9+U40+U50</f>
        <v>10336418.558390718</v>
      </c>
      <c r="V8" s="194">
        <f>V9+V40+V50</f>
        <v>11971601.41694954</v>
      </c>
      <c r="W8" s="194">
        <f>W9+W40+W50</f>
        <v>23058214.497882977</v>
      </c>
      <c r="X8" s="1740">
        <f>W8/$W$8*100</f>
        <v>100</v>
      </c>
      <c r="Y8" s="1744">
        <f>W8/R8</f>
        <v>1.0336289156712248</v>
      </c>
      <c r="Z8" s="194">
        <f>Z9+Z40+Z50</f>
        <v>10792774.046539402</v>
      </c>
      <c r="AA8" s="194">
        <f>AA9+AA40+AA50</f>
        <v>12265440.451343574</v>
      </c>
      <c r="AB8" s="194">
        <f>AB9+AB40+AB50</f>
        <v>23900869.343657754</v>
      </c>
      <c r="AC8" s="1740">
        <f>AB8/$AB$8*100</f>
        <v>100</v>
      </c>
      <c r="AD8" s="1745">
        <f>AB8/W8</f>
        <v>1.0365446702671686</v>
      </c>
      <c r="AE8" s="194">
        <f>AE9+AE40+AE50</f>
        <v>11149605.720458075</v>
      </c>
      <c r="AF8" s="194">
        <f>AF9+AF40+AF50</f>
        <v>12751263.623199683</v>
      </c>
      <c r="AG8" s="194">
        <f>AG9+AG40+AG50</f>
        <v>25290876.156921141</v>
      </c>
      <c r="AH8" s="1740">
        <f>AG8/$AG$8*100</f>
        <v>100</v>
      </c>
      <c r="AI8" s="1746">
        <f>AG8/AB8</f>
        <v>1.0581571654686375</v>
      </c>
      <c r="AJ8" s="194">
        <f>AJ9+AJ40+AJ50</f>
        <v>11767039.532192383</v>
      </c>
      <c r="AK8" s="194">
        <f>AK9+AK40+AK50</f>
        <v>13523836.624728754</v>
      </c>
      <c r="AL8" s="194">
        <f>AL9+AL40+AL50</f>
        <v>27317511.620331578</v>
      </c>
      <c r="AM8" s="1740">
        <f>AL8/$AL$8*100</f>
        <v>100</v>
      </c>
      <c r="AN8" s="1746">
        <f>AL8/AG8</f>
        <v>1.0801330665982414</v>
      </c>
      <c r="AO8" s="194">
        <f>AO9+AO40+AO50</f>
        <v>12840542.014199736</v>
      </c>
      <c r="AP8" s="194">
        <f>AP9+AP40+AP50</f>
        <v>14476969.606131842</v>
      </c>
      <c r="BA8" s="1742">
        <f>BA9+BA40+BA50+BA51</f>
        <v>0</v>
      </c>
      <c r="BB8" s="1742">
        <f t="shared" ref="BB8:BF8" si="0">BB9+BB40+BB50+BB51</f>
        <v>4665297.5860000011</v>
      </c>
      <c r="BC8" s="1742">
        <f t="shared" si="0"/>
        <v>0</v>
      </c>
      <c r="BD8" s="1742">
        <f t="shared" si="0"/>
        <v>0</v>
      </c>
      <c r="BE8" s="1742">
        <f t="shared" si="0"/>
        <v>0</v>
      </c>
      <c r="BF8" s="1742">
        <f t="shared" si="0"/>
        <v>0</v>
      </c>
    </row>
    <row r="9" spans="1:58" s="31" customFormat="1">
      <c r="A9" s="5577" t="s">
        <v>3</v>
      </c>
      <c r="B9" s="34" t="s">
        <v>192</v>
      </c>
      <c r="C9" s="1570">
        <f>C10+C22+C36+C37+C38+C39</f>
        <v>15430433</v>
      </c>
      <c r="D9" s="1570">
        <f>D10+D22+D36+D37+D38+D39</f>
        <v>17046486.956711084</v>
      </c>
      <c r="E9" s="1748">
        <f>D9/$D$8*100</f>
        <v>89.551207635332176</v>
      </c>
      <c r="F9" s="1570">
        <f>F10+F22+F36+F37+F38+F39</f>
        <v>7138084.0619999999</v>
      </c>
      <c r="G9" s="1570">
        <f>G10+G22+G36+G37+G38+G39</f>
        <v>9908402.8947110809</v>
      </c>
      <c r="H9" s="195">
        <f>H10+H22+H36+H37+H38+H39</f>
        <v>17585323.656711083</v>
      </c>
      <c r="I9" s="1749">
        <f>H9/$H$8*100</f>
        <v>89.207374551555986</v>
      </c>
      <c r="J9" s="1750">
        <f>H9/D9</f>
        <v>1.0316098385179513</v>
      </c>
      <c r="K9" s="195">
        <f>K10+K22+K36+K37+K38+K39</f>
        <v>7490619.7620000001</v>
      </c>
      <c r="L9" s="195">
        <f>L10+L22+L36+L37+L38+L39</f>
        <v>10094703.894711081</v>
      </c>
      <c r="M9" s="1751">
        <f>M10+M22+M36+M37+M38+M39</f>
        <v>18330348.400000002</v>
      </c>
      <c r="N9" s="1749">
        <f>M9/$M$8*100</f>
        <v>85.76446517678724</v>
      </c>
      <c r="O9" s="1752">
        <f t="shared" ref="O9:O40" si="1">M9/D9</f>
        <v>1.075315309632374</v>
      </c>
      <c r="P9" s="1751">
        <f>P10+P22+P36+P37+P38+P39</f>
        <v>6833081.4930000007</v>
      </c>
      <c r="Q9" s="5609">
        <f>Q10+Q22+Q36+Q37+Q38+Q39</f>
        <v>11497266.907000003</v>
      </c>
      <c r="R9" s="5560">
        <f>R10+R22+R36+R37+R38+R39</f>
        <v>19271027.975340258</v>
      </c>
      <c r="S9" s="1753">
        <f>R9/$R$8*100</f>
        <v>86.386097899512578</v>
      </c>
      <c r="T9" s="1754">
        <f>R9/M9</f>
        <v>1.0513181503598839</v>
      </c>
      <c r="U9" s="1570">
        <f>U10+U22+U36+U37+U38+U39</f>
        <v>7553811.558390717</v>
      </c>
      <c r="V9" s="1570">
        <f>V10+V22+V36+V37+V38+V39</f>
        <v>11717216.41694954</v>
      </c>
      <c r="W9" s="1570">
        <f>W10+W22+W36+W37+W38+W39</f>
        <v>20021222.497882977</v>
      </c>
      <c r="X9" s="1753">
        <f>W9/$W$8*100</f>
        <v>86.829023555666751</v>
      </c>
      <c r="Y9" s="1755">
        <f>W9/R9</f>
        <v>1.0389286198693026</v>
      </c>
      <c r="Z9" s="1570">
        <f>Z10+Z22+Z36+Z37+Z38+Z39</f>
        <v>8010167.0465394016</v>
      </c>
      <c r="AA9" s="1570">
        <f>AA10+AA22+AA36+AA37+AA38+AA39</f>
        <v>12011055.451343574</v>
      </c>
      <c r="AB9" s="1570">
        <f>AB10+AB22+AB36+AB37+AB38+AB39</f>
        <v>20863877.343657754</v>
      </c>
      <c r="AC9" s="1753">
        <f>AB9/$AB$8*100</f>
        <v>87.293382695278893</v>
      </c>
      <c r="AD9" s="1756">
        <f>AB9/W9</f>
        <v>1.0420880815776299</v>
      </c>
      <c r="AE9" s="1570">
        <f>AE10+AE22+AE36+AE37+AE38+AE39</f>
        <v>8366998.7204580745</v>
      </c>
      <c r="AF9" s="1570">
        <f>AF10+AF22+AF36+AF37+AF38+AF39</f>
        <v>12496878.623199683</v>
      </c>
      <c r="AG9" s="1570">
        <f>AG10+AG22+AG36+AG37+AG38+AG39</f>
        <v>22253884.156921141</v>
      </c>
      <c r="AH9" s="1753">
        <f>AG9/$AG$8*100</f>
        <v>87.991748561194498</v>
      </c>
      <c r="AI9" s="1757">
        <f>AG9/AB9</f>
        <v>1.0666226507359104</v>
      </c>
      <c r="AJ9" s="1570">
        <f>AJ10+AJ22+AJ36+AJ37+AJ38+AJ39</f>
        <v>8984432.532192383</v>
      </c>
      <c r="AK9" s="1570">
        <f>AK10+AK22+AK36+AK37+AK38+AK39</f>
        <v>13269451.624728754</v>
      </c>
      <c r="AL9" s="1570">
        <f>AL10+AL22+AL36+AL37+AL38+AL39</f>
        <v>24280519.620331578</v>
      </c>
      <c r="AM9" s="1753">
        <f>AL9/$AL$8*100</f>
        <v>88.88261843827803</v>
      </c>
      <c r="AN9" s="1757">
        <f>AL9/AG9</f>
        <v>1.0910688421454795</v>
      </c>
      <c r="AO9" s="1570">
        <f>AO10+AO22+AO36+AO37+AO38+AO39</f>
        <v>10057935.014199736</v>
      </c>
      <c r="AP9" s="1570">
        <f>AP10+AP22+AP36+AP37+AP38+AP39</f>
        <v>14222584.606131842</v>
      </c>
      <c r="BA9" s="1751">
        <f>BA10+BA22+BA36+BA37+BA38+BA39</f>
        <v>0</v>
      </c>
      <c r="BB9" s="1751">
        <f t="shared" ref="BB9:BF9" si="2">BB10+BB22+BB36+BB37+BB38+BB39</f>
        <v>4665297.5860000011</v>
      </c>
      <c r="BC9" s="1751">
        <f t="shared" si="2"/>
        <v>0</v>
      </c>
      <c r="BD9" s="1751">
        <f t="shared" si="2"/>
        <v>0</v>
      </c>
      <c r="BE9" s="1751">
        <f t="shared" si="2"/>
        <v>0</v>
      </c>
      <c r="BF9" s="1751">
        <f t="shared" si="2"/>
        <v>0</v>
      </c>
    </row>
    <row r="10" spans="1:58">
      <c r="A10" s="5577">
        <v>1</v>
      </c>
      <c r="B10" s="1759" t="s">
        <v>150</v>
      </c>
      <c r="C10" s="1760">
        <f>SUM(C11:C17)</f>
        <v>4690186</v>
      </c>
      <c r="D10" s="1760">
        <f>SUM(D11:D17)</f>
        <v>5331240.1620000005</v>
      </c>
      <c r="E10" s="1748">
        <f t="shared" ref="E10:E46" si="3">D10/$D$8*100</f>
        <v>28.00688469791293</v>
      </c>
      <c r="F10" s="1760">
        <f>SUM(F11:F17)</f>
        <v>3607240.162</v>
      </c>
      <c r="G10" s="1760">
        <f>SUM(G11:G17)</f>
        <v>1724000</v>
      </c>
      <c r="H10" s="1761">
        <f>SUM(H11:H17)</f>
        <v>5531240.1620000005</v>
      </c>
      <c r="I10" s="1749">
        <f>H10/$H$8*100</f>
        <v>28.059046424080837</v>
      </c>
      <c r="J10" s="1750">
        <f t="shared" ref="J10:J53" si="4">H10/D10</f>
        <v>1.0375147233894206</v>
      </c>
      <c r="K10" s="1761">
        <f>SUM(K11:K17)</f>
        <v>3807240.162</v>
      </c>
      <c r="L10" s="1761">
        <f>SUM(L11:L17)</f>
        <v>1724000</v>
      </c>
      <c r="M10" s="1762">
        <f>+M11+M12+M14+M16+M17</f>
        <v>4666890</v>
      </c>
      <c r="N10" s="1749">
        <f>M10/$M$8*100</f>
        <v>21.835554685305191</v>
      </c>
      <c r="O10" s="1752">
        <f t="shared" si="1"/>
        <v>0.87538543719426598</v>
      </c>
      <c r="P10" s="1762">
        <f>+P11+P12+P14+P16+P17</f>
        <v>2983390</v>
      </c>
      <c r="Q10" s="5578">
        <f>+Q11+Q12+Q14+Q16+Q17</f>
        <v>1683500</v>
      </c>
      <c r="R10" s="5561">
        <f>+R11+R12+R14+R16+R17</f>
        <v>5207212.043456913</v>
      </c>
      <c r="S10" s="1753">
        <f>R10/$R$8*100</f>
        <v>23.342331812563696</v>
      </c>
      <c r="T10" s="1754">
        <f>R10/M10</f>
        <v>1.1157777542339573</v>
      </c>
      <c r="U10" s="1762">
        <f>+U11+U12+U14+U16+U17</f>
        <v>3357212.043456913</v>
      </c>
      <c r="V10" s="1762">
        <f>+V11+V12+V14+V16+V17</f>
        <v>1850000</v>
      </c>
      <c r="W10" s="1762">
        <f>+W11+W12+W14+W16+W17</f>
        <v>5338707.7565428363</v>
      </c>
      <c r="X10" s="1753">
        <f>W10/$W$8*100</f>
        <v>23.153170671705713</v>
      </c>
      <c r="Y10" s="1755">
        <f>W10/R10</f>
        <v>1.0252526134884701</v>
      </c>
      <c r="Z10" s="1762">
        <f>+Z11+Z12+Z14+Z16+Z17</f>
        <v>3460943.7757059</v>
      </c>
      <c r="AA10" s="1762">
        <f>+AA11+AA12+AA14+AA16+AA17</f>
        <v>1877763.9808369365</v>
      </c>
      <c r="AB10" s="1760">
        <f>+AB11+AB12+AB14</f>
        <v>5569803.4288555803</v>
      </c>
      <c r="AC10" s="1753">
        <f>AB10/$AB$8*100</f>
        <v>23.303769200903826</v>
      </c>
      <c r="AD10" s="1756">
        <f>AB10/W10</f>
        <v>1.0432868182435207</v>
      </c>
      <c r="AE10" s="1760">
        <f>+AE11+AE12+AE14</f>
        <v>3619449.6039062967</v>
      </c>
      <c r="AF10" s="1760">
        <f>+AF11+AF12+AF14</f>
        <v>1950353.8249492832</v>
      </c>
      <c r="AG10" s="1760">
        <f>+AG11+AG12+AG14</f>
        <v>6005750.2471807506</v>
      </c>
      <c r="AH10" s="1763">
        <f>AG10/$AG$8*100</f>
        <v>23.746706954386028</v>
      </c>
      <c r="AI10" s="1757">
        <f>AG10/AB10</f>
        <v>1.078269695491703</v>
      </c>
      <c r="AJ10" s="1760">
        <f>+AJ11+AJ12+AJ14</f>
        <v>3922342.4400391411</v>
      </c>
      <c r="AK10" s="1760">
        <f>+AK11+AK12+AK14</f>
        <v>2083407.8071416095</v>
      </c>
      <c r="AL10" s="1760">
        <f>+AL11+AL12+AL14</f>
        <v>6853899.701418004</v>
      </c>
      <c r="AM10" s="1753">
        <f>AL10/$AL$8*100</f>
        <v>25.089765849378676</v>
      </c>
      <c r="AN10" s="1757">
        <f>AL10/AG10</f>
        <v>1.1412228979444152</v>
      </c>
      <c r="AO10" s="1760">
        <f>+AO11+AO12+AO14</f>
        <v>4539333.1674249219</v>
      </c>
      <c r="AP10" s="1760">
        <f>+AP11+AP12+AP14</f>
        <v>2314566.5339930821</v>
      </c>
      <c r="BA10" s="1762">
        <f>+BA11+BA12+BA14+BA16+BA17</f>
        <v>0</v>
      </c>
      <c r="BB10" s="1762">
        <f t="shared" ref="BB10:BF10" si="5">+BB11+BB12+BB14+BB16+BB17</f>
        <v>1090033.5</v>
      </c>
      <c r="BC10" s="1762">
        <f t="shared" si="5"/>
        <v>0</v>
      </c>
      <c r="BD10" s="1762">
        <f t="shared" si="5"/>
        <v>0</v>
      </c>
      <c r="BE10" s="1762">
        <f t="shared" si="5"/>
        <v>0</v>
      </c>
      <c r="BF10" s="1762">
        <f t="shared" si="5"/>
        <v>0</v>
      </c>
    </row>
    <row r="11" spans="1:58">
      <c r="A11" s="5579" t="s">
        <v>99</v>
      </c>
      <c r="B11" s="1784" t="s">
        <v>143</v>
      </c>
      <c r="C11" s="1765">
        <v>1070186</v>
      </c>
      <c r="D11" s="196">
        <f>SUM(F11:G11)</f>
        <v>1143186</v>
      </c>
      <c r="E11" s="1766">
        <f t="shared" si="3"/>
        <v>6.0055592164989191</v>
      </c>
      <c r="F11" s="1765">
        <v>562186</v>
      </c>
      <c r="G11" s="1765">
        <f>+'Phụ lục số 8.1'!C27</f>
        <v>581000</v>
      </c>
      <c r="H11" s="196">
        <f>SUM(K11:L11)</f>
        <v>1143186</v>
      </c>
      <c r="I11" s="1767">
        <f t="shared" ref="I11:I41" si="6">H11/$H$8*100</f>
        <v>5.7991893510118162</v>
      </c>
      <c r="J11" s="1768">
        <f t="shared" si="4"/>
        <v>1</v>
      </c>
      <c r="K11" s="196">
        <f>F11</f>
        <v>562186</v>
      </c>
      <c r="L11" s="196">
        <f>G11</f>
        <v>581000</v>
      </c>
      <c r="M11" s="1769">
        <f>SUM(P11:Q11)</f>
        <v>966890</v>
      </c>
      <c r="N11" s="1767">
        <f>M11/$M$8*100</f>
        <v>4.5239076707774846</v>
      </c>
      <c r="O11" s="1770">
        <f>M11/D11</f>
        <v>0.84578537525826947</v>
      </c>
      <c r="P11" s="1769">
        <f>1153590-Q11-P52</f>
        <v>376890</v>
      </c>
      <c r="Q11" s="5580">
        <f>+'Phụ lục số 8'!C8-Q51</f>
        <v>590000</v>
      </c>
      <c r="R11" s="5562">
        <f>SUM(U11:V11)</f>
        <v>1207212.043456913</v>
      </c>
      <c r="S11" s="1771">
        <f>R11/$R$8*100</f>
        <v>5.4115607068282614</v>
      </c>
      <c r="T11" s="1772">
        <f>R11/M11</f>
        <v>1.2485515864854462</v>
      </c>
      <c r="U11" s="5314">
        <f>P11*$U$56+186700+42595</f>
        <v>617212.04345691297</v>
      </c>
      <c r="V11" s="1584">
        <f>Q11</f>
        <v>590000</v>
      </c>
      <c r="W11" s="1584">
        <f>SUM(Z11:AA11)</f>
        <v>1338707.7565428363</v>
      </c>
      <c r="X11" s="1771">
        <f>W11/$W$8*100</f>
        <v>5.805773715331453</v>
      </c>
      <c r="Y11" s="1773">
        <f>W11/R11</f>
        <v>1.1089251170070991</v>
      </c>
      <c r="Z11" s="5315">
        <f>U11*$Z$56+79854</f>
        <v>720943.77570589993</v>
      </c>
      <c r="AA11" s="1584">
        <f>+V11*AA56+9975</f>
        <v>617763.98083693651</v>
      </c>
      <c r="AB11" s="1584">
        <f>SUM(AE11:AF11)</f>
        <v>1469803.42885558</v>
      </c>
      <c r="AC11" s="1771">
        <f>AB11/$AB$8*100</f>
        <v>6.1495814554779011</v>
      </c>
      <c r="AD11" s="1774">
        <f>AB11/W11</f>
        <v>1.0979270282644014</v>
      </c>
      <c r="AE11" s="1584">
        <f>Z11*$AE$56+20000+10000+10000+18513</f>
        <v>779449.60390629678</v>
      </c>
      <c r="AF11" s="1584">
        <f>$AF$56*AA11+72619</f>
        <v>690353.82494928327</v>
      </c>
      <c r="AG11" s="1584">
        <f>SUM(AJ11:AK11)</f>
        <v>1605750.2471807504</v>
      </c>
      <c r="AH11" s="1775">
        <f>AG11/$AG$8*100</f>
        <v>6.3491285838324671</v>
      </c>
      <c r="AI11" s="1776">
        <f>AG11/AB11</f>
        <v>1.0924931971556369</v>
      </c>
      <c r="AJ11" s="1584">
        <f>AE11*$AJ$56+30000+20000+20000+7579</f>
        <v>872342.44003914087</v>
      </c>
      <c r="AK11" s="1584">
        <f>AF11*$AK$56+16413</f>
        <v>733407.80714160949</v>
      </c>
      <c r="AL11" s="1584">
        <f>SUM(AO11:AP11)</f>
        <v>1753899.701418004</v>
      </c>
      <c r="AM11" s="1771">
        <f>AL11/$AL$8*100</f>
        <v>6.4204226424219062</v>
      </c>
      <c r="AN11" s="1776">
        <f>AL11/AG11</f>
        <v>1.0922618286980574</v>
      </c>
      <c r="AO11" s="1584">
        <f>AJ11*$AO$56+30000+2136</f>
        <v>924333.16742492164</v>
      </c>
      <c r="AP11" s="1584">
        <f>AK11*$AP$56+30000+30000+4666</f>
        <v>829566.53399308224</v>
      </c>
      <c r="AW11" s="6036">
        <v>0.15</v>
      </c>
      <c r="BB11" s="4802">
        <f>+AW11*M11</f>
        <v>145033.5</v>
      </c>
    </row>
    <row r="12" spans="1:58">
      <c r="A12" s="5579" t="s">
        <v>101</v>
      </c>
      <c r="B12" s="1784" t="s">
        <v>144</v>
      </c>
      <c r="C12" s="1765">
        <f>SUM(F12:G12)</f>
        <v>1770000</v>
      </c>
      <c r="D12" s="196">
        <f t="shared" ref="D12:D39" si="7">SUM(F12:G12)</f>
        <v>1770000</v>
      </c>
      <c r="E12" s="1766">
        <f t="shared" si="3"/>
        <v>9.298434212108166</v>
      </c>
      <c r="F12" s="1765">
        <f>'Phụ lục số I'!H42</f>
        <v>627000</v>
      </c>
      <c r="G12" s="1765">
        <f>+'Phụ lục số 8.1'!C29</f>
        <v>1143000</v>
      </c>
      <c r="H12" s="196">
        <f t="shared" ref="H12:H16" si="8">SUM(K12:L12)</f>
        <v>1770000</v>
      </c>
      <c r="I12" s="1767">
        <f t="shared" si="6"/>
        <v>8.9789108257894288</v>
      </c>
      <c r="J12" s="1768">
        <f>H12/D12</f>
        <v>1</v>
      </c>
      <c r="K12" s="196">
        <f>+'Phụ lục số 1'!O42</f>
        <v>627000</v>
      </c>
      <c r="L12" s="196">
        <f>+'Phụ lục số 1'!P42</f>
        <v>1143000</v>
      </c>
      <c r="M12" s="1769">
        <f t="shared" ref="M12:M16" si="9">SUM(P12:Q12)</f>
        <v>1600000</v>
      </c>
      <c r="N12" s="1767">
        <f t="shared" ref="N12:N41" si="10">M12/$M$8*100</f>
        <v>7.4861176279038739</v>
      </c>
      <c r="O12" s="1770">
        <f t="shared" si="1"/>
        <v>0.903954802259887</v>
      </c>
      <c r="P12" s="1769">
        <f>+'Phụ lục số 1'!Q42-Q12-P19</f>
        <v>506500</v>
      </c>
      <c r="Q12" s="5580">
        <f>+'Phụ lục số 8'!C9</f>
        <v>1093500</v>
      </c>
      <c r="R12" s="5562">
        <f>SUM(U12:V12)</f>
        <v>1800000</v>
      </c>
      <c r="S12" s="1771">
        <f t="shared" ref="S12:S16" si="11">R12/$R$8*100</f>
        <v>8.0688469975809465</v>
      </c>
      <c r="T12" s="1772">
        <f>R12/M12</f>
        <v>1.125</v>
      </c>
      <c r="U12" s="1584">
        <f>+'Phụ lục số 1'!AG42</f>
        <v>540000</v>
      </c>
      <c r="V12" s="1584">
        <f>+'Phụ lục số 1'!AH42</f>
        <v>1260000</v>
      </c>
      <c r="W12" s="1584">
        <f>SUM(Z12:AA12)</f>
        <v>1800000</v>
      </c>
      <c r="X12" s="1771">
        <f t="shared" ref="X12:X39" si="12">W12/$W$8*100</f>
        <v>7.8063286303684167</v>
      </c>
      <c r="Y12" s="1773">
        <f t="shared" ref="Y12:Y39" si="13">W12/R12</f>
        <v>1</v>
      </c>
      <c r="Z12" s="1584">
        <f>+'Phụ lục số 1'!AG42</f>
        <v>540000</v>
      </c>
      <c r="AA12" s="1584">
        <f>+'Phụ lục số 1'!AH42</f>
        <v>1260000</v>
      </c>
      <c r="AB12" s="1584">
        <f t="shared" ref="AB12:AB17" si="14">SUM(AE12:AF12)</f>
        <v>1800000</v>
      </c>
      <c r="AC12" s="1771">
        <f t="shared" ref="AC12:AC39" si="15">AB12/$AB$8*100</f>
        <v>7.5311068150650406</v>
      </c>
      <c r="AD12" s="1774">
        <f t="shared" ref="AD12:AD39" si="16">AB12/W12</f>
        <v>1</v>
      </c>
      <c r="AE12" s="1584">
        <f>+'Phụ lục số 1'!AM42</f>
        <v>540000</v>
      </c>
      <c r="AF12" s="1584">
        <f>+'Phụ lục số 1'!AN42</f>
        <v>1260000</v>
      </c>
      <c r="AG12" s="1584">
        <f t="shared" ref="AG12:AG17" si="17">SUM(AJ12:AK12)</f>
        <v>1950000</v>
      </c>
      <c r="AH12" s="1775">
        <f t="shared" ref="AH12:AH39" si="18">AG12/$AG$8*100</f>
        <v>7.7102904142226008</v>
      </c>
      <c r="AI12" s="1776">
        <f t="shared" ref="AI12:AI39" si="19">AG12/AB12</f>
        <v>1.0833333333333333</v>
      </c>
      <c r="AJ12" s="1584">
        <f>+'Phụ lục số 1'!AS42</f>
        <v>600000</v>
      </c>
      <c r="AK12" s="1584">
        <f>+'Phụ lục số 1'!AT42</f>
        <v>1350000</v>
      </c>
      <c r="AL12" s="1584">
        <f t="shared" ref="AL12:AL17" si="20">SUM(AO12:AP12)</f>
        <v>2100000</v>
      </c>
      <c r="AM12" s="1771">
        <f t="shared" ref="AM12:AM39" si="21">AL12/$AL$8*100</f>
        <v>7.6873766146292581</v>
      </c>
      <c r="AN12" s="1776">
        <f t="shared" ref="AN12:AN39" si="22">AL12/AG12</f>
        <v>1.0769230769230769</v>
      </c>
      <c r="AO12" s="1584">
        <f>+'Phụ lục số 1'!AY42</f>
        <v>615000</v>
      </c>
      <c r="AP12" s="1584">
        <f>+'Phụ lục số 1'!AZ42</f>
        <v>1485000</v>
      </c>
      <c r="BB12" s="4802">
        <v>385000</v>
      </c>
    </row>
    <row r="13" spans="1:58" s="29" customFormat="1" ht="69">
      <c r="A13" s="5581" t="s">
        <v>29</v>
      </c>
      <c r="B13" s="5231" t="s">
        <v>3265</v>
      </c>
      <c r="C13" s="5309"/>
      <c r="D13" s="196"/>
      <c r="E13" s="1766"/>
      <c r="F13" s="5309"/>
      <c r="G13" s="5309"/>
      <c r="H13" s="196"/>
      <c r="I13" s="1767"/>
      <c r="J13" s="1768"/>
      <c r="K13" s="196"/>
      <c r="L13" s="196"/>
      <c r="M13" s="4945">
        <f t="shared" si="9"/>
        <v>160000</v>
      </c>
      <c r="N13" s="1767"/>
      <c r="O13" s="1770"/>
      <c r="P13" s="4945">
        <f>M12*10%</f>
        <v>160000</v>
      </c>
      <c r="Q13" s="5582"/>
      <c r="R13" s="5563">
        <f>SUM(U13:V13)</f>
        <v>180000</v>
      </c>
      <c r="S13" s="4943"/>
      <c r="T13" s="4944"/>
      <c r="U13" s="1620">
        <f>+R12*10%</f>
        <v>180000</v>
      </c>
      <c r="V13" s="196"/>
      <c r="W13" s="1620">
        <f>SUM(Z13:AA13)</f>
        <v>180000</v>
      </c>
      <c r="X13" s="1767"/>
      <c r="Y13" s="5310"/>
      <c r="Z13" s="1620">
        <f>+W12*10%</f>
        <v>180000</v>
      </c>
      <c r="AA13" s="196"/>
      <c r="AB13" s="1620">
        <f>+AE13</f>
        <v>180000</v>
      </c>
      <c r="AC13" s="4943"/>
      <c r="AD13" s="5325"/>
      <c r="AE13" s="1620">
        <f>+AB12*10%</f>
        <v>180000</v>
      </c>
      <c r="AF13" s="196"/>
      <c r="AG13" s="1620">
        <f>+AJ13+AK13</f>
        <v>195000</v>
      </c>
      <c r="AH13" s="5326"/>
      <c r="AI13" s="5327"/>
      <c r="AJ13" s="1620">
        <f>+AG12*10%</f>
        <v>195000</v>
      </c>
      <c r="AK13" s="196"/>
      <c r="AL13" s="1620">
        <f>+AO13+AP13</f>
        <v>210000</v>
      </c>
      <c r="AM13" s="1767"/>
      <c r="AN13" s="1777"/>
      <c r="AO13" s="1620">
        <f>+AL12*10%</f>
        <v>210000</v>
      </c>
      <c r="AP13" s="196"/>
      <c r="AR13" s="5897"/>
      <c r="AS13" s="5897"/>
      <c r="BB13" s="6037"/>
    </row>
    <row r="14" spans="1:58">
      <c r="A14" s="5579" t="s">
        <v>147</v>
      </c>
      <c r="B14" s="1784" t="s">
        <v>145</v>
      </c>
      <c r="C14" s="1765">
        <v>1850000</v>
      </c>
      <c r="D14" s="196">
        <f t="shared" si="7"/>
        <v>1950000</v>
      </c>
      <c r="E14" s="1766">
        <f t="shared" si="3"/>
        <v>10.244037691305605</v>
      </c>
      <c r="F14" s="1765">
        <f>'Phụ lục số I'!H50</f>
        <v>1950000</v>
      </c>
      <c r="G14" s="1765"/>
      <c r="H14" s="196">
        <f t="shared" si="8"/>
        <v>2150000</v>
      </c>
      <c r="I14" s="1767">
        <f t="shared" si="6"/>
        <v>10.906586596297894</v>
      </c>
      <c r="J14" s="1768">
        <f t="shared" si="4"/>
        <v>1.1025641025641026</v>
      </c>
      <c r="K14" s="196">
        <f>+'Phụ lục số 1'!O50</f>
        <v>2150000</v>
      </c>
      <c r="L14" s="196">
        <f t="shared" ref="K14:L16" si="23">G14</f>
        <v>0</v>
      </c>
      <c r="M14" s="1769">
        <f t="shared" si="9"/>
        <v>2100000</v>
      </c>
      <c r="N14" s="1767">
        <f t="shared" si="10"/>
        <v>9.8255293866238347</v>
      </c>
      <c r="O14" s="1770">
        <f t="shared" si="1"/>
        <v>1.0769230769230769</v>
      </c>
      <c r="P14" s="1769">
        <f>+'Phụ lục số 1'!Q50-P18</f>
        <v>2100000</v>
      </c>
      <c r="Q14" s="5580"/>
      <c r="R14" s="5562">
        <f>SUM(U14:V14)</f>
        <v>2200000</v>
      </c>
      <c r="S14" s="1771">
        <f t="shared" si="11"/>
        <v>9.8619241081544899</v>
      </c>
      <c r="T14" s="1772">
        <f t="shared" ref="T14:T39" si="24">R14/M14</f>
        <v>1.0476190476190477</v>
      </c>
      <c r="U14" s="1584">
        <f>+'Phụ lục số 1'!AA50</f>
        <v>2200000</v>
      </c>
      <c r="V14" s="1584">
        <f>+'Phụ lục số 1'!AB50</f>
        <v>0</v>
      </c>
      <c r="W14" s="1584">
        <f>SUM(Z14:AA14)</f>
        <v>2200000</v>
      </c>
      <c r="X14" s="1771">
        <f t="shared" si="12"/>
        <v>9.5410683260058438</v>
      </c>
      <c r="Y14" s="1773">
        <f t="shared" si="13"/>
        <v>1</v>
      </c>
      <c r="Z14" s="1584">
        <f>+'Phụ lục số 1'!AG50</f>
        <v>2200000</v>
      </c>
      <c r="AA14" s="1584">
        <f>+'Phụ lục số 1'!AH50</f>
        <v>0</v>
      </c>
      <c r="AB14" s="1584">
        <f>SUM(AE14:AF14)</f>
        <v>2300000</v>
      </c>
      <c r="AC14" s="1771">
        <f t="shared" si="15"/>
        <v>9.6230809303608851</v>
      </c>
      <c r="AD14" s="1774">
        <f t="shared" si="16"/>
        <v>1.0454545454545454</v>
      </c>
      <c r="AE14" s="1584">
        <f>+'Phụ lục số 1'!AI50</f>
        <v>2300000</v>
      </c>
      <c r="AF14" s="1584"/>
      <c r="AG14" s="1584">
        <f t="shared" si="17"/>
        <v>2450000</v>
      </c>
      <c r="AH14" s="1775">
        <f t="shared" si="18"/>
        <v>9.6872879563309606</v>
      </c>
      <c r="AI14" s="1776">
        <f t="shared" si="19"/>
        <v>1.0652173913043479</v>
      </c>
      <c r="AJ14" s="1584">
        <f>+'Phụ lục số 1'!AS50</f>
        <v>2450000</v>
      </c>
      <c r="AK14" s="1584">
        <f>+'Phụ lục số 1'!AT50</f>
        <v>0</v>
      </c>
      <c r="AL14" s="1584">
        <f t="shared" si="20"/>
        <v>3000000</v>
      </c>
      <c r="AM14" s="1771">
        <f t="shared" si="21"/>
        <v>10.981966592327511</v>
      </c>
      <c r="AN14" s="1776">
        <f t="shared" si="22"/>
        <v>1.2244897959183674</v>
      </c>
      <c r="AO14" s="1584">
        <f>+'Phụ lục số 1'!AY50</f>
        <v>3000000</v>
      </c>
      <c r="AP14" s="1584">
        <f>+'Phụ lục số 1'!AZ50</f>
        <v>0</v>
      </c>
      <c r="BB14" s="4802">
        <v>560000</v>
      </c>
    </row>
    <row r="15" spans="1:58" s="5328" customFormat="1" ht="27.6">
      <c r="A15" s="5583" t="s">
        <v>29</v>
      </c>
      <c r="B15" s="5232" t="s">
        <v>3188</v>
      </c>
      <c r="C15" s="1639"/>
      <c r="D15" s="1620"/>
      <c r="E15" s="4942"/>
      <c r="F15" s="1639"/>
      <c r="G15" s="1639"/>
      <c r="H15" s="1620"/>
      <c r="I15" s="4943"/>
      <c r="J15" s="4944"/>
      <c r="K15" s="1620"/>
      <c r="L15" s="1620"/>
      <c r="M15" s="4945">
        <f t="shared" si="9"/>
        <v>100000</v>
      </c>
      <c r="N15" s="4943"/>
      <c r="O15" s="4947"/>
      <c r="P15" s="4945">
        <v>100000</v>
      </c>
      <c r="Q15" s="5584"/>
      <c r="R15" s="5563">
        <f>SUM(U15:V15)</f>
        <v>120000</v>
      </c>
      <c r="S15" s="4943"/>
      <c r="T15" s="4944"/>
      <c r="U15" s="5323">
        <v>120000</v>
      </c>
      <c r="V15" s="1620"/>
      <c r="W15" s="1620">
        <f>SUM(Z15:AA15)</f>
        <v>135000</v>
      </c>
      <c r="X15" s="4943"/>
      <c r="Y15" s="5324"/>
      <c r="Z15" s="5323">
        <v>135000</v>
      </c>
      <c r="AA15" s="1620"/>
      <c r="AB15" s="1620">
        <f>+AE15+AF15</f>
        <v>155000</v>
      </c>
      <c r="AC15" s="4943"/>
      <c r="AD15" s="5325"/>
      <c r="AE15" s="1620">
        <v>155000</v>
      </c>
      <c r="AF15" s="1620"/>
      <c r="AG15" s="1620">
        <f>+AJ15+AK15</f>
        <v>175000</v>
      </c>
      <c r="AH15" s="5326"/>
      <c r="AI15" s="5327"/>
      <c r="AJ15" s="1620">
        <v>175000</v>
      </c>
      <c r="AK15" s="1620"/>
      <c r="AL15" s="1620">
        <f>+AO15+AP15</f>
        <v>200000</v>
      </c>
      <c r="AM15" s="4943"/>
      <c r="AN15" s="5327"/>
      <c r="AO15" s="1620">
        <v>200000</v>
      </c>
      <c r="AP15" s="1620"/>
    </row>
    <row r="16" spans="1:58">
      <c r="A16" s="5579" t="s">
        <v>148</v>
      </c>
      <c r="B16" s="196" t="s">
        <v>146</v>
      </c>
      <c r="C16" s="1765">
        <v>0</v>
      </c>
      <c r="D16" s="196">
        <f t="shared" si="7"/>
        <v>408054.16200000001</v>
      </c>
      <c r="E16" s="1766">
        <f t="shared" si="3"/>
        <v>2.1436524182677559</v>
      </c>
      <c r="F16" s="1765">
        <f>'Phụ lục số I'!H48</f>
        <v>408054.16200000001</v>
      </c>
      <c r="G16" s="1765"/>
      <c r="H16" s="196">
        <f t="shared" si="8"/>
        <v>408054.16200000001</v>
      </c>
      <c r="I16" s="1767">
        <f t="shared" si="6"/>
        <v>2.0699897924803579</v>
      </c>
      <c r="J16" s="1768">
        <f t="shared" si="4"/>
        <v>1</v>
      </c>
      <c r="K16" s="196">
        <f t="shared" si="23"/>
        <v>408054.16200000001</v>
      </c>
      <c r="L16" s="196">
        <f t="shared" si="23"/>
        <v>0</v>
      </c>
      <c r="M16" s="1769">
        <f t="shared" si="9"/>
        <v>0</v>
      </c>
      <c r="N16" s="1767">
        <f t="shared" si="10"/>
        <v>0</v>
      </c>
      <c r="O16" s="1770">
        <f t="shared" si="1"/>
        <v>0</v>
      </c>
      <c r="P16" s="1769"/>
      <c r="Q16" s="5580"/>
      <c r="R16" s="1831">
        <f t="shared" ref="R16" si="25">SUM(U16:V16)</f>
        <v>0</v>
      </c>
      <c r="S16" s="1771">
        <f t="shared" si="11"/>
        <v>0</v>
      </c>
      <c r="T16" s="1772" t="e">
        <f t="shared" si="24"/>
        <v>#DIV/0!</v>
      </c>
      <c r="U16" s="1584"/>
      <c r="V16" s="1584"/>
      <c r="W16" s="196">
        <f t="shared" ref="W16" si="26">SUM(Z16:AA16)</f>
        <v>0</v>
      </c>
      <c r="X16" s="1771">
        <f t="shared" si="12"/>
        <v>0</v>
      </c>
      <c r="Y16" s="1773" t="e">
        <f t="shared" si="13"/>
        <v>#DIV/0!</v>
      </c>
      <c r="Z16" s="1584"/>
      <c r="AA16" s="1584"/>
      <c r="AB16" s="1584">
        <f t="shared" si="14"/>
        <v>0</v>
      </c>
      <c r="AC16" s="1771">
        <f t="shared" si="15"/>
        <v>0</v>
      </c>
      <c r="AD16" s="1774" t="e">
        <f t="shared" si="16"/>
        <v>#DIV/0!</v>
      </c>
      <c r="AE16" s="1584"/>
      <c r="AF16" s="1584"/>
      <c r="AG16" s="1584">
        <f t="shared" si="17"/>
        <v>0</v>
      </c>
      <c r="AH16" s="1775">
        <f t="shared" si="18"/>
        <v>0</v>
      </c>
      <c r="AI16" s="1776" t="e">
        <f t="shared" si="19"/>
        <v>#DIV/0!</v>
      </c>
      <c r="AJ16" s="1584"/>
      <c r="AK16" s="1584"/>
      <c r="AL16" s="1584">
        <f t="shared" si="20"/>
        <v>0</v>
      </c>
      <c r="AM16" s="1771">
        <f t="shared" si="21"/>
        <v>0</v>
      </c>
      <c r="AN16" s="1776" t="e">
        <f t="shared" si="22"/>
        <v>#DIV/0!</v>
      </c>
      <c r="AO16" s="1584"/>
      <c r="AP16" s="1584"/>
    </row>
    <row r="17" spans="1:58">
      <c r="A17" s="5581" t="s">
        <v>149</v>
      </c>
      <c r="B17" s="1784" t="s">
        <v>185</v>
      </c>
      <c r="C17" s="1765">
        <v>0</v>
      </c>
      <c r="D17" s="196">
        <f>SUM(D18:D21)</f>
        <v>60000</v>
      </c>
      <c r="E17" s="1766">
        <f>D17/$D$8*100</f>
        <v>0.3152011597324802</v>
      </c>
      <c r="F17" s="196">
        <f>SUM(F18:F21)</f>
        <v>60000</v>
      </c>
      <c r="G17" s="196">
        <f>SUM(G18:G21)</f>
        <v>0</v>
      </c>
      <c r="H17" s="196">
        <f>SUM(H18:H21)</f>
        <v>60000</v>
      </c>
      <c r="I17" s="1767">
        <f t="shared" si="6"/>
        <v>0.30436985850133658</v>
      </c>
      <c r="J17" s="1768">
        <f t="shared" si="4"/>
        <v>1</v>
      </c>
      <c r="K17" s="196">
        <f>SUM(K18:K21)</f>
        <v>60000</v>
      </c>
      <c r="L17" s="196">
        <f>SUM(L18:L21)</f>
        <v>0</v>
      </c>
      <c r="M17" s="4789">
        <f>SUM(M18:M21)</f>
        <v>0</v>
      </c>
      <c r="N17" s="4790">
        <f t="shared" si="10"/>
        <v>0</v>
      </c>
      <c r="O17" s="1770">
        <f t="shared" si="1"/>
        <v>0</v>
      </c>
      <c r="P17" s="4789">
        <f>SUM(P18:P21)</f>
        <v>0</v>
      </c>
      <c r="Q17" s="5582">
        <f>SUM(Q18:Q21)</f>
        <v>0</v>
      </c>
      <c r="R17" s="5564">
        <f>SUM(R18:R21)</f>
        <v>0</v>
      </c>
      <c r="S17" s="1771">
        <f>R17/$R$8*100</f>
        <v>0</v>
      </c>
      <c r="T17" s="1772" t="e">
        <f t="shared" si="24"/>
        <v>#DIV/0!</v>
      </c>
      <c r="U17" s="196">
        <f>SUM(U18:U21)</f>
        <v>0</v>
      </c>
      <c r="V17" s="196">
        <f>SUM(V18:V21)</f>
        <v>0</v>
      </c>
      <c r="W17" s="4789">
        <f>SUM(W18:W21)</f>
        <v>0</v>
      </c>
      <c r="X17" s="1771">
        <f t="shared" si="12"/>
        <v>0</v>
      </c>
      <c r="Y17" s="1773" t="e">
        <f t="shared" si="13"/>
        <v>#DIV/0!</v>
      </c>
      <c r="Z17" s="196">
        <f>SUM(Z18:Z21)</f>
        <v>0</v>
      </c>
      <c r="AA17" s="196">
        <f>SUM(AA18:AA21)</f>
        <v>0</v>
      </c>
      <c r="AB17" s="1584">
        <f t="shared" si="14"/>
        <v>0</v>
      </c>
      <c r="AC17" s="1771">
        <f t="shared" si="15"/>
        <v>0</v>
      </c>
      <c r="AD17" s="1774" t="e">
        <f t="shared" si="16"/>
        <v>#DIV/0!</v>
      </c>
      <c r="AE17" s="1584"/>
      <c r="AF17" s="1584"/>
      <c r="AG17" s="1584">
        <f t="shared" si="17"/>
        <v>0</v>
      </c>
      <c r="AH17" s="1775">
        <f t="shared" si="18"/>
        <v>0</v>
      </c>
      <c r="AI17" s="1776" t="e">
        <f t="shared" si="19"/>
        <v>#DIV/0!</v>
      </c>
      <c r="AJ17" s="1584"/>
      <c r="AK17" s="1584"/>
      <c r="AL17" s="1584">
        <f t="shared" si="20"/>
        <v>0</v>
      </c>
      <c r="AM17" s="1771">
        <f t="shared" si="21"/>
        <v>0</v>
      </c>
      <c r="AN17" s="1776" t="e">
        <f t="shared" si="22"/>
        <v>#DIV/0!</v>
      </c>
      <c r="AO17" s="1584"/>
      <c r="AP17" s="1584">
        <f>AP65</f>
        <v>0</v>
      </c>
    </row>
    <row r="18" spans="1:58" s="4954" customFormat="1" ht="27.6" hidden="1">
      <c r="A18" s="5585" t="s">
        <v>3126</v>
      </c>
      <c r="B18" s="4781" t="s">
        <v>3142</v>
      </c>
      <c r="C18" s="4941"/>
      <c r="D18" s="1620">
        <f t="shared" si="7"/>
        <v>60000</v>
      </c>
      <c r="E18" s="4942"/>
      <c r="F18" s="1639">
        <v>60000</v>
      </c>
      <c r="G18" s="4941"/>
      <c r="H18" s="1620">
        <f>SUM(K18:L18)</f>
        <v>60000</v>
      </c>
      <c r="I18" s="4943">
        <f t="shared" si="6"/>
        <v>0.30436985850133658</v>
      </c>
      <c r="J18" s="4944">
        <f t="shared" si="4"/>
        <v>1</v>
      </c>
      <c r="K18" s="1620">
        <v>60000</v>
      </c>
      <c r="L18" s="1620"/>
      <c r="M18" s="4945">
        <f>SUM(P18:Q18)</f>
        <v>0</v>
      </c>
      <c r="N18" s="4946">
        <f t="shared" si="10"/>
        <v>0</v>
      </c>
      <c r="O18" s="4947">
        <f t="shared" si="1"/>
        <v>0</v>
      </c>
      <c r="P18" s="4945"/>
      <c r="Q18" s="5584"/>
      <c r="R18" s="5565"/>
      <c r="S18" s="4948"/>
      <c r="T18" s="4949"/>
      <c r="U18" s="1622"/>
      <c r="V18" s="1622"/>
      <c r="W18" s="1622"/>
      <c r="X18" s="4948"/>
      <c r="Y18" s="4950"/>
      <c r="Z18" s="1622"/>
      <c r="AA18" s="1622"/>
      <c r="AB18" s="1622"/>
      <c r="AC18" s="4948"/>
      <c r="AD18" s="4951"/>
      <c r="AE18" s="1622"/>
      <c r="AF18" s="1622"/>
      <c r="AG18" s="1622"/>
      <c r="AH18" s="4952"/>
      <c r="AI18" s="4953"/>
      <c r="AJ18" s="1622"/>
      <c r="AK18" s="1622"/>
      <c r="AL18" s="1622"/>
      <c r="AM18" s="4948"/>
      <c r="AN18" s="4953"/>
      <c r="AO18" s="1622"/>
      <c r="AP18" s="1622"/>
    </row>
    <row r="19" spans="1:58" s="4954" customFormat="1" ht="69" hidden="1">
      <c r="A19" s="5585" t="s">
        <v>3127</v>
      </c>
      <c r="B19" s="4781" t="s">
        <v>3141</v>
      </c>
      <c r="C19" s="4941"/>
      <c r="D19" s="1620">
        <f t="shared" si="7"/>
        <v>0</v>
      </c>
      <c r="E19" s="4942"/>
      <c r="F19" s="4941"/>
      <c r="G19" s="4941"/>
      <c r="H19" s="1620">
        <f>SUM(K19:L19)</f>
        <v>0</v>
      </c>
      <c r="I19" s="4943"/>
      <c r="J19" s="4944"/>
      <c r="K19" s="1620"/>
      <c r="L19" s="1620"/>
      <c r="M19" s="4945">
        <f>SUM(P19:Q19)</f>
        <v>0</v>
      </c>
      <c r="N19" s="4943"/>
      <c r="O19" s="4947"/>
      <c r="P19" s="4945"/>
      <c r="Q19" s="5586"/>
      <c r="R19" s="5566"/>
      <c r="S19" s="4948"/>
      <c r="T19" s="4949"/>
      <c r="U19" s="1622"/>
      <c r="V19" s="1622"/>
      <c r="W19" s="1622"/>
      <c r="X19" s="4948"/>
      <c r="Y19" s="4950"/>
      <c r="Z19" s="1622"/>
      <c r="AA19" s="1622"/>
      <c r="AB19" s="1622"/>
      <c r="AC19" s="4948"/>
      <c r="AD19" s="4951"/>
      <c r="AE19" s="1622"/>
      <c r="AF19" s="1622"/>
      <c r="AG19" s="1622"/>
      <c r="AH19" s="4952"/>
      <c r="AI19" s="4953"/>
      <c r="AJ19" s="1622"/>
      <c r="AK19" s="1622"/>
      <c r="AL19" s="1622"/>
      <c r="AM19" s="4948"/>
      <c r="AN19" s="4953"/>
      <c r="AO19" s="1622"/>
      <c r="AP19" s="1622"/>
    </row>
    <row r="20" spans="1:58" hidden="1">
      <c r="A20" s="4892" t="s">
        <v>3143</v>
      </c>
      <c r="B20" s="4780"/>
      <c r="C20" s="1765"/>
      <c r="D20" s="196"/>
      <c r="E20" s="1766"/>
      <c r="F20" s="1765"/>
      <c r="G20" s="1765"/>
      <c r="H20" s="196"/>
      <c r="I20" s="1767"/>
      <c r="J20" s="1768"/>
      <c r="K20" s="196"/>
      <c r="L20" s="196"/>
      <c r="M20" s="1769"/>
      <c r="N20" s="1767"/>
      <c r="O20" s="1770"/>
      <c r="P20" s="1769"/>
      <c r="Q20" s="5580"/>
      <c r="R20" s="5562"/>
      <c r="S20" s="1771"/>
      <c r="T20" s="1772"/>
      <c r="U20" s="1584"/>
      <c r="V20" s="1584"/>
      <c r="W20" s="1584"/>
      <c r="X20" s="1771"/>
      <c r="Y20" s="1773"/>
      <c r="Z20" s="1584"/>
      <c r="AA20" s="1584"/>
      <c r="AB20" s="1584"/>
      <c r="AC20" s="1771"/>
      <c r="AD20" s="1774"/>
      <c r="AE20" s="1584"/>
      <c r="AF20" s="1584"/>
      <c r="AG20" s="1584"/>
      <c r="AH20" s="1775"/>
      <c r="AI20" s="1776"/>
      <c r="AJ20" s="1584"/>
      <c r="AK20" s="1584"/>
      <c r="AL20" s="1584"/>
      <c r="AM20" s="1771"/>
      <c r="AN20" s="1776"/>
      <c r="AO20" s="1584"/>
      <c r="AP20" s="1584"/>
    </row>
    <row r="21" spans="1:58" hidden="1">
      <c r="A21" s="4892" t="s">
        <v>3144</v>
      </c>
      <c r="B21" s="4780"/>
      <c r="C21" s="1765"/>
      <c r="D21" s="196"/>
      <c r="E21" s="1766"/>
      <c r="F21" s="1765"/>
      <c r="G21" s="1765"/>
      <c r="H21" s="196"/>
      <c r="I21" s="1767"/>
      <c r="J21" s="1768"/>
      <c r="K21" s="196"/>
      <c r="L21" s="196"/>
      <c r="M21" s="1769"/>
      <c r="N21" s="1767"/>
      <c r="O21" s="1770"/>
      <c r="P21" s="1769"/>
      <c r="Q21" s="5580"/>
      <c r="R21" s="5562"/>
      <c r="S21" s="1771"/>
      <c r="T21" s="1772"/>
      <c r="U21" s="1584"/>
      <c r="V21" s="1584"/>
      <c r="W21" s="1584"/>
      <c r="X21" s="1771"/>
      <c r="Y21" s="1773"/>
      <c r="Z21" s="1584"/>
      <c r="AA21" s="1584"/>
      <c r="AB21" s="1584"/>
      <c r="AC21" s="1771"/>
      <c r="AD21" s="1774"/>
      <c r="AE21" s="1584"/>
      <c r="AF21" s="1584"/>
      <c r="AG21" s="1584"/>
      <c r="AH21" s="1775"/>
      <c r="AI21" s="1776"/>
      <c r="AJ21" s="1584"/>
      <c r="AK21" s="1584"/>
      <c r="AL21" s="1584"/>
      <c r="AM21" s="1771"/>
      <c r="AN21" s="1776"/>
      <c r="AO21" s="1584"/>
      <c r="AP21" s="1584"/>
    </row>
    <row r="22" spans="1:58" s="31" customFormat="1">
      <c r="A22" s="5577">
        <v>2</v>
      </c>
      <c r="B22" s="1759" t="s">
        <v>151</v>
      </c>
      <c r="C22" s="1570">
        <v>10426978</v>
      </c>
      <c r="D22" s="1570">
        <f>SUM(D23:D35)</f>
        <v>10664978.794711081</v>
      </c>
      <c r="E22" s="1748">
        <f t="shared" si="3"/>
        <v>56.026894743587363</v>
      </c>
      <c r="F22" s="1570">
        <f>SUM(F23:F35)</f>
        <v>3294440.4</v>
      </c>
      <c r="G22" s="1570">
        <f>SUM(G23:G35)</f>
        <v>7370538.3947110809</v>
      </c>
      <c r="H22" s="1570">
        <f>SUM(H23:H35)</f>
        <v>11721214.294711081</v>
      </c>
      <c r="I22" s="1749">
        <f t="shared" si="6"/>
        <v>59.459738939084261</v>
      </c>
      <c r="J22" s="1750">
        <f>H22/D22</f>
        <v>1.0990377496600183</v>
      </c>
      <c r="K22" s="1570">
        <f>SUM(K23:K35)</f>
        <v>3526114.9</v>
      </c>
      <c r="L22" s="1570">
        <f>SUM(L23:L35)</f>
        <v>8195099.3947110809</v>
      </c>
      <c r="M22" s="1570">
        <f>SUM(M23:M35)</f>
        <v>12761657.450000003</v>
      </c>
      <c r="N22" s="1749">
        <f t="shared" si="10"/>
        <v>59.709542998572388</v>
      </c>
      <c r="O22" s="1752">
        <f>M22/D22</f>
        <v>1.1965947326898292</v>
      </c>
      <c r="P22" s="1570">
        <f>SUM(P23:P35)</f>
        <v>3680232.0929999999</v>
      </c>
      <c r="Q22" s="1837">
        <f>SUM(Q23:Q35)</f>
        <v>9081425.3570000026</v>
      </c>
      <c r="R22" s="5560">
        <f>SUM(R23:R35)</f>
        <v>13049829.156114889</v>
      </c>
      <c r="S22" s="1753">
        <f>R22/$R$8*100</f>
        <v>58.498374891812169</v>
      </c>
      <c r="T22" s="1754">
        <f t="shared" si="24"/>
        <v>1.0225810563591711</v>
      </c>
      <c r="U22" s="1570">
        <f>SUM(U23:U35)</f>
        <v>3820034.4829255408</v>
      </c>
      <c r="V22" s="1570">
        <f>SUM(V23:V35)</f>
        <v>9229794.6731893476</v>
      </c>
      <c r="W22" s="1570">
        <f>SUM(W23:W35)</f>
        <v>13492052.394947087</v>
      </c>
      <c r="X22" s="1753">
        <f t="shared" si="12"/>
        <v>58.51299716283679</v>
      </c>
      <c r="Y22" s="1755">
        <f t="shared" si="13"/>
        <v>1.0338872818595468</v>
      </c>
      <c r="Z22" s="1570">
        <f>SUM(Z23:Z35)</f>
        <v>3974345.9902827819</v>
      </c>
      <c r="AA22" s="1570">
        <f>SUM(AA23:AA35)</f>
        <v>9517706.4046643022</v>
      </c>
      <c r="AB22" s="1570">
        <f>SUM(AB23:AB35)</f>
        <v>13721920.162862469</v>
      </c>
      <c r="AC22" s="1753">
        <f t="shared" si="15"/>
        <v>57.411803585728848</v>
      </c>
      <c r="AD22" s="1756">
        <f t="shared" si="16"/>
        <v>1.0170372721055745</v>
      </c>
      <c r="AE22" s="1570">
        <f>SUM(AE23:AE35)</f>
        <v>4153662.954310691</v>
      </c>
      <c r="AF22" s="1570">
        <f>SUM(AF23:AF35)</f>
        <v>9568257.2085517775</v>
      </c>
      <c r="AG22" s="1570">
        <f>SUM(AG23:AG35)</f>
        <v>14216640.331339024</v>
      </c>
      <c r="AH22" s="1763">
        <f t="shared" si="18"/>
        <v>56.212525984191643</v>
      </c>
      <c r="AI22" s="1757">
        <f t="shared" si="19"/>
        <v>1.0360532755332221</v>
      </c>
      <c r="AJ22" s="1570">
        <f>SUM(AJ23:AJ35)</f>
        <v>4262140.9158314839</v>
      </c>
      <c r="AK22" s="1570">
        <f>SUM(AK23:AK35)</f>
        <v>9954499.4155075382</v>
      </c>
      <c r="AL22" s="1570">
        <f>SUM(AL23:AL35)</f>
        <v>14891096.561414696</v>
      </c>
      <c r="AM22" s="1753">
        <f t="shared" si="21"/>
        <v>54.511174986859764</v>
      </c>
      <c r="AN22" s="1757">
        <f t="shared" si="22"/>
        <v>1.047441323291334</v>
      </c>
      <c r="AO22" s="1570">
        <f>SUM(AO23:AO35)</f>
        <v>4509148.285964502</v>
      </c>
      <c r="AP22" s="1570">
        <f>SUM(AP23:AP35)</f>
        <v>10381948.275450194</v>
      </c>
      <c r="AR22" s="1802">
        <f>+V22-Q22</f>
        <v>148369.31618934497</v>
      </c>
      <c r="AW22" s="6038">
        <v>0.28000000000000003</v>
      </c>
      <c r="BA22" s="1570">
        <f>SUM(BA23:BA35)</f>
        <v>0</v>
      </c>
      <c r="BB22" s="1570">
        <f>+M22*AW22</f>
        <v>3573264.0860000011</v>
      </c>
      <c r="BC22" s="1570">
        <f t="shared" ref="BC22:BF22" si="27">SUM(BC23:BC35)</f>
        <v>0</v>
      </c>
      <c r="BD22" s="1570">
        <f t="shared" si="27"/>
        <v>0</v>
      </c>
      <c r="BE22" s="1570">
        <f t="shared" si="27"/>
        <v>0</v>
      </c>
      <c r="BF22" s="1570">
        <f t="shared" si="27"/>
        <v>0</v>
      </c>
    </row>
    <row r="23" spans="1:58">
      <c r="A23" s="5587" t="s">
        <v>99</v>
      </c>
      <c r="B23" s="1811" t="s">
        <v>152</v>
      </c>
      <c r="C23" s="1584">
        <v>4650946</v>
      </c>
      <c r="D23" s="196">
        <f t="shared" si="7"/>
        <v>4797945.7831797441</v>
      </c>
      <c r="E23" s="1766">
        <f>D23/$D$8*100</f>
        <v>25.205301253196971</v>
      </c>
      <c r="F23" s="1584">
        <f>956676</f>
        <v>956676</v>
      </c>
      <c r="G23" s="1584">
        <v>3841269.7831797441</v>
      </c>
      <c r="H23" s="1584">
        <f>SUM(K23:L23)</f>
        <v>5490754.7831797441</v>
      </c>
      <c r="I23" s="1767">
        <f t="shared" si="6"/>
        <v>27.853670940365927</v>
      </c>
      <c r="J23" s="1768">
        <f t="shared" si="4"/>
        <v>1.1443970047408194</v>
      </c>
      <c r="K23" s="41">
        <f>+F23+99552-(7030)</f>
        <v>1049198</v>
      </c>
      <c r="L23" s="41">
        <f>+(G23)+621647-(21360)</f>
        <v>4441556.7831797441</v>
      </c>
      <c r="M23" s="1584">
        <f t="shared" ref="M23:M31" si="28">SUM(P23:Q23)</f>
        <v>5859513.0000000009</v>
      </c>
      <c r="N23" s="1767">
        <f>M23/$M$8*100</f>
        <v>27.415627225144945</v>
      </c>
      <c r="O23" s="1770">
        <f>M23/D23</f>
        <v>1.2212545253307809</v>
      </c>
      <c r="P23" s="1769">
        <f>+'Phụ lục số 5'!Q10</f>
        <v>1106650</v>
      </c>
      <c r="Q23" s="5580">
        <f>+'Phụ lục số 8'!C12</f>
        <v>4752863.0000000009</v>
      </c>
      <c r="R23" s="5562">
        <f t="shared" ref="R23:R36" si="29">SUM(U23:V23)</f>
        <v>5918101.9564761929</v>
      </c>
      <c r="S23" s="1771">
        <f>R23/$R$8*100</f>
        <v>26.529032890494914</v>
      </c>
      <c r="T23" s="1772">
        <f t="shared" si="24"/>
        <v>1.0099989464100843</v>
      </c>
      <c r="U23" s="1584">
        <f>P23*$U$56</f>
        <v>1139028.3534760615</v>
      </c>
      <c r="V23" s="41">
        <f>Q23*$V$56</f>
        <v>4779073.6030001314</v>
      </c>
      <c r="W23" s="1584">
        <f t="shared" ref="W23:W36" si="30">SUM(Z23:AA23)</f>
        <v>6106259.8643117491</v>
      </c>
      <c r="X23" s="1771">
        <f t="shared" si="12"/>
        <v>26.481928446247988</v>
      </c>
      <c r="Y23" s="1773">
        <f t="shared" si="13"/>
        <v>1.0317936239049843</v>
      </c>
      <c r="Z23" s="1765">
        <f>U23*$Z$56</f>
        <v>1183093.2973419931</v>
      </c>
      <c r="AA23" s="1584">
        <f>V23*$AA$56</f>
        <v>4923166.566969756</v>
      </c>
      <c r="AB23" s="1584">
        <f t="shared" ref="AB23:AB36" si="31">SUM(AE23:AF23)</f>
        <v>6132015.7421813607</v>
      </c>
      <c r="AC23" s="1771">
        <f t="shared" si="15"/>
        <v>25.656036414460086</v>
      </c>
      <c r="AD23" s="1774">
        <f t="shared" si="16"/>
        <v>1.0042179465731786</v>
      </c>
      <c r="AE23" s="1584">
        <f>Z23*$AE$56+3000</f>
        <v>1186081.5281745123</v>
      </c>
      <c r="AF23" s="1584">
        <f>$AF$56*AA23+23000</f>
        <v>4945934.2140068486</v>
      </c>
      <c r="AG23" s="1584">
        <f t="shared" ref="AG23:AG36" si="32">SUM(AJ23:AK23)</f>
        <v>6390054.9058074541</v>
      </c>
      <c r="AH23" s="1775">
        <f t="shared" si="18"/>
        <v>25.2662456854376</v>
      </c>
      <c r="AI23" s="1776">
        <f t="shared" si="19"/>
        <v>1.0420806427242308</v>
      </c>
      <c r="AJ23" s="1584">
        <f>AE23*$AJ$56+26871</f>
        <v>1236255.4563838919</v>
      </c>
      <c r="AK23" s="1584">
        <f>AF23*$AK$56+17000</f>
        <v>5153799.4494235618</v>
      </c>
      <c r="AL23" s="1584">
        <f t="shared" ref="AL23:AL36" si="33">SUM(AO23:AP23)</f>
        <v>6689497.9054574352</v>
      </c>
      <c r="AM23" s="1771">
        <f t="shared" si="21"/>
        <v>24.48794750572614</v>
      </c>
      <c r="AN23" s="1776">
        <f t="shared" si="22"/>
        <v>1.0468607866542492</v>
      </c>
      <c r="AO23" s="1584">
        <f>AJ23*$AO$56+50000</f>
        <v>1314392.9330663113</v>
      </c>
      <c r="AP23" s="1584">
        <f>AK23*$AP$56</f>
        <v>5375104.9723911239</v>
      </c>
    </row>
    <row r="24" spans="1:58">
      <c r="A24" s="5587" t="s">
        <v>101</v>
      </c>
      <c r="B24" s="1811" t="s">
        <v>153</v>
      </c>
      <c r="C24" s="1584">
        <v>29314</v>
      </c>
      <c r="D24" s="196">
        <f t="shared" si="7"/>
        <v>31218</v>
      </c>
      <c r="E24" s="1766">
        <f t="shared" si="3"/>
        <v>0.16399916340880943</v>
      </c>
      <c r="F24" s="1584">
        <v>31218</v>
      </c>
      <c r="G24" s="1584"/>
      <c r="H24" s="1584">
        <f t="shared" ref="H24:H36" si="34">SUM(K24:L24)</f>
        <v>30790</v>
      </c>
      <c r="I24" s="1767">
        <f t="shared" si="6"/>
        <v>0.1561924657209359</v>
      </c>
      <c r="J24" s="1768">
        <f t="shared" si="4"/>
        <v>0.98628996091998211</v>
      </c>
      <c r="K24" s="41">
        <f>+F24-428</f>
        <v>30790</v>
      </c>
      <c r="L24" s="41">
        <f t="shared" ref="L24:L30" si="35">+G24</f>
        <v>0</v>
      </c>
      <c r="M24" s="1584">
        <f t="shared" si="28"/>
        <v>31307</v>
      </c>
      <c r="N24" s="1767">
        <f t="shared" si="10"/>
        <v>0.1464799278604916</v>
      </c>
      <c r="O24" s="1770">
        <f t="shared" si="1"/>
        <v>1.0028509193414057</v>
      </c>
      <c r="P24" s="1769">
        <f>+'Phụ lục số 5'!R10</f>
        <v>31307</v>
      </c>
      <c r="Q24" s="5580">
        <f>G24*Q56</f>
        <v>0</v>
      </c>
      <c r="R24" s="5562">
        <f t="shared" si="29"/>
        <v>32222.979860186198</v>
      </c>
      <c r="S24" s="1771">
        <f t="shared" ref="S24:S39" si="36">R24/$R$8*100</f>
        <v>0.14444571905443038</v>
      </c>
      <c r="T24" s="1772">
        <f t="shared" si="24"/>
        <v>1.029257988954106</v>
      </c>
      <c r="U24" s="1584">
        <f>P24*$U$56</f>
        <v>32222.979860186198</v>
      </c>
      <c r="V24" s="41"/>
      <c r="W24" s="1584">
        <f t="shared" si="30"/>
        <v>33469.572005499278</v>
      </c>
      <c r="X24" s="1771">
        <f t="shared" si="12"/>
        <v>0.14515248788483681</v>
      </c>
      <c r="Y24" s="1773">
        <f t="shared" si="13"/>
        <v>1.0386864328104346</v>
      </c>
      <c r="Z24" s="1765">
        <f>U24*$Z$56</f>
        <v>33469.572005499278</v>
      </c>
      <c r="AA24" s="1584">
        <f>V24*$AA$56</f>
        <v>0</v>
      </c>
      <c r="AB24" s="1584">
        <f t="shared" si="31"/>
        <v>33469.23905711784</v>
      </c>
      <c r="AC24" s="1771">
        <f t="shared" si="15"/>
        <v>0.14003356353227844</v>
      </c>
      <c r="AD24" s="1774">
        <f t="shared" si="16"/>
        <v>0.99999005220678105</v>
      </c>
      <c r="AE24" s="1584">
        <f>Z24*$AE$56</f>
        <v>33469.23905711784</v>
      </c>
      <c r="AF24" s="1584">
        <f>$AF$56*AA24</f>
        <v>0</v>
      </c>
      <c r="AG24" s="1584">
        <f t="shared" si="32"/>
        <v>34126.808757382008</v>
      </c>
      <c r="AH24" s="1775">
        <f t="shared" si="18"/>
        <v>0.13493723406669253</v>
      </c>
      <c r="AI24" s="1776">
        <f t="shared" si="19"/>
        <v>1.0196469868688074</v>
      </c>
      <c r="AJ24" s="1584">
        <f>AE24*$AJ$56</f>
        <v>34126.808757382008</v>
      </c>
      <c r="AK24" s="1584">
        <f>AF24*$AK$56</f>
        <v>0</v>
      </c>
      <c r="AL24" s="1584">
        <f t="shared" si="33"/>
        <v>34903.54327507221</v>
      </c>
      <c r="AM24" s="1771">
        <f t="shared" si="21"/>
        <v>0.12776984873356687</v>
      </c>
      <c r="AN24" s="1776">
        <f t="shared" si="22"/>
        <v>1.022760244686582</v>
      </c>
      <c r="AO24" s="1584">
        <f>AJ24*$AO$56</f>
        <v>34903.54327507221</v>
      </c>
      <c r="AP24" s="1584">
        <f>AK24*$AP$56</f>
        <v>0</v>
      </c>
    </row>
    <row r="25" spans="1:58">
      <c r="A25" s="5587" t="s">
        <v>147</v>
      </c>
      <c r="B25" s="1811" t="s">
        <v>3125</v>
      </c>
      <c r="C25" s="1584"/>
      <c r="D25" s="196">
        <f t="shared" si="7"/>
        <v>367327</v>
      </c>
      <c r="E25" s="1766">
        <f t="shared" si="3"/>
        <v>1.9296982733508792</v>
      </c>
      <c r="F25" s="1584">
        <f>148327-F26</f>
        <v>148327</v>
      </c>
      <c r="G25" s="1584">
        <f>219000-G26</f>
        <v>219000</v>
      </c>
      <c r="H25" s="1584">
        <f t="shared" si="34"/>
        <v>367097</v>
      </c>
      <c r="I25" s="1767">
        <f t="shared" si="6"/>
        <v>1.8622210324377524</v>
      </c>
      <c r="J25" s="1768">
        <f t="shared" si="4"/>
        <v>0.99937385490312447</v>
      </c>
      <c r="K25" s="41">
        <f>+F25-(230)</f>
        <v>148097</v>
      </c>
      <c r="L25" s="41">
        <f t="shared" si="35"/>
        <v>219000</v>
      </c>
      <c r="M25" s="1584">
        <f t="shared" si="28"/>
        <v>386782.8</v>
      </c>
      <c r="N25" s="1767">
        <f t="shared" si="10"/>
        <v>1.8096884607812613</v>
      </c>
      <c r="O25" s="1770">
        <f>M25/D25</f>
        <v>1.0529658859817002</v>
      </c>
      <c r="P25" s="1769">
        <f>+'Phụ lục số 5'!S10</f>
        <v>150000</v>
      </c>
      <c r="Q25" s="5580">
        <f>(G25*Q56)</f>
        <v>236782.8</v>
      </c>
      <c r="R25" s="5562">
        <f t="shared" si="29"/>
        <v>392477.28392289369</v>
      </c>
      <c r="S25" s="1771">
        <f t="shared" si="36"/>
        <v>1.7593550855555362</v>
      </c>
      <c r="T25" s="1772">
        <f t="shared" si="24"/>
        <v>1.0147226917093874</v>
      </c>
      <c r="U25" s="1584">
        <f>P25*$U$56</f>
        <v>154388.69834311592</v>
      </c>
      <c r="V25" s="41">
        <f>Q25*$V$56</f>
        <v>238088.58557977778</v>
      </c>
      <c r="W25" s="1584">
        <f t="shared" si="30"/>
        <v>405628.59682019101</v>
      </c>
      <c r="X25" s="1771">
        <f t="shared" si="12"/>
        <v>1.7591500714742359</v>
      </c>
      <c r="Y25" s="1773">
        <f t="shared" si="13"/>
        <v>1.033508468989204</v>
      </c>
      <c r="Z25" s="1765">
        <f>U25*$Z$56</f>
        <v>160361.44634825733</v>
      </c>
      <c r="AA25" s="1584">
        <f>V25*$AA$56</f>
        <v>245267.15047193368</v>
      </c>
      <c r="AB25" s="1584">
        <f t="shared" si="31"/>
        <v>405615.42598942219</v>
      </c>
      <c r="AC25" s="1771">
        <f t="shared" si="15"/>
        <v>1.6970739438691369</v>
      </c>
      <c r="AD25" s="1774">
        <f t="shared" si="16"/>
        <v>0.9999675298268611</v>
      </c>
      <c r="AE25" s="1584">
        <f>Z25*$AE$56</f>
        <v>160359.85110574876</v>
      </c>
      <c r="AF25" s="1584">
        <f>$AF$56*AA25</f>
        <v>245255.57488367343</v>
      </c>
      <c r="AG25" s="1584">
        <f t="shared" si="32"/>
        <v>418230.50754367572</v>
      </c>
      <c r="AH25" s="1775">
        <f t="shared" si="18"/>
        <v>1.6536813708971569</v>
      </c>
      <c r="AI25" s="1776">
        <f t="shared" si="19"/>
        <v>1.0311010892238168</v>
      </c>
      <c r="AJ25" s="1584">
        <f>AE25*$AJ$56</f>
        <v>163510.43899470731</v>
      </c>
      <c r="AK25" s="1584">
        <f>AF25*$AK$56</f>
        <v>254720.06854896844</v>
      </c>
      <c r="AL25" s="1584">
        <f t="shared" si="33"/>
        <v>432889.79282583832</v>
      </c>
      <c r="AM25" s="1771">
        <f t="shared" si="21"/>
        <v>1.5846604143243115</v>
      </c>
      <c r="AN25" s="1776">
        <f t="shared" si="22"/>
        <v>1.0350507316366244</v>
      </c>
      <c r="AO25" s="1584">
        <f>AJ25*$AO$56</f>
        <v>167231.9765950373</v>
      </c>
      <c r="AP25" s="1584">
        <f>AK25*$AP$56</f>
        <v>265657.81623080105</v>
      </c>
    </row>
    <row r="26" spans="1:58" hidden="1">
      <c r="A26" s="5588"/>
      <c r="B26" s="5217"/>
      <c r="C26" s="5218"/>
      <c r="D26" s="5219"/>
      <c r="E26" s="5220"/>
      <c r="F26" s="5221"/>
      <c r="G26" s="5221"/>
      <c r="H26" s="5218"/>
      <c r="I26" s="5222"/>
      <c r="J26" s="5223"/>
      <c r="K26" s="5224">
        <f t="shared" ref="K26:K35" si="37">+F26</f>
        <v>0</v>
      </c>
      <c r="L26" s="5224">
        <f t="shared" si="35"/>
        <v>0</v>
      </c>
      <c r="M26" s="5218"/>
      <c r="N26" s="5222"/>
      <c r="O26" s="5225"/>
      <c r="P26" s="5226"/>
      <c r="Q26" s="5589"/>
      <c r="R26" s="5567"/>
      <c r="S26" s="5227"/>
      <c r="T26" s="5228"/>
      <c r="U26" s="5218"/>
      <c r="V26" s="5224"/>
      <c r="W26" s="5218"/>
      <c r="X26" s="5227"/>
      <c r="Y26" s="5229"/>
      <c r="Z26" s="5230"/>
      <c r="AA26" s="5218"/>
      <c r="AB26" s="1584">
        <f t="shared" si="31"/>
        <v>0</v>
      </c>
      <c r="AC26" s="1771">
        <f t="shared" si="15"/>
        <v>0</v>
      </c>
      <c r="AD26" s="1774" t="e">
        <f t="shared" si="16"/>
        <v>#DIV/0!</v>
      </c>
      <c r="AE26" s="1584">
        <f t="shared" ref="AE26" si="38">Z26*$AE$56</f>
        <v>0</v>
      </c>
      <c r="AF26" s="1584">
        <f t="shared" ref="AF26" si="39">$AF$56*AA26</f>
        <v>0</v>
      </c>
      <c r="AG26" s="1584">
        <f t="shared" si="32"/>
        <v>0</v>
      </c>
      <c r="AH26" s="1775">
        <f t="shared" si="18"/>
        <v>0</v>
      </c>
      <c r="AI26" s="1776" t="e">
        <f t="shared" si="19"/>
        <v>#DIV/0!</v>
      </c>
      <c r="AJ26" s="1584">
        <f t="shared" ref="AJ26" si="40">AE26*$AJ$56</f>
        <v>0</v>
      </c>
      <c r="AK26" s="1584">
        <f t="shared" ref="AK26" si="41">AF26*$AK$56</f>
        <v>0</v>
      </c>
      <c r="AL26" s="1584">
        <f t="shared" si="33"/>
        <v>0</v>
      </c>
      <c r="AM26" s="1771">
        <f t="shared" si="21"/>
        <v>0</v>
      </c>
      <c r="AN26" s="1776" t="e">
        <f t="shared" si="22"/>
        <v>#DIV/0!</v>
      </c>
      <c r="AO26" s="1584">
        <f t="shared" ref="AO26" si="42">AJ26*$AO$56</f>
        <v>0</v>
      </c>
      <c r="AP26" s="1584">
        <f t="shared" ref="AP26" si="43">AK26*$AP$56</f>
        <v>0</v>
      </c>
    </row>
    <row r="27" spans="1:58">
      <c r="A27" s="5587" t="s">
        <v>149</v>
      </c>
      <c r="B27" s="1811" t="s">
        <v>156</v>
      </c>
      <c r="C27" s="1584"/>
      <c r="D27" s="196">
        <f t="shared" si="7"/>
        <v>828538</v>
      </c>
      <c r="E27" s="1766">
        <f t="shared" si="3"/>
        <v>4.3526023080404945</v>
      </c>
      <c r="F27" s="1584">
        <v>828538</v>
      </c>
      <c r="G27" s="1584"/>
      <c r="H27" s="1584">
        <f t="shared" si="34"/>
        <v>921765</v>
      </c>
      <c r="I27" s="1767">
        <f t="shared" si="6"/>
        <v>4.6759580436914083</v>
      </c>
      <c r="J27" s="1768">
        <f t="shared" si="4"/>
        <v>1.1125198844229234</v>
      </c>
      <c r="K27" s="41">
        <f>+F27+93298-(71)</f>
        <v>921765</v>
      </c>
      <c r="L27" s="41">
        <f t="shared" si="35"/>
        <v>0</v>
      </c>
      <c r="M27" s="1584">
        <f t="shared" si="28"/>
        <v>997261</v>
      </c>
      <c r="N27" s="1767">
        <f t="shared" si="10"/>
        <v>4.6660082198256525</v>
      </c>
      <c r="O27" s="1770">
        <f t="shared" si="1"/>
        <v>1.20363942269395</v>
      </c>
      <c r="P27" s="1769">
        <f>+'Phụ lục số 5'!U10</f>
        <v>997261</v>
      </c>
      <c r="Q27" s="5580">
        <f t="shared" ref="Q27" si="44">G27*1</f>
        <v>0</v>
      </c>
      <c r="R27" s="5562">
        <f t="shared" si="29"/>
        <v>1026438.8513223607</v>
      </c>
      <c r="S27" s="1771">
        <f t="shared" si="36"/>
        <v>4.6012100242738132</v>
      </c>
      <c r="T27" s="1772">
        <f t="shared" si="24"/>
        <v>1.029257988954106</v>
      </c>
      <c r="U27" s="1584">
        <f>P27*$U$56</f>
        <v>1026438.8513223607</v>
      </c>
      <c r="V27" s="41"/>
      <c r="W27" s="1584">
        <f t="shared" si="30"/>
        <v>1066148.1089780629</v>
      </c>
      <c r="X27" s="1771">
        <f t="shared" si="12"/>
        <v>4.6237236151825556</v>
      </c>
      <c r="Y27" s="1773">
        <f t="shared" si="13"/>
        <v>1.0386864328104346</v>
      </c>
      <c r="Z27" s="1765">
        <f>U27*$Z$56</f>
        <v>1066148.1089780629</v>
      </c>
      <c r="AA27" s="1584">
        <f>V27*$AA$56</f>
        <v>0</v>
      </c>
      <c r="AB27" s="1584">
        <f t="shared" si="31"/>
        <v>1066137.5031571339</v>
      </c>
      <c r="AC27" s="1771">
        <f t="shared" si="15"/>
        <v>4.4606641199017316</v>
      </c>
      <c r="AD27" s="1774">
        <f t="shared" si="16"/>
        <v>0.99999005220678105</v>
      </c>
      <c r="AE27" s="1584">
        <f>Z27*$AE$56</f>
        <v>1066137.5031571339</v>
      </c>
      <c r="AF27" s="1584">
        <f>$AF$56*AA27</f>
        <v>0</v>
      </c>
      <c r="AG27" s="1584">
        <f t="shared" si="32"/>
        <v>1087083.8926820052</v>
      </c>
      <c r="AH27" s="1775">
        <f t="shared" si="18"/>
        <v>4.2983243677958232</v>
      </c>
      <c r="AI27" s="1776">
        <f t="shared" si="19"/>
        <v>1.0196469868688074</v>
      </c>
      <c r="AJ27" s="1584">
        <f t="shared" ref="AJ27:AJ35" si="45">AE27*$AJ$56</f>
        <v>1087083.8926820052</v>
      </c>
      <c r="AK27" s="1584">
        <f t="shared" ref="AK27:AK35" si="46">AF27*$AK$56</f>
        <v>0</v>
      </c>
      <c r="AL27" s="1584">
        <f t="shared" si="33"/>
        <v>1111826.1880742896</v>
      </c>
      <c r="AM27" s="1771">
        <f t="shared" si="21"/>
        <v>4.0700126846355644</v>
      </c>
      <c r="AN27" s="1776">
        <f t="shared" si="22"/>
        <v>1.022760244686582</v>
      </c>
      <c r="AO27" s="1584">
        <f>AJ27*$AO$56</f>
        <v>1111826.1880742896</v>
      </c>
      <c r="AP27" s="1584">
        <f t="shared" ref="AP27:AP35" si="47">AK27*$AP$56</f>
        <v>0</v>
      </c>
    </row>
    <row r="28" spans="1:58">
      <c r="A28" s="5587" t="s">
        <v>157</v>
      </c>
      <c r="B28" s="1811" t="s">
        <v>158</v>
      </c>
      <c r="C28" s="1584"/>
      <c r="D28" s="196">
        <f t="shared" si="7"/>
        <v>91888</v>
      </c>
      <c r="E28" s="1766">
        <f t="shared" si="3"/>
        <v>0.48272006942496903</v>
      </c>
      <c r="F28" s="1584">
        <v>47888</v>
      </c>
      <c r="G28" s="1584">
        <v>44000</v>
      </c>
      <c r="H28" s="1584">
        <f t="shared" si="34"/>
        <v>97395</v>
      </c>
      <c r="I28" s="1767">
        <f t="shared" si="6"/>
        <v>0.4940683728122946</v>
      </c>
      <c r="J28" s="1768">
        <f t="shared" si="4"/>
        <v>1.0599316559289569</v>
      </c>
      <c r="K28" s="41">
        <f>+F28+3363-(593)</f>
        <v>50658</v>
      </c>
      <c r="L28" s="41">
        <f>+G28+4354-(1617)</f>
        <v>46737</v>
      </c>
      <c r="M28" s="1584">
        <f t="shared" si="28"/>
        <v>103203.79999999999</v>
      </c>
      <c r="N28" s="1767">
        <f t="shared" si="10"/>
        <v>0.48287236652916604</v>
      </c>
      <c r="O28" s="1770">
        <f t="shared" si="1"/>
        <v>1.1231477450809679</v>
      </c>
      <c r="P28" s="1769">
        <f>+'Phụ lục số 5'!V10</f>
        <v>55631</v>
      </c>
      <c r="Q28" s="5580">
        <f>(G28*Q56)</f>
        <v>47572.799999999996</v>
      </c>
      <c r="R28" s="5562">
        <f t="shared" si="29"/>
        <v>105093.80079770779</v>
      </c>
      <c r="S28" s="1771">
        <f t="shared" si="36"/>
        <v>0.47110322168386359</v>
      </c>
      <c r="T28" s="1772">
        <f t="shared" si="24"/>
        <v>1.0183132868916436</v>
      </c>
      <c r="U28" s="1584">
        <f>P28*$U$56</f>
        <v>57258.65118350587</v>
      </c>
      <c r="V28" s="41">
        <f>Q28*$V$56</f>
        <v>47835.149614201924</v>
      </c>
      <c r="W28" s="1584">
        <f t="shared" si="30"/>
        <v>108751.20250499059</v>
      </c>
      <c r="X28" s="1771">
        <f t="shared" si="12"/>
        <v>0.47163756983427862</v>
      </c>
      <c r="Y28" s="1773">
        <f t="shared" si="13"/>
        <v>1.034801307779541</v>
      </c>
      <c r="Z28" s="1765">
        <f>U28*$Z$56</f>
        <v>59473.784145332684</v>
      </c>
      <c r="AA28" s="1584">
        <f>V28*$AA$56</f>
        <v>49277.418359657902</v>
      </c>
      <c r="AB28" s="1584">
        <f t="shared" si="31"/>
        <v>108748.28518311842</v>
      </c>
      <c r="AC28" s="1771">
        <f t="shared" si="15"/>
        <v>0.45499719537178868</v>
      </c>
      <c r="AD28" s="1774">
        <f t="shared" si="16"/>
        <v>0.99997317434837529</v>
      </c>
      <c r="AE28" s="1584">
        <f>Z28*$AE$56</f>
        <v>59473.19251242606</v>
      </c>
      <c r="AF28" s="1584">
        <f>$AF$56*AA28</f>
        <v>49275.092670692371</v>
      </c>
      <c r="AG28" s="1584">
        <f t="shared" si="32"/>
        <v>111818.29632172544</v>
      </c>
      <c r="AH28" s="1775">
        <f t="shared" si="18"/>
        <v>0.44212899398159078</v>
      </c>
      <c r="AI28" s="1776">
        <f t="shared" si="19"/>
        <v>1.0282304326310756</v>
      </c>
      <c r="AJ28" s="1584">
        <f t="shared" si="45"/>
        <v>60641.661544763745</v>
      </c>
      <c r="AK28" s="1584">
        <f t="shared" si="46"/>
        <v>51176.634776961691</v>
      </c>
      <c r="AL28" s="1584">
        <f t="shared" si="33"/>
        <v>115396.05372372002</v>
      </c>
      <c r="AM28" s="1771">
        <f t="shared" si="21"/>
        <v>0.42242520229344133</v>
      </c>
      <c r="AN28" s="1776">
        <f t="shared" si="22"/>
        <v>1.031996171643508</v>
      </c>
      <c r="AO28" s="1584">
        <f>AJ28*$AO$56</f>
        <v>62021.880599723459</v>
      </c>
      <c r="AP28" s="1584">
        <f t="shared" si="47"/>
        <v>53374.173123996552</v>
      </c>
    </row>
    <row r="29" spans="1:58">
      <c r="A29" s="5587" t="s">
        <v>159</v>
      </c>
      <c r="B29" s="1811" t="s">
        <v>160</v>
      </c>
      <c r="C29" s="1584"/>
      <c r="D29" s="196">
        <f t="shared" si="7"/>
        <v>50073</v>
      </c>
      <c r="E29" s="1766">
        <f t="shared" si="3"/>
        <v>0.26305112785474133</v>
      </c>
      <c r="F29" s="1584">
        <v>18073</v>
      </c>
      <c r="G29" s="1584">
        <v>32000</v>
      </c>
      <c r="H29" s="1584">
        <f t="shared" si="34"/>
        <v>50036</v>
      </c>
      <c r="I29" s="1767">
        <f t="shared" si="6"/>
        <v>0.2538241706662146</v>
      </c>
      <c r="J29" s="1768">
        <f t="shared" si="4"/>
        <v>0.99926107882491566</v>
      </c>
      <c r="K29" s="41">
        <f>+F29-(37)</f>
        <v>18036</v>
      </c>
      <c r="L29" s="41">
        <f t="shared" si="35"/>
        <v>32000</v>
      </c>
      <c r="M29" s="1584">
        <f t="shared" si="28"/>
        <v>66992.399999999994</v>
      </c>
      <c r="N29" s="1767">
        <f t="shared" si="10"/>
        <v>0.31344561660974213</v>
      </c>
      <c r="O29" s="1770">
        <f t="shared" si="1"/>
        <v>1.3378946737762865</v>
      </c>
      <c r="P29" s="1769">
        <f>+'Phụ lục số 5'!W10</f>
        <v>32394</v>
      </c>
      <c r="Q29" s="5580">
        <f>(G29*Q56)</f>
        <v>34598.400000000001</v>
      </c>
      <c r="R29" s="5562">
        <f t="shared" si="29"/>
        <v>68130.983013598889</v>
      </c>
      <c r="S29" s="1771">
        <f t="shared" si="36"/>
        <v>0.30541026540639765</v>
      </c>
      <c r="T29" s="1772">
        <f t="shared" si="24"/>
        <v>1.0169957041932949</v>
      </c>
      <c r="U29" s="1584">
        <f>P29*$U$56</f>
        <v>33341.783294179309</v>
      </c>
      <c r="V29" s="41">
        <f>Q29*$V$56</f>
        <v>34789.199719419586</v>
      </c>
      <c r="W29" s="1584">
        <f t="shared" si="30"/>
        <v>70469.780396757211</v>
      </c>
      <c r="X29" s="1771">
        <f t="shared" si="12"/>
        <v>0.30561681349276715</v>
      </c>
      <c r="Y29" s="1773">
        <f t="shared" si="13"/>
        <v>1.0343279559417409</v>
      </c>
      <c r="Z29" s="1765">
        <f>U29*$Z$56</f>
        <v>34631.657953369649</v>
      </c>
      <c r="AA29" s="1584">
        <f>V29*$AA$56</f>
        <v>35838.122443387569</v>
      </c>
      <c r="AB29" s="1584">
        <f t="shared" si="31"/>
        <v>70467.744478028326</v>
      </c>
      <c r="AC29" s="1771">
        <f t="shared" si="15"/>
        <v>0.29483339482263388</v>
      </c>
      <c r="AD29" s="1774">
        <f t="shared" si="16"/>
        <v>0.99997110933626554</v>
      </c>
      <c r="AE29" s="1584">
        <f>Z29*$AE$56</f>
        <v>34631.313444797503</v>
      </c>
      <c r="AF29" s="1584">
        <f>$AF$56*AA29</f>
        <v>35836.431033230816</v>
      </c>
      <c r="AG29" s="1584">
        <f t="shared" si="32"/>
        <v>72531.085152178217</v>
      </c>
      <c r="AH29" s="1775">
        <f t="shared" si="18"/>
        <v>0.28678755414461687</v>
      </c>
      <c r="AI29" s="1776">
        <f t="shared" si="19"/>
        <v>1.0292806402338199</v>
      </c>
      <c r="AJ29" s="1584">
        <f t="shared" si="45"/>
        <v>35311.714405296989</v>
      </c>
      <c r="AK29" s="1584">
        <f t="shared" si="46"/>
        <v>37219.370746881228</v>
      </c>
      <c r="AL29" s="1584">
        <f t="shared" si="33"/>
        <v>74932.998119279917</v>
      </c>
      <c r="AM29" s="1771">
        <f t="shared" si="21"/>
        <v>0.27430389400295746</v>
      </c>
      <c r="AN29" s="1776">
        <f t="shared" si="22"/>
        <v>1.033115635345345</v>
      </c>
      <c r="AO29" s="1584">
        <f>AJ29*$AO$56</f>
        <v>36115.417665464251</v>
      </c>
      <c r="AP29" s="1584">
        <f t="shared" si="47"/>
        <v>38817.580453815674</v>
      </c>
    </row>
    <row r="30" spans="1:58">
      <c r="A30" s="5587" t="s">
        <v>161</v>
      </c>
      <c r="B30" s="1811" t="s">
        <v>162</v>
      </c>
      <c r="C30" s="1584"/>
      <c r="D30" s="196">
        <f t="shared" si="7"/>
        <v>53202</v>
      </c>
      <c r="E30" s="1766">
        <f t="shared" si="3"/>
        <v>0.2794888683347902</v>
      </c>
      <c r="F30" s="1584">
        <v>37202</v>
      </c>
      <c r="G30" s="1584">
        <v>16000</v>
      </c>
      <c r="H30" s="1584">
        <f t="shared" si="34"/>
        <v>52309</v>
      </c>
      <c r="I30" s="1767">
        <f t="shared" si="6"/>
        <v>0.26535471547244027</v>
      </c>
      <c r="J30" s="1768">
        <f t="shared" si="4"/>
        <v>0.98321491673245365</v>
      </c>
      <c r="K30" s="41">
        <f>+F30-(893)</f>
        <v>36309</v>
      </c>
      <c r="L30" s="41">
        <f t="shared" si="35"/>
        <v>16000</v>
      </c>
      <c r="M30" s="1584">
        <f t="shared" si="28"/>
        <v>40914.199999999997</v>
      </c>
      <c r="N30" s="1767">
        <f t="shared" si="10"/>
        <v>0.1914303211572404</v>
      </c>
      <c r="O30" s="1770">
        <f t="shared" si="1"/>
        <v>0.76903499868425995</v>
      </c>
      <c r="P30" s="1769">
        <f>+'Phụ lục số 5'!X10</f>
        <v>23615</v>
      </c>
      <c r="Q30" s="5580">
        <f>(G30*Q56)</f>
        <v>17299.2</v>
      </c>
      <c r="R30" s="5562">
        <f t="shared" si="29"/>
        <v>41700.527268861006</v>
      </c>
      <c r="S30" s="1771">
        <f t="shared" si="36"/>
        <v>0.18693065236160639</v>
      </c>
      <c r="T30" s="1772">
        <f t="shared" si="24"/>
        <v>1.0192189330076358</v>
      </c>
      <c r="U30" s="1584">
        <f>P30*$U$56</f>
        <v>24305.927409151212</v>
      </c>
      <c r="V30" s="41">
        <f>Q30*$V$56</f>
        <v>17394.599859709793</v>
      </c>
      <c r="W30" s="1584">
        <f t="shared" si="30"/>
        <v>43165.298258454422</v>
      </c>
      <c r="X30" s="1771">
        <f t="shared" si="12"/>
        <v>0.18720139090742485</v>
      </c>
      <c r="Y30" s="1773">
        <f t="shared" si="13"/>
        <v>1.0351259584836761</v>
      </c>
      <c r="Z30" s="1765">
        <f>U30*$Z$56</f>
        <v>25246.237036760642</v>
      </c>
      <c r="AA30" s="1584">
        <f>V30*$AA$56</f>
        <v>17919.061221693784</v>
      </c>
      <c r="AB30" s="1584">
        <f t="shared" si="31"/>
        <v>43164.201409030451</v>
      </c>
      <c r="AC30" s="1771">
        <f t="shared" si="15"/>
        <v>0.18059678411021624</v>
      </c>
      <c r="AD30" s="1774">
        <f t="shared" si="16"/>
        <v>0.99997458955530893</v>
      </c>
      <c r="AE30" s="1584">
        <f>Z30*$AE$56</f>
        <v>25245.985892415043</v>
      </c>
      <c r="AF30" s="1584">
        <f>$AF$56*AA30</f>
        <v>17918.215516615408</v>
      </c>
      <c r="AG30" s="1584">
        <f t="shared" si="32"/>
        <v>44351.678819174034</v>
      </c>
      <c r="AH30" s="1775">
        <f t="shared" si="18"/>
        <v>0.17536632002777289</v>
      </c>
      <c r="AI30" s="1776">
        <f t="shared" si="19"/>
        <v>1.0275107003345405</v>
      </c>
      <c r="AJ30" s="1584">
        <f t="shared" si="45"/>
        <v>25741.993445733417</v>
      </c>
      <c r="AK30" s="1584">
        <f t="shared" si="46"/>
        <v>18609.685373440614</v>
      </c>
      <c r="AL30" s="1584">
        <f t="shared" si="33"/>
        <v>45736.677742186541</v>
      </c>
      <c r="AM30" s="1771">
        <f t="shared" si="21"/>
        <v>0.16742622233624729</v>
      </c>
      <c r="AN30" s="1776">
        <f t="shared" si="22"/>
        <v>1.0312276549588861</v>
      </c>
      <c r="AO30" s="1584">
        <f>AJ30*$AO$56</f>
        <v>26327.8875152787</v>
      </c>
      <c r="AP30" s="1584">
        <f t="shared" si="47"/>
        <v>19408.790226907837</v>
      </c>
    </row>
    <row r="31" spans="1:58">
      <c r="A31" s="5587" t="s">
        <v>163</v>
      </c>
      <c r="B31" s="1811" t="s">
        <v>164</v>
      </c>
      <c r="C31" s="1584"/>
      <c r="D31" s="196">
        <f t="shared" si="7"/>
        <v>151965</v>
      </c>
      <c r="E31" s="1766">
        <f t="shared" si="3"/>
        <v>0.79832573731243917</v>
      </c>
      <c r="F31" s="1584">
        <v>67965</v>
      </c>
      <c r="G31" s="1584">
        <v>84000</v>
      </c>
      <c r="H31" s="1584">
        <f t="shared" si="34"/>
        <v>150925</v>
      </c>
      <c r="I31" s="1767">
        <f t="shared" si="6"/>
        <v>0.76561701490523704</v>
      </c>
      <c r="J31" s="1768">
        <f t="shared" si="4"/>
        <v>0.99315631888921796</v>
      </c>
      <c r="K31" s="41">
        <f>+F31+1423-(1142)</f>
        <v>68246</v>
      </c>
      <c r="L31" s="41">
        <f>+G31-(1321)</f>
        <v>82679</v>
      </c>
      <c r="M31" s="1584">
        <f t="shared" si="28"/>
        <v>205900</v>
      </c>
      <c r="N31" s="1767">
        <f t="shared" si="10"/>
        <v>0.96336976224087967</v>
      </c>
      <c r="O31" s="1770">
        <f t="shared" si="1"/>
        <v>1.354917250682723</v>
      </c>
      <c r="P31" s="1769">
        <f>+'Phụ lục số 5'!Y10</f>
        <v>88389</v>
      </c>
      <c r="Q31" s="5580">
        <f>+'Phụ lục số 8.1'!H45</f>
        <v>117511</v>
      </c>
      <c r="R31" s="5562">
        <f t="shared" si="29"/>
        <v>229134.12203563427</v>
      </c>
      <c r="S31" s="1771">
        <f t="shared" si="36"/>
        <v>1.0271378736836521</v>
      </c>
      <c r="T31" s="1772">
        <f t="shared" si="24"/>
        <v>1.112841777734989</v>
      </c>
      <c r="U31" s="1584">
        <f>P31*$U$56+20000</f>
        <v>110975.08438566448</v>
      </c>
      <c r="V31" s="41">
        <f>Q31*$V$56</f>
        <v>118159.03764996979</v>
      </c>
      <c r="W31" s="1584">
        <f t="shared" si="30"/>
        <v>236989.94346349864</v>
      </c>
      <c r="X31" s="1771">
        <f t="shared" si="12"/>
        <v>1.027789655982501</v>
      </c>
      <c r="Y31" s="1773">
        <f t="shared" si="13"/>
        <v>1.0342848169363559</v>
      </c>
      <c r="Z31" s="1765">
        <f>U31*$Z$56</f>
        <v>115268.3145313828</v>
      </c>
      <c r="AA31" s="1584">
        <f>V31*$AA$56</f>
        <v>121721.62893211584</v>
      </c>
      <c r="AB31" s="1584">
        <f t="shared" si="31"/>
        <v>241983.05204407923</v>
      </c>
      <c r="AC31" s="1771">
        <f>AB31/$AB$8*100</f>
        <v>1.0124445624330018</v>
      </c>
      <c r="AD31" s="1774">
        <f t="shared" si="16"/>
        <v>1.0210688627019722</v>
      </c>
      <c r="AE31" s="1584">
        <f>Z31*$AE$56+5000</f>
        <v>120267.16786602515</v>
      </c>
      <c r="AF31" s="1584">
        <f>$AF$56*AA31</f>
        <v>121715.8841780541</v>
      </c>
      <c r="AG31" s="1584">
        <f t="shared" si="32"/>
        <v>249042.99569630407</v>
      </c>
      <c r="AH31" s="1775">
        <f t="shared" si="18"/>
        <v>0.98471478074179164</v>
      </c>
      <c r="AI31" s="1776">
        <f t="shared" si="19"/>
        <v>1.0291753641116106</v>
      </c>
      <c r="AJ31" s="1584">
        <f t="shared" si="45"/>
        <v>122630.0553338376</v>
      </c>
      <c r="AK31" s="1584">
        <f t="shared" si="46"/>
        <v>126412.94036246648</v>
      </c>
      <c r="AL31" s="1584">
        <f t="shared" si="33"/>
        <v>257262.2911373589</v>
      </c>
      <c r="AM31" s="1771">
        <f t="shared" si="21"/>
        <v>0.94174862891203659</v>
      </c>
      <c r="AN31" s="1776">
        <f t="shared" si="22"/>
        <v>1.0330035198061858</v>
      </c>
      <c r="AO31" s="1584">
        <f>AJ31*$AO$56</f>
        <v>125421.14539916485</v>
      </c>
      <c r="AP31" s="1584">
        <f t="shared" si="47"/>
        <v>131841.14573819406</v>
      </c>
    </row>
    <row r="32" spans="1:58">
      <c r="A32" s="5587" t="s">
        <v>165</v>
      </c>
      <c r="B32" s="1811" t="s">
        <v>166</v>
      </c>
      <c r="C32" s="1584"/>
      <c r="D32" s="196">
        <f t="shared" si="7"/>
        <v>2068978.6115313373</v>
      </c>
      <c r="E32" s="1766">
        <f t="shared" si="3"/>
        <v>10.869074296939568</v>
      </c>
      <c r="F32" s="1584">
        <v>545710</v>
      </c>
      <c r="G32" s="1584">
        <v>1523268.6115313373</v>
      </c>
      <c r="H32" s="1584">
        <f t="shared" si="34"/>
        <v>2064372.1115313373</v>
      </c>
      <c r="I32" s="1767">
        <f t="shared" si="6"/>
        <v>10.472210791348308</v>
      </c>
      <c r="J32" s="1768">
        <f t="shared" si="4"/>
        <v>0.99777353909106359</v>
      </c>
      <c r="K32" s="41">
        <f>+F32+9233-(5915)-11175.5</f>
        <v>537852.5</v>
      </c>
      <c r="L32" s="41">
        <f>+G32+9066-(5815)</f>
        <v>1526519.6115313373</v>
      </c>
      <c r="M32" s="1584">
        <f t="shared" ref="M32:M39" si="48">SUM(P32:Q32)</f>
        <v>2529125.4500000002</v>
      </c>
      <c r="N32" s="1767">
        <f t="shared" si="10"/>
        <v>11.833331634015822</v>
      </c>
      <c r="O32" s="1770">
        <f t="shared" si="1"/>
        <v>1.2224028976926393</v>
      </c>
      <c r="P32" s="1769">
        <f>+'Phụ lục số 5'!Z10</f>
        <v>396140.49299999996</v>
      </c>
      <c r="Q32" s="5580">
        <f>'Phụ lục số 8'!C10-Q31-Q23-Q24-Q25-Q26-Q27-Q28-Q29-Q30-Q33-Q34-Q35</f>
        <v>2132984.9570000004</v>
      </c>
      <c r="R32" s="5562">
        <f t="shared" si="29"/>
        <v>2562996.6915600761</v>
      </c>
      <c r="S32" s="1771">
        <f t="shared" si="36"/>
        <v>11.48912675528023</v>
      </c>
      <c r="T32" s="1772">
        <f t="shared" si="24"/>
        <v>1.0133924719155691</v>
      </c>
      <c r="U32" s="1584">
        <f>P32*$U$56-U92+12249.7-123.5</f>
        <v>419856.96716846811</v>
      </c>
      <c r="V32" s="41">
        <f>Q32*$V$56-1608</f>
        <v>2143139.724391608</v>
      </c>
      <c r="W32" s="1584">
        <f t="shared" si="30"/>
        <v>2660010.7692122622</v>
      </c>
      <c r="X32" s="1771">
        <f t="shared" si="12"/>
        <v>11.536065680438888</v>
      </c>
      <c r="Y32" s="1773">
        <f t="shared" si="13"/>
        <v>1.037851815404855</v>
      </c>
      <c r="Z32" s="1765">
        <f>U32*$Z$56+7718-1190</f>
        <v>442627.7355188239</v>
      </c>
      <c r="AA32" s="1584">
        <f>V32*$AA$56+11546.2-1920.3</f>
        <v>2217383.0336934384</v>
      </c>
      <c r="AB32" s="1584">
        <f t="shared" si="31"/>
        <v>2839258.2147966134</v>
      </c>
      <c r="AC32" s="1771">
        <f t="shared" si="15"/>
        <v>11.879309383991208</v>
      </c>
      <c r="AD32" s="1774">
        <f t="shared" si="16"/>
        <v>1.067385984921194</v>
      </c>
      <c r="AE32" s="1584">
        <f>Z32*$AE$56+174356.5-3000</f>
        <v>613979.83234963799</v>
      </c>
      <c r="AF32" s="1584">
        <f>$AF$56*AA32+8000</f>
        <v>2225278.3824469754</v>
      </c>
      <c r="AG32" s="1584">
        <f t="shared" si="32"/>
        <v>2937195.2964937948</v>
      </c>
      <c r="AH32" s="1775">
        <f t="shared" si="18"/>
        <v>11.613655763720931</v>
      </c>
      <c r="AI32" s="1776">
        <f t="shared" si="19"/>
        <v>1.0344938974506752</v>
      </c>
      <c r="AJ32" s="1584">
        <f t="shared" si="45"/>
        <v>626042.68605352391</v>
      </c>
      <c r="AK32" s="1584">
        <f t="shared" si="46"/>
        <v>2311152.610440271</v>
      </c>
      <c r="AL32" s="1584">
        <f t="shared" si="33"/>
        <v>3100685.6907301326</v>
      </c>
      <c r="AM32" s="1771">
        <f t="shared" si="21"/>
        <v>11.350542222968759</v>
      </c>
      <c r="AN32" s="1776">
        <f t="shared" si="22"/>
        <v>1.0556620781844164</v>
      </c>
      <c r="AO32" s="1584">
        <f>AJ32*$AO$56+50000</f>
        <v>690291.57077234716</v>
      </c>
      <c r="AP32" s="1584">
        <f t="shared" si="47"/>
        <v>2410394.1199577856</v>
      </c>
    </row>
    <row r="33" spans="1:55">
      <c r="A33" s="5587" t="s">
        <v>167</v>
      </c>
      <c r="B33" s="1811" t="s">
        <v>168</v>
      </c>
      <c r="C33" s="1584"/>
      <c r="D33" s="196">
        <f t="shared" si="7"/>
        <v>1570458</v>
      </c>
      <c r="E33" s="1766">
        <f t="shared" si="3"/>
        <v>8.2501697151858568</v>
      </c>
      <c r="F33" s="1584">
        <v>515458</v>
      </c>
      <c r="G33" s="1584">
        <v>1055000</v>
      </c>
      <c r="H33" s="1584">
        <f t="shared" si="34"/>
        <v>1842870</v>
      </c>
      <c r="I33" s="1767">
        <f t="shared" si="6"/>
        <v>9.3485680189393019</v>
      </c>
      <c r="J33" s="1768">
        <f t="shared" si="4"/>
        <v>1.1734602262524689</v>
      </c>
      <c r="K33" s="41">
        <f>+F33+55933-(4925)</f>
        <v>566466</v>
      </c>
      <c r="L33" s="41">
        <f>+G33+235533-(14129)</f>
        <v>1276404</v>
      </c>
      <c r="M33" s="1584">
        <f t="shared" si="48"/>
        <v>1849437.5</v>
      </c>
      <c r="N33" s="1767">
        <f t="shared" si="10"/>
        <v>8.6531916690352944</v>
      </c>
      <c r="O33" s="1770">
        <f t="shared" si="1"/>
        <v>1.177642127328461</v>
      </c>
      <c r="P33" s="1769">
        <f>+'Phụ lục số 5'!AA10</f>
        <v>708771.5</v>
      </c>
      <c r="Q33" s="5580">
        <f>(G33*Q56)</f>
        <v>1140666</v>
      </c>
      <c r="R33" s="5562">
        <f t="shared" si="29"/>
        <v>1976361.1569675999</v>
      </c>
      <c r="S33" s="1771">
        <f t="shared" si="36"/>
        <v>8.8594198819631238</v>
      </c>
      <c r="T33" s="1772">
        <f t="shared" si="24"/>
        <v>1.0686282488419316</v>
      </c>
      <c r="U33" s="1584">
        <f>P33*$U$56</f>
        <v>729508.72871798521</v>
      </c>
      <c r="V33" s="41">
        <f>Q33*$V$56+99896</f>
        <v>1246852.4282496145</v>
      </c>
      <c r="W33" s="1584">
        <f t="shared" si="30"/>
        <v>2042176.8642546213</v>
      </c>
      <c r="X33" s="1771">
        <f t="shared" si="12"/>
        <v>8.8566131798371384</v>
      </c>
      <c r="Y33" s="1773">
        <f t="shared" si="13"/>
        <v>1.0333014576080846</v>
      </c>
      <c r="Z33" s="1765">
        <f>U33*$Z$56</f>
        <v>757730.81913615915</v>
      </c>
      <c r="AA33" s="1584">
        <f>V33*$AA$56</f>
        <v>1284446.0451184623</v>
      </c>
      <c r="AB33" s="1584">
        <f t="shared" si="31"/>
        <v>2062108.7059999569</v>
      </c>
      <c r="AC33" s="1771">
        <f t="shared" si="15"/>
        <v>8.627756071756238</v>
      </c>
      <c r="AD33" s="1774">
        <f t="shared" si="16"/>
        <v>1.0097600957557662</v>
      </c>
      <c r="AE33" s="1584">
        <f>Z33*$AE$56</f>
        <v>757723.28138665471</v>
      </c>
      <c r="AF33" s="1584">
        <f>$AF$56*AA33+20000</f>
        <v>1304385.4246133021</v>
      </c>
      <c r="AG33" s="1584">
        <f t="shared" si="32"/>
        <v>2127332.3498541745</v>
      </c>
      <c r="AH33" s="1775">
        <f t="shared" si="18"/>
        <v>8.4114616538186073</v>
      </c>
      <c r="AI33" s="1776">
        <f t="shared" si="19"/>
        <v>1.0316295856103228</v>
      </c>
      <c r="AJ33" s="1584">
        <f t="shared" si="45"/>
        <v>772610.26074624795</v>
      </c>
      <c r="AK33" s="1584">
        <f t="shared" si="46"/>
        <v>1354722.0891079267</v>
      </c>
      <c r="AL33" s="1584">
        <f t="shared" si="33"/>
        <v>2253089.2762707192</v>
      </c>
      <c r="AM33" s="1771">
        <f t="shared" si="21"/>
        <v>8.2477837205121372</v>
      </c>
      <c r="AN33" s="1776">
        <f t="shared" si="22"/>
        <v>1.059114847017282</v>
      </c>
      <c r="AO33" s="1584">
        <f>AJ33*$AO$56+50000</f>
        <v>840195.05932819645</v>
      </c>
      <c r="AP33" s="1584">
        <f t="shared" si="47"/>
        <v>1412894.2169425227</v>
      </c>
    </row>
    <row r="34" spans="1:55">
      <c r="A34" s="5587" t="s">
        <v>169</v>
      </c>
      <c r="B34" s="1811" t="s">
        <v>170</v>
      </c>
      <c r="C34" s="1584"/>
      <c r="D34" s="196">
        <f t="shared" si="7"/>
        <v>601385.4</v>
      </c>
      <c r="E34" s="1766">
        <f t="shared" si="3"/>
        <v>3.1592895921030246</v>
      </c>
      <c r="F34" s="1584">
        <v>77385.399999999994</v>
      </c>
      <c r="G34" s="1584">
        <v>524000</v>
      </c>
      <c r="H34" s="1584">
        <f t="shared" si="34"/>
        <v>602400.4</v>
      </c>
      <c r="I34" s="1767">
        <f t="shared" si="6"/>
        <v>3.0558754084858095</v>
      </c>
      <c r="J34" s="1768">
        <f t="shared" si="4"/>
        <v>1.0016877696066449</v>
      </c>
      <c r="K34" s="41">
        <f>+F34+1443-(199)+68</f>
        <v>78697.399999999994</v>
      </c>
      <c r="L34" s="41">
        <f>+G34-(297)</f>
        <v>523703</v>
      </c>
      <c r="M34" s="1584">
        <f t="shared" si="48"/>
        <v>634621.89999999991</v>
      </c>
      <c r="N34" s="1767">
        <f t="shared" si="10"/>
        <v>2.9692838704024052</v>
      </c>
      <c r="O34" s="1770">
        <f t="shared" si="1"/>
        <v>1.0552665561884274</v>
      </c>
      <c r="P34" s="1769">
        <f>+'Phụ lục số 5'!AB10</f>
        <v>68073.100000000006</v>
      </c>
      <c r="Q34" s="5580">
        <f>(G34*Q56)</f>
        <v>566548.79999999993</v>
      </c>
      <c r="R34" s="5562">
        <f t="shared" si="29"/>
        <v>639737.92741336743</v>
      </c>
      <c r="S34" s="1771">
        <f t="shared" si="36"/>
        <v>2.8677485860266705</v>
      </c>
      <c r="T34" s="1772">
        <f t="shared" si="24"/>
        <v>1.0080615361892924</v>
      </c>
      <c r="U34" s="1584">
        <f>P34*$U$56</f>
        <v>70064.782007871763</v>
      </c>
      <c r="V34" s="41">
        <f>Q34*$V$56</f>
        <v>569673.14540549566</v>
      </c>
      <c r="W34" s="1584">
        <f t="shared" si="30"/>
        <v>659624.59349986853</v>
      </c>
      <c r="X34" s="1771">
        <f t="shared" si="12"/>
        <v>2.8606924164073071</v>
      </c>
      <c r="Y34" s="1773">
        <f t="shared" si="13"/>
        <v>1.0310856449716967</v>
      </c>
      <c r="Z34" s="1765">
        <f>U34*$Z$56</f>
        <v>72775.338489397036</v>
      </c>
      <c r="AA34" s="1584">
        <f>V34*$AA$56</f>
        <v>586849.25501047145</v>
      </c>
      <c r="AB34" s="1584">
        <f t="shared" si="31"/>
        <v>659596.17270453298</v>
      </c>
      <c r="AC34" s="1771">
        <f t="shared" si="15"/>
        <v>2.7597162396921804</v>
      </c>
      <c r="AD34" s="1774">
        <f t="shared" si="16"/>
        <v>0.99995691368148543</v>
      </c>
      <c r="AE34" s="1584">
        <f>Z34*$AE$56</f>
        <v>72774.614535378307</v>
      </c>
      <c r="AF34" s="1584">
        <f>$AF$56*AA34</f>
        <v>586821.55816915468</v>
      </c>
      <c r="AG34" s="1584">
        <f t="shared" si="32"/>
        <v>683671.61241171753</v>
      </c>
      <c r="AH34" s="1775">
        <f t="shared" si="18"/>
        <v>2.7032341946944487</v>
      </c>
      <c r="AI34" s="1776">
        <f t="shared" si="19"/>
        <v>1.0365002719898577</v>
      </c>
      <c r="AJ34" s="1584">
        <f t="shared" si="45"/>
        <v>74204.416431537407</v>
      </c>
      <c r="AK34" s="1584">
        <f t="shared" si="46"/>
        <v>609467.19598018017</v>
      </c>
      <c r="AL34" s="1584">
        <f t="shared" si="33"/>
        <v>711531.20703757578</v>
      </c>
      <c r="AM34" s="1771">
        <f t="shared" si="21"/>
        <v>2.6046706483617093</v>
      </c>
      <c r="AN34" s="1776">
        <f t="shared" si="22"/>
        <v>1.0407499655098751</v>
      </c>
      <c r="AO34" s="1584">
        <f>AJ34*$AO$56</f>
        <v>75893.327106344223</v>
      </c>
      <c r="AP34" s="1584">
        <f t="shared" si="47"/>
        <v>635637.87993123161</v>
      </c>
    </row>
    <row r="35" spans="1:55">
      <c r="A35" s="5587" t="s">
        <v>171</v>
      </c>
      <c r="B35" s="1811" t="s">
        <v>172</v>
      </c>
      <c r="C35" s="1584"/>
      <c r="D35" s="196">
        <f t="shared" si="7"/>
        <v>52000</v>
      </c>
      <c r="E35" s="1766">
        <f t="shared" si="3"/>
        <v>0.2731743384348162</v>
      </c>
      <c r="F35" s="1584">
        <v>20000</v>
      </c>
      <c r="G35" s="1584">
        <v>32000</v>
      </c>
      <c r="H35" s="1584">
        <f t="shared" si="34"/>
        <v>50500</v>
      </c>
      <c r="I35" s="1767">
        <f t="shared" si="6"/>
        <v>0.25617796423862493</v>
      </c>
      <c r="J35" s="1768">
        <f t="shared" si="4"/>
        <v>0.97115384615384615</v>
      </c>
      <c r="K35" s="41">
        <f t="shared" si="37"/>
        <v>20000</v>
      </c>
      <c r="L35" s="41">
        <f>+G35-(1500)</f>
        <v>30500</v>
      </c>
      <c r="M35" s="1584">
        <f>SUM(P35:Q35)</f>
        <v>56598.400000000001</v>
      </c>
      <c r="N35" s="1767">
        <f t="shared" si="10"/>
        <v>0.26481392496947159</v>
      </c>
      <c r="O35" s="1770">
        <f t="shared" si="1"/>
        <v>1.0884307692307693</v>
      </c>
      <c r="P35" s="1769">
        <f>+'Phụ lục số 5'!AC10</f>
        <v>22000</v>
      </c>
      <c r="Q35" s="5580">
        <f>(G35*Q56)</f>
        <v>34598.400000000001</v>
      </c>
      <c r="R35" s="5562">
        <f t="shared" si="29"/>
        <v>57432.875476409914</v>
      </c>
      <c r="S35" s="1771">
        <f t="shared" si="36"/>
        <v>0.25745393602792804</v>
      </c>
      <c r="T35" s="1772">
        <f t="shared" si="24"/>
        <v>1.0147437997612991</v>
      </c>
      <c r="U35" s="1584">
        <f>P35*$U$56</f>
        <v>22643.675756990331</v>
      </c>
      <c r="V35" s="41">
        <f>Q35*$V$56</f>
        <v>34789.199719419586</v>
      </c>
      <c r="W35" s="1584">
        <f t="shared" si="30"/>
        <v>59357.801241131972</v>
      </c>
      <c r="X35" s="1771">
        <f t="shared" si="12"/>
        <v>0.25742583514687023</v>
      </c>
      <c r="Y35" s="1773">
        <f t="shared" si="13"/>
        <v>1.0335160959425183</v>
      </c>
      <c r="Z35" s="1765">
        <f>U35*$Z$56</f>
        <v>23519.678797744404</v>
      </c>
      <c r="AA35" s="1584">
        <f>V35*$AA$56</f>
        <v>35838.122443387569</v>
      </c>
      <c r="AB35" s="1584">
        <f t="shared" si="31"/>
        <v>59355.875862073968</v>
      </c>
      <c r="AC35" s="1771">
        <f t="shared" si="15"/>
        <v>0.24834191178834431</v>
      </c>
      <c r="AD35" s="1774">
        <f t="shared" si="16"/>
        <v>0.99996756316747337</v>
      </c>
      <c r="AE35" s="1584">
        <f>Z35*$AE$56</f>
        <v>23519.444828843149</v>
      </c>
      <c r="AF35" s="1584">
        <f>$AF$56*AA35</f>
        <v>35836.431033230816</v>
      </c>
      <c r="AG35" s="1584">
        <f t="shared" si="32"/>
        <v>61200.901799438303</v>
      </c>
      <c r="AH35" s="1775">
        <f t="shared" si="18"/>
        <v>0.24198806486460919</v>
      </c>
      <c r="AI35" s="1776">
        <f t="shared" si="19"/>
        <v>1.0310841329618594</v>
      </c>
      <c r="AJ35" s="1584">
        <f t="shared" si="45"/>
        <v>23981.531052557071</v>
      </c>
      <c r="AK35" s="1584">
        <f t="shared" si="46"/>
        <v>37219.370746881228</v>
      </c>
      <c r="AL35" s="1584">
        <f t="shared" si="33"/>
        <v>63344.937021087811</v>
      </c>
      <c r="AM35" s="1771">
        <f t="shared" si="21"/>
        <v>0.23188399405289223</v>
      </c>
      <c r="AN35" s="1776">
        <f t="shared" si="22"/>
        <v>1.0350327390383189</v>
      </c>
      <c r="AO35" s="1584">
        <f>AJ35*$AO$56</f>
        <v>24527.356567272134</v>
      </c>
      <c r="AP35" s="1584">
        <f t="shared" si="47"/>
        <v>38817.580453815674</v>
      </c>
    </row>
    <row r="36" spans="1:55" s="31" customFormat="1">
      <c r="A36" s="5590">
        <v>3</v>
      </c>
      <c r="B36" s="1813" t="s">
        <v>1444</v>
      </c>
      <c r="C36" s="1570">
        <f t="shared" ref="C36" si="49">SUM(F36:G36)</f>
        <v>3000</v>
      </c>
      <c r="D36" s="195">
        <f t="shared" si="7"/>
        <v>3000</v>
      </c>
      <c r="E36" s="1748">
        <f t="shared" si="3"/>
        <v>1.5760057986624009E-2</v>
      </c>
      <c r="F36" s="1570">
        <v>3000</v>
      </c>
      <c r="G36" s="1570"/>
      <c r="H36" s="1570">
        <f t="shared" si="34"/>
        <v>3000</v>
      </c>
      <c r="I36" s="1749">
        <f t="shared" si="6"/>
        <v>1.5218492925066829E-2</v>
      </c>
      <c r="J36" s="1750">
        <f t="shared" si="4"/>
        <v>1</v>
      </c>
      <c r="K36" s="38">
        <f>F36</f>
        <v>3000</v>
      </c>
      <c r="L36" s="38">
        <f>G36</f>
        <v>0</v>
      </c>
      <c r="M36" s="1570">
        <f t="shared" si="48"/>
        <v>3500</v>
      </c>
      <c r="N36" s="1749">
        <f t="shared" si="10"/>
        <v>1.6375882311039723E-2</v>
      </c>
      <c r="O36" s="1752">
        <f t="shared" si="1"/>
        <v>1.1666666666666667</v>
      </c>
      <c r="P36" s="38">
        <f>+'Phụ lục số 5'!AD10</f>
        <v>3500</v>
      </c>
      <c r="Q36" s="5591"/>
      <c r="R36" s="5560">
        <f t="shared" si="29"/>
        <v>3500</v>
      </c>
      <c r="S36" s="1753">
        <f t="shared" si="36"/>
        <v>1.5689424717518507E-2</v>
      </c>
      <c r="T36" s="1754">
        <f t="shared" si="24"/>
        <v>1</v>
      </c>
      <c r="U36" s="4766">
        <f>3000+500</f>
        <v>3500</v>
      </c>
      <c r="V36" s="38"/>
      <c r="W36" s="1570">
        <f t="shared" si="30"/>
        <v>3500</v>
      </c>
      <c r="X36" s="1753">
        <f t="shared" si="12"/>
        <v>1.5178972336827478E-2</v>
      </c>
      <c r="Y36" s="1755">
        <f t="shared" si="13"/>
        <v>1</v>
      </c>
      <c r="Z36" s="1570">
        <f>U36</f>
        <v>3500</v>
      </c>
      <c r="AA36" s="1570">
        <f t="shared" ref="AA36:AA37" si="50">V36*1</f>
        <v>0</v>
      </c>
      <c r="AB36" s="1570">
        <f t="shared" si="31"/>
        <v>3500</v>
      </c>
      <c r="AC36" s="1753">
        <f t="shared" si="15"/>
        <v>1.4643818807070911E-2</v>
      </c>
      <c r="AD36" s="1756">
        <f t="shared" si="16"/>
        <v>1</v>
      </c>
      <c r="AE36" s="1570">
        <f>Z36</f>
        <v>3500</v>
      </c>
      <c r="AF36" s="1570"/>
      <c r="AG36" s="1570">
        <f t="shared" si="32"/>
        <v>3500</v>
      </c>
      <c r="AH36" s="1763">
        <f t="shared" si="18"/>
        <v>1.3838982794758514E-2</v>
      </c>
      <c r="AI36" s="1757">
        <f t="shared" si="19"/>
        <v>1</v>
      </c>
      <c r="AJ36" s="1570">
        <f>AE36</f>
        <v>3500</v>
      </c>
      <c r="AK36" s="1570"/>
      <c r="AL36" s="1570">
        <f t="shared" si="33"/>
        <v>3500</v>
      </c>
      <c r="AM36" s="1753">
        <f t="shared" si="21"/>
        <v>1.281229435771543E-2</v>
      </c>
      <c r="AN36" s="1757">
        <f t="shared" si="22"/>
        <v>1</v>
      </c>
      <c r="AO36" s="1570">
        <f>AJ36</f>
        <v>3500</v>
      </c>
      <c r="AP36" s="1570"/>
    </row>
    <row r="37" spans="1:55" s="31" customFormat="1">
      <c r="A37" s="5590">
        <v>4</v>
      </c>
      <c r="B37" s="1813" t="s">
        <v>174</v>
      </c>
      <c r="C37" s="1570">
        <v>1400</v>
      </c>
      <c r="D37" s="195">
        <f t="shared" si="7"/>
        <v>2000</v>
      </c>
      <c r="E37" s="1748">
        <f t="shared" si="3"/>
        <v>1.0506705324416006E-2</v>
      </c>
      <c r="F37" s="1570">
        <v>2000</v>
      </c>
      <c r="G37" s="1570"/>
      <c r="H37" s="1570">
        <f t="shared" ref="H37:H39" si="51">SUM(K37:L37)</f>
        <v>2000</v>
      </c>
      <c r="I37" s="1749">
        <f t="shared" si="6"/>
        <v>1.0145661950044554E-2</v>
      </c>
      <c r="J37" s="1750">
        <f t="shared" si="4"/>
        <v>1</v>
      </c>
      <c r="K37" s="38">
        <f t="shared" ref="K37:L37" si="52">F37</f>
        <v>2000</v>
      </c>
      <c r="L37" s="38">
        <f t="shared" si="52"/>
        <v>0</v>
      </c>
      <c r="M37" s="1570">
        <f t="shared" si="48"/>
        <v>2000</v>
      </c>
      <c r="N37" s="1749">
        <f t="shared" si="10"/>
        <v>9.3576470348798423E-3</v>
      </c>
      <c r="O37" s="1752">
        <f t="shared" si="1"/>
        <v>1</v>
      </c>
      <c r="P37" s="38">
        <f>+'Phụ lục số 5'!AE10</f>
        <v>2000</v>
      </c>
      <c r="Q37" s="5591"/>
      <c r="R37" s="5560">
        <f t="shared" ref="R37:R39" si="53">SUM(U37:V37)</f>
        <v>2000</v>
      </c>
      <c r="S37" s="1753">
        <f t="shared" si="36"/>
        <v>8.9653855528677179E-3</v>
      </c>
      <c r="T37" s="1754">
        <f t="shared" si="24"/>
        <v>1</v>
      </c>
      <c r="U37" s="1779">
        <v>2000</v>
      </c>
      <c r="V37" s="38"/>
      <c r="W37" s="1570">
        <f t="shared" ref="W37:W39" si="54">SUM(Z37:AA37)</f>
        <v>2000</v>
      </c>
      <c r="X37" s="1753">
        <f t="shared" si="12"/>
        <v>8.6736984781871293E-3</v>
      </c>
      <c r="Y37" s="1755">
        <f t="shared" si="13"/>
        <v>1</v>
      </c>
      <c r="Z37" s="1570">
        <f>U37</f>
        <v>2000</v>
      </c>
      <c r="AA37" s="1570">
        <f t="shared" si="50"/>
        <v>0</v>
      </c>
      <c r="AB37" s="1570">
        <f t="shared" ref="AB37:AB39" si="55">SUM(AE37:AF37)</f>
        <v>2000</v>
      </c>
      <c r="AC37" s="1753">
        <f t="shared" si="15"/>
        <v>8.3678964611833776E-3</v>
      </c>
      <c r="AD37" s="1756">
        <f t="shared" si="16"/>
        <v>1</v>
      </c>
      <c r="AE37" s="1570">
        <f>Z37</f>
        <v>2000</v>
      </c>
      <c r="AF37" s="1570"/>
      <c r="AG37" s="1570">
        <f t="shared" ref="AG37:AG39" si="56">SUM(AJ37:AK37)</f>
        <v>2000</v>
      </c>
      <c r="AH37" s="1763">
        <f t="shared" si="18"/>
        <v>7.9079901684334375E-3</v>
      </c>
      <c r="AI37" s="1757">
        <f t="shared" si="19"/>
        <v>1</v>
      </c>
      <c r="AJ37" s="1570">
        <f>AE37</f>
        <v>2000</v>
      </c>
      <c r="AK37" s="1570"/>
      <c r="AL37" s="1570">
        <f t="shared" ref="AL37:AL39" si="57">SUM(AO37:AP37)</f>
        <v>2000</v>
      </c>
      <c r="AM37" s="1753">
        <f t="shared" si="21"/>
        <v>7.3213110615516748E-3</v>
      </c>
      <c r="AN37" s="1757">
        <f t="shared" si="22"/>
        <v>1</v>
      </c>
      <c r="AO37" s="1570">
        <f>AJ37</f>
        <v>2000</v>
      </c>
      <c r="AP37" s="1570"/>
      <c r="BB37" s="31">
        <v>2000</v>
      </c>
      <c r="BC37" s="31">
        <v>0</v>
      </c>
    </row>
    <row r="38" spans="1:55" s="31" customFormat="1">
      <c r="A38" s="5590">
        <v>5</v>
      </c>
      <c r="B38" s="1813" t="s">
        <v>175</v>
      </c>
      <c r="C38" s="1570">
        <v>308869</v>
      </c>
      <c r="D38" s="195">
        <f t="shared" si="7"/>
        <v>327868.79999999999</v>
      </c>
      <c r="E38" s="1748">
        <f t="shared" si="3"/>
        <v>1.7224104333349433</v>
      </c>
      <c r="F38" s="1570">
        <v>152264.29999999999</v>
      </c>
      <c r="G38" s="1570">
        <v>175604.5</v>
      </c>
      <c r="H38" s="1570">
        <f t="shared" si="51"/>
        <v>327868.79999999999</v>
      </c>
      <c r="I38" s="1749">
        <f t="shared" si="6"/>
        <v>1.6632230043833838</v>
      </c>
      <c r="J38" s="1750">
        <f t="shared" si="4"/>
        <v>1</v>
      </c>
      <c r="K38" s="38">
        <f>F38</f>
        <v>152264.29999999999</v>
      </c>
      <c r="L38" s="38">
        <f>G38</f>
        <v>175604.5</v>
      </c>
      <c r="M38" s="1570">
        <f t="shared" si="48"/>
        <v>376400.94999999995</v>
      </c>
      <c r="N38" s="1749">
        <f>M38/$M$8*100</f>
        <v>1.7611136168467274</v>
      </c>
      <c r="O38" s="1752">
        <f>M38/D38</f>
        <v>1.1480230811836929</v>
      </c>
      <c r="P38" s="1779">
        <f>+'Phụ lục số 5'!AF10</f>
        <v>163959.4</v>
      </c>
      <c r="Q38" s="5592">
        <f>+'Phụ lục số 8'!C14</f>
        <v>212441.54999999996</v>
      </c>
      <c r="R38" s="5560">
        <f t="shared" si="53"/>
        <v>382369.62325673946</v>
      </c>
      <c r="S38" s="1753">
        <f t="shared" si="36"/>
        <v>1.714045548100722</v>
      </c>
      <c r="T38" s="1754">
        <f t="shared" si="24"/>
        <v>1.0158572215525479</v>
      </c>
      <c r="U38" s="1570">
        <f>P38*$U$56</f>
        <v>168756.52231412186</v>
      </c>
      <c r="V38" s="38">
        <f>Q38*$V$56</f>
        <v>213613.1009426176</v>
      </c>
      <c r="W38" s="1570">
        <f t="shared" si="54"/>
        <v>395338.82020193478</v>
      </c>
      <c r="X38" s="1753">
        <f t="shared" si="12"/>
        <v>1.7145248615769086</v>
      </c>
      <c r="Y38" s="1755">
        <f t="shared" si="13"/>
        <v>1.0339179583219331</v>
      </c>
      <c r="Z38" s="1760">
        <f>U38*$Z$56</f>
        <v>175285.11017594975</v>
      </c>
      <c r="AA38" s="1570">
        <f>V38*$AA$56</f>
        <v>220053.71002598506</v>
      </c>
      <c r="AB38" s="1570">
        <f t="shared" si="55"/>
        <v>432326.69088304962</v>
      </c>
      <c r="AC38" s="1753">
        <f t="shared" si="15"/>
        <v>1.8088324933576954</v>
      </c>
      <c r="AD38" s="1756">
        <f t="shared" si="16"/>
        <v>1.0935599257928221</v>
      </c>
      <c r="AE38" s="1570">
        <f>Z38*$AE$56+10000</f>
        <v>185283.36647591938</v>
      </c>
      <c r="AF38" s="1570">
        <f>$AF$56*AA38+27000</f>
        <v>247043.32440713025</v>
      </c>
      <c r="AG38" s="1570">
        <f t="shared" si="56"/>
        <v>470500.43426127417</v>
      </c>
      <c r="AH38" s="1763">
        <f t="shared" si="18"/>
        <v>1.8603564041909093</v>
      </c>
      <c r="AI38" s="1757">
        <f t="shared" si="19"/>
        <v>1.08829837292778</v>
      </c>
      <c r="AJ38" s="1570">
        <f>AE38*$AJ$56+10000</f>
        <v>198923.6263440802</v>
      </c>
      <c r="AK38" s="1570">
        <f>AF38*$AK$56+15000</f>
        <v>271576.80791719398</v>
      </c>
      <c r="AL38" s="1570">
        <f t="shared" si="57"/>
        <v>486689.56523710187</v>
      </c>
      <c r="AM38" s="1753">
        <f t="shared" si="21"/>
        <v>1.7816028487560847</v>
      </c>
      <c r="AN38" s="1757">
        <f t="shared" si="22"/>
        <v>1.0344083231320413</v>
      </c>
      <c r="AO38" s="1570">
        <f>AJ38*$AO$56</f>
        <v>203451.17675361366</v>
      </c>
      <c r="AP38" s="1570">
        <f>AK38*$AP$56</f>
        <v>283238.38848348818</v>
      </c>
    </row>
    <row r="39" spans="1:55" s="31" customFormat="1">
      <c r="A39" s="5590">
        <v>6</v>
      </c>
      <c r="B39" s="1813" t="s">
        <v>1419</v>
      </c>
      <c r="C39" s="1570"/>
      <c r="D39" s="195">
        <f t="shared" si="7"/>
        <v>717399.2</v>
      </c>
      <c r="E39" s="1748">
        <f t="shared" si="3"/>
        <v>3.7687509971858915</v>
      </c>
      <c r="F39" s="1570">
        <v>79139.200000000012</v>
      </c>
      <c r="G39" s="1570">
        <f>638260</f>
        <v>638260</v>
      </c>
      <c r="H39" s="1570">
        <f t="shared" si="51"/>
        <v>0.40000000001455194</v>
      </c>
      <c r="I39" s="1749">
        <f t="shared" si="6"/>
        <v>2.0291323900827299E-6</v>
      </c>
      <c r="J39" s="1750">
        <f t="shared" si="4"/>
        <v>5.5756962095100188E-7</v>
      </c>
      <c r="K39" s="38">
        <f>F39-79139.2+0.4</f>
        <v>0.40000000001455194</v>
      </c>
      <c r="L39" s="38">
        <f>G39-623068-15192</f>
        <v>0</v>
      </c>
      <c r="M39" s="1570">
        <f t="shared" si="48"/>
        <v>519900</v>
      </c>
      <c r="N39" s="1749">
        <f t="shared" si="10"/>
        <v>2.4325203467170149</v>
      </c>
      <c r="O39" s="1752">
        <f t="shared" si="1"/>
        <v>0.72470111480470012</v>
      </c>
      <c r="P39" s="1570">
        <f>'Phụ lục số 5'!AG10</f>
        <v>0</v>
      </c>
      <c r="Q39" s="1837">
        <f>+'Phụ lục số 8'!C15</f>
        <v>519900</v>
      </c>
      <c r="R39" s="5560">
        <f t="shared" si="53"/>
        <v>626117.15251171635</v>
      </c>
      <c r="S39" s="1753">
        <f t="shared" si="36"/>
        <v>2.8066908367656076</v>
      </c>
      <c r="T39" s="1754">
        <f t="shared" si="24"/>
        <v>1.2043030438771232</v>
      </c>
      <c r="U39" s="5329">
        <f>+P39+'Phụ lục số 3-CĐC'!M87+38320.37528</f>
        <v>202308.50969414107</v>
      </c>
      <c r="V39" s="5329">
        <f>+Q39+'Phụ lục số 3-CĐC'!N87-122816.112</f>
        <v>423808.64281757525</v>
      </c>
      <c r="W39" s="1570">
        <f t="shared" si="54"/>
        <v>789623.5261911191</v>
      </c>
      <c r="X39" s="1753">
        <f t="shared" si="12"/>
        <v>3.4244781887323326</v>
      </c>
      <c r="Y39" s="1755">
        <f t="shared" si="13"/>
        <v>1.2611434186453518</v>
      </c>
      <c r="Z39" s="5313">
        <f>+U39+'Phụ lục số 3-CĐC'!P87-31393.745-0.34</f>
        <v>394092.17037477036</v>
      </c>
      <c r="AA39" s="5313">
        <f>+V39+'Phụ lục số 3-CĐC'!Q87-175197.28+0.476</f>
        <v>395531.35581634869</v>
      </c>
      <c r="AB39" s="1570">
        <f t="shared" si="55"/>
        <v>1134327.0610566589</v>
      </c>
      <c r="AC39" s="1753">
        <f t="shared" si="15"/>
        <v>4.7459657000202782</v>
      </c>
      <c r="AD39" s="1756">
        <f t="shared" si="16"/>
        <v>1.4365416219654381</v>
      </c>
      <c r="AE39" s="1570">
        <f>+Z39+'Phụ lục số 3-CĐC'!S85-18513-0.38</f>
        <v>403102.79576516763</v>
      </c>
      <c r="AF39" s="1570">
        <f>+'Phụ lục số 3-CĐC'!T85+AA39+151262-0.34-72618.98</f>
        <v>731224.26529149117</v>
      </c>
      <c r="AG39" s="1570">
        <f t="shared" si="56"/>
        <v>1555493.1441400896</v>
      </c>
      <c r="AH39" s="1763">
        <f t="shared" si="18"/>
        <v>6.1504122454627215</v>
      </c>
      <c r="AI39" s="1757">
        <f t="shared" si="19"/>
        <v>1.3712915767795422</v>
      </c>
      <c r="AJ39" s="1570">
        <f>+AE39+'Phụ lục số 3-CĐC'!V85-1788.84</f>
        <v>595525.54997767729</v>
      </c>
      <c r="AK39" s="1570">
        <f>+AF39+'Phụ lục số 3-CĐC'!W85+55303.28</f>
        <v>959967.59416241234</v>
      </c>
      <c r="AL39" s="1570">
        <f t="shared" si="57"/>
        <v>2043333.7922617737</v>
      </c>
      <c r="AM39" s="1753">
        <f t="shared" si="21"/>
        <v>7.4799411478642277</v>
      </c>
      <c r="AN39" s="1757">
        <f t="shared" si="22"/>
        <v>1.3136244283425453</v>
      </c>
      <c r="AO39" s="1570">
        <f>+AJ39+'Phụ lục số 3-CĐC'!Y85+61936.97</f>
        <v>800502.38405669678</v>
      </c>
      <c r="AP39" s="1570">
        <f>+'Phụ lục số 3-CĐC'!Z85+AK39-11831.01</f>
        <v>1242831.4082050768</v>
      </c>
    </row>
    <row r="40" spans="1:55" s="31" customFormat="1">
      <c r="A40" s="5593" t="s">
        <v>33</v>
      </c>
      <c r="B40" s="1781" t="s">
        <v>177</v>
      </c>
      <c r="C40" s="1760">
        <f>SUM(C41,C44,C47)</f>
        <v>1988976</v>
      </c>
      <c r="D40" s="1760">
        <f>SUM(D41,D44,D47)</f>
        <v>1988976</v>
      </c>
      <c r="E40" s="1748">
        <f t="shared" si="3"/>
        <v>10.448792364667824</v>
      </c>
      <c r="F40" s="1760">
        <f>SUM(F41,F44,F47)</f>
        <v>1988976</v>
      </c>
      <c r="G40" s="1760">
        <f t="shared" ref="G40" si="58">SUM(G41,G44,G47)</f>
        <v>0</v>
      </c>
      <c r="H40" s="1760">
        <f>SUM(H41,H44,H47)</f>
        <v>2127535</v>
      </c>
      <c r="I40" s="1749">
        <f>H40/$H$8*100</f>
        <v>10.792625448444019</v>
      </c>
      <c r="J40" s="1750">
        <f t="shared" si="4"/>
        <v>1.0696634851300368</v>
      </c>
      <c r="K40" s="1760">
        <f>SUM(K41,K44,K47)</f>
        <v>2127535</v>
      </c>
      <c r="L40" s="1760">
        <f t="shared" ref="L40" si="59">SUM(L41,L44,L47)</f>
        <v>0</v>
      </c>
      <c r="M40" s="1760">
        <f>SUM(M41,M44,M47)</f>
        <v>3036992</v>
      </c>
      <c r="N40" s="1749">
        <f t="shared" si="10"/>
        <v>14.209549591876899</v>
      </c>
      <c r="O40" s="1752">
        <f t="shared" si="1"/>
        <v>1.5269123408226142</v>
      </c>
      <c r="P40" s="1760">
        <f>SUM(P41,P44,P47)</f>
        <v>2782607</v>
      </c>
      <c r="Q40" s="5594">
        <f t="shared" ref="Q40" si="60">SUM(Q41,Q44,Q47)</f>
        <v>254385</v>
      </c>
      <c r="R40" s="5568">
        <f>SUM(R41,R44,R47)</f>
        <v>3036992</v>
      </c>
      <c r="S40" s="1759"/>
      <c r="T40" s="1759"/>
      <c r="U40" s="1760">
        <f>SUM(U41,U44,U47)</f>
        <v>2782607</v>
      </c>
      <c r="V40" s="1760">
        <f t="shared" ref="V40" si="61">SUM(V41,V44,V47)</f>
        <v>254385</v>
      </c>
      <c r="W40" s="1760">
        <f>SUM(W41,W44,W47)</f>
        <v>3036992</v>
      </c>
      <c r="X40" s="1759"/>
      <c r="Y40" s="1782"/>
      <c r="Z40" s="1760">
        <f>SUM(Z41,Z44,Z47)</f>
        <v>2782607</v>
      </c>
      <c r="AA40" s="1760">
        <f t="shared" ref="AA40" si="62">SUM(AA41,AA44,AA47)</f>
        <v>254385</v>
      </c>
      <c r="AB40" s="1760">
        <f>SUM(AB41,AB44,AB47)</f>
        <v>3036992</v>
      </c>
      <c r="AC40" s="1759"/>
      <c r="AD40" s="1759"/>
      <c r="AE40" s="1760">
        <f>SUM(AE41,AE44,AE47)</f>
        <v>2782607</v>
      </c>
      <c r="AF40" s="1760">
        <f t="shared" ref="AF40" si="63">SUM(AF41,AF44,AF47)</f>
        <v>254385</v>
      </c>
      <c r="AG40" s="1760">
        <f>SUM(AG41,AG44,AG47)</f>
        <v>3036992</v>
      </c>
      <c r="AH40" s="1759"/>
      <c r="AI40" s="1759"/>
      <c r="AJ40" s="1760">
        <f>SUM(AJ41,AJ44,AJ47)</f>
        <v>2782607</v>
      </c>
      <c r="AK40" s="1760">
        <f t="shared" ref="AK40" si="64">SUM(AK41,AK44,AK47)</f>
        <v>254385</v>
      </c>
      <c r="AL40" s="1760">
        <f>SUM(AL41,AL44,AL47)</f>
        <v>3036992</v>
      </c>
      <c r="AM40" s="1759"/>
      <c r="AN40" s="1759"/>
      <c r="AO40" s="1760">
        <f>SUM(AO41,AO44,AO47)</f>
        <v>2782607</v>
      </c>
      <c r="AP40" s="1760">
        <f t="shared" ref="AP40" si="65">SUM(AP41,AP44,AP47)</f>
        <v>254385</v>
      </c>
      <c r="BA40" s="1760">
        <f>SUM(BA41,BA44,BA47)</f>
        <v>0</v>
      </c>
    </row>
    <row r="41" spans="1:55">
      <c r="A41" s="4959">
        <v>1</v>
      </c>
      <c r="B41" s="1784" t="s">
        <v>178</v>
      </c>
      <c r="C41" s="1765">
        <f>SUM(C42:C43)</f>
        <v>1814491</v>
      </c>
      <c r="D41" s="1765">
        <f>SUM(D42:D43)</f>
        <v>1814491</v>
      </c>
      <c r="E41" s="1766">
        <f t="shared" si="3"/>
        <v>9.5321611254024621</v>
      </c>
      <c r="F41" s="1765">
        <f>SUM(F42:F43)</f>
        <v>1814491</v>
      </c>
      <c r="G41" s="1765">
        <f t="shared" ref="G41" si="66">SUM(G42:G43)</f>
        <v>0</v>
      </c>
      <c r="H41" s="1765">
        <f>SUM(H42:H43)</f>
        <v>1814491</v>
      </c>
      <c r="I41" s="1767">
        <f t="shared" si="6"/>
        <v>9.2046061486991437</v>
      </c>
      <c r="J41" s="1768">
        <f t="shared" si="4"/>
        <v>1</v>
      </c>
      <c r="K41" s="1765">
        <f>SUM(K42:K43)</f>
        <v>1814491</v>
      </c>
      <c r="L41" s="1765">
        <f t="shared" ref="L41" si="67">SUM(L42:L43)</f>
        <v>0</v>
      </c>
      <c r="M41" s="1765">
        <f>SUM(M42:M43)</f>
        <v>2530494</v>
      </c>
      <c r="N41" s="1767">
        <f t="shared" si="10"/>
        <v>11.839734837940615</v>
      </c>
      <c r="O41" s="1773"/>
      <c r="P41" s="1765">
        <f>SUM(P42:P43)</f>
        <v>2530494</v>
      </c>
      <c r="Q41" s="5595">
        <f t="shared" ref="Q41" si="68">SUM(Q42:Q43)</f>
        <v>0</v>
      </c>
      <c r="R41" s="5569">
        <f>SUM(R42:R43)</f>
        <v>2530494</v>
      </c>
      <c r="S41" s="1785"/>
      <c r="T41" s="1785"/>
      <c r="U41" s="1765">
        <f>SUM(U42:U43)</f>
        <v>2530494</v>
      </c>
      <c r="V41" s="1765">
        <f t="shared" ref="V41" si="69">SUM(V42:V43)</f>
        <v>0</v>
      </c>
      <c r="W41" s="1765">
        <f>SUM(W42:W43)</f>
        <v>2530494</v>
      </c>
      <c r="X41" s="1785"/>
      <c r="Y41" s="1786"/>
      <c r="Z41" s="1765">
        <f>SUM(Z42:Z43)</f>
        <v>2530494</v>
      </c>
      <c r="AA41" s="1765">
        <f t="shared" ref="AA41" si="70">SUM(AA42:AA43)</f>
        <v>0</v>
      </c>
      <c r="AB41" s="1765">
        <f>SUM(AB42:AB43)</f>
        <v>2530494</v>
      </c>
      <c r="AC41" s="1785"/>
      <c r="AD41" s="1785"/>
      <c r="AE41" s="1765">
        <f>SUM(AE42:AE43)</f>
        <v>2530494</v>
      </c>
      <c r="AF41" s="1765">
        <f t="shared" ref="AF41" si="71">SUM(AF42:AF43)</f>
        <v>0</v>
      </c>
      <c r="AG41" s="1765">
        <f>SUM(AG42:AG43)</f>
        <v>2530494</v>
      </c>
      <c r="AH41" s="1785"/>
      <c r="AI41" s="1785"/>
      <c r="AJ41" s="1765">
        <f>SUM(AJ42:AJ43)</f>
        <v>2530494</v>
      </c>
      <c r="AK41" s="1765">
        <f t="shared" ref="AK41" si="72">SUM(AK42:AK43)</f>
        <v>0</v>
      </c>
      <c r="AL41" s="1765">
        <f>SUM(AL42:AL43)</f>
        <v>2530494</v>
      </c>
      <c r="AM41" s="1785"/>
      <c r="AN41" s="1785"/>
      <c r="AO41" s="1765">
        <f>SUM(AO42:AO43)</f>
        <v>2530494</v>
      </c>
      <c r="AP41" s="1765">
        <f t="shared" ref="AP41" si="73">SUM(AP42:AP43)</f>
        <v>0</v>
      </c>
      <c r="BA41" s="1765">
        <f>SUM(BA42:BA43)</f>
        <v>0</v>
      </c>
    </row>
    <row r="42" spans="1:55" s="4954" customFormat="1" hidden="1">
      <c r="A42" s="5596" t="s">
        <v>99</v>
      </c>
      <c r="B42" s="5231" t="s">
        <v>100</v>
      </c>
      <c r="C42" s="4941">
        <f>SUM(F42:G42)</f>
        <v>1681570</v>
      </c>
      <c r="D42" s="1620">
        <f t="shared" ref="D42:D53" si="74">SUM(F42:G42)</f>
        <v>1681570</v>
      </c>
      <c r="E42" s="4942">
        <f t="shared" si="3"/>
        <v>8.8338802361891116</v>
      </c>
      <c r="F42" s="4941">
        <f>'Phụ lục số I'!H60</f>
        <v>1681570</v>
      </c>
      <c r="G42" s="4941"/>
      <c r="H42" s="4941">
        <f>SUM(K42:L42)</f>
        <v>1681570</v>
      </c>
      <c r="I42" s="5250"/>
      <c r="J42" s="4944">
        <f t="shared" si="4"/>
        <v>1</v>
      </c>
      <c r="K42" s="1622">
        <f>F42</f>
        <v>1681570</v>
      </c>
      <c r="L42" s="5251">
        <f>G42</f>
        <v>0</v>
      </c>
      <c r="M42" s="4941">
        <f>SUM(P42:Q42)</f>
        <v>2399255</v>
      </c>
      <c r="N42" s="5250"/>
      <c r="O42" s="5252"/>
      <c r="P42" s="1622">
        <f>+'Phụ lục số 1'!Q63</f>
        <v>2399255</v>
      </c>
      <c r="Q42" s="5597"/>
      <c r="R42" s="5570">
        <f>SUM(U42:V42)</f>
        <v>2399255</v>
      </c>
      <c r="S42" s="5250"/>
      <c r="T42" s="5250"/>
      <c r="U42" s="5251">
        <f>P42</f>
        <v>2399255</v>
      </c>
      <c r="V42" s="5251"/>
      <c r="W42" s="4941">
        <f>SUM(Z42:AA42)</f>
        <v>2399255</v>
      </c>
      <c r="X42" s="5250"/>
      <c r="Y42" s="5253"/>
      <c r="Z42" s="1622">
        <f>U42</f>
        <v>2399255</v>
      </c>
      <c r="AA42" s="1622"/>
      <c r="AB42" s="4941">
        <f>SUM(AE42:AF42)</f>
        <v>2399255</v>
      </c>
      <c r="AC42" s="5250"/>
      <c r="AD42" s="5250"/>
      <c r="AE42" s="1622">
        <f>Z42</f>
        <v>2399255</v>
      </c>
      <c r="AF42" s="1622"/>
      <c r="AG42" s="4941">
        <f>SUM(AJ42:AK42)</f>
        <v>2399255</v>
      </c>
      <c r="AH42" s="5250"/>
      <c r="AI42" s="5250"/>
      <c r="AJ42" s="1622">
        <f>AE42</f>
        <v>2399255</v>
      </c>
      <c r="AK42" s="1622"/>
      <c r="AL42" s="4941">
        <f>SUM(AO42:AP42)</f>
        <v>2399255</v>
      </c>
      <c r="AM42" s="5250"/>
      <c r="AN42" s="5250"/>
      <c r="AO42" s="1622">
        <f>AJ42</f>
        <v>2399255</v>
      </c>
      <c r="AP42" s="1622"/>
      <c r="BA42" s="4941">
        <f>SUM(BD42:BE42)</f>
        <v>0</v>
      </c>
    </row>
    <row r="43" spans="1:55" s="4954" customFormat="1" hidden="1">
      <c r="A43" s="5596" t="s">
        <v>101</v>
      </c>
      <c r="B43" s="5231" t="s">
        <v>102</v>
      </c>
      <c r="C43" s="4941">
        <f>SUM(F43:G43)</f>
        <v>132921</v>
      </c>
      <c r="D43" s="1620">
        <f t="shared" si="74"/>
        <v>132921</v>
      </c>
      <c r="E43" s="4942">
        <f t="shared" si="3"/>
        <v>0.69828088921334996</v>
      </c>
      <c r="F43" s="4941">
        <f>'Phụ lục số I'!H61</f>
        <v>132921</v>
      </c>
      <c r="G43" s="4941"/>
      <c r="H43" s="4941">
        <f>SUM(K43:L43)</f>
        <v>132921</v>
      </c>
      <c r="I43" s="5250"/>
      <c r="J43" s="4944">
        <f t="shared" si="4"/>
        <v>1</v>
      </c>
      <c r="K43" s="5251">
        <f t="shared" ref="K43:L43" si="75">F43</f>
        <v>132921</v>
      </c>
      <c r="L43" s="5251">
        <f t="shared" si="75"/>
        <v>0</v>
      </c>
      <c r="M43" s="4941">
        <f>SUM(P43:Q43)</f>
        <v>131239</v>
      </c>
      <c r="N43" s="5250"/>
      <c r="O43" s="5252"/>
      <c r="P43" s="1622">
        <f>+'Phụ lục số 6'!D18</f>
        <v>131239</v>
      </c>
      <c r="Q43" s="5597"/>
      <c r="R43" s="5570">
        <f>SUM(U43:V43)</f>
        <v>131239</v>
      </c>
      <c r="S43" s="5250"/>
      <c r="T43" s="5250"/>
      <c r="U43" s="5251">
        <f>P43</f>
        <v>131239</v>
      </c>
      <c r="V43" s="5251"/>
      <c r="W43" s="4941">
        <f>SUM(Z43:AA43)</f>
        <v>131239</v>
      </c>
      <c r="X43" s="5250"/>
      <c r="Y43" s="5253"/>
      <c r="Z43" s="1622">
        <f>U43</f>
        <v>131239</v>
      </c>
      <c r="AA43" s="1622"/>
      <c r="AB43" s="4941">
        <f>SUM(AE43:AF43)</f>
        <v>131239</v>
      </c>
      <c r="AC43" s="5250"/>
      <c r="AD43" s="5250"/>
      <c r="AE43" s="1622">
        <f>Z43</f>
        <v>131239</v>
      </c>
      <c r="AF43" s="1622"/>
      <c r="AG43" s="4941">
        <f>SUM(AJ43:AK43)</f>
        <v>131239</v>
      </c>
      <c r="AH43" s="5250"/>
      <c r="AI43" s="5250"/>
      <c r="AJ43" s="1622">
        <f>AE43</f>
        <v>131239</v>
      </c>
      <c r="AK43" s="1622"/>
      <c r="AL43" s="4941">
        <f>SUM(AO43:AP43)</f>
        <v>131239</v>
      </c>
      <c r="AM43" s="5250"/>
      <c r="AN43" s="5250"/>
      <c r="AO43" s="1622">
        <f>AJ43</f>
        <v>131239</v>
      </c>
      <c r="AP43" s="1622"/>
      <c r="BA43" s="4941">
        <f>SUM(BD43:BE43)</f>
        <v>0</v>
      </c>
    </row>
    <row r="44" spans="1:55">
      <c r="A44" s="4959">
        <v>2</v>
      </c>
      <c r="B44" s="1784" t="s">
        <v>179</v>
      </c>
      <c r="C44" s="1765">
        <f>SUM(C45:C46)</f>
        <v>174485</v>
      </c>
      <c r="D44" s="1765">
        <f>SUM(D45:D46)</f>
        <v>174485</v>
      </c>
      <c r="E44" s="1766">
        <f t="shared" si="3"/>
        <v>0.9166312392653635</v>
      </c>
      <c r="F44" s="1765">
        <f>SUM(F45:F46)</f>
        <v>174485</v>
      </c>
      <c r="G44" s="1765">
        <f t="shared" ref="G44" si="76">SUM(G45:G46)</f>
        <v>0</v>
      </c>
      <c r="H44" s="1765">
        <f>SUM(H45:H46)</f>
        <v>174485</v>
      </c>
      <c r="I44" s="1767">
        <f t="shared" ref="I44" si="77">H44/$H$8*100</f>
        <v>0.88513291267676186</v>
      </c>
      <c r="J44" s="1768">
        <f t="shared" si="4"/>
        <v>1</v>
      </c>
      <c r="K44" s="1765">
        <f>SUM(K45:K46)</f>
        <v>174485</v>
      </c>
      <c r="L44" s="1765">
        <f t="shared" ref="L44" si="78">SUM(L45:L46)</f>
        <v>0</v>
      </c>
      <c r="M44" s="1765">
        <f>SUM(M45:M46)</f>
        <v>221912</v>
      </c>
      <c r="N44" s="1767">
        <f t="shared" ref="N44" si="79">M44/$M$8*100</f>
        <v>1.0382870844021277</v>
      </c>
      <c r="O44" s="1773"/>
      <c r="P44" s="1765">
        <f>SUM(P45:P46)</f>
        <v>125737</v>
      </c>
      <c r="Q44" s="5595">
        <f t="shared" ref="Q44" si="80">SUM(Q45:Q46)</f>
        <v>96175</v>
      </c>
      <c r="R44" s="5569">
        <f>SUM(R45:R46)</f>
        <v>221912</v>
      </c>
      <c r="S44" s="1785"/>
      <c r="T44" s="1785"/>
      <c r="U44" s="1765">
        <f>SUM(U45:U46)</f>
        <v>125737</v>
      </c>
      <c r="V44" s="1765">
        <f t="shared" ref="V44" si="81">SUM(V45:V46)</f>
        <v>96175</v>
      </c>
      <c r="W44" s="1765">
        <f>SUM(W45:W46)</f>
        <v>221912</v>
      </c>
      <c r="X44" s="1785"/>
      <c r="Y44" s="1786"/>
      <c r="Z44" s="1765">
        <f>SUM(Z45:Z46)</f>
        <v>125737</v>
      </c>
      <c r="AA44" s="1765">
        <f t="shared" ref="AA44" si="82">SUM(AA45:AA46)</f>
        <v>96175</v>
      </c>
      <c r="AB44" s="1765">
        <f>SUM(AB45:AB46)</f>
        <v>221912</v>
      </c>
      <c r="AC44" s="1785"/>
      <c r="AD44" s="1785"/>
      <c r="AE44" s="1765">
        <f>SUM(AE45:AE46)</f>
        <v>125737</v>
      </c>
      <c r="AF44" s="1765">
        <f t="shared" ref="AF44" si="83">SUM(AF45:AF46)</f>
        <v>96175</v>
      </c>
      <c r="AG44" s="1765">
        <f>SUM(AG45:AG46)</f>
        <v>221912</v>
      </c>
      <c r="AH44" s="1785"/>
      <c r="AI44" s="1785"/>
      <c r="AJ44" s="1765">
        <f>SUM(AJ45:AJ46)</f>
        <v>125737</v>
      </c>
      <c r="AK44" s="1765">
        <f t="shared" ref="AK44" si="84">SUM(AK45:AK46)</f>
        <v>96175</v>
      </c>
      <c r="AL44" s="1765">
        <f>SUM(AL45:AL46)</f>
        <v>221912</v>
      </c>
      <c r="AM44" s="1785"/>
      <c r="AN44" s="1785"/>
      <c r="AO44" s="1765">
        <f>SUM(AO45:AO46)</f>
        <v>125737</v>
      </c>
      <c r="AP44" s="1765">
        <f t="shared" ref="AP44" si="85">SUM(AP45:AP46)</f>
        <v>96175</v>
      </c>
      <c r="BA44" s="1765">
        <f>SUM(BA45:BA46)</f>
        <v>0</v>
      </c>
    </row>
    <row r="45" spans="1:55" s="4954" customFormat="1" hidden="1">
      <c r="A45" s="5596" t="s">
        <v>99</v>
      </c>
      <c r="B45" s="5231" t="s">
        <v>103</v>
      </c>
      <c r="C45" s="4941">
        <f>SUM(F45:G45)</f>
        <v>72469</v>
      </c>
      <c r="D45" s="1620">
        <f t="shared" si="74"/>
        <v>72469</v>
      </c>
      <c r="E45" s="4942">
        <f t="shared" si="3"/>
        <v>0.38070521407755181</v>
      </c>
      <c r="F45" s="4941">
        <f>'Phụ lục số I'!H63</f>
        <v>72469</v>
      </c>
      <c r="G45" s="4941"/>
      <c r="H45" s="4941">
        <f>SUM(K45:L45)</f>
        <v>72469</v>
      </c>
      <c r="I45" s="5250"/>
      <c r="J45" s="4944">
        <f t="shared" si="4"/>
        <v>1</v>
      </c>
      <c r="K45" s="5251">
        <f t="shared" ref="K45:L46" si="86">F45</f>
        <v>72469</v>
      </c>
      <c r="L45" s="5251">
        <f t="shared" si="86"/>
        <v>0</v>
      </c>
      <c r="M45" s="4941">
        <f>+'Phụ lục số 6'!E28-'Phụ lục số 6'!E32</f>
        <v>186007</v>
      </c>
      <c r="N45" s="5250"/>
      <c r="O45" s="5252"/>
      <c r="P45" s="1622">
        <f>+M45-Q45</f>
        <v>89832</v>
      </c>
      <c r="Q45" s="5598">
        <f>+'Phụ lục số 8'!C20+'Phụ lục số 8'!C19</f>
        <v>96175</v>
      </c>
      <c r="R45" s="5570">
        <f>SUM(U45:V45)</f>
        <v>186007</v>
      </c>
      <c r="S45" s="5250"/>
      <c r="T45" s="5250"/>
      <c r="U45" s="5251">
        <f>P45</f>
        <v>89832</v>
      </c>
      <c r="V45" s="5251">
        <f>+Q45</f>
        <v>96175</v>
      </c>
      <c r="W45" s="4941">
        <f>SUM(Z45:AA45)</f>
        <v>186007</v>
      </c>
      <c r="X45" s="5250"/>
      <c r="Y45" s="5253"/>
      <c r="Z45" s="1622">
        <f>U45</f>
        <v>89832</v>
      </c>
      <c r="AA45" s="1622">
        <f>+V45</f>
        <v>96175</v>
      </c>
      <c r="AB45" s="4941">
        <f>SUM(AE45:AF45)</f>
        <v>186007</v>
      </c>
      <c r="AC45" s="5250"/>
      <c r="AD45" s="5250"/>
      <c r="AE45" s="1622">
        <f>Z45</f>
        <v>89832</v>
      </c>
      <c r="AF45" s="1622">
        <f>+AA45</f>
        <v>96175</v>
      </c>
      <c r="AG45" s="4941">
        <f>SUM(AJ45:AK45)</f>
        <v>186007</v>
      </c>
      <c r="AH45" s="5250"/>
      <c r="AI45" s="5250"/>
      <c r="AJ45" s="1622">
        <f>AE45</f>
        <v>89832</v>
      </c>
      <c r="AK45" s="1622">
        <f>+AF45</f>
        <v>96175</v>
      </c>
      <c r="AL45" s="4941">
        <f>SUM(AO45:AP45)</f>
        <v>186007</v>
      </c>
      <c r="AM45" s="5250"/>
      <c r="AN45" s="5250"/>
      <c r="AO45" s="1622">
        <f>AJ45</f>
        <v>89832</v>
      </c>
      <c r="AP45" s="1622">
        <f>+AK45</f>
        <v>96175</v>
      </c>
      <c r="BA45" s="4941">
        <f>+'Phụ lục số 6'!AS28-'Phụ lục số 6'!AS32</f>
        <v>0</v>
      </c>
    </row>
    <row r="46" spans="1:55" s="4954" customFormat="1" hidden="1">
      <c r="A46" s="5596" t="s">
        <v>101</v>
      </c>
      <c r="B46" s="5231" t="s">
        <v>102</v>
      </c>
      <c r="C46" s="4941">
        <f>SUM(F46:G46)</f>
        <v>102016</v>
      </c>
      <c r="D46" s="1620">
        <f t="shared" si="74"/>
        <v>102016</v>
      </c>
      <c r="E46" s="4942">
        <f t="shared" si="3"/>
        <v>0.53592602518781163</v>
      </c>
      <c r="F46" s="4941">
        <f>'Phụ lục số I'!H64</f>
        <v>102016</v>
      </c>
      <c r="G46" s="4941"/>
      <c r="H46" s="4941">
        <f>SUM(K46:L46)</f>
        <v>102016</v>
      </c>
      <c r="I46" s="5250"/>
      <c r="J46" s="4944">
        <f t="shared" si="4"/>
        <v>1</v>
      </c>
      <c r="K46" s="5251">
        <f t="shared" si="86"/>
        <v>102016</v>
      </c>
      <c r="L46" s="5251">
        <f t="shared" si="86"/>
        <v>0</v>
      </c>
      <c r="M46" s="4941">
        <f>SUM(P46:Q46)</f>
        <v>35905</v>
      </c>
      <c r="N46" s="5250"/>
      <c r="O46" s="5252"/>
      <c r="P46" s="1622">
        <f>+'Phụ lục số 6'!E18</f>
        <v>35905</v>
      </c>
      <c r="Q46" s="5597"/>
      <c r="R46" s="5570">
        <f>SUM(U46:V46)</f>
        <v>35905</v>
      </c>
      <c r="S46" s="5250"/>
      <c r="T46" s="5250"/>
      <c r="U46" s="5251">
        <f>P46</f>
        <v>35905</v>
      </c>
      <c r="V46" s="5251"/>
      <c r="W46" s="4941">
        <f>SUM(Z46:AA46)</f>
        <v>35905</v>
      </c>
      <c r="X46" s="5250"/>
      <c r="Y46" s="5253"/>
      <c r="Z46" s="1622">
        <f>U46</f>
        <v>35905</v>
      </c>
      <c r="AA46" s="1622"/>
      <c r="AB46" s="4941">
        <f>SUM(AE46:AF46)</f>
        <v>35905</v>
      </c>
      <c r="AC46" s="5250"/>
      <c r="AD46" s="5250"/>
      <c r="AE46" s="1622">
        <f>Z46</f>
        <v>35905</v>
      </c>
      <c r="AF46" s="1622"/>
      <c r="AG46" s="4941">
        <f>SUM(AJ46:AK46)</f>
        <v>35905</v>
      </c>
      <c r="AH46" s="5250"/>
      <c r="AI46" s="5250"/>
      <c r="AJ46" s="1622">
        <f>AE46</f>
        <v>35905</v>
      </c>
      <c r="AK46" s="1622"/>
      <c r="AL46" s="4941">
        <f>SUM(AO46:AP46)</f>
        <v>35905</v>
      </c>
      <c r="AM46" s="5250"/>
      <c r="AN46" s="5250"/>
      <c r="AO46" s="1622">
        <f>AJ46</f>
        <v>35905</v>
      </c>
      <c r="AP46" s="1622"/>
      <c r="BA46" s="4941">
        <f>SUM(BD46:BE46)</f>
        <v>0</v>
      </c>
    </row>
    <row r="47" spans="1:55">
      <c r="A47" s="4959">
        <v>3</v>
      </c>
      <c r="B47" s="1784" t="s">
        <v>180</v>
      </c>
      <c r="C47" s="1765">
        <f>SUM(C48:C49)</f>
        <v>0</v>
      </c>
      <c r="D47" s="1765">
        <f>SUM(D48:D49)</f>
        <v>0</v>
      </c>
      <c r="E47" s="1785"/>
      <c r="F47" s="1765">
        <f>SUM(F48:F49)</f>
        <v>0</v>
      </c>
      <c r="G47" s="1765">
        <f>SUM(G48:G49)</f>
        <v>0</v>
      </c>
      <c r="H47" s="1765">
        <f>SUM(H48:H49)</f>
        <v>138559</v>
      </c>
      <c r="I47" s="1767">
        <f t="shared" ref="I47" si="87">H47/$H$8*100</f>
        <v>0.70288638706811157</v>
      </c>
      <c r="J47" s="2199" t="e">
        <f t="shared" si="4"/>
        <v>#DIV/0!</v>
      </c>
      <c r="K47" s="1765">
        <f>SUM(K48:K49)</f>
        <v>138559</v>
      </c>
      <c r="L47" s="1765">
        <f>SUM(L48:L49)</f>
        <v>0</v>
      </c>
      <c r="M47" s="1765">
        <f>SUM(M48:M49)</f>
        <v>284586</v>
      </c>
      <c r="N47" s="1767">
        <f t="shared" ref="N47" si="88">M47/$M$8*100</f>
        <v>1.3315276695341574</v>
      </c>
      <c r="O47" s="1773"/>
      <c r="P47" s="1765">
        <f>SUM(P48:P49)</f>
        <v>126376</v>
      </c>
      <c r="Q47" s="5595">
        <f>SUM(Q48:Q49)</f>
        <v>158210</v>
      </c>
      <c r="R47" s="5569">
        <f>SUM(R48:R49)</f>
        <v>284586</v>
      </c>
      <c r="S47" s="1785"/>
      <c r="T47" s="1785"/>
      <c r="U47" s="1765">
        <f>SUM(U48:U49)</f>
        <v>126376</v>
      </c>
      <c r="V47" s="1765">
        <f>SUM(V48:V49)</f>
        <v>158210</v>
      </c>
      <c r="W47" s="1765">
        <f>SUM(W48:W49)</f>
        <v>284586</v>
      </c>
      <c r="X47" s="1785"/>
      <c r="Y47" s="1786"/>
      <c r="Z47" s="1765">
        <f>SUM(Z48:Z49)</f>
        <v>126376</v>
      </c>
      <c r="AA47" s="1765">
        <f>SUM(AA48:AA49)</f>
        <v>158210</v>
      </c>
      <c r="AB47" s="1765">
        <f>SUM(AB48:AB49)</f>
        <v>284586</v>
      </c>
      <c r="AC47" s="1785"/>
      <c r="AD47" s="1785"/>
      <c r="AE47" s="1765">
        <f>SUM(AE48:AE49)</f>
        <v>126376</v>
      </c>
      <c r="AF47" s="1765">
        <f>SUM(AF48:AF49)</f>
        <v>158210</v>
      </c>
      <c r="AG47" s="1765">
        <f>SUM(AG48:AG49)</f>
        <v>284586</v>
      </c>
      <c r="AH47" s="1785"/>
      <c r="AI47" s="1785"/>
      <c r="AJ47" s="1765">
        <f>SUM(AJ48:AJ49)</f>
        <v>126376</v>
      </c>
      <c r="AK47" s="1765">
        <f>SUM(AK48:AK49)</f>
        <v>158210</v>
      </c>
      <c r="AL47" s="1765">
        <f>SUM(AL48:AL49)</f>
        <v>284586</v>
      </c>
      <c r="AM47" s="1785"/>
      <c r="AN47" s="1785"/>
      <c r="AO47" s="1765">
        <f>SUM(AO48:AO49)</f>
        <v>126376</v>
      </c>
      <c r="AP47" s="1765">
        <f>SUM(AP48:AP49)</f>
        <v>158210</v>
      </c>
      <c r="BA47" s="1765">
        <f>SUM(BA48:BA49)</f>
        <v>0</v>
      </c>
    </row>
    <row r="48" spans="1:55" s="4954" customFormat="1" hidden="1">
      <c r="A48" s="5596" t="s">
        <v>99</v>
      </c>
      <c r="B48" s="5231" t="s">
        <v>104</v>
      </c>
      <c r="C48" s="4941">
        <f>SUM(F48:G48)</f>
        <v>0</v>
      </c>
      <c r="D48" s="1620">
        <f t="shared" si="74"/>
        <v>0</v>
      </c>
      <c r="E48" s="5249"/>
      <c r="F48" s="4941"/>
      <c r="G48" s="4941"/>
      <c r="H48" s="4941">
        <f>SUM(K48:L48)</f>
        <v>0</v>
      </c>
      <c r="I48" s="5250"/>
      <c r="J48" s="4944" t="e">
        <f t="shared" si="4"/>
        <v>#DIV/0!</v>
      </c>
      <c r="K48" s="5251">
        <f t="shared" ref="K48:L49" si="89">F48</f>
        <v>0</v>
      </c>
      <c r="L48" s="5251">
        <f t="shared" si="89"/>
        <v>0</v>
      </c>
      <c r="M48" s="4941">
        <f>SUM(P48:Q48)</f>
        <v>0</v>
      </c>
      <c r="N48" s="5250"/>
      <c r="O48" s="5252"/>
      <c r="P48" s="5250"/>
      <c r="Q48" s="5597"/>
      <c r="R48" s="5570">
        <f>SUM(U48:V48)</f>
        <v>0</v>
      </c>
      <c r="S48" s="5250"/>
      <c r="T48" s="5250"/>
      <c r="U48" s="5251">
        <f>P48</f>
        <v>0</v>
      </c>
      <c r="V48" s="5250"/>
      <c r="W48" s="4941">
        <f>SUM(Z48:AA48)</f>
        <v>0</v>
      </c>
      <c r="X48" s="5250"/>
      <c r="Y48" s="5253"/>
      <c r="Z48" s="1622">
        <f>U48</f>
        <v>0</v>
      </c>
      <c r="AA48" s="1622"/>
      <c r="AB48" s="4941">
        <f>SUM(AE48:AF48)</f>
        <v>0</v>
      </c>
      <c r="AC48" s="5250"/>
      <c r="AD48" s="5250"/>
      <c r="AE48" s="5251">
        <f>Z48</f>
        <v>0</v>
      </c>
      <c r="AF48" s="5251"/>
      <c r="AG48" s="4941">
        <f>SUM(AJ48:AK48)</f>
        <v>0</v>
      </c>
      <c r="AH48" s="5250"/>
      <c r="AI48" s="5250"/>
      <c r="AJ48" s="5251">
        <f>AE48</f>
        <v>0</v>
      </c>
      <c r="AK48" s="5251"/>
      <c r="AL48" s="4941">
        <f>SUM(AO48:AP48)</f>
        <v>0</v>
      </c>
      <c r="AM48" s="5250"/>
      <c r="AN48" s="5250"/>
      <c r="AO48" s="5251">
        <f>AJ48</f>
        <v>0</v>
      </c>
      <c r="AP48" s="5251"/>
      <c r="BA48" s="4941">
        <f>SUM(BD48:BE48)</f>
        <v>0</v>
      </c>
    </row>
    <row r="49" spans="1:53" s="4954" customFormat="1" hidden="1">
      <c r="A49" s="5596" t="s">
        <v>101</v>
      </c>
      <c r="B49" s="5231" t="s">
        <v>105</v>
      </c>
      <c r="C49" s="4941">
        <f t="shared" ref="C49" si="90">SUM(F49:G49)</f>
        <v>0</v>
      </c>
      <c r="D49" s="1620">
        <f t="shared" si="74"/>
        <v>0</v>
      </c>
      <c r="E49" s="5249"/>
      <c r="F49" s="4941"/>
      <c r="G49" s="4941"/>
      <c r="H49" s="4941">
        <f>SUM(K49:L49)</f>
        <v>138559</v>
      </c>
      <c r="I49" s="5250"/>
      <c r="J49" s="4944" t="e">
        <f t="shared" si="4"/>
        <v>#DIV/0!</v>
      </c>
      <c r="K49" s="5251">
        <f>'Phụ lục số I'!O67</f>
        <v>138559</v>
      </c>
      <c r="L49" s="5251">
        <f t="shared" si="89"/>
        <v>0</v>
      </c>
      <c r="M49" s="4941">
        <f>+'Phụ lục số 6'!E32</f>
        <v>284586</v>
      </c>
      <c r="N49" s="5250"/>
      <c r="O49" s="5252"/>
      <c r="P49" s="5251">
        <f>+M49-Q49</f>
        <v>126376</v>
      </c>
      <c r="Q49" s="5598">
        <f>+'Phụ lục số 8'!C21</f>
        <v>158210</v>
      </c>
      <c r="R49" s="5570">
        <f>SUM(U49:V49)</f>
        <v>284586</v>
      </c>
      <c r="S49" s="5250"/>
      <c r="T49" s="5250"/>
      <c r="U49" s="5251">
        <f>P49</f>
        <v>126376</v>
      </c>
      <c r="V49" s="5251">
        <f>+Q49</f>
        <v>158210</v>
      </c>
      <c r="W49" s="4941">
        <f>SUM(Z49:AA49)</f>
        <v>284586</v>
      </c>
      <c r="X49" s="5250"/>
      <c r="Y49" s="5253"/>
      <c r="Z49" s="1622">
        <f>U49</f>
        <v>126376</v>
      </c>
      <c r="AA49" s="1622">
        <f>+V49</f>
        <v>158210</v>
      </c>
      <c r="AB49" s="4941">
        <f>SUM(AE49:AF49)</f>
        <v>284586</v>
      </c>
      <c r="AC49" s="5250"/>
      <c r="AD49" s="5250"/>
      <c r="AE49" s="1622">
        <f>Z49</f>
        <v>126376</v>
      </c>
      <c r="AF49" s="1622">
        <f>+AA49</f>
        <v>158210</v>
      </c>
      <c r="AG49" s="4941">
        <f>SUM(AJ49:AK49)</f>
        <v>284586</v>
      </c>
      <c r="AH49" s="1622"/>
      <c r="AI49" s="1622"/>
      <c r="AJ49" s="1622">
        <f>AE49</f>
        <v>126376</v>
      </c>
      <c r="AK49" s="1622">
        <f>+AF49</f>
        <v>158210</v>
      </c>
      <c r="AL49" s="4941">
        <f>SUM(AO49:AP49)</f>
        <v>284586</v>
      </c>
      <c r="AM49" s="1622"/>
      <c r="AN49" s="1622"/>
      <c r="AO49" s="1622">
        <f>AJ49</f>
        <v>126376</v>
      </c>
      <c r="AP49" s="1622">
        <f>+AK49</f>
        <v>158210</v>
      </c>
      <c r="BA49" s="4941">
        <f>+'Phụ lục số 6'!AS32</f>
        <v>0</v>
      </c>
    </row>
    <row r="50" spans="1:53" s="31" customFormat="1">
      <c r="A50" s="5593" t="s">
        <v>182</v>
      </c>
      <c r="B50" s="1781" t="s">
        <v>181</v>
      </c>
      <c r="C50" s="1570"/>
      <c r="D50" s="195">
        <f t="shared" si="74"/>
        <v>0</v>
      </c>
      <c r="E50" s="1789"/>
      <c r="F50" s="1570"/>
      <c r="G50" s="1570"/>
      <c r="H50" s="1759"/>
      <c r="I50" s="1759"/>
      <c r="J50" s="2197" t="e">
        <f t="shared" si="4"/>
        <v>#DIV/0!</v>
      </c>
      <c r="K50" s="1759"/>
      <c r="L50" s="1759"/>
      <c r="M50" s="1760">
        <f>SUM(P50:Q50)</f>
        <v>0</v>
      </c>
      <c r="N50" s="1759"/>
      <c r="O50" s="1790"/>
      <c r="P50" s="1759"/>
      <c r="Q50" s="5591"/>
      <c r="R50" s="5568">
        <f>SUM(U50:V50)</f>
        <v>0</v>
      </c>
      <c r="S50" s="1759"/>
      <c r="T50" s="1759"/>
      <c r="U50" s="38">
        <f>P50</f>
        <v>0</v>
      </c>
      <c r="V50" s="1759"/>
      <c r="W50" s="1760">
        <f>SUM(Z50:AA50)</f>
        <v>0</v>
      </c>
      <c r="X50" s="1759"/>
      <c r="Y50" s="1782"/>
      <c r="Z50" s="1570"/>
      <c r="AA50" s="1570"/>
      <c r="AB50" s="1760">
        <f>SUM(AE50:AF50)</f>
        <v>0</v>
      </c>
      <c r="AC50" s="1759"/>
      <c r="AD50" s="1759"/>
      <c r="AE50" s="38"/>
      <c r="AF50" s="38"/>
      <c r="AG50" s="1760">
        <f>SUM(AJ50:AK50)</f>
        <v>0</v>
      </c>
      <c r="AH50" s="1759"/>
      <c r="AI50" s="1759"/>
      <c r="AJ50" s="38">
        <f>AE50</f>
        <v>0</v>
      </c>
      <c r="AK50" s="38"/>
      <c r="AL50" s="1760">
        <f>SUM(AO50:AP50)</f>
        <v>0</v>
      </c>
      <c r="AM50" s="1759"/>
      <c r="AN50" s="1759"/>
      <c r="AO50" s="38">
        <f>AJ50</f>
        <v>0</v>
      </c>
      <c r="AP50" s="38"/>
      <c r="BA50" s="1760">
        <f>SUM(BD50:BE50)</f>
        <v>0</v>
      </c>
    </row>
    <row r="51" spans="1:53" s="31" customFormat="1">
      <c r="A51" s="5590" t="s">
        <v>37</v>
      </c>
      <c r="B51" s="5172" t="s">
        <v>3230</v>
      </c>
      <c r="C51" s="1570"/>
      <c r="D51" s="195">
        <f t="shared" si="74"/>
        <v>0</v>
      </c>
      <c r="E51" s="1789"/>
      <c r="F51" s="1570"/>
      <c r="G51" s="1570"/>
      <c r="H51" s="1759"/>
      <c r="I51" s="1759"/>
      <c r="J51" s="2197" t="e">
        <f t="shared" si="4"/>
        <v>#DIV/0!</v>
      </c>
      <c r="K51" s="1759"/>
      <c r="L51" s="1759"/>
      <c r="M51" s="38">
        <f>+P51+Q51</f>
        <v>5553.7960000000003</v>
      </c>
      <c r="N51" s="38"/>
      <c r="O51" s="38"/>
      <c r="P51" s="5233">
        <f>+'Phụ lục số 5'!AM125</f>
        <v>5553.7960000000003</v>
      </c>
      <c r="Q51" s="5592"/>
      <c r="R51" s="5571"/>
      <c r="S51" s="1759"/>
      <c r="T51" s="1759"/>
      <c r="U51" s="1759"/>
      <c r="V51" s="1759"/>
      <c r="W51" s="1570"/>
      <c r="X51" s="1759"/>
      <c r="Y51" s="1782"/>
      <c r="Z51" s="1570"/>
      <c r="AA51" s="1570"/>
      <c r="AB51" s="38"/>
      <c r="AC51" s="1759"/>
      <c r="AD51" s="1759"/>
      <c r="AE51" s="38"/>
      <c r="AF51" s="38"/>
      <c r="AG51" s="1759"/>
      <c r="AH51" s="1759"/>
      <c r="AI51" s="1759"/>
      <c r="AJ51" s="38"/>
      <c r="AK51" s="38"/>
      <c r="AL51" s="38"/>
      <c r="AM51" s="1759"/>
      <c r="AN51" s="1759"/>
      <c r="AO51" s="38"/>
      <c r="AP51" s="38"/>
      <c r="BA51" s="38">
        <f>+BD51+BE51</f>
        <v>0</v>
      </c>
    </row>
    <row r="52" spans="1:53" s="31" customFormat="1">
      <c r="A52" s="5599" t="s">
        <v>44</v>
      </c>
      <c r="B52" s="5172" t="s">
        <v>3174</v>
      </c>
      <c r="C52" s="5173"/>
      <c r="D52" s="5174"/>
      <c r="E52" s="5175"/>
      <c r="F52" s="5173"/>
      <c r="G52" s="5173"/>
      <c r="H52" s="5176"/>
      <c r="I52" s="5176"/>
      <c r="J52" s="5177"/>
      <c r="K52" s="5176"/>
      <c r="L52" s="5176"/>
      <c r="M52" s="5178">
        <f>+P52+Q52</f>
        <v>186700</v>
      </c>
      <c r="N52" s="5178"/>
      <c r="O52" s="5178"/>
      <c r="P52" s="5234">
        <f>+'Phụ lục số 5'!AN126</f>
        <v>186700</v>
      </c>
      <c r="Q52" s="5600"/>
      <c r="R52" s="5572"/>
      <c r="S52" s="5176"/>
      <c r="T52" s="5176"/>
      <c r="U52" s="5176"/>
      <c r="V52" s="5176"/>
      <c r="W52" s="5173"/>
      <c r="X52" s="5176"/>
      <c r="Y52" s="5179"/>
      <c r="Z52" s="5173"/>
      <c r="AA52" s="5173"/>
      <c r="AB52" s="5178"/>
      <c r="AC52" s="5176"/>
      <c r="AD52" s="5176"/>
      <c r="AE52" s="5178"/>
      <c r="AF52" s="5178"/>
      <c r="AG52" s="5176"/>
      <c r="AH52" s="5176"/>
      <c r="AI52" s="5176"/>
      <c r="AJ52" s="5178"/>
      <c r="AK52" s="5178"/>
      <c r="AL52" s="5178"/>
      <c r="AM52" s="5176"/>
      <c r="AN52" s="5176"/>
      <c r="AO52" s="5178"/>
      <c r="AP52" s="5178"/>
      <c r="BA52" s="5178">
        <f>+BD52+BE52</f>
        <v>0</v>
      </c>
    </row>
    <row r="53" spans="1:53" s="31" customFormat="1" ht="14.4" thickBot="1">
      <c r="A53" s="5601" t="s">
        <v>46</v>
      </c>
      <c r="B53" s="5602" t="s">
        <v>184</v>
      </c>
      <c r="C53" s="5603"/>
      <c r="D53" s="4910">
        <f t="shared" si="74"/>
        <v>0</v>
      </c>
      <c r="E53" s="5604"/>
      <c r="F53" s="5603"/>
      <c r="G53" s="5603"/>
      <c r="H53" s="5605"/>
      <c r="I53" s="5605"/>
      <c r="J53" s="5606" t="e">
        <f t="shared" si="4"/>
        <v>#DIV/0!</v>
      </c>
      <c r="K53" s="5605"/>
      <c r="L53" s="5605"/>
      <c r="M53" s="5605"/>
      <c r="N53" s="5605"/>
      <c r="O53" s="5607"/>
      <c r="P53" s="5605"/>
      <c r="Q53" s="5608"/>
      <c r="R53" s="5573"/>
      <c r="S53" s="1794"/>
      <c r="T53" s="1794"/>
      <c r="U53" s="1794"/>
      <c r="V53" s="1794"/>
      <c r="W53" s="1791"/>
      <c r="X53" s="1794"/>
      <c r="Y53" s="1796"/>
      <c r="Z53" s="1791"/>
      <c r="AA53" s="1791"/>
      <c r="AB53" s="677"/>
      <c r="AC53" s="1794"/>
      <c r="AD53" s="1794"/>
      <c r="AE53" s="677"/>
      <c r="AF53" s="677"/>
      <c r="AG53" s="1794"/>
      <c r="AH53" s="1794"/>
      <c r="AI53" s="1794"/>
      <c r="AJ53" s="677"/>
      <c r="AK53" s="677"/>
      <c r="AL53" s="677"/>
      <c r="AM53" s="1794"/>
      <c r="AN53" s="1794"/>
      <c r="AO53" s="677"/>
      <c r="AP53" s="677"/>
    </row>
    <row r="54" spans="1:53" ht="14.4" thickTop="1">
      <c r="P54" s="32"/>
      <c r="Q54" s="32"/>
    </row>
    <row r="55" spans="1:53" hidden="1">
      <c r="H55" s="32"/>
      <c r="N55" s="5114"/>
      <c r="O55" s="32"/>
      <c r="Q55" s="32"/>
    </row>
    <row r="56" spans="1:53" hidden="1">
      <c r="C56" s="1805">
        <f>1729491+85000</f>
        <v>1814491</v>
      </c>
      <c r="H56" s="1733">
        <f>-'Phụ lục số I'!N93</f>
        <v>285715.06482617627</v>
      </c>
      <c r="I56" s="32">
        <f>925057-G39</f>
        <v>286797</v>
      </c>
      <c r="K56" s="1797"/>
      <c r="L56" s="1797"/>
      <c r="M56" s="32"/>
      <c r="P56" s="1734" t="s">
        <v>117</v>
      </c>
      <c r="Q56" s="5239">
        <v>1.0811999999999999</v>
      </c>
      <c r="U56" s="1797">
        <f>+'Phụ lục số 3-CĐC'!M89</f>
        <v>1.029257988954106</v>
      </c>
      <c r="V56" s="1797">
        <f>+'Phụ lục số 3-CĐC'!N89</f>
        <v>1.0055146977727174</v>
      </c>
      <c r="Z56" s="1797">
        <f>+'Phụ lục số 3-CĐC'!P89</f>
        <v>1.0386864328104346</v>
      </c>
      <c r="AA56" s="1797">
        <f>+'Phụ lục số 3-CĐC'!Q89</f>
        <v>1.0301508149778584</v>
      </c>
      <c r="AE56" s="1797">
        <f>+'Phụ lục số 3-CĐC'!S91+7.8%</f>
        <v>0.99999005220678105</v>
      </c>
      <c r="AF56" s="1797">
        <f>+'Phụ lục số 3-CĐC'!T91+5.95%</f>
        <v>0.99995280416379451</v>
      </c>
      <c r="AJ56" s="1797">
        <f>+'Phụ lục số 3-CĐC'!V91</f>
        <v>1.0196469868688074</v>
      </c>
      <c r="AK56" s="1797">
        <f>+'Phụ lục số 3-CĐC'!W91</f>
        <v>1.0385903303922208</v>
      </c>
      <c r="AO56" s="1797">
        <f>+'Phụ lục số 3-CĐC'!Y91</f>
        <v>1.022760244686582</v>
      </c>
      <c r="AP56" s="1797">
        <f>+'Phụ lục số 3-CĐC'!Z91</f>
        <v>1.042940266717657</v>
      </c>
    </row>
    <row r="57" spans="1:53" hidden="1">
      <c r="C57" s="32">
        <f>+C56+C10</f>
        <v>6504677</v>
      </c>
      <c r="H57" s="1733">
        <f>I56-H56</f>
        <v>1081.935173823731</v>
      </c>
      <c r="K57" s="1733"/>
      <c r="L57" s="32"/>
      <c r="M57" s="1733">
        <f>+'Phụ lục số 1'!T73</f>
        <v>21559594.195999999</v>
      </c>
      <c r="P57" s="1797"/>
      <c r="Q57" s="1734"/>
      <c r="R57" s="32"/>
      <c r="U57" s="1797">
        <v>1.0949</v>
      </c>
      <c r="V57" s="1797">
        <v>0.91590000000000005</v>
      </c>
      <c r="W57" s="32"/>
      <c r="Z57" s="1798">
        <v>1.0082</v>
      </c>
      <c r="AA57" s="1798">
        <v>1.0074000000000001</v>
      </c>
      <c r="AB57" s="1733">
        <f>+'Phụ lục số 1'!AL73</f>
        <v>23900869.343232721</v>
      </c>
      <c r="AE57" s="1797">
        <f>+'Phụ lục số 3-CĐC'!S91</f>
        <v>0.9219900522067811</v>
      </c>
      <c r="AF57" s="1797">
        <f>+'Phụ lục số 3-CĐC'!T91</f>
        <v>0.94045280416379451</v>
      </c>
      <c r="AG57" s="32">
        <f>+'Phụ lục số 1'!AR73</f>
        <v>25290876.164265122</v>
      </c>
      <c r="AL57" s="32">
        <f>+'Phụ lục số 1'!AX73</f>
        <v>27317511.623591922</v>
      </c>
    </row>
    <row r="58" spans="1:53" hidden="1">
      <c r="H58" s="32"/>
      <c r="M58" s="1733">
        <f>+M52</f>
        <v>186700</v>
      </c>
      <c r="R58" s="32"/>
      <c r="W58" s="32"/>
      <c r="AB58" s="1733">
        <f>+AB57-AB8</f>
        <v>-4.2503327131271362E-4</v>
      </c>
      <c r="AG58" s="32">
        <f>AG57-AG8</f>
        <v>7.3439814150333405E-3</v>
      </c>
      <c r="AL58" s="32">
        <f>AL57-AL8</f>
        <v>3.2603442668914795E-3</v>
      </c>
    </row>
    <row r="59" spans="1:53" hidden="1">
      <c r="C59" s="32">
        <f>+C10+C41</f>
        <v>6504677</v>
      </c>
      <c r="D59" s="32">
        <f>+D10+D41</f>
        <v>7145731.1620000005</v>
      </c>
      <c r="H59" s="1733">
        <f>+'Phụ lục số 1'!N73</f>
        <v>19350818.14563527</v>
      </c>
      <c r="M59" s="1733">
        <f>+M57-M58</f>
        <v>21372894.195999999</v>
      </c>
      <c r="R59" s="32"/>
      <c r="W59" s="32"/>
      <c r="AB59" s="1733">
        <f>+'Phụ lục số 1'!AL71+'Phụ lục số 1'!AL60+'Phụ lục số 1'!AL58+'Phụ lục số 1'!AL10</f>
        <v>20863877.343232721</v>
      </c>
      <c r="AG59" s="32">
        <f>+'Phụ lục số 1'!AR71+'Phụ lục số 1'!AR60+'Phụ lục số 1'!AR58+'Phụ lục số 1'!AR10</f>
        <v>22253884.164265122</v>
      </c>
      <c r="AL59" s="32">
        <f>'Phụ lục số I'!AX70-'Phụ lục số I'!AX59-'Phụ lục số I'!AX62</f>
        <v>25080919.617009353</v>
      </c>
    </row>
    <row r="60" spans="1:53" hidden="1">
      <c r="C60" s="32">
        <f>+C42+C10</f>
        <v>6371756</v>
      </c>
      <c r="D60" s="30">
        <v>251866</v>
      </c>
      <c r="H60" s="32">
        <f>+H59-H8</f>
        <v>-362040.51107581332</v>
      </c>
      <c r="L60" s="30" t="s">
        <v>117</v>
      </c>
      <c r="M60" s="1733">
        <f>+M59-M8</f>
        <v>0</v>
      </c>
      <c r="R60" s="32"/>
      <c r="W60" s="32"/>
      <c r="AB60" s="1733">
        <f>+AB59-AB9</f>
        <v>-4.2503327131271362E-4</v>
      </c>
      <c r="AG60" s="32">
        <f>AG59-AG9</f>
        <v>7.3439814150333405E-3</v>
      </c>
      <c r="AL60" s="32">
        <f>AL59-AL9</f>
        <v>800399.99667777494</v>
      </c>
    </row>
    <row r="61" spans="1:53" hidden="1">
      <c r="C61" s="32">
        <f>+C44</f>
        <v>174485</v>
      </c>
      <c r="D61" s="32">
        <f>+D60+D59</f>
        <v>7397597.1620000005</v>
      </c>
      <c r="E61" s="1732">
        <f>+D61/C59</f>
        <v>1.1372735590099248</v>
      </c>
      <c r="L61" s="30" t="s">
        <v>3218</v>
      </c>
      <c r="M61" s="1733">
        <v>17358348</v>
      </c>
    </row>
    <row r="62" spans="1:53" hidden="1">
      <c r="C62" s="32">
        <f>+C61+C60</f>
        <v>6546241</v>
      </c>
      <c r="H62" s="32">
        <v>657</v>
      </c>
      <c r="L62" s="30" t="s">
        <v>2372</v>
      </c>
      <c r="M62" s="1733">
        <f>+M9</f>
        <v>18330348.400000002</v>
      </c>
      <c r="N62" s="1733">
        <f>+'Phụ lục số 1'!T92</f>
        <v>21559594.196000002</v>
      </c>
      <c r="O62" s="1733">
        <f>+N62-M62</f>
        <v>3229245.7960000001</v>
      </c>
      <c r="P62" s="32">
        <f>+P9</f>
        <v>6833081.4930000007</v>
      </c>
      <c r="AB62" s="32">
        <f>+AB38</f>
        <v>432326.69088304962</v>
      </c>
      <c r="AE62" s="32">
        <f>+AE38</f>
        <v>185283.36647591938</v>
      </c>
      <c r="AF62" s="32">
        <f>+AF38</f>
        <v>247043.32440713025</v>
      </c>
    </row>
    <row r="63" spans="1:53" hidden="1">
      <c r="H63" s="32">
        <f>+H62-172</f>
        <v>485</v>
      </c>
      <c r="K63" s="32"/>
      <c r="M63" s="5140">
        <f>+M62-M61</f>
        <v>972000.40000000224</v>
      </c>
      <c r="N63" s="32"/>
      <c r="O63" s="32"/>
      <c r="P63" s="32">
        <f>+'Phụ lục số 7'!C36</f>
        <v>7078351.9069999997</v>
      </c>
      <c r="Q63" s="32"/>
      <c r="AB63" s="5898">
        <f>+AB62/AB9</f>
        <v>2.0721301403474231E-2</v>
      </c>
      <c r="AC63" s="5898">
        <f t="shared" ref="AC63:AG63" si="91">+AC62/AC9</f>
        <v>0</v>
      </c>
      <c r="AD63" s="5898">
        <f t="shared" si="91"/>
        <v>0</v>
      </c>
      <c r="AE63" s="5898">
        <f t="shared" si="91"/>
        <v>2.2144543421870576E-2</v>
      </c>
      <c r="AF63" s="5898">
        <f t="shared" si="91"/>
        <v>1.9768402323161689E-2</v>
      </c>
      <c r="AG63" s="5898">
        <f t="shared" si="91"/>
        <v>0</v>
      </c>
    </row>
    <row r="64" spans="1:53" hidden="1">
      <c r="K64" s="32"/>
      <c r="L64" s="30" t="s">
        <v>3218</v>
      </c>
      <c r="M64" s="5240">
        <f>+M10</f>
        <v>4666890</v>
      </c>
      <c r="P64" s="5240">
        <f>+P63+P62</f>
        <v>13911433.4</v>
      </c>
      <c r="Q64" s="5155"/>
    </row>
    <row r="65" spans="1:42" hidden="1">
      <c r="A65" s="1799"/>
      <c r="B65" s="31"/>
      <c r="K65" s="32"/>
      <c r="L65" s="30" t="s">
        <v>2372</v>
      </c>
      <c r="M65" s="5240">
        <f>+M10</f>
        <v>4666890</v>
      </c>
      <c r="N65" s="5155">
        <f>+M65/M9</f>
        <v>0.2545990887985522</v>
      </c>
      <c r="O65" s="5155">
        <f>+M65/M8</f>
        <v>0.21835554685305192</v>
      </c>
      <c r="P65" s="5240">
        <f>+P64+P51</f>
        <v>13916987.196</v>
      </c>
      <c r="Q65" s="5155"/>
      <c r="R65" s="1733"/>
      <c r="U65" s="1733">
        <f>SUM(U66:U94)</f>
        <v>865211.33507902618</v>
      </c>
      <c r="V65" s="1733">
        <f t="shared" ref="V65" si="92">SUM(V66:V94)</f>
        <v>572000.81793975225</v>
      </c>
      <c r="W65" s="1733">
        <f>SUM(W66:W94)</f>
        <v>270000</v>
      </c>
      <c r="X65" s="32"/>
      <c r="Y65" s="32"/>
      <c r="Z65" s="1733">
        <f>SUM(Z66:Z94)</f>
        <v>990943.68297332234</v>
      </c>
      <c r="AA65" s="1733">
        <f t="shared" ref="AA65" si="93">SUM(AA66:AA94)</f>
        <v>617764.43911032728</v>
      </c>
      <c r="AB65" s="1733">
        <f>SUM(AB66:AB94)</f>
        <v>1050000</v>
      </c>
      <c r="AC65" s="32"/>
      <c r="AD65" s="32"/>
      <c r="AE65" s="1733">
        <f>SUM(AE66:AE94)</f>
        <v>1829450.3573065097</v>
      </c>
      <c r="AG65" s="1733">
        <f>SUM(AG66:AG94)</f>
        <v>1100000</v>
      </c>
      <c r="AH65" s="32"/>
      <c r="AI65" s="32"/>
      <c r="AJ65" s="1733">
        <f>SUM(AJ66:AJ94)</f>
        <v>1972343.4227236712</v>
      </c>
      <c r="AL65" s="1733">
        <f>SUM(AL66:AL94)</f>
        <v>1200000</v>
      </c>
      <c r="AM65" s="32"/>
      <c r="AN65" s="32"/>
      <c r="AO65" s="1733">
        <f>SUM(AO66:AO94)</f>
        <v>2128436.4067431837</v>
      </c>
    </row>
    <row r="66" spans="1:42" hidden="1">
      <c r="M66" s="5240">
        <f>+M65-M64</f>
        <v>0</v>
      </c>
      <c r="N66" s="1733"/>
      <c r="O66" s="1733"/>
      <c r="P66" s="5240"/>
      <c r="Q66" s="5155"/>
      <c r="R66" s="1733"/>
      <c r="U66" s="1733"/>
      <c r="V66" s="1733"/>
      <c r="W66" s="1733">
        <f>SUM(Z66:AA66)</f>
        <v>0</v>
      </c>
      <c r="X66" s="32"/>
      <c r="Y66" s="32"/>
      <c r="Z66" s="32"/>
      <c r="AA66" s="32"/>
      <c r="AB66" s="1733">
        <f>SUM(AE66:AF66)</f>
        <v>0</v>
      </c>
      <c r="AC66" s="32"/>
      <c r="AD66" s="32"/>
      <c r="AE66" s="32"/>
      <c r="AG66" s="1733">
        <f>SUM(AJ66:AK66)</f>
        <v>0</v>
      </c>
      <c r="AH66" s="32"/>
      <c r="AI66" s="32"/>
      <c r="AJ66" s="32"/>
      <c r="AL66" s="1733">
        <f>SUM(AO66:AP66)</f>
        <v>0</v>
      </c>
      <c r="AM66" s="32"/>
      <c r="AN66" s="32"/>
      <c r="AO66" s="32"/>
    </row>
    <row r="67" spans="1:42" hidden="1">
      <c r="D67" s="32">
        <f>+H11</f>
        <v>1143186</v>
      </c>
      <c r="J67" s="32"/>
      <c r="K67" s="32"/>
      <c r="L67" s="30" t="s">
        <v>3218</v>
      </c>
      <c r="M67" s="1733">
        <v>12335657</v>
      </c>
      <c r="N67" s="1733"/>
      <c r="O67" s="1733"/>
      <c r="P67" s="1733"/>
      <c r="Q67" s="1733"/>
      <c r="R67" s="1733"/>
      <c r="U67" s="1733">
        <f>(1300000*10%)</f>
        <v>130000</v>
      </c>
      <c r="V67" s="1733"/>
      <c r="W67" s="1733">
        <f>SUM(Z67:AA67)</f>
        <v>120000</v>
      </c>
      <c r="X67" s="32"/>
      <c r="Y67" s="32"/>
      <c r="Z67" s="32">
        <f>1200000*10%</f>
        <v>120000</v>
      </c>
      <c r="AA67" s="32"/>
      <c r="AB67" s="1733">
        <f>SUM(AE67:AF67)</f>
        <v>140000</v>
      </c>
      <c r="AC67" s="32"/>
      <c r="AD67" s="32"/>
      <c r="AE67" s="32">
        <v>140000</v>
      </c>
      <c r="AG67" s="1733">
        <f>SUM(AJ67:AK67)</f>
        <v>150000</v>
      </c>
      <c r="AH67" s="32"/>
      <c r="AI67" s="32"/>
      <c r="AJ67" s="32">
        <v>150000</v>
      </c>
      <c r="AL67" s="1733">
        <f>SUM(AO67:AP67)</f>
        <v>165000</v>
      </c>
      <c r="AM67" s="32"/>
      <c r="AN67" s="32"/>
      <c r="AO67" s="32">
        <v>165000</v>
      </c>
    </row>
    <row r="68" spans="1:42" hidden="1">
      <c r="D68" s="4803">
        <v>1153930</v>
      </c>
      <c r="J68" s="1807"/>
      <c r="L68" s="30" t="s">
        <v>2372</v>
      </c>
      <c r="M68" s="1733">
        <f>+M22</f>
        <v>12761657.450000003</v>
      </c>
      <c r="N68" s="1733"/>
      <c r="O68" s="1733"/>
      <c r="P68" s="1733"/>
      <c r="Q68" s="1733"/>
      <c r="R68" s="1733"/>
      <c r="U68" s="1733">
        <v>100000</v>
      </c>
      <c r="V68" s="1733"/>
      <c r="W68" s="1733">
        <f t="shared" ref="W68" si="94">SUM(Z68:AA68)</f>
        <v>150000</v>
      </c>
      <c r="X68" s="32"/>
      <c r="Y68" s="32"/>
      <c r="Z68" s="32">
        <v>150000</v>
      </c>
      <c r="AA68" s="32"/>
      <c r="AB68" s="1733">
        <f t="shared" ref="AB68:AB94" si="95">SUM(AE68:AF68)</f>
        <v>800000</v>
      </c>
      <c r="AC68" s="32"/>
      <c r="AD68" s="32"/>
      <c r="AE68" s="32">
        <v>800000</v>
      </c>
      <c r="AG68" s="1733">
        <f t="shared" ref="AG68:AG94" si="96">SUM(AJ68:AK68)</f>
        <v>800000</v>
      </c>
      <c r="AH68" s="32"/>
      <c r="AI68" s="32"/>
      <c r="AJ68" s="32">
        <v>800000</v>
      </c>
      <c r="AL68" s="1733">
        <f t="shared" ref="AL68:AL94" si="97">SUM(AO68:AP68)</f>
        <v>800000</v>
      </c>
      <c r="AM68" s="32"/>
      <c r="AN68" s="32"/>
      <c r="AO68" s="32">
        <v>800000</v>
      </c>
    </row>
    <row r="69" spans="1:42" hidden="1">
      <c r="D69" s="32">
        <f>+D68-D67</f>
        <v>10744</v>
      </c>
      <c r="J69" s="1807"/>
      <c r="M69" s="1733">
        <f>+M68-M67</f>
        <v>426000.45000000298</v>
      </c>
      <c r="N69" s="1733"/>
      <c r="O69" s="1733"/>
      <c r="P69" s="1733"/>
      <c r="Q69" s="1733"/>
      <c r="R69" s="1733"/>
      <c r="U69" s="1733"/>
      <c r="V69" s="1733"/>
      <c r="W69" s="1733"/>
      <c r="X69" s="32"/>
      <c r="Y69" s="32"/>
      <c r="Z69" s="32"/>
      <c r="AA69" s="32"/>
      <c r="AB69" s="1733"/>
      <c r="AC69" s="32"/>
      <c r="AD69" s="32"/>
      <c r="AE69" s="32"/>
      <c r="AG69" s="1733"/>
      <c r="AH69" s="32"/>
      <c r="AI69" s="32"/>
      <c r="AJ69" s="32"/>
      <c r="AL69" s="1733"/>
      <c r="AM69" s="32"/>
      <c r="AN69" s="32"/>
      <c r="AO69" s="32"/>
    </row>
    <row r="70" spans="1:42" hidden="1">
      <c r="J70" s="1807"/>
      <c r="L70" s="30" t="s">
        <v>3218</v>
      </c>
      <c r="M70" s="1733">
        <f>+M23</f>
        <v>5859513.0000000009</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2" hidden="1">
      <c r="J71" s="1807"/>
      <c r="L71" s="30" t="s">
        <v>2372</v>
      </c>
      <c r="M71" s="1733">
        <f>+M23</f>
        <v>5859513.0000000009</v>
      </c>
      <c r="N71" s="5155">
        <f>+M71/M9</f>
        <v>0.31966184559809024</v>
      </c>
      <c r="O71" s="5155">
        <f>+M71/M8</f>
        <v>0.27415627225144945</v>
      </c>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2" hidden="1">
      <c r="J72" s="1807"/>
      <c r="M72" s="1733">
        <f>+M71-M70</f>
        <v>0</v>
      </c>
      <c r="N72" s="1733"/>
      <c r="O72" s="1733"/>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2" hidden="1">
      <c r="J73" s="1807"/>
      <c r="L73" s="30" t="s">
        <v>3218</v>
      </c>
      <c r="M73" s="1733">
        <v>30780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2" hidden="1">
      <c r="J74" s="1807"/>
      <c r="L74" s="30" t="s">
        <v>2372</v>
      </c>
      <c r="M74" s="1733">
        <f>+M24</f>
        <v>31307</v>
      </c>
      <c r="N74" s="5155">
        <f>+M74/M9</f>
        <v>1.7079326217280188E-3</v>
      </c>
      <c r="O74" s="5114">
        <f>+M74/M8</f>
        <v>1.464799278604916E-3</v>
      </c>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2" hidden="1">
      <c r="J75" s="1807"/>
      <c r="M75" s="1733">
        <f>+M74-M73</f>
        <v>527</v>
      </c>
      <c r="N75" s="1733"/>
      <c r="O75" s="1733"/>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2" hidden="1">
      <c r="J76" s="1807"/>
      <c r="L76" s="32" t="s">
        <v>3218</v>
      </c>
      <c r="M76" s="1733"/>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2" hidden="1">
      <c r="J77" s="1807"/>
      <c r="L77" s="30" t="s">
        <v>2372</v>
      </c>
      <c r="M77" s="1733">
        <f>+M31</f>
        <v>205900</v>
      </c>
      <c r="N77" s="5155">
        <f>+M77/M9</f>
        <v>1.1232737944031656E-2</v>
      </c>
      <c r="O77" s="5155">
        <f>+M77/M8</f>
        <v>9.6336976224087965E-3</v>
      </c>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2" hidden="1">
      <c r="J78" s="1807"/>
      <c r="M78" s="1733"/>
      <c r="N78" s="1733"/>
      <c r="O78" s="1733"/>
      <c r="P78" s="1733"/>
      <c r="Q78" s="1733"/>
      <c r="R78" s="1733"/>
      <c r="U78" s="1733">
        <f>+'[30]Phụ lục số 2'!$U$12</f>
        <v>626211.68926796957</v>
      </c>
      <c r="V78" s="1733">
        <f>+'[30]Phụ lục số 2'!$V$12</f>
        <v>581000.40896987612</v>
      </c>
      <c r="W78" s="1733"/>
      <c r="X78" s="32"/>
      <c r="Y78" s="32"/>
      <c r="Z78" s="32">
        <f>+'[30]Phụ lục số 2'!$Z$12</f>
        <v>720943.72933961113</v>
      </c>
      <c r="AA78" s="32">
        <f>+'[30]Phụ lục số 2'!$AA$12</f>
        <v>617764.20997363189</v>
      </c>
      <c r="AB78" s="1733"/>
      <c r="AC78" s="32"/>
      <c r="AD78" s="32"/>
      <c r="AE78" s="32">
        <f>+'[30]Phụ lục số 2'!$AE$12</f>
        <v>779449.9806064032</v>
      </c>
      <c r="AF78" s="32">
        <f>+'[30]Phụ lục số 2'!$AF$12</f>
        <v>690353.68477532186</v>
      </c>
      <c r="AG78" s="1733"/>
      <c r="AH78" s="32"/>
      <c r="AI78" s="32"/>
      <c r="AJ78" s="32">
        <f>+'[30]Phụ lục số 2'!$AJ$12</f>
        <v>872342.93138140603</v>
      </c>
      <c r="AK78" s="32">
        <f>+'[30]Phụ lục số 2'!$AK$12</f>
        <v>733408.08190585766</v>
      </c>
      <c r="AL78" s="1733"/>
      <c r="AM78" s="32"/>
      <c r="AN78" s="32"/>
      <c r="AO78" s="32">
        <f>+'[30]Phụ lục số 2'!$AO$12</f>
        <v>926384.7870840528</v>
      </c>
      <c r="AP78" s="32">
        <f>+'[30]Phụ lục số 2'!$AP$12</f>
        <v>822415.5780481929</v>
      </c>
    </row>
    <row r="79" spans="1:42" hidden="1">
      <c r="J79" s="1807"/>
      <c r="L79" s="30" t="s">
        <v>3218</v>
      </c>
      <c r="M79" s="1733">
        <v>350901</v>
      </c>
      <c r="N79" s="5155">
        <f>+M79/M9</f>
        <v>1.9143171332193554E-2</v>
      </c>
      <c r="O79" s="5155">
        <f>+M79/M8</f>
        <v>1.6418038510931855E-2</v>
      </c>
      <c r="P79" s="1733"/>
      <c r="Q79" s="1733"/>
      <c r="R79" s="1733"/>
      <c r="U79" s="32">
        <f>+U78-U11</f>
        <v>8999.6458110566018</v>
      </c>
      <c r="V79" s="32">
        <f>+V78-V11</f>
        <v>-8999.5910301238764</v>
      </c>
      <c r="W79" s="1733"/>
      <c r="X79" s="32"/>
      <c r="Y79" s="32"/>
      <c r="Z79" s="32">
        <f>+Z78-Z11</f>
        <v>-4.6366288792341948E-2</v>
      </c>
      <c r="AA79" s="32">
        <f>+AA78-AA11</f>
        <v>0.22913669538684189</v>
      </c>
      <c r="AB79" s="1733"/>
      <c r="AC79" s="32"/>
      <c r="AD79" s="32"/>
      <c r="AE79" s="32">
        <f>+AE78-AE11</f>
        <v>0.37670010642614216</v>
      </c>
      <c r="AF79" s="32">
        <f>+AF78-AF11</f>
        <v>-0.1401739614084363</v>
      </c>
      <c r="AG79" s="1733"/>
      <c r="AH79" s="32"/>
      <c r="AI79" s="32"/>
      <c r="AJ79" s="32">
        <f>+AJ78-AJ11</f>
        <v>0.49134226515889168</v>
      </c>
      <c r="AK79" s="32">
        <f>+AK78-AK11</f>
        <v>0.27476424816995859</v>
      </c>
      <c r="AL79" s="1733"/>
      <c r="AM79" s="32"/>
      <c r="AN79" s="32"/>
      <c r="AO79" s="32">
        <f>+AO78-AO11</f>
        <v>2051.61965913116</v>
      </c>
      <c r="AP79" s="32">
        <f>+AP78-AP11</f>
        <v>-7150.9559448893415</v>
      </c>
    </row>
    <row r="80" spans="1:42" hidden="1">
      <c r="J80" s="1807"/>
      <c r="L80" s="30" t="s">
        <v>2372</v>
      </c>
      <c r="M80" s="1733">
        <f>+M38</f>
        <v>376400.94999999995</v>
      </c>
      <c r="N80" s="5155">
        <f>+M80/M9</f>
        <v>2.0534304192494229E-2</v>
      </c>
      <c r="O80" s="5155">
        <f>+M80/M8</f>
        <v>1.7611136168467274E-2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1:41" hidden="1">
      <c r="J81" s="1807"/>
      <c r="M81" s="1733">
        <f>+M80-M79</f>
        <v>25499.949999999953</v>
      </c>
      <c r="N81" s="1733"/>
      <c r="O81" s="1733"/>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1:41" hidden="1">
      <c r="J82" s="1807"/>
      <c r="M82" s="1733"/>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1:41" hidden="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1:41" hidden="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1:41" hidden="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1:41" hidden="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1:41" hidden="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1:41" hidden="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1:41" hidden="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1:41" hidden="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1:41" hidden="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1:41" hidden="1">
      <c r="H92" s="1733"/>
      <c r="I92" s="5105"/>
      <c r="J92" s="32"/>
      <c r="M92" s="1733"/>
      <c r="N92" s="1733"/>
      <c r="O92" s="1733"/>
      <c r="P92" s="1733"/>
      <c r="Q92" s="1733"/>
      <c r="R92" s="1733"/>
      <c r="U92" s="1733"/>
      <c r="V92" s="1733"/>
      <c r="W92" s="1733"/>
      <c r="X92" s="32"/>
      <c r="Y92" s="32"/>
      <c r="Z92" s="32"/>
      <c r="AA92" s="32"/>
      <c r="AB92" s="1733">
        <f t="shared" si="95"/>
        <v>60000</v>
      </c>
      <c r="AC92" s="32"/>
      <c r="AD92" s="32"/>
      <c r="AE92" s="32">
        <v>60000</v>
      </c>
      <c r="AG92" s="1733">
        <f t="shared" si="96"/>
        <v>100000</v>
      </c>
      <c r="AH92" s="32"/>
      <c r="AI92" s="32"/>
      <c r="AJ92" s="32">
        <v>100000</v>
      </c>
      <c r="AL92" s="1733">
        <f t="shared" si="97"/>
        <v>200000</v>
      </c>
      <c r="AM92" s="32"/>
      <c r="AN92" s="32"/>
      <c r="AO92" s="32">
        <f>100000+50000+50000</f>
        <v>200000</v>
      </c>
    </row>
    <row r="93" spans="1:41" hidden="1">
      <c r="M93" s="5146"/>
      <c r="N93" s="1733"/>
      <c r="O93" s="1733"/>
      <c r="P93" s="1733"/>
      <c r="Q93" s="1733"/>
      <c r="R93" s="1733"/>
      <c r="U93" s="1733"/>
      <c r="V93" s="1733"/>
      <c r="W93" s="1733"/>
      <c r="X93" s="32"/>
      <c r="Y93" s="32"/>
      <c r="Z93" s="32"/>
      <c r="AA93" s="32"/>
      <c r="AB93" s="1733">
        <f t="shared" si="95"/>
        <v>50000</v>
      </c>
      <c r="AC93" s="32"/>
      <c r="AD93" s="32"/>
      <c r="AE93" s="32">
        <v>50000</v>
      </c>
      <c r="AG93" s="1733">
        <f t="shared" si="96"/>
        <v>50000</v>
      </c>
      <c r="AH93" s="32"/>
      <c r="AI93" s="32"/>
      <c r="AJ93" s="32">
        <v>50000</v>
      </c>
      <c r="AL93" s="1733">
        <f t="shared" si="97"/>
        <v>35000</v>
      </c>
      <c r="AM93" s="32"/>
      <c r="AN93" s="32"/>
      <c r="AO93" s="32">
        <v>35000</v>
      </c>
    </row>
    <row r="94" spans="1:41" hidden="1">
      <c r="M94" s="1733"/>
      <c r="N94" s="1733"/>
      <c r="O94" s="1733"/>
      <c r="P94" s="1733"/>
      <c r="Q94" s="1733"/>
      <c r="R94" s="1733"/>
      <c r="U94" s="1733"/>
      <c r="V94" s="1733"/>
      <c r="W94" s="1733"/>
      <c r="X94" s="32"/>
      <c r="Y94" s="32"/>
      <c r="Z94" s="32"/>
      <c r="AA94" s="32"/>
      <c r="AB94" s="1733">
        <f t="shared" si="95"/>
        <v>0</v>
      </c>
      <c r="AC94" s="32"/>
      <c r="AD94" s="32"/>
      <c r="AE94" s="32"/>
      <c r="AG94" s="1733">
        <f t="shared" si="96"/>
        <v>0</v>
      </c>
      <c r="AH94" s="32"/>
      <c r="AI94" s="32"/>
      <c r="AJ94" s="32"/>
      <c r="AL94" s="1733">
        <f t="shared" si="97"/>
        <v>0</v>
      </c>
      <c r="AM94" s="32"/>
      <c r="AN94" s="32"/>
      <c r="AO94" s="32"/>
    </row>
    <row r="95" spans="1:41" hidden="1">
      <c r="H95" s="32"/>
    </row>
    <row r="96" spans="1:41" hidden="1">
      <c r="A96" s="1731" t="s">
        <v>312</v>
      </c>
      <c r="B96" s="30" t="s">
        <v>942</v>
      </c>
      <c r="H96" s="6067" t="s">
        <v>1430</v>
      </c>
      <c r="I96" s="6067"/>
      <c r="J96" s="6067"/>
      <c r="K96" s="6067"/>
      <c r="L96" s="6067"/>
      <c r="M96" s="6067" t="s">
        <v>1431</v>
      </c>
      <c r="N96" s="6067"/>
      <c r="O96" s="6067"/>
      <c r="P96" s="6067"/>
      <c r="Q96" s="6067"/>
    </row>
    <row r="97" spans="1:17 16384:16384" s="31" customFormat="1" hidden="1">
      <c r="A97" s="1799">
        <v>1</v>
      </c>
      <c r="B97" s="31" t="s">
        <v>943</v>
      </c>
      <c r="H97" s="1800">
        <f>SUM(K97:L97)</f>
        <v>721199</v>
      </c>
      <c r="I97" s="1800"/>
      <c r="J97" s="1800"/>
      <c r="K97" s="1800">
        <v>99552</v>
      </c>
      <c r="L97" s="1800">
        <v>621647</v>
      </c>
      <c r="M97" s="1801"/>
      <c r="P97" s="1802"/>
      <c r="Q97" s="1803"/>
    </row>
    <row r="98" spans="1:17 16384:16384" s="31" customFormat="1" hidden="1">
      <c r="A98" s="1799">
        <v>2</v>
      </c>
      <c r="B98" s="31" t="s">
        <v>944</v>
      </c>
      <c r="H98" s="1800">
        <f>SUM(H99:H101)</f>
        <v>291486</v>
      </c>
      <c r="I98" s="1800"/>
      <c r="J98" s="1800"/>
      <c r="K98" s="1800">
        <f>SUM(K99:K101)</f>
        <v>55933</v>
      </c>
      <c r="L98" s="1800">
        <f>SUM(L99:L101)</f>
        <v>235553</v>
      </c>
      <c r="M98" s="1801"/>
      <c r="P98" s="1801"/>
      <c r="Q98" s="1801"/>
    </row>
    <row r="99" spans="1:17 16384:16384" ht="15.6" hidden="1">
      <c r="B99" s="30" t="s">
        <v>945</v>
      </c>
      <c r="H99" s="1804">
        <f>SUM(K99:L99)</f>
        <v>291486</v>
      </c>
      <c r="I99" s="1804"/>
      <c r="J99" s="1804"/>
      <c r="K99" s="1820">
        <v>55933</v>
      </c>
      <c r="L99" s="1804">
        <v>235553</v>
      </c>
      <c r="M99" s="1805"/>
      <c r="P99" s="32"/>
      <c r="Q99" s="32"/>
    </row>
    <row r="100" spans="1:17 16384:16384" hidden="1">
      <c r="B100" s="30" t="s">
        <v>946</v>
      </c>
      <c r="H100" s="1804">
        <f t="shared" ref="H100:H103" si="98">SUM(K100:L100)</f>
        <v>0</v>
      </c>
      <c r="I100" s="1804"/>
      <c r="J100" s="1804"/>
      <c r="K100" s="1804"/>
      <c r="L100" s="1804"/>
      <c r="M100" s="1805"/>
      <c r="P100" s="32"/>
      <c r="Q100" s="32"/>
    </row>
    <row r="101" spans="1:17 16384:16384" hidden="1">
      <c r="B101" s="30" t="s">
        <v>947</v>
      </c>
      <c r="H101" s="1804">
        <f t="shared" si="98"/>
        <v>0</v>
      </c>
      <c r="I101" s="1804"/>
      <c r="J101" s="1804"/>
      <c r="K101" s="1804"/>
      <c r="L101" s="1804"/>
      <c r="M101" s="1805"/>
      <c r="P101" s="32"/>
      <c r="Q101" s="32"/>
    </row>
    <row r="102" spans="1:17 16384:16384" s="31" customFormat="1" hidden="1">
      <c r="A102" s="1799">
        <v>3</v>
      </c>
      <c r="B102" s="31" t="s">
        <v>949</v>
      </c>
      <c r="H102" s="1800">
        <f t="shared" si="98"/>
        <v>7717</v>
      </c>
      <c r="I102" s="1800"/>
      <c r="J102" s="1800"/>
      <c r="K102" s="1800">
        <v>3363</v>
      </c>
      <c r="L102" s="1800">
        <v>4354</v>
      </c>
      <c r="M102" s="1801"/>
      <c r="P102" s="32"/>
      <c r="Q102" s="32"/>
    </row>
    <row r="103" spans="1:17 16384:16384" s="31" customFormat="1" hidden="1">
      <c r="A103" s="1799">
        <v>4</v>
      </c>
      <c r="B103" s="31" t="s">
        <v>950</v>
      </c>
      <c r="H103" s="1800">
        <f t="shared" si="98"/>
        <v>18299</v>
      </c>
      <c r="I103" s="1800"/>
      <c r="J103" s="1800"/>
      <c r="K103" s="1800">
        <v>9233</v>
      </c>
      <c r="L103" s="1800">
        <v>9066</v>
      </c>
      <c r="M103" s="1801"/>
      <c r="P103" s="32"/>
      <c r="Q103" s="32"/>
    </row>
    <row r="104" spans="1:17 16384:16384" s="31" customFormat="1" hidden="1">
      <c r="A104" s="1799">
        <v>5</v>
      </c>
      <c r="B104" s="31" t="s">
        <v>951</v>
      </c>
      <c r="H104" s="1800">
        <f>SUM(H105:H106)</f>
        <v>0</v>
      </c>
      <c r="I104" s="1800"/>
      <c r="J104" s="1800"/>
      <c r="K104" s="1800">
        <f>SUM(K105:K106)</f>
        <v>0</v>
      </c>
      <c r="L104" s="1800">
        <f>SUM(L105:L106)</f>
        <v>0</v>
      </c>
      <c r="M104" s="1801"/>
      <c r="P104" s="1801"/>
      <c r="Q104" s="1801"/>
      <c r="XFD104" s="31">
        <f>SUM(XFD105:XFD106)</f>
        <v>0</v>
      </c>
    </row>
    <row r="105" spans="1:17 16384:16384" hidden="1">
      <c r="B105" s="30" t="s">
        <v>952</v>
      </c>
      <c r="H105" s="1804">
        <f>SUM(K105:L105)</f>
        <v>0</v>
      </c>
      <c r="I105" s="1804"/>
      <c r="J105" s="1804"/>
      <c r="K105" s="1804"/>
      <c r="L105" s="1804"/>
      <c r="M105" s="1805"/>
      <c r="P105" s="32"/>
      <c r="Q105" s="32"/>
    </row>
    <row r="106" spans="1:17 16384:16384" hidden="1">
      <c r="B106" s="30" t="s">
        <v>953</v>
      </c>
      <c r="H106" s="1804">
        <f>SUM(K106:L106)</f>
        <v>0</v>
      </c>
      <c r="I106" s="1804"/>
      <c r="J106" s="1804"/>
      <c r="K106" s="1804"/>
      <c r="L106" s="1804"/>
      <c r="M106" s="1805"/>
      <c r="P106" s="32"/>
      <c r="Q106" s="32"/>
    </row>
    <row r="107" spans="1:17 16384:16384" s="31" customFormat="1" hidden="1">
      <c r="A107" s="1799">
        <v>6</v>
      </c>
      <c r="B107" s="31" t="s">
        <v>948</v>
      </c>
      <c r="H107" s="1800">
        <f>SUM(K107:L107)</f>
        <v>1443</v>
      </c>
      <c r="I107" s="1800"/>
      <c r="J107" s="1800"/>
      <c r="K107" s="1800">
        <v>1443</v>
      </c>
      <c r="L107" s="1800"/>
      <c r="M107" s="1801"/>
      <c r="P107" s="1802"/>
      <c r="Q107" s="1802"/>
    </row>
    <row r="108" spans="1:17 16384:16384" s="31" customFormat="1" hidden="1">
      <c r="A108" s="1799">
        <v>7</v>
      </c>
      <c r="B108" s="31" t="s">
        <v>648</v>
      </c>
      <c r="H108" s="1800">
        <f t="shared" ref="H108:H111" si="99">SUM(K108:L108)</f>
        <v>93298</v>
      </c>
      <c r="I108" s="1800"/>
      <c r="J108" s="1800"/>
      <c r="K108" s="1800">
        <v>93298</v>
      </c>
      <c r="L108" s="1800"/>
      <c r="M108" s="1801"/>
      <c r="P108" s="1802"/>
      <c r="Q108" s="1802"/>
    </row>
    <row r="109" spans="1:17 16384:16384" s="31" customFormat="1" hidden="1">
      <c r="A109" s="1799">
        <v>8</v>
      </c>
      <c r="B109" s="31" t="s">
        <v>954</v>
      </c>
      <c r="H109" s="1800">
        <f t="shared" si="99"/>
        <v>0</v>
      </c>
      <c r="I109" s="1800"/>
      <c r="J109" s="1800"/>
      <c r="K109" s="1800"/>
      <c r="L109" s="1800"/>
      <c r="M109" s="1801"/>
      <c r="P109" s="1802"/>
      <c r="Q109" s="1802"/>
    </row>
    <row r="110" spans="1:17 16384:16384" s="31" customFormat="1" hidden="1">
      <c r="A110" s="1799">
        <v>9</v>
      </c>
      <c r="B110" s="31" t="s">
        <v>955</v>
      </c>
      <c r="H110" s="1800">
        <f t="shared" si="99"/>
        <v>1423</v>
      </c>
      <c r="I110" s="1800"/>
      <c r="J110" s="1800"/>
      <c r="K110" s="1800">
        <v>1423</v>
      </c>
      <c r="L110" s="1800"/>
      <c r="M110" s="1801"/>
      <c r="P110" s="1802"/>
      <c r="Q110" s="1802"/>
    </row>
    <row r="111" spans="1:17 16384:16384" s="31" customFormat="1" hidden="1">
      <c r="A111" s="1799">
        <v>10</v>
      </c>
      <c r="B111" s="31" t="s">
        <v>956</v>
      </c>
      <c r="H111" s="1800">
        <f t="shared" si="99"/>
        <v>0</v>
      </c>
      <c r="I111" s="1800"/>
      <c r="J111" s="1800"/>
      <c r="K111" s="1800"/>
      <c r="L111" s="1800"/>
      <c r="M111" s="1801"/>
      <c r="P111" s="1802"/>
      <c r="Q111" s="1802"/>
    </row>
    <row r="112" spans="1:17 16384:16384" hidden="1">
      <c r="B112" s="1799" t="s">
        <v>387</v>
      </c>
      <c r="H112" s="1801">
        <f>+H111+H110+H109+H108+H107+H104+H103+H102+H98+H97</f>
        <v>1134865</v>
      </c>
      <c r="I112" s="1804"/>
      <c r="J112" s="1804"/>
      <c r="K112" s="1800">
        <f>+K111+K110+K109+K108+K107+K104+K103+K102+K98+K97</f>
        <v>264245</v>
      </c>
      <c r="L112" s="1800">
        <f>+L111+L110+L109+L108+L107+L104+L103+L102+L98+L97</f>
        <v>870620</v>
      </c>
      <c r="M112" s="1801"/>
      <c r="P112" s="1801"/>
      <c r="Q112" s="1801"/>
    </row>
    <row r="113" spans="10:18" hidden="1">
      <c r="P113" s="32"/>
      <c r="Q113" s="32"/>
    </row>
    <row r="114" spans="10:18" hidden="1">
      <c r="L114" s="1806"/>
      <c r="M114" s="1733"/>
      <c r="P114" s="1733"/>
      <c r="Q114" s="1733"/>
    </row>
    <row r="115" spans="10:18" hidden="1">
      <c r="L115" s="1807"/>
      <c r="M115" s="1733"/>
      <c r="P115" s="1733"/>
      <c r="Q115" s="1733"/>
      <c r="R115" s="32"/>
    </row>
    <row r="116" spans="10:18" hidden="1">
      <c r="M116" s="1733"/>
      <c r="P116" s="1733"/>
      <c r="Q116" s="1733"/>
    </row>
    <row r="117" spans="10:18" hidden="1">
      <c r="Q117" s="1733"/>
    </row>
    <row r="118" spans="10:18" hidden="1">
      <c r="N118" s="4802"/>
      <c r="O118" s="1807"/>
      <c r="P118" s="4802"/>
      <c r="Q118" s="4803"/>
    </row>
    <row r="119" spans="10:18" hidden="1">
      <c r="J119" s="1806"/>
      <c r="K119" s="1808"/>
      <c r="O119" s="1807"/>
      <c r="Q119" s="1733"/>
    </row>
    <row r="120" spans="10:18" hidden="1">
      <c r="J120" s="1807"/>
      <c r="K120" s="1806"/>
      <c r="N120" s="32"/>
      <c r="Q120" s="1733"/>
    </row>
    <row r="121" spans="10:18" hidden="1">
      <c r="K121" s="1809"/>
      <c r="N121" s="4803"/>
      <c r="Q121" s="1733"/>
    </row>
    <row r="122" spans="10:18" hidden="1">
      <c r="N122" s="1807"/>
      <c r="Q122" s="1733"/>
    </row>
    <row r="123" spans="10:18" hidden="1">
      <c r="Q123" s="1733"/>
    </row>
    <row r="124" spans="10:18" hidden="1">
      <c r="Q124" s="1733"/>
    </row>
    <row r="125" spans="10:18" hidden="1">
      <c r="Q125" s="1733"/>
    </row>
    <row r="126" spans="10:18" hidden="1">
      <c r="Q126" s="1733"/>
    </row>
    <row r="127" spans="10:18">
      <c r="Q127" s="1733"/>
    </row>
    <row r="128" spans="10:18">
      <c r="Q128" s="1733"/>
    </row>
    <row r="129" spans="17:17">
      <c r="Q129" s="1733"/>
    </row>
  </sheetData>
  <sheetProtection selectLockedCells="1" selectUnlockedCells="1"/>
  <mergeCells count="49">
    <mergeCell ref="A1:Q1"/>
    <mergeCell ref="A2:Q2"/>
    <mergeCell ref="A3:Q3"/>
    <mergeCell ref="O4:Q4"/>
    <mergeCell ref="A5:A7"/>
    <mergeCell ref="B5:B7"/>
    <mergeCell ref="C5:G5"/>
    <mergeCell ref="H5:L5"/>
    <mergeCell ref="M5:Q5"/>
    <mergeCell ref="I6:I7"/>
    <mergeCell ref="C6:C7"/>
    <mergeCell ref="D6:D7"/>
    <mergeCell ref="E6:E7"/>
    <mergeCell ref="F6:G6"/>
    <mergeCell ref="H6:H7"/>
    <mergeCell ref="R5:V5"/>
    <mergeCell ref="W5:AA5"/>
    <mergeCell ref="AB5:AF5"/>
    <mergeCell ref="AG5:AK5"/>
    <mergeCell ref="AL5:AP5"/>
    <mergeCell ref="AE6:AF6"/>
    <mergeCell ref="X6:X7"/>
    <mergeCell ref="J6:J7"/>
    <mergeCell ref="K6:L6"/>
    <mergeCell ref="M6:M7"/>
    <mergeCell ref="N6:N7"/>
    <mergeCell ref="O6:O7"/>
    <mergeCell ref="P6:Q6"/>
    <mergeCell ref="R6:R7"/>
    <mergeCell ref="S6:S7"/>
    <mergeCell ref="T6:T7"/>
    <mergeCell ref="U6:V6"/>
    <mergeCell ref="W6:W7"/>
    <mergeCell ref="BA5:BE5"/>
    <mergeCell ref="AN6:AN7"/>
    <mergeCell ref="AO6:AP6"/>
    <mergeCell ref="H96:L96"/>
    <mergeCell ref="M96:Q96"/>
    <mergeCell ref="AG6:AG7"/>
    <mergeCell ref="AH6:AH7"/>
    <mergeCell ref="AI6:AI7"/>
    <mergeCell ref="AJ6:AK6"/>
    <mergeCell ref="AL6:AL7"/>
    <mergeCell ref="AM6:AM7"/>
    <mergeCell ref="Y6:Y7"/>
    <mergeCell ref="Z6:AA6"/>
    <mergeCell ref="AB6:AB7"/>
    <mergeCell ref="AC6:AC7"/>
    <mergeCell ref="AD6:AD7"/>
  </mergeCells>
  <hyperlinks>
    <hyperlink ref="A5:A7" location="'Danh mục file'!A1" display="Số TT"/>
  </hyperlinks>
  <printOptions horizontalCentered="1"/>
  <pageMargins left="0" right="0" top="0.28999999999999998" bottom="0" header="0" footer="0"/>
  <pageSetup paperSize="9" scale="65" orientation="landscape"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15"/>
  <sheetViews>
    <sheetView zoomScale="60" zoomScaleNormal="60" workbookViewId="0">
      <pane xSplit="7" ySplit="12" topLeftCell="H51" activePane="bottomRight" state="frozen"/>
      <selection activeCell="AG36" sqref="AG36"/>
      <selection pane="topRight" activeCell="AG36" sqref="AG36"/>
      <selection pane="bottomLeft" activeCell="AG36" sqref="AG36"/>
      <selection pane="bottomRight" activeCell="D33" sqref="D33"/>
    </sheetView>
  </sheetViews>
  <sheetFormatPr defaultColWidth="9.109375" defaultRowHeight="18"/>
  <cols>
    <col min="1" max="1" width="5.88671875" style="47" customWidth="1"/>
    <col min="2" max="2" width="64"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customWidth="1"/>
    <col min="13" max="14" width="14" style="47" customWidth="1"/>
    <col min="15" max="15" width="14.44140625" style="47" customWidth="1"/>
    <col min="16" max="17" width="13.5546875" style="47" customWidth="1"/>
    <col min="18" max="18" width="14.33203125" style="47" customWidth="1"/>
    <col min="19" max="20" width="13.5546875" style="47" customWidth="1"/>
    <col min="21" max="21" width="14.33203125" style="47" customWidth="1"/>
    <col min="22" max="23" width="13.5546875" style="47" customWidth="1"/>
    <col min="24" max="24" width="14.33203125" style="47" customWidth="1"/>
    <col min="25" max="26" width="13.5546875" style="47" customWidth="1"/>
    <col min="27" max="27" width="9.109375" style="47"/>
    <col min="28" max="28" width="14.44140625" style="47" customWidth="1"/>
    <col min="29" max="29" width="22.5546875" style="47" hidden="1" customWidth="1"/>
    <col min="30" max="30" width="13.44140625" style="47" hidden="1" customWidth="1"/>
    <col min="31" max="36" width="0" style="47" hidden="1" customWidth="1"/>
    <col min="37" max="16384" width="9.109375" style="47"/>
  </cols>
  <sheetData>
    <row r="1" spans="1:26">
      <c r="A1" s="6080" t="s">
        <v>230</v>
      </c>
      <c r="B1" s="6080"/>
      <c r="C1" s="6080"/>
      <c r="D1" s="6080"/>
      <c r="E1" s="6080"/>
      <c r="F1" s="6080"/>
      <c r="G1" s="6080"/>
      <c r="H1" s="6080"/>
      <c r="I1" s="6080"/>
      <c r="J1" s="6080"/>
      <c r="K1" s="6080"/>
    </row>
    <row r="2" spans="1:26">
      <c r="A2" s="6081" t="s">
        <v>232</v>
      </c>
      <c r="B2" s="6081"/>
      <c r="C2" s="6081"/>
      <c r="D2" s="6081"/>
      <c r="E2" s="6081"/>
      <c r="F2" s="6081"/>
      <c r="G2" s="6081"/>
      <c r="H2" s="6081"/>
      <c r="I2" s="6081"/>
      <c r="J2" s="6081"/>
      <c r="K2" s="6081"/>
    </row>
    <row r="3" spans="1:26">
      <c r="A3" s="6082"/>
      <c r="B3" s="6082"/>
      <c r="C3" s="6082"/>
      <c r="D3" s="6082"/>
      <c r="E3" s="6082"/>
      <c r="F3" s="6082"/>
      <c r="G3" s="6082"/>
      <c r="H3" s="6082"/>
      <c r="I3" s="6082"/>
      <c r="J3" s="6082"/>
      <c r="K3" s="6082"/>
      <c r="L3" s="679"/>
      <c r="M3" s="679"/>
    </row>
    <row r="4" spans="1:26" hidden="1">
      <c r="I4" s="679"/>
      <c r="J4" s="679"/>
      <c r="L4" s="679"/>
      <c r="M4" s="679"/>
      <c r="O4" s="679"/>
      <c r="P4" s="679"/>
      <c r="R4" s="679">
        <f>+R10-T19-T29</f>
        <v>18747282.343232721</v>
      </c>
      <c r="S4" s="679">
        <f>+R4-R34</f>
        <v>-2116595.000425037</v>
      </c>
      <c r="U4" s="679">
        <f>+U10-W19-W29</f>
        <v>20137289.164265122</v>
      </c>
      <c r="V4" s="679">
        <f>+U4-U34</f>
        <v>-2116594.9926560149</v>
      </c>
      <c r="X4" s="679">
        <f>+X10-Z19-Z29</f>
        <v>22163924.623591922</v>
      </c>
      <c r="Y4" s="679">
        <f>+X4-X34</f>
        <v>-2116594.9967396557</v>
      </c>
    </row>
    <row r="5" spans="1:26" ht="18.600000000000001" thickBot="1">
      <c r="I5" s="679"/>
      <c r="J5" s="679"/>
      <c r="K5" s="679"/>
      <c r="L5" s="679"/>
    </row>
    <row r="6" spans="1:26" ht="18.600000000000001" thickTop="1">
      <c r="A6" s="6546" t="s">
        <v>200</v>
      </c>
      <c r="B6" s="6503" t="s">
        <v>201</v>
      </c>
      <c r="C6" s="6078" t="s">
        <v>219</v>
      </c>
      <c r="D6" s="6078"/>
      <c r="E6" s="6078"/>
      <c r="F6" s="6078" t="s">
        <v>223</v>
      </c>
      <c r="G6" s="6078"/>
      <c r="H6" s="6078"/>
      <c r="I6" s="6078" t="s">
        <v>224</v>
      </c>
      <c r="J6" s="6078"/>
      <c r="K6" s="6079"/>
      <c r="L6" s="6228" t="s">
        <v>225</v>
      </c>
      <c r="M6" s="6078"/>
      <c r="N6" s="6078"/>
      <c r="O6" s="6078" t="s">
        <v>226</v>
      </c>
      <c r="P6" s="6078"/>
      <c r="Q6" s="6079"/>
      <c r="R6" s="6228" t="s">
        <v>227</v>
      </c>
      <c r="S6" s="6078"/>
      <c r="T6" s="6078"/>
      <c r="U6" s="6078" t="s">
        <v>228</v>
      </c>
      <c r="V6" s="6078"/>
      <c r="W6" s="6078"/>
      <c r="X6" s="6581" t="s">
        <v>229</v>
      </c>
      <c r="Y6" s="6581"/>
      <c r="Z6" s="6582"/>
    </row>
    <row r="7" spans="1:26">
      <c r="A7" s="6547"/>
      <c r="B7" s="6292"/>
      <c r="C7" s="50" t="s">
        <v>220</v>
      </c>
      <c r="D7" s="51" t="s">
        <v>221</v>
      </c>
      <c r="E7" s="51" t="s">
        <v>222</v>
      </c>
      <c r="F7" s="50" t="s">
        <v>220</v>
      </c>
      <c r="G7" s="51" t="s">
        <v>221</v>
      </c>
      <c r="H7" s="51" t="s">
        <v>222</v>
      </c>
      <c r="I7" s="50" t="s">
        <v>220</v>
      </c>
      <c r="J7" s="51" t="s">
        <v>221</v>
      </c>
      <c r="K7" s="1640" t="s">
        <v>222</v>
      </c>
      <c r="L7" s="1825" t="s">
        <v>220</v>
      </c>
      <c r="M7" s="51" t="s">
        <v>221</v>
      </c>
      <c r="N7" s="51" t="s">
        <v>222</v>
      </c>
      <c r="O7" s="50" t="s">
        <v>220</v>
      </c>
      <c r="P7" s="51" t="s">
        <v>221</v>
      </c>
      <c r="Q7" s="1640" t="s">
        <v>222</v>
      </c>
      <c r="R7" s="1825" t="s">
        <v>220</v>
      </c>
      <c r="S7" s="51" t="s">
        <v>221</v>
      </c>
      <c r="T7" s="51" t="s">
        <v>222</v>
      </c>
      <c r="U7" s="50" t="s">
        <v>220</v>
      </c>
      <c r="V7" s="51" t="s">
        <v>221</v>
      </c>
      <c r="W7" s="51" t="s">
        <v>222</v>
      </c>
      <c r="X7" s="5904" t="s">
        <v>220</v>
      </c>
      <c r="Y7" s="5905" t="s">
        <v>221</v>
      </c>
      <c r="Z7" s="5906" t="s">
        <v>222</v>
      </c>
    </row>
    <row r="8" spans="1:26"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9">
        <f t="shared" ref="K8" si="1">SUM(K12+K18+K31+K32)</f>
        <v>11751651.907</v>
      </c>
      <c r="L8" s="5464">
        <f>SUM(M8:N8)</f>
        <v>29386371.881463431</v>
      </c>
      <c r="M8" s="4918">
        <f>SUM(M12+M18+M31+M32)</f>
        <v>17414770.464828283</v>
      </c>
      <c r="N8" s="4918">
        <f t="shared" ref="N8" si="2">SUM(N12+N18+N31+N32)</f>
        <v>11971601.41663515</v>
      </c>
      <c r="O8" s="4918">
        <f>SUM(P8:Q8)</f>
        <v>30136566.406822234</v>
      </c>
      <c r="P8" s="4918">
        <f>SUM(P12+P18+P31+P32)</f>
        <v>17871125.956189539</v>
      </c>
      <c r="Q8" s="4919">
        <f t="shared" ref="Q8" si="3">SUM(Q12+Q18+Q31+Q32)</f>
        <v>12265440.450632697</v>
      </c>
      <c r="R8" s="1826">
        <f>SUM(S8:T8)</f>
        <v>30979221.250232719</v>
      </c>
      <c r="S8" s="1642">
        <f>SUM(S12+S18+S31+S32)</f>
        <v>18227957.627650965</v>
      </c>
      <c r="T8" s="1642">
        <f t="shared" ref="T8" si="4">SUM(T12+T18+T31+T32)</f>
        <v>12751263.622581756</v>
      </c>
      <c r="U8" s="1642">
        <f>SUM(V8:W8)</f>
        <v>32369228.071265124</v>
      </c>
      <c r="V8" s="1642">
        <f>SUM(V12+V18+V31+V32)</f>
        <v>18845391.441466384</v>
      </c>
      <c r="W8" s="1642">
        <f t="shared" ref="W8" si="5">SUM(W12+W18+W31+W32)</f>
        <v>13523836.62979874</v>
      </c>
      <c r="X8" s="1642">
        <f>SUM(Y8:Z8)</f>
        <v>34395863.53059192</v>
      </c>
      <c r="Y8" s="1642">
        <f>SUM(Y12+Y18+Y31+Y32)</f>
        <v>19918893.923836932</v>
      </c>
      <c r="Z8" s="1643">
        <f t="shared" ref="Z8" si="6">SUM(Z12+Z18+Z31+Z32)</f>
        <v>14476969.606754988</v>
      </c>
    </row>
    <row r="9" spans="1:26">
      <c r="A9" s="611"/>
      <c r="B9" s="1923" t="s">
        <v>234</v>
      </c>
      <c r="C9" s="195"/>
      <c r="D9" s="195"/>
      <c r="E9" s="195"/>
      <c r="F9" s="45"/>
      <c r="G9" s="45"/>
      <c r="H9" s="45"/>
      <c r="I9" s="46"/>
      <c r="J9" s="46"/>
      <c r="K9" s="1645"/>
      <c r="L9" s="1827"/>
      <c r="M9" s="46"/>
      <c r="N9" s="46"/>
      <c r="O9" s="46"/>
      <c r="P9" s="46"/>
      <c r="Q9" s="1645"/>
      <c r="R9" s="1827"/>
      <c r="S9" s="46"/>
      <c r="T9" s="46"/>
      <c r="U9" s="46"/>
      <c r="V9" s="46"/>
      <c r="W9" s="46"/>
      <c r="X9" s="46"/>
      <c r="Y9" s="46"/>
      <c r="Z9" s="1645"/>
    </row>
    <row r="10" spans="1:26">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646">
        <f>SUM(K12,K19,K20,K31)</f>
        <v>10785692</v>
      </c>
      <c r="L10" s="1828">
        <f>SUM(M10:N10)</f>
        <v>25383419.974463433</v>
      </c>
      <c r="M10" s="195">
        <f>SUM(M12,M19,M20,M31)</f>
        <v>14377778.464828283</v>
      </c>
      <c r="N10" s="195">
        <f>SUM(N12,N19,N20,N31)</f>
        <v>11005641.50963515</v>
      </c>
      <c r="O10" s="45">
        <f>SUM(P10:Q10)</f>
        <v>26133614.499822237</v>
      </c>
      <c r="P10" s="195">
        <f>SUM(P12,P19,P20,P31)</f>
        <v>14834133.956189541</v>
      </c>
      <c r="Q10" s="1646">
        <f>SUM(Q12,Q19,Q20,Q31)</f>
        <v>11299480.543632697</v>
      </c>
      <c r="R10" s="1828">
        <f>SUM(S10:T10)</f>
        <v>23178205.343232721</v>
      </c>
      <c r="S10" s="195">
        <f>SUM(S12,S19,S29,S31)</f>
        <v>13074370.627650965</v>
      </c>
      <c r="T10" s="195">
        <f>SUM(T12,T19,T29,T31)</f>
        <v>10103834.715581756</v>
      </c>
      <c r="U10" s="45">
        <f>SUM(V10:W10)</f>
        <v>24568212.164265122</v>
      </c>
      <c r="V10" s="195">
        <f>SUM(V12,V19,V29,V31)</f>
        <v>13691804.441466382</v>
      </c>
      <c r="W10" s="195">
        <f>SUM(W12,W19,W29,W31)</f>
        <v>10876407.72279874</v>
      </c>
      <c r="X10" s="45">
        <f>SUM(Y10:Z10)</f>
        <v>26594847.623591922</v>
      </c>
      <c r="Y10" s="195">
        <f>SUM(Y12,Y19,Y29,Y31)</f>
        <v>14765306.92383693</v>
      </c>
      <c r="Z10" s="1646">
        <f>SUM(Z12,Z19,Z29,Z31)</f>
        <v>11829540.699754991</v>
      </c>
    </row>
    <row r="11" spans="1:26">
      <c r="A11" s="611"/>
      <c r="B11" s="1923" t="s">
        <v>236</v>
      </c>
      <c r="C11" s="195">
        <f>SUM(D11:E11)</f>
        <v>17545290</v>
      </c>
      <c r="D11" s="195">
        <f>D10-D14-D15-D16</f>
        <v>9199353</v>
      </c>
      <c r="E11" s="195">
        <f t="shared" ref="E11" si="7">E10-E14-E15-E16</f>
        <v>8345937</v>
      </c>
      <c r="F11" s="45">
        <f>SUM(G11:H11)</f>
        <v>17533017.983635269</v>
      </c>
      <c r="G11" s="195">
        <f>G10-G14-G15-G16</f>
        <v>9375719.323635269</v>
      </c>
      <c r="H11" s="195">
        <f>H10-H14-H15-H16</f>
        <v>8157298.6600000001</v>
      </c>
      <c r="I11" s="45">
        <f>SUM(J11:K11)</f>
        <v>20901994.196000002</v>
      </c>
      <c r="J11" s="195">
        <f>J10-J14-J15-J16</f>
        <v>11209802.196</v>
      </c>
      <c r="K11" s="1646">
        <f>K10-K14-K15-K16</f>
        <v>9692192</v>
      </c>
      <c r="L11" s="1828">
        <f>SUM(M11:N11)</f>
        <v>21283419.974463433</v>
      </c>
      <c r="M11" s="195">
        <f>M10-M14-M15-M16</f>
        <v>11537778.464828283</v>
      </c>
      <c r="N11" s="195">
        <f t="shared" ref="N11" si="8">N10-N14-N15-N16</f>
        <v>9745641.5096351504</v>
      </c>
      <c r="O11" s="45">
        <f>SUM(P11:Q11)</f>
        <v>22023614.499822237</v>
      </c>
      <c r="P11" s="195">
        <f>P10-P14-P15-P16</f>
        <v>11984133.956189541</v>
      </c>
      <c r="Q11" s="1646">
        <f>Q10-Q14-Q15-Q16</f>
        <v>10039480.543632697</v>
      </c>
      <c r="R11" s="1828">
        <f>SUM(S11:T11)</f>
        <v>18958205.343232721</v>
      </c>
      <c r="S11" s="195">
        <f>S10-S14-S15-S16</f>
        <v>10114370.627650965</v>
      </c>
      <c r="T11" s="195">
        <f t="shared" ref="T11" si="9">T10-T14-T15-T16</f>
        <v>8843834.7155817561</v>
      </c>
      <c r="U11" s="45">
        <f>SUM(V11:W11)</f>
        <v>20038212.164265122</v>
      </c>
      <c r="V11" s="195">
        <f>V10-V14-V15-V16</f>
        <v>10511804.441466382</v>
      </c>
      <c r="W11" s="195">
        <f t="shared" ref="W11" si="10">W10-W14-W15-W16</f>
        <v>9526407.7227987405</v>
      </c>
      <c r="X11" s="45">
        <f>SUM(Y11:Z11)</f>
        <v>21334847.623591922</v>
      </c>
      <c r="Y11" s="195">
        <f>Y10-Y14-Y15-Y16</f>
        <v>10990306.92383693</v>
      </c>
      <c r="Z11" s="1646">
        <f t="shared" ref="Z11" si="11">Z10-Z14-Z15-Z16</f>
        <v>10344540.699754991</v>
      </c>
    </row>
    <row r="12" spans="1:26"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5616">
        <f>+'Phụ lục số 1'!V10</f>
        <v>3732300</v>
      </c>
      <c r="L12" s="1828">
        <f>SUM(M12:N12)</f>
        <v>9885044.974463433</v>
      </c>
      <c r="M12" s="45">
        <f>+'Phụ lục số 1'!AA10</f>
        <v>5511695.4648282835</v>
      </c>
      <c r="N12" s="45">
        <f>+'Phụ lục số 1'!AB10</f>
        <v>4373349.5096351504</v>
      </c>
      <c r="O12" s="45">
        <f>SUM(P12:Q12)</f>
        <v>10529022.347310523</v>
      </c>
      <c r="P12" s="45">
        <f>+'Phụ lục số 1'!AG10</f>
        <v>5765742.4464954007</v>
      </c>
      <c r="Q12" s="1647">
        <f>+'Phụ lục số 1'!AH10</f>
        <v>4763279.9008151218</v>
      </c>
      <c r="R12" s="1828">
        <f>SUM(S12:T12)</f>
        <v>11208170.817041602</v>
      </c>
      <c r="S12" s="45">
        <f>+'Phụ lục số 1'!AM10</f>
        <v>5930790.4572761953</v>
      </c>
      <c r="T12" s="45">
        <f>+'Phụ lục số 1'!AN10</f>
        <v>5277380.3597654067</v>
      </c>
      <c r="U12" s="45">
        <f>SUM(V12:W12)</f>
        <v>12253474.103208464</v>
      </c>
      <c r="V12" s="45">
        <f>+'Phụ lục số 1'!AS10</f>
        <v>6539213.6457012147</v>
      </c>
      <c r="W12" s="45">
        <f>+'Phụ lục số 1'!AT10</f>
        <v>5714260.457507249</v>
      </c>
      <c r="X12" s="45">
        <f>SUM(Y12:Z12)</f>
        <v>13858943.479451831</v>
      </c>
      <c r="Y12" s="45">
        <f>+'Phụ lục số 1'!AY10</f>
        <v>7420293.3738592537</v>
      </c>
      <c r="Z12" s="45">
        <f>+'Phụ lục số 1'!AZ10</f>
        <v>6438650.1055925777</v>
      </c>
    </row>
    <row r="13" spans="1:26" ht="18" customHeight="1">
      <c r="A13" s="611"/>
      <c r="B13" s="1923" t="s">
        <v>186</v>
      </c>
      <c r="C13" s="46"/>
      <c r="D13" s="46"/>
      <c r="E13" s="46"/>
      <c r="F13" s="46"/>
      <c r="G13" s="46"/>
      <c r="H13" s="46"/>
      <c r="I13" s="46"/>
      <c r="J13" s="46"/>
      <c r="K13" s="1645"/>
      <c r="L13" s="1827"/>
      <c r="M13" s="46"/>
      <c r="N13" s="46"/>
      <c r="O13" s="46"/>
      <c r="P13" s="46"/>
      <c r="Q13" s="1645"/>
      <c r="R13" s="1827"/>
      <c r="S13" s="46"/>
      <c r="T13" s="46"/>
      <c r="U13" s="46"/>
      <c r="V13" s="46"/>
      <c r="W13" s="46"/>
      <c r="X13" s="46"/>
      <c r="Y13" s="46"/>
      <c r="Z13" s="1645"/>
    </row>
    <row r="14" spans="1:26"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648">
        <f>+'Phụ lục số 1'!V42</f>
        <v>1093500</v>
      </c>
      <c r="L14" s="1829">
        <f>SUM(M14:N14)</f>
        <v>1800000</v>
      </c>
      <c r="M14" s="193">
        <f>+'Phụ lục số 1'!AA42</f>
        <v>540000</v>
      </c>
      <c r="N14" s="193">
        <f>+'Phụ lục số 1'!AB42</f>
        <v>1260000</v>
      </c>
      <c r="O14" s="193">
        <f>SUM(P14:Q14)</f>
        <v>1800000</v>
      </c>
      <c r="P14" s="193">
        <f>+'Phụ lục số 1'!AG42</f>
        <v>540000</v>
      </c>
      <c r="Q14" s="1648">
        <f>+'Phụ lục số 1'!AH42</f>
        <v>1260000</v>
      </c>
      <c r="R14" s="1829">
        <f>SUM(S14:T14)</f>
        <v>1800000</v>
      </c>
      <c r="S14" s="193">
        <f>+'Phụ lục số 1'!AM42</f>
        <v>540000</v>
      </c>
      <c r="T14" s="193">
        <f>+'Phụ lục số 1'!AN42</f>
        <v>1260000</v>
      </c>
      <c r="U14" s="193">
        <f>SUM(V14:W14)</f>
        <v>1950000</v>
      </c>
      <c r="V14" s="193">
        <f>+'Phụ lục số 1'!AS42</f>
        <v>600000</v>
      </c>
      <c r="W14" s="193">
        <f>+'Phụ lục số 1'!AT42</f>
        <v>1350000</v>
      </c>
      <c r="X14" s="193">
        <f>SUM(Y14:Z14)</f>
        <v>2100000</v>
      </c>
      <c r="Y14" s="193">
        <f>+'Phụ lục số 1'!AY42</f>
        <v>615000</v>
      </c>
      <c r="Z14" s="193">
        <f>+'Phụ lục số 1'!AZ42</f>
        <v>1485000</v>
      </c>
    </row>
    <row r="15" spans="1:26" s="1649" customFormat="1">
      <c r="A15" s="614"/>
      <c r="B15" s="1925" t="s">
        <v>243</v>
      </c>
      <c r="C15" s="1639">
        <f>SUM(D15:E15)</f>
        <v>1950000</v>
      </c>
      <c r="D15" s="1639">
        <f>+'Phụ lục số 1'!H50</f>
        <v>1950000</v>
      </c>
      <c r="E15" s="1639">
        <f>+'Phụ lục số 1'!I50</f>
        <v>0</v>
      </c>
      <c r="F15" s="193">
        <f t="shared" ref="F15:F17" si="12">SUM(G15:H15)</f>
        <v>2150000</v>
      </c>
      <c r="G15" s="193">
        <f>+'Phụ lục số 1'!O50</f>
        <v>2150000</v>
      </c>
      <c r="H15" s="193">
        <f>+'Phụ lục số 1'!P50</f>
        <v>0</v>
      </c>
      <c r="I15" s="193">
        <f t="shared" ref="I15:I17" si="13">SUM(J15:K15)</f>
        <v>2100000</v>
      </c>
      <c r="J15" s="193">
        <f>+'Phụ lục số 1'!U50</f>
        <v>2100000</v>
      </c>
      <c r="K15" s="1648">
        <f>+'Phụ lục số 1'!V50</f>
        <v>0</v>
      </c>
      <c r="L15" s="1829">
        <f t="shared" ref="L15:L17" si="14">SUM(M15:N15)</f>
        <v>2200000</v>
      </c>
      <c r="M15" s="193">
        <f>+'Phụ lục số 1'!AA50</f>
        <v>2200000</v>
      </c>
      <c r="N15" s="193">
        <f>'Phụ lục số I'!AB50</f>
        <v>0</v>
      </c>
      <c r="O15" s="193">
        <f t="shared" ref="O15:O17" si="15">SUM(P15:Q15)</f>
        <v>2200000</v>
      </c>
      <c r="P15" s="193">
        <f>+'Phụ lục số 1'!AG50</f>
        <v>2200000</v>
      </c>
      <c r="Q15" s="1648">
        <f>+'Phụ lục số 1'!AH50</f>
        <v>0</v>
      </c>
      <c r="R15" s="1829">
        <f t="shared" ref="R15:R17" si="16">SUM(S15:T15)</f>
        <v>2300000</v>
      </c>
      <c r="S15" s="193">
        <f>+'Phụ lục số 1'!AM50</f>
        <v>2300000</v>
      </c>
      <c r="T15" s="193">
        <f>+'Phụ lục số 1'!AN50</f>
        <v>0</v>
      </c>
      <c r="U15" s="193">
        <f t="shared" ref="U15:U17" si="17">SUM(V15:W15)</f>
        <v>2450000</v>
      </c>
      <c r="V15" s="193">
        <f>+'Phụ lục số 1'!AS50</f>
        <v>2450000</v>
      </c>
      <c r="W15" s="193">
        <f>+'Phụ lục số 1'!AT50</f>
        <v>0</v>
      </c>
      <c r="X15" s="193">
        <f t="shared" ref="X15:X17" si="18">SUM(Y15:Z15)</f>
        <v>3000000</v>
      </c>
      <c r="Y15" s="193">
        <f>+'Phụ lục số 1'!AY50</f>
        <v>3000000</v>
      </c>
      <c r="Z15" s="193">
        <f>+'Phụ lục số 1'!AZ50</f>
        <v>0</v>
      </c>
    </row>
    <row r="16" spans="1:26" s="1649" customFormat="1">
      <c r="A16" s="614"/>
      <c r="B16" s="1925" t="s">
        <v>244</v>
      </c>
      <c r="C16" s="1639">
        <f>SUM(D16:E16)</f>
        <v>445054.16200000001</v>
      </c>
      <c r="D16" s="1639">
        <f>+'Phụ lục số 1'!H47</f>
        <v>445054.16200000001</v>
      </c>
      <c r="E16" s="1639">
        <f>+'Phụ lục số 1'!I47</f>
        <v>0</v>
      </c>
      <c r="F16" s="193">
        <f t="shared" si="12"/>
        <v>434122.16200000001</v>
      </c>
      <c r="G16" s="193">
        <f>+'Phụ lục số 1'!O47</f>
        <v>434122.16200000001</v>
      </c>
      <c r="H16" s="193">
        <f>+'Phụ lục số 1'!P47</f>
        <v>0</v>
      </c>
      <c r="I16" s="193">
        <f t="shared" si="13"/>
        <v>33000</v>
      </c>
      <c r="J16" s="193">
        <f>+'Phụ lục số 1'!U47</f>
        <v>33000</v>
      </c>
      <c r="K16" s="1648">
        <f>+'Phụ lục số 1'!V47</f>
        <v>0</v>
      </c>
      <c r="L16" s="1829">
        <f t="shared" si="14"/>
        <v>100000</v>
      </c>
      <c r="M16" s="193">
        <f>+'Phụ lục số 1'!AA47</f>
        <v>100000</v>
      </c>
      <c r="N16" s="193">
        <f>+'Phụ lục số 1'!AB47</f>
        <v>0</v>
      </c>
      <c r="O16" s="193">
        <f t="shared" si="15"/>
        <v>110000</v>
      </c>
      <c r="P16" s="193">
        <f>+'Phụ lục số 1'!AG47</f>
        <v>110000</v>
      </c>
      <c r="Q16" s="1648">
        <f>+'Phụ lục số 1'!AH47</f>
        <v>0</v>
      </c>
      <c r="R16" s="1829">
        <f t="shared" si="16"/>
        <v>120000</v>
      </c>
      <c r="S16" s="193">
        <f>+'Phụ lục số 1'!AM47</f>
        <v>120000</v>
      </c>
      <c r="T16" s="193">
        <f>+'Phụ lục số 1'!AN47</f>
        <v>0</v>
      </c>
      <c r="U16" s="193">
        <f t="shared" si="17"/>
        <v>130000</v>
      </c>
      <c r="V16" s="193">
        <f>+'Phụ lục số 1'!AS47</f>
        <v>130000</v>
      </c>
      <c r="W16" s="193">
        <f>+'Phụ lục số 1'!AT47</f>
        <v>0</v>
      </c>
      <c r="X16" s="193">
        <f t="shared" si="18"/>
        <v>160000</v>
      </c>
      <c r="Y16" s="193">
        <f>+'Phụ lục số 1'!AY47</f>
        <v>160000</v>
      </c>
      <c r="Z16" s="193">
        <f>+'Phụ lục số 1'!AZ47</f>
        <v>0</v>
      </c>
    </row>
    <row r="17" spans="1:29" s="1649" customFormat="1">
      <c r="A17" s="614"/>
      <c r="B17" s="1925" t="s">
        <v>245</v>
      </c>
      <c r="C17" s="1639">
        <f>SUM(D17:E17)</f>
        <v>4727930</v>
      </c>
      <c r="D17" s="1639">
        <f>D12-D14-D15-D16</f>
        <v>1931850.0000000005</v>
      </c>
      <c r="E17" s="1639">
        <f t="shared" ref="E17" si="19">E12-E14-E15-E16</f>
        <v>2796080</v>
      </c>
      <c r="F17" s="193">
        <f t="shared" si="12"/>
        <v>4365888.9836352691</v>
      </c>
      <c r="G17" s="1639">
        <f>G12-G14-G15-G16</f>
        <v>1944748.3236352694</v>
      </c>
      <c r="H17" s="1639">
        <f t="shared" ref="H17" si="20">H12-H14-H15-H16</f>
        <v>2421140.66</v>
      </c>
      <c r="I17" s="193">
        <f t="shared" si="13"/>
        <v>4982518.7960000001</v>
      </c>
      <c r="J17" s="1639">
        <f>J12-J14-J15-J16</f>
        <v>2343718.7960000001</v>
      </c>
      <c r="K17" s="1650">
        <f t="shared" ref="K17" si="21">K12-K14-K15-K16</f>
        <v>2638800</v>
      </c>
      <c r="L17" s="1829">
        <f t="shared" si="14"/>
        <v>5785044.974463434</v>
      </c>
      <c r="M17" s="1639">
        <f>M12-M14-M15-M16</f>
        <v>2671695.4648282835</v>
      </c>
      <c r="N17" s="1639">
        <f>N12-N14-N15-N16</f>
        <v>3113349.5096351504</v>
      </c>
      <c r="O17" s="193">
        <f t="shared" si="15"/>
        <v>6419022.3473105226</v>
      </c>
      <c r="P17" s="1639">
        <f>P12-P14-P15-P16</f>
        <v>2915742.4464954007</v>
      </c>
      <c r="Q17" s="1650">
        <f t="shared" ref="Q17" si="22">Q12-Q14-Q15-Q16</f>
        <v>3503279.9008151218</v>
      </c>
      <c r="R17" s="1829">
        <f t="shared" si="16"/>
        <v>6988170.817041602</v>
      </c>
      <c r="S17" s="1639">
        <f>S12-S14-S15-S16</f>
        <v>2970790.4572761953</v>
      </c>
      <c r="T17" s="1639">
        <f t="shared" ref="T17" si="23">T12-T14-T15-T16</f>
        <v>4017380.3597654067</v>
      </c>
      <c r="U17" s="193">
        <f t="shared" si="17"/>
        <v>7723474.1032084636</v>
      </c>
      <c r="V17" s="1639">
        <f>V12-V14-V15-V16</f>
        <v>3359213.6457012147</v>
      </c>
      <c r="W17" s="1639">
        <f t="shared" ref="W17" si="24">W12-W14-W15-W16</f>
        <v>4364260.457507249</v>
      </c>
      <c r="X17" s="193">
        <f t="shared" si="18"/>
        <v>8598943.4794518314</v>
      </c>
      <c r="Y17" s="1639">
        <f>Y12-Y14-Y15-Y16</f>
        <v>3645293.3738592537</v>
      </c>
      <c r="Z17" s="1650">
        <f t="shared" ref="Z17" si="25">Z12-Z14-Z15-Z16</f>
        <v>4953650.1055925777</v>
      </c>
    </row>
    <row r="18" spans="1:29">
      <c r="A18" s="611" t="s">
        <v>33</v>
      </c>
      <c r="B18" s="1923" t="s">
        <v>203</v>
      </c>
      <c r="C18" s="195">
        <f>SUM(C19:C21)</f>
        <v>14339802.348000001</v>
      </c>
      <c r="D18" s="195">
        <f>SUM(D19:D21)</f>
        <v>9256479</v>
      </c>
      <c r="E18" s="195">
        <f>SUM(E19:E21)</f>
        <v>5083323.3480000002</v>
      </c>
      <c r="F18" s="195">
        <f>SUM(F19:F21)</f>
        <v>14641829.348000001</v>
      </c>
      <c r="G18" s="195">
        <f t="shared" ref="G18" si="26">SUM(G19:G21)</f>
        <v>9558506</v>
      </c>
      <c r="H18" s="195">
        <f>SUM(H19:H21)</f>
        <v>5083323.3480000002</v>
      </c>
      <c r="I18" s="195">
        <f>SUM(I19:I21)</f>
        <v>18981426.907000002</v>
      </c>
      <c r="J18" s="195">
        <f>SUM(J19:J21)</f>
        <v>11903075</v>
      </c>
      <c r="K18" s="1646">
        <f t="shared" ref="K18" si="27">SUM(K19:K21)</f>
        <v>7078351.9069999997</v>
      </c>
      <c r="L18" s="1830">
        <f t="shared" ref="L18:Z18" si="28">SUM(L19:L21)</f>
        <v>18981426.907000002</v>
      </c>
      <c r="M18" s="195">
        <f t="shared" si="28"/>
        <v>11903075</v>
      </c>
      <c r="N18" s="195">
        <f t="shared" si="28"/>
        <v>7078351.9069999997</v>
      </c>
      <c r="O18" s="195">
        <f t="shared" si="28"/>
        <v>18981426.907000002</v>
      </c>
      <c r="P18" s="195">
        <f t="shared" si="28"/>
        <v>11903075</v>
      </c>
      <c r="Q18" s="1646">
        <f t="shared" si="28"/>
        <v>7078351.9069999997</v>
      </c>
      <c r="R18" s="195">
        <f t="shared" si="28"/>
        <v>18981426.907000002</v>
      </c>
      <c r="S18" s="195">
        <f t="shared" si="28"/>
        <v>11903075</v>
      </c>
      <c r="T18" s="1646">
        <f t="shared" si="28"/>
        <v>7078351.9069999997</v>
      </c>
      <c r="U18" s="195">
        <f t="shared" si="28"/>
        <v>18981426.907000002</v>
      </c>
      <c r="V18" s="195">
        <f t="shared" si="28"/>
        <v>11903075</v>
      </c>
      <c r="W18" s="1646">
        <f t="shared" si="28"/>
        <v>7078351.9069999997</v>
      </c>
      <c r="X18" s="195">
        <f t="shared" si="28"/>
        <v>18981426.907000002</v>
      </c>
      <c r="Y18" s="195">
        <f t="shared" si="28"/>
        <v>11903075</v>
      </c>
      <c r="Z18" s="1646">
        <f t="shared" si="28"/>
        <v>7078351.9069999997</v>
      </c>
    </row>
    <row r="19" spans="1:29"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5617">
        <f>H19</f>
        <v>4430923</v>
      </c>
      <c r="L19" s="1828">
        <f>SUM(M19:N19)</f>
        <v>11180411</v>
      </c>
      <c r="M19" s="45">
        <f>+'Phụ lục số 1'!AA58</f>
        <v>6749488</v>
      </c>
      <c r="N19" s="4808">
        <f>+K19</f>
        <v>4430923</v>
      </c>
      <c r="O19" s="45">
        <f>SUM(P19:Q19)</f>
        <v>11180411</v>
      </c>
      <c r="P19" s="45">
        <f>+'Phụ lục số 1'!AG58</f>
        <v>6749488</v>
      </c>
      <c r="Q19" s="1647">
        <f>N19</f>
        <v>4430923</v>
      </c>
      <c r="R19" s="1828">
        <f>SUM(S19:T19)</f>
        <v>11180411</v>
      </c>
      <c r="S19" s="45">
        <f>+'Phụ lục số 1'!AM58</f>
        <v>6749488</v>
      </c>
      <c r="T19" s="45">
        <f>N19</f>
        <v>4430923</v>
      </c>
      <c r="U19" s="45">
        <f>SUM(V19:W19)</f>
        <v>11180411</v>
      </c>
      <c r="V19" s="45">
        <f>+'Phụ lục số 1'!AS58</f>
        <v>6749488</v>
      </c>
      <c r="W19" s="45">
        <f>T19</f>
        <v>4430923</v>
      </c>
      <c r="X19" s="45">
        <f>SUM(Y19:Z19)</f>
        <v>11180411</v>
      </c>
      <c r="Y19" s="45">
        <f>+'Phụ lục số 1'!AY58</f>
        <v>6749488</v>
      </c>
      <c r="Z19" s="1647">
        <f>W19</f>
        <v>4430923</v>
      </c>
    </row>
    <row r="20" spans="1:29"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5617">
        <f>+'Phụ lục số 7'!E38</f>
        <v>1681469</v>
      </c>
      <c r="L20" s="1828">
        <f>SUM(M20:N20)</f>
        <v>3798064</v>
      </c>
      <c r="M20" s="45">
        <f>+'Phụ lục số 1'!AA60</f>
        <v>2116595</v>
      </c>
      <c r="N20" s="4808">
        <f>+K20</f>
        <v>1681469</v>
      </c>
      <c r="O20" s="45">
        <f>SUM(P20:Q20)</f>
        <v>3798064</v>
      </c>
      <c r="P20" s="45">
        <f>+'Phụ lục số 1'!AG60</f>
        <v>2116595</v>
      </c>
      <c r="Q20" s="1647">
        <f>+N20</f>
        <v>1681469</v>
      </c>
      <c r="R20" s="1828">
        <f>SUM(S20:T20)</f>
        <v>3798064</v>
      </c>
      <c r="S20" s="45">
        <f>+'Phụ lục số 1'!AM60</f>
        <v>2116595</v>
      </c>
      <c r="T20" s="45">
        <f>+Q20</f>
        <v>1681469</v>
      </c>
      <c r="U20" s="45">
        <f>SUM(V20:W20)</f>
        <v>3798064</v>
      </c>
      <c r="V20" s="45">
        <f>+'Phụ lục số 1'!AS60</f>
        <v>2116595</v>
      </c>
      <c r="W20" s="45">
        <f>+T20</f>
        <v>1681469</v>
      </c>
      <c r="X20" s="45">
        <f>SUM(Y20:Z20)</f>
        <v>3798064</v>
      </c>
      <c r="Y20" s="45">
        <f>+'Phụ lục số 1'!AY60</f>
        <v>2116595</v>
      </c>
      <c r="Z20" s="1647">
        <f>+W20</f>
        <v>1681469</v>
      </c>
    </row>
    <row r="21" spans="1:29" s="49" customFormat="1" ht="17.399999999999999">
      <c r="A21" s="611">
        <v>3</v>
      </c>
      <c r="B21" s="1923" t="s">
        <v>207</v>
      </c>
      <c r="C21" s="195">
        <f>SUM(C22,C25,C28)</f>
        <v>2408442.3480000002</v>
      </c>
      <c r="D21" s="195">
        <f t="shared" ref="D21:G21" si="29">SUM(D22,D25,D28)</f>
        <v>1988976</v>
      </c>
      <c r="E21" s="195">
        <f>SUM(E22,E25,E28)</f>
        <v>419466.34799999994</v>
      </c>
      <c r="F21" s="195">
        <f>SUM(F22,F25,F28)</f>
        <v>2547001.3480000002</v>
      </c>
      <c r="G21" s="195">
        <f t="shared" si="29"/>
        <v>2127535</v>
      </c>
      <c r="H21" s="195">
        <f>SUM(H22,H25,H28)</f>
        <v>419466.34799999994</v>
      </c>
      <c r="I21" s="195">
        <f>SUM(I22,I25,I28)</f>
        <v>4002951.9070000001</v>
      </c>
      <c r="J21" s="195">
        <f t="shared" ref="J21:Q21" si="30">SUM(J22,J25,J28)</f>
        <v>3036992</v>
      </c>
      <c r="K21" s="1646">
        <f>SUM(K22,K25,K28)</f>
        <v>965959.90700000001</v>
      </c>
      <c r="L21" s="1830">
        <f>SUM(L22,L25,L28)</f>
        <v>4002951.9070000001</v>
      </c>
      <c r="M21" s="195">
        <f t="shared" si="30"/>
        <v>3036992</v>
      </c>
      <c r="N21" s="195">
        <f t="shared" si="30"/>
        <v>965959.90700000001</v>
      </c>
      <c r="O21" s="195">
        <f>SUM(O22,O25,O28)</f>
        <v>4002951.9070000001</v>
      </c>
      <c r="P21" s="195">
        <f t="shared" si="30"/>
        <v>3036992</v>
      </c>
      <c r="Q21" s="1646">
        <f t="shared" si="30"/>
        <v>965959.90700000001</v>
      </c>
      <c r="R21" s="1830">
        <f>SUM(R22,R25,R28)</f>
        <v>4002951.9070000001</v>
      </c>
      <c r="S21" s="195">
        <f t="shared" ref="S21:T21" si="31">SUM(S22,S25,S28)</f>
        <v>3036992</v>
      </c>
      <c r="T21" s="195">
        <f t="shared" si="31"/>
        <v>965959.90700000001</v>
      </c>
      <c r="U21" s="195">
        <f>SUM(U22,U25,U28)</f>
        <v>4002951.9070000001</v>
      </c>
      <c r="V21" s="195">
        <f t="shared" ref="V21:W21" si="32">SUM(V22,V25,V28)</f>
        <v>3036992</v>
      </c>
      <c r="W21" s="195">
        <f t="shared" si="32"/>
        <v>965959.90700000001</v>
      </c>
      <c r="X21" s="195">
        <f>SUM(X22,X25,X28)</f>
        <v>4002951.9070000001</v>
      </c>
      <c r="Y21" s="195">
        <f t="shared" ref="Y21:Z21" si="33">SUM(Y22,Y25,Y28)</f>
        <v>3036992</v>
      </c>
      <c r="Z21" s="1646">
        <f t="shared" si="33"/>
        <v>965959.90700000001</v>
      </c>
    </row>
    <row r="22" spans="1:29" ht="42.75" customHeight="1">
      <c r="A22" s="1926" t="s">
        <v>204</v>
      </c>
      <c r="B22" s="1927" t="s">
        <v>42</v>
      </c>
      <c r="C22" s="196">
        <f>SUM(C23:C24)</f>
        <v>1814491</v>
      </c>
      <c r="D22" s="196">
        <f t="shared" ref="D22:Q22" si="34">SUM(D23:D24)</f>
        <v>1814491</v>
      </c>
      <c r="E22" s="196">
        <f t="shared" si="34"/>
        <v>0</v>
      </c>
      <c r="F22" s="196">
        <f>SUM(F23:F24)</f>
        <v>1814491</v>
      </c>
      <c r="G22" s="196">
        <f t="shared" si="34"/>
        <v>1814491</v>
      </c>
      <c r="H22" s="196">
        <f t="shared" si="34"/>
        <v>0</v>
      </c>
      <c r="I22" s="196">
        <f>SUM(I23:I24)</f>
        <v>2530494</v>
      </c>
      <c r="J22" s="196">
        <f>SUM(J23:J24)</f>
        <v>2530494</v>
      </c>
      <c r="K22" s="1652">
        <f t="shared" si="34"/>
        <v>0</v>
      </c>
      <c r="L22" s="1831">
        <f>SUM(L23:L24)</f>
        <v>2530494</v>
      </c>
      <c r="M22" s="196">
        <f t="shared" si="34"/>
        <v>2530494</v>
      </c>
      <c r="N22" s="196">
        <f>SUM(N23:N24)</f>
        <v>0</v>
      </c>
      <c r="O22" s="196">
        <f>SUM(O23:O24)</f>
        <v>2530494</v>
      </c>
      <c r="P22" s="196">
        <f t="shared" si="34"/>
        <v>2530494</v>
      </c>
      <c r="Q22" s="1652">
        <f t="shared" si="34"/>
        <v>0</v>
      </c>
      <c r="R22" s="1831">
        <f>SUM(R23:R24)</f>
        <v>2530494</v>
      </c>
      <c r="S22" s="196">
        <f t="shared" ref="S22:T22" si="35">SUM(S23:S24)</f>
        <v>2530494</v>
      </c>
      <c r="T22" s="196">
        <f t="shared" si="35"/>
        <v>0</v>
      </c>
      <c r="U22" s="196">
        <f>SUM(U23:U24)</f>
        <v>2530494</v>
      </c>
      <c r="V22" s="196">
        <f t="shared" ref="V22:W22" si="36">SUM(V23:V24)</f>
        <v>2530494</v>
      </c>
      <c r="W22" s="196">
        <f t="shared" si="36"/>
        <v>0</v>
      </c>
      <c r="X22" s="196">
        <f>SUM(X23:X24)</f>
        <v>2530494</v>
      </c>
      <c r="Y22" s="196">
        <f t="shared" ref="Y22:Z22" si="37">SUM(Y23:Y24)</f>
        <v>2530494</v>
      </c>
      <c r="Z22" s="1652">
        <f t="shared" si="37"/>
        <v>0</v>
      </c>
    </row>
    <row r="23" spans="1:29" hidden="1">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5618"/>
      <c r="L23" s="1827">
        <f>SUM(M23:N23)</f>
        <v>2399255</v>
      </c>
      <c r="M23" s="46">
        <f>+'Phụ lục số 1'!AA63</f>
        <v>2399255</v>
      </c>
      <c r="N23" s="46"/>
      <c r="O23" s="46">
        <f>SUM(P23:Q23)</f>
        <v>2399255</v>
      </c>
      <c r="P23" s="46">
        <f>+'Phụ lục số 1'!AG63</f>
        <v>2399255</v>
      </c>
      <c r="Q23" s="1645"/>
      <c r="R23" s="1827">
        <f>SUM(S23:T23)</f>
        <v>2399255</v>
      </c>
      <c r="S23" s="46">
        <f>+'Phụ lục số 1'!AM63</f>
        <v>2399255</v>
      </c>
      <c r="T23" s="46">
        <f>+'Phụ lục số 1'!AN63</f>
        <v>0</v>
      </c>
      <c r="U23" s="46">
        <f>SUM(V23:W23)</f>
        <v>2399255</v>
      </c>
      <c r="V23" s="46">
        <f>+'Phụ lục số 1'!AS63</f>
        <v>2399255</v>
      </c>
      <c r="W23" s="46"/>
      <c r="X23" s="46">
        <f>SUM(Y23:Z23)</f>
        <v>2399255</v>
      </c>
      <c r="Y23" s="46">
        <f>+'Phụ lục số 1'!AY63</f>
        <v>2399255</v>
      </c>
      <c r="Z23" s="1645"/>
    </row>
    <row r="24" spans="1:29" hidden="1">
      <c r="A24" s="1926" t="s">
        <v>101</v>
      </c>
      <c r="B24" s="1927" t="s">
        <v>102</v>
      </c>
      <c r="C24" s="196">
        <f t="shared" ref="C24" si="38">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5618"/>
      <c r="L24" s="1827">
        <f>SUM(M24:N24)</f>
        <v>131239</v>
      </c>
      <c r="M24" s="46">
        <f>+'Phụ lục số 1'!AA64</f>
        <v>131239</v>
      </c>
      <c r="N24" s="46"/>
      <c r="O24" s="46">
        <f>SUM(P24:Q24)</f>
        <v>131239</v>
      </c>
      <c r="P24" s="46">
        <f>+'Phụ lục số 1'!AG64</f>
        <v>131239</v>
      </c>
      <c r="Q24" s="1645"/>
      <c r="R24" s="1827">
        <f>SUM(S24:T24)</f>
        <v>131239</v>
      </c>
      <c r="S24" s="46">
        <f>+'Phụ lục số 1'!AM64</f>
        <v>131239</v>
      </c>
      <c r="T24" s="46">
        <f>+'Phụ lục số 1'!AN64</f>
        <v>0</v>
      </c>
      <c r="U24" s="46">
        <f>SUM(V24:W24)</f>
        <v>131239</v>
      </c>
      <c r="V24" s="46">
        <f>+'Phụ lục số 1'!AS64</f>
        <v>131239</v>
      </c>
      <c r="W24" s="46"/>
      <c r="X24" s="46">
        <f>SUM(Y24:Z24)</f>
        <v>131239</v>
      </c>
      <c r="Y24" s="46">
        <f>+'Phụ lục số 1'!AY64</f>
        <v>131239</v>
      </c>
      <c r="Z24" s="1645"/>
    </row>
    <row r="25" spans="1:29" ht="36" customHeight="1">
      <c r="A25" s="1926" t="s">
        <v>206</v>
      </c>
      <c r="B25" s="1927" t="s">
        <v>43</v>
      </c>
      <c r="C25" s="196">
        <f>SUM(C26:C27)</f>
        <v>500282.99999999994</v>
      </c>
      <c r="D25" s="196">
        <f t="shared" ref="D25:Z25" si="39">SUM(D26:D27)</f>
        <v>174485</v>
      </c>
      <c r="E25" s="196">
        <f t="shared" si="39"/>
        <v>325797.99999999994</v>
      </c>
      <c r="F25" s="196">
        <f>SUM(F26:F27)</f>
        <v>500282.99999999994</v>
      </c>
      <c r="G25" s="196">
        <f t="shared" si="39"/>
        <v>174485</v>
      </c>
      <c r="H25" s="196">
        <f t="shared" si="39"/>
        <v>325797.99999999994</v>
      </c>
      <c r="I25" s="196">
        <f>SUM(I26:I27)</f>
        <v>894399.13899999997</v>
      </c>
      <c r="J25" s="196">
        <f t="shared" si="39"/>
        <v>221912</v>
      </c>
      <c r="K25" s="1652">
        <f t="shared" si="39"/>
        <v>672487.13899999997</v>
      </c>
      <c r="L25" s="1831">
        <f>SUM(L26:L27)</f>
        <v>894399.13899999997</v>
      </c>
      <c r="M25" s="196">
        <f t="shared" si="39"/>
        <v>221912</v>
      </c>
      <c r="N25" s="196">
        <f t="shared" si="39"/>
        <v>672487.13899999997</v>
      </c>
      <c r="O25" s="196">
        <f>SUM(O26:O27)</f>
        <v>894399.13899999997</v>
      </c>
      <c r="P25" s="196">
        <f t="shared" si="39"/>
        <v>221912</v>
      </c>
      <c r="Q25" s="1652">
        <f t="shared" si="39"/>
        <v>672487.13899999997</v>
      </c>
      <c r="R25" s="1831">
        <f>SUM(R26:R27)</f>
        <v>894399.13899999997</v>
      </c>
      <c r="S25" s="196">
        <f t="shared" si="39"/>
        <v>221912</v>
      </c>
      <c r="T25" s="196">
        <f t="shared" si="39"/>
        <v>672487.13899999997</v>
      </c>
      <c r="U25" s="196">
        <f>SUM(U26:U27)</f>
        <v>894399.13899999997</v>
      </c>
      <c r="V25" s="196">
        <f t="shared" si="39"/>
        <v>221912</v>
      </c>
      <c r="W25" s="196">
        <f t="shared" si="39"/>
        <v>672487.13899999997</v>
      </c>
      <c r="X25" s="196">
        <f>SUM(X26:X27)</f>
        <v>894399.13899999997</v>
      </c>
      <c r="Y25" s="196">
        <f t="shared" si="39"/>
        <v>221912</v>
      </c>
      <c r="Z25" s="1652">
        <f t="shared" si="39"/>
        <v>672487.13899999997</v>
      </c>
    </row>
    <row r="26" spans="1:29" hidden="1">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5618">
        <f>+'Phụ lục số 7'!E39-K30</f>
        <v>672487.13899999997</v>
      </c>
      <c r="L26" s="1827">
        <f>SUM(M26:N26)</f>
        <v>858494.13899999997</v>
      </c>
      <c r="M26" s="46">
        <f>+'Phụ lục số 1'!AA66</f>
        <v>186007</v>
      </c>
      <c r="N26" s="46">
        <f>K26</f>
        <v>672487.13899999997</v>
      </c>
      <c r="O26" s="46">
        <f>SUM(P26:Q26)</f>
        <v>858494.13899999997</v>
      </c>
      <c r="P26" s="46">
        <f>+'Phụ lục số 1'!AG66</f>
        <v>186007</v>
      </c>
      <c r="Q26" s="1645">
        <f>N26</f>
        <v>672487.13899999997</v>
      </c>
      <c r="R26" s="1827">
        <f>SUM(S26:T26)</f>
        <v>858494.13899999997</v>
      </c>
      <c r="S26" s="46">
        <f>+'Phụ lục số 1'!AM66</f>
        <v>186007</v>
      </c>
      <c r="T26" s="46">
        <f>N26</f>
        <v>672487.13899999997</v>
      </c>
      <c r="U26" s="46">
        <f>SUM(V26:W26)</f>
        <v>858494.13899999997</v>
      </c>
      <c r="V26" s="46">
        <f>+'Phụ lục số 1'!AS66</f>
        <v>186007</v>
      </c>
      <c r="W26" s="46">
        <f>T26</f>
        <v>672487.13899999997</v>
      </c>
      <c r="X26" s="46">
        <f>SUM(Y26:Z26)</f>
        <v>858494.13899999997</v>
      </c>
      <c r="Y26" s="46">
        <f>+'Phụ lục số 1'!AY66</f>
        <v>186007</v>
      </c>
      <c r="Z26" s="1645">
        <f>W26</f>
        <v>672487.13899999997</v>
      </c>
    </row>
    <row r="27" spans="1:29" hidden="1">
      <c r="A27" s="1926" t="s">
        <v>101</v>
      </c>
      <c r="B27" s="1927" t="s">
        <v>102</v>
      </c>
      <c r="C27" s="196">
        <f t="shared" ref="C27" si="40">SUM(D27:E27)</f>
        <v>102016</v>
      </c>
      <c r="D27" s="196">
        <f>+'Phụ lục số 1'!H67</f>
        <v>102016</v>
      </c>
      <c r="E27" s="196"/>
      <c r="F27" s="46">
        <f>SUM(G27:H27)</f>
        <v>102016</v>
      </c>
      <c r="G27" s="46">
        <f>+'Phụ lục số 1'!O67</f>
        <v>102016</v>
      </c>
      <c r="H27" s="46"/>
      <c r="I27" s="46">
        <f>SUM(J27:K27)</f>
        <v>35905</v>
      </c>
      <c r="J27" s="4804">
        <f>+'Phụ lục số 1'!U67</f>
        <v>35905</v>
      </c>
      <c r="K27" s="5618"/>
      <c r="L27" s="1827">
        <f>SUM(M27:N27)</f>
        <v>35905</v>
      </c>
      <c r="M27" s="46">
        <f>+'Phụ lục số 1'!AA67</f>
        <v>35905</v>
      </c>
      <c r="N27" s="46"/>
      <c r="O27" s="46">
        <f>SUM(P27:Q27)</f>
        <v>35905</v>
      </c>
      <c r="P27" s="46">
        <f>+'Phụ lục số 1'!AG67</f>
        <v>35905</v>
      </c>
      <c r="Q27" s="1645"/>
      <c r="R27" s="1827">
        <f>SUM(S27:T27)</f>
        <v>35905</v>
      </c>
      <c r="S27" s="46">
        <f>+'Phụ lục số 1'!AM67</f>
        <v>35905</v>
      </c>
      <c r="T27" s="46"/>
      <c r="U27" s="46">
        <f>SUM(V27:W27)</f>
        <v>35905</v>
      </c>
      <c r="V27" s="46">
        <f>+'Phụ lục số 1'!AS67</f>
        <v>35905</v>
      </c>
      <c r="W27" s="46"/>
      <c r="X27" s="46">
        <f>SUM(Y27:Z27)</f>
        <v>35905</v>
      </c>
      <c r="Y27" s="46">
        <f>+'Phụ lục số 1'!AY67</f>
        <v>35905</v>
      </c>
      <c r="Z27" s="1645"/>
    </row>
    <row r="28" spans="1:29" ht="28.5" customHeight="1">
      <c r="A28" s="1926" t="s">
        <v>237</v>
      </c>
      <c r="B28" s="46" t="s">
        <v>106</v>
      </c>
      <c r="C28" s="196">
        <f>SUM(C29:C30)</f>
        <v>93668.347999999998</v>
      </c>
      <c r="D28" s="196">
        <f t="shared" ref="D28:Z28" si="41">SUM(D29:D30)</f>
        <v>0</v>
      </c>
      <c r="E28" s="196">
        <f t="shared" si="41"/>
        <v>93668.347999999998</v>
      </c>
      <c r="F28" s="196">
        <f>SUM(F29:F30)</f>
        <v>232227.348</v>
      </c>
      <c r="G28" s="196">
        <f>SUM(G29:G30)</f>
        <v>138559</v>
      </c>
      <c r="H28" s="196">
        <f>SUM(H29:H30)</f>
        <v>93668.347999999998</v>
      </c>
      <c r="I28" s="196">
        <f>SUM(I29:I30)</f>
        <v>578058.76800000004</v>
      </c>
      <c r="J28" s="196">
        <f t="shared" si="41"/>
        <v>284586</v>
      </c>
      <c r="K28" s="1652">
        <f t="shared" si="41"/>
        <v>293472.76800000004</v>
      </c>
      <c r="L28" s="1831">
        <f>SUM(L29:L30)</f>
        <v>578058.76800000004</v>
      </c>
      <c r="M28" s="196">
        <f t="shared" si="41"/>
        <v>284586</v>
      </c>
      <c r="N28" s="196">
        <f t="shared" si="41"/>
        <v>293472.76800000004</v>
      </c>
      <c r="O28" s="196">
        <f>SUM(O29:O30)</f>
        <v>578058.76800000004</v>
      </c>
      <c r="P28" s="196">
        <f t="shared" si="41"/>
        <v>284586</v>
      </c>
      <c r="Q28" s="1652">
        <f t="shared" si="41"/>
        <v>293472.76800000004</v>
      </c>
      <c r="R28" s="1831">
        <f>SUM(R29:R30)</f>
        <v>578058.76800000004</v>
      </c>
      <c r="S28" s="196">
        <f t="shared" si="41"/>
        <v>284586</v>
      </c>
      <c r="T28" s="196">
        <f t="shared" si="41"/>
        <v>293472.76800000004</v>
      </c>
      <c r="U28" s="196">
        <f>SUM(U29:U30)</f>
        <v>578058.76800000004</v>
      </c>
      <c r="V28" s="196">
        <f t="shared" si="41"/>
        <v>284586</v>
      </c>
      <c r="W28" s="196">
        <f t="shared" si="41"/>
        <v>293472.76800000004</v>
      </c>
      <c r="X28" s="196">
        <f>SUM(X29:X30)</f>
        <v>578058.76800000004</v>
      </c>
      <c r="Y28" s="196">
        <f t="shared" si="41"/>
        <v>284586</v>
      </c>
      <c r="Z28" s="1652">
        <f t="shared" si="41"/>
        <v>293472.76800000004</v>
      </c>
    </row>
    <row r="29" spans="1:29" hidden="1">
      <c r="A29" s="1926" t="s">
        <v>99</v>
      </c>
      <c r="B29" s="1927" t="s">
        <v>104</v>
      </c>
      <c r="C29" s="196">
        <f t="shared" ref="C29:C34" si="42">SUM(D29:E29)</f>
        <v>0</v>
      </c>
      <c r="D29" s="196">
        <f>+'Phụ lục số 1'!H69</f>
        <v>0</v>
      </c>
      <c r="E29" s="196">
        <v>0</v>
      </c>
      <c r="F29" s="46">
        <f>SUM(G29:H29)</f>
        <v>0</v>
      </c>
      <c r="G29" s="46">
        <f>+'Phụ lục số 1'!O69</f>
        <v>0</v>
      </c>
      <c r="H29" s="46">
        <f>+'Phụ lục số 1'!P69</f>
        <v>0</v>
      </c>
      <c r="I29" s="46">
        <f>SUM(J29:K29)</f>
        <v>0</v>
      </c>
      <c r="J29" s="46">
        <f>+'Phụ lục số 1'!U69</f>
        <v>0</v>
      </c>
      <c r="K29" s="5618"/>
      <c r="L29" s="1827">
        <f>SUM(M29:N29)</f>
        <v>0</v>
      </c>
      <c r="M29" s="46">
        <f>+'Phụ lục số 1'!AA69</f>
        <v>0</v>
      </c>
      <c r="N29" s="46">
        <f>K29</f>
        <v>0</v>
      </c>
      <c r="O29" s="46">
        <f>SUM(P29:Q29)</f>
        <v>0</v>
      </c>
      <c r="P29" s="46">
        <f>+'Phụ lục số 1'!AG69</f>
        <v>0</v>
      </c>
      <c r="Q29" s="1645">
        <f>N29</f>
        <v>0</v>
      </c>
      <c r="R29" s="1827">
        <f>SUM(S29:T29)</f>
        <v>0</v>
      </c>
      <c r="S29" s="46">
        <f>+'Phụ lục số 1'!AM69</f>
        <v>0</v>
      </c>
      <c r="T29" s="46">
        <f>N29</f>
        <v>0</v>
      </c>
      <c r="U29" s="46">
        <f>SUM(V29:W29)</f>
        <v>0</v>
      </c>
      <c r="V29" s="46">
        <f>+'Phụ lục số 1'!AS69</f>
        <v>0</v>
      </c>
      <c r="W29" s="46">
        <f>T29</f>
        <v>0</v>
      </c>
      <c r="X29" s="46">
        <f>SUM(Y29:Z29)</f>
        <v>0</v>
      </c>
      <c r="Y29" s="46">
        <f>+'Phụ lục số 1'!AY69</f>
        <v>0</v>
      </c>
      <c r="Z29" s="1645">
        <f>W29</f>
        <v>0</v>
      </c>
    </row>
    <row r="30" spans="1:29" hidden="1">
      <c r="A30" s="1926" t="s">
        <v>101</v>
      </c>
      <c r="B30" s="1927" t="s">
        <v>105</v>
      </c>
      <c r="C30" s="196">
        <f t="shared" si="42"/>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5618">
        <f>+'Phụ lục số 10'!F20</f>
        <v>293472.76800000004</v>
      </c>
      <c r="L30" s="1827">
        <f>SUM(M30:N30)</f>
        <v>578058.76800000004</v>
      </c>
      <c r="M30" s="46">
        <f>+'Phụ lục số 1'!AA70</f>
        <v>284586</v>
      </c>
      <c r="N30" s="46">
        <f>K30</f>
        <v>293472.76800000004</v>
      </c>
      <c r="O30" s="46">
        <f>SUM(P30:Q30)</f>
        <v>578058.76800000004</v>
      </c>
      <c r="P30" s="46">
        <f>+'Phụ lục số 1'!AG70</f>
        <v>284586</v>
      </c>
      <c r="Q30" s="1645">
        <f>N30</f>
        <v>293472.76800000004</v>
      </c>
      <c r="R30" s="1827">
        <f>SUM(S30:T30)</f>
        <v>578058.76800000004</v>
      </c>
      <c r="S30" s="46">
        <f>+'Phụ lục số 1'!AM70</f>
        <v>284586</v>
      </c>
      <c r="T30" s="46">
        <f>N30</f>
        <v>293472.76800000004</v>
      </c>
      <c r="U30" s="46">
        <f>SUM(V30:W30)</f>
        <v>578058.76800000004</v>
      </c>
      <c r="V30" s="46">
        <f>+'Phụ lục số 1'!AS70</f>
        <v>284586</v>
      </c>
      <c r="W30" s="46">
        <f>T30</f>
        <v>293472.76800000004</v>
      </c>
      <c r="X30" s="46">
        <f>SUM(Y30:Z30)</f>
        <v>578058.76800000004</v>
      </c>
      <c r="Y30" s="46">
        <f>+'Phụ lục số 1'!AY70</f>
        <v>284586</v>
      </c>
      <c r="Z30" s="1645">
        <f>W30</f>
        <v>293472.76800000004</v>
      </c>
      <c r="AC30" s="679"/>
    </row>
    <row r="31" spans="1:29">
      <c r="A31" s="611" t="s">
        <v>182</v>
      </c>
      <c r="B31" s="45" t="s">
        <v>45</v>
      </c>
      <c r="C31" s="195">
        <f t="shared" si="42"/>
        <v>886000</v>
      </c>
      <c r="D31" s="195">
        <f>+'Phụ lục số 1'!H71</f>
        <v>0</v>
      </c>
      <c r="E31" s="195">
        <f>+'Phụ lục số 8.1'!C23</f>
        <v>886000</v>
      </c>
      <c r="F31" s="45">
        <f>SUM(G31:H31)</f>
        <v>1072301</v>
      </c>
      <c r="G31" s="45">
        <f>'Phụ lục số I'!O68</f>
        <v>0</v>
      </c>
      <c r="H31" s="45">
        <f>+'Phụ lục số 1'!P71</f>
        <v>1072301</v>
      </c>
      <c r="I31" s="45">
        <f t="shared" ref="I31:I32" si="43">SUM(J31:K31)</f>
        <v>941000.4</v>
      </c>
      <c r="J31" s="45">
        <f>+'Phụ lục số 1'!U71</f>
        <v>0.40000000001455194</v>
      </c>
      <c r="K31" s="1647">
        <f>+'Phụ lục số 7'!E40</f>
        <v>941000</v>
      </c>
      <c r="L31" s="1828">
        <f>SUM(M31:N31)</f>
        <v>519900</v>
      </c>
      <c r="M31" s="45">
        <f>+'Phụ lục số 1'!AA71</f>
        <v>0</v>
      </c>
      <c r="N31" s="45">
        <f>+'Phụ lục số 1'!AB71</f>
        <v>519900</v>
      </c>
      <c r="O31" s="45">
        <f t="shared" ref="O31:O32" si="44">SUM(P31:Q31)</f>
        <v>626117.15251171635</v>
      </c>
      <c r="P31" s="45">
        <f>+'Phụ lục số 1'!AG71</f>
        <v>202308.50969414107</v>
      </c>
      <c r="Q31" s="1647">
        <f>+'Phụ lục số 1'!AH71</f>
        <v>423808.64281757525</v>
      </c>
      <c r="R31" s="1828">
        <f t="shared" ref="R31:R34" si="45">SUM(S31:T31)</f>
        <v>789623.5261911191</v>
      </c>
      <c r="S31" s="45">
        <f>+'Phụ lục số 1'!AM71</f>
        <v>394092.17037477036</v>
      </c>
      <c r="T31" s="45">
        <f>+'Phụ lục số 1'!AN71</f>
        <v>395531.35581634869</v>
      </c>
      <c r="U31" s="45">
        <f t="shared" ref="U31:U34" si="46">SUM(V31:W31)</f>
        <v>1134327.0610566589</v>
      </c>
      <c r="V31" s="45">
        <f>+'Phụ lục số 1'!AS71</f>
        <v>403102.79576516763</v>
      </c>
      <c r="W31" s="45">
        <f>+'Phụ lục số 1'!AT71</f>
        <v>731224.26529149117</v>
      </c>
      <c r="X31" s="45">
        <f t="shared" ref="X31:X34" si="47">SUM(Y31:Z31)</f>
        <v>1555493.1441400896</v>
      </c>
      <c r="Y31" s="45">
        <f>+'Phụ lục số 1'!AY71</f>
        <v>595525.54997767729</v>
      </c>
      <c r="Z31" s="45">
        <f>+'Phụ lục số 1'!AZ71</f>
        <v>959967.59416241234</v>
      </c>
    </row>
    <row r="32" spans="1:29">
      <c r="A32" s="611" t="s">
        <v>215</v>
      </c>
      <c r="B32" s="45" t="s">
        <v>47</v>
      </c>
      <c r="C32" s="195">
        <f t="shared" si="42"/>
        <v>0</v>
      </c>
      <c r="D32" s="195">
        <f>+'Phụ lục số 1'!H72</f>
        <v>0</v>
      </c>
      <c r="E32" s="195">
        <f>+'Phụ lục số 1'!I72</f>
        <v>0</v>
      </c>
      <c r="F32" s="45">
        <f t="shared" ref="F32:F34" si="48">SUM(G32:H32)</f>
        <v>0</v>
      </c>
      <c r="G32" s="45">
        <f>'Phụ lục số I'!O69</f>
        <v>0</v>
      </c>
      <c r="H32" s="45">
        <f>'Phụ lục số I'!P69</f>
        <v>0</v>
      </c>
      <c r="I32" s="45">
        <f t="shared" si="43"/>
        <v>0</v>
      </c>
      <c r="J32" s="45">
        <f>+'Phụ lục số 1'!U72</f>
        <v>0</v>
      </c>
      <c r="K32" s="1647">
        <f>+'Phụ lục số 1'!V72</f>
        <v>0</v>
      </c>
      <c r="L32" s="1828">
        <f t="shared" ref="L32" si="49">SUM(M32:N32)</f>
        <v>0</v>
      </c>
      <c r="M32" s="45">
        <f>+'Phụ lục số 1'!AA72</f>
        <v>0</v>
      </c>
      <c r="N32" s="45">
        <f>+'Phụ lục số 1'!AB72</f>
        <v>0</v>
      </c>
      <c r="O32" s="45">
        <f t="shared" si="44"/>
        <v>0</v>
      </c>
      <c r="P32" s="45">
        <f>+'Phụ lục số 1'!AG72</f>
        <v>0</v>
      </c>
      <c r="Q32" s="1647">
        <f>+'Phụ lục số 1'!AH72</f>
        <v>0</v>
      </c>
      <c r="R32" s="1828">
        <f t="shared" si="45"/>
        <v>0</v>
      </c>
      <c r="S32" s="45">
        <f>+'Phụ lục số 1'!AM72</f>
        <v>0</v>
      </c>
      <c r="T32" s="46"/>
      <c r="U32" s="45">
        <f t="shared" si="46"/>
        <v>0</v>
      </c>
      <c r="V32" s="45">
        <f>+'Phụ lục số 1'!AS72</f>
        <v>0</v>
      </c>
      <c r="W32" s="46"/>
      <c r="X32" s="45">
        <f t="shared" si="47"/>
        <v>0</v>
      </c>
      <c r="Y32" s="45">
        <f>+'Phụ lục số 1'!AY72</f>
        <v>0</v>
      </c>
      <c r="Z32" s="1645"/>
    </row>
    <row r="33" spans="1:30" s="1644" customFormat="1">
      <c r="A33" s="606" t="s">
        <v>37</v>
      </c>
      <c r="B33" s="1928" t="s">
        <v>238</v>
      </c>
      <c r="C33" s="1654">
        <f t="shared" si="42"/>
        <v>24118786.304711081</v>
      </c>
      <c r="D33" s="1654">
        <f>D34+D58+D68+D69</f>
        <v>14210383.41</v>
      </c>
      <c r="E33" s="1654">
        <f>E34+E58+E68+E69</f>
        <v>9908402.8947110809</v>
      </c>
      <c r="F33" s="1654">
        <f t="shared" si="48"/>
        <v>24796182.00471108</v>
      </c>
      <c r="G33" s="1654">
        <f>G34+G58+G68+G69</f>
        <v>14701478.109999999</v>
      </c>
      <c r="H33" s="1654">
        <f>H34+H58+H68+H69</f>
        <v>10094703.894711081</v>
      </c>
      <c r="I33" s="1654">
        <f>SUM(J33:K33)</f>
        <v>28451246.103000004</v>
      </c>
      <c r="J33" s="1654">
        <f>J34+J58+J68+J69+J70</f>
        <v>16699594.196</v>
      </c>
      <c r="K33" s="1655">
        <f>K34+K58+K68+K69+K70</f>
        <v>11751651.907000003</v>
      </c>
      <c r="L33" s="1832">
        <f>SUM(M33:N33)</f>
        <v>29386371.88234026</v>
      </c>
      <c r="M33" s="1654">
        <f>M34+M58+M68+M69+M70</f>
        <v>17414770.465390719</v>
      </c>
      <c r="N33" s="1654">
        <f>N34+N58+N68+N69+N70</f>
        <v>11971601.41694954</v>
      </c>
      <c r="O33" s="1654">
        <f>SUM(P33:Q33)</f>
        <v>30136566.404882975</v>
      </c>
      <c r="P33" s="1654">
        <f>P34+P58+P68+P69+P70</f>
        <v>17871125.953539401</v>
      </c>
      <c r="Q33" s="1655">
        <f>Q34+Q58+Q68+Q69+Q70</f>
        <v>12265440.451343574</v>
      </c>
      <c r="R33" s="1832">
        <f t="shared" si="45"/>
        <v>30979221.250657756</v>
      </c>
      <c r="S33" s="1654">
        <f>S34+S58+S68+S69</f>
        <v>18227957.627458073</v>
      </c>
      <c r="T33" s="1654">
        <f>T34+T58+T68+T69</f>
        <v>12751263.623199683</v>
      </c>
      <c r="U33" s="1654">
        <f t="shared" si="46"/>
        <v>32369228.063921139</v>
      </c>
      <c r="V33" s="1654">
        <f>V34+V58+V68+V69</f>
        <v>18845391.439192384</v>
      </c>
      <c r="W33" s="1654">
        <f>W34+W58+W68+W69</f>
        <v>13523836.624728754</v>
      </c>
      <c r="X33" s="1654">
        <f t="shared" si="47"/>
        <v>34395863.527331576</v>
      </c>
      <c r="Y33" s="1654">
        <f>Y34+Y58+Y68+Y69</f>
        <v>19918893.921199735</v>
      </c>
      <c r="Z33" s="1655">
        <f>Z34+Z58+Z68+Z69</f>
        <v>14476969.606131842</v>
      </c>
      <c r="AC33" s="5102">
        <f>+J8-J33</f>
        <v>186699.99999999814</v>
      </c>
    </row>
    <row r="34" spans="1:30">
      <c r="A34" s="611" t="s">
        <v>3</v>
      </c>
      <c r="B34" s="1923" t="s">
        <v>142</v>
      </c>
      <c r="C34" s="195">
        <f t="shared" si="42"/>
        <v>17046486.95671108</v>
      </c>
      <c r="D34" s="195">
        <f>SUM(D35,D47,D52,D53,D54,D55,D56,D57)</f>
        <v>7138084.0619999999</v>
      </c>
      <c r="E34" s="195">
        <f>SUM(E35,E47,E52,E53,E54,E55,E56,E57)</f>
        <v>9908402.8947110809</v>
      </c>
      <c r="F34" s="195">
        <f t="shared" si="48"/>
        <v>17585323.656711079</v>
      </c>
      <c r="G34" s="195">
        <f>SUM(G35,G47,G52,G53,G54,G55,G56,G57)</f>
        <v>7490619.7620000001</v>
      </c>
      <c r="H34" s="195">
        <f>SUM(H35,H47,H52,H53,H54,H55,H56,H57)</f>
        <v>10094703.894711081</v>
      </c>
      <c r="I34" s="195">
        <f>SUM(J34:K34)</f>
        <v>18330348.400000006</v>
      </c>
      <c r="J34" s="195">
        <f>SUM(J35,J47,J52,J53,J54,J55,J56,J57)</f>
        <v>6833081.4930000007</v>
      </c>
      <c r="K34" s="1646">
        <f>SUM(K35,K47,K52,K53,K54,K55,K56,K57)</f>
        <v>11497266.907000003</v>
      </c>
      <c r="L34" s="1830">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646">
        <f>SUM(Q35,Q47,Q52,Q53,Q54,Q55,Q56,Q57)</f>
        <v>12011055.451343574</v>
      </c>
      <c r="R34" s="1830">
        <f t="shared" si="45"/>
        <v>20863877.343657758</v>
      </c>
      <c r="S34" s="195">
        <f>SUM(S35,S47,S52,S53,S54,S55,S56,S57)</f>
        <v>8366998.7204580745</v>
      </c>
      <c r="T34" s="195">
        <f>SUM(T35,T47,T52,T53,T54,T55,T56,T57)</f>
        <v>12496878.623199683</v>
      </c>
      <c r="U34" s="195">
        <f t="shared" si="46"/>
        <v>22253884.156921137</v>
      </c>
      <c r="V34" s="195">
        <f>SUM(V35,V47,V52,V53,V54,V55,V56,V57)</f>
        <v>8984432.532192383</v>
      </c>
      <c r="W34" s="195">
        <f>SUM(W35,W47,W52,W53,W54,W55,W56,W57)</f>
        <v>13269451.624728754</v>
      </c>
      <c r="X34" s="195">
        <f t="shared" si="47"/>
        <v>24280519.620331578</v>
      </c>
      <c r="Y34" s="195">
        <f>SUM(Y35,Y47,Y52,Y53,Y54,Y55,Y56,Y57)</f>
        <v>10057935.014199736</v>
      </c>
      <c r="Z34" s="1646">
        <f>SUM(Z35,Z47,Z52,Z53,Z54,Z55,Z56,Z57)</f>
        <v>14222584.606131842</v>
      </c>
      <c r="AC34" s="679">
        <f>+AC33-J72</f>
        <v>-1.862645149230957E-9</v>
      </c>
    </row>
    <row r="35" spans="1:30">
      <c r="A35" s="611">
        <v>1</v>
      </c>
      <c r="B35" s="1923" t="s">
        <v>208</v>
      </c>
      <c r="C35" s="195">
        <f>SUM(C36:C42)</f>
        <v>5331240.1620000005</v>
      </c>
      <c r="D35" s="195">
        <f>SUM(D36:D42)</f>
        <v>3607240.162</v>
      </c>
      <c r="E35" s="195">
        <f>SUM(E36:E42)</f>
        <v>1724000</v>
      </c>
      <c r="F35" s="195">
        <f>SUM(F36:F42)</f>
        <v>5531240.1620000005</v>
      </c>
      <c r="G35" s="195">
        <f t="shared" ref="G35:H35" si="50">SUM(G36:G42)</f>
        <v>3807240.162</v>
      </c>
      <c r="H35" s="195">
        <f t="shared" si="50"/>
        <v>1724000</v>
      </c>
      <c r="I35" s="4809">
        <f>+I36+I37+I39+I41+I42</f>
        <v>4666890</v>
      </c>
      <c r="J35" s="4809">
        <f t="shared" ref="J35:K35" si="51">+J36+J37+J39+J41+J42</f>
        <v>2983390</v>
      </c>
      <c r="K35" s="5308">
        <f t="shared" si="51"/>
        <v>1683500</v>
      </c>
      <c r="L35" s="5610">
        <f>+L36+L37+L39+L41+L42</f>
        <v>5207212.043456913</v>
      </c>
      <c r="M35" s="4809">
        <f t="shared" ref="M35:N35" si="52">+M36+M37+M39+M41+M42</f>
        <v>3357212.043456913</v>
      </c>
      <c r="N35" s="4809">
        <f t="shared" si="52"/>
        <v>1850000</v>
      </c>
      <c r="O35" s="4809">
        <f>+O36+O37+O39+O41+O42</f>
        <v>5338707.7565428363</v>
      </c>
      <c r="P35" s="4809">
        <f>+P36+P37+P39+P41+P42</f>
        <v>3460943.7757059</v>
      </c>
      <c r="Q35" s="5308">
        <f>+Q36+Q37+Q39+Q41+Q42</f>
        <v>1877763.9808369365</v>
      </c>
      <c r="R35" s="1830">
        <f>+R36+R37+R39</f>
        <v>5569803.4288555803</v>
      </c>
      <c r="S35" s="1830">
        <f t="shared" ref="S35:T35" si="53">+S36+S37+S39</f>
        <v>3619449.6039062967</v>
      </c>
      <c r="T35" s="1830">
        <f t="shared" si="53"/>
        <v>1950353.8249492832</v>
      </c>
      <c r="U35" s="195">
        <f>+U36+U37+U39+U41+U42</f>
        <v>6005750.2471807506</v>
      </c>
      <c r="V35" s="195">
        <f t="shared" ref="V35:Z35" si="54">+V36+V37+V39+V41+V42</f>
        <v>3922342.4400391411</v>
      </c>
      <c r="W35" s="195">
        <f t="shared" si="54"/>
        <v>2083407.8071416095</v>
      </c>
      <c r="X35" s="195">
        <f t="shared" si="54"/>
        <v>6853899.701418004</v>
      </c>
      <c r="Y35" s="195">
        <f t="shared" si="54"/>
        <v>4539333.1674249219</v>
      </c>
      <c r="Z35" s="1646">
        <f t="shared" si="54"/>
        <v>2314566.5339930821</v>
      </c>
    </row>
    <row r="36" spans="1:30">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5619">
        <f>+'Phụ lục số 2'!Q11</f>
        <v>590000</v>
      </c>
      <c r="L36" s="1827">
        <f>SUM(M36:N36)</f>
        <v>1207212.043456913</v>
      </c>
      <c r="M36" s="328">
        <f>+'Phụ lục số 2'!U11</f>
        <v>617212.04345691297</v>
      </c>
      <c r="N36" s="328">
        <f>+'Phụ lục số 2'!V11</f>
        <v>590000</v>
      </c>
      <c r="O36" s="46">
        <f>SUM(P36:Q36)</f>
        <v>1338707.7565428363</v>
      </c>
      <c r="P36" s="328">
        <f>+'Phụ lục số 2'!Z11</f>
        <v>720943.77570589993</v>
      </c>
      <c r="Q36" s="1656">
        <f>+'Phụ lục số 2'!AA11</f>
        <v>617763.98083693651</v>
      </c>
      <c r="R36" s="1827">
        <f>SUM(S36:T36)</f>
        <v>1469803.42885558</v>
      </c>
      <c r="S36" s="46">
        <f>+'Phụ lục số 2'!AE11</f>
        <v>779449.60390629678</v>
      </c>
      <c r="T36" s="46">
        <f>+'Phụ lục số 2'!AF11</f>
        <v>690353.82494928327</v>
      </c>
      <c r="U36" s="46">
        <f>SUM(V36:W36)</f>
        <v>1605750.2471807504</v>
      </c>
      <c r="V36" s="328">
        <f>+'Phụ lục số 2'!AJ11</f>
        <v>872342.44003914087</v>
      </c>
      <c r="W36" s="328">
        <f>+'Phụ lục số 2'!AK11</f>
        <v>733407.80714160949</v>
      </c>
      <c r="X36" s="46">
        <f>SUM(Y36:Z36)</f>
        <v>1753899.701418004</v>
      </c>
      <c r="Y36" s="328">
        <f>+'Phụ lục số 2'!AO11</f>
        <v>924333.16742492164</v>
      </c>
      <c r="Z36" s="328">
        <f>+'Phụ lục số 2'!AP11</f>
        <v>829566.53399308224</v>
      </c>
    </row>
    <row r="37" spans="1:30">
      <c r="A37" s="603" t="s">
        <v>29</v>
      </c>
      <c r="B37" s="1929" t="s">
        <v>144</v>
      </c>
      <c r="C37" s="196">
        <f t="shared" ref="C37:C41" si="55">SUM(D37:E37)</f>
        <v>1770000</v>
      </c>
      <c r="D37" s="196">
        <f>+'Phụ lục số 2'!F12</f>
        <v>627000</v>
      </c>
      <c r="E37" s="196">
        <f>+'Phụ lục số 2'!G12</f>
        <v>1143000</v>
      </c>
      <c r="F37" s="46">
        <f t="shared" ref="F37:F42" si="56">SUM(G37:H37)</f>
        <v>1770000</v>
      </c>
      <c r="G37" s="46">
        <f>+'Phụ lục số 2'!K12</f>
        <v>627000</v>
      </c>
      <c r="H37" s="46">
        <f>+'Phụ lục số 2'!L12</f>
        <v>1143000</v>
      </c>
      <c r="I37" s="4810">
        <f t="shared" ref="I37:I42" si="57">SUM(J37:K37)</f>
        <v>1600000</v>
      </c>
      <c r="J37" s="2917">
        <f>+'Phụ lục số 2'!P12</f>
        <v>506500</v>
      </c>
      <c r="K37" s="5619">
        <f>+'Phụ lục số 2'!Q12</f>
        <v>1093500</v>
      </c>
      <c r="L37" s="1827">
        <f>SUM(M37:N37)</f>
        <v>1800000</v>
      </c>
      <c r="M37" s="328">
        <f>+'Phụ lục số 2'!U12</f>
        <v>540000</v>
      </c>
      <c r="N37" s="328">
        <f>+'Phụ lục số 2'!V12</f>
        <v>1260000</v>
      </c>
      <c r="O37" s="46">
        <f t="shared" ref="O37" si="58">SUM(P37:Q37)</f>
        <v>1800000</v>
      </c>
      <c r="P37" s="328">
        <f>+'Phụ lục số 2'!Z12</f>
        <v>540000</v>
      </c>
      <c r="Q37" s="1656">
        <f>+'Phụ lục số 2'!AA12</f>
        <v>1260000</v>
      </c>
      <c r="R37" s="1827">
        <f t="shared" ref="R37:R42" si="59">SUM(S37:T37)</f>
        <v>1800000</v>
      </c>
      <c r="S37" s="46">
        <f>+'Phụ lục số 2'!AE12</f>
        <v>540000</v>
      </c>
      <c r="T37" s="46">
        <f>+'Phụ lục số 2'!AF12</f>
        <v>1260000</v>
      </c>
      <c r="U37" s="46">
        <f t="shared" ref="U37:U42" si="60">SUM(V37:W37)</f>
        <v>1950000</v>
      </c>
      <c r="V37" s="328">
        <f>+'Phụ lục số 2'!AJ12</f>
        <v>600000</v>
      </c>
      <c r="W37" s="328">
        <f>+'Phụ lục số 2'!AK12</f>
        <v>1350000</v>
      </c>
      <c r="X37" s="46">
        <f t="shared" ref="X37:X42" si="61">SUM(Y37:Z37)</f>
        <v>2100000</v>
      </c>
      <c r="Y37" s="328">
        <f>+'Phụ lục số 2'!AO12</f>
        <v>615000</v>
      </c>
      <c r="Z37" s="328">
        <f>+'Phụ lục số 2'!AP12</f>
        <v>1485000</v>
      </c>
    </row>
    <row r="38" spans="1:30" s="1649" customFormat="1" ht="69">
      <c r="A38" s="614"/>
      <c r="B38" s="4935" t="s">
        <v>3189</v>
      </c>
      <c r="C38" s="1620"/>
      <c r="D38" s="1620"/>
      <c r="E38" s="1620"/>
      <c r="F38" s="193"/>
      <c r="G38" s="193"/>
      <c r="H38" s="193"/>
      <c r="I38" s="4975">
        <f t="shared" si="57"/>
        <v>160000</v>
      </c>
      <c r="J38" s="5166">
        <f>+'Phụ lục số 2'!P13</f>
        <v>160000</v>
      </c>
      <c r="K38" s="5620">
        <f>+'Phụ lục số 2'!Q13</f>
        <v>0</v>
      </c>
      <c r="L38" s="1829">
        <f>+M38+N38</f>
        <v>180000</v>
      </c>
      <c r="M38" s="5122">
        <f>+'Phụ lục số 2'!U13</f>
        <v>180000</v>
      </c>
      <c r="N38" s="5122">
        <f>+'Phụ lục số 2'!V13</f>
        <v>0</v>
      </c>
      <c r="O38" s="193">
        <f>+P38+Q38</f>
        <v>180000</v>
      </c>
      <c r="P38" s="5122">
        <f>+'Phụ lục số 2'!Z13</f>
        <v>180000</v>
      </c>
      <c r="Q38" s="2626">
        <f>+'Phụ lục số 2'!AA13</f>
        <v>0</v>
      </c>
      <c r="R38" s="1829">
        <f>+S38+T38</f>
        <v>180000</v>
      </c>
      <c r="S38" s="193">
        <f>+'Phụ lục số 2'!AE13</f>
        <v>180000</v>
      </c>
      <c r="T38" s="46">
        <f>+'Phụ lục số 2'!AF13</f>
        <v>0</v>
      </c>
      <c r="U38" s="193">
        <f>+V38+W38</f>
        <v>195000</v>
      </c>
      <c r="V38" s="5122">
        <f>+'Phụ lục số 2'!AJ13</f>
        <v>195000</v>
      </c>
      <c r="W38" s="5122">
        <f>+'Phụ lục số 2'!AK13</f>
        <v>0</v>
      </c>
      <c r="X38" s="193">
        <f>+Y38+Z38</f>
        <v>210000</v>
      </c>
      <c r="Y38" s="5122">
        <f>+'Phụ lục số 2'!AO13</f>
        <v>210000</v>
      </c>
      <c r="Z38" s="5122">
        <f>+'Phụ lục số 2'!AP13</f>
        <v>0</v>
      </c>
    </row>
    <row r="39" spans="1:30">
      <c r="A39" s="603" t="s">
        <v>29</v>
      </c>
      <c r="B39" s="46" t="s">
        <v>145</v>
      </c>
      <c r="C39" s="196">
        <f t="shared" si="55"/>
        <v>1950000</v>
      </c>
      <c r="D39" s="196">
        <f>+'Phụ lục số 2'!F14</f>
        <v>1950000</v>
      </c>
      <c r="E39" s="196">
        <f>+'Phụ lục số 2'!G14</f>
        <v>0</v>
      </c>
      <c r="F39" s="46">
        <f t="shared" si="56"/>
        <v>2150000</v>
      </c>
      <c r="G39" s="46">
        <f>+'Phụ lục số 2'!K14</f>
        <v>2150000</v>
      </c>
      <c r="H39" s="46">
        <f>+'Phụ lục số 2'!L14</f>
        <v>0</v>
      </c>
      <c r="I39" s="4810">
        <f t="shared" si="57"/>
        <v>2100000</v>
      </c>
      <c r="J39" s="2917">
        <f>+'Phụ lục số 2'!P14</f>
        <v>2100000</v>
      </c>
      <c r="K39" s="5619">
        <f>+'Phụ lục số 2'!Q14</f>
        <v>0</v>
      </c>
      <c r="L39" s="1827">
        <f t="shared" ref="L39:L41" si="62">SUM(M39:N39)</f>
        <v>2200000</v>
      </c>
      <c r="M39" s="328">
        <f>+'Phụ lục số 2'!U14</f>
        <v>2200000</v>
      </c>
      <c r="N39" s="328">
        <f>+'Phụ lục số 2'!V14</f>
        <v>0</v>
      </c>
      <c r="O39" s="46">
        <f>SUM(P39:Q39)</f>
        <v>2200000</v>
      </c>
      <c r="P39" s="328">
        <f>+'Phụ lục số 2'!Z14</f>
        <v>2200000</v>
      </c>
      <c r="Q39" s="1656">
        <f>+'Phụ lục số 2'!AA14</f>
        <v>0</v>
      </c>
      <c r="R39" s="1827">
        <f t="shared" si="59"/>
        <v>2300000</v>
      </c>
      <c r="S39" s="46">
        <f>+'Phụ lục số 2'!AE14</f>
        <v>2300000</v>
      </c>
      <c r="T39" s="46">
        <f>'Phụ lục số II'!AF14</f>
        <v>0</v>
      </c>
      <c r="U39" s="46">
        <f t="shared" si="60"/>
        <v>2450000</v>
      </c>
      <c r="V39" s="328">
        <f>+'Phụ lục số 2'!AJ14</f>
        <v>2450000</v>
      </c>
      <c r="W39" s="328">
        <f>+'Phụ lục số 2'!AK14</f>
        <v>0</v>
      </c>
      <c r="X39" s="46">
        <f t="shared" si="61"/>
        <v>3000000</v>
      </c>
      <c r="Y39" s="328">
        <f>+'Phụ lục số 2'!AO14</f>
        <v>3000000</v>
      </c>
      <c r="Z39" s="328">
        <f>+'Phụ lục số 2'!AP14</f>
        <v>0</v>
      </c>
    </row>
    <row r="40" spans="1:30" s="1649" customFormat="1" ht="27.6">
      <c r="A40" s="614"/>
      <c r="B40" s="4956" t="s">
        <v>3188</v>
      </c>
      <c r="C40" s="1620"/>
      <c r="D40" s="1620"/>
      <c r="E40" s="1620"/>
      <c r="F40" s="193"/>
      <c r="G40" s="193"/>
      <c r="H40" s="193"/>
      <c r="I40" s="4975">
        <f t="shared" si="57"/>
        <v>100000</v>
      </c>
      <c r="J40" s="5166">
        <f>+'Phụ lục số 2'!P15</f>
        <v>100000</v>
      </c>
      <c r="K40" s="5620">
        <f>+'Phụ lục số 2'!Q15</f>
        <v>0</v>
      </c>
      <c r="L40" s="1829">
        <f>+M40+N40</f>
        <v>120000</v>
      </c>
      <c r="M40" s="5122">
        <f>+'Phụ lục số 2'!U15</f>
        <v>120000</v>
      </c>
      <c r="N40" s="5122">
        <f>+'Phụ lục số 2'!V15</f>
        <v>0</v>
      </c>
      <c r="O40" s="46">
        <f>SUM(P40:Q40)</f>
        <v>135000</v>
      </c>
      <c r="P40" s="5122">
        <f>+'Phụ lục số 2'!Z15</f>
        <v>135000</v>
      </c>
      <c r="Q40" s="2626">
        <f>+'Phụ lục số 2'!AA15</f>
        <v>0</v>
      </c>
      <c r="R40" s="1829">
        <f>+S40+T40</f>
        <v>155000</v>
      </c>
      <c r="S40" s="46">
        <f>+'Phụ lục số 2'!AE15</f>
        <v>155000</v>
      </c>
      <c r="T40" s="193"/>
      <c r="U40" s="193">
        <f>+V40+W40</f>
        <v>175000</v>
      </c>
      <c r="V40" s="328">
        <f>+'Phụ lục số 2'!AJ15</f>
        <v>175000</v>
      </c>
      <c r="W40" s="328">
        <f>+'Phụ lục số 2'!AK15</f>
        <v>0</v>
      </c>
      <c r="X40" s="193">
        <f>+Y40+Z40</f>
        <v>200000</v>
      </c>
      <c r="Y40" s="5122">
        <f>+'Phụ lục số 2'!AO15</f>
        <v>200000</v>
      </c>
      <c r="Z40" s="5122">
        <f>+'Phụ lục số 2'!AP15</f>
        <v>0</v>
      </c>
    </row>
    <row r="41" spans="1:30">
      <c r="A41" s="603" t="s">
        <v>29</v>
      </c>
      <c r="B41" s="46" t="s">
        <v>146</v>
      </c>
      <c r="C41" s="196">
        <f t="shared" si="55"/>
        <v>408054.16200000001</v>
      </c>
      <c r="D41" s="196">
        <f>+'Phụ lục số 2'!F16</f>
        <v>408054.16200000001</v>
      </c>
      <c r="E41" s="196">
        <f>+'Phụ lục số 2'!G16</f>
        <v>0</v>
      </c>
      <c r="F41" s="46">
        <f t="shared" si="56"/>
        <v>408054.16200000001</v>
      </c>
      <c r="G41" s="46">
        <f>+'Phụ lục số 2'!K16</f>
        <v>408054.16200000001</v>
      </c>
      <c r="H41" s="46">
        <f>+'Phụ lục số 2'!L16</f>
        <v>0</v>
      </c>
      <c r="I41" s="4810">
        <f t="shared" si="57"/>
        <v>0</v>
      </c>
      <c r="J41" s="2917">
        <f>+'Phụ lục số 2'!P16</f>
        <v>0</v>
      </c>
      <c r="K41" s="5619">
        <f>+'Phụ lục số 2'!Q16</f>
        <v>0</v>
      </c>
      <c r="L41" s="1827">
        <f t="shared" si="62"/>
        <v>0</v>
      </c>
      <c r="M41" s="328">
        <f>+'Phụ lục số 2'!U16</f>
        <v>0</v>
      </c>
      <c r="N41" s="328">
        <f>+'Phụ lục số 2'!V16</f>
        <v>0</v>
      </c>
      <c r="O41" s="46">
        <f>SUM(P41:Q41)</f>
        <v>0</v>
      </c>
      <c r="P41" s="328">
        <f>+'Phụ lục số 2'!Z16</f>
        <v>0</v>
      </c>
      <c r="Q41" s="1656">
        <f>+'Phụ lục số 2'!AA16</f>
        <v>0</v>
      </c>
      <c r="R41" s="1827">
        <f t="shared" si="59"/>
        <v>0</v>
      </c>
      <c r="S41" s="46">
        <f>+'Phụ lục số 2'!AE16</f>
        <v>0</v>
      </c>
      <c r="T41" s="46">
        <f>+'Phụ lục số 2'!AF16</f>
        <v>0</v>
      </c>
      <c r="U41" s="46">
        <f t="shared" si="60"/>
        <v>0</v>
      </c>
      <c r="V41" s="328">
        <f>+'Phụ lục số 2'!AJ16</f>
        <v>0</v>
      </c>
      <c r="W41" s="328">
        <f>+'Phụ lục số 2'!AK16</f>
        <v>0</v>
      </c>
      <c r="X41" s="46">
        <f t="shared" si="61"/>
        <v>0</v>
      </c>
      <c r="Y41" s="328">
        <f>+'Phụ lục số 2'!AO16</f>
        <v>0</v>
      </c>
      <c r="Z41" s="328">
        <f>+'Phụ lục số 2'!AP16</f>
        <v>0</v>
      </c>
    </row>
    <row r="42" spans="1:30">
      <c r="A42" s="603" t="s">
        <v>29</v>
      </c>
      <c r="B42" s="46" t="s">
        <v>321</v>
      </c>
      <c r="C42" s="196">
        <f>SUM(D42:E42)</f>
        <v>60000</v>
      </c>
      <c r="D42" s="196">
        <f>SUM(D43:D46)</f>
        <v>60000</v>
      </c>
      <c r="E42" s="196">
        <f t="shared" ref="E42" si="63">SUM(E43:E46)</f>
        <v>0</v>
      </c>
      <c r="F42" s="46">
        <f t="shared" si="56"/>
        <v>60000</v>
      </c>
      <c r="G42" s="46">
        <f>SUM(G43:G46)</f>
        <v>60000</v>
      </c>
      <c r="H42" s="46">
        <f t="shared" ref="H42" si="64">SUM(H43:H46)</f>
        <v>0</v>
      </c>
      <c r="I42" s="4810">
        <f t="shared" si="57"/>
        <v>0</v>
      </c>
      <c r="J42" s="2917">
        <f>SUM(J43:J46)</f>
        <v>0</v>
      </c>
      <c r="K42" s="5619">
        <f t="shared" ref="K42" si="65">SUM(K43:K46)</f>
        <v>0</v>
      </c>
      <c r="L42" s="1827">
        <f>SUM(M42:N42)</f>
        <v>0</v>
      </c>
      <c r="M42" s="328">
        <f>+'Phụ lục số 2'!U17</f>
        <v>0</v>
      </c>
      <c r="N42" s="328">
        <f>+'Phụ lục số 2'!V17</f>
        <v>0</v>
      </c>
      <c r="O42" s="46">
        <f>SUM(P42:Q42)</f>
        <v>0</v>
      </c>
      <c r="P42" s="328">
        <f>+'Phụ lục số 2'!Z17</f>
        <v>0</v>
      </c>
      <c r="Q42" s="1656">
        <f>+'Phụ lục số 2'!AA17</f>
        <v>0</v>
      </c>
      <c r="R42" s="1827">
        <f t="shared" si="59"/>
        <v>0</v>
      </c>
      <c r="S42" s="46">
        <f>+'Phụ lục số 2'!AE17</f>
        <v>0</v>
      </c>
      <c r="T42" s="46">
        <f>+'Phụ lục số 2'!AF17</f>
        <v>0</v>
      </c>
      <c r="U42" s="46">
        <f t="shared" si="60"/>
        <v>0</v>
      </c>
      <c r="V42" s="328">
        <f>+'Phụ lục số 2'!AJ17</f>
        <v>0</v>
      </c>
      <c r="W42" s="328">
        <f>+'Phụ lục số 2'!AK17</f>
        <v>0</v>
      </c>
      <c r="X42" s="46">
        <f t="shared" si="61"/>
        <v>0</v>
      </c>
      <c r="Y42" s="328">
        <f>+'Phụ lục số 2'!AO17</f>
        <v>0</v>
      </c>
      <c r="Z42" s="328">
        <f>+'Phụ lục số 2'!AP17</f>
        <v>0</v>
      </c>
    </row>
    <row r="43" spans="1:30" ht="27.6" hidden="1">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5619">
        <f>+'Phụ lục số 2'!Q18</f>
        <v>0</v>
      </c>
      <c r="L43" s="1827">
        <f>+M43+N43</f>
        <v>0</v>
      </c>
      <c r="M43" s="328"/>
      <c r="N43" s="328"/>
      <c r="O43" s="46">
        <f>+P43+Q43</f>
        <v>0</v>
      </c>
      <c r="P43" s="328"/>
      <c r="Q43" s="1656"/>
      <c r="R43" s="1827"/>
      <c r="S43" s="46"/>
      <c r="T43" s="46"/>
      <c r="U43" s="46"/>
      <c r="V43" s="328"/>
      <c r="W43" s="328"/>
      <c r="X43" s="46"/>
      <c r="Y43" s="328"/>
      <c r="Z43" s="1656"/>
    </row>
    <row r="44" spans="1:30" ht="69" hidden="1">
      <c r="A44" s="4892" t="s">
        <v>3127</v>
      </c>
      <c r="B44" s="4780" t="s">
        <v>3141</v>
      </c>
      <c r="C44" s="196">
        <f t="shared" ref="C44:C46" si="66">SUM(D44:E44)</f>
        <v>0</v>
      </c>
      <c r="D44" s="196">
        <f>+'Phụ lục số 2'!F19</f>
        <v>0</v>
      </c>
      <c r="E44" s="196">
        <f>+'Phụ lục số 2'!G19</f>
        <v>0</v>
      </c>
      <c r="F44" s="46">
        <f t="shared" ref="F44:F46" si="67">SUM(G44:H44)</f>
        <v>0</v>
      </c>
      <c r="G44" s="46">
        <f>+'Phụ lục số 2'!K19</f>
        <v>0</v>
      </c>
      <c r="H44" s="46">
        <f>+'Phụ lục số 2'!L19</f>
        <v>0</v>
      </c>
      <c r="I44" s="46">
        <f t="shared" ref="I44:I46" si="68">SUM(J44:K44)</f>
        <v>0</v>
      </c>
      <c r="J44" s="2917">
        <f>+'Phụ lục số 2'!P19</f>
        <v>0</v>
      </c>
      <c r="K44" s="1656"/>
      <c r="L44" s="1827">
        <f>+M44+N44</f>
        <v>0</v>
      </c>
      <c r="M44" s="328"/>
      <c r="N44" s="328"/>
      <c r="O44" s="46">
        <f>+P44+Q44</f>
        <v>0</v>
      </c>
      <c r="P44" s="328"/>
      <c r="Q44" s="1656"/>
      <c r="R44" s="1827"/>
      <c r="S44" s="46"/>
      <c r="T44" s="46"/>
      <c r="U44" s="46"/>
      <c r="V44" s="328"/>
      <c r="W44" s="328"/>
      <c r="X44" s="46"/>
      <c r="Y44" s="328"/>
      <c r="Z44" s="1656"/>
    </row>
    <row r="45" spans="1:30" hidden="1">
      <c r="A45" s="4892" t="s">
        <v>3143</v>
      </c>
      <c r="B45" s="4780"/>
      <c r="C45" s="196">
        <f t="shared" si="66"/>
        <v>0</v>
      </c>
      <c r="D45" s="196">
        <f>+'Phụ lục số 2'!F20</f>
        <v>0</v>
      </c>
      <c r="E45" s="196">
        <f>+'Phụ lục số 2'!G20</f>
        <v>0</v>
      </c>
      <c r="F45" s="46">
        <f t="shared" si="67"/>
        <v>0</v>
      </c>
      <c r="G45" s="46">
        <f>+'Phụ lục số 2'!K20</f>
        <v>0</v>
      </c>
      <c r="H45" s="46">
        <f>+'Phụ lục số 2'!L20</f>
        <v>0</v>
      </c>
      <c r="I45" s="46">
        <f t="shared" si="68"/>
        <v>0</v>
      </c>
      <c r="J45" s="328"/>
      <c r="K45" s="1656"/>
      <c r="L45" s="1827"/>
      <c r="M45" s="328"/>
      <c r="N45" s="328"/>
      <c r="O45" s="46"/>
      <c r="P45" s="328"/>
      <c r="Q45" s="1656"/>
      <c r="R45" s="1827"/>
      <c r="S45" s="46"/>
      <c r="T45" s="46"/>
      <c r="U45" s="46"/>
      <c r="V45" s="328"/>
      <c r="W45" s="328"/>
      <c r="X45" s="46"/>
      <c r="Y45" s="328"/>
      <c r="Z45" s="1656"/>
    </row>
    <row r="46" spans="1:30" hidden="1">
      <c r="A46" s="4892"/>
      <c r="B46" s="4780"/>
      <c r="C46" s="196">
        <f t="shared" si="66"/>
        <v>0</v>
      </c>
      <c r="D46" s="196">
        <f>+'Phụ lục số 2'!F21</f>
        <v>0</v>
      </c>
      <c r="E46" s="196">
        <f>+'Phụ lục số 2'!G21</f>
        <v>0</v>
      </c>
      <c r="F46" s="46">
        <f t="shared" si="67"/>
        <v>0</v>
      </c>
      <c r="G46" s="46">
        <f>+'Phụ lục số 2'!K21</f>
        <v>0</v>
      </c>
      <c r="H46" s="46">
        <f>+'Phụ lục số 2'!L21</f>
        <v>0</v>
      </c>
      <c r="I46" s="46">
        <f t="shared" si="68"/>
        <v>0</v>
      </c>
      <c r="J46" s="328"/>
      <c r="K46" s="1656"/>
      <c r="L46" s="1827"/>
      <c r="M46" s="328"/>
      <c r="N46" s="328"/>
      <c r="O46" s="46"/>
      <c r="P46" s="328"/>
      <c r="Q46" s="1656"/>
      <c r="R46" s="1827"/>
      <c r="S46" s="46"/>
      <c r="T46" s="46"/>
      <c r="U46" s="46"/>
      <c r="V46" s="328"/>
      <c r="W46" s="328"/>
      <c r="X46" s="46"/>
      <c r="Y46" s="328"/>
      <c r="Z46" s="1656"/>
    </row>
    <row r="47" spans="1:30">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1657">
        <f>+'Phụ lục số 2'!Q22</f>
        <v>9081425.3570000026</v>
      </c>
      <c r="L47" s="5611">
        <f>SUM(M47:N47)</f>
        <v>13049829.156114887</v>
      </c>
      <c r="M47" s="1651">
        <f>+'Phụ lục số 2'!U22</f>
        <v>3820034.4829255408</v>
      </c>
      <c r="N47" s="1651">
        <f>+'Phụ lục số 2'!V22</f>
        <v>9229794.6731893476</v>
      </c>
      <c r="O47" s="4431">
        <f>SUM(P47:Q47)</f>
        <v>13492052.394947084</v>
      </c>
      <c r="P47" s="4431">
        <f>+'Phụ lục số 2'!Z22</f>
        <v>3974345.9902827819</v>
      </c>
      <c r="Q47" s="4932">
        <f>+'Phụ lục số 2'!AA22</f>
        <v>9517706.4046643022</v>
      </c>
      <c r="R47" s="1828">
        <f>SUM(S47:T47)</f>
        <v>13721920.162862469</v>
      </c>
      <c r="S47" s="45">
        <f>+'Phụ lục số 2'!AE22</f>
        <v>4153662.954310691</v>
      </c>
      <c r="T47" s="45">
        <f>+'Phụ lục số 2'!AF22</f>
        <v>9568257.2085517775</v>
      </c>
      <c r="U47" s="329">
        <f>SUM(V47:W47)</f>
        <v>14216640.331339022</v>
      </c>
      <c r="V47" s="329">
        <f>+'Phụ lục số 2'!AJ22</f>
        <v>4262140.9158314839</v>
      </c>
      <c r="W47" s="329">
        <f>+'Phụ lục số 2'!AK22</f>
        <v>9954499.4155075382</v>
      </c>
      <c r="X47" s="329">
        <f>SUM(Y47:Z47)</f>
        <v>14891096.561414696</v>
      </c>
      <c r="Y47" s="329">
        <f>+'Phụ lục số 2'!AO22</f>
        <v>4509148.285964502</v>
      </c>
      <c r="Z47" s="1647">
        <f>+'Phụ lục số 2'!AP22</f>
        <v>10381948.275450194</v>
      </c>
      <c r="AC47" s="5134">
        <v>12335657</v>
      </c>
      <c r="AD47" s="5135">
        <f>+AC47-I47</f>
        <v>-426000.45000000298</v>
      </c>
    </row>
    <row r="48" spans="1:30">
      <c r="A48" s="611"/>
      <c r="B48" s="1923" t="s">
        <v>234</v>
      </c>
      <c r="C48" s="196"/>
      <c r="D48" s="196"/>
      <c r="E48" s="196"/>
      <c r="F48" s="46"/>
      <c r="G48" s="46"/>
      <c r="H48" s="46"/>
      <c r="I48" s="328"/>
      <c r="J48" s="328"/>
      <c r="K48" s="1656"/>
      <c r="L48" s="5612"/>
      <c r="M48" s="1653"/>
      <c r="N48" s="1653"/>
      <c r="O48" s="2283">
        <f t="shared" ref="O48:O50" si="69">SUM(P48:Q48)</f>
        <v>0</v>
      </c>
      <c r="P48" s="2283"/>
      <c r="Q48" s="4933"/>
      <c r="R48" s="1827"/>
      <c r="S48" s="46"/>
      <c r="T48" s="46"/>
      <c r="U48" s="297"/>
      <c r="V48" s="297"/>
      <c r="W48" s="297"/>
      <c r="X48" s="328"/>
      <c r="Y48" s="328"/>
      <c r="Z48" s="1656"/>
      <c r="AC48" s="5134">
        <v>5859513</v>
      </c>
      <c r="AD48" s="5135">
        <f>+I49-AC48</f>
        <v>0</v>
      </c>
    </row>
    <row r="49" spans="1:30">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1656">
        <f>+'Phụ lục số 2'!Q23</f>
        <v>4752863.0000000009</v>
      </c>
      <c r="L49" s="5612">
        <f>SUM(M49:N49)</f>
        <v>5918101.9564761929</v>
      </c>
      <c r="M49" s="1653">
        <f>+'Phụ lục số 2'!U23</f>
        <v>1139028.3534760615</v>
      </c>
      <c r="N49" s="1653">
        <f>+'Phụ lục số 2'!V23</f>
        <v>4779073.6030001314</v>
      </c>
      <c r="O49" s="2283">
        <f t="shared" si="69"/>
        <v>6106259.8643117491</v>
      </c>
      <c r="P49" s="2283">
        <f>+'Phụ lục số 2'!Z23</f>
        <v>1183093.2973419931</v>
      </c>
      <c r="Q49" s="4933">
        <f>+'Phụ lục số 2'!AA23</f>
        <v>4923166.566969756</v>
      </c>
      <c r="R49" s="1827">
        <f>SUM(S49:T49)</f>
        <v>6132015.7421813607</v>
      </c>
      <c r="S49" s="46">
        <f>+'Phụ lục số 2'!AE23</f>
        <v>1186081.5281745123</v>
      </c>
      <c r="T49" s="46">
        <f>+'Phụ lục số 2'!AF23</f>
        <v>4945934.2140068486</v>
      </c>
      <c r="U49" s="297">
        <f>SUM(V49:W49)</f>
        <v>6390054.9058074541</v>
      </c>
      <c r="V49" s="328">
        <f>+'Phụ lục số 2'!AJ23</f>
        <v>1236255.4563838919</v>
      </c>
      <c r="W49" s="328">
        <f>+'Phụ lục số 2'!AK23</f>
        <v>5153799.4494235618</v>
      </c>
      <c r="X49" s="328">
        <f>SUM(Y49:Z49)</f>
        <v>6689497.9054574352</v>
      </c>
      <c r="Y49" s="328">
        <f>+'Phụ lục số 2'!AO23</f>
        <v>1314392.9330663113</v>
      </c>
      <c r="Z49" s="1656">
        <f>+'Phụ lục số 2'!AP23</f>
        <v>5375104.9723911239</v>
      </c>
      <c r="AC49" s="47">
        <v>30780</v>
      </c>
      <c r="AD49" s="679">
        <f>+J50-AC49</f>
        <v>527</v>
      </c>
    </row>
    <row r="50" spans="1:30">
      <c r="A50" s="603" t="s">
        <v>29</v>
      </c>
      <c r="B50" s="1930" t="s">
        <v>241</v>
      </c>
      <c r="C50" s="196">
        <f t="shared" ref="C50:C51" si="7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1656">
        <f>+'Phụ lục số 2'!Q24</f>
        <v>0</v>
      </c>
      <c r="L50" s="5612">
        <f>SUM(M50:N50)</f>
        <v>32222.979860186198</v>
      </c>
      <c r="M50" s="1653">
        <f>+'Phụ lục số 2'!U24</f>
        <v>32222.979860186198</v>
      </c>
      <c r="N50" s="1653">
        <f>'Phụ lục số II'!V19</f>
        <v>0</v>
      </c>
      <c r="O50" s="2283">
        <f t="shared" si="69"/>
        <v>33469.572005499278</v>
      </c>
      <c r="P50" s="2283">
        <f>+'Phụ lục số 2'!Z24</f>
        <v>33469.572005499278</v>
      </c>
      <c r="Q50" s="4933">
        <f>'Phụ lục số II'!AA19</f>
        <v>0</v>
      </c>
      <c r="R50" s="1827">
        <f>SUM(S50:T50)</f>
        <v>33469.23905711784</v>
      </c>
      <c r="S50" s="46">
        <f>+'Phụ lục số 2'!AE24</f>
        <v>33469.23905711784</v>
      </c>
      <c r="T50" s="46"/>
      <c r="U50" s="297">
        <f t="shared" ref="U50:U51" si="71">SUM(V50:W50)</f>
        <v>34126.808757382008</v>
      </c>
      <c r="V50" s="328">
        <f>+'Phụ lục số 2'!AJ24</f>
        <v>34126.808757382008</v>
      </c>
      <c r="W50" s="328">
        <f>+'Phụ lục số 2'!AK24</f>
        <v>0</v>
      </c>
      <c r="X50" s="328">
        <f t="shared" ref="X50:X51" si="72">SUM(Y50:Z50)</f>
        <v>34903.54327507221</v>
      </c>
      <c r="Y50" s="328">
        <f>+'Phụ lục số 2'!AO24</f>
        <v>34903.54327507221</v>
      </c>
      <c r="Z50" s="1656"/>
    </row>
    <row r="51" spans="1:30">
      <c r="A51" s="603" t="s">
        <v>29</v>
      </c>
      <c r="B51" s="1929" t="s">
        <v>240</v>
      </c>
      <c r="C51" s="196">
        <f t="shared" si="70"/>
        <v>5835815.0115313362</v>
      </c>
      <c r="D51" s="196">
        <f>D47-D49-D50</f>
        <v>2306546.4</v>
      </c>
      <c r="E51" s="196">
        <f t="shared" ref="E51" si="73">E47-E49-E50</f>
        <v>3529268.6115313368</v>
      </c>
      <c r="F51" s="196">
        <f t="shared" ref="F51" si="74">SUM(G51:H51)</f>
        <v>6199669.5115313362</v>
      </c>
      <c r="G51" s="196">
        <f>G47-G49-G50</f>
        <v>2446126.9</v>
      </c>
      <c r="H51" s="196">
        <f t="shared" ref="H51" si="75">H47-H49-H50</f>
        <v>3753542.6115313368</v>
      </c>
      <c r="I51" s="196">
        <f t="shared" ref="I51" si="76">SUM(J51:K51)</f>
        <v>6870837.4500000011</v>
      </c>
      <c r="J51" s="196">
        <f>J47-J49-J50</f>
        <v>2542275.0929999999</v>
      </c>
      <c r="K51" s="1652">
        <f t="shared" ref="K51" si="77">K47-K49-K50</f>
        <v>4328562.3570000017</v>
      </c>
      <c r="L51" s="5613">
        <f t="shared" ref="L51" si="78">SUM(M51:N51)</f>
        <v>7099504.2197785098</v>
      </c>
      <c r="M51" s="5321">
        <f>M47-M49-M50</f>
        <v>2648783.1495892932</v>
      </c>
      <c r="N51" s="5321">
        <f t="shared" ref="N51" si="79">N47-N49-N50</f>
        <v>4450721.0701892162</v>
      </c>
      <c r="O51" s="5321">
        <f t="shared" ref="O51" si="80">SUM(P51:Q51)</f>
        <v>7352322.9586298354</v>
      </c>
      <c r="P51" s="5321">
        <f>P47-P49-P50</f>
        <v>2757783.1209352897</v>
      </c>
      <c r="Q51" s="5322">
        <f>Q47-Q49-Q50</f>
        <v>4594539.8376945462</v>
      </c>
      <c r="R51" s="1831">
        <f t="shared" ref="R51" si="81">SUM(S51:T51)</f>
        <v>7556435.1816239897</v>
      </c>
      <c r="S51" s="196">
        <f>S47-S49-S50</f>
        <v>2934112.1870790608</v>
      </c>
      <c r="T51" s="196">
        <f>T47-T49-T50</f>
        <v>4622322.9945449289</v>
      </c>
      <c r="U51" s="297">
        <f t="shared" si="71"/>
        <v>7792458.6167741865</v>
      </c>
      <c r="V51" s="196">
        <f>V47-V49-V50</f>
        <v>2991758.6506902101</v>
      </c>
      <c r="W51" s="196">
        <f>W47-W49-W50</f>
        <v>4800699.9660839764</v>
      </c>
      <c r="X51" s="328">
        <f t="shared" si="72"/>
        <v>8166695.1126821889</v>
      </c>
      <c r="Y51" s="196">
        <f>Y47-Y49-Y50</f>
        <v>3159851.8096231185</v>
      </c>
      <c r="Z51" s="1652">
        <f>Z47-Z49-Z50</f>
        <v>5006843.3030590704</v>
      </c>
      <c r="AC51" s="47">
        <v>943</v>
      </c>
      <c r="AD51" s="1535">
        <f>+I51/C51</f>
        <v>1.1773569649523679</v>
      </c>
    </row>
    <row r="52" spans="1:30">
      <c r="A52" s="611">
        <v>3</v>
      </c>
      <c r="B52" s="1931" t="s">
        <v>210</v>
      </c>
      <c r="C52" s="195"/>
      <c r="D52" s="195"/>
      <c r="E52" s="195"/>
      <c r="F52" s="46"/>
      <c r="G52" s="46"/>
      <c r="H52" s="46"/>
      <c r="I52" s="328"/>
      <c r="J52" s="328"/>
      <c r="K52" s="1656"/>
      <c r="L52" s="1835"/>
      <c r="M52" s="297"/>
      <c r="N52" s="297"/>
      <c r="O52" s="328"/>
      <c r="P52" s="328"/>
      <c r="Q52" s="1656"/>
      <c r="R52" s="1833"/>
      <c r="S52" s="297"/>
      <c r="T52" s="297"/>
      <c r="U52" s="297"/>
      <c r="V52" s="297"/>
      <c r="W52" s="297"/>
      <c r="X52" s="328"/>
      <c r="Y52" s="328"/>
      <c r="Z52" s="1656"/>
      <c r="AC52" s="47">
        <v>657</v>
      </c>
    </row>
    <row r="53" spans="1:30">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1647">
        <f>+'Phụ lục số 2'!Q39</f>
        <v>519900</v>
      </c>
      <c r="L53" s="1828">
        <f>SUM(M53:N53)</f>
        <v>626117.15251171635</v>
      </c>
      <c r="M53" s="4431">
        <f>+'Phụ lục số 2'!U39</f>
        <v>202308.50969414107</v>
      </c>
      <c r="N53" s="4431">
        <f>+'Phụ lục số 2'!V39</f>
        <v>423808.64281757525</v>
      </c>
      <c r="O53" s="1658">
        <f>SUM(P53:Q53)</f>
        <v>789623.5261911191</v>
      </c>
      <c r="P53" s="4431">
        <f>+'Phụ lục số 2'!Z39</f>
        <v>394092.17037477036</v>
      </c>
      <c r="Q53" s="4932">
        <f>+'Phụ lục số 2'!AA39</f>
        <v>395531.35581634869</v>
      </c>
      <c r="R53" s="1828">
        <f>SUM(S53:T53)</f>
        <v>1134327.0610566589</v>
      </c>
      <c r="S53" s="45">
        <f>+'Phụ lục số 2'!AE39</f>
        <v>403102.79576516763</v>
      </c>
      <c r="T53" s="45">
        <f>+'Phụ lục số 2'!AF39</f>
        <v>731224.26529149117</v>
      </c>
      <c r="U53" s="5907">
        <f>SUM(V53:W53)</f>
        <v>1555493.1441400896</v>
      </c>
      <c r="V53" s="329">
        <f>+'Phụ lục số 2'!AJ39</f>
        <v>595525.54997767729</v>
      </c>
      <c r="W53" s="329">
        <f>+'Phụ lục số 2'!AK39</f>
        <v>959967.59416241234</v>
      </c>
      <c r="X53" s="329">
        <f>SUM(Y53:Z53)</f>
        <v>2043333.7922617737</v>
      </c>
      <c r="Y53" s="329">
        <f>+'Phụ lục số 2'!AO39</f>
        <v>800502.38405669678</v>
      </c>
      <c r="Z53" s="1657">
        <f>+'Phụ lục số 2'!AP39</f>
        <v>1242831.4082050768</v>
      </c>
      <c r="AC53" s="47">
        <f>+AC51-AC52</f>
        <v>286</v>
      </c>
    </row>
    <row r="54" spans="1:30">
      <c r="A54" s="611">
        <v>5</v>
      </c>
      <c r="B54" s="45" t="s">
        <v>212</v>
      </c>
      <c r="C54" s="195">
        <f t="shared" ref="C54:C57" si="82">SUM(D54:E54)</f>
        <v>0</v>
      </c>
      <c r="D54" s="195"/>
      <c r="E54" s="195"/>
      <c r="F54" s="45">
        <f t="shared" ref="F54:F57" si="83">SUM(G54:H54)</f>
        <v>0</v>
      </c>
      <c r="G54" s="45"/>
      <c r="H54" s="45"/>
      <c r="I54" s="328"/>
      <c r="J54" s="328"/>
      <c r="K54" s="1656"/>
      <c r="L54" s="1835"/>
      <c r="M54" s="297"/>
      <c r="N54" s="297"/>
      <c r="O54" s="328"/>
      <c r="P54" s="328"/>
      <c r="Q54" s="1656"/>
      <c r="R54" s="1833"/>
      <c r="S54" s="297"/>
      <c r="T54" s="297"/>
      <c r="U54" s="297"/>
      <c r="V54" s="297"/>
      <c r="W54" s="297"/>
      <c r="X54" s="328"/>
      <c r="Y54" s="328"/>
      <c r="Z54" s="1656"/>
    </row>
    <row r="55" spans="1:30">
      <c r="A55" s="611">
        <v>6</v>
      </c>
      <c r="B55" s="1923" t="s">
        <v>174</v>
      </c>
      <c r="C55" s="195">
        <f t="shared" si="82"/>
        <v>2000</v>
      </c>
      <c r="D55" s="195">
        <f>+'Phụ lục số 2'!F37</f>
        <v>2000</v>
      </c>
      <c r="E55" s="195">
        <f>+'Phụ lục số 2'!G37</f>
        <v>0</v>
      </c>
      <c r="F55" s="45">
        <f t="shared" si="83"/>
        <v>2000</v>
      </c>
      <c r="G55" s="45">
        <f>+'Phụ lục số 2'!K37</f>
        <v>2000</v>
      </c>
      <c r="H55" s="45">
        <f>+'Phụ lục số 2'!L37</f>
        <v>0</v>
      </c>
      <c r="I55" s="45">
        <f>SUM(J55:K55)</f>
        <v>2000</v>
      </c>
      <c r="J55" s="329">
        <f>+'Phụ lục số 2'!P37</f>
        <v>2000</v>
      </c>
      <c r="K55" s="1657">
        <f>+'Phụ lục số 2'!Q37</f>
        <v>0</v>
      </c>
      <c r="L55" s="1828">
        <f>SUM(M55:N55)</f>
        <v>2000</v>
      </c>
      <c r="M55" s="4431">
        <f>+'Phụ lục số 2'!U37</f>
        <v>2000</v>
      </c>
      <c r="N55" s="4431">
        <f>+'Phụ lục số 2'!V37</f>
        <v>0</v>
      </c>
      <c r="O55" s="329">
        <f>SUM(P55:Q55)</f>
        <v>2000</v>
      </c>
      <c r="P55" s="4431">
        <f>+'Phụ lục số 2'!Z37</f>
        <v>2000</v>
      </c>
      <c r="Q55" s="4932">
        <f>+'Phụ lục số 2'!AA37</f>
        <v>0</v>
      </c>
      <c r="R55" s="1834">
        <f>SUM(S55:T55)</f>
        <v>2000</v>
      </c>
      <c r="S55" s="329">
        <f>+'Phụ lục số 2'!AE37</f>
        <v>2000</v>
      </c>
      <c r="T55" s="330"/>
      <c r="U55" s="329">
        <f>SUM(V55:W55)</f>
        <v>2000</v>
      </c>
      <c r="V55" s="329">
        <f>+'Phụ lục số 2'!AJ37</f>
        <v>2000</v>
      </c>
      <c r="W55" s="330"/>
      <c r="X55" s="329">
        <f>SUM(Y55:Z55)</f>
        <v>2000</v>
      </c>
      <c r="Y55" s="329">
        <f>+'Phụ lục số 2'!AO37</f>
        <v>2000</v>
      </c>
      <c r="Z55" s="329">
        <f>+'Phụ lục số 2'!AP37</f>
        <v>0</v>
      </c>
      <c r="AD55" s="679">
        <f>+K31</f>
        <v>941000</v>
      </c>
    </row>
    <row r="56" spans="1:30">
      <c r="A56" s="1932">
        <v>7</v>
      </c>
      <c r="B56" s="1923" t="s">
        <v>175</v>
      </c>
      <c r="C56" s="195">
        <f t="shared" si="82"/>
        <v>327868.79999999999</v>
      </c>
      <c r="D56" s="195">
        <f>+'Phụ lục số 2'!F38</f>
        <v>152264.29999999999</v>
      </c>
      <c r="E56" s="195">
        <f>+'Phụ lục số 2'!G38</f>
        <v>175604.5</v>
      </c>
      <c r="F56" s="45">
        <f t="shared" si="83"/>
        <v>327868.79999999999</v>
      </c>
      <c r="G56" s="45">
        <f>+'Phụ lục số 2'!K38</f>
        <v>152264.29999999999</v>
      </c>
      <c r="H56" s="45">
        <f>+'Phụ lục số 2'!L38</f>
        <v>175604.5</v>
      </c>
      <c r="I56" s="45">
        <f t="shared" ref="I56:I57" si="84">SUM(J56:K56)</f>
        <v>376400.94999999995</v>
      </c>
      <c r="J56" s="329">
        <f>+'Phụ lục số 2'!P38</f>
        <v>163959.4</v>
      </c>
      <c r="K56" s="1657">
        <f>+'Phụ lục số 2'!Q38</f>
        <v>212441.54999999996</v>
      </c>
      <c r="L56" s="1828">
        <f>SUM(M56:N56)</f>
        <v>382369.62325673946</v>
      </c>
      <c r="M56" s="4431">
        <f>+'Phụ lục số 2'!U38</f>
        <v>168756.52231412186</v>
      </c>
      <c r="N56" s="4431">
        <f>+'Phụ lục số 2'!V38</f>
        <v>213613.1009426176</v>
      </c>
      <c r="O56" s="329">
        <f t="shared" ref="O56:O57" si="85">SUM(P56:Q56)</f>
        <v>395338.82020193478</v>
      </c>
      <c r="P56" s="4431">
        <f>+'Phụ lục số 2'!Z38</f>
        <v>175285.11017594975</v>
      </c>
      <c r="Q56" s="4932">
        <f>+'Phụ lục số 2'!AA38</f>
        <v>220053.71002598506</v>
      </c>
      <c r="R56" s="1834">
        <f t="shared" ref="R56:R57" si="86">SUM(S56:T56)</f>
        <v>432326.69088304962</v>
      </c>
      <c r="S56" s="329">
        <f>+'Phụ lục số 2'!AE38</f>
        <v>185283.36647591938</v>
      </c>
      <c r="T56" s="329">
        <f>+'Phụ lục số 2'!AF38</f>
        <v>247043.32440713025</v>
      </c>
      <c r="U56" s="329">
        <f t="shared" ref="U56:U57" si="87">SUM(V56:W56)</f>
        <v>470500.43426127417</v>
      </c>
      <c r="V56" s="329">
        <f>+'Phụ lục số 2'!AJ38</f>
        <v>198923.6263440802</v>
      </c>
      <c r="W56" s="329">
        <f>+'Phụ lục số 2'!AK38</f>
        <v>271576.80791719398</v>
      </c>
      <c r="X56" s="329">
        <f t="shared" ref="X56:X57" si="88">SUM(Y56:Z56)</f>
        <v>486689.56523710187</v>
      </c>
      <c r="Y56" s="329">
        <f>+'Phụ lục số 2'!AO38</f>
        <v>203451.17675361366</v>
      </c>
      <c r="Z56" s="329">
        <f>+'Phụ lục số 2'!AP38</f>
        <v>283238.38848348818</v>
      </c>
      <c r="AB56" s="5215">
        <v>350901</v>
      </c>
      <c r="AC56" s="679">
        <f>+I56-AB56</f>
        <v>25499.949999999953</v>
      </c>
      <c r="AD56" s="679">
        <f>+K53</f>
        <v>519900</v>
      </c>
    </row>
    <row r="57" spans="1:30">
      <c r="A57" s="1932">
        <v>8</v>
      </c>
      <c r="B57" s="1923" t="s">
        <v>213</v>
      </c>
      <c r="C57" s="195">
        <f t="shared" si="82"/>
        <v>3000</v>
      </c>
      <c r="D57" s="195">
        <f>+'Phụ lục số 2'!F36</f>
        <v>3000</v>
      </c>
      <c r="E57" s="195">
        <f>+'Phụ lục số 2'!G36</f>
        <v>0</v>
      </c>
      <c r="F57" s="45">
        <f t="shared" si="83"/>
        <v>3000</v>
      </c>
      <c r="G57" s="45">
        <f>+'Phụ lục số 2'!K36</f>
        <v>3000</v>
      </c>
      <c r="H57" s="45">
        <f>+'Phụ lục số 2'!L36</f>
        <v>0</v>
      </c>
      <c r="I57" s="45">
        <f t="shared" si="84"/>
        <v>3500</v>
      </c>
      <c r="J57" s="329">
        <f>+'Phụ lục số 2'!P36</f>
        <v>3500</v>
      </c>
      <c r="K57" s="1657">
        <f>+'Phụ lục số 2'!Q36</f>
        <v>0</v>
      </c>
      <c r="L57" s="1828">
        <f>SUM(M57:N57)</f>
        <v>3500</v>
      </c>
      <c r="M57" s="4431">
        <f>+'Phụ lục số 2'!U36</f>
        <v>3500</v>
      </c>
      <c r="N57" s="4431">
        <f>+'Phụ lục số 2'!V36</f>
        <v>0</v>
      </c>
      <c r="O57" s="329">
        <f t="shared" si="85"/>
        <v>3500</v>
      </c>
      <c r="P57" s="4431">
        <f>+'Phụ lục số 2'!Z36</f>
        <v>3500</v>
      </c>
      <c r="Q57" s="4932">
        <f>+'Phụ lục số 2'!AA36</f>
        <v>0</v>
      </c>
      <c r="R57" s="1834">
        <f t="shared" si="86"/>
        <v>3500</v>
      </c>
      <c r="S57" s="329">
        <f>+'Phụ lục số 2'!AE36</f>
        <v>3500</v>
      </c>
      <c r="T57" s="329">
        <f>+'Phụ lục số 2'!AF36</f>
        <v>0</v>
      </c>
      <c r="U57" s="329">
        <f t="shared" si="87"/>
        <v>3500</v>
      </c>
      <c r="V57" s="329">
        <f>+'Phụ lục số 2'!AJ36</f>
        <v>3500</v>
      </c>
      <c r="W57" s="330"/>
      <c r="X57" s="329">
        <f t="shared" si="88"/>
        <v>3500</v>
      </c>
      <c r="Y57" s="329">
        <f>+'Phụ lục số 2'!AO36</f>
        <v>3500</v>
      </c>
      <c r="Z57" s="329">
        <f>+'Phụ lục số 2'!AP36</f>
        <v>0</v>
      </c>
      <c r="AB57" s="679">
        <f>+AB56-I56</f>
        <v>-25499.949999999953</v>
      </c>
      <c r="AC57" s="679">
        <f>+I56-C56</f>
        <v>48532.149999999965</v>
      </c>
      <c r="AD57" s="679">
        <f>+AD55-AD56</f>
        <v>421100</v>
      </c>
    </row>
    <row r="58" spans="1:30">
      <c r="A58" s="611" t="s">
        <v>33</v>
      </c>
      <c r="B58" s="1923" t="s">
        <v>214</v>
      </c>
      <c r="C58" s="195">
        <f>SUM(D58:E58)</f>
        <v>1988976</v>
      </c>
      <c r="D58" s="195">
        <f>SUM(D59,D62,D65)</f>
        <v>1988976</v>
      </c>
      <c r="E58" s="195">
        <f t="shared" ref="E58" si="89">SUM(E59,E62,E65)</f>
        <v>0</v>
      </c>
      <c r="F58" s="195">
        <f>SUM(G58:H58)</f>
        <v>2127535</v>
      </c>
      <c r="G58" s="195">
        <f>SUM(G59,G62,G65)</f>
        <v>2127535</v>
      </c>
      <c r="H58" s="195">
        <f t="shared" ref="H58" si="90">SUM(H59,H62,H65)</f>
        <v>0</v>
      </c>
      <c r="I58" s="195">
        <f>SUM(J58:K58)</f>
        <v>3036992</v>
      </c>
      <c r="J58" s="195">
        <f>SUM(J59,J62,J65)</f>
        <v>2782607</v>
      </c>
      <c r="K58" s="1646">
        <f t="shared" ref="K58" si="91">SUM(K59,K62,K65)</f>
        <v>254385</v>
      </c>
      <c r="L58" s="1830">
        <f>SUM(M58:N58)</f>
        <v>3036992</v>
      </c>
      <c r="M58" s="195">
        <f>SUM(M59,M62,M65)</f>
        <v>2782607</v>
      </c>
      <c r="N58" s="195">
        <f t="shared" ref="N58" si="92">SUM(N59,N62,N65)</f>
        <v>254385</v>
      </c>
      <c r="O58" s="195">
        <f>SUM(P58:Q58)</f>
        <v>3036992</v>
      </c>
      <c r="P58" s="195">
        <f>SUM(P59,P62,P65)</f>
        <v>2782607</v>
      </c>
      <c r="Q58" s="1646">
        <f t="shared" ref="Q58" si="93">SUM(Q59,Q62,Q65)</f>
        <v>254385</v>
      </c>
      <c r="R58" s="1830">
        <f>SUM(S58:T58)</f>
        <v>3036992</v>
      </c>
      <c r="S58" s="195">
        <f>SUM(S59,S62,S65)</f>
        <v>2782607</v>
      </c>
      <c r="T58" s="195">
        <f t="shared" ref="T58" si="94">SUM(T59,T62,T65)</f>
        <v>254385</v>
      </c>
      <c r="U58" s="195">
        <f>SUM(V58:W58)</f>
        <v>3036992</v>
      </c>
      <c r="V58" s="195">
        <f>SUM(V59,V62,V65)</f>
        <v>2782607</v>
      </c>
      <c r="W58" s="195">
        <f t="shared" ref="W58" si="95">SUM(W59,W62,W65)</f>
        <v>254385</v>
      </c>
      <c r="X58" s="195">
        <f>SUM(Y58:Z58)</f>
        <v>3036992</v>
      </c>
      <c r="Y58" s="195">
        <f>SUM(Y59,Y62,Y65)</f>
        <v>2782607</v>
      </c>
      <c r="Z58" s="1646">
        <f t="shared" ref="Z58" si="96">SUM(Z59,Z62,Z65)</f>
        <v>254385</v>
      </c>
    </row>
    <row r="59" spans="1:30">
      <c r="A59" s="603">
        <v>1</v>
      </c>
      <c r="B59" s="46" t="s">
        <v>178</v>
      </c>
      <c r="C59" s="196">
        <f t="shared" ref="C59" si="97">SUM(D59:E59)</f>
        <v>1814491</v>
      </c>
      <c r="D59" s="196">
        <f>SUM(D60:D61)</f>
        <v>1814491</v>
      </c>
      <c r="E59" s="196">
        <f t="shared" ref="E59" si="98">SUM(E60:E61)</f>
        <v>0</v>
      </c>
      <c r="F59" s="196">
        <f t="shared" ref="F59" si="99">SUM(G59:H59)</f>
        <v>1814491</v>
      </c>
      <c r="G59" s="196">
        <f>SUM(G60:G61)</f>
        <v>1814491</v>
      </c>
      <c r="H59" s="196">
        <f t="shared" ref="H59" si="100">SUM(H60:H61)</f>
        <v>0</v>
      </c>
      <c r="I59" s="196">
        <f t="shared" ref="I59" si="101">SUM(J59:K59)</f>
        <v>2530494</v>
      </c>
      <c r="J59" s="196">
        <f>SUM(J60:J61)</f>
        <v>2530494</v>
      </c>
      <c r="K59" s="1652">
        <f t="shared" ref="K59" si="102">SUM(K60:K61)</f>
        <v>0</v>
      </c>
      <c r="L59" s="1831">
        <f t="shared" ref="L59" si="103">SUM(M59:N59)</f>
        <v>2530494</v>
      </c>
      <c r="M59" s="196">
        <f>SUM(M60:M61)</f>
        <v>2530494</v>
      </c>
      <c r="N59" s="196">
        <f t="shared" ref="N59" si="104">SUM(N60:N61)</f>
        <v>0</v>
      </c>
      <c r="O59" s="328">
        <f>SUM(O60:O61)</f>
        <v>2530494</v>
      </c>
      <c r="P59" s="328">
        <f t="shared" ref="P59:Q59" si="105">SUM(P60:P61)</f>
        <v>2530494</v>
      </c>
      <c r="Q59" s="1656">
        <f t="shared" si="105"/>
        <v>0</v>
      </c>
      <c r="R59" s="1835">
        <f>SUM(R60:R61)</f>
        <v>2530494</v>
      </c>
      <c r="S59" s="328">
        <f t="shared" ref="S59:T59" si="106">SUM(S60:S61)</f>
        <v>2530494</v>
      </c>
      <c r="T59" s="328">
        <f t="shared" si="106"/>
        <v>0</v>
      </c>
      <c r="U59" s="328">
        <f>SUM(U60:U61)</f>
        <v>2530494</v>
      </c>
      <c r="V59" s="328">
        <f t="shared" ref="V59:W59" si="107">SUM(V60:V61)</f>
        <v>2530494</v>
      </c>
      <c r="W59" s="328">
        <f t="shared" si="107"/>
        <v>0</v>
      </c>
      <c r="X59" s="328">
        <f>SUM(X60:X61)</f>
        <v>2530494</v>
      </c>
      <c r="Y59" s="328">
        <f t="shared" ref="Y59:Z59" si="108">SUM(Y60:Y61)</f>
        <v>2530494</v>
      </c>
      <c r="Z59" s="1656">
        <f t="shared" si="108"/>
        <v>0</v>
      </c>
      <c r="AB59" s="47">
        <v>901</v>
      </c>
    </row>
    <row r="60" spans="1:30"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1656">
        <f>+'Phụ lục số 2'!Q42</f>
        <v>0</v>
      </c>
      <c r="L60" s="1835">
        <f>SUM(M60:N60)</f>
        <v>2399255</v>
      </c>
      <c r="M60" s="328">
        <f>+'Phụ lục số 2'!U42</f>
        <v>2399255</v>
      </c>
      <c r="N60" s="328">
        <f>+'Phụ lục số 2'!V42</f>
        <v>0</v>
      </c>
      <c r="O60" s="328">
        <f>SUM(P60:Q60)</f>
        <v>2399255</v>
      </c>
      <c r="P60" s="328">
        <f>+'Phụ lục số 2'!Z42</f>
        <v>2399255</v>
      </c>
      <c r="Q60" s="1656">
        <f>+'Phụ lục số 2'!AA42</f>
        <v>0</v>
      </c>
      <c r="R60" s="1835">
        <f>SUM(S60:T60)</f>
        <v>2399255</v>
      </c>
      <c r="S60" s="328">
        <f>+'Phụ lục số 2'!AE42</f>
        <v>2399255</v>
      </c>
      <c r="T60" s="297"/>
      <c r="U60" s="297">
        <f>SUM(V60:W60)</f>
        <v>2399255</v>
      </c>
      <c r="V60" s="328">
        <f>+'Phụ lục số 2'!AJ42</f>
        <v>2399255</v>
      </c>
      <c r="W60" s="328">
        <f>+'Phụ lục số 2'!AK42</f>
        <v>0</v>
      </c>
      <c r="X60" s="328">
        <f>SUM(Y60:Z60)</f>
        <v>2399255</v>
      </c>
      <c r="Y60" s="328">
        <f>+'Phụ lục số 2'!AO42</f>
        <v>2399255</v>
      </c>
      <c r="Z60" s="328">
        <f>+'Phụ lục số 2'!AP42</f>
        <v>0</v>
      </c>
      <c r="AB60" s="47">
        <v>622</v>
      </c>
    </row>
    <row r="61" spans="1:30" hidden="1">
      <c r="A61" s="603" t="s">
        <v>101</v>
      </c>
      <c r="B61" s="46" t="s">
        <v>102</v>
      </c>
      <c r="C61" s="196">
        <f t="shared" ref="C61:C62" si="10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1656">
        <f>+'Phụ lục số 2'!Q43</f>
        <v>0</v>
      </c>
      <c r="L61" s="1835">
        <f>SUM(M61:N61)</f>
        <v>131239</v>
      </c>
      <c r="M61" s="328">
        <f>+'Phụ lục số 2'!U43</f>
        <v>131239</v>
      </c>
      <c r="N61" s="328">
        <f>+'Phụ lục số 2'!V43</f>
        <v>0</v>
      </c>
      <c r="O61" s="328">
        <f>SUM(P61:Q61)</f>
        <v>131239</v>
      </c>
      <c r="P61" s="328">
        <f>+'Phụ lục số 2'!Z43</f>
        <v>131239</v>
      </c>
      <c r="Q61" s="1656">
        <f>+'Phụ lục số 2'!AA43</f>
        <v>0</v>
      </c>
      <c r="R61" s="1835">
        <f>SUM(S61:T61)</f>
        <v>131239</v>
      </c>
      <c r="S61" s="328">
        <f>+'Phụ lục số 2'!AE43</f>
        <v>131239</v>
      </c>
      <c r="T61" s="297"/>
      <c r="U61" s="297">
        <f>SUM(V61:W61)</f>
        <v>131239</v>
      </c>
      <c r="V61" s="328">
        <f>+'Phụ lục số 2'!AJ43</f>
        <v>131239</v>
      </c>
      <c r="W61" s="328">
        <f>+'Phụ lục số 2'!AK43</f>
        <v>0</v>
      </c>
      <c r="X61" s="328">
        <f>SUM(Y61:Z61)</f>
        <v>131239</v>
      </c>
      <c r="Y61" s="328">
        <f>+'Phụ lục số 2'!AO43</f>
        <v>131239</v>
      </c>
      <c r="Z61" s="328">
        <f>+'Phụ lục số 2'!AP43</f>
        <v>0</v>
      </c>
      <c r="AB61" s="47">
        <f>+AB59-AB60</f>
        <v>279</v>
      </c>
    </row>
    <row r="62" spans="1:30">
      <c r="A62" s="603">
        <v>2</v>
      </c>
      <c r="B62" s="46" t="s">
        <v>179</v>
      </c>
      <c r="C62" s="196">
        <f t="shared" si="109"/>
        <v>174485</v>
      </c>
      <c r="D62" s="196">
        <f>SUM(D63:D64)</f>
        <v>174485</v>
      </c>
      <c r="E62" s="196">
        <f t="shared" ref="E62" si="110">SUM(E63:E64)</f>
        <v>0</v>
      </c>
      <c r="F62" s="196">
        <f t="shared" ref="F62" si="111">SUM(G62:H62)</f>
        <v>174485</v>
      </c>
      <c r="G62" s="196">
        <f>SUM(G63:G64)</f>
        <v>174485</v>
      </c>
      <c r="H62" s="196">
        <f t="shared" ref="H62" si="112">SUM(H63:H64)</f>
        <v>0</v>
      </c>
      <c r="I62" s="196">
        <f t="shared" ref="I62" si="113">SUM(J62:K62)</f>
        <v>221912</v>
      </c>
      <c r="J62" s="196">
        <f>SUM(J63:J64)</f>
        <v>125737</v>
      </c>
      <c r="K62" s="1652">
        <f t="shared" ref="K62" si="114">SUM(K63:K64)</f>
        <v>96175</v>
      </c>
      <c r="L62" s="1831">
        <f t="shared" ref="L62" si="115">SUM(M62:N62)</f>
        <v>221912</v>
      </c>
      <c r="M62" s="196">
        <f>SUM(M63:M64)</f>
        <v>125737</v>
      </c>
      <c r="N62" s="196">
        <f t="shared" ref="N62" si="116">SUM(N63:N64)</f>
        <v>96175</v>
      </c>
      <c r="O62" s="328">
        <f>SUM(O63:O64)</f>
        <v>221912</v>
      </c>
      <c r="P62" s="328">
        <f t="shared" ref="P62:Q62" si="117">SUM(P63:P64)</f>
        <v>125737</v>
      </c>
      <c r="Q62" s="1656">
        <f t="shared" si="117"/>
        <v>96175</v>
      </c>
      <c r="R62" s="1835">
        <f>SUM(R63:R64)</f>
        <v>221912</v>
      </c>
      <c r="S62" s="328">
        <f t="shared" ref="S62:T62" si="118">SUM(S63:S64)</f>
        <v>125737</v>
      </c>
      <c r="T62" s="328">
        <f t="shared" si="118"/>
        <v>96175</v>
      </c>
      <c r="U62" s="328">
        <f>SUM(U63:U64)</f>
        <v>221912</v>
      </c>
      <c r="V62" s="328">
        <f t="shared" ref="V62:W62" si="119">SUM(V63:V64)</f>
        <v>125737</v>
      </c>
      <c r="W62" s="328">
        <f t="shared" si="119"/>
        <v>96175</v>
      </c>
      <c r="X62" s="328">
        <f>SUM(X63:X64)</f>
        <v>221912</v>
      </c>
      <c r="Y62" s="328">
        <f t="shared" ref="Y62:Z62" si="120">SUM(Y63:Y64)</f>
        <v>125737</v>
      </c>
      <c r="Z62" s="1656">
        <f t="shared" si="120"/>
        <v>96175</v>
      </c>
    </row>
    <row r="63" spans="1:30"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1656">
        <f>+'Phụ lục số 2'!Q45</f>
        <v>96175</v>
      </c>
      <c r="L63" s="1835">
        <f>SUM(M63:N63)</f>
        <v>186007</v>
      </c>
      <c r="M63" s="328">
        <f>+'Phụ lục số 2'!U45</f>
        <v>89832</v>
      </c>
      <c r="N63" s="328">
        <f>+'Phụ lục số 2'!V45</f>
        <v>96175</v>
      </c>
      <c r="O63" s="328">
        <f>SUM(P63:Q63)</f>
        <v>186007</v>
      </c>
      <c r="P63" s="328">
        <f>+'Phụ lục số 2'!Z45</f>
        <v>89832</v>
      </c>
      <c r="Q63" s="1656">
        <f>+'Phụ lục số 2'!AA45</f>
        <v>96175</v>
      </c>
      <c r="R63" s="1835">
        <f>SUM(S63:T63)</f>
        <v>186007</v>
      </c>
      <c r="S63" s="328">
        <f>+'Phụ lục số 2'!AE45</f>
        <v>89832</v>
      </c>
      <c r="T63" s="328">
        <f>+'Phụ lục số 2'!AF45</f>
        <v>96175</v>
      </c>
      <c r="U63" s="297">
        <f>SUM(V63:W63)</f>
        <v>186007</v>
      </c>
      <c r="V63" s="328">
        <f>+'Phụ lục số 2'!AJ45</f>
        <v>89832</v>
      </c>
      <c r="W63" s="328">
        <f>+'Phụ lục số 2'!AK45</f>
        <v>96175</v>
      </c>
      <c r="X63" s="328">
        <f>SUM(Y63:Z63)</f>
        <v>186007</v>
      </c>
      <c r="Y63" s="328">
        <f>+'Phụ lục số 2'!AO45</f>
        <v>89832</v>
      </c>
      <c r="Z63" s="328">
        <f>+'Phụ lục số 2'!AP45</f>
        <v>96175</v>
      </c>
    </row>
    <row r="64" spans="1:30" hidden="1">
      <c r="A64" s="603" t="s">
        <v>101</v>
      </c>
      <c r="B64" s="46" t="s">
        <v>102</v>
      </c>
      <c r="C64" s="196">
        <f t="shared" ref="C64:C68" si="12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1656">
        <f>+'Phụ lục số 2'!Q46</f>
        <v>0</v>
      </c>
      <c r="L64" s="1835">
        <f>SUM(M64:N64)</f>
        <v>35905</v>
      </c>
      <c r="M64" s="328">
        <f>+'Phụ lục số 2'!U46</f>
        <v>35905</v>
      </c>
      <c r="N64" s="328">
        <f>+'Phụ lục số 2'!V46</f>
        <v>0</v>
      </c>
      <c r="O64" s="328">
        <f>SUM(P64:Q64)</f>
        <v>35905</v>
      </c>
      <c r="P64" s="328">
        <f>+'Phụ lục số 2'!Z46</f>
        <v>35905</v>
      </c>
      <c r="Q64" s="1656">
        <f>+'Phụ lục số 2'!AA46</f>
        <v>0</v>
      </c>
      <c r="R64" s="1835">
        <f>SUM(S64:T64)</f>
        <v>35905</v>
      </c>
      <c r="S64" s="328">
        <f>+'Phụ lục số 2'!AE46</f>
        <v>35905</v>
      </c>
      <c r="T64" s="328">
        <f>+'Phụ lục số 2'!AF46</f>
        <v>0</v>
      </c>
      <c r="U64" s="297">
        <f>SUM(V64:W64)</f>
        <v>35905</v>
      </c>
      <c r="V64" s="328">
        <f>+'Phụ lục số 2'!AJ46</f>
        <v>35905</v>
      </c>
      <c r="W64" s="328">
        <f>+'Phụ lục số 2'!AK46</f>
        <v>0</v>
      </c>
      <c r="X64" s="328">
        <f>SUM(Y64:Z64)</f>
        <v>35905</v>
      </c>
      <c r="Y64" s="328">
        <f>+'Phụ lục số 2'!AO46</f>
        <v>35905</v>
      </c>
      <c r="Z64" s="328">
        <f>+'Phụ lục số 2'!AP46</f>
        <v>0</v>
      </c>
    </row>
    <row r="65" spans="1:30">
      <c r="A65" s="603">
        <v>3</v>
      </c>
      <c r="B65" s="46" t="s">
        <v>180</v>
      </c>
      <c r="C65" s="196">
        <f t="shared" si="121"/>
        <v>0</v>
      </c>
      <c r="D65" s="196">
        <f>SUM(D66:D67)</f>
        <v>0</v>
      </c>
      <c r="E65" s="196">
        <f t="shared" ref="E65" si="122">SUM(E66:E67)</f>
        <v>0</v>
      </c>
      <c r="F65" s="46">
        <f>SUM(F66:F67)</f>
        <v>138559</v>
      </c>
      <c r="G65" s="46">
        <f t="shared" ref="G65:N65" si="123">SUM(G66:G67)</f>
        <v>138559</v>
      </c>
      <c r="H65" s="46">
        <f t="shared" si="123"/>
        <v>0</v>
      </c>
      <c r="I65" s="46">
        <f>SUM(I66:I67)</f>
        <v>284586</v>
      </c>
      <c r="J65" s="46">
        <f t="shared" si="123"/>
        <v>126376</v>
      </c>
      <c r="K65" s="1645">
        <f t="shared" si="123"/>
        <v>158210</v>
      </c>
      <c r="L65" s="1827">
        <f>SUM(L66:L67)</f>
        <v>284586</v>
      </c>
      <c r="M65" s="46">
        <f t="shared" si="123"/>
        <v>126376</v>
      </c>
      <c r="N65" s="46">
        <f t="shared" si="123"/>
        <v>158210</v>
      </c>
      <c r="O65" s="328">
        <f>SUM(O66:O67)</f>
        <v>284586</v>
      </c>
      <c r="P65" s="328">
        <f t="shared" ref="P65:Q65" si="124">SUM(P66:P67)</f>
        <v>126376</v>
      </c>
      <c r="Q65" s="1656">
        <f t="shared" si="124"/>
        <v>158210</v>
      </c>
      <c r="R65" s="1833">
        <f>SUM(R66:R67)</f>
        <v>284586</v>
      </c>
      <c r="S65" s="297">
        <f t="shared" ref="S65:T65" si="125">SUM(S66:S67)</f>
        <v>126376</v>
      </c>
      <c r="T65" s="297">
        <f t="shared" si="125"/>
        <v>158210</v>
      </c>
      <c r="U65" s="297">
        <f>SUM(U66:U67)</f>
        <v>284586</v>
      </c>
      <c r="V65" s="297">
        <f t="shared" ref="V65:W65" si="126">SUM(V66:V67)</f>
        <v>126376</v>
      </c>
      <c r="W65" s="297">
        <f t="shared" si="126"/>
        <v>158210</v>
      </c>
      <c r="X65" s="328">
        <f>SUM(X66:X67)</f>
        <v>284586</v>
      </c>
      <c r="Y65" s="328">
        <f t="shared" ref="Y65:Z65" si="127">SUM(Y66:Y67)</f>
        <v>126376</v>
      </c>
      <c r="Z65" s="1656">
        <f t="shared" si="127"/>
        <v>158210</v>
      </c>
      <c r="AB65" s="679">
        <f>+I56-AB56-6000</f>
        <v>19499.949999999953</v>
      </c>
      <c r="AC65" s="679">
        <f>368901-AB56</f>
        <v>18000</v>
      </c>
    </row>
    <row r="66" spans="1:30" hidden="1">
      <c r="A66" s="603" t="s">
        <v>99</v>
      </c>
      <c r="B66" s="46" t="s">
        <v>104</v>
      </c>
      <c r="C66" s="196">
        <f t="shared" si="12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1656">
        <f>+'Phụ lục số 2'!Q48</f>
        <v>0</v>
      </c>
      <c r="L66" s="1835">
        <f>SUM(M66:N66)</f>
        <v>0</v>
      </c>
      <c r="M66" s="328">
        <f>+'Phụ lục số 2'!U48</f>
        <v>0</v>
      </c>
      <c r="N66" s="328">
        <f>+'Phụ lục số 2'!V48</f>
        <v>0</v>
      </c>
      <c r="O66" s="328">
        <f>SUM(P66:Q66)</f>
        <v>0</v>
      </c>
      <c r="P66" s="328">
        <f>+'Phụ lục số 2'!Z48</f>
        <v>0</v>
      </c>
      <c r="Q66" s="1656">
        <f>+'Phụ lục số 2'!AA48</f>
        <v>0</v>
      </c>
      <c r="R66" s="1835">
        <f>SUM(S66:T66)</f>
        <v>0</v>
      </c>
      <c r="S66" s="328">
        <f>+'Phụ lục số 2'!AE48</f>
        <v>0</v>
      </c>
      <c r="T66" s="328">
        <f>+'Phụ lục số 2'!AF48</f>
        <v>0</v>
      </c>
      <c r="U66" s="328">
        <f>SUM(V66:W66)</f>
        <v>0</v>
      </c>
      <c r="V66" s="328">
        <f>+'Phụ lục số 2'!AJ48</f>
        <v>0</v>
      </c>
      <c r="W66" s="328">
        <f>+'Phụ lục số 2'!AK48</f>
        <v>0</v>
      </c>
      <c r="X66" s="328">
        <f>SUM(Y66:Z66)</f>
        <v>0</v>
      </c>
      <c r="Y66" s="328">
        <f>+'Phụ lục số 2'!AO48</f>
        <v>0</v>
      </c>
      <c r="Z66" s="328">
        <f>+'Phụ lục số 2'!AP48</f>
        <v>0</v>
      </c>
    </row>
    <row r="67" spans="1:30" hidden="1">
      <c r="A67" s="603" t="s">
        <v>101</v>
      </c>
      <c r="B67" s="46" t="s">
        <v>105</v>
      </c>
      <c r="C67" s="196">
        <f t="shared" si="12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1656">
        <f>+'Phụ lục số 2'!Q49</f>
        <v>158210</v>
      </c>
      <c r="L67" s="1835">
        <f>SUM(M67:N67)</f>
        <v>284586</v>
      </c>
      <c r="M67" s="328">
        <f>+'Phụ lục số 2'!U49</f>
        <v>126376</v>
      </c>
      <c r="N67" s="328">
        <f>+'Phụ lục số 2'!V49</f>
        <v>158210</v>
      </c>
      <c r="O67" s="328">
        <f>SUM(P67:Q67)</f>
        <v>284586</v>
      </c>
      <c r="P67" s="328">
        <f>+'Phụ lục số 2'!Z49</f>
        <v>126376</v>
      </c>
      <c r="Q67" s="1656">
        <f>+'Phụ lục số 2'!AA49</f>
        <v>158210</v>
      </c>
      <c r="R67" s="1835">
        <f>SUM(S67:T67)</f>
        <v>284586</v>
      </c>
      <c r="S67" s="328">
        <f>+'Phụ lục số 2'!AE49</f>
        <v>126376</v>
      </c>
      <c r="T67" s="328">
        <f>+'Phụ lục số 2'!AF49</f>
        <v>158210</v>
      </c>
      <c r="U67" s="328">
        <f>SUM(V67:W67)</f>
        <v>284586</v>
      </c>
      <c r="V67" s="328">
        <f>+'Phụ lục số 2'!AJ49</f>
        <v>126376</v>
      </c>
      <c r="W67" s="328">
        <f>+'Phụ lục số 2'!AK49</f>
        <v>158210</v>
      </c>
      <c r="X67" s="328">
        <f>SUM(Y67:Z67)</f>
        <v>284586</v>
      </c>
      <c r="Y67" s="328">
        <f>+'Phụ lục số 2'!AO49</f>
        <v>126376</v>
      </c>
      <c r="Z67" s="328">
        <f>+'Phụ lục số 2'!AP49</f>
        <v>158210</v>
      </c>
      <c r="AD67" s="679">
        <f>+K67-J67</f>
        <v>31834</v>
      </c>
    </row>
    <row r="68" spans="1:30">
      <c r="A68" s="611" t="s">
        <v>182</v>
      </c>
      <c r="B68" s="1933" t="s">
        <v>181</v>
      </c>
      <c r="C68" s="195">
        <f t="shared" si="121"/>
        <v>0</v>
      </c>
      <c r="D68" s="196"/>
      <c r="E68" s="196"/>
      <c r="F68" s="45">
        <f>SUM(G68:H68)</f>
        <v>0</v>
      </c>
      <c r="G68" s="46">
        <f>+'Phụ lục số 2'!K50</f>
        <v>0</v>
      </c>
      <c r="H68" s="46">
        <f>+'Phụ lục số 2'!L50</f>
        <v>0</v>
      </c>
      <c r="I68" s="329">
        <f>SUM(J68:K68)</f>
        <v>0</v>
      </c>
      <c r="J68" s="329">
        <f>+'Phụ lục số 2'!P50</f>
        <v>0</v>
      </c>
      <c r="K68" s="1657">
        <f>+'Phụ lục số 2'!Q50</f>
        <v>0</v>
      </c>
      <c r="L68" s="1834">
        <f>SUM(M68:N68)</f>
        <v>0</v>
      </c>
      <c r="M68" s="329">
        <f>+'Phụ lục số 2'!U50</f>
        <v>0</v>
      </c>
      <c r="N68" s="329">
        <f>+'Phụ lục số 2'!V50</f>
        <v>0</v>
      </c>
      <c r="O68" s="329">
        <f>SUM(P68:Q68)</f>
        <v>0</v>
      </c>
      <c r="P68" s="329">
        <f>+'Phụ lục số 2'!Z50</f>
        <v>0</v>
      </c>
      <c r="Q68" s="1657">
        <f>+'Phụ lục số 2'!AA50</f>
        <v>0</v>
      </c>
      <c r="R68" s="1834">
        <f>SUM(S68:T68)</f>
        <v>0</v>
      </c>
      <c r="S68" s="329">
        <f>'Phụ lục số II'!AE45</f>
        <v>0</v>
      </c>
      <c r="T68" s="297"/>
      <c r="U68" s="329">
        <f>SUM(V68:W68)</f>
        <v>0</v>
      </c>
      <c r="V68" s="329">
        <f>+'Phụ lục số 2'!AJ50</f>
        <v>0</v>
      </c>
      <c r="W68" s="329">
        <f>+'Phụ lục số 2'!AK50</f>
        <v>0</v>
      </c>
      <c r="X68" s="329">
        <f>SUM(Y68:Z68)</f>
        <v>0</v>
      </c>
      <c r="Y68" s="329">
        <f>+'Phụ lục số 2'!AO50</f>
        <v>0</v>
      </c>
      <c r="Z68" s="329">
        <f>+'Phụ lục số 2'!AP50</f>
        <v>0</v>
      </c>
    </row>
    <row r="69" spans="1:30">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5110"/>
      <c r="L69" s="1834">
        <f>SUM(M69:N69)</f>
        <v>7078351.9069999997</v>
      </c>
      <c r="M69" s="329">
        <f>N18</f>
        <v>7078351.9069999997</v>
      </c>
      <c r="N69" s="330"/>
      <c r="O69" s="329">
        <f>SUM(P69:Q69)</f>
        <v>7078351.9069999997</v>
      </c>
      <c r="P69" s="329">
        <f>Q18</f>
        <v>7078351.9069999997</v>
      </c>
      <c r="Q69" s="1657"/>
      <c r="R69" s="1834">
        <f>SUM(S69:T69)</f>
        <v>7078351.9069999997</v>
      </c>
      <c r="S69" s="329">
        <f>T18</f>
        <v>7078351.9069999997</v>
      </c>
      <c r="T69" s="330"/>
      <c r="U69" s="329">
        <f>SUM(V69:W69)</f>
        <v>7078351.9069999997</v>
      </c>
      <c r="V69" s="329">
        <f>W18</f>
        <v>7078351.9069999997</v>
      </c>
      <c r="W69" s="330"/>
      <c r="X69" s="329">
        <f>SUM(Y69:Z69)</f>
        <v>7078351.9069999997</v>
      </c>
      <c r="Y69" s="329">
        <f>Z18</f>
        <v>7078351.9069999997</v>
      </c>
      <c r="Z69" s="1657"/>
    </row>
    <row r="70" spans="1:30">
      <c r="A70" s="611" t="s">
        <v>744</v>
      </c>
      <c r="B70" s="1923" t="s">
        <v>3233</v>
      </c>
      <c r="C70" s="195"/>
      <c r="D70" s="45"/>
      <c r="E70" s="46"/>
      <c r="F70" s="45"/>
      <c r="G70" s="45"/>
      <c r="H70" s="45"/>
      <c r="I70" s="4431">
        <f>SUM(J70:K70)</f>
        <v>5553.7960000000003</v>
      </c>
      <c r="J70" s="4431">
        <f>+'Phụ lục số 2'!P51</f>
        <v>5553.7960000000003</v>
      </c>
      <c r="K70" s="4932">
        <f>+'Phụ lục số 2'!Q51</f>
        <v>0</v>
      </c>
      <c r="L70" s="1834">
        <f>+M70+N70</f>
        <v>0</v>
      </c>
      <c r="M70" s="329">
        <f>+'Phụ lục số 2'!U51</f>
        <v>0</v>
      </c>
      <c r="N70" s="329">
        <f>+'Phụ lục số 2'!V51</f>
        <v>0</v>
      </c>
      <c r="O70" s="329">
        <f>+P70+Q70</f>
        <v>0</v>
      </c>
      <c r="P70" s="329">
        <f>+'Phụ lục số 2'!Z51</f>
        <v>0</v>
      </c>
      <c r="Q70" s="1657">
        <f>+'Phụ lục số 2'!AA51</f>
        <v>0</v>
      </c>
      <c r="R70" s="5180"/>
      <c r="S70" s="5181"/>
      <c r="T70" s="5182"/>
      <c r="U70" s="5181"/>
      <c r="V70" s="5181"/>
      <c r="W70" s="5182"/>
      <c r="X70" s="5181"/>
      <c r="Y70" s="5181"/>
      <c r="Z70" s="5255"/>
    </row>
    <row r="71" spans="1:30" s="1644" customForma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621">
        <f>K8-K33-K72</f>
        <v>-3.7252902984619141E-9</v>
      </c>
      <c r="L71" s="5614">
        <f>M71+N71</f>
        <v>-8.7682716548442841E-4</v>
      </c>
      <c r="M71" s="2699">
        <f>M8-M33</f>
        <v>-5.6243687868118286E-4</v>
      </c>
      <c r="N71" s="2699">
        <f>N8-N33</f>
        <v>-3.1439028680324554E-4</v>
      </c>
      <c r="O71" s="2699">
        <f>P71+Q71</f>
        <v>1.939261332154274E-3</v>
      </c>
      <c r="P71" s="5899">
        <f>P8-P33</f>
        <v>2.6501379907131195E-3</v>
      </c>
      <c r="Q71" s="5896">
        <f>Q8-Q33</f>
        <v>-7.1087665855884552E-4</v>
      </c>
      <c r="R71" s="5902">
        <f>S71+T71</f>
        <v>-4.2503513395786285E-4</v>
      </c>
      <c r="S71" s="5899">
        <f>S8-S33</f>
        <v>1.9289180636405945E-4</v>
      </c>
      <c r="T71" s="5899">
        <f>T8-T33</f>
        <v>-6.179269403219223E-4</v>
      </c>
      <c r="U71" s="2699">
        <f>V71+W71</f>
        <v>7.3439851403236389E-3</v>
      </c>
      <c r="V71" s="5899">
        <f>V8-V33</f>
        <v>2.2739991545677185E-3</v>
      </c>
      <c r="W71" s="5903">
        <f>W8-W33</f>
        <v>5.0699859857559204E-3</v>
      </c>
      <c r="X71" s="2699">
        <f>Y71+Z71</f>
        <v>3.2603424042463303E-3</v>
      </c>
      <c r="Y71" s="5899">
        <f>Y8-Y33</f>
        <v>2.6371963322162628E-3</v>
      </c>
      <c r="Z71" s="5896">
        <f>Z8-Z33</f>
        <v>6.2314607203006744E-4</v>
      </c>
    </row>
    <row r="72" spans="1:30" ht="18.600000000000001" thickBot="1">
      <c r="A72" s="632" t="s">
        <v>46</v>
      </c>
      <c r="B72" s="2632" t="s">
        <v>347</v>
      </c>
      <c r="C72" s="4910"/>
      <c r="D72" s="4911"/>
      <c r="E72" s="4911"/>
      <c r="F72" s="1823"/>
      <c r="G72" s="4912"/>
      <c r="H72" s="4912"/>
      <c r="I72" s="4913">
        <f>SUM(J72:K72)</f>
        <v>186700</v>
      </c>
      <c r="J72" s="4913">
        <f>+'Phụ lục số 2'!P52</f>
        <v>186700</v>
      </c>
      <c r="K72" s="5622">
        <f>+'Phụ lục số 2'!Q52</f>
        <v>0</v>
      </c>
      <c r="L72" s="5615">
        <f>SUM(M72:N72)</f>
        <v>0</v>
      </c>
      <c r="M72" s="4914">
        <f>+'Phụ lục số 2'!U52</f>
        <v>0</v>
      </c>
      <c r="N72" s="4914">
        <f>+'Phụ lục số 2'!V52</f>
        <v>0</v>
      </c>
      <c r="O72" s="4914">
        <f>SUM(P72:Q72)</f>
        <v>0</v>
      </c>
      <c r="P72" s="4914">
        <f>+'Phụ lục số 2'!Z52</f>
        <v>0</v>
      </c>
      <c r="Q72" s="2633">
        <f>+'Phụ lục số 2'!AA52</f>
        <v>0</v>
      </c>
      <c r="R72" s="5900"/>
      <c r="S72" s="4914"/>
      <c r="T72" s="5901"/>
      <c r="U72" s="4914"/>
      <c r="V72" s="4914"/>
      <c r="W72" s="5901"/>
      <c r="X72" s="4914"/>
      <c r="Y72" s="4914"/>
      <c r="Z72" s="4915"/>
    </row>
    <row r="73" spans="1:30" ht="18.600000000000001" thickTop="1">
      <c r="A73" s="1638"/>
      <c r="B73" s="2733"/>
      <c r="C73" s="5156"/>
      <c r="D73" s="5157"/>
      <c r="E73" s="5157"/>
      <c r="F73" s="5158"/>
      <c r="G73" s="5159"/>
      <c r="H73" s="5159"/>
      <c r="I73" s="5160"/>
      <c r="J73" s="5160"/>
      <c r="K73" s="5160"/>
      <c r="L73" s="5161"/>
      <c r="M73" s="5161"/>
      <c r="N73" s="2770"/>
      <c r="O73" s="5161"/>
      <c r="P73" s="5161"/>
      <c r="Q73" s="2750"/>
      <c r="R73" s="5161"/>
      <c r="S73" s="5161"/>
      <c r="T73" s="2770"/>
      <c r="U73" s="5161"/>
      <c r="V73" s="5161"/>
      <c r="W73" s="2770"/>
      <c r="X73" s="5161"/>
      <c r="Y73" s="5161"/>
      <c r="Z73" s="2750"/>
    </row>
    <row r="74" spans="1:30" hidden="1">
      <c r="E74" s="679"/>
      <c r="F74" s="679"/>
      <c r="I74" s="679">
        <f>'Phụ lục số 5'!C175</f>
        <v>7390.4739999999929</v>
      </c>
      <c r="J74" s="679"/>
      <c r="K74" s="679"/>
      <c r="L74" s="679"/>
      <c r="O74" s="679"/>
      <c r="R74" s="679">
        <f>+R11-R34</f>
        <v>-1905672.000425037</v>
      </c>
      <c r="U74" s="679">
        <f>+U11-U34</f>
        <v>-2215671.9926560149</v>
      </c>
      <c r="X74" s="679">
        <f>+X11-X34</f>
        <v>-2945671.9967396557</v>
      </c>
    </row>
    <row r="75" spans="1:30" hidden="1">
      <c r="F75" s="679"/>
      <c r="G75" s="679">
        <f>+'Phụ lục số 1'!O124</f>
        <v>12898.323635268956</v>
      </c>
      <c r="H75" s="679"/>
      <c r="I75" s="679">
        <f>I71-I74</f>
        <v>-7390.4740000055808</v>
      </c>
    </row>
    <row r="76" spans="1:30" hidden="1">
      <c r="F76" s="679"/>
      <c r="G76" s="679">
        <f>+G75-G71</f>
        <v>-5.2000001072883606E-2</v>
      </c>
      <c r="H76" s="679"/>
      <c r="I76" s="679"/>
      <c r="J76" s="679"/>
    </row>
    <row r="77" spans="1:30" hidden="1">
      <c r="E77" s="679"/>
      <c r="G77" s="679"/>
      <c r="H77" s="679"/>
      <c r="J77" s="679"/>
    </row>
    <row r="78" spans="1:30" s="49" customFormat="1" ht="17.399999999999999" hidden="1">
      <c r="A78" s="319" t="s">
        <v>3</v>
      </c>
      <c r="B78" s="49" t="s">
        <v>291</v>
      </c>
      <c r="F78" s="6080" t="s">
        <v>304</v>
      </c>
      <c r="G78" s="6080"/>
      <c r="H78" s="6080"/>
      <c r="I78" s="6080" t="s">
        <v>297</v>
      </c>
      <c r="J78" s="6080"/>
      <c r="K78" s="6080"/>
      <c r="L78" s="6080" t="s">
        <v>299</v>
      </c>
      <c r="M78" s="6080"/>
      <c r="N78" s="6080"/>
      <c r="O78" s="6080" t="s">
        <v>300</v>
      </c>
      <c r="P78" s="6080"/>
      <c r="Q78" s="6080"/>
      <c r="R78" s="6080" t="s">
        <v>301</v>
      </c>
      <c r="S78" s="6080"/>
      <c r="T78" s="6080"/>
      <c r="U78" s="6080" t="s">
        <v>302</v>
      </c>
      <c r="V78" s="6080"/>
      <c r="W78" s="6080"/>
      <c r="X78" s="6080" t="s">
        <v>303</v>
      </c>
      <c r="Y78" s="6080"/>
      <c r="Z78" s="6080"/>
    </row>
    <row r="79" spans="1:30" s="49" customFormat="1" ht="17.399999999999999" hidden="1">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f>SUM(S79:T79)</f>
        <v>679148.46973107941</v>
      </c>
      <c r="S79" s="321">
        <f>S12-P12</f>
        <v>165048.01078079455</v>
      </c>
      <c r="T79" s="321">
        <f>T12-Q12</f>
        <v>514100.45895028487</v>
      </c>
      <c r="U79" s="321">
        <f>SUM(V79:W79)</f>
        <v>1045303.2861668617</v>
      </c>
      <c r="V79" s="321">
        <f>V12-S12</f>
        <v>608423.18842501938</v>
      </c>
      <c r="W79" s="321">
        <f>W12-T12</f>
        <v>436880.09774184227</v>
      </c>
      <c r="X79" s="321">
        <f>SUM(Y79:Z79)</f>
        <v>1605469.3762433678</v>
      </c>
      <c r="Y79" s="321">
        <f>Y12-V12</f>
        <v>881079.72815803904</v>
      </c>
      <c r="Z79" s="321">
        <f>Z12-W12</f>
        <v>724389.64808532875</v>
      </c>
    </row>
    <row r="80" spans="1:30" hidden="1">
      <c r="A80" s="317">
        <v>2</v>
      </c>
      <c r="B80" s="47" t="s">
        <v>293</v>
      </c>
      <c r="F80" s="314">
        <f>SUM(F81:F83)</f>
        <v>189068</v>
      </c>
      <c r="G80" s="314">
        <f>SUM(G81:G83)</f>
        <v>189068</v>
      </c>
      <c r="H80" s="314">
        <f>SUM(H81:H83)</f>
        <v>0</v>
      </c>
      <c r="I80" s="314">
        <f>SUM(I81:I83)</f>
        <v>-432054.16200000001</v>
      </c>
      <c r="J80" s="314">
        <f t="shared" ref="J80:K80" si="128">SUM(J81:J83)</f>
        <v>-382554.16200000001</v>
      </c>
      <c r="K80" s="314">
        <f t="shared" si="128"/>
        <v>-49500</v>
      </c>
      <c r="L80" s="315">
        <f>SUM(L81:L83)</f>
        <v>367000</v>
      </c>
      <c r="M80" s="315">
        <f>SUM(M81:M83)</f>
        <v>200500</v>
      </c>
      <c r="N80" s="315">
        <f>SUM(N81:N83)</f>
        <v>166500</v>
      </c>
      <c r="O80" s="314">
        <f>SUM(O81:O83)</f>
        <v>10000</v>
      </c>
      <c r="P80" s="314">
        <f t="shared" ref="P80:Q80" si="129">SUM(P81:P83)</f>
        <v>10000</v>
      </c>
      <c r="Q80" s="314">
        <f t="shared" si="129"/>
        <v>0</v>
      </c>
      <c r="R80" s="314">
        <f>SUM(R81:R83)</f>
        <v>110000</v>
      </c>
      <c r="S80" s="314">
        <f>SUM(S81:S83)</f>
        <v>110000</v>
      </c>
      <c r="T80" s="314">
        <f t="shared" ref="T80" si="130">SUM(T81:T83)</f>
        <v>0</v>
      </c>
      <c r="U80" s="314">
        <f>SUM(U81:U83)</f>
        <v>310000</v>
      </c>
      <c r="V80" s="314">
        <f t="shared" ref="V80:W80" si="131">SUM(V81:V83)</f>
        <v>220000</v>
      </c>
      <c r="W80" s="314">
        <f t="shared" si="131"/>
        <v>90000</v>
      </c>
      <c r="X80" s="314">
        <f>SUM(X81:X83)</f>
        <v>730000</v>
      </c>
      <c r="Y80" s="314">
        <f t="shared" ref="Y80:Z80" si="132">SUM(Y81:Y83)</f>
        <v>595000</v>
      </c>
      <c r="Z80" s="314">
        <f t="shared" si="132"/>
        <v>135000</v>
      </c>
    </row>
    <row r="81" spans="1:26" hidden="1">
      <c r="A81" s="317" t="s">
        <v>29</v>
      </c>
      <c r="B81" s="47" t="s">
        <v>294</v>
      </c>
      <c r="F81" s="314">
        <f>SUM(G81:H81)</f>
        <v>0</v>
      </c>
      <c r="G81" s="314">
        <f t="shared" ref="G81:H83" si="133">G14-D14</f>
        <v>0</v>
      </c>
      <c r="H81" s="314">
        <f t="shared" si="133"/>
        <v>0</v>
      </c>
      <c r="I81" s="314">
        <f>SUM(J81:K81)</f>
        <v>-170000</v>
      </c>
      <c r="J81" s="314">
        <f t="shared" ref="J81:K83" si="134">J14-D14</f>
        <v>-120500</v>
      </c>
      <c r="K81" s="314">
        <f t="shared" si="134"/>
        <v>-49500</v>
      </c>
      <c r="L81" s="315">
        <f>SUM(M81:N81)</f>
        <v>200000</v>
      </c>
      <c r="M81" s="315">
        <f t="shared" ref="M81:N83" si="135">M14-J14</f>
        <v>33500</v>
      </c>
      <c r="N81" s="315">
        <f>N14-K14</f>
        <v>166500</v>
      </c>
      <c r="O81" s="314">
        <f>SUM(P81:Q81)</f>
        <v>0</v>
      </c>
      <c r="P81" s="314">
        <f t="shared" ref="P81:Q83" si="136">P14-M14</f>
        <v>0</v>
      </c>
      <c r="Q81" s="314">
        <f t="shared" si="136"/>
        <v>0</v>
      </c>
      <c r="R81" s="314">
        <f>SUM(S81:T81)</f>
        <v>0</v>
      </c>
      <c r="S81" s="314">
        <f t="shared" ref="S81:T83" si="137">S14-P14</f>
        <v>0</v>
      </c>
      <c r="T81" s="314">
        <f t="shared" si="137"/>
        <v>0</v>
      </c>
      <c r="U81" s="314">
        <f>SUM(V81:W81)</f>
        <v>150000</v>
      </c>
      <c r="V81" s="314">
        <f t="shared" ref="V81:W83" si="138">V14-S14</f>
        <v>60000</v>
      </c>
      <c r="W81" s="314">
        <f t="shared" si="138"/>
        <v>90000</v>
      </c>
      <c r="X81" s="314">
        <f>SUM(Y81:Z81)</f>
        <v>150000</v>
      </c>
      <c r="Y81" s="314">
        <f t="shared" ref="Y81:Z83" si="139">Y14-V14</f>
        <v>15000</v>
      </c>
      <c r="Z81" s="314">
        <f t="shared" si="139"/>
        <v>135000</v>
      </c>
    </row>
    <row r="82" spans="1:26" hidden="1">
      <c r="A82" s="317"/>
      <c r="B82" s="47" t="s">
        <v>295</v>
      </c>
      <c r="F82" s="314">
        <f t="shared" ref="F82:F83" si="140">SUM(G82:H82)</f>
        <v>200000</v>
      </c>
      <c r="G82" s="314">
        <f t="shared" si="133"/>
        <v>200000</v>
      </c>
      <c r="H82" s="314">
        <f t="shared" si="133"/>
        <v>0</v>
      </c>
      <c r="I82" s="314">
        <f t="shared" ref="I82:I83" si="141">SUM(J82:K82)</f>
        <v>150000</v>
      </c>
      <c r="J82" s="314">
        <f t="shared" si="134"/>
        <v>150000</v>
      </c>
      <c r="K82" s="314">
        <f t="shared" si="134"/>
        <v>0</v>
      </c>
      <c r="L82" s="315">
        <f t="shared" ref="L82:L83" si="142">SUM(M82:N82)</f>
        <v>100000</v>
      </c>
      <c r="M82" s="315">
        <f t="shared" si="135"/>
        <v>100000</v>
      </c>
      <c r="N82" s="315">
        <f t="shared" si="135"/>
        <v>0</v>
      </c>
      <c r="O82" s="314">
        <f t="shared" ref="O82:O83" si="143">SUM(P82:Q82)</f>
        <v>0</v>
      </c>
      <c r="P82" s="314">
        <f t="shared" si="136"/>
        <v>0</v>
      </c>
      <c r="Q82" s="314">
        <f t="shared" si="136"/>
        <v>0</v>
      </c>
      <c r="R82" s="314">
        <f t="shared" ref="R82:R83" si="144">SUM(S82:T82)</f>
        <v>100000</v>
      </c>
      <c r="S82" s="314">
        <f t="shared" si="137"/>
        <v>100000</v>
      </c>
      <c r="T82" s="314">
        <f t="shared" si="137"/>
        <v>0</v>
      </c>
      <c r="U82" s="314">
        <f t="shared" ref="U82:U83" si="145">SUM(V82:W82)</f>
        <v>150000</v>
      </c>
      <c r="V82" s="314">
        <f t="shared" si="138"/>
        <v>150000</v>
      </c>
      <c r="W82" s="314">
        <f t="shared" si="138"/>
        <v>0</v>
      </c>
      <c r="X82" s="314">
        <f t="shared" ref="X82:X83" si="146">SUM(Y82:Z82)</f>
        <v>550000</v>
      </c>
      <c r="Y82" s="314">
        <f t="shared" si="139"/>
        <v>550000</v>
      </c>
      <c r="Z82" s="314">
        <f t="shared" si="139"/>
        <v>0</v>
      </c>
    </row>
    <row r="83" spans="1:26" hidden="1">
      <c r="A83" s="317"/>
      <c r="B83" s="47" t="s">
        <v>296</v>
      </c>
      <c r="F83" s="314">
        <f t="shared" si="140"/>
        <v>-10932</v>
      </c>
      <c r="G83" s="314">
        <f t="shared" si="133"/>
        <v>-10932</v>
      </c>
      <c r="H83" s="314">
        <f t="shared" si="133"/>
        <v>0</v>
      </c>
      <c r="I83" s="314">
        <f t="shared" si="141"/>
        <v>-412054.16200000001</v>
      </c>
      <c r="J83" s="314">
        <f t="shared" si="134"/>
        <v>-412054.16200000001</v>
      </c>
      <c r="K83" s="314">
        <f t="shared" si="134"/>
        <v>0</v>
      </c>
      <c r="L83" s="315">
        <f t="shared" si="142"/>
        <v>67000</v>
      </c>
      <c r="M83" s="315">
        <f t="shared" si="135"/>
        <v>67000</v>
      </c>
      <c r="N83" s="315">
        <f t="shared" si="135"/>
        <v>0</v>
      </c>
      <c r="O83" s="314">
        <f t="shared" si="143"/>
        <v>10000</v>
      </c>
      <c r="P83" s="314">
        <f t="shared" si="136"/>
        <v>10000</v>
      </c>
      <c r="Q83" s="314">
        <f t="shared" si="136"/>
        <v>0</v>
      </c>
      <c r="R83" s="314">
        <f t="shared" si="144"/>
        <v>10000</v>
      </c>
      <c r="S83" s="314">
        <f t="shared" si="137"/>
        <v>10000</v>
      </c>
      <c r="T83" s="314">
        <f t="shared" si="137"/>
        <v>0</v>
      </c>
      <c r="U83" s="314">
        <f t="shared" si="145"/>
        <v>10000</v>
      </c>
      <c r="V83" s="314">
        <f t="shared" si="138"/>
        <v>10000</v>
      </c>
      <c r="W83" s="314">
        <f t="shared" si="138"/>
        <v>0</v>
      </c>
      <c r="X83" s="314">
        <f t="shared" si="146"/>
        <v>30000</v>
      </c>
      <c r="Y83" s="314">
        <f t="shared" si="139"/>
        <v>30000</v>
      </c>
      <c r="Z83" s="314">
        <f t="shared" si="139"/>
        <v>0</v>
      </c>
    </row>
    <row r="84" spans="1:26" s="49" customFormat="1" ht="17.399999999999999" hidden="1">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f>SUM(S84:T84)</f>
        <v>569148.46973107941</v>
      </c>
      <c r="S84" s="327">
        <f>S79-S80</f>
        <v>55048.010780794546</v>
      </c>
      <c r="T84" s="327">
        <f>T79-T80</f>
        <v>514100.45895028487</v>
      </c>
      <c r="U84" s="327">
        <f>SUM(V84:W84)</f>
        <v>735303.28616686165</v>
      </c>
      <c r="V84" s="327">
        <f>V79-V80</f>
        <v>388423.18842501938</v>
      </c>
      <c r="W84" s="327">
        <f>W79-W80</f>
        <v>346880.09774184227</v>
      </c>
      <c r="X84" s="327">
        <f>SUM(Y84:Z84)</f>
        <v>875469.37624336779</v>
      </c>
      <c r="Y84" s="327">
        <f>Y79-Y80</f>
        <v>286079.72815803904</v>
      </c>
      <c r="Z84" s="327">
        <f>Z79-Z80</f>
        <v>589389.64808532875</v>
      </c>
    </row>
    <row r="85" spans="1:26" hidden="1">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f>SUM(S85:T85)</f>
        <v>284574.23486553971</v>
      </c>
      <c r="S85" s="314">
        <f>S84*50%</f>
        <v>27524.005390397273</v>
      </c>
      <c r="T85" s="314">
        <f>T84*50%</f>
        <v>257050.22947514243</v>
      </c>
      <c r="U85" s="314">
        <f>SUM(V85:W85)</f>
        <v>367651.64308343083</v>
      </c>
      <c r="V85" s="314">
        <f>V84*50%</f>
        <v>194211.59421250969</v>
      </c>
      <c r="W85" s="314">
        <f>W84*50%</f>
        <v>173440.04887092113</v>
      </c>
      <c r="X85" s="314">
        <f>SUM(Y85:Z85)</f>
        <v>437734.6881216839</v>
      </c>
      <c r="Y85" s="314">
        <f>Y84*50%</f>
        <v>143039.86407901952</v>
      </c>
      <c r="Z85" s="314">
        <f>Z84*50%</f>
        <v>294694.82404266438</v>
      </c>
    </row>
    <row r="86" spans="1:26" s="49" customFormat="1" ht="17.399999999999999" hidden="1">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f>SUM(S86:T86)</f>
        <v>-3065409.1565895174</v>
      </c>
      <c r="S86" s="321">
        <f>S11-P11</f>
        <v>-1869763.3285385761</v>
      </c>
      <c r="T86" s="321">
        <f>T11-Q11</f>
        <v>-1195645.8280509412</v>
      </c>
      <c r="U86" s="321">
        <f>SUM(V86:W86)</f>
        <v>1080006.8210324012</v>
      </c>
      <c r="V86" s="321">
        <f>V11-S11</f>
        <v>397433.81381541677</v>
      </c>
      <c r="W86" s="321">
        <f>W11-T11</f>
        <v>682573.00721698441</v>
      </c>
      <c r="X86" s="321">
        <f>SUM(Y86:Z86)</f>
        <v>1296635.4593267981</v>
      </c>
      <c r="Y86" s="321">
        <f>Y11-V11</f>
        <v>478502.48237054795</v>
      </c>
      <c r="Z86" s="321">
        <f>Z11-W11</f>
        <v>818132.97695625015</v>
      </c>
    </row>
    <row r="87" spans="1:26" s="49" customFormat="1" ht="17.399999999999999" hidden="1">
      <c r="B87" s="318"/>
      <c r="I87" s="321">
        <f t="shared" ref="I87" si="147">I86/2</f>
        <v>1678352.0980000002</v>
      </c>
      <c r="J87" s="321">
        <f>J86/2</f>
        <v>1005224.5980000002</v>
      </c>
      <c r="K87" s="321">
        <f>K86/2</f>
        <v>673127.5</v>
      </c>
      <c r="L87" s="321">
        <f t="shared" ref="L87:Z87" si="148">L86/2</f>
        <v>190712.88923171628</v>
      </c>
      <c r="M87" s="321">
        <f>M86/2</f>
        <v>163988.13441414107</v>
      </c>
      <c r="N87" s="321">
        <f t="shared" si="148"/>
        <v>26724.754817575216</v>
      </c>
      <c r="O87" s="321">
        <f t="shared" si="148"/>
        <v>370097.26267940272</v>
      </c>
      <c r="P87" s="321">
        <f>P86/2</f>
        <v>223177.74568062928</v>
      </c>
      <c r="Q87" s="321">
        <f>Q86/2</f>
        <v>146919.51699877344</v>
      </c>
      <c r="R87" s="321">
        <f t="shared" si="148"/>
        <v>-1532704.5782947587</v>
      </c>
      <c r="S87" s="321">
        <f t="shared" si="148"/>
        <v>-934881.66426928807</v>
      </c>
      <c r="T87" s="321">
        <f t="shared" si="148"/>
        <v>-597822.91402547061</v>
      </c>
      <c r="U87" s="321">
        <f t="shared" si="148"/>
        <v>540003.41051620059</v>
      </c>
      <c r="V87" s="321">
        <f t="shared" si="148"/>
        <v>198716.90690770838</v>
      </c>
      <c r="W87" s="321">
        <f t="shared" si="148"/>
        <v>341286.5036084922</v>
      </c>
      <c r="X87" s="321">
        <f t="shared" si="148"/>
        <v>648317.72966339905</v>
      </c>
      <c r="Y87" s="321">
        <f t="shared" si="148"/>
        <v>239251.24118527398</v>
      </c>
      <c r="Z87" s="321">
        <f t="shared" si="148"/>
        <v>409066.48847812507</v>
      </c>
    </row>
    <row r="88" spans="1:26" hidden="1">
      <c r="A88" s="1638" t="s">
        <v>33</v>
      </c>
      <c r="B88" s="49" t="s">
        <v>307</v>
      </c>
      <c r="I88" s="320">
        <f>(I87-I85)*2</f>
        <v>3102115.4000000008</v>
      </c>
      <c r="J88" s="320">
        <f>(J87-J85)*2</f>
        <v>1598580.4000000008</v>
      </c>
      <c r="K88" s="320">
        <f>(K87-K85)*2</f>
        <v>1503535</v>
      </c>
    </row>
    <row r="89" spans="1:26" hidden="1">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Z89" si="149">L11/I11</f>
        <v>1.0182482960662396</v>
      </c>
      <c r="M89" s="322">
        <f>M11/J11</f>
        <v>1.029257988954106</v>
      </c>
      <c r="N89" s="322">
        <f t="shared" si="149"/>
        <v>1.0055146977727174</v>
      </c>
      <c r="O89" s="322">
        <f t="shared" si="149"/>
        <v>1.0347779880417205</v>
      </c>
      <c r="P89" s="322">
        <f t="shared" si="149"/>
        <v>1.0386864328104346</v>
      </c>
      <c r="Q89" s="322">
        <f t="shared" si="149"/>
        <v>1.0301508149778584</v>
      </c>
      <c r="R89" s="322">
        <f t="shared" si="149"/>
        <v>0.86081262198744635</v>
      </c>
      <c r="S89" s="322">
        <f>S11/P11</f>
        <v>0.84398010441356219</v>
      </c>
      <c r="T89" s="322">
        <f t="shared" si="149"/>
        <v>0.88090560832758913</v>
      </c>
      <c r="U89" s="322">
        <f t="shared" si="149"/>
        <v>1.0569677773544064</v>
      </c>
      <c r="V89" s="322">
        <f t="shared" si="149"/>
        <v>1.0392939737376146</v>
      </c>
      <c r="W89" s="322">
        <f t="shared" si="149"/>
        <v>1.0771806607844416</v>
      </c>
      <c r="X89" s="322">
        <f t="shared" si="149"/>
        <v>1.0647081410605652</v>
      </c>
      <c r="Y89" s="322">
        <f t="shared" si="149"/>
        <v>1.045520489373164</v>
      </c>
      <c r="Z89" s="322">
        <f t="shared" si="149"/>
        <v>1.0858805334353139</v>
      </c>
    </row>
    <row r="90" spans="1:26" hidden="1">
      <c r="B90" s="47" t="s">
        <v>308</v>
      </c>
      <c r="F90" s="1535">
        <f>(F89-1)/2</f>
        <v>-3.4972395340088225E-4</v>
      </c>
      <c r="G90" s="1535">
        <f>(G89-1)/2</f>
        <v>9.585800416359147E-3</v>
      </c>
      <c r="H90" s="1535">
        <f>(H89-1)/2</f>
        <v>-1.1301208000971008E-2</v>
      </c>
      <c r="I90" s="323">
        <f>(I89-1)/2</f>
        <v>9.5658270567200776E-2</v>
      </c>
      <c r="J90" s="322">
        <f>(J89-1)/2</f>
        <v>0.10927122787874322</v>
      </c>
      <c r="K90" s="323">
        <f t="shared" ref="K90:Z90" si="150">(K89-1)/2</f>
        <v>8.0653316697693711E-2</v>
      </c>
      <c r="L90" s="323">
        <f t="shared" si="150"/>
        <v>9.1241480331197833E-3</v>
      </c>
      <c r="M90" s="323">
        <f t="shared" si="150"/>
        <v>1.4628994477053014E-2</v>
      </c>
      <c r="N90" s="323">
        <f t="shared" si="150"/>
        <v>2.7573488863587015E-3</v>
      </c>
      <c r="O90" s="323">
        <f t="shared" si="150"/>
        <v>1.7388994020860249E-2</v>
      </c>
      <c r="P90" s="323">
        <f t="shared" si="150"/>
        <v>1.9343216405217301E-2</v>
      </c>
      <c r="Q90" s="323">
        <f t="shared" si="150"/>
        <v>1.5075407488929216E-2</v>
      </c>
      <c r="R90" s="323">
        <f t="shared" si="150"/>
        <v>-6.9593689006276827E-2</v>
      </c>
      <c r="S90" s="323">
        <f t="shared" si="150"/>
        <v>-7.8009947793218903E-2</v>
      </c>
      <c r="T90" s="323">
        <f t="shared" si="150"/>
        <v>-5.9547195836205435E-2</v>
      </c>
      <c r="U90" s="323">
        <f t="shared" si="150"/>
        <v>2.8483888677203195E-2</v>
      </c>
      <c r="V90" s="323">
        <f t="shared" si="150"/>
        <v>1.9646986868807281E-2</v>
      </c>
      <c r="W90" s="323">
        <f t="shared" si="150"/>
        <v>3.8590330392220817E-2</v>
      </c>
      <c r="X90" s="323">
        <f t="shared" si="150"/>
        <v>3.2354070530282608E-2</v>
      </c>
      <c r="Y90" s="323">
        <f t="shared" si="150"/>
        <v>2.2760244686581999E-2</v>
      </c>
      <c r="Z90" s="323">
        <f t="shared" si="150"/>
        <v>4.2940266717656939E-2</v>
      </c>
    </row>
    <row r="91" spans="1:26" s="49" customFormat="1" ht="52.2" hidden="1">
      <c r="B91" s="324" t="s">
        <v>310</v>
      </c>
      <c r="F91" s="325">
        <f t="shared" ref="F91:K91" si="151">1+F90</f>
        <v>0.99965027604659906</v>
      </c>
      <c r="G91" s="325">
        <f t="shared" si="151"/>
        <v>1.0095858004163591</v>
      </c>
      <c r="H91" s="325">
        <f t="shared" si="151"/>
        <v>0.98869879199902899</v>
      </c>
      <c r="I91" s="325">
        <f t="shared" si="151"/>
        <v>1.0956582705672009</v>
      </c>
      <c r="J91" s="326">
        <f t="shared" si="151"/>
        <v>1.1092712278787431</v>
      </c>
      <c r="K91" s="325">
        <f t="shared" si="151"/>
        <v>1.0806533166976937</v>
      </c>
      <c r="L91" s="325">
        <f t="shared" ref="L91:Z91" si="152">1+L90</f>
        <v>1.0091241480331199</v>
      </c>
      <c r="M91" s="325">
        <f>1+M90</f>
        <v>1.014628994477053</v>
      </c>
      <c r="N91" s="325">
        <f>1+N90</f>
        <v>1.0027573488863588</v>
      </c>
      <c r="O91" s="325">
        <f t="shared" si="152"/>
        <v>1.0173889940208602</v>
      </c>
      <c r="P91" s="325">
        <f>1+P90</f>
        <v>1.0193432164052174</v>
      </c>
      <c r="Q91" s="325">
        <f t="shared" si="152"/>
        <v>1.0150754074889292</v>
      </c>
      <c r="R91" s="325">
        <f t="shared" si="152"/>
        <v>0.93040631099372317</v>
      </c>
      <c r="S91" s="325">
        <f t="shared" si="152"/>
        <v>0.9219900522067811</v>
      </c>
      <c r="T91" s="325">
        <f>1+T90</f>
        <v>0.94045280416379451</v>
      </c>
      <c r="U91" s="325">
        <f t="shared" si="152"/>
        <v>1.0284838886772032</v>
      </c>
      <c r="V91" s="325">
        <f t="shared" si="152"/>
        <v>1.0196469868688074</v>
      </c>
      <c r="W91" s="325">
        <f t="shared" si="152"/>
        <v>1.0385903303922208</v>
      </c>
      <c r="X91" s="325">
        <f t="shared" si="152"/>
        <v>1.0323540705302827</v>
      </c>
      <c r="Y91" s="325">
        <f t="shared" si="152"/>
        <v>1.022760244686582</v>
      </c>
      <c r="Z91" s="325">
        <f t="shared" si="152"/>
        <v>1.042940266717657</v>
      </c>
    </row>
    <row r="92" spans="1:26" hidden="1">
      <c r="G92" s="1536"/>
      <c r="H92" s="1536"/>
      <c r="J92" s="1535"/>
      <c r="K92" s="1535"/>
      <c r="M92" s="325"/>
      <c r="N92" s="325"/>
    </row>
    <row r="93" spans="1:26" hidden="1"/>
    <row r="94" spans="1:26" hidden="1">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 si="153">+P17/M17</f>
        <v>1.0913453591099325</v>
      </c>
      <c r="Q94" s="1535">
        <f>+Q17/N17</f>
        <v>1.1252446569115417</v>
      </c>
    </row>
    <row r="95" spans="1:26" hidden="1">
      <c r="F95" s="1535">
        <f t="shared" ref="F95:K95" si="154">+(F94-1)/2</f>
        <v>-3.8287476375996554E-2</v>
      </c>
      <c r="G95" s="1535">
        <f>+(G94-1)/2</f>
        <v>3.3383346624398236E-3</v>
      </c>
      <c r="H95" s="1535">
        <f t="shared" si="154"/>
        <v>-6.7047319819175388E-2</v>
      </c>
      <c r="I95" s="1535">
        <f t="shared" si="154"/>
        <v>2.6923917655295226E-2</v>
      </c>
      <c r="J95" s="1535">
        <f t="shared" si="154"/>
        <v>0.1065995796775111</v>
      </c>
      <c r="K95" s="1535">
        <f t="shared" si="154"/>
        <v>-2.8125089410889537E-2</v>
      </c>
      <c r="L95" s="1535">
        <f t="shared" ref="L95:N95" si="155">+(L94-1)/2</f>
        <v>8.0534184748857096E-2</v>
      </c>
      <c r="M95" s="1535">
        <f t="shared" si="155"/>
        <v>6.9969287567270833E-2</v>
      </c>
      <c r="N95" s="1535">
        <f t="shared" si="155"/>
        <v>8.9917672736689158E-2</v>
      </c>
      <c r="O95" s="1535">
        <f t="shared" ref="O95:Q95" si="156">+(O94-1)/2</f>
        <v>5.4794506840103674E-2</v>
      </c>
      <c r="P95" s="1535">
        <f t="shared" si="156"/>
        <v>4.5672679554966233E-2</v>
      </c>
      <c r="Q95" s="1535">
        <f t="shared" si="156"/>
        <v>6.262232845577087E-2</v>
      </c>
    </row>
    <row r="96" spans="1:26" hidden="1">
      <c r="F96" s="1535">
        <f>1+F95</f>
        <v>0.96171252362400339</v>
      </c>
      <c r="G96" s="1535">
        <f t="shared" ref="G96" si="157">1+G95</f>
        <v>1.0033383346624398</v>
      </c>
      <c r="H96" s="1535">
        <f>1+H95</f>
        <v>0.93295268018082456</v>
      </c>
      <c r="I96" s="1535">
        <f>1+I95</f>
        <v>1.0269239176552953</v>
      </c>
      <c r="J96" s="1535">
        <f>1+J95</f>
        <v>1.106599579677511</v>
      </c>
      <c r="K96" s="1535">
        <f t="shared" ref="K96" si="158">1+K95</f>
        <v>0.97187491058911046</v>
      </c>
      <c r="L96" s="1535">
        <f>1+L95</f>
        <v>1.0805341847488572</v>
      </c>
      <c r="M96" s="1535">
        <f>1+M95</f>
        <v>1.0699692875672708</v>
      </c>
      <c r="N96" s="1535">
        <f t="shared" ref="N96" si="159">1+N95</f>
        <v>1.0899176727366893</v>
      </c>
      <c r="O96" s="1535">
        <f>1+O95</f>
        <v>1.0547945068401037</v>
      </c>
      <c r="P96" s="1535">
        <f>1+P95</f>
        <v>1.0456726795549662</v>
      </c>
      <c r="Q96" s="1535">
        <f t="shared" ref="Q96" si="160">1+Q95</f>
        <v>1.0626223284557708</v>
      </c>
    </row>
    <row r="97" spans="2:17" hidden="1">
      <c r="F97" s="679"/>
    </row>
    <row r="98" spans="2:17" hidden="1"/>
    <row r="99" spans="2:17" hidden="1">
      <c r="B99" s="47" t="s">
        <v>117</v>
      </c>
    </row>
    <row r="100" spans="2:17" hidden="1">
      <c r="D100" s="679"/>
      <c r="E100" s="314"/>
      <c r="J100" s="679"/>
      <c r="K100" s="679"/>
    </row>
    <row r="101" spans="2:17" hidden="1">
      <c r="J101" s="1535">
        <f>+J56/D56</f>
        <v>1.0768078925920259</v>
      </c>
      <c r="K101" s="1535">
        <f>+K56/E56</f>
        <v>1.2097728133390657</v>
      </c>
      <c r="M101" s="679">
        <f>+M11-J11</f>
        <v>327976.26882828213</v>
      </c>
      <c r="N101" s="679">
        <f>+N11-K11</f>
        <v>53449.509635150433</v>
      </c>
    </row>
    <row r="102" spans="2:17" hidden="1"/>
    <row r="103" spans="2:17" hidden="1">
      <c r="J103" s="1536"/>
      <c r="K103" s="1536"/>
    </row>
    <row r="104" spans="2:17" hidden="1"/>
    <row r="105" spans="2:17" hidden="1">
      <c r="D105" s="314"/>
      <c r="E105" s="314"/>
      <c r="J105" s="314"/>
      <c r="K105" s="314"/>
      <c r="M105" s="314"/>
      <c r="N105" s="314"/>
      <c r="P105" s="314"/>
      <c r="Q105" s="314"/>
    </row>
    <row r="106" spans="2:17" hidden="1">
      <c r="H106" s="679"/>
    </row>
    <row r="107" spans="2:17" hidden="1">
      <c r="H107" s="679"/>
      <c r="M107" s="679">
        <f>+M79+J33+J72</f>
        <v>17414770.864828285</v>
      </c>
      <c r="N107" s="679">
        <f>+K33+N79</f>
        <v>12392701.416635154</v>
      </c>
      <c r="O107" s="679"/>
      <c r="P107" s="314">
        <f>+M107+P79</f>
        <v>17668817.846495401</v>
      </c>
    </row>
    <row r="108" spans="2:17" hidden="1">
      <c r="H108" s="679"/>
      <c r="J108" s="1536"/>
      <c r="K108" s="1536"/>
      <c r="M108" s="5909">
        <f>+M107-M33</f>
        <v>0.399437565356493</v>
      </c>
      <c r="N108" s="5908">
        <f>+N107-N33</f>
        <v>421099.99968561344</v>
      </c>
      <c r="O108" s="679"/>
      <c r="P108" s="5908">
        <f>+P107-P33</f>
        <v>-202308.10704400018</v>
      </c>
      <c r="Q108" s="1536"/>
    </row>
    <row r="109" spans="2:17" hidden="1">
      <c r="H109" s="4805"/>
      <c r="N109" s="679">
        <f>+N108-N53</f>
        <v>-2708.6431319618132</v>
      </c>
    </row>
    <row r="112" spans="2:17" hidden="1">
      <c r="I112" s="679">
        <f>+I8-I33</f>
        <v>186699.99999999627</v>
      </c>
      <c r="J112" s="679">
        <f>+J8-J33</f>
        <v>186699.99999999814</v>
      </c>
      <c r="K112" s="679">
        <f>+K8-K33</f>
        <v>0</v>
      </c>
    </row>
    <row r="115" spans="7:7">
      <c r="G115" s="2088"/>
    </row>
  </sheetData>
  <mergeCells count="20">
    <mergeCell ref="A1:K1"/>
    <mergeCell ref="A2:K2"/>
    <mergeCell ref="A3:K3"/>
    <mergeCell ref="A6:A7"/>
    <mergeCell ref="B6:B7"/>
    <mergeCell ref="C6:E6"/>
    <mergeCell ref="F6:H6"/>
    <mergeCell ref="I6:K6"/>
    <mergeCell ref="F78:H78"/>
    <mergeCell ref="I78:K78"/>
    <mergeCell ref="L78:N78"/>
    <mergeCell ref="O78:Q78"/>
    <mergeCell ref="R78:T78"/>
    <mergeCell ref="U78:W78"/>
    <mergeCell ref="X78:Z78"/>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0" orientation="portrait" horizontalDpi="1200" verticalDpi="1200" r:id="rId1"/>
  <headerFooter>
    <oddHeader>&amp;R&amp;"Times New Roman,Bold"&amp;9&amp;A</oddHeader>
    <oddFooter>&amp;C&amp;"Times New Roman,Bold"&amp;9&amp;P/&amp;N</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F99"/>
  <sheetViews>
    <sheetView zoomScale="60" zoomScaleNormal="60" workbookViewId="0">
      <pane xSplit="8" ySplit="8" topLeftCell="I9" activePane="bottomRight" state="frozen"/>
      <selection activeCell="AG36" sqref="AG36"/>
      <selection pane="topRight" activeCell="AG36" sqref="AG36"/>
      <selection pane="bottomLeft" activeCell="AG36" sqref="AG36"/>
      <selection pane="bottomRight" activeCell="AG36" sqref="AG36"/>
    </sheetView>
  </sheetViews>
  <sheetFormatPr defaultColWidth="9.109375" defaultRowHeight="15.6"/>
  <cols>
    <col min="1" max="1" width="5.6640625" style="1" customWidth="1"/>
    <col min="2" max="2" width="71.6640625" style="1" customWidth="1"/>
    <col min="3" max="4" width="12" style="1" bestFit="1" customWidth="1"/>
    <col min="5" max="5" width="11.5546875" style="1" bestFit="1" customWidth="1"/>
    <col min="6" max="6" width="14.44140625" style="1" bestFit="1" customWidth="1"/>
    <col min="7" max="8" width="14" style="1" bestFit="1" customWidth="1"/>
    <col min="9" max="9" width="14.44140625" style="1" bestFit="1" customWidth="1"/>
    <col min="10" max="11" width="14" style="1" bestFit="1" customWidth="1"/>
    <col min="12" max="12" width="14.44140625" style="1" customWidth="1"/>
    <col min="13" max="14" width="14" style="1" customWidth="1"/>
    <col min="15" max="15" width="14.44140625" style="1" customWidth="1"/>
    <col min="16" max="17" width="14" style="1" customWidth="1"/>
    <col min="18" max="18" width="14.44140625" style="1" customWidth="1"/>
    <col min="19" max="20" width="14" style="1" customWidth="1"/>
    <col min="21" max="21" width="14.44140625" style="1" customWidth="1"/>
    <col min="22" max="23" width="14" style="1" customWidth="1"/>
    <col min="24" max="24" width="14.44140625" style="1" customWidth="1"/>
    <col min="25" max="26" width="14" style="1" customWidth="1"/>
    <col min="27" max="28" width="9.109375" style="1" customWidth="1"/>
    <col min="29" max="29" width="12" style="1" customWidth="1"/>
    <col min="30" max="31" width="9.109375" style="1" customWidth="1"/>
    <col min="32" max="32" width="12.44140625" style="1" customWidth="1"/>
    <col min="33" max="40" width="9.109375" style="1" customWidth="1"/>
    <col min="41" max="16384" width="9.109375" style="1"/>
  </cols>
  <sheetData>
    <row r="1" spans="1:29">
      <c r="A1" s="6056" t="s">
        <v>230</v>
      </c>
      <c r="B1" s="6056"/>
      <c r="C1" s="6056"/>
      <c r="D1" s="6056"/>
      <c r="E1" s="6056"/>
      <c r="F1" s="6056"/>
      <c r="G1" s="6056"/>
      <c r="H1" s="6056"/>
      <c r="I1" s="6056"/>
      <c r="J1" s="6056"/>
      <c r="K1" s="6056"/>
    </row>
    <row r="2" spans="1:29" ht="16.2">
      <c r="A2" s="6589" t="s">
        <v>231</v>
      </c>
      <c r="B2" s="6589"/>
      <c r="C2" s="6589"/>
      <c r="D2" s="6589"/>
      <c r="E2" s="6589"/>
      <c r="F2" s="6589"/>
      <c r="G2" s="6589"/>
      <c r="H2" s="6589"/>
      <c r="I2" s="6589"/>
      <c r="J2" s="6589"/>
      <c r="K2" s="6589"/>
    </row>
    <row r="3" spans="1:29">
      <c r="A3" s="6577">
        <f>'Phụ lục số III-CĐC'!A3:K3</f>
        <v>0</v>
      </c>
      <c r="B3" s="6577"/>
      <c r="C3" s="6577"/>
      <c r="D3" s="6577"/>
      <c r="E3" s="6577"/>
      <c r="F3" s="6577"/>
      <c r="G3" s="6577"/>
      <c r="H3" s="6577"/>
      <c r="I3" s="6577"/>
      <c r="J3" s="6577"/>
      <c r="K3" s="6577"/>
    </row>
    <row r="5" spans="1:29" ht="16.2" thickBot="1">
      <c r="I5" s="6"/>
      <c r="J5" s="6"/>
      <c r="K5" s="6"/>
      <c r="L5" s="6">
        <f>+L10-L34</f>
        <v>-2116595.0008768253</v>
      </c>
      <c r="O5" s="6">
        <f>+O10-O34</f>
        <v>-2116594.9980607405</v>
      </c>
      <c r="R5" s="6">
        <f>+R10-R34</f>
        <v>-2116595.000425037</v>
      </c>
      <c r="U5" s="6">
        <f>+U10-U34</f>
        <v>-2116594.9926560149</v>
      </c>
      <c r="X5" s="6">
        <f>+X10-X34</f>
        <v>-2116594.9967396595</v>
      </c>
    </row>
    <row r="6" spans="1:29" ht="16.2" thickTop="1">
      <c r="A6" s="6590" t="s">
        <v>200</v>
      </c>
      <c r="B6" s="6592" t="s">
        <v>201</v>
      </c>
      <c r="C6" s="6594" t="s">
        <v>219</v>
      </c>
      <c r="D6" s="6594"/>
      <c r="E6" s="6594"/>
      <c r="F6" s="6594" t="s">
        <v>223</v>
      </c>
      <c r="G6" s="6594"/>
      <c r="H6" s="6594"/>
      <c r="I6" s="6584" t="s">
        <v>224</v>
      </c>
      <c r="J6" s="6584"/>
      <c r="K6" s="6585"/>
      <c r="L6" s="6583" t="s">
        <v>225</v>
      </c>
      <c r="M6" s="6584"/>
      <c r="N6" s="6584"/>
      <c r="O6" s="6584" t="s">
        <v>226</v>
      </c>
      <c r="P6" s="6584"/>
      <c r="Q6" s="6585"/>
      <c r="R6" s="6586" t="s">
        <v>227</v>
      </c>
      <c r="S6" s="6587"/>
      <c r="T6" s="6587"/>
      <c r="U6" s="6587" t="s">
        <v>228</v>
      </c>
      <c r="V6" s="6587"/>
      <c r="W6" s="6587"/>
      <c r="X6" s="6587" t="s">
        <v>229</v>
      </c>
      <c r="Y6" s="6587"/>
      <c r="Z6" s="6588"/>
    </row>
    <row r="7" spans="1:29">
      <c r="A7" s="6591"/>
      <c r="B7" s="6593"/>
      <c r="C7" s="5623" t="s">
        <v>220</v>
      </c>
      <c r="D7" s="5624" t="s">
        <v>221</v>
      </c>
      <c r="E7" s="5624" t="s">
        <v>222</v>
      </c>
      <c r="F7" s="5625" t="s">
        <v>220</v>
      </c>
      <c r="G7" s="5626" t="s">
        <v>221</v>
      </c>
      <c r="H7" s="5626" t="s">
        <v>222</v>
      </c>
      <c r="I7" s="5625" t="s">
        <v>220</v>
      </c>
      <c r="J7" s="5626" t="s">
        <v>221</v>
      </c>
      <c r="K7" s="5627" t="s">
        <v>222</v>
      </c>
      <c r="L7" s="5766" t="s">
        <v>220</v>
      </c>
      <c r="M7" s="5626" t="s">
        <v>221</v>
      </c>
      <c r="N7" s="5626" t="s">
        <v>222</v>
      </c>
      <c r="O7" s="5625" t="s">
        <v>220</v>
      </c>
      <c r="P7" s="5626" t="s">
        <v>221</v>
      </c>
      <c r="Q7" s="5627" t="s">
        <v>222</v>
      </c>
      <c r="R7" s="5628" t="s">
        <v>220</v>
      </c>
      <c r="S7" s="5629" t="s">
        <v>221</v>
      </c>
      <c r="T7" s="5629" t="s">
        <v>222</v>
      </c>
      <c r="U7" s="5630" t="s">
        <v>220</v>
      </c>
      <c r="V7" s="5629" t="s">
        <v>221</v>
      </c>
      <c r="W7" s="5629" t="s">
        <v>222</v>
      </c>
      <c r="X7" s="5631" t="s">
        <v>220</v>
      </c>
      <c r="Y7" s="5632" t="s">
        <v>221</v>
      </c>
      <c r="Z7" s="5633" t="s">
        <v>222</v>
      </c>
    </row>
    <row r="8" spans="1:29" s="5640" customFormat="1">
      <c r="A8" s="5634" t="s">
        <v>1</v>
      </c>
      <c r="B8" s="5635" t="s">
        <v>233</v>
      </c>
      <c r="C8" s="1663">
        <f>SUM(D8:E8)</f>
        <v>19035463.162</v>
      </c>
      <c r="D8" s="1663">
        <f>SUM(D12+D18+D31+D32)</f>
        <v>14210383.162</v>
      </c>
      <c r="E8" s="1663">
        <f>SUM(E12+E18+E31+E32)</f>
        <v>4825080</v>
      </c>
      <c r="F8" s="1589">
        <f>SUM(G8:H8)</f>
        <v>19350818.14563527</v>
      </c>
      <c r="G8" s="1589">
        <f>SUM(G12+G18+G31+G32)</f>
        <v>14714376.485635269</v>
      </c>
      <c r="H8" s="1589">
        <f t="shared" ref="H8" si="0">SUM(H12+H18+H31+H32)</f>
        <v>4636441.66</v>
      </c>
      <c r="I8" s="1663">
        <f>SUM(J8:K8)</f>
        <v>21559594.195999999</v>
      </c>
      <c r="J8" s="1663">
        <f>SUM(J12+J18+J31+J32)</f>
        <v>16886294.195999999</v>
      </c>
      <c r="K8" s="5533">
        <f>SUM(K12+K18+K31+K32)</f>
        <v>4673300</v>
      </c>
      <c r="L8" s="5767">
        <f>SUM(M8:N8)</f>
        <v>22308019.974463433</v>
      </c>
      <c r="M8" s="1589">
        <f>SUM(M12+M18+M31+M32)</f>
        <v>17414770.464828283</v>
      </c>
      <c r="N8" s="1589">
        <f t="shared" ref="N8" si="1">SUM(N12+N18+N31+N32)</f>
        <v>4893249.5096351504</v>
      </c>
      <c r="O8" s="1589">
        <f>SUM(P8:Q8)</f>
        <v>23058214.499822237</v>
      </c>
      <c r="P8" s="1589">
        <f>SUM(P12+P18+P31+P32)</f>
        <v>17871125.956189539</v>
      </c>
      <c r="Q8" s="5636">
        <f t="shared" ref="Q8" si="2">SUM(Q12+Q18+Q31+Q32)</f>
        <v>5187088.5436326973</v>
      </c>
      <c r="R8" s="5637">
        <f>SUM(S8:T8)</f>
        <v>23900869.343232721</v>
      </c>
      <c r="S8" s="5638">
        <f>SUM(S12+S18+S31+S32)</f>
        <v>18227957.627650965</v>
      </c>
      <c r="T8" s="5638">
        <f t="shared" ref="T8" si="3">SUM(T12+T18+T31+T32)</f>
        <v>5672911.7155817552</v>
      </c>
      <c r="U8" s="5638">
        <f>SUM(V8:W8)</f>
        <v>25290876.164265126</v>
      </c>
      <c r="V8" s="5638">
        <f>SUM(V12+V18+V31+V32)</f>
        <v>18845391.441466384</v>
      </c>
      <c r="W8" s="5638">
        <f t="shared" ref="W8" si="4">SUM(W12+W18+W31+W32)</f>
        <v>6445484.7227987405</v>
      </c>
      <c r="X8" s="5638">
        <f>SUM(Y8:Z8)</f>
        <v>27317511.623591922</v>
      </c>
      <c r="Y8" s="5638">
        <f>SUM(Y12+Y18+Y31+Y32)</f>
        <v>19918893.923836932</v>
      </c>
      <c r="Z8" s="5639">
        <f t="shared" ref="Z8" si="5">SUM(Z12+Z18+Z31+Z32)</f>
        <v>7398617.6997549897</v>
      </c>
      <c r="AC8" s="5641">
        <f>+I8-I33</f>
        <v>186699.99999999627</v>
      </c>
    </row>
    <row r="9" spans="1:29" s="738" customFormat="1" ht="16.2">
      <c r="A9" s="5642"/>
      <c r="B9" s="5643" t="s">
        <v>234</v>
      </c>
      <c r="C9" s="147"/>
      <c r="D9" s="147"/>
      <c r="E9" s="147"/>
      <c r="F9" s="147"/>
      <c r="G9" s="147"/>
      <c r="H9" s="147"/>
      <c r="I9" s="152"/>
      <c r="J9" s="152"/>
      <c r="K9" s="5552"/>
      <c r="L9" s="5527"/>
      <c r="M9" s="152"/>
      <c r="N9" s="152"/>
      <c r="O9" s="152"/>
      <c r="P9" s="157"/>
      <c r="Q9" s="5547"/>
      <c r="R9" s="5644"/>
      <c r="S9" s="5645"/>
      <c r="T9" s="5645"/>
      <c r="U9" s="5646"/>
      <c r="V9" s="5645"/>
      <c r="W9" s="5645"/>
      <c r="X9" s="5646"/>
      <c r="Y9" s="5645"/>
      <c r="Z9" s="5647"/>
    </row>
    <row r="10" spans="1:29" s="738" customFormat="1">
      <c r="A10" s="5648"/>
      <c r="B10" s="5649" t="s">
        <v>235</v>
      </c>
      <c r="C10" s="147">
        <f>SUM(D10:E10)</f>
        <v>17046487.162</v>
      </c>
      <c r="D10" s="147">
        <f>SUM(D12,D19,D20,D31)</f>
        <v>12221407.162</v>
      </c>
      <c r="E10" s="147">
        <f>SUM(E12,E19,E20,E31)</f>
        <v>4825080</v>
      </c>
      <c r="F10" s="147">
        <f>SUM(G10:H10)</f>
        <v>17223283.14563527</v>
      </c>
      <c r="G10" s="147">
        <f>SUM(G12,G19,G20,G31)</f>
        <v>12586841.485635269</v>
      </c>
      <c r="H10" s="147">
        <f>SUM(H12,H19,H20,H31)</f>
        <v>4636441.66</v>
      </c>
      <c r="I10" s="147">
        <f>SUM(J10:K10)</f>
        <v>18522602.196000002</v>
      </c>
      <c r="J10" s="147">
        <f>SUM(J12,J19,J20,J31)</f>
        <v>13849302.196</v>
      </c>
      <c r="K10" s="5674">
        <f>SUM(K12,K19,K20,K31)</f>
        <v>4673300</v>
      </c>
      <c r="L10" s="5522">
        <f>SUM(M10:N10)</f>
        <v>17154432.974463433</v>
      </c>
      <c r="M10" s="1591">
        <f>SUM(M12,M19,M29,M31)</f>
        <v>12261183.464828283</v>
      </c>
      <c r="N10" s="1591">
        <f>SUM(N12,N19,N29,N31)</f>
        <v>4893249.5096351504</v>
      </c>
      <c r="O10" s="147">
        <f>SUM(P10:Q10)</f>
        <v>17904627.499822237</v>
      </c>
      <c r="P10" s="1591">
        <f>SUM(P12,P19,P29,P31)</f>
        <v>12717538.956189541</v>
      </c>
      <c r="Q10" s="5650">
        <f>SUM(Q12,Q19,Q29,Q31)</f>
        <v>5187088.5436326973</v>
      </c>
      <c r="R10" s="5651">
        <f>SUM(S10:T10)</f>
        <v>18747282.343232721</v>
      </c>
      <c r="S10" s="5652">
        <f>SUM(S12,S19,S29,S31)</f>
        <v>13074370.627650965</v>
      </c>
      <c r="T10" s="5652">
        <f>SUM(T12,T19,T29,T31)</f>
        <v>5672911.7155817552</v>
      </c>
      <c r="U10" s="5653">
        <f>SUM(V10:W10)</f>
        <v>20137289.164265122</v>
      </c>
      <c r="V10" s="5652">
        <f>SUM(V12,V19,V29,V31)</f>
        <v>13691804.441466382</v>
      </c>
      <c r="W10" s="5652">
        <f>SUM(W12,W19,W29,W31)</f>
        <v>6445484.7227987405</v>
      </c>
      <c r="X10" s="5653">
        <f>SUM(Y10:Z10)</f>
        <v>22163924.623591918</v>
      </c>
      <c r="Y10" s="5652">
        <f>SUM(Y12,Y19,Y29,Y31)</f>
        <v>14765306.92383693</v>
      </c>
      <c r="Z10" s="5654">
        <f>SUM(Z12,Z19,Z29,Z31)</f>
        <v>7398617.6997549897</v>
      </c>
    </row>
    <row r="11" spans="1:29" s="738" customFormat="1">
      <c r="A11" s="5648"/>
      <c r="B11" s="5649" t="s">
        <v>236</v>
      </c>
      <c r="C11" s="147">
        <f>SUM(D11:E11)</f>
        <v>12881433</v>
      </c>
      <c r="D11" s="147">
        <f>D10-D14-D15-D16</f>
        <v>9199353</v>
      </c>
      <c r="E11" s="147">
        <f t="shared" ref="E11" si="6">E10-E14-E15-E16</f>
        <v>3682080</v>
      </c>
      <c r="F11" s="147">
        <f>SUM(G11:H11)</f>
        <v>12869160.983635269</v>
      </c>
      <c r="G11" s="1591">
        <f>G10-G14-G15-G16</f>
        <v>9375719.323635269</v>
      </c>
      <c r="H11" s="1591">
        <f t="shared" ref="H11" si="7">H10-H14-H15-H16</f>
        <v>3493441.66</v>
      </c>
      <c r="I11" s="147">
        <f>SUM(J11:K11)</f>
        <v>14789602.196</v>
      </c>
      <c r="J11" s="147">
        <f>J10-J14-J15-J16</f>
        <v>11209802.196</v>
      </c>
      <c r="K11" s="5674">
        <f t="shared" ref="K11" si="8">K10-K14-K15-K16</f>
        <v>3579800</v>
      </c>
      <c r="L11" s="5522">
        <f>SUM(M11:N11)</f>
        <v>13054432.974463433</v>
      </c>
      <c r="M11" s="1591">
        <f>M10-M14-M15-M16</f>
        <v>9421183.4648282826</v>
      </c>
      <c r="N11" s="1591">
        <f t="shared" ref="N11" si="9">N10-N14-N15-N16</f>
        <v>3633249.5096351504</v>
      </c>
      <c r="O11" s="147">
        <f>SUM(P11:Q11)</f>
        <v>13794627.499822238</v>
      </c>
      <c r="P11" s="1591">
        <f>P10-P14-P15-P16</f>
        <v>9867538.9561895411</v>
      </c>
      <c r="Q11" s="5650">
        <f t="shared" ref="Q11" si="10">Q10-Q14-Q15-Q16</f>
        <v>3927088.5436326973</v>
      </c>
      <c r="R11" s="5651">
        <f>SUM(S11:T11)</f>
        <v>14527282.343232721</v>
      </c>
      <c r="S11" s="5652">
        <f>S10-S14-S15-S16</f>
        <v>10114370.627650965</v>
      </c>
      <c r="T11" s="5652">
        <f t="shared" ref="T11" si="11">T10-T14-T15-T16</f>
        <v>4412911.7155817552</v>
      </c>
      <c r="U11" s="5653">
        <f>SUM(V11:W11)</f>
        <v>15607289.164265122</v>
      </c>
      <c r="V11" s="5652">
        <f>V10-V14-V15-V16</f>
        <v>10511804.441466382</v>
      </c>
      <c r="W11" s="5652">
        <f t="shared" ref="W11" si="12">W10-W14-W15-W16</f>
        <v>5095484.7227987405</v>
      </c>
      <c r="X11" s="5653">
        <f>SUM(Y11:Z11)</f>
        <v>16903924.623591918</v>
      </c>
      <c r="Y11" s="5652">
        <f>Y10-Y14-Y15-Y16</f>
        <v>10990306.92383693</v>
      </c>
      <c r="Z11" s="5654">
        <f t="shared" ref="Z11" si="13">Z10-Z14-Z15-Z16</f>
        <v>5913617.6997549897</v>
      </c>
    </row>
    <row r="12" spans="1:29" s="738" customFormat="1">
      <c r="A12" s="5648" t="s">
        <v>3</v>
      </c>
      <c r="B12" s="5649" t="s">
        <v>202</v>
      </c>
      <c r="C12" s="147">
        <f>SUM(D12:E12)</f>
        <v>8892984.1620000005</v>
      </c>
      <c r="D12" s="147">
        <f>'Phụ lục số I'!H10</f>
        <v>4953904.1620000005</v>
      </c>
      <c r="E12" s="147">
        <f>'Phụ lục số I'!I10</f>
        <v>3939080</v>
      </c>
      <c r="F12" s="147">
        <f>SUM(G12:H12)</f>
        <v>8720011.1456352696</v>
      </c>
      <c r="G12" s="147">
        <f>+'Phụ lục số 1'!O10</f>
        <v>5155870.4856352694</v>
      </c>
      <c r="H12" s="147">
        <f>+'Phụ lục số 1'!P10</f>
        <v>3564140.66</v>
      </c>
      <c r="I12" s="152">
        <f>SUM(J12:K12)</f>
        <v>8715518.7960000001</v>
      </c>
      <c r="J12" s="152">
        <f>+'Phụ lục số 1'!U10</f>
        <v>4983218.7960000001</v>
      </c>
      <c r="K12" s="5552">
        <f>+'Phụ lục số 1'!V10</f>
        <v>3732300</v>
      </c>
      <c r="L12" s="5527">
        <f>SUM(M12:N12)</f>
        <v>9885044.974463433</v>
      </c>
      <c r="M12" s="152">
        <f>+'Phụ lục số 1'!AA10</f>
        <v>5511695.4648282835</v>
      </c>
      <c r="N12" s="152">
        <f>+'Phụ lục số 1'!AB10</f>
        <v>4373349.5096351504</v>
      </c>
      <c r="O12" s="152">
        <f>SUM(P12:Q12)</f>
        <v>10529022.347310523</v>
      </c>
      <c r="P12" s="157">
        <f>+'Phụ lục số 1'!AG10</f>
        <v>5765742.4464954007</v>
      </c>
      <c r="Q12" s="5547">
        <f>+'Phụ lục số 1'!AH10</f>
        <v>4763279.9008151218</v>
      </c>
      <c r="R12" s="5644">
        <f>SUM(S12:T12)</f>
        <v>11208170.817041602</v>
      </c>
      <c r="S12" s="5645">
        <f>+'Phụ lục số 1'!AM10</f>
        <v>5930790.4572761953</v>
      </c>
      <c r="T12" s="5645">
        <f>+'Phụ lục số 1'!AN10</f>
        <v>5277380.3597654067</v>
      </c>
      <c r="U12" s="5646">
        <f>SUM(V12:W12)</f>
        <v>12253474.103208464</v>
      </c>
      <c r="V12" s="5645">
        <f>+'Phụ lục số 1'!AS10</f>
        <v>6539213.6457012147</v>
      </c>
      <c r="W12" s="5645">
        <f>+'Phụ lục số 1'!AT10</f>
        <v>5714260.457507249</v>
      </c>
      <c r="X12" s="5646">
        <f>SUM(Y12:Z12)</f>
        <v>13858943.479451831</v>
      </c>
      <c r="Y12" s="5645">
        <f>+'Phụ lục số 1'!AY10</f>
        <v>7420293.3738592537</v>
      </c>
      <c r="Z12" s="5645">
        <f>+'Phụ lục số 1'!AZ10</f>
        <v>6438650.1055925777</v>
      </c>
    </row>
    <row r="13" spans="1:29">
      <c r="A13" s="5648"/>
      <c r="B13" s="5649" t="s">
        <v>186</v>
      </c>
      <c r="C13" s="152"/>
      <c r="D13" s="152"/>
      <c r="E13" s="152"/>
      <c r="F13" s="152"/>
      <c r="G13" s="152"/>
      <c r="H13" s="152"/>
      <c r="I13" s="152"/>
      <c r="J13" s="152"/>
      <c r="K13" s="5552"/>
      <c r="L13" s="5527"/>
      <c r="M13" s="152"/>
      <c r="N13" s="152"/>
      <c r="O13" s="152"/>
      <c r="P13" s="157"/>
      <c r="Q13" s="5547"/>
      <c r="R13" s="5644"/>
      <c r="S13" s="5645"/>
      <c r="T13" s="5645"/>
      <c r="U13" s="5646"/>
      <c r="V13" s="5645"/>
      <c r="W13" s="5645"/>
      <c r="X13" s="5646"/>
      <c r="Y13" s="5645"/>
      <c r="Z13" s="5647"/>
    </row>
    <row r="14" spans="1:29" s="204" customFormat="1">
      <c r="A14" s="5655"/>
      <c r="B14" s="5656" t="s">
        <v>242</v>
      </c>
      <c r="C14" s="1595">
        <f>SUM(D14:E14)</f>
        <v>1770000</v>
      </c>
      <c r="D14" s="1595">
        <f>'Phụ lục số I'!H42</f>
        <v>627000</v>
      </c>
      <c r="E14" s="1595">
        <f>'Phụ lục số I'!I42</f>
        <v>1143000</v>
      </c>
      <c r="F14" s="263">
        <f>SUM(G14:H14)</f>
        <v>1770000</v>
      </c>
      <c r="G14" s="263">
        <f>+'Phụ lục số 1'!O42</f>
        <v>627000</v>
      </c>
      <c r="H14" s="263">
        <f>+'Phụ lục số 1'!P42</f>
        <v>1143000</v>
      </c>
      <c r="I14" s="263">
        <f>SUM(J14:K14)</f>
        <v>1600000</v>
      </c>
      <c r="J14" s="263">
        <f>+'Phụ lục số 1'!U42</f>
        <v>506500</v>
      </c>
      <c r="K14" s="5775">
        <f>+'Phụ lục số 1'!V42</f>
        <v>1093500</v>
      </c>
      <c r="L14" s="5703">
        <f>SUM(M14:N14)</f>
        <v>1800000</v>
      </c>
      <c r="M14" s="263">
        <f>+'Phụ lục số 1'!AA42</f>
        <v>540000</v>
      </c>
      <c r="N14" s="263">
        <f>+'Phụ lục số 1'!AB42</f>
        <v>1260000</v>
      </c>
      <c r="O14" s="263">
        <f>SUM(P14:Q14)</f>
        <v>1800000</v>
      </c>
      <c r="P14" s="171">
        <f>+'Phụ lục số 1'!AG42</f>
        <v>540000</v>
      </c>
      <c r="Q14" s="5551">
        <f>+'Phụ lục số 1'!AH42</f>
        <v>1260000</v>
      </c>
      <c r="R14" s="5657">
        <f>SUM(S14:T14)</f>
        <v>1800000</v>
      </c>
      <c r="S14" s="5658">
        <f>+'Phụ lục số 1'!AM42</f>
        <v>540000</v>
      </c>
      <c r="T14" s="5658">
        <f>+'Phụ lục số 1'!AN42</f>
        <v>1260000</v>
      </c>
      <c r="U14" s="5659">
        <f>SUM(V14:W14)</f>
        <v>1950000</v>
      </c>
      <c r="V14" s="5658">
        <f>+'Phụ lục số 1'!AS42</f>
        <v>600000</v>
      </c>
      <c r="W14" s="5658">
        <f>+'Phụ lục số 1'!AT42</f>
        <v>1350000</v>
      </c>
      <c r="X14" s="5659">
        <f>SUM(Y14:Z14)</f>
        <v>2100000</v>
      </c>
      <c r="Y14" s="5658">
        <f>+'Phụ lục số 1'!AY42</f>
        <v>615000</v>
      </c>
      <c r="Z14" s="5658">
        <f>+'Phụ lục số 1'!AZ42</f>
        <v>1485000</v>
      </c>
    </row>
    <row r="15" spans="1:29">
      <c r="A15" s="5655"/>
      <c r="B15" s="5660" t="s">
        <v>243</v>
      </c>
      <c r="C15" s="1595">
        <f>SUM(D15:E15)</f>
        <v>1950000</v>
      </c>
      <c r="D15" s="1595">
        <f>'Phụ lục số I'!H50</f>
        <v>1950000</v>
      </c>
      <c r="E15" s="1595">
        <f>'Phụ lục số I'!I50</f>
        <v>0</v>
      </c>
      <c r="F15" s="263">
        <f t="shared" ref="F15:F17" si="14">SUM(G15:H15)</f>
        <v>2150000</v>
      </c>
      <c r="G15" s="263">
        <f>+'Phụ lục số 1'!O50</f>
        <v>2150000</v>
      </c>
      <c r="H15" s="263">
        <f>+'Phụ lục số 1'!P50</f>
        <v>0</v>
      </c>
      <c r="I15" s="263">
        <f t="shared" ref="I15:I17" si="15">SUM(J15:K15)</f>
        <v>2100000</v>
      </c>
      <c r="J15" s="263">
        <f>+'Phụ lục số 1'!U50</f>
        <v>2100000</v>
      </c>
      <c r="K15" s="5775">
        <f>+'Phụ lục số 1'!V50</f>
        <v>0</v>
      </c>
      <c r="L15" s="5703">
        <f t="shared" ref="L15:L17" si="16">SUM(M15:N15)</f>
        <v>2200000</v>
      </c>
      <c r="M15" s="263">
        <f>+'Phụ lục số 1'!AA50</f>
        <v>2200000</v>
      </c>
      <c r="N15" s="263">
        <f>+'Phụ lục số 1'!AB50</f>
        <v>0</v>
      </c>
      <c r="O15" s="263">
        <f t="shared" ref="O15:O17" si="17">SUM(P15:Q15)</f>
        <v>2200000</v>
      </c>
      <c r="P15" s="171">
        <f>+'Phụ lục số 1'!AG50</f>
        <v>2200000</v>
      </c>
      <c r="Q15" s="5551">
        <f>+'Phụ lục số 1'!AH50</f>
        <v>0</v>
      </c>
      <c r="R15" s="5657">
        <f t="shared" ref="R15:R17" si="18">SUM(S15:T15)</f>
        <v>2300000</v>
      </c>
      <c r="S15" s="5658">
        <f>+'Phụ lục số 1'!AM50</f>
        <v>2300000</v>
      </c>
      <c r="T15" s="5658">
        <f>+'Phụ lục số 1'!AN50</f>
        <v>0</v>
      </c>
      <c r="U15" s="5659">
        <f t="shared" ref="U15:U17" si="19">SUM(V15:W15)</f>
        <v>2450000</v>
      </c>
      <c r="V15" s="5658">
        <f>+'Phụ lục số 1'!AS50</f>
        <v>2450000</v>
      </c>
      <c r="W15" s="5658">
        <f>+'Phụ lục số 1'!AT50</f>
        <v>0</v>
      </c>
      <c r="X15" s="5659">
        <f t="shared" ref="X15:X17" si="20">SUM(Y15:Z15)</f>
        <v>3000000</v>
      </c>
      <c r="Y15" s="5658">
        <f>+'Phụ lục số 1'!AY50</f>
        <v>3000000</v>
      </c>
      <c r="Z15" s="5658">
        <f>+'Phụ lục số 1'!AZ50</f>
        <v>0</v>
      </c>
    </row>
    <row r="16" spans="1:29">
      <c r="A16" s="5655"/>
      <c r="B16" s="5660" t="s">
        <v>244</v>
      </c>
      <c r="C16" s="1595">
        <f>SUM(D16:E16)</f>
        <v>445054.16200000001</v>
      </c>
      <c r="D16" s="1595">
        <f>'Phụ lục số I'!H47</f>
        <v>445054.16200000001</v>
      </c>
      <c r="E16" s="1595">
        <f>'Phụ lục số I'!I47</f>
        <v>0</v>
      </c>
      <c r="F16" s="263">
        <f t="shared" si="14"/>
        <v>434122.16200000001</v>
      </c>
      <c r="G16" s="263">
        <f>+'Phụ lục số 1'!O47</f>
        <v>434122.16200000001</v>
      </c>
      <c r="H16" s="263">
        <f>+'Phụ lục số 1'!P47</f>
        <v>0</v>
      </c>
      <c r="I16" s="263">
        <f t="shared" si="15"/>
        <v>33000</v>
      </c>
      <c r="J16" s="263">
        <f>+'Phụ lục số 1'!U47</f>
        <v>33000</v>
      </c>
      <c r="K16" s="5775">
        <f>+'Phụ lục số 1'!V47</f>
        <v>0</v>
      </c>
      <c r="L16" s="5703">
        <f t="shared" si="16"/>
        <v>100000</v>
      </c>
      <c r="M16" s="263">
        <f>+'Phụ lục số 1'!AA47</f>
        <v>100000</v>
      </c>
      <c r="N16" s="263">
        <f>+'Phụ lục số 1'!AB47</f>
        <v>0</v>
      </c>
      <c r="O16" s="263">
        <f t="shared" si="17"/>
        <v>110000</v>
      </c>
      <c r="P16" s="171">
        <f>+'Phụ lục số 1'!AG47</f>
        <v>110000</v>
      </c>
      <c r="Q16" s="5551">
        <f>+'Phụ lục số 1'!AH47</f>
        <v>0</v>
      </c>
      <c r="R16" s="5657">
        <f t="shared" si="18"/>
        <v>120000</v>
      </c>
      <c r="S16" s="5658">
        <f>+'Phụ lục số 1'!AM47</f>
        <v>120000</v>
      </c>
      <c r="T16" s="5658">
        <f>+'Phụ lục số 1'!AN47</f>
        <v>0</v>
      </c>
      <c r="U16" s="5659">
        <f t="shared" si="19"/>
        <v>130000</v>
      </c>
      <c r="V16" s="5658">
        <f>+'Phụ lục số 1'!AS47</f>
        <v>130000</v>
      </c>
      <c r="W16" s="5658">
        <f>'Phụ lục số I'!AT47</f>
        <v>0</v>
      </c>
      <c r="X16" s="5659">
        <f t="shared" si="20"/>
        <v>160000</v>
      </c>
      <c r="Y16" s="5658">
        <f>+'Phụ lục số 1'!AY47</f>
        <v>160000</v>
      </c>
      <c r="Z16" s="5658">
        <f>+'Phụ lục số 1'!AZ47</f>
        <v>0</v>
      </c>
    </row>
    <row r="17" spans="1:26">
      <c r="A17" s="5655"/>
      <c r="B17" s="5660" t="s">
        <v>245</v>
      </c>
      <c r="C17" s="1595">
        <f>SUM(D17:E17)</f>
        <v>4727930</v>
      </c>
      <c r="D17" s="1595">
        <f>D12-D14-D15-D16</f>
        <v>1931850.0000000005</v>
      </c>
      <c r="E17" s="1595">
        <f t="shared" ref="E17" si="21">E12-E14-E15-E16</f>
        <v>2796080</v>
      </c>
      <c r="F17" s="263">
        <f t="shared" si="14"/>
        <v>4365888.9836352691</v>
      </c>
      <c r="G17" s="1593">
        <f>G12-G14-G15-G16</f>
        <v>1944748.3236352694</v>
      </c>
      <c r="H17" s="1593">
        <f t="shared" ref="H17" si="22">H12-H14-H15-H16</f>
        <v>2421140.66</v>
      </c>
      <c r="I17" s="171">
        <f t="shared" si="15"/>
        <v>4982518.7960000001</v>
      </c>
      <c r="J17" s="1595">
        <f>J12-J14-J15-J16</f>
        <v>2343718.7960000001</v>
      </c>
      <c r="K17" s="5776">
        <f t="shared" ref="K17" si="23">K12-K14-K15-K16</f>
        <v>2638800</v>
      </c>
      <c r="L17" s="5703">
        <f t="shared" si="16"/>
        <v>5785044.974463434</v>
      </c>
      <c r="M17" s="1593">
        <f>M12-M14-M15-M16</f>
        <v>2671695.4648282835</v>
      </c>
      <c r="N17" s="1593">
        <f t="shared" ref="N17" si="24">N12-N14-N15-N16</f>
        <v>3113349.5096351504</v>
      </c>
      <c r="O17" s="171">
        <f t="shared" si="17"/>
        <v>6419022.3473105226</v>
      </c>
      <c r="P17" s="1593">
        <f>P12-P14-P15-P16</f>
        <v>2915742.4464954007</v>
      </c>
      <c r="Q17" s="5661">
        <f t="shared" ref="Q17" si="25">Q12-Q14-Q15-Q16</f>
        <v>3503279.9008151218</v>
      </c>
      <c r="R17" s="5662">
        <f t="shared" si="18"/>
        <v>6988170.817041602</v>
      </c>
      <c r="S17" s="5663">
        <f>S12-S14-S15-S16</f>
        <v>2970790.4572761953</v>
      </c>
      <c r="T17" s="5663">
        <f t="shared" ref="T17" si="26">T12-T14-T15-T16</f>
        <v>4017380.3597654067</v>
      </c>
      <c r="U17" s="5658">
        <f t="shared" si="19"/>
        <v>7723474.1032084636</v>
      </c>
      <c r="V17" s="5663">
        <f t="shared" ref="V17:W17" si="27">V12-V14-V15-V16</f>
        <v>3359213.6457012147</v>
      </c>
      <c r="W17" s="5663">
        <f t="shared" si="27"/>
        <v>4364260.457507249</v>
      </c>
      <c r="X17" s="5658">
        <f t="shared" si="20"/>
        <v>8598943.4794518314</v>
      </c>
      <c r="Y17" s="5663">
        <f>Y12-Y14-Y15-Y16</f>
        <v>3645293.3738592537</v>
      </c>
      <c r="Z17" s="5664">
        <f t="shared" ref="Z17" si="28">Z12-Z14-Z15-Z16</f>
        <v>4953650.1055925777</v>
      </c>
    </row>
    <row r="18" spans="1:26" s="738" customFormat="1">
      <c r="A18" s="5648" t="s">
        <v>33</v>
      </c>
      <c r="B18" s="5649" t="s">
        <v>203</v>
      </c>
      <c r="C18" s="147">
        <f>SUM(C19:C21)</f>
        <v>9256479</v>
      </c>
      <c r="D18" s="147">
        <f>SUM(D19:D21)</f>
        <v>9256479</v>
      </c>
      <c r="E18" s="147">
        <f>SUM(E19:E21)</f>
        <v>0</v>
      </c>
      <c r="F18" s="1591">
        <f>SUM(F19:F21)</f>
        <v>9558506</v>
      </c>
      <c r="G18" s="1591">
        <f t="shared" ref="G18:H18" si="29">SUM(G19:G21)</f>
        <v>9558506</v>
      </c>
      <c r="H18" s="1591">
        <f t="shared" si="29"/>
        <v>0</v>
      </c>
      <c r="I18" s="147">
        <f>SUM(I19:I21)</f>
        <v>11903075</v>
      </c>
      <c r="J18" s="147">
        <f>SUM(J19:J21)</f>
        <v>11903075</v>
      </c>
      <c r="K18" s="5674">
        <f t="shared" ref="K18" si="30">SUM(K19:K21)</f>
        <v>0</v>
      </c>
      <c r="L18" s="5693">
        <f>SUM(L19:L21)</f>
        <v>11903075</v>
      </c>
      <c r="M18" s="1591">
        <f t="shared" ref="M18:N18" si="31">SUM(M19:M21)</f>
        <v>11903075</v>
      </c>
      <c r="N18" s="5665">
        <f t="shared" si="31"/>
        <v>0</v>
      </c>
      <c r="O18" s="147">
        <f>SUM(O19:O21)</f>
        <v>11903075</v>
      </c>
      <c r="P18" s="147">
        <f t="shared" ref="P18:Q18" si="32">SUM(P19:P21)</f>
        <v>11903075</v>
      </c>
      <c r="Q18" s="5666">
        <f t="shared" si="32"/>
        <v>0</v>
      </c>
      <c r="R18" s="5651">
        <f>SUM(R19:R21)</f>
        <v>11903075</v>
      </c>
      <c r="S18" s="5653">
        <f t="shared" ref="S18:Z18" si="33">SUM(S19:S21)</f>
        <v>11903075</v>
      </c>
      <c r="T18" s="5667">
        <f t="shared" si="33"/>
        <v>0</v>
      </c>
      <c r="U18" s="5653">
        <f>SUM(U19:U21)</f>
        <v>11903075</v>
      </c>
      <c r="V18" s="5653">
        <f t="shared" si="33"/>
        <v>11903075</v>
      </c>
      <c r="W18" s="5667">
        <f t="shared" si="33"/>
        <v>0</v>
      </c>
      <c r="X18" s="5653">
        <f>SUM(X19:X21)</f>
        <v>11903075</v>
      </c>
      <c r="Y18" s="5653">
        <f t="shared" si="33"/>
        <v>11903075</v>
      </c>
      <c r="Z18" s="5668">
        <f t="shared" si="33"/>
        <v>0</v>
      </c>
    </row>
    <row r="19" spans="1:26" s="738" customFormat="1">
      <c r="A19" s="5648">
        <v>1</v>
      </c>
      <c r="B19" s="5649" t="s">
        <v>205</v>
      </c>
      <c r="C19" s="147">
        <f>SUM(D19:E19)</f>
        <v>6617188</v>
      </c>
      <c r="D19" s="147">
        <f>'Phụ lục số I'!H56</f>
        <v>6617188</v>
      </c>
      <c r="E19" s="147">
        <v>0</v>
      </c>
      <c r="F19" s="147">
        <f>SUM(G19:H19)</f>
        <v>6617188</v>
      </c>
      <c r="G19" s="147">
        <f>'Phụ lục số I'!O56</f>
        <v>6617188</v>
      </c>
      <c r="H19" s="147">
        <f>E19</f>
        <v>0</v>
      </c>
      <c r="I19" s="147">
        <f>SUM(J19:K19)</f>
        <v>6749488</v>
      </c>
      <c r="J19" s="147">
        <f>+'Phụ lục số 1'!U58</f>
        <v>6749488</v>
      </c>
      <c r="K19" s="5674">
        <f>+'Phụ lục số 1'!V58</f>
        <v>0</v>
      </c>
      <c r="L19" s="5522">
        <f>SUM(M19:N19)</f>
        <v>6749488</v>
      </c>
      <c r="M19" s="147">
        <f>+'Phụ lục số 1'!AA58</f>
        <v>6749488</v>
      </c>
      <c r="N19" s="5669">
        <f>K19</f>
        <v>0</v>
      </c>
      <c r="O19" s="147">
        <f>SUM(P19:Q19)</f>
        <v>6749488</v>
      </c>
      <c r="P19" s="142">
        <f>+'Phụ lục số 1'!AG58</f>
        <v>6749488</v>
      </c>
      <c r="Q19" s="5548">
        <f>+'Phụ lục số 1'!AH58</f>
        <v>0</v>
      </c>
      <c r="R19" s="5651">
        <f>SUM(S19:T19)</f>
        <v>6749488</v>
      </c>
      <c r="S19" s="5670">
        <f>+'Phụ lục số 1'!AM58</f>
        <v>6749488</v>
      </c>
      <c r="T19" s="5671">
        <f>N19</f>
        <v>0</v>
      </c>
      <c r="U19" s="5653">
        <f>SUM(V19:W19)</f>
        <v>6749488</v>
      </c>
      <c r="V19" s="5670">
        <f>+'Phụ lục số 1'!AS58</f>
        <v>6749488</v>
      </c>
      <c r="W19" s="5670">
        <f>T19</f>
        <v>0</v>
      </c>
      <c r="X19" s="5653">
        <f>SUM(Y19:Z19)</f>
        <v>6749488</v>
      </c>
      <c r="Y19" s="5670">
        <f>+'Phụ lục số 1'!AY58</f>
        <v>6749488</v>
      </c>
      <c r="Z19" s="5672">
        <f>W19</f>
        <v>0</v>
      </c>
    </row>
    <row r="20" spans="1:26" s="738" customFormat="1">
      <c r="A20" s="5648">
        <v>2</v>
      </c>
      <c r="B20" s="5673" t="str">
        <f>+'Phụ lục số 3-CĐC'!B20</f>
        <v>Bổ sung thực hiện cải cách tiền lương</v>
      </c>
      <c r="C20" s="147">
        <f>SUM(D20:E20)</f>
        <v>650315</v>
      </c>
      <c r="D20" s="147">
        <f>+'Phụ lục số 1'!H60</f>
        <v>650315</v>
      </c>
      <c r="E20" s="147">
        <v>0</v>
      </c>
      <c r="F20" s="147">
        <f>SUM(G20:H20)</f>
        <v>813783</v>
      </c>
      <c r="G20" s="147">
        <f>+'Phụ lục số 1'!O60</f>
        <v>813783</v>
      </c>
      <c r="H20" s="147">
        <f>+'Phụ lục số 1'!P60</f>
        <v>0</v>
      </c>
      <c r="I20" s="147">
        <f>SUM(J20:K20)</f>
        <v>2116595</v>
      </c>
      <c r="J20" s="147">
        <f>+'Phụ lục số 1'!U60</f>
        <v>2116595</v>
      </c>
      <c r="K20" s="5674">
        <f>+'Phụ lục số 1'!V60</f>
        <v>0</v>
      </c>
      <c r="L20" s="5522">
        <f>SUM(M20:N20)</f>
        <v>2116595</v>
      </c>
      <c r="M20" s="147">
        <f>+'Phụ lục số 1'!AA60</f>
        <v>2116595</v>
      </c>
      <c r="N20" s="5669"/>
      <c r="O20" s="147">
        <f>SUM(P20:Q20)</f>
        <v>2116595</v>
      </c>
      <c r="P20" s="142">
        <f>+'Phụ lục số 1'!AG60</f>
        <v>2116595</v>
      </c>
      <c r="Q20" s="5548">
        <f>+'Phụ lục số 1'!AH60</f>
        <v>0</v>
      </c>
      <c r="R20" s="5651">
        <f>+S20+T20</f>
        <v>2116595</v>
      </c>
      <c r="S20" s="5670">
        <f>+'Phụ lục số 1'!AM60</f>
        <v>2116595</v>
      </c>
      <c r="T20" s="5671"/>
      <c r="U20" s="5653">
        <f>+V20+W20</f>
        <v>2116595</v>
      </c>
      <c r="V20" s="5670">
        <f>+'Phụ lục số 1'!AS60</f>
        <v>2116595</v>
      </c>
      <c r="W20" s="5670"/>
      <c r="X20" s="5653">
        <f>+Y20+Z20</f>
        <v>2116595</v>
      </c>
      <c r="Y20" s="5670">
        <f>+'Phụ lục số 1'!AY60</f>
        <v>2116595</v>
      </c>
      <c r="Z20" s="5672"/>
    </row>
    <row r="21" spans="1:26" s="738" customFormat="1">
      <c r="A21" s="5648">
        <v>3</v>
      </c>
      <c r="B21" s="5649" t="s">
        <v>207</v>
      </c>
      <c r="C21" s="147">
        <f>SUM(C22,C25,C28)</f>
        <v>1988976</v>
      </c>
      <c r="D21" s="147">
        <f t="shared" ref="D21" si="34">SUM(D22,D25,D28)</f>
        <v>1988976</v>
      </c>
      <c r="E21" s="147">
        <f>SUM(E22,E25,E28)</f>
        <v>0</v>
      </c>
      <c r="F21" s="1591">
        <f>SUM(F22,F25,F28)</f>
        <v>2127535</v>
      </c>
      <c r="G21" s="1591">
        <f t="shared" ref="G21:H21" si="35">SUM(G22,G25,G28)</f>
        <v>2127535</v>
      </c>
      <c r="H21" s="147">
        <f t="shared" si="35"/>
        <v>0</v>
      </c>
      <c r="I21" s="147">
        <f>SUM(I22,I25,I28)</f>
        <v>3036992</v>
      </c>
      <c r="J21" s="147">
        <f t="shared" ref="J21:K21" si="36">SUM(J22,J25,J28)</f>
        <v>3036992</v>
      </c>
      <c r="K21" s="5674">
        <f t="shared" si="36"/>
        <v>0</v>
      </c>
      <c r="L21" s="5693">
        <f>SUM(L22,L25,L28)</f>
        <v>3036992</v>
      </c>
      <c r="M21" s="1591">
        <f t="shared" ref="M21:N21" si="37">SUM(M22,M25,M28)</f>
        <v>3036992</v>
      </c>
      <c r="N21" s="1591">
        <f t="shared" si="37"/>
        <v>0</v>
      </c>
      <c r="O21" s="147">
        <f>SUM(O22,O25,O28)</f>
        <v>3036992</v>
      </c>
      <c r="P21" s="147">
        <f t="shared" ref="P21:Q21" si="38">SUM(P22,P25,P28)</f>
        <v>3036992</v>
      </c>
      <c r="Q21" s="5674">
        <f t="shared" si="38"/>
        <v>0</v>
      </c>
      <c r="R21" s="5651">
        <f>SUM(R22,R25,R28)</f>
        <v>3036992</v>
      </c>
      <c r="S21" s="5653">
        <f t="shared" ref="S21:T21" si="39">SUM(S22,S25,S28)</f>
        <v>3036992</v>
      </c>
      <c r="T21" s="5653">
        <f t="shared" si="39"/>
        <v>0</v>
      </c>
      <c r="U21" s="5653">
        <f>SUM(U22,U25,U28)</f>
        <v>3036992</v>
      </c>
      <c r="V21" s="5653">
        <f t="shared" ref="V21:W21" si="40">SUM(V22,V25,V28)</f>
        <v>3036992</v>
      </c>
      <c r="W21" s="5653">
        <f t="shared" si="40"/>
        <v>0</v>
      </c>
      <c r="X21" s="5653">
        <f>SUM(X22,X25,X28)</f>
        <v>3036992</v>
      </c>
      <c r="Y21" s="5653">
        <f t="shared" ref="Y21:Z21" si="41">SUM(Y22,Y25,Y28)</f>
        <v>3036992</v>
      </c>
      <c r="Z21" s="5675">
        <f t="shared" si="41"/>
        <v>0</v>
      </c>
    </row>
    <row r="22" spans="1:26" s="204" customFormat="1">
      <c r="A22" s="5676" t="s">
        <v>204</v>
      </c>
      <c r="B22" s="5677" t="s">
        <v>42</v>
      </c>
      <c r="C22" s="152">
        <f>SUM(C23:C24)</f>
        <v>1814491</v>
      </c>
      <c r="D22" s="152">
        <f t="shared" ref="D22:E22" si="42">SUM(D23:D24)</f>
        <v>1814491</v>
      </c>
      <c r="E22" s="152">
        <f t="shared" si="42"/>
        <v>0</v>
      </c>
      <c r="F22" s="1597">
        <f>SUM(F23:F24)</f>
        <v>1814491</v>
      </c>
      <c r="G22" s="1597">
        <f t="shared" ref="G22:H22" si="43">SUM(G23:G24)</f>
        <v>1814491</v>
      </c>
      <c r="H22" s="152">
        <f t="shared" si="43"/>
        <v>0</v>
      </c>
      <c r="I22" s="152">
        <f>SUM(I23:I24)</f>
        <v>2530494</v>
      </c>
      <c r="J22" s="152">
        <f t="shared" ref="J22:K22" si="44">SUM(J23:J24)</f>
        <v>2530494</v>
      </c>
      <c r="K22" s="5552">
        <f t="shared" si="44"/>
        <v>0</v>
      </c>
      <c r="L22" s="5718">
        <f>SUM(L23:L24)</f>
        <v>2530494</v>
      </c>
      <c r="M22" s="1597">
        <f t="shared" ref="M22:N22" si="45">SUM(M23:M24)</f>
        <v>2530494</v>
      </c>
      <c r="N22" s="1597">
        <f t="shared" si="45"/>
        <v>0</v>
      </c>
      <c r="O22" s="152">
        <f>SUM(O23:O24)</f>
        <v>2530494</v>
      </c>
      <c r="P22" s="152">
        <f t="shared" ref="P22:Q22" si="46">SUM(P23:P24)</f>
        <v>2530494</v>
      </c>
      <c r="Q22" s="5552">
        <f t="shared" si="46"/>
        <v>0</v>
      </c>
      <c r="R22" s="5644">
        <f>SUM(R23:R24)</f>
        <v>2530494</v>
      </c>
      <c r="S22" s="5646">
        <f t="shared" ref="S22:T22" si="47">SUM(S23:S24)</f>
        <v>2530494</v>
      </c>
      <c r="T22" s="5646">
        <f t="shared" si="47"/>
        <v>0</v>
      </c>
      <c r="U22" s="5646">
        <f>SUM(U23:U24)</f>
        <v>2530494</v>
      </c>
      <c r="V22" s="5646">
        <f t="shared" ref="V22:W22" si="48">SUM(V23:V24)</f>
        <v>2530494</v>
      </c>
      <c r="W22" s="5646">
        <f t="shared" si="48"/>
        <v>0</v>
      </c>
      <c r="X22" s="5646">
        <f>SUM(X23:X24)</f>
        <v>2530494</v>
      </c>
      <c r="Y22" s="5646">
        <f t="shared" ref="Y22:Z22" si="49">SUM(Y23:Y24)</f>
        <v>2530494</v>
      </c>
      <c r="Z22" s="5678">
        <f t="shared" si="49"/>
        <v>0</v>
      </c>
    </row>
    <row r="23" spans="1:26" s="204" customFormat="1" hidden="1">
      <c r="A23" s="5676" t="s">
        <v>99</v>
      </c>
      <c r="B23" s="5677" t="s">
        <v>100</v>
      </c>
      <c r="C23" s="152">
        <f>SUM(D23:E23)</f>
        <v>1681570</v>
      </c>
      <c r="D23" s="152">
        <f>+'Phụ lục số 1'!H63</f>
        <v>1681570</v>
      </c>
      <c r="E23" s="152"/>
      <c r="F23" s="152">
        <f>SUM(G23:H23)</f>
        <v>1681570</v>
      </c>
      <c r="G23" s="152">
        <f>+'Phụ lục số 1'!O63</f>
        <v>1681570</v>
      </c>
      <c r="H23" s="152">
        <f>+'Phụ lục số 1'!P63</f>
        <v>0</v>
      </c>
      <c r="I23" s="157">
        <f>SUM(J23:K23)</f>
        <v>2399255</v>
      </c>
      <c r="J23" s="157">
        <f>+'Phụ lục số 1'!U63</f>
        <v>2399255</v>
      </c>
      <c r="K23" s="5547">
        <f>+'Phụ lục số 1'!V63</f>
        <v>0</v>
      </c>
      <c r="L23" s="5527">
        <f>SUM(M23:N23)</f>
        <v>2399255</v>
      </c>
      <c r="M23" s="152">
        <f>+'Phụ lục số 1'!AA63</f>
        <v>2399255</v>
      </c>
      <c r="N23" s="152"/>
      <c r="O23" s="157">
        <f>SUM(P23:Q23)</f>
        <v>2399255</v>
      </c>
      <c r="P23" s="157">
        <f>+'Phụ lục số 1'!AG63</f>
        <v>2399255</v>
      </c>
      <c r="Q23" s="5547"/>
      <c r="R23" s="5679">
        <f>SUM(S23:T23)</f>
        <v>2399255</v>
      </c>
      <c r="S23" s="5645">
        <f>+'Phụ lục số 1'!AM63</f>
        <v>2399255</v>
      </c>
      <c r="T23" s="5645"/>
      <c r="U23" s="5645">
        <f>SUM(V23:W23)</f>
        <v>2399255</v>
      </c>
      <c r="V23" s="5645">
        <f>+'Phụ lục số 1'!AS63</f>
        <v>2399255</v>
      </c>
      <c r="W23" s="5645"/>
      <c r="X23" s="5645">
        <f>SUM(Y23:Z23)</f>
        <v>2399255</v>
      </c>
      <c r="Y23" s="5645">
        <f>+'Phụ lục số 1'!AY63</f>
        <v>2399255</v>
      </c>
      <c r="Z23" s="5647"/>
    </row>
    <row r="24" spans="1:26" s="204" customFormat="1" hidden="1">
      <c r="A24" s="5676" t="s">
        <v>101</v>
      </c>
      <c r="B24" s="5677" t="s">
        <v>102</v>
      </c>
      <c r="C24" s="152">
        <f t="shared" ref="C24" si="50">SUM(D24:E24)</f>
        <v>132921</v>
      </c>
      <c r="D24" s="152">
        <f>+'Phụ lục số 1'!H64</f>
        <v>132921</v>
      </c>
      <c r="E24" s="152"/>
      <c r="F24" s="152">
        <f>SUM(G24:H24)</f>
        <v>132921</v>
      </c>
      <c r="G24" s="152">
        <f>+'Phụ lục số 1'!O64</f>
        <v>132921</v>
      </c>
      <c r="H24" s="152">
        <f>+'Phụ lục số 1'!P64</f>
        <v>0</v>
      </c>
      <c r="I24" s="157">
        <f>SUM(J24:K24)</f>
        <v>131239</v>
      </c>
      <c r="J24" s="157">
        <f>+'Phụ lục số 1'!U64</f>
        <v>131239</v>
      </c>
      <c r="K24" s="5547">
        <f>+'Phụ lục số 1'!V64</f>
        <v>0</v>
      </c>
      <c r="L24" s="5527">
        <f>SUM(M24:N24)</f>
        <v>131239</v>
      </c>
      <c r="M24" s="152">
        <f>+'Phụ lục số 1'!AA64</f>
        <v>131239</v>
      </c>
      <c r="N24" s="152"/>
      <c r="O24" s="157">
        <f>SUM(P24:Q24)</f>
        <v>131239</v>
      </c>
      <c r="P24" s="157">
        <f>+'Phụ lục số 1'!AG64</f>
        <v>131239</v>
      </c>
      <c r="Q24" s="5547"/>
      <c r="R24" s="5679">
        <f>SUM(S24:T24)</f>
        <v>131239</v>
      </c>
      <c r="S24" s="5645">
        <f>+'Phụ lục số 1'!AM64</f>
        <v>131239</v>
      </c>
      <c r="T24" s="5645"/>
      <c r="U24" s="5645">
        <f>SUM(V24:W24)</f>
        <v>131239</v>
      </c>
      <c r="V24" s="5645">
        <f>+'Phụ lục số 1'!AS64</f>
        <v>131239</v>
      </c>
      <c r="W24" s="5645"/>
      <c r="X24" s="5645">
        <f>SUM(Y24:Z24)</f>
        <v>131239</v>
      </c>
      <c r="Y24" s="5645">
        <f>+'Phụ lục số 1'!AY64</f>
        <v>131239</v>
      </c>
      <c r="Z24" s="5647"/>
    </row>
    <row r="25" spans="1:26" s="204" customFormat="1">
      <c r="A25" s="5676" t="s">
        <v>206</v>
      </c>
      <c r="B25" s="5677" t="s">
        <v>43</v>
      </c>
      <c r="C25" s="152">
        <f>SUM(C26:C27)</f>
        <v>174485</v>
      </c>
      <c r="D25" s="152">
        <f t="shared" ref="D25:E25" si="51">SUM(D26:D27)</f>
        <v>174485</v>
      </c>
      <c r="E25" s="152">
        <f t="shared" si="51"/>
        <v>0</v>
      </c>
      <c r="F25" s="1597">
        <f>SUM(F26:F27)</f>
        <v>174485</v>
      </c>
      <c r="G25" s="1597">
        <f t="shared" ref="G25:H25" si="52">SUM(G26:G27)</f>
        <v>174485</v>
      </c>
      <c r="H25" s="152">
        <f t="shared" si="52"/>
        <v>0</v>
      </c>
      <c r="I25" s="152">
        <f>SUM(I26:I27)</f>
        <v>221912</v>
      </c>
      <c r="J25" s="152">
        <f t="shared" ref="J25:K25" si="53">SUM(J26:J27)</f>
        <v>221912</v>
      </c>
      <c r="K25" s="5552">
        <f t="shared" si="53"/>
        <v>0</v>
      </c>
      <c r="L25" s="5718">
        <f>SUM(L26:L27)</f>
        <v>221912</v>
      </c>
      <c r="M25" s="1597">
        <f t="shared" ref="M25:N25" si="54">SUM(M26:M27)</f>
        <v>221912</v>
      </c>
      <c r="N25" s="1597">
        <f t="shared" si="54"/>
        <v>0</v>
      </c>
      <c r="O25" s="152">
        <f>SUM(O26:O27)</f>
        <v>221912</v>
      </c>
      <c r="P25" s="152">
        <f t="shared" ref="P25:Q25" si="55">SUM(P26:P27)</f>
        <v>221912</v>
      </c>
      <c r="Q25" s="5552">
        <f t="shared" si="55"/>
        <v>0</v>
      </c>
      <c r="R25" s="5644">
        <f>SUM(R26:R27)</f>
        <v>221912</v>
      </c>
      <c r="S25" s="5646">
        <f t="shared" ref="S25:Z25" si="56">SUM(S26:S27)</f>
        <v>221912</v>
      </c>
      <c r="T25" s="5646">
        <f t="shared" si="56"/>
        <v>0</v>
      </c>
      <c r="U25" s="5646">
        <f>SUM(U26:U27)</f>
        <v>221912</v>
      </c>
      <c r="V25" s="5646">
        <f t="shared" si="56"/>
        <v>221912</v>
      </c>
      <c r="W25" s="5646">
        <f t="shared" si="56"/>
        <v>0</v>
      </c>
      <c r="X25" s="5646">
        <f>SUM(X26:X27)</f>
        <v>221912</v>
      </c>
      <c r="Y25" s="5646">
        <f t="shared" si="56"/>
        <v>221912</v>
      </c>
      <c r="Z25" s="5678">
        <f t="shared" si="56"/>
        <v>0</v>
      </c>
    </row>
    <row r="26" spans="1:26" s="204" customFormat="1" hidden="1">
      <c r="A26" s="5676" t="s">
        <v>99</v>
      </c>
      <c r="B26" s="5677" t="s">
        <v>103</v>
      </c>
      <c r="C26" s="152">
        <f>SUM(D26:E26)</f>
        <v>72469</v>
      </c>
      <c r="D26" s="152">
        <f>+'Phụ lục số 1'!H66</f>
        <v>72469</v>
      </c>
      <c r="E26" s="152">
        <v>0</v>
      </c>
      <c r="F26" s="152">
        <f>SUM(G26:H26)</f>
        <v>72469</v>
      </c>
      <c r="G26" s="152">
        <f>+'Phụ lục số 1'!O66</f>
        <v>72469</v>
      </c>
      <c r="H26" s="152">
        <f>+'Phụ lục số 1'!P66</f>
        <v>0</v>
      </c>
      <c r="I26" s="157">
        <f>SUM(J26:K26)</f>
        <v>186007</v>
      </c>
      <c r="J26" s="157">
        <f>+'Phụ lục số 1'!U66</f>
        <v>186007</v>
      </c>
      <c r="K26" s="5547">
        <f>H26</f>
        <v>0</v>
      </c>
      <c r="L26" s="5527">
        <f>SUM(M26:N26)</f>
        <v>186007</v>
      </c>
      <c r="M26" s="152">
        <f>+'Phụ lục số 1'!AA66</f>
        <v>186007</v>
      </c>
      <c r="N26" s="5680">
        <f>K26</f>
        <v>0</v>
      </c>
      <c r="O26" s="157">
        <f>SUM(P26:Q26)</f>
        <v>186007</v>
      </c>
      <c r="P26" s="157">
        <f>+'Phụ lục số 1'!AG66</f>
        <v>186007</v>
      </c>
      <c r="Q26" s="5681">
        <f>N26</f>
        <v>0</v>
      </c>
      <c r="R26" s="5679">
        <f>SUM(S26:T26)</f>
        <v>186007</v>
      </c>
      <c r="S26" s="5645">
        <f>+'Phụ lục số 1'!AM66</f>
        <v>186007</v>
      </c>
      <c r="T26" s="5682">
        <f>N26</f>
        <v>0</v>
      </c>
      <c r="U26" s="5645">
        <f>SUM(V26:W26)</f>
        <v>186007</v>
      </c>
      <c r="V26" s="5645">
        <f>+'Phụ lục số 1'!AS66</f>
        <v>186007</v>
      </c>
      <c r="W26" s="5645">
        <f>T26</f>
        <v>0</v>
      </c>
      <c r="X26" s="5645">
        <f>SUM(Y26:Z26)</f>
        <v>186007</v>
      </c>
      <c r="Y26" s="5645">
        <f>+'Phụ lục số 1'!AY66</f>
        <v>186007</v>
      </c>
      <c r="Z26" s="5647">
        <f>W26</f>
        <v>0</v>
      </c>
    </row>
    <row r="27" spans="1:26" s="204" customFormat="1" hidden="1">
      <c r="A27" s="5676" t="s">
        <v>101</v>
      </c>
      <c r="B27" s="5677" t="s">
        <v>102</v>
      </c>
      <c r="C27" s="152">
        <f t="shared" ref="C27" si="57">SUM(D27:E27)</f>
        <v>102016</v>
      </c>
      <c r="D27" s="152">
        <f>+'Phụ lục số 1'!H67</f>
        <v>102016</v>
      </c>
      <c r="E27" s="152"/>
      <c r="F27" s="152">
        <f>SUM(G27:H27)</f>
        <v>102016</v>
      </c>
      <c r="G27" s="152">
        <f>+'Phụ lục số 1'!O67</f>
        <v>102016</v>
      </c>
      <c r="H27" s="152">
        <f>+'Phụ lục số 1'!P67</f>
        <v>0</v>
      </c>
      <c r="I27" s="157">
        <f>SUM(J27:K27)</f>
        <v>35905</v>
      </c>
      <c r="J27" s="157">
        <f>+'Phụ lục số 1'!U67</f>
        <v>35905</v>
      </c>
      <c r="K27" s="5547">
        <f>+'Phụ lục số 1'!V67</f>
        <v>0</v>
      </c>
      <c r="L27" s="5527">
        <f>SUM(M27:N27)</f>
        <v>35905</v>
      </c>
      <c r="M27" s="152">
        <f>+'Phụ lục số 1'!AA67</f>
        <v>35905</v>
      </c>
      <c r="N27" s="152"/>
      <c r="O27" s="157">
        <f>SUM(P27:Q27)</f>
        <v>35905</v>
      </c>
      <c r="P27" s="157">
        <f>+'Phụ lục số 1'!AG67</f>
        <v>35905</v>
      </c>
      <c r="Q27" s="5547"/>
      <c r="R27" s="5679">
        <f>SUM(S27:T27)</f>
        <v>35905</v>
      </c>
      <c r="S27" s="5645">
        <f>+'Phụ lục số 1'!AM67</f>
        <v>35905</v>
      </c>
      <c r="T27" s="5645"/>
      <c r="U27" s="5645">
        <f>SUM(V27:W27)</f>
        <v>35905</v>
      </c>
      <c r="V27" s="5645">
        <f>+'Phụ lục số 1'!AS67</f>
        <v>35905</v>
      </c>
      <c r="W27" s="5645"/>
      <c r="X27" s="5645">
        <f>SUM(Y27:Z27)</f>
        <v>35905</v>
      </c>
      <c r="Y27" s="5645">
        <f>+'Phụ lục số 1'!AY67</f>
        <v>35905</v>
      </c>
      <c r="Z27" s="5647"/>
    </row>
    <row r="28" spans="1:26" s="204" customFormat="1">
      <c r="A28" s="5676" t="s">
        <v>237</v>
      </c>
      <c r="B28" s="5683" t="s">
        <v>106</v>
      </c>
      <c r="C28" s="152">
        <f>SUM(C29:C30)</f>
        <v>0</v>
      </c>
      <c r="D28" s="152">
        <f t="shared" ref="D28:E28" si="58">SUM(D29:D30)</f>
        <v>0</v>
      </c>
      <c r="E28" s="152">
        <f t="shared" si="58"/>
        <v>0</v>
      </c>
      <c r="F28" s="1597">
        <f>SUM(F29:F30)</f>
        <v>138559</v>
      </c>
      <c r="G28" s="1597">
        <f t="shared" ref="G28:H28" si="59">SUM(G29:G30)</f>
        <v>138559</v>
      </c>
      <c r="H28" s="152">
        <f t="shared" si="59"/>
        <v>0</v>
      </c>
      <c r="I28" s="152">
        <f>SUM(I29:I30)</f>
        <v>284586</v>
      </c>
      <c r="J28" s="152">
        <f t="shared" ref="J28" si="60">SUM(J29:J30)</f>
        <v>284586</v>
      </c>
      <c r="K28" s="5552">
        <f t="shared" ref="K28" si="61">SUM(K29:K30)</f>
        <v>0</v>
      </c>
      <c r="L28" s="5718">
        <f>SUM(L29:L30)</f>
        <v>284586</v>
      </c>
      <c r="M28" s="1597">
        <f t="shared" ref="M28:N28" si="62">SUM(M29:M30)</f>
        <v>284586</v>
      </c>
      <c r="N28" s="1597">
        <f t="shared" si="62"/>
        <v>0</v>
      </c>
      <c r="O28" s="152">
        <f>SUM(O29:O30)</f>
        <v>284586</v>
      </c>
      <c r="P28" s="152">
        <f t="shared" ref="P28:Q28" si="63">SUM(P29:P30)</f>
        <v>284586</v>
      </c>
      <c r="Q28" s="5552">
        <f t="shared" si="63"/>
        <v>0</v>
      </c>
      <c r="R28" s="5644">
        <f>SUM(R29:R30)</f>
        <v>284586</v>
      </c>
      <c r="S28" s="5646">
        <f t="shared" ref="S28:Z28" si="64">SUM(S29:S30)</f>
        <v>284586</v>
      </c>
      <c r="T28" s="5646">
        <f t="shared" si="64"/>
        <v>0</v>
      </c>
      <c r="U28" s="5646">
        <f>SUM(U29:U30)</f>
        <v>284586</v>
      </c>
      <c r="V28" s="5646">
        <f t="shared" si="64"/>
        <v>284586</v>
      </c>
      <c r="W28" s="5646">
        <f t="shared" si="64"/>
        <v>0</v>
      </c>
      <c r="X28" s="5646">
        <f>SUM(X29:X30)</f>
        <v>284586</v>
      </c>
      <c r="Y28" s="5646">
        <f t="shared" si="64"/>
        <v>284586</v>
      </c>
      <c r="Z28" s="5678">
        <f t="shared" si="64"/>
        <v>0</v>
      </c>
    </row>
    <row r="29" spans="1:26" s="204" customFormat="1" hidden="1">
      <c r="A29" s="5676" t="s">
        <v>99</v>
      </c>
      <c r="B29" s="5677" t="s">
        <v>104</v>
      </c>
      <c r="C29" s="152">
        <f t="shared" ref="C29:C32" si="65">SUM(D29:E29)</f>
        <v>0</v>
      </c>
      <c r="D29" s="152">
        <f>+'Phụ lục số 1'!H69</f>
        <v>0</v>
      </c>
      <c r="E29" s="152">
        <v>0</v>
      </c>
      <c r="F29" s="152">
        <f>SUM(G29:H29)</f>
        <v>0</v>
      </c>
      <c r="G29" s="152">
        <f>+'Phụ lục số 1'!O69</f>
        <v>0</v>
      </c>
      <c r="H29" s="152">
        <f>+'Phụ lục số 1'!P69</f>
        <v>0</v>
      </c>
      <c r="I29" s="157">
        <f>SUM(J29:K29)</f>
        <v>0</v>
      </c>
      <c r="J29" s="157">
        <f>+'Phụ lục số 1'!U69</f>
        <v>0</v>
      </c>
      <c r="K29" s="5547">
        <f>+'Phụ lục số 1'!V69</f>
        <v>0</v>
      </c>
      <c r="L29" s="5527">
        <f>SUM(M29:N29)</f>
        <v>0</v>
      </c>
      <c r="M29" s="152">
        <f>+'Phụ lục số 1'!AA69</f>
        <v>0</v>
      </c>
      <c r="N29" s="5680">
        <f>K29</f>
        <v>0</v>
      </c>
      <c r="O29" s="157">
        <f>SUM(P29:Q29)</f>
        <v>0</v>
      </c>
      <c r="P29" s="157">
        <f>+'Phụ lục số 1'!AG69</f>
        <v>0</v>
      </c>
      <c r="Q29" s="5681">
        <f>N29</f>
        <v>0</v>
      </c>
      <c r="R29" s="5679">
        <f>SUM(S29:T29)</f>
        <v>0</v>
      </c>
      <c r="S29" s="5645">
        <f>+'Phụ lục số 1'!AM69</f>
        <v>0</v>
      </c>
      <c r="T29" s="5682">
        <f>N29</f>
        <v>0</v>
      </c>
      <c r="U29" s="5645">
        <f>SUM(V29:W29)</f>
        <v>0</v>
      </c>
      <c r="V29" s="5645">
        <f>+'Phụ lục số 1'!AS69</f>
        <v>0</v>
      </c>
      <c r="W29" s="5645">
        <f>T29</f>
        <v>0</v>
      </c>
      <c r="X29" s="5645">
        <f>SUM(Y29:Z29)</f>
        <v>0</v>
      </c>
      <c r="Y29" s="5645">
        <f>+'Phụ lục số 1'!AY69</f>
        <v>0</v>
      </c>
      <c r="Z29" s="5647">
        <f>W29</f>
        <v>0</v>
      </c>
    </row>
    <row r="30" spans="1:26" s="204" customFormat="1" hidden="1">
      <c r="A30" s="5676" t="s">
        <v>101</v>
      </c>
      <c r="B30" s="5677" t="s">
        <v>105</v>
      </c>
      <c r="C30" s="152">
        <f t="shared" si="65"/>
        <v>0</v>
      </c>
      <c r="D30" s="152">
        <f>+'Phụ lục số 1'!H70</f>
        <v>0</v>
      </c>
      <c r="E30" s="152">
        <v>0</v>
      </c>
      <c r="F30" s="152">
        <f>SUM(G30:H30)</f>
        <v>138559</v>
      </c>
      <c r="G30" s="152">
        <f>+'Phụ lục số 1'!O70</f>
        <v>138559</v>
      </c>
      <c r="H30" s="152">
        <f>+'Phụ lục số 1'!P70</f>
        <v>0</v>
      </c>
      <c r="I30" s="157">
        <f>SUM(J30:K30)</f>
        <v>284586</v>
      </c>
      <c r="J30" s="157">
        <f>+'Phụ lục số 1'!U70</f>
        <v>284586</v>
      </c>
      <c r="K30" s="5547">
        <f>+'Phụ lục số 1'!V70</f>
        <v>0</v>
      </c>
      <c r="L30" s="5527">
        <f>SUM(M30:N30)</f>
        <v>284586</v>
      </c>
      <c r="M30" s="152">
        <f>+'Phụ lục số 1'!AA70</f>
        <v>284586</v>
      </c>
      <c r="N30" s="5680">
        <f>K30</f>
        <v>0</v>
      </c>
      <c r="O30" s="157">
        <f>SUM(P30:Q30)</f>
        <v>284586</v>
      </c>
      <c r="P30" s="157">
        <f>+'Phụ lục số 1'!AG70</f>
        <v>284586</v>
      </c>
      <c r="Q30" s="5681">
        <f>N30</f>
        <v>0</v>
      </c>
      <c r="R30" s="5679">
        <f>SUM(S30:T30)</f>
        <v>284586</v>
      </c>
      <c r="S30" s="5645">
        <f>+'Phụ lục số 1'!AM70</f>
        <v>284586</v>
      </c>
      <c r="T30" s="5682">
        <f>N30</f>
        <v>0</v>
      </c>
      <c r="U30" s="5645">
        <f>SUM(V30:W30)</f>
        <v>284586</v>
      </c>
      <c r="V30" s="5645">
        <f>+'Phụ lục số 1'!AS70</f>
        <v>284586</v>
      </c>
      <c r="W30" s="5645">
        <f>T30</f>
        <v>0</v>
      </c>
      <c r="X30" s="5645">
        <f>SUM(Y30:Z30)</f>
        <v>284586</v>
      </c>
      <c r="Y30" s="5645">
        <f>+'Phụ lục số 1'!AY70</f>
        <v>284586</v>
      </c>
      <c r="Z30" s="5647">
        <f>W30</f>
        <v>0</v>
      </c>
    </row>
    <row r="31" spans="1:26" s="738" customFormat="1">
      <c r="A31" s="5648" t="s">
        <v>182</v>
      </c>
      <c r="B31" s="5673" t="s">
        <v>45</v>
      </c>
      <c r="C31" s="147">
        <f t="shared" si="65"/>
        <v>886000</v>
      </c>
      <c r="D31" s="147">
        <f>'Phụ lục số I'!H68</f>
        <v>0</v>
      </c>
      <c r="E31" s="147">
        <f>+'Phụ lục số 8.1'!C23</f>
        <v>886000</v>
      </c>
      <c r="F31" s="147">
        <f>SUM(G31:H31)</f>
        <v>1072301</v>
      </c>
      <c r="G31" s="147">
        <f>+'Phụ lục số 1'!O71</f>
        <v>0</v>
      </c>
      <c r="H31" s="147">
        <f>+'Phụ lục số 1'!P71</f>
        <v>1072301</v>
      </c>
      <c r="I31" s="142">
        <f t="shared" ref="I31:I32" si="66">SUM(J31:K31)</f>
        <v>941000.4</v>
      </c>
      <c r="J31" s="142">
        <f>+'Phụ lục số 1'!U71</f>
        <v>0.40000000001455194</v>
      </c>
      <c r="K31" s="5548">
        <f>+'Phụ lục số 1'!V71</f>
        <v>941000</v>
      </c>
      <c r="L31" s="5522">
        <f t="shared" ref="L31:L32" si="67">SUM(M31:N31)</f>
        <v>519900</v>
      </c>
      <c r="M31" s="147">
        <f>+'Phụ lục số 1'!AA71</f>
        <v>0</v>
      </c>
      <c r="N31" s="147">
        <f>+'Phụ lục số 1'!AB71</f>
        <v>519900</v>
      </c>
      <c r="O31" s="142">
        <f t="shared" ref="O31:O32" si="68">SUM(P31:Q31)</f>
        <v>626117.15251171635</v>
      </c>
      <c r="P31" s="142">
        <f>+'Phụ lục số 1'!AG71</f>
        <v>202308.50969414107</v>
      </c>
      <c r="Q31" s="5548">
        <f>+'Phụ lục số 1'!AH71</f>
        <v>423808.64281757525</v>
      </c>
      <c r="R31" s="5684">
        <f t="shared" ref="R31:R34" si="69">SUM(S31:T31)</f>
        <v>789623.5261911191</v>
      </c>
      <c r="S31" s="5670">
        <f>+'Phụ lục số 1'!AM71</f>
        <v>394092.17037477036</v>
      </c>
      <c r="T31" s="5670">
        <f>+'Phụ lục số 1'!AN71</f>
        <v>395531.35581634869</v>
      </c>
      <c r="U31" s="5670">
        <f t="shared" ref="U31:U34" si="70">SUM(V31:W31)</f>
        <v>1134327.0610566589</v>
      </c>
      <c r="V31" s="5670">
        <f>+'Phụ lục số 1'!AS71</f>
        <v>403102.79576516763</v>
      </c>
      <c r="W31" s="5670">
        <f>+'Phụ lục số 1'!AT71</f>
        <v>731224.26529149117</v>
      </c>
      <c r="X31" s="5670">
        <f t="shared" ref="X31:X34" si="71">SUM(Y31:Z31)</f>
        <v>1555493.1441400896</v>
      </c>
      <c r="Y31" s="5670">
        <f>+'Phụ lục số 1'!AY71</f>
        <v>595525.54997767729</v>
      </c>
      <c r="Z31" s="5670">
        <f>+'Phụ lục số 1'!AZ71</f>
        <v>959967.59416241234</v>
      </c>
    </row>
    <row r="32" spans="1:26" s="738" customFormat="1">
      <c r="A32" s="5648" t="s">
        <v>215</v>
      </c>
      <c r="B32" s="5673" t="s">
        <v>47</v>
      </c>
      <c r="C32" s="147">
        <f t="shared" si="65"/>
        <v>0</v>
      </c>
      <c r="D32" s="147">
        <f>'Phụ lục số I'!H69</f>
        <v>0</v>
      </c>
      <c r="E32" s="147">
        <f>'Phụ lục số I'!I69</f>
        <v>0</v>
      </c>
      <c r="F32" s="147">
        <f t="shared" ref="F32:F34" si="72">SUM(G32:H32)</f>
        <v>0</v>
      </c>
      <c r="G32" s="147">
        <f>+'Phụ lục số 1'!O72</f>
        <v>0</v>
      </c>
      <c r="H32" s="147">
        <f>+'Phụ lục số 1'!P72</f>
        <v>0</v>
      </c>
      <c r="I32" s="142">
        <f t="shared" si="66"/>
        <v>0</v>
      </c>
      <c r="J32" s="142">
        <f>'Phụ lục số I'!U69</f>
        <v>0</v>
      </c>
      <c r="K32" s="5548">
        <f>'Phụ lục số I'!V69</f>
        <v>0</v>
      </c>
      <c r="L32" s="5522">
        <f t="shared" si="67"/>
        <v>0</v>
      </c>
      <c r="M32" s="147">
        <f>+'Phụ lục số 1'!AA72</f>
        <v>0</v>
      </c>
      <c r="N32" s="147">
        <f>+'Phụ lục số 1'!AB72</f>
        <v>0</v>
      </c>
      <c r="O32" s="142">
        <f t="shared" si="68"/>
        <v>0</v>
      </c>
      <c r="P32" s="142">
        <f>+'Phụ lục số 1'!AG72</f>
        <v>0</v>
      </c>
      <c r="Q32" s="5548">
        <f>+'Phụ lục số 1'!AH72</f>
        <v>0</v>
      </c>
      <c r="R32" s="5684">
        <f t="shared" si="69"/>
        <v>0</v>
      </c>
      <c r="S32" s="5670">
        <f>+'Phụ lục số 1'!AM72</f>
        <v>0</v>
      </c>
      <c r="T32" s="5670">
        <f>+'Phụ lục số 1'!AN72</f>
        <v>0</v>
      </c>
      <c r="U32" s="5670">
        <f t="shared" si="70"/>
        <v>0</v>
      </c>
      <c r="V32" s="5670">
        <f>+'Phụ lục số 1'!AS72</f>
        <v>0</v>
      </c>
      <c r="W32" s="5670">
        <f>+'Phụ lục số 1'!AT72</f>
        <v>0</v>
      </c>
      <c r="X32" s="5670">
        <f t="shared" si="71"/>
        <v>0</v>
      </c>
      <c r="Y32" s="5670">
        <f>+'Phụ lục số 1'!AY72</f>
        <v>0</v>
      </c>
      <c r="Z32" s="5670">
        <f>+'Phụ lục số 1'!AZ72</f>
        <v>0</v>
      </c>
    </row>
    <row r="33" spans="1:32" s="738" customFormat="1">
      <c r="A33" s="5685" t="s">
        <v>37</v>
      </c>
      <c r="B33" s="5686" t="s">
        <v>238</v>
      </c>
      <c r="C33" s="1591">
        <f t="shared" ref="C33:C34" si="73">SUM(D33:E33)</f>
        <v>19035462.95671108</v>
      </c>
      <c r="D33" s="1591">
        <f>D34+D58+D68+D69</f>
        <v>9127060.061999999</v>
      </c>
      <c r="E33" s="1591">
        <f>E34+E58+E68+E69</f>
        <v>9908402.8947110809</v>
      </c>
      <c r="F33" s="1600">
        <f t="shared" si="72"/>
        <v>19712858.656711079</v>
      </c>
      <c r="G33" s="1600">
        <f>G34+G58+G68+G69</f>
        <v>9618154.7620000001</v>
      </c>
      <c r="H33" s="1600">
        <f>H34+H58+H68+H69</f>
        <v>10094703.894711081</v>
      </c>
      <c r="I33" s="173">
        <f>SUM(J33:K33)</f>
        <v>21372894.196000002</v>
      </c>
      <c r="J33" s="173">
        <f>J34+J58+J68+J69+J70</f>
        <v>9621242.2890000008</v>
      </c>
      <c r="K33" s="5535">
        <f>K34+K58+K68+K69+K70</f>
        <v>11751651.907000003</v>
      </c>
      <c r="L33" s="5768">
        <f>SUM(M33:N33)</f>
        <v>22308019.975340258</v>
      </c>
      <c r="M33" s="5687">
        <f>M34+M58+M68+M69+M70</f>
        <v>10336418.558390718</v>
      </c>
      <c r="N33" s="5687">
        <f>N34+N58+N68+N69+N70</f>
        <v>11971601.41694954</v>
      </c>
      <c r="O33" s="5687">
        <f>SUM(P33:Q33)</f>
        <v>23058214.497882977</v>
      </c>
      <c r="P33" s="5687">
        <f>P34+P58+P68+P69+P70</f>
        <v>10792774.046539402</v>
      </c>
      <c r="Q33" s="5688">
        <f>Q34+Q58+Q68+Q69+Q70</f>
        <v>12265440.451343574</v>
      </c>
      <c r="R33" s="5689">
        <f t="shared" si="69"/>
        <v>23900869.343657758</v>
      </c>
      <c r="S33" s="1600">
        <f>S34+S58+S68+S69</f>
        <v>11149605.720458075</v>
      </c>
      <c r="T33" s="1600">
        <f>T34+T58+T68+T69</f>
        <v>12751263.623199683</v>
      </c>
      <c r="U33" s="1600">
        <f t="shared" si="70"/>
        <v>25290876.156921137</v>
      </c>
      <c r="V33" s="1600">
        <f>V34+V58+V68+V69</f>
        <v>11767039.532192383</v>
      </c>
      <c r="W33" s="1600">
        <f>W34+W58+W68+W69</f>
        <v>13523836.624728754</v>
      </c>
      <c r="X33" s="1600">
        <f t="shared" si="71"/>
        <v>27317511.620331578</v>
      </c>
      <c r="Y33" s="1600">
        <f>Y34+Y58+Y68+Y69</f>
        <v>12840542.014199736</v>
      </c>
      <c r="Z33" s="5690">
        <f>Z34+Z58+Z68+Z69</f>
        <v>14476969.606131842</v>
      </c>
    </row>
    <row r="34" spans="1:32" s="738" customFormat="1">
      <c r="A34" s="5648" t="s">
        <v>3</v>
      </c>
      <c r="B34" s="5649" t="s">
        <v>142</v>
      </c>
      <c r="C34" s="1591">
        <f t="shared" si="73"/>
        <v>17046486.95671108</v>
      </c>
      <c r="D34" s="1591">
        <f>SUM(D35,D47,D52,D53,D54,D55,D56,D57)</f>
        <v>7138084.0619999999</v>
      </c>
      <c r="E34" s="1591">
        <f>SUM(E35,E47,E52,E53,E54,E55,E56,E57)</f>
        <v>9908402.8947110809</v>
      </c>
      <c r="F34" s="1591">
        <f t="shared" si="72"/>
        <v>17585323.656711079</v>
      </c>
      <c r="G34" s="1591">
        <f>SUM(G35,G47,G52,G53,G54,G55,G56,G57)</f>
        <v>7490619.7620000001</v>
      </c>
      <c r="H34" s="1591">
        <f>SUM(H35,H47,H52,H53,H54,H55,H56,H57)</f>
        <v>10094703.894711081</v>
      </c>
      <c r="I34" s="147">
        <f>SUM(J34:K34)</f>
        <v>18330348.400000006</v>
      </c>
      <c r="J34" s="147">
        <f>SUM(J35,J47,J52,J53,J54,J55,J56,J57)</f>
        <v>6833081.4930000007</v>
      </c>
      <c r="K34" s="5674">
        <f>SUM(K35,K47,K52,K53,K54,K55,K56,K57)</f>
        <v>11497266.907000003</v>
      </c>
      <c r="L34" s="5769">
        <f>SUM(M34:N34)</f>
        <v>19271027.975340258</v>
      </c>
      <c r="M34" s="5691">
        <f>SUM(M35,M47,M52,M53,M54,M55,M56,M57)</f>
        <v>7553811.558390717</v>
      </c>
      <c r="N34" s="5691">
        <f>SUM(N35,N47,N52,N53,N54,N55,N56,N57)</f>
        <v>11717216.41694954</v>
      </c>
      <c r="O34" s="5691">
        <f>SUM(P34:Q34)</f>
        <v>20021222.497882977</v>
      </c>
      <c r="P34" s="5691">
        <f>SUM(P35,P47,P52,P53,P54,P55,P56,P57)</f>
        <v>8010167.0465394016</v>
      </c>
      <c r="Q34" s="5692">
        <f>SUM(Q35,Q47,Q52,Q53,Q54,Q55,Q56,Q57)</f>
        <v>12011055.451343574</v>
      </c>
      <c r="R34" s="5693">
        <f t="shared" si="69"/>
        <v>20863877.343657758</v>
      </c>
      <c r="S34" s="1591">
        <f>SUM(S35,S47,S52,S53,S54,S55,S56,S57)</f>
        <v>8366998.7204580745</v>
      </c>
      <c r="T34" s="1591">
        <f>SUM(T35,T47,T52,T53,T54,T55,T56,T57)</f>
        <v>12496878.623199683</v>
      </c>
      <c r="U34" s="1591">
        <f t="shared" si="70"/>
        <v>22253884.156921137</v>
      </c>
      <c r="V34" s="1591">
        <f>SUM(V35,V47,V52,V53,V54,V55,V56,V57)</f>
        <v>8984432.532192383</v>
      </c>
      <c r="W34" s="1591">
        <f>SUM(W35,W47,W52,W53,W54,W55,W56,W57)</f>
        <v>13269451.624728754</v>
      </c>
      <c r="X34" s="1591">
        <f t="shared" si="71"/>
        <v>24280519.620331578</v>
      </c>
      <c r="Y34" s="1591">
        <f>SUM(Y35,Y47,Y52,Y53,Y54,Y55,Y56,Y57)</f>
        <v>10057935.014199736</v>
      </c>
      <c r="Z34" s="5694">
        <f>SUM(Z35,Z47,Z52,Z53,Z54,Z55,Z56,Z57)</f>
        <v>14222584.606131842</v>
      </c>
      <c r="AC34" s="5297">
        <f>+I34</f>
        <v>18330348.400000006</v>
      </c>
      <c r="AD34" s="738">
        <v>0</v>
      </c>
      <c r="AF34" s="5297">
        <f>+I10-I34</f>
        <v>192253.79599999636</v>
      </c>
    </row>
    <row r="35" spans="1:32" s="738" customFormat="1">
      <c r="A35" s="5648">
        <v>1</v>
      </c>
      <c r="B35" s="5649" t="s">
        <v>208</v>
      </c>
      <c r="C35" s="1591">
        <f>SUM(C36:C42)</f>
        <v>5331240.1620000005</v>
      </c>
      <c r="D35" s="1591">
        <f t="shared" ref="D35:E35" si="74">SUM(D36:D42)</f>
        <v>3607240.162</v>
      </c>
      <c r="E35" s="1591">
        <f t="shared" si="74"/>
        <v>1724000</v>
      </c>
      <c r="F35" s="1591">
        <f>SUM(F36:F42)</f>
        <v>5531240.1620000005</v>
      </c>
      <c r="G35" s="1591">
        <f t="shared" ref="G35:H35" si="75">SUM(G36:G42)</f>
        <v>3807240.162</v>
      </c>
      <c r="H35" s="1591">
        <f t="shared" si="75"/>
        <v>1724000</v>
      </c>
      <c r="I35" s="147">
        <f>+I36+I37+I39+I41+I42</f>
        <v>4666890</v>
      </c>
      <c r="J35" s="147">
        <f t="shared" ref="J35:K35" si="76">+J36+J37+J39+J41+J42</f>
        <v>2983390</v>
      </c>
      <c r="K35" s="5674">
        <f t="shared" si="76"/>
        <v>1683500</v>
      </c>
      <c r="L35" s="5769">
        <f>+L36+L37+L39+L41+L42</f>
        <v>5207212.043456913</v>
      </c>
      <c r="M35" s="5691">
        <f t="shared" ref="M35" si="77">+M36+M37+M39+M41+M42</f>
        <v>3357212.043456913</v>
      </c>
      <c r="N35" s="5691">
        <f t="shared" ref="N35" si="78">+N36+N37+N39+N41+N42</f>
        <v>1850000</v>
      </c>
      <c r="O35" s="5691">
        <f>+O36+O37+O39+O41+O42</f>
        <v>5338707.7565428363</v>
      </c>
      <c r="P35" s="5691">
        <f t="shared" ref="P35" si="79">+P36+P37+P39+P41+P42</f>
        <v>3460943.7757059</v>
      </c>
      <c r="Q35" s="5692">
        <f t="shared" ref="Q35" si="80">+Q36+Q37+Q39+Q41+Q42</f>
        <v>1877763.9808369365</v>
      </c>
      <c r="R35" s="5691">
        <f>+R36+R37+R39+R41+R42</f>
        <v>5569803.4288555803</v>
      </c>
      <c r="S35" s="5691">
        <f t="shared" ref="S35:Z35" si="81">+S36+S37+S39+S41+S42</f>
        <v>3619449.6039062967</v>
      </c>
      <c r="T35" s="5692">
        <f t="shared" si="81"/>
        <v>1950353.8249492832</v>
      </c>
      <c r="U35" s="5691">
        <f>+U36+U37+U39+U41+U42</f>
        <v>6005750.2471807506</v>
      </c>
      <c r="V35" s="5691">
        <f t="shared" si="81"/>
        <v>3922342.4400391411</v>
      </c>
      <c r="W35" s="5692">
        <f t="shared" si="81"/>
        <v>2083407.8071416095</v>
      </c>
      <c r="X35" s="5691">
        <f>+X36+X37+X39+X41+X42</f>
        <v>6853899.701418004</v>
      </c>
      <c r="Y35" s="5691">
        <f t="shared" si="81"/>
        <v>4539333.1674249219</v>
      </c>
      <c r="Z35" s="5692">
        <f t="shared" si="81"/>
        <v>2314566.5339930821</v>
      </c>
      <c r="AF35" s="5297">
        <f>+AF34-K53</f>
        <v>-327646.20400000364</v>
      </c>
    </row>
    <row r="36" spans="1:32">
      <c r="A36" s="5695" t="s">
        <v>29</v>
      </c>
      <c r="B36" s="5696" t="s">
        <v>143</v>
      </c>
      <c r="C36" s="1597">
        <f>SUM(D36:E36)</f>
        <v>1143186</v>
      </c>
      <c r="D36" s="1597">
        <f>+'Phụ lục số 2'!F11</f>
        <v>562186</v>
      </c>
      <c r="E36" s="1597">
        <f>+'Phụ lục số 2'!G11</f>
        <v>581000</v>
      </c>
      <c r="F36" s="152">
        <f>SUM(G36:H36)</f>
        <v>1143186</v>
      </c>
      <c r="G36" s="152">
        <f>+'Phụ lục số 2'!K11</f>
        <v>562186</v>
      </c>
      <c r="H36" s="152">
        <f>+'Phụ lục số 2'!L11</f>
        <v>581000</v>
      </c>
      <c r="I36" s="152">
        <f>SUM(J36:K36)</f>
        <v>966890</v>
      </c>
      <c r="J36" s="152">
        <f>+'Phụ lục số 2'!P11</f>
        <v>376890</v>
      </c>
      <c r="K36" s="5552">
        <f>+'Phụ lục số 2'!Q11</f>
        <v>590000</v>
      </c>
      <c r="L36" s="5527">
        <f>SUM(M36:N36)</f>
        <v>1207212.043456913</v>
      </c>
      <c r="M36" s="202">
        <f>+'Phụ lục số 2'!U11</f>
        <v>617212.04345691297</v>
      </c>
      <c r="N36" s="202">
        <f>+'Phụ lục số 2'!V11</f>
        <v>590000</v>
      </c>
      <c r="O36" s="152">
        <f>SUM(P36:Q36)</f>
        <v>1338707.7565428363</v>
      </c>
      <c r="P36" s="202">
        <f>+'Phụ lục số 2'!Z11</f>
        <v>720943.77570589993</v>
      </c>
      <c r="Q36" s="5697">
        <f>+'Phụ lục số 2'!AA11</f>
        <v>617763.98083693651</v>
      </c>
      <c r="R36" s="5527">
        <f>SUM(S36:T36)</f>
        <v>1469803.42885558</v>
      </c>
      <c r="S36" s="152">
        <f>+'Phụ lục số 2'!AE11</f>
        <v>779449.60390629678</v>
      </c>
      <c r="T36" s="152">
        <f>+'Phụ lục số 2'!AF11</f>
        <v>690353.82494928327</v>
      </c>
      <c r="U36" s="152">
        <f>SUM(V36:W36)</f>
        <v>1605750.2471807504</v>
      </c>
      <c r="V36" s="202">
        <f>+'Phụ lục số 2'!AJ11</f>
        <v>872342.44003914087</v>
      </c>
      <c r="W36" s="202">
        <f>+'Phụ lục số 2'!AK11</f>
        <v>733407.80714160949</v>
      </c>
      <c r="X36" s="152">
        <f>SUM(Y36:Z36)</f>
        <v>1753899.701418004</v>
      </c>
      <c r="Y36" s="202">
        <f>+'Phụ lục số 2'!AO11</f>
        <v>924333.16742492164</v>
      </c>
      <c r="Z36" s="202">
        <f>+'Phụ lục số 2'!AP11</f>
        <v>829566.53399308224</v>
      </c>
      <c r="AF36" s="6">
        <f>+J72+J70</f>
        <v>192253.796</v>
      </c>
    </row>
    <row r="37" spans="1:32">
      <c r="A37" s="5695" t="s">
        <v>29</v>
      </c>
      <c r="B37" s="5696" t="s">
        <v>144</v>
      </c>
      <c r="C37" s="1597">
        <f t="shared" ref="C37:C42" si="82">SUM(D37:E37)</f>
        <v>1770000</v>
      </c>
      <c r="D37" s="1597">
        <f>+'Phụ lục số 2'!F12</f>
        <v>627000</v>
      </c>
      <c r="E37" s="1597">
        <f>+'Phụ lục số 2'!G12</f>
        <v>1143000</v>
      </c>
      <c r="F37" s="152">
        <f t="shared" ref="F37:F42" si="83">SUM(G37:H37)</f>
        <v>1770000</v>
      </c>
      <c r="G37" s="152">
        <f>+'Phụ lục số 2'!K12</f>
        <v>627000</v>
      </c>
      <c r="H37" s="152">
        <f>+'Phụ lục số 2'!L12</f>
        <v>1143000</v>
      </c>
      <c r="I37" s="152">
        <f t="shared" ref="I37:I42" si="84">SUM(J37:K37)</f>
        <v>1600000</v>
      </c>
      <c r="J37" s="152">
        <f>+'Phụ lục số 2'!P12</f>
        <v>506500</v>
      </c>
      <c r="K37" s="5552">
        <f>+'Phụ lục số 2'!Q12</f>
        <v>1093500</v>
      </c>
      <c r="L37" s="5527">
        <f t="shared" ref="L37:L42" si="85">SUM(M37:N37)</f>
        <v>1800000</v>
      </c>
      <c r="M37" s="202">
        <f>+'Phụ lục số 2'!U12</f>
        <v>540000</v>
      </c>
      <c r="N37" s="202">
        <f>+'Phụ lục số 2'!V12</f>
        <v>1260000</v>
      </c>
      <c r="O37" s="152">
        <f t="shared" ref="O37:O42" si="86">SUM(P37:Q37)</f>
        <v>1800000</v>
      </c>
      <c r="P37" s="202">
        <f>+'Phụ lục số 2'!Z12</f>
        <v>540000</v>
      </c>
      <c r="Q37" s="5697">
        <f>+'Phụ lục số 2'!AA12</f>
        <v>1260000</v>
      </c>
      <c r="R37" s="5527">
        <f t="shared" ref="R37:R42" si="87">SUM(S37:T37)</f>
        <v>1800000</v>
      </c>
      <c r="S37" s="152">
        <f>+'Phụ lục số 2'!AE12</f>
        <v>540000</v>
      </c>
      <c r="T37" s="152">
        <f>+'Phụ lục số 2'!AF12</f>
        <v>1260000</v>
      </c>
      <c r="U37" s="152">
        <f t="shared" ref="U37:U42" si="88">SUM(V37:W37)</f>
        <v>1950000</v>
      </c>
      <c r="V37" s="202">
        <f>+'Phụ lục số 2'!AJ12</f>
        <v>600000</v>
      </c>
      <c r="W37" s="202">
        <f>+'Phụ lục số 2'!AK12</f>
        <v>1350000</v>
      </c>
      <c r="X37" s="152">
        <f t="shared" ref="X37:X42" si="89">SUM(Y37:Z37)</f>
        <v>2100000</v>
      </c>
      <c r="Y37" s="202">
        <f>+'Phụ lục số 2'!AO12</f>
        <v>615000</v>
      </c>
      <c r="Z37" s="202">
        <f>+'Phụ lục số 2'!AP12</f>
        <v>1485000</v>
      </c>
      <c r="AF37" s="6">
        <f>+AF34-AF36</f>
        <v>-3.637978807091713E-9</v>
      </c>
    </row>
    <row r="38" spans="1:32" s="5" customFormat="1" ht="83.25" customHeight="1">
      <c r="A38" s="5655"/>
      <c r="B38" s="5699" t="s">
        <v>3141</v>
      </c>
      <c r="C38" s="5700"/>
      <c r="D38" s="5700"/>
      <c r="E38" s="5700"/>
      <c r="F38" s="263"/>
      <c r="G38" s="263"/>
      <c r="H38" s="263"/>
      <c r="I38" s="263">
        <f t="shared" si="84"/>
        <v>160000</v>
      </c>
      <c r="J38" s="263">
        <f>+'Phụ lục số 2'!P13</f>
        <v>160000</v>
      </c>
      <c r="K38" s="5775">
        <f>+'Phụ lục số 2'!Q13</f>
        <v>0</v>
      </c>
      <c r="L38" s="5703">
        <f>+M38+N38</f>
        <v>180000</v>
      </c>
      <c r="M38" s="5701">
        <f>+'Phụ lục số 2'!U13</f>
        <v>180000</v>
      </c>
      <c r="N38" s="5701">
        <f>+'Phụ lục số 2'!V13</f>
        <v>0</v>
      </c>
      <c r="O38" s="263">
        <f>+P38+Q38</f>
        <v>180000</v>
      </c>
      <c r="P38" s="5701">
        <f>+'Phụ lục số 2'!Z13</f>
        <v>180000</v>
      </c>
      <c r="Q38" s="5702">
        <f>+'Phụ lục số 2'!AA13</f>
        <v>0</v>
      </c>
      <c r="R38" s="5703">
        <f>+S38+T38</f>
        <v>180000</v>
      </c>
      <c r="S38" s="263">
        <f>+'Phụ lục số 2'!AE13</f>
        <v>180000</v>
      </c>
      <c r="T38" s="263">
        <f>+'Phụ lục số 2'!AF13</f>
        <v>0</v>
      </c>
      <c r="U38" s="263">
        <f>+V38+W38</f>
        <v>195000</v>
      </c>
      <c r="V38" s="202">
        <f>+'Phụ lục số 2'!AJ13</f>
        <v>195000</v>
      </c>
      <c r="W38" s="202">
        <f>+'Phụ lục số 2'!AK13</f>
        <v>0</v>
      </c>
      <c r="X38" s="263">
        <f>+Y38+Z38</f>
        <v>210000</v>
      </c>
      <c r="Y38" s="202">
        <f>+'Phụ lục số 2'!AO13</f>
        <v>210000</v>
      </c>
      <c r="Z38" s="202">
        <f>+'Phụ lục số 2'!AP13</f>
        <v>0</v>
      </c>
      <c r="AF38" s="5705"/>
    </row>
    <row r="39" spans="1:32">
      <c r="A39" s="5695" t="s">
        <v>29</v>
      </c>
      <c r="B39" s="5683" t="s">
        <v>145</v>
      </c>
      <c r="C39" s="1597">
        <f t="shared" si="82"/>
        <v>1950000</v>
      </c>
      <c r="D39" s="1597">
        <f>+'Phụ lục số 2'!F14</f>
        <v>1950000</v>
      </c>
      <c r="E39" s="1597">
        <f>+'Phụ lục số 2'!G14</f>
        <v>0</v>
      </c>
      <c r="F39" s="152">
        <f t="shared" si="83"/>
        <v>2150000</v>
      </c>
      <c r="G39" s="152">
        <f>+'Phụ lục số 2'!K14</f>
        <v>2150000</v>
      </c>
      <c r="H39" s="152">
        <f>+'Phụ lục số 2'!L14</f>
        <v>0</v>
      </c>
      <c r="I39" s="152">
        <f t="shared" si="84"/>
        <v>2100000</v>
      </c>
      <c r="J39" s="152">
        <f>+'Phụ lục số 2'!P14</f>
        <v>2100000</v>
      </c>
      <c r="K39" s="5552">
        <f>+'Phụ lục số 2'!Q14</f>
        <v>0</v>
      </c>
      <c r="L39" s="5527">
        <f t="shared" si="85"/>
        <v>2200000</v>
      </c>
      <c r="M39" s="202">
        <f>+'Phụ lục số 2'!U14</f>
        <v>2200000</v>
      </c>
      <c r="N39" s="202">
        <f>+'Phụ lục số 2'!V14</f>
        <v>0</v>
      </c>
      <c r="O39" s="152">
        <f t="shared" si="86"/>
        <v>2200000</v>
      </c>
      <c r="P39" s="202">
        <f>+'Phụ lục số 2'!Z14</f>
        <v>2200000</v>
      </c>
      <c r="Q39" s="5697">
        <f>+'Phụ lục số 2'!AA14</f>
        <v>0</v>
      </c>
      <c r="R39" s="5527">
        <f t="shared" si="87"/>
        <v>2300000</v>
      </c>
      <c r="S39" s="152">
        <f>+'Phụ lục số 2'!AE14</f>
        <v>2300000</v>
      </c>
      <c r="T39" s="152">
        <f>+'Phụ lục số 2'!AF14</f>
        <v>0</v>
      </c>
      <c r="U39" s="152">
        <f t="shared" si="88"/>
        <v>2450000</v>
      </c>
      <c r="V39" s="202">
        <f>+'Phụ lục số 2'!AJ14</f>
        <v>2450000</v>
      </c>
      <c r="W39" s="202">
        <f>+'Phụ lục số 2'!AK14</f>
        <v>0</v>
      </c>
      <c r="X39" s="152">
        <f t="shared" si="89"/>
        <v>3000000</v>
      </c>
      <c r="Y39" s="202">
        <f>+'Phụ lục số 2'!AO14</f>
        <v>3000000</v>
      </c>
      <c r="Z39" s="202">
        <f>+'Phụ lục số 2'!AP14</f>
        <v>0</v>
      </c>
    </row>
    <row r="40" spans="1:32" s="5" customFormat="1" ht="35.25" customHeight="1">
      <c r="A40" s="5655"/>
      <c r="B40" s="5699" t="s">
        <v>3142</v>
      </c>
      <c r="C40" s="5700"/>
      <c r="D40" s="5700"/>
      <c r="E40" s="5700"/>
      <c r="F40" s="263"/>
      <c r="G40" s="263"/>
      <c r="H40" s="263"/>
      <c r="I40" s="263">
        <f t="shared" si="84"/>
        <v>100000</v>
      </c>
      <c r="J40" s="263">
        <f>+'Phụ lục số 2'!P15</f>
        <v>100000</v>
      </c>
      <c r="K40" s="5775">
        <f>+'Phụ lục số 2'!Q15</f>
        <v>0</v>
      </c>
      <c r="L40" s="5703">
        <f>+M40+N40</f>
        <v>120000</v>
      </c>
      <c r="M40" s="5701">
        <f>+'Phụ lục số 2'!U15</f>
        <v>120000</v>
      </c>
      <c r="N40" s="5701">
        <f>+'Phụ lục số 2'!V15</f>
        <v>0</v>
      </c>
      <c r="O40" s="263">
        <f>+P40+Q40</f>
        <v>135000</v>
      </c>
      <c r="P40" s="5701">
        <f>+'Phụ lục số 2'!Z15</f>
        <v>135000</v>
      </c>
      <c r="Q40" s="5702">
        <f>+'Phụ lục số 2'!AA15</f>
        <v>0</v>
      </c>
      <c r="R40" s="5703">
        <f>+S40+T40</f>
        <v>155000</v>
      </c>
      <c r="S40" s="263">
        <f>+'Phụ lục số 2'!AE15</f>
        <v>155000</v>
      </c>
      <c r="T40" s="263">
        <f>+'Phụ lục số 2'!AF15</f>
        <v>0</v>
      </c>
      <c r="U40" s="263">
        <f>+V40+W40</f>
        <v>175000</v>
      </c>
      <c r="V40" s="5701">
        <f>+'Phụ lục số 2'!AJ15</f>
        <v>175000</v>
      </c>
      <c r="W40" s="5701">
        <f>+'Phụ lục số 2'!AK15</f>
        <v>0</v>
      </c>
      <c r="X40" s="263">
        <f>+Y40+Z40</f>
        <v>200000</v>
      </c>
      <c r="Y40" s="5701">
        <f>+'Phụ lục số 2'!AO15</f>
        <v>200000</v>
      </c>
      <c r="Z40" s="5704"/>
    </row>
    <row r="41" spans="1:32">
      <c r="A41" s="5695" t="s">
        <v>29</v>
      </c>
      <c r="B41" s="5683" t="s">
        <v>146</v>
      </c>
      <c r="C41" s="1597">
        <f t="shared" si="82"/>
        <v>408054.16200000001</v>
      </c>
      <c r="D41" s="1597">
        <f>+'Phụ lục số 2'!F16</f>
        <v>408054.16200000001</v>
      </c>
      <c r="E41" s="1597">
        <f>+'Phụ lục số 2'!G16</f>
        <v>0</v>
      </c>
      <c r="F41" s="152">
        <f t="shared" si="83"/>
        <v>408054.16200000001</v>
      </c>
      <c r="G41" s="152">
        <f>+'Phụ lục số 2'!K16</f>
        <v>408054.16200000001</v>
      </c>
      <c r="H41" s="152">
        <f>+'Phụ lục số 2'!L16</f>
        <v>0</v>
      </c>
      <c r="I41" s="152">
        <f t="shared" si="84"/>
        <v>0</v>
      </c>
      <c r="J41" s="152">
        <f>+'Phụ lục số 2'!P16</f>
        <v>0</v>
      </c>
      <c r="K41" s="5552">
        <f>+'Phụ lục số 2'!Q16</f>
        <v>0</v>
      </c>
      <c r="L41" s="5527">
        <f t="shared" si="85"/>
        <v>0</v>
      </c>
      <c r="M41" s="202">
        <f>+'Phụ lục số 2'!U16</f>
        <v>0</v>
      </c>
      <c r="N41" s="202">
        <f>+'Phụ lục số 2'!V16</f>
        <v>0</v>
      </c>
      <c r="O41" s="152">
        <f t="shared" si="86"/>
        <v>0</v>
      </c>
      <c r="P41" s="202">
        <f>+'Phụ lục số 2'!Z16</f>
        <v>0</v>
      </c>
      <c r="Q41" s="5697">
        <f>+'Phụ lục số 2'!AA16</f>
        <v>0</v>
      </c>
      <c r="R41" s="5527">
        <f t="shared" si="87"/>
        <v>0</v>
      </c>
      <c r="S41" s="152">
        <f>+'Phụ lục số 2'!AE16</f>
        <v>0</v>
      </c>
      <c r="T41" s="152">
        <f>+'Phụ lục số 2'!AF16</f>
        <v>0</v>
      </c>
      <c r="U41" s="152">
        <f t="shared" si="88"/>
        <v>0</v>
      </c>
      <c r="V41" s="202">
        <f>+'Phụ lục số 2'!AJ16</f>
        <v>0</v>
      </c>
      <c r="W41" s="202">
        <f>'Phụ lục số II'!AK15</f>
        <v>0</v>
      </c>
      <c r="X41" s="152">
        <f t="shared" si="89"/>
        <v>0</v>
      </c>
      <c r="Y41" s="202">
        <f>+'Phụ lục số 2'!AO16</f>
        <v>0</v>
      </c>
      <c r="Z41" s="5698">
        <f>'Phụ lục số II'!AP15</f>
        <v>0</v>
      </c>
    </row>
    <row r="42" spans="1:32">
      <c r="A42" s="5706" t="s">
        <v>29</v>
      </c>
      <c r="B42" s="152" t="s">
        <v>321</v>
      </c>
      <c r="C42" s="1597">
        <f t="shared" si="82"/>
        <v>60000</v>
      </c>
      <c r="D42" s="1597">
        <f>SUM(D43:D46)</f>
        <v>60000</v>
      </c>
      <c r="E42" s="1597">
        <f>SUM(E43:E46)</f>
        <v>0</v>
      </c>
      <c r="F42" s="152">
        <f t="shared" si="83"/>
        <v>60000</v>
      </c>
      <c r="G42" s="152">
        <f>SUM(G43:G46)</f>
        <v>60000</v>
      </c>
      <c r="H42" s="152">
        <f t="shared" ref="H42" si="90">SUM(H43:H46)</f>
        <v>0</v>
      </c>
      <c r="I42" s="152">
        <f t="shared" si="84"/>
        <v>0</v>
      </c>
      <c r="J42" s="152">
        <f>SUM(J43:J46)</f>
        <v>0</v>
      </c>
      <c r="K42" s="5552">
        <f t="shared" ref="K42" si="91">SUM(K43:K46)</f>
        <v>0</v>
      </c>
      <c r="L42" s="5527">
        <f t="shared" si="85"/>
        <v>0</v>
      </c>
      <c r="M42" s="202">
        <f>+'Phụ lục số 2'!U17</f>
        <v>0</v>
      </c>
      <c r="N42" s="202">
        <f>+'Phụ lục số 2'!V17</f>
        <v>0</v>
      </c>
      <c r="O42" s="152">
        <f t="shared" si="86"/>
        <v>0</v>
      </c>
      <c r="P42" s="202">
        <f>+'Phụ lục số 2'!Z17</f>
        <v>0</v>
      </c>
      <c r="Q42" s="5697">
        <f>+'Phụ lục số 2'!AA17</f>
        <v>0</v>
      </c>
      <c r="R42" s="5527">
        <f t="shared" si="87"/>
        <v>0</v>
      </c>
      <c r="S42" s="152">
        <f>+'Phụ lục số 2'!AE17</f>
        <v>0</v>
      </c>
      <c r="T42" s="152">
        <f>+'Phụ lục số 2'!AF17</f>
        <v>0</v>
      </c>
      <c r="U42" s="152">
        <f t="shared" si="88"/>
        <v>0</v>
      </c>
      <c r="V42" s="202">
        <f>+'Phụ lục số 2'!AJ17</f>
        <v>0</v>
      </c>
      <c r="W42" s="202">
        <f>'Phụ lục số II'!AK16</f>
        <v>0</v>
      </c>
      <c r="X42" s="152">
        <f t="shared" si="89"/>
        <v>0</v>
      </c>
      <c r="Y42" s="202">
        <f>+'Phụ lục số 2'!AO17</f>
        <v>0</v>
      </c>
      <c r="Z42" s="5698">
        <f>'Phụ lục số II'!AP16</f>
        <v>0</v>
      </c>
    </row>
    <row r="43" spans="1:32" ht="31.2">
      <c r="A43" s="2782" t="s">
        <v>3126</v>
      </c>
      <c r="B43" s="5699" t="s">
        <v>3142</v>
      </c>
      <c r="C43" s="1597">
        <f>SUM(D43:E43)</f>
        <v>60000</v>
      </c>
      <c r="D43" s="1597">
        <f>+'Phụ lục số 2'!F18</f>
        <v>60000</v>
      </c>
      <c r="E43" s="1597">
        <f>+'Phụ lục số 2'!G18</f>
        <v>0</v>
      </c>
      <c r="F43" s="152">
        <f>SUM(G43:H43)</f>
        <v>60000</v>
      </c>
      <c r="G43" s="152">
        <f>+'Phụ lục số 2'!K18</f>
        <v>60000</v>
      </c>
      <c r="H43" s="152">
        <f>+'Phụ lục số 2'!L18</f>
        <v>0</v>
      </c>
      <c r="I43" s="152">
        <f>SUM(J43:K43)</f>
        <v>0</v>
      </c>
      <c r="J43" s="152">
        <f>+'Phụ lục số 2'!P18</f>
        <v>0</v>
      </c>
      <c r="K43" s="5552">
        <f>+'Phụ lục số 2'!Q18</f>
        <v>0</v>
      </c>
      <c r="L43" s="5527"/>
      <c r="M43" s="202"/>
      <c r="N43" s="202"/>
      <c r="O43" s="152"/>
      <c r="P43" s="202"/>
      <c r="Q43" s="5697"/>
      <c r="R43" s="5527"/>
      <c r="S43" s="152"/>
      <c r="T43" s="152"/>
      <c r="U43" s="152"/>
      <c r="V43" s="202"/>
      <c r="W43" s="202"/>
      <c r="X43" s="152"/>
      <c r="Y43" s="202"/>
      <c r="Z43" s="5698"/>
    </row>
    <row r="44" spans="1:32" ht="78" hidden="1">
      <c r="A44" s="2782" t="s">
        <v>3127</v>
      </c>
      <c r="B44" s="5707" t="s">
        <v>3141</v>
      </c>
      <c r="C44" s="1597">
        <f t="shared" ref="C44:C46" si="92">SUM(D44:E44)</f>
        <v>0</v>
      </c>
      <c r="D44" s="1597"/>
      <c r="E44" s="1597"/>
      <c r="F44" s="152">
        <f t="shared" ref="F44:F46" si="93">SUM(G44:H44)</f>
        <v>0</v>
      </c>
      <c r="G44" s="152"/>
      <c r="H44" s="152"/>
      <c r="I44" s="152">
        <f t="shared" ref="I44:I46" si="94">SUM(J44:K44)</f>
        <v>0</v>
      </c>
      <c r="J44" s="152">
        <f>+'Phụ lục số 2'!P19</f>
        <v>0</v>
      </c>
      <c r="K44" s="5552"/>
      <c r="L44" s="5527"/>
      <c r="M44" s="202"/>
      <c r="N44" s="202"/>
      <c r="O44" s="152"/>
      <c r="P44" s="202"/>
      <c r="Q44" s="5697"/>
      <c r="R44" s="5527"/>
      <c r="S44" s="152"/>
      <c r="T44" s="152"/>
      <c r="U44" s="152"/>
      <c r="V44" s="202"/>
      <c r="W44" s="202"/>
      <c r="X44" s="152"/>
      <c r="Y44" s="202"/>
      <c r="Z44" s="5698"/>
    </row>
    <row r="45" spans="1:32" hidden="1">
      <c r="A45" s="2782" t="s">
        <v>3143</v>
      </c>
      <c r="B45" s="5707"/>
      <c r="C45" s="1597">
        <f t="shared" si="92"/>
        <v>0</v>
      </c>
      <c r="D45" s="1597"/>
      <c r="E45" s="1597"/>
      <c r="F45" s="152">
        <f t="shared" si="93"/>
        <v>0</v>
      </c>
      <c r="G45" s="152"/>
      <c r="H45" s="152"/>
      <c r="I45" s="152">
        <f t="shared" si="94"/>
        <v>0</v>
      </c>
      <c r="J45" s="152"/>
      <c r="K45" s="5552"/>
      <c r="L45" s="5527"/>
      <c r="M45" s="202"/>
      <c r="N45" s="202"/>
      <c r="O45" s="152"/>
      <c r="P45" s="202"/>
      <c r="Q45" s="5697"/>
      <c r="R45" s="5527"/>
      <c r="S45" s="152"/>
      <c r="T45" s="152"/>
      <c r="U45" s="152"/>
      <c r="V45" s="202"/>
      <c r="W45" s="202"/>
      <c r="X45" s="152"/>
      <c r="Y45" s="202"/>
      <c r="Z45" s="5698"/>
    </row>
    <row r="46" spans="1:32" hidden="1">
      <c r="A46" s="2782"/>
      <c r="B46" s="5707"/>
      <c r="C46" s="1597">
        <f t="shared" si="92"/>
        <v>0</v>
      </c>
      <c r="D46" s="1597"/>
      <c r="E46" s="1597"/>
      <c r="F46" s="152">
        <f t="shared" si="93"/>
        <v>0</v>
      </c>
      <c r="G46" s="152"/>
      <c r="H46" s="152"/>
      <c r="I46" s="152">
        <f t="shared" si="94"/>
        <v>0</v>
      </c>
      <c r="J46" s="152"/>
      <c r="K46" s="5552"/>
      <c r="L46" s="5527"/>
      <c r="M46" s="202"/>
      <c r="N46" s="202"/>
      <c r="O46" s="152"/>
      <c r="P46" s="202"/>
      <c r="Q46" s="5697"/>
      <c r="R46" s="5527"/>
      <c r="S46" s="152"/>
      <c r="T46" s="152"/>
      <c r="U46" s="152"/>
      <c r="V46" s="202"/>
      <c r="W46" s="202"/>
      <c r="X46" s="152"/>
      <c r="Y46" s="202"/>
      <c r="Z46" s="5698"/>
    </row>
    <row r="47" spans="1:32">
      <c r="A47" s="5648">
        <v>2</v>
      </c>
      <c r="B47" s="5649" t="s">
        <v>209</v>
      </c>
      <c r="C47" s="1591">
        <f>SUM(D47:E47)</f>
        <v>10664978.794711081</v>
      </c>
      <c r="D47" s="5708">
        <f>+'Phụ lục số 2'!F22</f>
        <v>3294440.4</v>
      </c>
      <c r="E47" s="5708">
        <f>+'Phụ lục số 2'!G22</f>
        <v>7370538.3947110809</v>
      </c>
      <c r="F47" s="1591">
        <f>SUM(G47:H47)</f>
        <v>11721214.294711081</v>
      </c>
      <c r="G47" s="147">
        <f>+'Phụ lục số 2'!K22</f>
        <v>3526114.9</v>
      </c>
      <c r="H47" s="147">
        <f>+'Phụ lục số 2'!L22</f>
        <v>8195099.3947110809</v>
      </c>
      <c r="I47" s="147">
        <f>SUM(J47:K47)</f>
        <v>12761657.450000003</v>
      </c>
      <c r="J47" s="147">
        <f>+'Phụ lục số 2'!P22</f>
        <v>3680232.0929999999</v>
      </c>
      <c r="K47" s="5674">
        <f>+'Phụ lục số 2'!Q22</f>
        <v>9081425.3570000026</v>
      </c>
      <c r="L47" s="3786">
        <f>SUM(M47:N47)</f>
        <v>13049829.156114887</v>
      </c>
      <c r="M47" s="185">
        <f>+'Phụ lục số 2'!U22</f>
        <v>3820034.4829255408</v>
      </c>
      <c r="N47" s="185">
        <f>+'Phụ lục số 2'!V22</f>
        <v>9229794.6731893476</v>
      </c>
      <c r="O47" s="867">
        <f>SUM(P47:Q47)</f>
        <v>13492052.394947084</v>
      </c>
      <c r="P47" s="867">
        <f>+'Phụ lục số 2'!Z22</f>
        <v>3974345.9902827819</v>
      </c>
      <c r="Q47" s="5709">
        <f>+'Phụ lục số 2'!AA22</f>
        <v>9517706.4046643022</v>
      </c>
      <c r="R47" s="5522">
        <f>SUM(S47:T47)</f>
        <v>13721920.162862469</v>
      </c>
      <c r="S47" s="147">
        <f>+'Phụ lục số 2'!AE22</f>
        <v>4153662.954310691</v>
      </c>
      <c r="T47" s="147">
        <f>+'Phụ lục số 2'!AF22</f>
        <v>9568257.2085517775</v>
      </c>
      <c r="U47" s="866">
        <f>SUM(V47:W47)</f>
        <v>14216640.331339022</v>
      </c>
      <c r="V47" s="866">
        <f>+'Phụ lục số 2'!AJ22</f>
        <v>4262140.9158314839</v>
      </c>
      <c r="W47" s="866">
        <f>+'Phụ lục số 2'!AK22</f>
        <v>9954499.4155075382</v>
      </c>
      <c r="X47" s="866">
        <f>SUM(Y47:Z47)</f>
        <v>14891096.561414696</v>
      </c>
      <c r="Y47" s="866">
        <f>+'Phụ lục số 2'!AO22</f>
        <v>4509148.285964502</v>
      </c>
      <c r="Z47" s="866">
        <f>+'Phụ lục số 2'!AP22</f>
        <v>10381948.275450194</v>
      </c>
    </row>
    <row r="48" spans="1:32">
      <c r="A48" s="5648"/>
      <c r="B48" s="5649" t="s">
        <v>234</v>
      </c>
      <c r="C48" s="5711"/>
      <c r="D48" s="5711"/>
      <c r="E48" s="5711"/>
      <c r="F48" s="152"/>
      <c r="G48" s="152"/>
      <c r="H48" s="152"/>
      <c r="I48" s="152"/>
      <c r="J48" s="152"/>
      <c r="K48" s="5552"/>
      <c r="L48" s="3798"/>
      <c r="M48" s="779"/>
      <c r="N48" s="779"/>
      <c r="O48" s="1328">
        <f t="shared" ref="O48:O50" si="95">SUM(P48:Q48)</f>
        <v>0</v>
      </c>
      <c r="P48" s="1398"/>
      <c r="Q48" s="5712"/>
      <c r="R48" s="5527"/>
      <c r="S48" s="152"/>
      <c r="T48" s="152"/>
      <c r="U48" s="203"/>
      <c r="V48" s="203"/>
      <c r="W48" s="203"/>
      <c r="X48" s="202"/>
      <c r="Y48" s="202"/>
      <c r="Z48" s="5698"/>
    </row>
    <row r="49" spans="1:26">
      <c r="A49" s="5695" t="s">
        <v>29</v>
      </c>
      <c r="B49" s="5696" t="s">
        <v>239</v>
      </c>
      <c r="C49" s="5713">
        <f>SUM(D49:E49)</f>
        <v>4797945.7831797441</v>
      </c>
      <c r="D49" s="5713">
        <f>+'Phụ lục số 2'!F23</f>
        <v>956676</v>
      </c>
      <c r="E49" s="5713">
        <f>+'Phụ lục số 2'!G23</f>
        <v>3841269.7831797441</v>
      </c>
      <c r="F49" s="1597">
        <f t="shared" ref="F49:F50" si="96">SUM(G49:H49)</f>
        <v>5490754.7831797441</v>
      </c>
      <c r="G49" s="152">
        <f>+'Phụ lục số 2'!K23</f>
        <v>1049198</v>
      </c>
      <c r="H49" s="152">
        <f>+'Phụ lục số 2'!L23</f>
        <v>4441556.7831797441</v>
      </c>
      <c r="I49" s="152">
        <f>SUM(J49:K49)</f>
        <v>5859513.0000000009</v>
      </c>
      <c r="J49" s="152">
        <f>+'Phụ lục số 2'!P23</f>
        <v>1106650</v>
      </c>
      <c r="K49" s="5552">
        <f>+'Phụ lục số 2'!Q23</f>
        <v>4752863.0000000009</v>
      </c>
      <c r="L49" s="3798">
        <f>SUM(M49:N49)</f>
        <v>5918101.9564761929</v>
      </c>
      <c r="M49" s="779">
        <f>+'Phụ lục số 2'!U23</f>
        <v>1139028.3534760615</v>
      </c>
      <c r="N49" s="779">
        <f>+'Phụ lục số 2'!V23</f>
        <v>4779073.6030001314</v>
      </c>
      <c r="O49" s="1328">
        <f t="shared" si="95"/>
        <v>6106259.8643117491</v>
      </c>
      <c r="P49" s="1328">
        <f>+'Phụ lục số 2'!Z23</f>
        <v>1183093.2973419931</v>
      </c>
      <c r="Q49" s="5714">
        <f>+'Phụ lục số 2'!AA23</f>
        <v>4923166.566969756</v>
      </c>
      <c r="R49" s="5527">
        <f>SUM(S49:T49)</f>
        <v>6132015.7421813607</v>
      </c>
      <c r="S49" s="152">
        <f>+'Phụ lục số 2'!AE23</f>
        <v>1186081.5281745123</v>
      </c>
      <c r="T49" s="152">
        <f>+'Phụ lục số 2'!AF23</f>
        <v>4945934.2140068486</v>
      </c>
      <c r="U49" s="203">
        <f>SUM(V49:W49)</f>
        <v>6390054.9058074541</v>
      </c>
      <c r="V49" s="202">
        <f>+'Phụ lục số 2'!AJ23</f>
        <v>1236255.4563838919</v>
      </c>
      <c r="W49" s="202">
        <f>+'Phụ lục số 2'!AK23</f>
        <v>5153799.4494235618</v>
      </c>
      <c r="X49" s="202">
        <f>SUM(Y49:Z49)</f>
        <v>6689497.9054574352</v>
      </c>
      <c r="Y49" s="202">
        <f>+'Phụ lục số 2'!AO23</f>
        <v>1314392.9330663113</v>
      </c>
      <c r="Z49" s="202">
        <f>+'Phụ lục số 2'!AP23</f>
        <v>5375104.9723911239</v>
      </c>
    </row>
    <row r="50" spans="1:26">
      <c r="A50" s="5695" t="s">
        <v>29</v>
      </c>
      <c r="B50" s="5715" t="s">
        <v>241</v>
      </c>
      <c r="C50" s="5713">
        <f t="shared" ref="C50:C51" si="97">SUM(D50:E50)</f>
        <v>31218</v>
      </c>
      <c r="D50" s="5713">
        <f>+'Phụ lục số 2'!F24</f>
        <v>31218</v>
      </c>
      <c r="E50" s="5713">
        <f>+'Phụ lục số 2'!G24</f>
        <v>0</v>
      </c>
      <c r="F50" s="1597">
        <f t="shared" si="96"/>
        <v>30790</v>
      </c>
      <c r="G50" s="152">
        <f>+'Phụ lục số 2'!K24</f>
        <v>30790</v>
      </c>
      <c r="H50" s="152">
        <f>+'Phụ lục số 2'!L24</f>
        <v>0</v>
      </c>
      <c r="I50" s="152">
        <f>SUM(J50:K50)</f>
        <v>31307</v>
      </c>
      <c r="J50" s="152">
        <f>+'Phụ lục số 2'!P24</f>
        <v>31307</v>
      </c>
      <c r="K50" s="5552">
        <f>+'Phụ lục số 2'!Q24</f>
        <v>0</v>
      </c>
      <c r="L50" s="3798">
        <f>SUM(M50:N50)</f>
        <v>32222.979860186198</v>
      </c>
      <c r="M50" s="779">
        <f>+'Phụ lục số 2'!U24</f>
        <v>32222.979860186198</v>
      </c>
      <c r="N50" s="779">
        <f>+'Phụ lục số 2'!V24</f>
        <v>0</v>
      </c>
      <c r="O50" s="1328">
        <f t="shared" si="95"/>
        <v>33469.572005499278</v>
      </c>
      <c r="P50" s="1328">
        <f>+'Phụ lục số 2'!Z24</f>
        <v>33469.572005499278</v>
      </c>
      <c r="Q50" s="5714">
        <f>'Phụ lục số II'!AA19</f>
        <v>0</v>
      </c>
      <c r="R50" s="5527">
        <f>SUM(S50:T50)</f>
        <v>33469.23905711784</v>
      </c>
      <c r="S50" s="152">
        <f>+'Phụ lục số 2'!AE24</f>
        <v>33469.23905711784</v>
      </c>
      <c r="T50" s="152"/>
      <c r="U50" s="203">
        <f t="shared" ref="U50:U51" si="98">SUM(V50:W50)</f>
        <v>34126.808757382008</v>
      </c>
      <c r="V50" s="202">
        <f>+'Phụ lục số 2'!AJ24</f>
        <v>34126.808757382008</v>
      </c>
      <c r="W50" s="202">
        <f>'Phụ lục số II'!AK19</f>
        <v>0</v>
      </c>
      <c r="X50" s="202">
        <f t="shared" ref="X50:X51" si="99">SUM(Y50:Z50)</f>
        <v>34903.54327507221</v>
      </c>
      <c r="Y50" s="202">
        <f>+'Phụ lục số 2'!AO24</f>
        <v>34903.54327507221</v>
      </c>
      <c r="Z50" s="5698"/>
    </row>
    <row r="51" spans="1:26">
      <c r="A51" s="5695" t="s">
        <v>29</v>
      </c>
      <c r="B51" s="5696" t="s">
        <v>240</v>
      </c>
      <c r="C51" s="5713">
        <f t="shared" si="97"/>
        <v>5835815.0115313362</v>
      </c>
      <c r="D51" s="5713">
        <f>D47-D49-D50</f>
        <v>2306546.4</v>
      </c>
      <c r="E51" s="5713">
        <f t="shared" ref="E51" si="100">E47-E49-E50</f>
        <v>3529268.6115313368</v>
      </c>
      <c r="F51" s="1597">
        <f>SUM(G51:H51)</f>
        <v>6199669.5115313362</v>
      </c>
      <c r="G51" s="1597">
        <f>G47-G49-G50</f>
        <v>2446126.9</v>
      </c>
      <c r="H51" s="1597">
        <f t="shared" ref="H51" si="101">H47-H49-H50</f>
        <v>3753542.6115313368</v>
      </c>
      <c r="I51" s="152">
        <f t="shared" ref="I51" si="102">SUM(J51:K51)</f>
        <v>6870837.4500000011</v>
      </c>
      <c r="J51" s="152">
        <f>J47-J49-J50</f>
        <v>2542275.0929999999</v>
      </c>
      <c r="K51" s="5552">
        <f t="shared" ref="K51" si="103">K47-K49-K50</f>
        <v>4328562.3570000017</v>
      </c>
      <c r="L51" s="5770">
        <f t="shared" ref="L51" si="104">SUM(M51:N51)</f>
        <v>7099504.2197785098</v>
      </c>
      <c r="M51" s="5716">
        <f>M47-M49-M50</f>
        <v>2648783.1495892932</v>
      </c>
      <c r="N51" s="5716">
        <f t="shared" ref="N51" si="105">N47-N49-N50</f>
        <v>4450721.0701892162</v>
      </c>
      <c r="O51" s="5716">
        <f t="shared" ref="O51" si="106">SUM(P51:Q51)</f>
        <v>7352322.9586298354</v>
      </c>
      <c r="P51" s="5716">
        <f>P47-P49-P50</f>
        <v>2757783.1209352897</v>
      </c>
      <c r="Q51" s="5717">
        <f>Q47-Q49-Q50</f>
        <v>4594539.8376945462</v>
      </c>
      <c r="R51" s="5718">
        <f t="shared" ref="R51" si="107">SUM(S51:T51)</f>
        <v>7556435.1816239897</v>
      </c>
      <c r="S51" s="1597">
        <f>S47-S49-S50</f>
        <v>2934112.1870790608</v>
      </c>
      <c r="T51" s="1597">
        <f>T47-T49-T50</f>
        <v>4622322.9945449289</v>
      </c>
      <c r="U51" s="203">
        <f t="shared" si="98"/>
        <v>7792458.6167741865</v>
      </c>
      <c r="V51" s="1597">
        <f>V47-V49-V50</f>
        <v>2991758.6506902101</v>
      </c>
      <c r="W51" s="1597">
        <f>W47-W49-W50</f>
        <v>4800699.9660839764</v>
      </c>
      <c r="X51" s="202">
        <f t="shared" si="99"/>
        <v>8166695.1126821889</v>
      </c>
      <c r="Y51" s="5719">
        <f>Y47-Y49-Y50</f>
        <v>3159851.8096231185</v>
      </c>
      <c r="Z51" s="5719">
        <f>Z47-Z49-Z50</f>
        <v>5006843.3030590704</v>
      </c>
    </row>
    <row r="52" spans="1:26" s="4" customFormat="1">
      <c r="A52" s="5720">
        <v>3</v>
      </c>
      <c r="B52" s="5721" t="s">
        <v>210</v>
      </c>
      <c r="C52" s="5722"/>
      <c r="D52" s="5722"/>
      <c r="E52" s="5722"/>
      <c r="F52" s="152"/>
      <c r="G52" s="152"/>
      <c r="H52" s="152"/>
      <c r="I52" s="152"/>
      <c r="J52" s="152"/>
      <c r="K52" s="5552"/>
      <c r="L52" s="5771"/>
      <c r="M52" s="1398"/>
      <c r="N52" s="1398"/>
      <c r="O52" s="203"/>
      <c r="P52" s="203"/>
      <c r="Q52" s="5723"/>
      <c r="R52" s="822"/>
      <c r="S52" s="203"/>
      <c r="T52" s="203"/>
      <c r="U52" s="203"/>
      <c r="V52" s="203"/>
      <c r="W52" s="203"/>
      <c r="X52" s="202"/>
      <c r="Y52" s="202"/>
      <c r="Z52" s="5698"/>
    </row>
    <row r="53" spans="1:26" s="4" customFormat="1">
      <c r="A53" s="5720">
        <v>4</v>
      </c>
      <c r="B53" s="5721" t="s">
        <v>176</v>
      </c>
      <c r="C53" s="5724">
        <f>SUM(D53:E53)</f>
        <v>717399.2</v>
      </c>
      <c r="D53" s="5724">
        <f>'Phụ lục số II'!F34</f>
        <v>79139.200000000012</v>
      </c>
      <c r="E53" s="5724">
        <f>'Phụ lục số II'!G34</f>
        <v>638260</v>
      </c>
      <c r="F53" s="147">
        <f>SUM(G53:H53)</f>
        <v>0.40000000001455194</v>
      </c>
      <c r="G53" s="147">
        <f>+'Phụ lục số 2'!K39</f>
        <v>0.40000000001455194</v>
      </c>
      <c r="H53" s="147">
        <f>+'Phụ lục số 2'!L39</f>
        <v>0</v>
      </c>
      <c r="I53" s="185">
        <f>SUM(J53:K53)</f>
        <v>519900</v>
      </c>
      <c r="J53" s="185">
        <f>+'Phụ lục số 2'!P39</f>
        <v>0</v>
      </c>
      <c r="K53" s="5666">
        <f>+'Phụ lục số 2'!Q39</f>
        <v>519900</v>
      </c>
      <c r="L53" s="3786">
        <f>SUM(M53:N53)</f>
        <v>626117.15251171635</v>
      </c>
      <c r="M53" s="867">
        <f>+'Phụ lục số 2'!U39</f>
        <v>202308.50969414107</v>
      </c>
      <c r="N53" s="867">
        <f>+'Phụ lục số 2'!V39</f>
        <v>423808.64281757525</v>
      </c>
      <c r="O53" s="867">
        <f>SUM(P53:Q53)</f>
        <v>789623.5261911191</v>
      </c>
      <c r="P53" s="867">
        <f>+'Phụ lục số 2'!Z39</f>
        <v>394092.17037477036</v>
      </c>
      <c r="Q53" s="867">
        <f>+'Phụ lục số 2'!AA39</f>
        <v>395531.35581634869</v>
      </c>
      <c r="R53" s="5522">
        <f>SUM(S53:T53)</f>
        <v>1134327.0610566589</v>
      </c>
      <c r="S53" s="147">
        <f>+'Phụ lục số 2'!AE39</f>
        <v>403102.79576516763</v>
      </c>
      <c r="T53" s="147">
        <f>+'Phụ lục số 2'!AF39</f>
        <v>731224.26529149117</v>
      </c>
      <c r="U53" s="5725">
        <f>SUM(V53:W53)</f>
        <v>1555493.1441400896</v>
      </c>
      <c r="V53" s="866">
        <f>+'Phụ lục số 2'!AJ39</f>
        <v>595525.54997767729</v>
      </c>
      <c r="W53" s="866">
        <f>+'Phụ lục số 2'!AK39</f>
        <v>959967.59416241234</v>
      </c>
      <c r="X53" s="866">
        <f>SUM(Y53:Z53)</f>
        <v>2043333.7922617737</v>
      </c>
      <c r="Y53" s="866">
        <f>+'Phụ lục số 2'!AO39</f>
        <v>800502.38405669678</v>
      </c>
      <c r="Z53" s="866">
        <f>+'Phụ lục số 2'!AP39</f>
        <v>1242831.4082050768</v>
      </c>
    </row>
    <row r="54" spans="1:26" s="4" customFormat="1">
      <c r="A54" s="5720">
        <v>5</v>
      </c>
      <c r="B54" s="5726" t="s">
        <v>212</v>
      </c>
      <c r="C54" s="5724">
        <f t="shared" ref="C54:C57" si="108">SUM(D54:E54)</f>
        <v>0</v>
      </c>
      <c r="D54" s="5722"/>
      <c r="E54" s="5722"/>
      <c r="F54" s="147">
        <f t="shared" ref="F54:F57" si="109">SUM(G54:H54)</f>
        <v>0</v>
      </c>
      <c r="G54" s="147"/>
      <c r="H54" s="147"/>
      <c r="I54" s="779"/>
      <c r="J54" s="779"/>
      <c r="K54" s="5777"/>
      <c r="L54" s="5771"/>
      <c r="M54" s="1398"/>
      <c r="N54" s="1398"/>
      <c r="O54" s="1398"/>
      <c r="P54" s="1398"/>
      <c r="Q54" s="5712"/>
      <c r="R54" s="822"/>
      <c r="S54" s="203"/>
      <c r="T54" s="203"/>
      <c r="U54" s="203"/>
      <c r="V54" s="203"/>
      <c r="W54" s="203"/>
      <c r="X54" s="202"/>
      <c r="Y54" s="202"/>
      <c r="Z54" s="5698"/>
    </row>
    <row r="55" spans="1:26" s="4" customFormat="1">
      <c r="A55" s="5720">
        <v>6</v>
      </c>
      <c r="B55" s="5727" t="s">
        <v>174</v>
      </c>
      <c r="C55" s="5724">
        <f t="shared" si="108"/>
        <v>2000</v>
      </c>
      <c r="D55" s="5724">
        <f>+'Phụ lục số 2'!F37</f>
        <v>2000</v>
      </c>
      <c r="E55" s="5724">
        <f>+'Phụ lục số 2'!G37</f>
        <v>0</v>
      </c>
      <c r="F55" s="147">
        <f t="shared" si="109"/>
        <v>2000</v>
      </c>
      <c r="G55" s="147">
        <f>+'Phụ lục số 2'!K37</f>
        <v>2000</v>
      </c>
      <c r="H55" s="147">
        <f>+'Phụ lục số 2'!L37</f>
        <v>0</v>
      </c>
      <c r="I55" s="147">
        <f>SUM(J55:K55)</f>
        <v>2000</v>
      </c>
      <c r="J55" s="147">
        <f>+'Phụ lục số 2'!P37</f>
        <v>2000</v>
      </c>
      <c r="K55" s="5674">
        <f>+'Phụ lục số 2'!Q37</f>
        <v>0</v>
      </c>
      <c r="L55" s="5522">
        <f>SUM(M55:N55)</f>
        <v>2000</v>
      </c>
      <c r="M55" s="867">
        <f>+'Phụ lục số 2'!U37</f>
        <v>2000</v>
      </c>
      <c r="N55" s="867">
        <f>+'Phụ lục số 2'!V37</f>
        <v>0</v>
      </c>
      <c r="O55" s="866">
        <f>SUM(P55:Q55)</f>
        <v>2000</v>
      </c>
      <c r="P55" s="867">
        <f>+'Phụ lục số 2'!Z37</f>
        <v>2000</v>
      </c>
      <c r="Q55" s="867">
        <f>+'Phụ lục số 2'!AA37</f>
        <v>0</v>
      </c>
      <c r="R55" s="5728">
        <f>SUM(S55:T55)</f>
        <v>2000</v>
      </c>
      <c r="S55" s="866">
        <f>+'Phụ lục số 2'!AE37</f>
        <v>2000</v>
      </c>
      <c r="T55" s="5725"/>
      <c r="U55" s="866">
        <f>SUM(V55:W55)</f>
        <v>2000</v>
      </c>
      <c r="V55" s="866">
        <f>+'Phụ lục số 2'!AJ37</f>
        <v>2000</v>
      </c>
      <c r="W55" s="5725"/>
      <c r="X55" s="866">
        <f>SUM(Y55:Z55)</f>
        <v>2000</v>
      </c>
      <c r="Y55" s="866">
        <f>+'Phụ lục số 2'!AO37</f>
        <v>2000</v>
      </c>
      <c r="Z55" s="5710"/>
    </row>
    <row r="56" spans="1:26" s="4" customFormat="1">
      <c r="A56" s="5729">
        <v>7</v>
      </c>
      <c r="B56" s="5727" t="s">
        <v>175</v>
      </c>
      <c r="C56" s="5724">
        <f t="shared" si="108"/>
        <v>327868.79999999999</v>
      </c>
      <c r="D56" s="5724">
        <f>+'Phụ lục số 2'!F38</f>
        <v>152264.29999999999</v>
      </c>
      <c r="E56" s="5724">
        <f>+'Phụ lục số 2'!G38</f>
        <v>175604.5</v>
      </c>
      <c r="F56" s="147">
        <f t="shared" si="109"/>
        <v>327868.79999999999</v>
      </c>
      <c r="G56" s="147">
        <f>+'Phụ lục số 2'!K38</f>
        <v>152264.29999999999</v>
      </c>
      <c r="H56" s="147">
        <f>+'Phụ lục số 2'!L38</f>
        <v>175604.5</v>
      </c>
      <c r="I56" s="147">
        <f t="shared" ref="I56:I57" si="110">SUM(J56:K56)</f>
        <v>376400.94999999995</v>
      </c>
      <c r="J56" s="147">
        <f>+'Phụ lục số 2'!P38</f>
        <v>163959.4</v>
      </c>
      <c r="K56" s="5674">
        <f>+'Phụ lục số 2'!Q38</f>
        <v>212441.54999999996</v>
      </c>
      <c r="L56" s="5522">
        <f t="shared" ref="L56:L57" si="111">SUM(M56:N56)</f>
        <v>382369.62325673946</v>
      </c>
      <c r="M56" s="867">
        <f>+'Phụ lục số 2'!U38</f>
        <v>168756.52231412186</v>
      </c>
      <c r="N56" s="867">
        <f>+'Phụ lục số 2'!V38</f>
        <v>213613.1009426176</v>
      </c>
      <c r="O56" s="866">
        <f t="shared" ref="O56:O57" si="112">SUM(P56:Q56)</f>
        <v>395338.82020193478</v>
      </c>
      <c r="P56" s="867">
        <f>+'Phụ lục số 2'!Z38</f>
        <v>175285.11017594975</v>
      </c>
      <c r="Q56" s="867">
        <f>+'Phụ lục số 2'!AA38</f>
        <v>220053.71002598506</v>
      </c>
      <c r="R56" s="5728">
        <f t="shared" ref="R56:R57" si="113">SUM(S56:T56)</f>
        <v>432326.69088304962</v>
      </c>
      <c r="S56" s="866">
        <f>+'Phụ lục số 2'!AE38</f>
        <v>185283.36647591938</v>
      </c>
      <c r="T56" s="866">
        <f>+'Phụ lục số 2'!AF38</f>
        <v>247043.32440713025</v>
      </c>
      <c r="U56" s="866">
        <f t="shared" ref="U56:U57" si="114">SUM(V56:W56)</f>
        <v>470500.43426127417</v>
      </c>
      <c r="V56" s="866">
        <f>+'Phụ lục số 2'!AJ38</f>
        <v>198923.6263440802</v>
      </c>
      <c r="W56" s="866">
        <f>+'Phụ lục số 2'!AK38</f>
        <v>271576.80791719398</v>
      </c>
      <c r="X56" s="866">
        <f t="shared" ref="X56:X57" si="115">SUM(Y56:Z56)</f>
        <v>486689.56523710187</v>
      </c>
      <c r="Y56" s="866">
        <f>+'Phụ lục số 2'!AO38</f>
        <v>203451.17675361366</v>
      </c>
      <c r="Z56" s="866">
        <f>+'Phụ lục số 2'!AP38</f>
        <v>283238.38848348818</v>
      </c>
    </row>
    <row r="57" spans="1:26" s="4" customFormat="1">
      <c r="A57" s="5729">
        <v>8</v>
      </c>
      <c r="B57" s="5727" t="s">
        <v>213</v>
      </c>
      <c r="C57" s="5724">
        <f t="shared" si="108"/>
        <v>3000</v>
      </c>
      <c r="D57" s="5724">
        <f>+'Phụ lục số 2'!F36</f>
        <v>3000</v>
      </c>
      <c r="E57" s="5724">
        <f>+'Phụ lục số 2'!G36</f>
        <v>0</v>
      </c>
      <c r="F57" s="147">
        <f t="shared" si="109"/>
        <v>3000</v>
      </c>
      <c r="G57" s="147">
        <f>+'Phụ lục số 2'!K36</f>
        <v>3000</v>
      </c>
      <c r="H57" s="147">
        <f>+'Phụ lục số 2'!L36</f>
        <v>0</v>
      </c>
      <c r="I57" s="147">
        <f t="shared" si="110"/>
        <v>3500</v>
      </c>
      <c r="J57" s="147">
        <f>+'Phụ lục số 2'!P36</f>
        <v>3500</v>
      </c>
      <c r="K57" s="5674">
        <f>+'Phụ lục số 2'!Q36</f>
        <v>0</v>
      </c>
      <c r="L57" s="5522">
        <f t="shared" si="111"/>
        <v>3500</v>
      </c>
      <c r="M57" s="867">
        <f>+'Phụ lục số 2'!U36</f>
        <v>3500</v>
      </c>
      <c r="N57" s="867">
        <f>+'Phụ lục số 2'!V36</f>
        <v>0</v>
      </c>
      <c r="O57" s="866">
        <f t="shared" si="112"/>
        <v>3500</v>
      </c>
      <c r="P57" s="867">
        <f>+'Phụ lục số 2'!Z36</f>
        <v>3500</v>
      </c>
      <c r="Q57" s="867">
        <f>+'Phụ lục số 2'!AA36</f>
        <v>0</v>
      </c>
      <c r="R57" s="5728">
        <f t="shared" si="113"/>
        <v>3500</v>
      </c>
      <c r="S57" s="866">
        <f>+'Phụ lục số 2'!AE36</f>
        <v>3500</v>
      </c>
      <c r="T57" s="5725"/>
      <c r="U57" s="866">
        <f t="shared" si="114"/>
        <v>3500</v>
      </c>
      <c r="V57" s="866">
        <f>+'Phụ lục số 2'!AJ36</f>
        <v>3500</v>
      </c>
      <c r="W57" s="866">
        <f>+'Phụ lục số 2'!AK36</f>
        <v>0</v>
      </c>
      <c r="X57" s="866">
        <f t="shared" si="115"/>
        <v>3500</v>
      </c>
      <c r="Y57" s="866">
        <f>+'Phụ lục số 2'!AO36</f>
        <v>3500</v>
      </c>
      <c r="Z57" s="5710"/>
    </row>
    <row r="58" spans="1:26" s="4" customFormat="1">
      <c r="A58" s="5720" t="s">
        <v>33</v>
      </c>
      <c r="B58" s="5727" t="s">
        <v>214</v>
      </c>
      <c r="C58" s="5726">
        <f>SUM(D58:E58)</f>
        <v>1988976</v>
      </c>
      <c r="D58" s="5726">
        <f>SUM(D59,D62,D65)</f>
        <v>1988976</v>
      </c>
      <c r="E58" s="5726">
        <f t="shared" ref="E58" si="116">SUM(E59,E62,E65)</f>
        <v>0</v>
      </c>
      <c r="F58" s="1591">
        <f>SUM(G58:H58)</f>
        <v>2127535</v>
      </c>
      <c r="G58" s="1591">
        <f>SUM(G59,G62,G65)</f>
        <v>2127535</v>
      </c>
      <c r="H58" s="1591">
        <f t="shared" ref="H58" si="117">SUM(H59,H62,H65)</f>
        <v>0</v>
      </c>
      <c r="I58" s="147">
        <f>SUM(J58:K58)</f>
        <v>3036992</v>
      </c>
      <c r="J58" s="147">
        <f>SUM(J59,J62,J65)</f>
        <v>2782607</v>
      </c>
      <c r="K58" s="5674">
        <f t="shared" ref="K58" si="118">SUM(K59,K62,K65)</f>
        <v>254385</v>
      </c>
      <c r="L58" s="5693">
        <f>SUM(M58:N58)</f>
        <v>3036992</v>
      </c>
      <c r="M58" s="1591">
        <f>SUM(M59,M62,M65)</f>
        <v>2782607</v>
      </c>
      <c r="N58" s="1591">
        <f t="shared" ref="N58" si="119">SUM(N59,N62,N65)</f>
        <v>254385</v>
      </c>
      <c r="O58" s="1591">
        <f>SUM(P58:Q58)</f>
        <v>3036992</v>
      </c>
      <c r="P58" s="1591">
        <f>SUM(P59,P62,P65)</f>
        <v>2782607</v>
      </c>
      <c r="Q58" s="5650">
        <f t="shared" ref="Q58" si="120">SUM(Q59,Q62,Q65)</f>
        <v>254385</v>
      </c>
      <c r="R58" s="5693">
        <f>SUM(S58:T58)</f>
        <v>3036992</v>
      </c>
      <c r="S58" s="1591">
        <f>SUM(S59,S62,S65)</f>
        <v>2782607</v>
      </c>
      <c r="T58" s="1591">
        <f t="shared" ref="T58" si="121">SUM(T59,T62,T65)</f>
        <v>254385</v>
      </c>
      <c r="U58" s="1591">
        <f>SUM(V58:W58)</f>
        <v>3036992</v>
      </c>
      <c r="V58" s="1591">
        <f>SUM(V59,V62,V65)</f>
        <v>2782607</v>
      </c>
      <c r="W58" s="1591">
        <f t="shared" ref="W58" si="122">SUM(W59,W62,W65)</f>
        <v>254385</v>
      </c>
      <c r="X58" s="1591">
        <f>SUM(Y58:Z58)</f>
        <v>3036992</v>
      </c>
      <c r="Y58" s="1591">
        <f>SUM(Y59,Y62,Y65)</f>
        <v>2782607</v>
      </c>
      <c r="Z58" s="5694">
        <f t="shared" ref="Z58" si="123">SUM(Z59,Z62,Z65)</f>
        <v>254385</v>
      </c>
    </row>
    <row r="59" spans="1:26">
      <c r="A59" s="5695">
        <v>1</v>
      </c>
      <c r="B59" s="1597" t="s">
        <v>178</v>
      </c>
      <c r="C59" s="5730">
        <f t="shared" ref="C59" si="124">SUM(D59:E59)</f>
        <v>1814491</v>
      </c>
      <c r="D59" s="5730">
        <f>SUM(D60:D61)</f>
        <v>1814491</v>
      </c>
      <c r="E59" s="5730">
        <f t="shared" ref="E59" si="125">SUM(E60:E61)</f>
        <v>0</v>
      </c>
      <c r="F59" s="1597">
        <f t="shared" ref="F59" si="126">SUM(G59:H59)</f>
        <v>1814491</v>
      </c>
      <c r="G59" s="1597">
        <f>SUM(G60:G61)</f>
        <v>1814491</v>
      </c>
      <c r="H59" s="1597">
        <f t="shared" ref="H59" si="127">SUM(H60:H61)</f>
        <v>0</v>
      </c>
      <c r="I59" s="152">
        <f t="shared" ref="I59" si="128">SUM(J59:K59)</f>
        <v>2530494</v>
      </c>
      <c r="J59" s="152">
        <f>SUM(J60:J61)</f>
        <v>2530494</v>
      </c>
      <c r="K59" s="5552">
        <f t="shared" ref="K59" si="129">SUM(K60:K61)</f>
        <v>0</v>
      </c>
      <c r="L59" s="5718">
        <f t="shared" ref="L59" si="130">SUM(M59:N59)</f>
        <v>2530494</v>
      </c>
      <c r="M59" s="1597">
        <f>SUM(M60:M61)</f>
        <v>2530494</v>
      </c>
      <c r="N59" s="1597">
        <f t="shared" ref="N59" si="131">SUM(N60:N61)</f>
        <v>0</v>
      </c>
      <c r="O59" s="202">
        <f>SUM(O60:O61)</f>
        <v>2530494</v>
      </c>
      <c r="P59" s="202">
        <f t="shared" ref="P59:Q59" si="132">SUM(P60:P61)</f>
        <v>2530494</v>
      </c>
      <c r="Q59" s="5697">
        <f t="shared" si="132"/>
        <v>0</v>
      </c>
      <c r="R59" s="5731">
        <f>SUM(R60:R61)</f>
        <v>2530494</v>
      </c>
      <c r="S59" s="202">
        <f t="shared" ref="S59:T59" si="133">SUM(S60:S61)</f>
        <v>2530494</v>
      </c>
      <c r="T59" s="202">
        <f t="shared" si="133"/>
        <v>0</v>
      </c>
      <c r="U59" s="202">
        <f>SUM(U60:U61)</f>
        <v>2530494</v>
      </c>
      <c r="V59" s="202">
        <f t="shared" ref="V59:W59" si="134">SUM(V60:V61)</f>
        <v>2530494</v>
      </c>
      <c r="W59" s="202">
        <f t="shared" si="134"/>
        <v>0</v>
      </c>
      <c r="X59" s="202">
        <f>SUM(X60:X61)</f>
        <v>2530494</v>
      </c>
      <c r="Y59" s="202">
        <f t="shared" ref="Y59:Z59" si="135">SUM(Y60:Y61)</f>
        <v>2530494</v>
      </c>
      <c r="Z59" s="5698">
        <f t="shared" si="135"/>
        <v>0</v>
      </c>
    </row>
    <row r="60" spans="1:26" hidden="1">
      <c r="A60" s="5695" t="s">
        <v>99</v>
      </c>
      <c r="B60" s="1597" t="s">
        <v>100</v>
      </c>
      <c r="C60" s="5730">
        <f>SUM(D60:E60)</f>
        <v>1681570</v>
      </c>
      <c r="D60" s="5730">
        <f>+'Phụ lục số 2'!F42</f>
        <v>1681570</v>
      </c>
      <c r="E60" s="5730">
        <f>+'Phụ lục số 2'!G42</f>
        <v>0</v>
      </c>
      <c r="F60" s="152">
        <f>SUM(G60:H60)</f>
        <v>1681570</v>
      </c>
      <c r="G60" s="152">
        <f>+'Phụ lục số 2'!K42</f>
        <v>1681570</v>
      </c>
      <c r="H60" s="152">
        <f>+'Phụ lục số 2'!L42</f>
        <v>0</v>
      </c>
      <c r="I60" s="152">
        <f>SUM(J60:K60)</f>
        <v>2399255</v>
      </c>
      <c r="J60" s="152">
        <f>+'Phụ lục số 2'!P42</f>
        <v>2399255</v>
      </c>
      <c r="K60" s="5552">
        <f>+'Phụ lục số 2'!Q42</f>
        <v>0</v>
      </c>
      <c r="L60" s="5731">
        <f>SUM(M60:N60)</f>
        <v>2399255</v>
      </c>
      <c r="M60" s="202">
        <f>+'Phụ lục số 2'!U42</f>
        <v>2399255</v>
      </c>
      <c r="N60" s="202">
        <f>+'Phụ lục số 2'!V42</f>
        <v>0</v>
      </c>
      <c r="O60" s="202">
        <f>SUM(P60:Q60)</f>
        <v>2399255</v>
      </c>
      <c r="P60" s="202">
        <f>+'Phụ lục số 2'!Z42</f>
        <v>2399255</v>
      </c>
      <c r="Q60" s="5697">
        <f>+'Phụ lục số 2'!AA42</f>
        <v>0</v>
      </c>
      <c r="R60" s="5731">
        <f>SUM(S60:T60)</f>
        <v>2399255</v>
      </c>
      <c r="S60" s="202">
        <f>+'Phụ lục số 2'!AE42</f>
        <v>2399255</v>
      </c>
      <c r="T60" s="202">
        <f>+'Phụ lục số 2'!AF42</f>
        <v>0</v>
      </c>
      <c r="U60" s="203">
        <f>SUM(V60:W60)</f>
        <v>2399255</v>
      </c>
      <c r="V60" s="202">
        <f>+'Phụ lục số 2'!AJ42</f>
        <v>2399255</v>
      </c>
      <c r="W60" s="202">
        <f>+'Phụ lục số 2'!AK42</f>
        <v>0</v>
      </c>
      <c r="X60" s="202">
        <f>SUM(Y60:Z60)</f>
        <v>2399255</v>
      </c>
      <c r="Y60" s="202">
        <f>+'Phụ lục số 2'!AO42</f>
        <v>2399255</v>
      </c>
      <c r="Z60" s="202">
        <f>+'Phụ lục số 2'!AP42</f>
        <v>0</v>
      </c>
    </row>
    <row r="61" spans="1:26" hidden="1">
      <c r="A61" s="5695" t="s">
        <v>101</v>
      </c>
      <c r="B61" s="1597" t="s">
        <v>102</v>
      </c>
      <c r="C61" s="5730">
        <f t="shared" ref="C61:C62" si="136">SUM(D61:E61)</f>
        <v>132921</v>
      </c>
      <c r="D61" s="5730">
        <f>+'Phụ lục số 2'!F43</f>
        <v>132921</v>
      </c>
      <c r="E61" s="5730">
        <f>+'Phụ lục số 2'!G43</f>
        <v>0</v>
      </c>
      <c r="F61" s="152">
        <f>SUM(G61:H61)</f>
        <v>132921</v>
      </c>
      <c r="G61" s="152">
        <f>+'Phụ lục số 2'!K43</f>
        <v>132921</v>
      </c>
      <c r="H61" s="152">
        <f>+'Phụ lục số 2'!L43</f>
        <v>0</v>
      </c>
      <c r="I61" s="152">
        <f>SUM(J61:K61)</f>
        <v>131239</v>
      </c>
      <c r="J61" s="152">
        <f>+'Phụ lục số 2'!P43</f>
        <v>131239</v>
      </c>
      <c r="K61" s="5552">
        <f>+'Phụ lục số 2'!Q43</f>
        <v>0</v>
      </c>
      <c r="L61" s="5731">
        <f>SUM(M61:N61)</f>
        <v>131239</v>
      </c>
      <c r="M61" s="202">
        <f>+'Phụ lục số 2'!U43</f>
        <v>131239</v>
      </c>
      <c r="N61" s="202">
        <f>+'Phụ lục số 2'!V43</f>
        <v>0</v>
      </c>
      <c r="O61" s="202">
        <f>SUM(P61:Q61)</f>
        <v>131239</v>
      </c>
      <c r="P61" s="202">
        <f>+'Phụ lục số 2'!Z43</f>
        <v>131239</v>
      </c>
      <c r="Q61" s="5697">
        <f>+'Phụ lục số 2'!AA43</f>
        <v>0</v>
      </c>
      <c r="R61" s="5731">
        <f>SUM(S61:T61)</f>
        <v>131239</v>
      </c>
      <c r="S61" s="202">
        <f>+'Phụ lục số 2'!AE43</f>
        <v>131239</v>
      </c>
      <c r="T61" s="202">
        <f>+'Phụ lục số 2'!AF43</f>
        <v>0</v>
      </c>
      <c r="U61" s="203">
        <f>SUM(V61:W61)</f>
        <v>131239</v>
      </c>
      <c r="V61" s="202">
        <f>+'Phụ lục số 2'!AJ43</f>
        <v>131239</v>
      </c>
      <c r="W61" s="202">
        <f>+'Phụ lục số 2'!AK43</f>
        <v>0</v>
      </c>
      <c r="X61" s="202">
        <f>SUM(Y61:Z61)</f>
        <v>131239</v>
      </c>
      <c r="Y61" s="202">
        <f>+'Phụ lục số 2'!AO43</f>
        <v>131239</v>
      </c>
      <c r="Z61" s="202">
        <f>+'Phụ lục số 2'!AP43</f>
        <v>0</v>
      </c>
    </row>
    <row r="62" spans="1:26">
      <c r="A62" s="5695">
        <v>2</v>
      </c>
      <c r="B62" s="1597" t="s">
        <v>179</v>
      </c>
      <c r="C62" s="5730">
        <f t="shared" si="136"/>
        <v>174485</v>
      </c>
      <c r="D62" s="5730">
        <f>SUM(D63:D64)</f>
        <v>174485</v>
      </c>
      <c r="E62" s="5730">
        <f t="shared" ref="E62" si="137">SUM(E63:E64)</f>
        <v>0</v>
      </c>
      <c r="F62" s="1597">
        <f t="shared" ref="F62" si="138">SUM(G62:H62)</f>
        <v>174485</v>
      </c>
      <c r="G62" s="1597">
        <f>SUM(G63:G64)</f>
        <v>174485</v>
      </c>
      <c r="H62" s="1597">
        <f t="shared" ref="H62" si="139">SUM(H63:H64)</f>
        <v>0</v>
      </c>
      <c r="I62" s="152">
        <f t="shared" ref="I62" si="140">SUM(J62:K62)</f>
        <v>221912</v>
      </c>
      <c r="J62" s="152">
        <f>SUM(J63:J64)</f>
        <v>125737</v>
      </c>
      <c r="K62" s="5552">
        <f t="shared" ref="K62" si="141">SUM(K63:K64)</f>
        <v>96175</v>
      </c>
      <c r="L62" s="5718">
        <f t="shared" ref="L62" si="142">SUM(M62:N62)</f>
        <v>221912</v>
      </c>
      <c r="M62" s="1597">
        <f>SUM(M63:M64)</f>
        <v>125737</v>
      </c>
      <c r="N62" s="1597">
        <f t="shared" ref="N62" si="143">SUM(N63:N64)</f>
        <v>96175</v>
      </c>
      <c r="O62" s="202">
        <f>SUM(O63:O64)</f>
        <v>221912</v>
      </c>
      <c r="P62" s="202">
        <f t="shared" ref="P62:Q62" si="144">SUM(P63:P64)</f>
        <v>125737</v>
      </c>
      <c r="Q62" s="5697">
        <f t="shared" si="144"/>
        <v>96175</v>
      </c>
      <c r="R62" s="5731">
        <f>SUM(R63:R64)</f>
        <v>221912</v>
      </c>
      <c r="S62" s="202">
        <f t="shared" ref="S62:T62" si="145">SUM(S63:S64)</f>
        <v>125737</v>
      </c>
      <c r="T62" s="202">
        <f t="shared" si="145"/>
        <v>96175</v>
      </c>
      <c r="U62" s="202">
        <f>SUM(U63:U64)</f>
        <v>221912</v>
      </c>
      <c r="V62" s="202">
        <f t="shared" ref="V62:W62" si="146">SUM(V63:V64)</f>
        <v>125737</v>
      </c>
      <c r="W62" s="202">
        <f t="shared" si="146"/>
        <v>96175</v>
      </c>
      <c r="X62" s="202">
        <f>SUM(X63:X64)</f>
        <v>221912</v>
      </c>
      <c r="Y62" s="202">
        <f t="shared" ref="Y62:Z62" si="147">SUM(Y63:Y64)</f>
        <v>125737</v>
      </c>
      <c r="Z62" s="5698">
        <f t="shared" si="147"/>
        <v>96175</v>
      </c>
    </row>
    <row r="63" spans="1:26" hidden="1">
      <c r="A63" s="5695" t="s">
        <v>99</v>
      </c>
      <c r="B63" s="1597" t="s">
        <v>103</v>
      </c>
      <c r="C63" s="5730">
        <f>SUM(D63:E63)</f>
        <v>72469</v>
      </c>
      <c r="D63" s="5730">
        <f>+'Phụ lục số 2'!F45</f>
        <v>72469</v>
      </c>
      <c r="E63" s="5730">
        <f>+'Phụ lục số 2'!G45</f>
        <v>0</v>
      </c>
      <c r="F63" s="152">
        <f>SUM(G63:H63)</f>
        <v>72469</v>
      </c>
      <c r="G63" s="152">
        <f>+'Phụ lục số 2'!K45</f>
        <v>72469</v>
      </c>
      <c r="H63" s="152">
        <f>+'Phụ lục số 2'!L45</f>
        <v>0</v>
      </c>
      <c r="I63" s="152">
        <f>SUM(J63:K63)</f>
        <v>186007</v>
      </c>
      <c r="J63" s="152">
        <f>+'Phụ lục số 2'!P45</f>
        <v>89832</v>
      </c>
      <c r="K63" s="5552">
        <f>+'Phụ lục số 2'!Q45</f>
        <v>96175</v>
      </c>
      <c r="L63" s="5731">
        <f>SUM(M63:N63)</f>
        <v>186007</v>
      </c>
      <c r="M63" s="202">
        <f>+'Phụ lục số 2'!U45</f>
        <v>89832</v>
      </c>
      <c r="N63" s="202">
        <f>+'Phụ lục số 2'!V45</f>
        <v>96175</v>
      </c>
      <c r="O63" s="202">
        <f>SUM(P63:Q63)</f>
        <v>186007</v>
      </c>
      <c r="P63" s="202">
        <f>+'Phụ lục số 2'!Z45</f>
        <v>89832</v>
      </c>
      <c r="Q63" s="5697">
        <f>+'Phụ lục số 2'!AA45</f>
        <v>96175</v>
      </c>
      <c r="R63" s="5731">
        <f>SUM(S63:T63)</f>
        <v>186007</v>
      </c>
      <c r="S63" s="202">
        <f>+'Phụ lục số 2'!AE45</f>
        <v>89832</v>
      </c>
      <c r="T63" s="202">
        <f>+'Phụ lục số 2'!AF45</f>
        <v>96175</v>
      </c>
      <c r="U63" s="203">
        <f>SUM(V63:W63)</f>
        <v>186007</v>
      </c>
      <c r="V63" s="202">
        <f>+'Phụ lục số 2'!AJ45</f>
        <v>89832</v>
      </c>
      <c r="W63" s="202">
        <f>+'Phụ lục số 2'!AK45</f>
        <v>96175</v>
      </c>
      <c r="X63" s="202">
        <f>SUM(Y63:Z63)</f>
        <v>186007</v>
      </c>
      <c r="Y63" s="202">
        <f>+'Phụ lục số 2'!AO45</f>
        <v>89832</v>
      </c>
      <c r="Z63" s="202">
        <f>+'Phụ lục số 2'!AP45</f>
        <v>96175</v>
      </c>
    </row>
    <row r="64" spans="1:26" hidden="1">
      <c r="A64" s="5695" t="s">
        <v>101</v>
      </c>
      <c r="B64" s="1597" t="s">
        <v>102</v>
      </c>
      <c r="C64" s="5730">
        <f t="shared" ref="C64:C68" si="148">SUM(D64:E64)</f>
        <v>102016</v>
      </c>
      <c r="D64" s="5730">
        <f>+'Phụ lục số 2'!F46</f>
        <v>102016</v>
      </c>
      <c r="E64" s="5730">
        <f>+'Phụ lục số 2'!G46</f>
        <v>0</v>
      </c>
      <c r="F64" s="152">
        <f>SUM(G64:H64)</f>
        <v>102016</v>
      </c>
      <c r="G64" s="152">
        <f>+'Phụ lục số 2'!K46</f>
        <v>102016</v>
      </c>
      <c r="H64" s="152">
        <f>+'Phụ lục số 2'!L46</f>
        <v>0</v>
      </c>
      <c r="I64" s="152">
        <f>SUM(J64:K64)</f>
        <v>35905</v>
      </c>
      <c r="J64" s="152">
        <f>+'Phụ lục số 2'!P46</f>
        <v>35905</v>
      </c>
      <c r="K64" s="5552">
        <f>+'Phụ lục số 2'!Q46</f>
        <v>0</v>
      </c>
      <c r="L64" s="5731">
        <f>SUM(M64:N64)</f>
        <v>35905</v>
      </c>
      <c r="M64" s="202">
        <f>+'Phụ lục số 2'!U46</f>
        <v>35905</v>
      </c>
      <c r="N64" s="202">
        <f>+'Phụ lục số 2'!V46</f>
        <v>0</v>
      </c>
      <c r="O64" s="202">
        <f>SUM(P64:Q64)</f>
        <v>35905</v>
      </c>
      <c r="P64" s="202">
        <f>+'Phụ lục số 2'!Z46</f>
        <v>35905</v>
      </c>
      <c r="Q64" s="5697">
        <f>+'Phụ lục số 2'!AA46</f>
        <v>0</v>
      </c>
      <c r="R64" s="5731">
        <f>SUM(S64:T64)</f>
        <v>35905</v>
      </c>
      <c r="S64" s="202">
        <f>+'Phụ lục số 2'!AE46</f>
        <v>35905</v>
      </c>
      <c r="T64" s="202">
        <f>+'Phụ lục số 2'!AF46</f>
        <v>0</v>
      </c>
      <c r="U64" s="203">
        <f>SUM(V64:W64)</f>
        <v>35905</v>
      </c>
      <c r="V64" s="202">
        <f>+'Phụ lục số 2'!AJ46</f>
        <v>35905</v>
      </c>
      <c r="W64" s="202">
        <f>+'Phụ lục số 2'!AK46</f>
        <v>0</v>
      </c>
      <c r="X64" s="202">
        <f>SUM(Y64:Z64)</f>
        <v>35905</v>
      </c>
      <c r="Y64" s="202">
        <f>+'Phụ lục số 2'!AO46</f>
        <v>35905</v>
      </c>
      <c r="Z64" s="202">
        <f>+'Phụ lục số 2'!AP46</f>
        <v>0</v>
      </c>
    </row>
    <row r="65" spans="1:26">
      <c r="A65" s="5695">
        <v>3</v>
      </c>
      <c r="B65" s="1597" t="s">
        <v>180</v>
      </c>
      <c r="C65" s="5730">
        <f t="shared" si="148"/>
        <v>0</v>
      </c>
      <c r="D65" s="5730">
        <f>SUM(D66:D67)</f>
        <v>0</v>
      </c>
      <c r="E65" s="5730">
        <f t="shared" ref="E65" si="149">SUM(E66:E67)</f>
        <v>0</v>
      </c>
      <c r="F65" s="152">
        <f>SUM(F66:F67)</f>
        <v>138559</v>
      </c>
      <c r="G65" s="152">
        <f t="shared" ref="G65:H65" si="150">SUM(G66:G67)</f>
        <v>138559</v>
      </c>
      <c r="H65" s="152">
        <f t="shared" si="150"/>
        <v>0</v>
      </c>
      <c r="I65" s="152">
        <f>SUM(I66:I67)</f>
        <v>284586</v>
      </c>
      <c r="J65" s="152">
        <f t="shared" ref="J65:K65" si="151">SUM(J66:J67)</f>
        <v>126376</v>
      </c>
      <c r="K65" s="5552">
        <f t="shared" si="151"/>
        <v>158210</v>
      </c>
      <c r="L65" s="5527">
        <f>SUM(L66:L67)</f>
        <v>284586</v>
      </c>
      <c r="M65" s="152">
        <f t="shared" ref="M65:N65" si="152">SUM(M66:M67)</f>
        <v>126376</v>
      </c>
      <c r="N65" s="152">
        <f t="shared" si="152"/>
        <v>158210</v>
      </c>
      <c r="O65" s="202">
        <f>SUM(O66:O67)</f>
        <v>284586</v>
      </c>
      <c r="P65" s="202">
        <f t="shared" ref="P65:Q65" si="153">SUM(P66:P67)</f>
        <v>126376</v>
      </c>
      <c r="Q65" s="5697">
        <f t="shared" si="153"/>
        <v>158210</v>
      </c>
      <c r="R65" s="822">
        <f>SUM(R66:R67)</f>
        <v>284586</v>
      </c>
      <c r="S65" s="203">
        <f t="shared" ref="S65:T65" si="154">SUM(S66:S67)</f>
        <v>126376</v>
      </c>
      <c r="T65" s="203">
        <f t="shared" si="154"/>
        <v>158210</v>
      </c>
      <c r="U65" s="203">
        <f>SUM(U66:U67)</f>
        <v>284586</v>
      </c>
      <c r="V65" s="203">
        <f t="shared" ref="V65:W65" si="155">SUM(V66:V67)</f>
        <v>126376</v>
      </c>
      <c r="W65" s="203">
        <f t="shared" si="155"/>
        <v>158210</v>
      </c>
      <c r="X65" s="202">
        <f>SUM(X66:X67)</f>
        <v>284586</v>
      </c>
      <c r="Y65" s="202">
        <f t="shared" ref="Y65:Z65" si="156">SUM(Y66:Y67)</f>
        <v>126376</v>
      </c>
      <c r="Z65" s="5698">
        <f t="shared" si="156"/>
        <v>158210</v>
      </c>
    </row>
    <row r="66" spans="1:26" hidden="1">
      <c r="A66" s="5695" t="s">
        <v>99</v>
      </c>
      <c r="B66" s="1597" t="s">
        <v>104</v>
      </c>
      <c r="C66" s="5730">
        <f t="shared" si="148"/>
        <v>0</v>
      </c>
      <c r="D66" s="5730">
        <f>+'Phụ lục số 2'!F48</f>
        <v>0</v>
      </c>
      <c r="E66" s="5730">
        <f>+'Phụ lục số 2'!G48</f>
        <v>0</v>
      </c>
      <c r="F66" s="152">
        <f>SUM(G66:H66)</f>
        <v>0</v>
      </c>
      <c r="G66" s="152">
        <f>+'Phụ lục số 2'!K48</f>
        <v>0</v>
      </c>
      <c r="H66" s="152">
        <f>+'Phụ lục số 2'!L48</f>
        <v>0</v>
      </c>
      <c r="I66" s="152">
        <f>SUM(J66:K66)</f>
        <v>0</v>
      </c>
      <c r="J66" s="152">
        <f>+'Phụ lục số 2'!P48</f>
        <v>0</v>
      </c>
      <c r="K66" s="5552">
        <f>+'Phụ lục số 2'!Q48</f>
        <v>0</v>
      </c>
      <c r="L66" s="5731">
        <f>SUM(M66:N66)</f>
        <v>0</v>
      </c>
      <c r="M66" s="202">
        <f>+'Phụ lục số 2'!U48</f>
        <v>0</v>
      </c>
      <c r="N66" s="202">
        <f>+'Phụ lục số 2'!V48</f>
        <v>0</v>
      </c>
      <c r="O66" s="202">
        <f>SUM(P66:Q66)</f>
        <v>0</v>
      </c>
      <c r="P66" s="202">
        <f>+'Phụ lục số 2'!Z48</f>
        <v>0</v>
      </c>
      <c r="Q66" s="5697">
        <f>+'Phụ lục số 2'!AA48</f>
        <v>0</v>
      </c>
      <c r="R66" s="5731">
        <f>SUM(S66:T66)</f>
        <v>0</v>
      </c>
      <c r="S66" s="202">
        <f>+'Phụ lục số 2'!AE48</f>
        <v>0</v>
      </c>
      <c r="T66" s="202">
        <f>+'Phụ lục số 2'!AF48</f>
        <v>0</v>
      </c>
      <c r="U66" s="202">
        <f>SUM(V66:W66)</f>
        <v>0</v>
      </c>
      <c r="V66" s="202">
        <f>+'Phụ lục số 2'!AJ48</f>
        <v>0</v>
      </c>
      <c r="W66" s="202">
        <f>+'Phụ lục số 2'!AK48</f>
        <v>0</v>
      </c>
      <c r="X66" s="202">
        <f>SUM(Y66:Z66)</f>
        <v>0</v>
      </c>
      <c r="Y66" s="202">
        <f>+'Phụ lục số 2'!AO48</f>
        <v>0</v>
      </c>
      <c r="Z66" s="202">
        <f>+'Phụ lục số 2'!AP48</f>
        <v>0</v>
      </c>
    </row>
    <row r="67" spans="1:26" hidden="1">
      <c r="A67" s="5695" t="s">
        <v>101</v>
      </c>
      <c r="B67" s="1597" t="s">
        <v>105</v>
      </c>
      <c r="C67" s="5730">
        <f t="shared" si="148"/>
        <v>0</v>
      </c>
      <c r="D67" s="5730">
        <f>+'Phụ lục số 2'!F49</f>
        <v>0</v>
      </c>
      <c r="E67" s="5730">
        <f>+'Phụ lục số 2'!G49</f>
        <v>0</v>
      </c>
      <c r="F67" s="152">
        <f>SUM(G67:H67)</f>
        <v>138559</v>
      </c>
      <c r="G67" s="152">
        <f>+'Phụ lục số 2'!K49</f>
        <v>138559</v>
      </c>
      <c r="H67" s="152">
        <f>+'Phụ lục số 2'!L49</f>
        <v>0</v>
      </c>
      <c r="I67" s="152">
        <f>SUM(J67:K67)</f>
        <v>284586</v>
      </c>
      <c r="J67" s="152">
        <f>+'Phụ lục số 2'!P49</f>
        <v>126376</v>
      </c>
      <c r="K67" s="5552">
        <f>+'Phụ lục số 2'!Q49</f>
        <v>158210</v>
      </c>
      <c r="L67" s="5731">
        <f>SUM(M67:N67)</f>
        <v>284586</v>
      </c>
      <c r="M67" s="202">
        <f>+'Phụ lục số 2'!U49</f>
        <v>126376</v>
      </c>
      <c r="N67" s="202">
        <f>+'Phụ lục số 2'!V49</f>
        <v>158210</v>
      </c>
      <c r="O67" s="202">
        <f>SUM(P67:Q67)</f>
        <v>284586</v>
      </c>
      <c r="P67" s="202">
        <f>+'Phụ lục số 2'!Z49</f>
        <v>126376</v>
      </c>
      <c r="Q67" s="5697">
        <f>+'Phụ lục số 2'!AA49</f>
        <v>158210</v>
      </c>
      <c r="R67" s="5731">
        <f>SUM(S67:T67)</f>
        <v>284586</v>
      </c>
      <c r="S67" s="202">
        <f>+'Phụ lục số 2'!AE49</f>
        <v>126376</v>
      </c>
      <c r="T67" s="202">
        <f>+'Phụ lục số 2'!AF49</f>
        <v>158210</v>
      </c>
      <c r="U67" s="202">
        <f>SUM(V67:W67)</f>
        <v>284586</v>
      </c>
      <c r="V67" s="202">
        <f>+'Phụ lục số 2'!AJ49</f>
        <v>126376</v>
      </c>
      <c r="W67" s="202">
        <f>+'Phụ lục số 2'!AK49</f>
        <v>158210</v>
      </c>
      <c r="X67" s="202">
        <f>SUM(Y67:Z67)</f>
        <v>284586</v>
      </c>
      <c r="Y67" s="202">
        <f>+'Phụ lục số 2'!AO49</f>
        <v>126376</v>
      </c>
      <c r="Z67" s="202">
        <f>+'Phụ lục số 2'!AP49</f>
        <v>158210</v>
      </c>
    </row>
    <row r="68" spans="1:26">
      <c r="A68" s="5648" t="s">
        <v>182</v>
      </c>
      <c r="B68" s="5732" t="s">
        <v>181</v>
      </c>
      <c r="C68" s="5726">
        <f t="shared" si="148"/>
        <v>0</v>
      </c>
      <c r="D68" s="5730"/>
      <c r="E68" s="5730"/>
      <c r="F68" s="147">
        <f>SUM(G68:H68)</f>
        <v>0</v>
      </c>
      <c r="G68" s="152">
        <f>+'Phụ lục số 2'!K50</f>
        <v>0</v>
      </c>
      <c r="H68" s="152">
        <f>+'Phụ lục số 2'!L50</f>
        <v>0</v>
      </c>
      <c r="I68" s="147">
        <f>SUM(J68:K68)</f>
        <v>0</v>
      </c>
      <c r="J68" s="147">
        <f>'Phụ lục số II'!P45</f>
        <v>0</v>
      </c>
      <c r="K68" s="5552"/>
      <c r="L68" s="5728">
        <f>SUM(M68:N68)</f>
        <v>0</v>
      </c>
      <c r="M68" s="866">
        <f>+'Phụ lục số 2'!U50</f>
        <v>0</v>
      </c>
      <c r="N68" s="866">
        <f>+'Phụ lục số 2'!V50</f>
        <v>0</v>
      </c>
      <c r="O68" s="866">
        <f>SUM(P68:Q68)</f>
        <v>0</v>
      </c>
      <c r="P68" s="866">
        <f>+'Phụ lục số 2'!Z50</f>
        <v>0</v>
      </c>
      <c r="Q68" s="5733">
        <f>+'Phụ lục số 2'!AA50</f>
        <v>0</v>
      </c>
      <c r="R68" s="5728">
        <f>SUM(S68:T68)</f>
        <v>0</v>
      </c>
      <c r="S68" s="866">
        <f>+'Phụ lục số 2'!AE50</f>
        <v>0</v>
      </c>
      <c r="T68" s="866">
        <f>+'Phụ lục số 2'!AF50</f>
        <v>0</v>
      </c>
      <c r="U68" s="866">
        <f>SUM(V68:W68)</f>
        <v>0</v>
      </c>
      <c r="V68" s="202">
        <f>+'Phụ lục số 2'!AJ50</f>
        <v>0</v>
      </c>
      <c r="W68" s="202">
        <f>+'Phụ lục số 2'!AK50</f>
        <v>0</v>
      </c>
      <c r="X68" s="866">
        <f>SUM(Y68:Z68)</f>
        <v>0</v>
      </c>
      <c r="Y68" s="866">
        <f>+'Phụ lục số 2'!AO50</f>
        <v>0</v>
      </c>
      <c r="Z68" s="866">
        <f>+'Phụ lục số 2'!AP50</f>
        <v>0</v>
      </c>
    </row>
    <row r="69" spans="1:26">
      <c r="A69" s="5648" t="s">
        <v>718</v>
      </c>
      <c r="B69" s="5649" t="s">
        <v>216</v>
      </c>
      <c r="C69" s="5730"/>
      <c r="D69" s="5730"/>
      <c r="E69" s="5730"/>
      <c r="F69" s="147">
        <f>SUM(G69:H69)</f>
        <v>0</v>
      </c>
      <c r="G69" s="147">
        <f>H18</f>
        <v>0</v>
      </c>
      <c r="H69" s="147"/>
      <c r="I69" s="142">
        <f>SUM(J69:K69)</f>
        <v>0</v>
      </c>
      <c r="J69" s="142">
        <f>K18</f>
        <v>0</v>
      </c>
      <c r="K69" s="5547"/>
      <c r="L69" s="5772">
        <f>+M69+N69</f>
        <v>0</v>
      </c>
      <c r="M69" s="5724">
        <f>+N18</f>
        <v>0</v>
      </c>
      <c r="N69" s="5722"/>
      <c r="O69" s="5722">
        <f>+P69+Q69</f>
        <v>0</v>
      </c>
      <c r="P69" s="5724">
        <f>+Q18</f>
        <v>0</v>
      </c>
      <c r="Q69" s="5734"/>
      <c r="R69" s="5735"/>
      <c r="S69" s="5736"/>
      <c r="T69" s="5736"/>
      <c r="U69" s="5736"/>
      <c r="V69" s="5736"/>
      <c r="W69" s="5736"/>
      <c r="X69" s="5737"/>
      <c r="Y69" s="5737"/>
      <c r="Z69" s="5738"/>
    </row>
    <row r="70" spans="1:26">
      <c r="A70" s="5739" t="s">
        <v>744</v>
      </c>
      <c r="B70" s="1607" t="s">
        <v>3233</v>
      </c>
      <c r="C70" s="5730"/>
      <c r="D70" s="5730"/>
      <c r="E70" s="5730"/>
      <c r="F70" s="147"/>
      <c r="G70" s="147"/>
      <c r="H70" s="147"/>
      <c r="I70" s="142">
        <f>SUM(J70:K70)</f>
        <v>5553.7960000000003</v>
      </c>
      <c r="J70" s="142">
        <f>+'Phụ lục số 2'!P51</f>
        <v>5553.7960000000003</v>
      </c>
      <c r="K70" s="5548">
        <f>+'Phụ lục số 2'!Q51</f>
        <v>0</v>
      </c>
      <c r="L70" s="5773">
        <f>+M70+N70</f>
        <v>0</v>
      </c>
      <c r="M70" s="5722">
        <f>+'Phụ lục số 2'!U51</f>
        <v>0</v>
      </c>
      <c r="N70" s="5722">
        <f>+'Phụ lục số 2'!V51</f>
        <v>0</v>
      </c>
      <c r="O70" s="5722">
        <f>+P70+Q70</f>
        <v>0</v>
      </c>
      <c r="P70" s="5724">
        <f>+'Phụ lục số 2'!Z51</f>
        <v>0</v>
      </c>
      <c r="Q70" s="5740">
        <f>+'Phụ lục số 2'!AA51</f>
        <v>0</v>
      </c>
      <c r="R70" s="5741"/>
      <c r="S70" s="5741"/>
      <c r="T70" s="5741"/>
      <c r="U70" s="5741"/>
      <c r="V70" s="5741"/>
      <c r="W70" s="5741"/>
      <c r="X70" s="5742"/>
      <c r="Y70" s="5742"/>
      <c r="Z70" s="5743"/>
    </row>
    <row r="71" spans="1:26" s="5302" customFormat="1">
      <c r="A71" s="5685" t="s">
        <v>44</v>
      </c>
      <c r="B71" s="5744" t="s">
        <v>217</v>
      </c>
      <c r="C71" s="1600">
        <f>SUM(D71:E71)</f>
        <v>0.20528892055153847</v>
      </c>
      <c r="D71" s="1600">
        <f>D8-D33</f>
        <v>5083323.1000000015</v>
      </c>
      <c r="E71" s="1600">
        <f>E8-E33</f>
        <v>-5083322.8947110809</v>
      </c>
      <c r="F71" s="173">
        <f>G71+H71</f>
        <v>-362040.51107581146</v>
      </c>
      <c r="G71" s="173">
        <f>G8-G33</f>
        <v>5096221.7236352693</v>
      </c>
      <c r="H71" s="173">
        <f>H8-H33</f>
        <v>-5458262.2347110808</v>
      </c>
      <c r="I71" s="173">
        <f>J71+K71</f>
        <v>0</v>
      </c>
      <c r="J71" s="5745">
        <f>J8-J33-J72</f>
        <v>7078351.9069999978</v>
      </c>
      <c r="K71" s="5778">
        <f>K8-K33-K72</f>
        <v>-7078351.9070000034</v>
      </c>
      <c r="L71" s="5768">
        <f>M71+N71</f>
        <v>-8.7682530283927917E-4</v>
      </c>
      <c r="M71" s="5687">
        <f>M8-M33</f>
        <v>7078351.9064375646</v>
      </c>
      <c r="N71" s="5687">
        <f>N8-N33</f>
        <v>-7078351.9073143899</v>
      </c>
      <c r="O71" s="5687">
        <f>P71+Q71</f>
        <v>1.939261332154274E-3</v>
      </c>
      <c r="P71" s="5687">
        <f>P8-P33</f>
        <v>7078351.9096501376</v>
      </c>
      <c r="Q71" s="5688">
        <f>Q8-Q33</f>
        <v>-7078351.9077108763</v>
      </c>
      <c r="R71" s="5746">
        <f>S71+T71</f>
        <v>-4.250379279255867E-4</v>
      </c>
      <c r="S71" s="5747">
        <f>S8-S33</f>
        <v>7078351.9071928896</v>
      </c>
      <c r="T71" s="5747">
        <f>T8-T33</f>
        <v>-7078351.9076179275</v>
      </c>
      <c r="U71" s="5747">
        <f>V71+W71</f>
        <v>7.3439870029687881E-3</v>
      </c>
      <c r="V71" s="5747">
        <f>V8-V33</f>
        <v>7078351.9092740007</v>
      </c>
      <c r="W71" s="5747">
        <f>W8-W33</f>
        <v>-7078351.9019300137</v>
      </c>
      <c r="X71" s="5747">
        <f>Y71+Z71</f>
        <v>3.2603433355689049E-3</v>
      </c>
      <c r="Y71" s="5747">
        <f>Y8-Y33</f>
        <v>7078351.909637196</v>
      </c>
      <c r="Z71" s="5748">
        <f>Z8-Z33</f>
        <v>-7078351.9063768527</v>
      </c>
    </row>
    <row r="72" spans="1:26" s="5302" customFormat="1">
      <c r="A72" s="5685" t="s">
        <v>46</v>
      </c>
      <c r="B72" s="5749" t="s">
        <v>347</v>
      </c>
      <c r="C72" s="1600"/>
      <c r="D72" s="1600"/>
      <c r="E72" s="1600"/>
      <c r="F72" s="173">
        <f>SUM(G72:H72)</f>
        <v>0</v>
      </c>
      <c r="G72" s="173"/>
      <c r="H72" s="173"/>
      <c r="I72" s="173">
        <f>+J72+K72</f>
        <v>186700</v>
      </c>
      <c r="J72" s="173">
        <f>+'Phụ lục số 2'!P52</f>
        <v>186700</v>
      </c>
      <c r="K72" s="5535">
        <f>+'Phụ lục số 2'!Q52</f>
        <v>0</v>
      </c>
      <c r="L72" s="5768">
        <f>+M72+N72</f>
        <v>0</v>
      </c>
      <c r="M72" s="5687">
        <f>+'Phụ lục số 2'!U52</f>
        <v>0</v>
      </c>
      <c r="N72" s="5687">
        <f>+'Phụ lục số 2'!V52</f>
        <v>0</v>
      </c>
      <c r="O72" s="5687">
        <f>+P72+Q72</f>
        <v>0</v>
      </c>
      <c r="P72" s="5687">
        <f>+'Phụ lục số 2'!Z52</f>
        <v>0</v>
      </c>
      <c r="Q72" s="5688">
        <f>+'Phụ lục số 2'!AA52</f>
        <v>0</v>
      </c>
      <c r="R72" s="5750"/>
      <c r="S72" s="5750"/>
      <c r="T72" s="5750"/>
      <c r="U72" s="5750"/>
      <c r="V72" s="5750"/>
      <c r="W72" s="5750"/>
      <c r="X72" s="5750"/>
      <c r="Y72" s="5750"/>
      <c r="Z72" s="5751"/>
    </row>
    <row r="73" spans="1:26" ht="16.2" thickBot="1">
      <c r="A73" s="5752"/>
      <c r="B73" s="5753"/>
      <c r="C73" s="5753"/>
      <c r="D73" s="5753"/>
      <c r="E73" s="5753"/>
      <c r="F73" s="5754"/>
      <c r="G73" s="5754"/>
      <c r="H73" s="5754"/>
      <c r="I73" s="5755"/>
      <c r="J73" s="5755"/>
      <c r="K73" s="5779"/>
      <c r="L73" s="5774"/>
      <c r="M73" s="5753"/>
      <c r="N73" s="5753"/>
      <c r="O73" s="5753"/>
      <c r="P73" s="5753"/>
      <c r="Q73" s="5756"/>
      <c r="R73" s="5757"/>
      <c r="S73" s="5758"/>
      <c r="T73" s="5758"/>
      <c r="U73" s="5758"/>
      <c r="V73" s="5758"/>
      <c r="W73" s="5758"/>
      <c r="X73" s="5758"/>
      <c r="Y73" s="5758"/>
      <c r="Z73" s="5759"/>
    </row>
    <row r="74" spans="1:26" ht="16.2" thickTop="1">
      <c r="I74" s="6"/>
      <c r="J74" s="6"/>
    </row>
    <row r="75" spans="1:26" hidden="1">
      <c r="G75" s="6"/>
      <c r="H75" s="6"/>
      <c r="J75" s="6"/>
      <c r="K75" s="6">
        <f>-'Phụ lục số 3-CĐC'!J69</f>
        <v>-7078351.9069999997</v>
      </c>
    </row>
    <row r="76" spans="1:26" s="4" customFormat="1" hidden="1">
      <c r="B76" s="4" t="s">
        <v>734</v>
      </c>
      <c r="G76" s="1729"/>
      <c r="H76" s="1729"/>
      <c r="J76" s="1729">
        <f>+K76-L76</f>
        <v>0</v>
      </c>
      <c r="K76" s="1729">
        <f>-K75</f>
        <v>7078351.9069999997</v>
      </c>
      <c r="L76" s="1729">
        <f>-K71</f>
        <v>7078351.9070000034</v>
      </c>
    </row>
    <row r="77" spans="1:26" hidden="1">
      <c r="G77" s="6"/>
      <c r="H77" s="6"/>
    </row>
    <row r="78" spans="1:26" hidden="1">
      <c r="A78" s="10"/>
      <c r="B78" s="10"/>
      <c r="C78" s="10"/>
      <c r="D78" s="10"/>
      <c r="E78" s="10"/>
      <c r="F78" s="10"/>
      <c r="G78" s="10"/>
      <c r="H78" s="10"/>
      <c r="I78" s="6065" t="s">
        <v>746</v>
      </c>
      <c r="J78" s="6065"/>
      <c r="K78" s="6065"/>
      <c r="L78" s="6222" t="s">
        <v>747</v>
      </c>
      <c r="M78" s="6223"/>
      <c r="N78" s="6224"/>
      <c r="O78" s="6222" t="s">
        <v>748</v>
      </c>
      <c r="P78" s="6223"/>
      <c r="Q78" s="6224"/>
      <c r="R78" s="6222" t="s">
        <v>749</v>
      </c>
      <c r="S78" s="6223"/>
      <c r="T78" s="6224"/>
      <c r="U78" s="6222" t="s">
        <v>750</v>
      </c>
      <c r="V78" s="6223"/>
      <c r="W78" s="6224"/>
      <c r="X78" s="6222" t="s">
        <v>751</v>
      </c>
      <c r="Y78" s="6223"/>
      <c r="Z78" s="6224"/>
    </row>
    <row r="79" spans="1:26" hidden="1">
      <c r="A79" s="1539" t="s">
        <v>247</v>
      </c>
      <c r="B79" s="1539" t="s">
        <v>735</v>
      </c>
      <c r="C79" s="10"/>
      <c r="D79" s="10"/>
      <c r="E79" s="10"/>
      <c r="F79" s="10"/>
      <c r="G79" s="10"/>
      <c r="H79" s="10"/>
      <c r="I79" s="5760">
        <f>+I80+I86+I90+I91+I92+I93</f>
        <v>1283861.4432889216</v>
      </c>
      <c r="J79" s="5760">
        <f>+J80+J86+J90+J91+J92+J93</f>
        <v>-305002.56900000002</v>
      </c>
      <c r="K79" s="5760">
        <f t="shared" ref="K79" si="157">+K80+K86+K90+K91+K92+K93</f>
        <v>1588864.0122889217</v>
      </c>
      <c r="L79" s="5760">
        <f>+L80+L86+L90+L91+L92+L93</f>
        <v>940679.57534025481</v>
      </c>
      <c r="M79" s="5760">
        <f>+M80+M86+M90+M91+M92+M93</f>
        <v>720730.06539071701</v>
      </c>
      <c r="N79" s="5760">
        <f t="shared" ref="N79" si="158">+N80+N86+N90+N91+N92+N93</f>
        <v>219949.50994953787</v>
      </c>
      <c r="O79" s="5760">
        <f>+O80+O86+O90+O91+O92+O93</f>
        <v>750194.52254271728</v>
      </c>
      <c r="P79" s="5760">
        <f t="shared" ref="P79:Q79" si="159">+P80+P86+P90+P91+P92+P93</f>
        <v>456355.48814868531</v>
      </c>
      <c r="Q79" s="5760">
        <f t="shared" si="159"/>
        <v>293839.03439403203</v>
      </c>
      <c r="R79" s="5760">
        <f>+R80+R86+R90+R91+R92+R93</f>
        <v>842654.84577478247</v>
      </c>
      <c r="S79" s="5760">
        <f t="shared" ref="S79:T79" si="160">+S80+S86+S90+S91+S92+S93</f>
        <v>356831.67391867272</v>
      </c>
      <c r="T79" s="5760">
        <f t="shared" si="160"/>
        <v>485823.17185610975</v>
      </c>
      <c r="U79" s="5760">
        <f>+U80+U86+U90+U91+U92+U93</f>
        <v>1390006.8132633793</v>
      </c>
      <c r="V79" s="5760">
        <f t="shared" ref="V79:W79" si="161">+V80+V86+V90+V91+V92+V93</f>
        <v>617433.81173430756</v>
      </c>
      <c r="W79" s="5760">
        <f t="shared" si="161"/>
        <v>772573.00152907183</v>
      </c>
      <c r="X79" s="5760">
        <f>+X80+X86+X90+X91+X92+X93</f>
        <v>2026635.463410439</v>
      </c>
      <c r="Y79" s="5760">
        <f t="shared" ref="Y79:Z79" si="162">+Y80+Y86+Y90+Y91+Y92+Y93</f>
        <v>1073502.4820073519</v>
      </c>
      <c r="Z79" s="5760">
        <f t="shared" si="162"/>
        <v>953132.9814030875</v>
      </c>
    </row>
    <row r="80" spans="1:26" hidden="1">
      <c r="A80" s="857" t="s">
        <v>3</v>
      </c>
      <c r="B80" s="5761" t="s">
        <v>736</v>
      </c>
      <c r="C80" s="244"/>
      <c r="D80" s="244"/>
      <c r="E80" s="244"/>
      <c r="F80" s="244"/>
      <c r="G80" s="244"/>
      <c r="H80" s="244"/>
      <c r="I80" s="859">
        <f>SUM(I81:I85)</f>
        <v>-664350.16200000001</v>
      </c>
      <c r="J80" s="859">
        <f t="shared" ref="J80:K80" si="163">SUM(J81:J85)</f>
        <v>-623850.16200000001</v>
      </c>
      <c r="K80" s="859">
        <f t="shared" si="163"/>
        <v>-40500</v>
      </c>
      <c r="L80" s="859">
        <f>SUM(L81:L85)</f>
        <v>540322.04345691297</v>
      </c>
      <c r="M80" s="859">
        <f t="shared" ref="M80:N80" si="164">SUM(M81:M85)</f>
        <v>373822.04345691297</v>
      </c>
      <c r="N80" s="859">
        <f t="shared" si="164"/>
        <v>166500</v>
      </c>
      <c r="O80" s="859">
        <f>SUM(O81:O85)</f>
        <v>131495.71308592346</v>
      </c>
      <c r="P80" s="859">
        <f t="shared" ref="P80:Q80" si="165">SUM(P81:P85)</f>
        <v>103731.73224898695</v>
      </c>
      <c r="Q80" s="859">
        <f t="shared" si="165"/>
        <v>27763.980836936506</v>
      </c>
      <c r="R80" s="859">
        <f>SUM(R81:R85)</f>
        <v>231095.67231274361</v>
      </c>
      <c r="S80" s="859">
        <f t="shared" ref="S80:T80" si="166">SUM(S81:S85)</f>
        <v>158505.82820039685</v>
      </c>
      <c r="T80" s="859">
        <f t="shared" si="166"/>
        <v>72589.844112346764</v>
      </c>
      <c r="U80" s="859">
        <f>SUM(U81:U85)</f>
        <v>435946.81832517032</v>
      </c>
      <c r="V80" s="859">
        <f t="shared" ref="V80:W80" si="167">SUM(V81:V85)</f>
        <v>302892.8361328441</v>
      </c>
      <c r="W80" s="859">
        <f t="shared" si="167"/>
        <v>133053.98219232622</v>
      </c>
      <c r="X80" s="859">
        <f>SUM(X81:X85)</f>
        <v>848149.45423725352</v>
      </c>
      <c r="Y80" s="859">
        <f t="shared" ref="Y80:Z80" si="168">SUM(Y81:Y85)</f>
        <v>616990.72738578077</v>
      </c>
      <c r="Z80" s="859">
        <f t="shared" si="168"/>
        <v>231158.72685147275</v>
      </c>
    </row>
    <row r="81" spans="1:26" hidden="1">
      <c r="A81" s="861"/>
      <c r="B81" s="5762" t="str">
        <f>+B36</f>
        <v>Chi đầu tư xây dựng cơ bản</v>
      </c>
      <c r="C81" s="155"/>
      <c r="D81" s="155"/>
      <c r="E81" s="155"/>
      <c r="F81" s="155"/>
      <c r="G81" s="155"/>
      <c r="H81" s="155"/>
      <c r="I81" s="160">
        <f>SUM(J81:K81)</f>
        <v>-176296</v>
      </c>
      <c r="J81" s="160">
        <f>+J36-D36</f>
        <v>-185296</v>
      </c>
      <c r="K81" s="160">
        <f>+K36-E36</f>
        <v>9000</v>
      </c>
      <c r="L81" s="160">
        <f>SUM(M81:N81)</f>
        <v>240322.04345691297</v>
      </c>
      <c r="M81" s="160">
        <f>+M36-J36</f>
        <v>240322.04345691297</v>
      </c>
      <c r="N81" s="160">
        <f>+N36-K36</f>
        <v>0</v>
      </c>
      <c r="O81" s="160">
        <f>SUM(P81:Q81)</f>
        <v>131495.71308592346</v>
      </c>
      <c r="P81" s="160">
        <f>+P36-M36</f>
        <v>103731.73224898695</v>
      </c>
      <c r="Q81" s="160">
        <f>+Q36-N36</f>
        <v>27763.980836936506</v>
      </c>
      <c r="R81" s="160">
        <f>SUM(S81:T81)</f>
        <v>131095.67231274361</v>
      </c>
      <c r="S81" s="160">
        <f>+S36-P36</f>
        <v>58505.828200396849</v>
      </c>
      <c r="T81" s="160">
        <f>+T36-Q36</f>
        <v>72589.844112346764</v>
      </c>
      <c r="U81" s="160">
        <f>SUM(V81:W81)</f>
        <v>135946.81832517032</v>
      </c>
      <c r="V81" s="160">
        <f>+V36-S36</f>
        <v>92892.836132844095</v>
      </c>
      <c r="W81" s="160">
        <f>+W36-T36</f>
        <v>43053.982192326221</v>
      </c>
      <c r="X81" s="160">
        <f>SUM(Y81:Z81)</f>
        <v>148149.45423725352</v>
      </c>
      <c r="Y81" s="160">
        <f>+Y36-V36</f>
        <v>51990.727385780774</v>
      </c>
      <c r="Z81" s="160">
        <f>+Z36-W36</f>
        <v>96158.726851472748</v>
      </c>
    </row>
    <row r="82" spans="1:26" hidden="1">
      <c r="A82" s="861"/>
      <c r="B82" s="5762" t="str">
        <f>+B37</f>
        <v>Chi đầu tư từ nguồn thu tiền sử dụng đất</v>
      </c>
      <c r="C82" s="155"/>
      <c r="D82" s="155"/>
      <c r="E82" s="155"/>
      <c r="F82" s="155"/>
      <c r="G82" s="155"/>
      <c r="H82" s="155"/>
      <c r="I82" s="160">
        <f t="shared" ref="I82:I85" si="169">SUM(J82:K82)</f>
        <v>-170000</v>
      </c>
      <c r="J82" s="160">
        <f>+J37-D37</f>
        <v>-120500</v>
      </c>
      <c r="K82" s="160">
        <f>+K37-E37</f>
        <v>-49500</v>
      </c>
      <c r="L82" s="160">
        <f t="shared" ref="L82:L85" si="170">SUM(M82:N82)</f>
        <v>200000</v>
      </c>
      <c r="M82" s="160">
        <f>+M37-J37</f>
        <v>33500</v>
      </c>
      <c r="N82" s="160">
        <f>+N37-K37</f>
        <v>166500</v>
      </c>
      <c r="O82" s="160">
        <f t="shared" ref="O82:O85" si="171">SUM(P82:Q82)</f>
        <v>0</v>
      </c>
      <c r="P82" s="160">
        <f>+P37-M37</f>
        <v>0</v>
      </c>
      <c r="Q82" s="160">
        <f>+Q37-N37</f>
        <v>0</v>
      </c>
      <c r="R82" s="160">
        <f t="shared" ref="R82:R85" si="172">SUM(S82:T82)</f>
        <v>0</v>
      </c>
      <c r="S82" s="160">
        <f>+S37-P37</f>
        <v>0</v>
      </c>
      <c r="T82" s="160">
        <f>+T37-Q37</f>
        <v>0</v>
      </c>
      <c r="U82" s="160">
        <f t="shared" ref="U82:U85" si="173">SUM(V82:W82)</f>
        <v>150000</v>
      </c>
      <c r="V82" s="160">
        <f>+V37-S37</f>
        <v>60000</v>
      </c>
      <c r="W82" s="160">
        <f>+W37-T37</f>
        <v>90000</v>
      </c>
      <c r="X82" s="160">
        <f t="shared" ref="X82:X85" si="174">SUM(Y82:Z82)</f>
        <v>150000</v>
      </c>
      <c r="Y82" s="160">
        <f>+Y37-V37</f>
        <v>15000</v>
      </c>
      <c r="Z82" s="160">
        <f>+Z37-W37</f>
        <v>135000</v>
      </c>
    </row>
    <row r="83" spans="1:26" hidden="1">
      <c r="A83" s="861"/>
      <c r="B83" s="5762" t="str">
        <f>+B39</f>
        <v>Chi đầu tư từ nguồn thu xổ số kiến thiết</v>
      </c>
      <c r="C83" s="155"/>
      <c r="D83" s="155"/>
      <c r="E83" s="155"/>
      <c r="F83" s="155"/>
      <c r="G83" s="155"/>
      <c r="H83" s="155"/>
      <c r="I83" s="160">
        <f t="shared" si="169"/>
        <v>150000</v>
      </c>
      <c r="J83" s="160">
        <f>+J39-D39</f>
        <v>150000</v>
      </c>
      <c r="K83" s="160">
        <f>+K39-E39</f>
        <v>0</v>
      </c>
      <c r="L83" s="160">
        <f t="shared" si="170"/>
        <v>100000</v>
      </c>
      <c r="M83" s="160">
        <f>+M39-J39</f>
        <v>100000</v>
      </c>
      <c r="N83" s="160">
        <f>+N39-K39</f>
        <v>0</v>
      </c>
      <c r="O83" s="160">
        <f t="shared" si="171"/>
        <v>0</v>
      </c>
      <c r="P83" s="160">
        <f>+P39-M39</f>
        <v>0</v>
      </c>
      <c r="Q83" s="160">
        <f>+Q39-N39</f>
        <v>0</v>
      </c>
      <c r="R83" s="160">
        <f t="shared" si="172"/>
        <v>100000</v>
      </c>
      <c r="S83" s="160">
        <f>+S39-P39</f>
        <v>100000</v>
      </c>
      <c r="T83" s="160">
        <f>+T39-Q39</f>
        <v>0</v>
      </c>
      <c r="U83" s="160">
        <f t="shared" si="173"/>
        <v>150000</v>
      </c>
      <c r="V83" s="160">
        <f>+V39-S39</f>
        <v>150000</v>
      </c>
      <c r="W83" s="160">
        <f>+W39-T39</f>
        <v>0</v>
      </c>
      <c r="X83" s="160">
        <f t="shared" si="174"/>
        <v>550000</v>
      </c>
      <c r="Y83" s="160">
        <f>+Y39-V39</f>
        <v>550000</v>
      </c>
      <c r="Z83" s="160">
        <f>+Z39-W39</f>
        <v>0</v>
      </c>
    </row>
    <row r="84" spans="1:26" hidden="1">
      <c r="A84" s="861"/>
      <c r="B84" s="5762" t="str">
        <f>+B41</f>
        <v>Chi đầu tư từ nguồn thu thoái vốn doanh nghiệp nhà nước địa phương quản lý;…</v>
      </c>
      <c r="C84" s="155"/>
      <c r="D84" s="155"/>
      <c r="E84" s="155"/>
      <c r="F84" s="155"/>
      <c r="G84" s="155"/>
      <c r="H84" s="155"/>
      <c r="I84" s="160">
        <f t="shared" si="169"/>
        <v>-408054.16200000001</v>
      </c>
      <c r="J84" s="160">
        <f t="shared" ref="J84:K85" si="175">+J41-D41</f>
        <v>-408054.16200000001</v>
      </c>
      <c r="K84" s="160">
        <f t="shared" si="175"/>
        <v>0</v>
      </c>
      <c r="L84" s="160">
        <f t="shared" si="170"/>
        <v>0</v>
      </c>
      <c r="M84" s="160">
        <f t="shared" ref="M84:N85" si="176">+M41-J41</f>
        <v>0</v>
      </c>
      <c r="N84" s="160">
        <f t="shared" si="176"/>
        <v>0</v>
      </c>
      <c r="O84" s="160">
        <f t="shared" si="171"/>
        <v>0</v>
      </c>
      <c r="P84" s="160">
        <f t="shared" ref="P84:Q85" si="177">+P41-M41</f>
        <v>0</v>
      </c>
      <c r="Q84" s="160">
        <f t="shared" si="177"/>
        <v>0</v>
      </c>
      <c r="R84" s="160">
        <f t="shared" si="172"/>
        <v>0</v>
      </c>
      <c r="S84" s="160">
        <f t="shared" ref="S84:T85" si="178">+S41-P41</f>
        <v>0</v>
      </c>
      <c r="T84" s="160">
        <f t="shared" si="178"/>
        <v>0</v>
      </c>
      <c r="U84" s="160">
        <f t="shared" si="173"/>
        <v>0</v>
      </c>
      <c r="V84" s="160">
        <f t="shared" ref="V84:W85" si="179">+V41-S41</f>
        <v>0</v>
      </c>
      <c r="W84" s="160">
        <f t="shared" si="179"/>
        <v>0</v>
      </c>
      <c r="X84" s="160">
        <f t="shared" si="174"/>
        <v>0</v>
      </c>
      <c r="Y84" s="160">
        <f t="shared" ref="Y84:Z85" si="180">+Y41-V41</f>
        <v>0</v>
      </c>
      <c r="Z84" s="160">
        <f t="shared" si="180"/>
        <v>0</v>
      </c>
    </row>
    <row r="85" spans="1:26" hidden="1">
      <c r="A85" s="861"/>
      <c r="B85" s="5762" t="str">
        <f>+B42</f>
        <v>Chi đầu tư phát triển khác</v>
      </c>
      <c r="C85" s="155"/>
      <c r="D85" s="155"/>
      <c r="E85" s="155"/>
      <c r="F85" s="155"/>
      <c r="G85" s="155"/>
      <c r="H85" s="155"/>
      <c r="I85" s="160">
        <f t="shared" si="169"/>
        <v>-60000</v>
      </c>
      <c r="J85" s="160">
        <f t="shared" si="175"/>
        <v>-60000</v>
      </c>
      <c r="K85" s="160">
        <f t="shared" si="175"/>
        <v>0</v>
      </c>
      <c r="L85" s="160">
        <f t="shared" si="170"/>
        <v>0</v>
      </c>
      <c r="M85" s="160">
        <f t="shared" si="176"/>
        <v>0</v>
      </c>
      <c r="N85" s="160">
        <f t="shared" si="176"/>
        <v>0</v>
      </c>
      <c r="O85" s="160">
        <f t="shared" si="171"/>
        <v>0</v>
      </c>
      <c r="P85" s="160">
        <f t="shared" si="177"/>
        <v>0</v>
      </c>
      <c r="Q85" s="160">
        <f t="shared" si="177"/>
        <v>0</v>
      </c>
      <c r="R85" s="160">
        <f t="shared" si="172"/>
        <v>0</v>
      </c>
      <c r="S85" s="160">
        <f t="shared" si="178"/>
        <v>0</v>
      </c>
      <c r="T85" s="160">
        <f t="shared" si="178"/>
        <v>0</v>
      </c>
      <c r="U85" s="160">
        <f t="shared" si="173"/>
        <v>0</v>
      </c>
      <c r="V85" s="160">
        <f t="shared" si="179"/>
        <v>0</v>
      </c>
      <c r="W85" s="160">
        <f t="shared" si="179"/>
        <v>0</v>
      </c>
      <c r="X85" s="160">
        <f t="shared" si="174"/>
        <v>0</v>
      </c>
      <c r="Y85" s="160">
        <f t="shared" si="180"/>
        <v>0</v>
      </c>
      <c r="Z85" s="160">
        <f t="shared" si="180"/>
        <v>0</v>
      </c>
    </row>
    <row r="86" spans="1:26" hidden="1">
      <c r="A86" s="861" t="s">
        <v>33</v>
      </c>
      <c r="B86" s="5763" t="s">
        <v>737</v>
      </c>
      <c r="C86" s="155"/>
      <c r="D86" s="155"/>
      <c r="E86" s="155"/>
      <c r="F86" s="155"/>
      <c r="G86" s="155"/>
      <c r="H86" s="155"/>
      <c r="I86" s="161">
        <f>SUM(I87:I89)</f>
        <v>2096678.6552889217</v>
      </c>
      <c r="J86" s="161">
        <f t="shared" ref="J86:K86" si="181">SUM(J87:J89)</f>
        <v>385791.69299999997</v>
      </c>
      <c r="K86" s="161">
        <f t="shared" si="181"/>
        <v>1710886.9622889217</v>
      </c>
      <c r="L86" s="161">
        <f>SUM(L87:L89)</f>
        <v>288171.70611488598</v>
      </c>
      <c r="M86" s="161">
        <f t="shared" ref="M86:N86" si="182">SUM(M87:M89)</f>
        <v>139802.38992554098</v>
      </c>
      <c r="N86" s="161">
        <f t="shared" si="182"/>
        <v>148369.31618934497</v>
      </c>
      <c r="O86" s="161">
        <f>SUM(O87:O89)</f>
        <v>442223.23883219576</v>
      </c>
      <c r="P86" s="161">
        <f t="shared" ref="P86:Q86" si="183">SUM(P87:P89)</f>
        <v>154311.50735724115</v>
      </c>
      <c r="Q86" s="161">
        <f t="shared" si="183"/>
        <v>287911.73147495463</v>
      </c>
      <c r="R86" s="161">
        <f>SUM(R87:R89)</f>
        <v>229867.76791538426</v>
      </c>
      <c r="S86" s="161">
        <f>SUM(S87:S89)</f>
        <v>179316.96402790898</v>
      </c>
      <c r="T86" s="161">
        <f t="shared" ref="T86" si="184">SUM(T87:T89)</f>
        <v>50550.803887475282</v>
      </c>
      <c r="U86" s="161">
        <f>SUM(U87:U89)</f>
        <v>494720.16847655363</v>
      </c>
      <c r="V86" s="161">
        <f t="shared" ref="V86:W86" si="185">SUM(V87:V89)</f>
        <v>108477.96152079295</v>
      </c>
      <c r="W86" s="161">
        <f t="shared" si="185"/>
        <v>386242.20695576072</v>
      </c>
      <c r="X86" s="161">
        <f>SUM(X87:X89)</f>
        <v>674456.23007567413</v>
      </c>
      <c r="Y86" s="161">
        <f t="shared" ref="Y86:Z86" si="186">SUM(Y87:Y89)</f>
        <v>247007.37013301806</v>
      </c>
      <c r="Z86" s="161">
        <f t="shared" si="186"/>
        <v>427448.85994265601</v>
      </c>
    </row>
    <row r="87" spans="1:26" hidden="1">
      <c r="A87" s="861"/>
      <c r="B87" s="5762" t="s">
        <v>738</v>
      </c>
      <c r="C87" s="155"/>
      <c r="D87" s="155"/>
      <c r="E87" s="155"/>
      <c r="F87" s="155"/>
      <c r="G87" s="155"/>
      <c r="H87" s="155"/>
      <c r="I87" s="160">
        <f>SUM(J87:K87)</f>
        <v>1061567.2168202568</v>
      </c>
      <c r="J87" s="160">
        <f t="shared" ref="J87:K89" si="187">+J49-D49</f>
        <v>149974</v>
      </c>
      <c r="K87" s="160">
        <f t="shared" si="187"/>
        <v>911593.21682025678</v>
      </c>
      <c r="L87" s="160">
        <f>SUM(M87:N87)</f>
        <v>58588.95647619199</v>
      </c>
      <c r="M87" s="160">
        <f t="shared" ref="M87:N89" si="188">+M49-J49</f>
        <v>32378.353476061486</v>
      </c>
      <c r="N87" s="160">
        <f t="shared" si="188"/>
        <v>26210.603000130504</v>
      </c>
      <c r="O87" s="160">
        <f>SUM(P87:Q87)</f>
        <v>188157.90783555619</v>
      </c>
      <c r="P87" s="160">
        <f t="shared" ref="P87:Q89" si="189">+P49-M49</f>
        <v>44064.943865931593</v>
      </c>
      <c r="Q87" s="160">
        <f t="shared" si="189"/>
        <v>144092.9639696246</v>
      </c>
      <c r="R87" s="160">
        <f>SUM(S87:T87)</f>
        <v>25755.877869611839</v>
      </c>
      <c r="S87" s="160">
        <f t="shared" ref="S87:T89" si="190">+S49-P49</f>
        <v>2988.2308325192425</v>
      </c>
      <c r="T87" s="160">
        <f t="shared" si="190"/>
        <v>22767.647037092596</v>
      </c>
      <c r="U87" s="160">
        <f>SUM(V87:W87)</f>
        <v>258039.16362609272</v>
      </c>
      <c r="V87" s="160">
        <f t="shared" ref="V87:W89" si="191">+V49-S49</f>
        <v>50173.928209379548</v>
      </c>
      <c r="W87" s="160">
        <f t="shared" si="191"/>
        <v>207865.23541671317</v>
      </c>
      <c r="X87" s="160">
        <f>SUM(Y87:Z87)</f>
        <v>299442.9996499815</v>
      </c>
      <c r="Y87" s="160">
        <f>+Y49-V49</f>
        <v>78137.476682419423</v>
      </c>
      <c r="Z87" s="160">
        <f>+Z49-W49</f>
        <v>221305.52296756208</v>
      </c>
    </row>
    <row r="88" spans="1:26" hidden="1">
      <c r="A88" s="861"/>
      <c r="B88" s="5762" t="s">
        <v>739</v>
      </c>
      <c r="C88" s="155"/>
      <c r="D88" s="155"/>
      <c r="E88" s="155"/>
      <c r="F88" s="155"/>
      <c r="G88" s="155"/>
      <c r="H88" s="155"/>
      <c r="I88" s="160">
        <f t="shared" ref="I88:I89" si="192">SUM(J88:K88)</f>
        <v>89</v>
      </c>
      <c r="J88" s="160">
        <f t="shared" si="187"/>
        <v>89</v>
      </c>
      <c r="K88" s="160">
        <f t="shared" si="187"/>
        <v>0</v>
      </c>
      <c r="L88" s="160">
        <f t="shared" ref="L88:L89" si="193">SUM(M88:N88)</f>
        <v>915.97986018619849</v>
      </c>
      <c r="M88" s="160">
        <f t="shared" si="188"/>
        <v>915.97986018619849</v>
      </c>
      <c r="N88" s="160">
        <f t="shared" si="188"/>
        <v>0</v>
      </c>
      <c r="O88" s="160">
        <f t="shared" ref="O88:O89" si="194">SUM(P88:Q88)</f>
        <v>1246.5921453130795</v>
      </c>
      <c r="P88" s="160">
        <f t="shared" si="189"/>
        <v>1246.5921453130795</v>
      </c>
      <c r="Q88" s="160">
        <f t="shared" si="189"/>
        <v>0</v>
      </c>
      <c r="R88" s="160">
        <f t="shared" ref="R88:R89" si="195">SUM(S88:T88)</f>
        <v>-0.33294838143774541</v>
      </c>
      <c r="S88" s="160">
        <f t="shared" si="190"/>
        <v>-0.33294838143774541</v>
      </c>
      <c r="T88" s="160">
        <f t="shared" si="190"/>
        <v>0</v>
      </c>
      <c r="U88" s="160">
        <f t="shared" ref="U88:U89" si="196">SUM(V88:W88)</f>
        <v>657.5697002641682</v>
      </c>
      <c r="V88" s="160">
        <f t="shared" si="191"/>
        <v>657.5697002641682</v>
      </c>
      <c r="W88" s="160">
        <f t="shared" si="191"/>
        <v>0</v>
      </c>
      <c r="X88" s="160">
        <f t="shared" ref="X88:X89" si="197">SUM(Y88:Z88)</f>
        <v>776.73451769020176</v>
      </c>
      <c r="Y88" s="160">
        <f t="shared" ref="Y88:Z89" si="198">+Y50-V50</f>
        <v>776.73451769020176</v>
      </c>
      <c r="Z88" s="160">
        <f t="shared" si="198"/>
        <v>0</v>
      </c>
    </row>
    <row r="89" spans="1:26" hidden="1">
      <c r="A89" s="861"/>
      <c r="B89" s="5762" t="s">
        <v>740</v>
      </c>
      <c r="C89" s="155"/>
      <c r="D89" s="155"/>
      <c r="E89" s="155"/>
      <c r="F89" s="155"/>
      <c r="G89" s="155"/>
      <c r="H89" s="155"/>
      <c r="I89" s="160">
        <f t="shared" si="192"/>
        <v>1035022.4384686649</v>
      </c>
      <c r="J89" s="160">
        <f t="shared" si="187"/>
        <v>235728.69299999997</v>
      </c>
      <c r="K89" s="160">
        <f t="shared" si="187"/>
        <v>799293.74546866491</v>
      </c>
      <c r="L89" s="160">
        <f t="shared" si="193"/>
        <v>228666.76977850776</v>
      </c>
      <c r="M89" s="160">
        <f t="shared" si="188"/>
        <v>106508.05658929329</v>
      </c>
      <c r="N89" s="160">
        <f t="shared" si="188"/>
        <v>122158.71318921447</v>
      </c>
      <c r="O89" s="160">
        <f t="shared" si="194"/>
        <v>252818.73885132652</v>
      </c>
      <c r="P89" s="160">
        <f t="shared" si="189"/>
        <v>108999.97134599648</v>
      </c>
      <c r="Q89" s="160">
        <f t="shared" si="189"/>
        <v>143818.76750533003</v>
      </c>
      <c r="R89" s="160">
        <f t="shared" si="195"/>
        <v>204112.22299415385</v>
      </c>
      <c r="S89" s="160">
        <f t="shared" si="190"/>
        <v>176329.06614377117</v>
      </c>
      <c r="T89" s="160">
        <f t="shared" si="190"/>
        <v>27783.156850382686</v>
      </c>
      <c r="U89" s="160">
        <f t="shared" si="196"/>
        <v>236023.43515019678</v>
      </c>
      <c r="V89" s="160">
        <f t="shared" si="191"/>
        <v>57646.463611149229</v>
      </c>
      <c r="W89" s="160">
        <f t="shared" si="191"/>
        <v>178376.97153904755</v>
      </c>
      <c r="X89" s="160">
        <f t="shared" si="197"/>
        <v>374236.49590800237</v>
      </c>
      <c r="Y89" s="160">
        <f t="shared" si="198"/>
        <v>168093.15893290844</v>
      </c>
      <c r="Z89" s="160">
        <f t="shared" si="198"/>
        <v>206143.33697509393</v>
      </c>
    </row>
    <row r="90" spans="1:26" hidden="1">
      <c r="A90" s="861" t="s">
        <v>182</v>
      </c>
      <c r="B90" s="5763" t="s">
        <v>741</v>
      </c>
      <c r="C90" s="155"/>
      <c r="D90" s="155"/>
      <c r="E90" s="155"/>
      <c r="F90" s="155"/>
      <c r="G90" s="155"/>
      <c r="H90" s="155"/>
      <c r="I90" s="161">
        <f>SUM(J90:K90)</f>
        <v>-197499.2</v>
      </c>
      <c r="J90" s="161">
        <f>+J53-D53</f>
        <v>-79139.200000000012</v>
      </c>
      <c r="K90" s="161">
        <f>+K53-E53</f>
        <v>-118360</v>
      </c>
      <c r="L90" s="161">
        <f>SUM(M90:N90)</f>
        <v>106217.15251171633</v>
      </c>
      <c r="M90" s="161">
        <f>+M53-J53</f>
        <v>202308.50969414107</v>
      </c>
      <c r="N90" s="161">
        <f>+N53-K53</f>
        <v>-96091.357182424748</v>
      </c>
      <c r="O90" s="161">
        <f>SUM(P90:Q90)</f>
        <v>163506.37367940272</v>
      </c>
      <c r="P90" s="161">
        <f>+P53-M53</f>
        <v>191783.66068062928</v>
      </c>
      <c r="Q90" s="161">
        <f>+Q53-N53</f>
        <v>-28277.287001226563</v>
      </c>
      <c r="R90" s="161">
        <f>SUM(S90:T90)</f>
        <v>344703.53486553975</v>
      </c>
      <c r="S90" s="161">
        <f>+S53-P53</f>
        <v>9010.6253903972683</v>
      </c>
      <c r="T90" s="161">
        <f>+T53-Q53</f>
        <v>335692.90947514249</v>
      </c>
      <c r="U90" s="161">
        <f>SUM(V90:W90)</f>
        <v>421166.08308343083</v>
      </c>
      <c r="V90" s="161">
        <f>+V53-S53</f>
        <v>192422.75421250967</v>
      </c>
      <c r="W90" s="161">
        <f>+W53-T53</f>
        <v>228743.32887092116</v>
      </c>
      <c r="X90" s="161">
        <f>SUM(Y90:Z90)</f>
        <v>487840.64812168397</v>
      </c>
      <c r="Y90" s="161">
        <f>+Y53-V53</f>
        <v>204976.83407901949</v>
      </c>
      <c r="Z90" s="161">
        <f>+Z53-W53</f>
        <v>282863.81404266448</v>
      </c>
    </row>
    <row r="91" spans="1:26" hidden="1">
      <c r="A91" s="861" t="s">
        <v>744</v>
      </c>
      <c r="B91" s="5763" t="s">
        <v>742</v>
      </c>
      <c r="C91" s="155"/>
      <c r="D91" s="155"/>
      <c r="E91" s="155"/>
      <c r="F91" s="155"/>
      <c r="G91" s="155"/>
      <c r="H91" s="155"/>
      <c r="I91" s="161">
        <f>SUM(J91:K91)</f>
        <v>0</v>
      </c>
      <c r="J91" s="161">
        <f>+J55-D55</f>
        <v>0</v>
      </c>
      <c r="K91" s="161">
        <f>-K55-E55</f>
        <v>0</v>
      </c>
      <c r="L91" s="161">
        <f>SUM(M91:N91)</f>
        <v>0</v>
      </c>
      <c r="M91" s="161">
        <f t="shared" ref="M91:N93" si="199">+M55-J55</f>
        <v>0</v>
      </c>
      <c r="N91" s="161">
        <f t="shared" si="199"/>
        <v>0</v>
      </c>
      <c r="O91" s="161">
        <f>SUM(P91:Q91)</f>
        <v>0</v>
      </c>
      <c r="P91" s="161">
        <f t="shared" ref="P91:Q93" si="200">+P55-M55</f>
        <v>0</v>
      </c>
      <c r="Q91" s="161">
        <f t="shared" si="200"/>
        <v>0</v>
      </c>
      <c r="R91" s="161">
        <f>SUM(S91:T91)</f>
        <v>0</v>
      </c>
      <c r="S91" s="161">
        <f t="shared" ref="S91:T93" si="201">+S55-P55</f>
        <v>0</v>
      </c>
      <c r="T91" s="161">
        <f t="shared" si="201"/>
        <v>0</v>
      </c>
      <c r="U91" s="161">
        <f>SUM(V91:W91)</f>
        <v>0</v>
      </c>
      <c r="V91" s="161">
        <f t="shared" ref="V91:W93" si="202">+V55-S55</f>
        <v>0</v>
      </c>
      <c r="W91" s="161">
        <f t="shared" si="202"/>
        <v>0</v>
      </c>
      <c r="X91" s="161">
        <f>SUM(Y91:Z91)</f>
        <v>0</v>
      </c>
      <c r="Y91" s="161">
        <f t="shared" ref="Y91:Z93" si="203">+Y55-V55</f>
        <v>0</v>
      </c>
      <c r="Z91" s="161">
        <f t="shared" si="203"/>
        <v>0</v>
      </c>
    </row>
    <row r="92" spans="1:26" hidden="1">
      <c r="A92" s="861" t="s">
        <v>744</v>
      </c>
      <c r="B92" s="5763" t="s">
        <v>743</v>
      </c>
      <c r="C92" s="155"/>
      <c r="D92" s="155"/>
      <c r="E92" s="155"/>
      <c r="F92" s="155"/>
      <c r="G92" s="155"/>
      <c r="H92" s="155"/>
      <c r="I92" s="161">
        <f>SUM(J92:K92)</f>
        <v>48532.149999999965</v>
      </c>
      <c r="J92" s="161">
        <f>+J56-D56</f>
        <v>11695.100000000006</v>
      </c>
      <c r="K92" s="161">
        <f>+K56-E56</f>
        <v>36837.049999999959</v>
      </c>
      <c r="L92" s="161">
        <f>SUM(M92:N92)</f>
        <v>5968.6732567395084</v>
      </c>
      <c r="M92" s="161">
        <f t="shared" si="199"/>
        <v>4797.1223141218652</v>
      </c>
      <c r="N92" s="161">
        <f t="shared" si="199"/>
        <v>1171.5509426176432</v>
      </c>
      <c r="O92" s="161">
        <f>SUM(P92:Q92)</f>
        <v>12969.196945195348</v>
      </c>
      <c r="P92" s="161">
        <f t="shared" si="200"/>
        <v>6528.5878618278948</v>
      </c>
      <c r="Q92" s="161">
        <f t="shared" si="200"/>
        <v>6440.6090833674534</v>
      </c>
      <c r="R92" s="161">
        <f>SUM(S92:T92)</f>
        <v>36987.870681114815</v>
      </c>
      <c r="S92" s="161">
        <f t="shared" si="201"/>
        <v>9998.2562999696238</v>
      </c>
      <c r="T92" s="161">
        <f t="shared" si="201"/>
        <v>26989.614381145191</v>
      </c>
      <c r="U92" s="161">
        <f>SUM(V92:W92)</f>
        <v>38173.74337822455</v>
      </c>
      <c r="V92" s="161">
        <f t="shared" si="202"/>
        <v>13640.259868160821</v>
      </c>
      <c r="W92" s="161">
        <f t="shared" si="202"/>
        <v>24533.483510063728</v>
      </c>
      <c r="X92" s="161">
        <f>SUM(Y92:Z92)</f>
        <v>16189.130975827662</v>
      </c>
      <c r="Y92" s="161">
        <f t="shared" si="203"/>
        <v>4527.5504095334618</v>
      </c>
      <c r="Z92" s="161">
        <f t="shared" si="203"/>
        <v>11661.5805662942</v>
      </c>
    </row>
    <row r="93" spans="1:26" hidden="1">
      <c r="A93" s="5764" t="s">
        <v>745</v>
      </c>
      <c r="B93" s="5765" t="s">
        <v>213</v>
      </c>
      <c r="C93" s="753"/>
      <c r="D93" s="753"/>
      <c r="E93" s="753"/>
      <c r="F93" s="753"/>
      <c r="G93" s="753"/>
      <c r="H93" s="753"/>
      <c r="I93" s="183">
        <f>SUM(J93:K93)</f>
        <v>500</v>
      </c>
      <c r="J93" s="183">
        <f>+J57-D57</f>
        <v>500</v>
      </c>
      <c r="K93" s="183">
        <f>+K57-E57</f>
        <v>0</v>
      </c>
      <c r="L93" s="183">
        <f>SUM(M93:N93)</f>
        <v>0</v>
      </c>
      <c r="M93" s="183">
        <f t="shared" si="199"/>
        <v>0</v>
      </c>
      <c r="N93" s="183">
        <f t="shared" si="199"/>
        <v>0</v>
      </c>
      <c r="O93" s="183">
        <f>SUM(P93:Q93)</f>
        <v>0</v>
      </c>
      <c r="P93" s="183">
        <f t="shared" si="200"/>
        <v>0</v>
      </c>
      <c r="Q93" s="183">
        <f t="shared" si="200"/>
        <v>0</v>
      </c>
      <c r="R93" s="183">
        <f>SUM(S93:T93)</f>
        <v>0</v>
      </c>
      <c r="S93" s="183">
        <f t="shared" si="201"/>
        <v>0</v>
      </c>
      <c r="T93" s="183">
        <f t="shared" si="201"/>
        <v>0</v>
      </c>
      <c r="U93" s="183">
        <f>SUM(V93:W93)</f>
        <v>0</v>
      </c>
      <c r="V93" s="183">
        <f t="shared" si="202"/>
        <v>0</v>
      </c>
      <c r="W93" s="183">
        <f t="shared" si="202"/>
        <v>0</v>
      </c>
      <c r="X93" s="183">
        <f>SUM(Y93:Z93)</f>
        <v>0</v>
      </c>
      <c r="Y93" s="183">
        <f t="shared" si="203"/>
        <v>0</v>
      </c>
      <c r="Z93" s="183">
        <f t="shared" si="203"/>
        <v>0</v>
      </c>
    </row>
    <row r="94" spans="1:26" hidden="1"/>
    <row r="95" spans="1:26" hidden="1">
      <c r="J95" s="6"/>
    </row>
    <row r="96" spans="1:26">
      <c r="I96" s="6">
        <f t="shared" ref="I96:J96" si="204">+I8-I33</f>
        <v>186699.99999999627</v>
      </c>
      <c r="J96" s="6">
        <f t="shared" si="204"/>
        <v>7265051.9069999978</v>
      </c>
      <c r="K96" s="6">
        <f>+K8-K33</f>
        <v>-7078351.9070000034</v>
      </c>
    </row>
    <row r="99" spans="2:2">
      <c r="B99" s="1" t="s">
        <v>117</v>
      </c>
    </row>
  </sheetData>
  <mergeCells count="19">
    <mergeCell ref="A1:K1"/>
    <mergeCell ref="A2:K2"/>
    <mergeCell ref="A3:K3"/>
    <mergeCell ref="A6:A7"/>
    <mergeCell ref="B6:B7"/>
    <mergeCell ref="C6:E6"/>
    <mergeCell ref="F6:H6"/>
    <mergeCell ref="I6:K6"/>
    <mergeCell ref="I78:K78"/>
    <mergeCell ref="L78:N78"/>
    <mergeCell ref="O78:Q78"/>
    <mergeCell ref="R78:T78"/>
    <mergeCell ref="U78:W78"/>
    <mergeCell ref="X78:Z78"/>
    <mergeCell ref="L6:N6"/>
    <mergeCell ref="O6:Q6"/>
    <mergeCell ref="R6:T6"/>
    <mergeCell ref="U6:W6"/>
    <mergeCell ref="X6:Z6"/>
  </mergeCells>
  <conditionalFormatting sqref="B80:B93">
    <cfRule type="expression" dxfId="1" priority="1">
      <formula>MOD(COLUMN(),2)</formula>
    </cfRule>
  </conditionalFormatting>
  <hyperlinks>
    <hyperlink ref="A6:A7" location="'Danh mục file'!A1" display="TT"/>
  </hyperlinks>
  <printOptions horizontalCentered="1"/>
  <pageMargins left="0" right="0" top="0.39370078740157483" bottom="0" header="0" footer="0"/>
  <pageSetup paperSize="9" scale="50" orientation="portrait" r:id="rId1"/>
  <headerFooter>
    <oddHeader>&amp;R&amp;"Times New Roman,Bold"&amp;9&amp;A</oddHeader>
    <oddFooter>&amp;C&amp;"Times New Roman,Bold"&amp;9&amp;P/&amp;N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7"/>
  <sheetViews>
    <sheetView topLeftCell="A4" workbookViewId="0">
      <selection activeCell="J18" sqref="J18"/>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74" t="s">
        <v>1658</v>
      </c>
      <c r="B1" s="6574"/>
      <c r="C1" s="6574"/>
    </row>
    <row r="2" spans="1:7" s="386" customFormat="1" ht="17.399999999999999" hidden="1">
      <c r="A2" s="6574" t="s">
        <v>1673</v>
      </c>
      <c r="B2" s="6574"/>
      <c r="C2" s="6574"/>
    </row>
    <row r="3" spans="1:7" s="386" customFormat="1" ht="17.399999999999999" hidden="1">
      <c r="C3" s="641"/>
    </row>
    <row r="4" spans="1:7">
      <c r="A4" s="6290" t="s">
        <v>3186</v>
      </c>
      <c r="B4" s="6080"/>
      <c r="C4" s="6080"/>
    </row>
    <row r="5" spans="1:7">
      <c r="A5" s="6595" t="s">
        <v>3282</v>
      </c>
      <c r="B5" s="6595"/>
      <c r="C5" s="6595"/>
    </row>
    <row r="6" spans="1:7">
      <c r="A6" s="317"/>
      <c r="B6" s="317"/>
      <c r="C6" s="317"/>
    </row>
    <row r="7" spans="1:7" ht="18.600000000000001" thickBot="1">
      <c r="A7" s="317"/>
      <c r="B7" s="6506" t="s">
        <v>638</v>
      </c>
      <c r="C7" s="6506"/>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1:C1"/>
    <mergeCell ref="A2:C2"/>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45"/>
  <sheetViews>
    <sheetView topLeftCell="A4" workbookViewId="0">
      <selection activeCell="D28" sqref="D28"/>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596" t="s">
        <v>3190</v>
      </c>
      <c r="B4" s="6596"/>
      <c r="C4" s="6596"/>
    </row>
    <row r="5" spans="1:3" s="2663" customFormat="1">
      <c r="A5" s="6597" t="str">
        <f>+'Phụ lục 1-CKNS'!A5:C5</f>
        <v>(Kèm theo Quyết định số       /QĐ-UBND-HC ngày     /12/2024 của Ủy ban nhân dân tỉnh Đồng Tháp)</v>
      </c>
      <c r="B5" s="6597"/>
      <c r="C5" s="6597"/>
    </row>
    <row r="6" spans="1:3" s="2663" customFormat="1">
      <c r="A6" s="5256"/>
      <c r="B6" s="5256"/>
      <c r="C6" s="5256"/>
    </row>
    <row r="7" spans="1:3" s="2663" customFormat="1" thickBot="1">
      <c r="A7" s="5257"/>
      <c r="B7" s="6598" t="s">
        <v>638</v>
      </c>
      <c r="C7" s="6598"/>
    </row>
    <row r="8" spans="1:3" s="2668" customFormat="1" thickTop="1">
      <c r="A8" s="6599" t="s">
        <v>1660</v>
      </c>
      <c r="B8" s="6601" t="s">
        <v>201</v>
      </c>
      <c r="C8" s="6603" t="s">
        <v>1455</v>
      </c>
    </row>
    <row r="9" spans="1:3" s="2668" customFormat="1" ht="17.399999999999999">
      <c r="A9" s="6600"/>
      <c r="B9" s="6602"/>
      <c r="C9" s="6604"/>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61"/>
  <sheetViews>
    <sheetView topLeftCell="A4" workbookViewId="0">
      <selection activeCell="A6" sqref="A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07" t="s">
        <v>1658</v>
      </c>
      <c r="C1" s="6507"/>
      <c r="D1" s="6507"/>
    </row>
    <row r="2" spans="1:8" s="386" customFormat="1" ht="17.399999999999999" hidden="1">
      <c r="B2" s="6507" t="s">
        <v>1659</v>
      </c>
      <c r="C2" s="6507"/>
      <c r="D2" s="6507"/>
    </row>
    <row r="3" spans="1:8" s="386" customFormat="1" ht="17.399999999999999" hidden="1">
      <c r="B3" s="641"/>
      <c r="C3" s="6281"/>
      <c r="D3" s="6281"/>
      <c r="E3" s="6281"/>
    </row>
    <row r="4" spans="1:8" s="386" customFormat="1" ht="17.399999999999999">
      <c r="A4" s="6290" t="s">
        <v>1416</v>
      </c>
      <c r="B4" s="6080"/>
      <c r="C4" s="6080"/>
      <c r="D4" s="6080"/>
      <c r="E4" s="6080"/>
    </row>
    <row r="5" spans="1:8" s="386" customFormat="1">
      <c r="A5" s="6508" t="str">
        <f>+'Phụ lục 2-CKNS'!A5:C5</f>
        <v>(Kèm theo Quyết định số       /QĐ-UBND-HC ngày     /12/2024 của Ủy ban nhân dân tỉnh Đồng Tháp)</v>
      </c>
      <c r="B5" s="6509"/>
      <c r="C5" s="6509"/>
      <c r="D5" s="6509"/>
      <c r="E5" s="6509"/>
    </row>
    <row r="6" spans="1:8" s="386" customFormat="1" ht="17.399999999999999">
      <c r="A6" s="2761"/>
      <c r="B6" s="319"/>
      <c r="C6" s="319"/>
      <c r="D6" s="319"/>
      <c r="E6" s="319"/>
    </row>
    <row r="7" spans="1:8" ht="18.600000000000001" thickBot="1">
      <c r="A7" s="47"/>
      <c r="B7" s="6506" t="s">
        <v>638</v>
      </c>
      <c r="C7" s="6506"/>
      <c r="D7" s="6506"/>
      <c r="E7" s="6506"/>
    </row>
    <row r="8" spans="1:8" s="386" customFormat="1" thickTop="1">
      <c r="A8" s="6501" t="s">
        <v>1660</v>
      </c>
      <c r="B8" s="6503" t="s">
        <v>137</v>
      </c>
      <c r="C8" s="6078" t="s">
        <v>1455</v>
      </c>
      <c r="D8" s="6078"/>
      <c r="E8" s="6079"/>
    </row>
    <row r="9" spans="1:8" s="386" customFormat="1" ht="17.399999999999999">
      <c r="A9" s="6502"/>
      <c r="B9" s="6292"/>
      <c r="C9" s="6292" t="s">
        <v>54</v>
      </c>
      <c r="D9" s="6504" t="s">
        <v>1710</v>
      </c>
      <c r="E9" s="6505"/>
    </row>
    <row r="10" spans="1:8" s="431" customFormat="1" ht="69.599999999999994">
      <c r="A10" s="6502"/>
      <c r="B10" s="6292"/>
      <c r="C10" s="6292"/>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00" t="str">
        <f>+'Phụ lục số 4'!B70</f>
        <v>- Trả nợ vay từ nguồn vốn Chính phủ vay về cho vay lại</v>
      </c>
      <c r="C55" s="6500"/>
      <c r="D55" s="5287">
        <f>+'Phụ lục số 4'!C70</f>
        <v>20800</v>
      </c>
      <c r="E55" s="5285" t="s">
        <v>3220</v>
      </c>
    </row>
    <row r="56" spans="1:5" s="873" customFormat="1">
      <c r="A56" s="1649"/>
      <c r="B56" s="6500" t="str">
        <f>+'Phụ lục số 4'!B71</f>
        <v>- Chương trình Cụm tuyến dân cư, tôn nền vượt lũ</v>
      </c>
      <c r="C56" s="6500"/>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7:E7"/>
    <mergeCell ref="B1:D1"/>
    <mergeCell ref="B2:D2"/>
    <mergeCell ref="C3:E3"/>
    <mergeCell ref="A4:E4"/>
    <mergeCell ref="A5:E5"/>
    <mergeCell ref="B56:C56"/>
    <mergeCell ref="A8:A10"/>
    <mergeCell ref="B8:B10"/>
    <mergeCell ref="C8:E8"/>
    <mergeCell ref="C9:C10"/>
    <mergeCell ref="D9:E9"/>
    <mergeCell ref="B55:C5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sheetPr>
  <dimension ref="A1:AH90"/>
  <sheetViews>
    <sheetView topLeftCell="A2" workbookViewId="0">
      <pane xSplit="2" ySplit="8" topLeftCell="C10" activePane="bottomRight" state="frozen"/>
      <selection activeCell="A2" sqref="A2"/>
      <selection pane="topRight" activeCell="C2" sqref="C2"/>
      <selection pane="bottomLeft" activeCell="A10" sqref="A10"/>
      <selection pane="bottomRight" activeCell="A6" sqref="A6:A8"/>
    </sheetView>
  </sheetViews>
  <sheetFormatPr defaultColWidth="10.33203125" defaultRowHeight="15.6"/>
  <cols>
    <col min="1" max="1" width="5.44140625" style="1095" bestFit="1" customWidth="1"/>
    <col min="2" max="2" width="67.33203125" style="1095" customWidth="1"/>
    <col min="3" max="3" width="11.6640625" style="1096" customWidth="1"/>
    <col min="4" max="4" width="11.6640625" style="1097" customWidth="1"/>
    <col min="5" max="13" width="11.6640625" style="1098" customWidth="1"/>
    <col min="14" max="14" width="13" style="1098" customWidth="1"/>
    <col min="15" max="15" width="13.6640625" style="1098" customWidth="1"/>
    <col min="16" max="19" width="11.6640625" style="1098" customWidth="1"/>
    <col min="20" max="22" width="11.6640625" style="2064" hidden="1" customWidth="1"/>
    <col min="23" max="30" width="11.6640625" style="1098" customWidth="1"/>
    <col min="31" max="32" width="11.6640625" style="1098" hidden="1" customWidth="1"/>
    <col min="33" max="33" width="11.6640625" style="1519" customWidth="1"/>
    <col min="34" max="16384" width="10.33203125" style="1095"/>
  </cols>
  <sheetData>
    <row r="1" spans="1:34" ht="17.399999999999999">
      <c r="A1" s="6111" t="s">
        <v>980</v>
      </c>
      <c r="B1" s="6111"/>
      <c r="L1" s="1090"/>
      <c r="M1" s="1090"/>
      <c r="N1" s="1090"/>
      <c r="O1" s="1090"/>
      <c r="P1" s="1090"/>
      <c r="Q1" s="1090"/>
      <c r="R1" s="1090"/>
      <c r="S1" s="1090"/>
      <c r="T1" s="2053"/>
      <c r="U1" s="2053"/>
      <c r="V1" s="2053"/>
      <c r="W1" s="1090"/>
      <c r="X1" s="1090"/>
      <c r="Y1" s="1090"/>
      <c r="Z1" s="1090"/>
      <c r="AA1" s="1090"/>
      <c r="AB1" s="1090"/>
      <c r="AC1" s="1090"/>
      <c r="AD1" s="1090"/>
      <c r="AE1" s="1090"/>
      <c r="AF1" s="1090"/>
      <c r="AG1" s="1089"/>
      <c r="AH1" s="1090"/>
    </row>
    <row r="2" spans="1:34" ht="18.75" customHeight="1">
      <c r="A2" s="6109" t="s">
        <v>981</v>
      </c>
      <c r="B2" s="6109"/>
      <c r="C2" s="6109"/>
      <c r="D2" s="6109"/>
      <c r="E2" s="6109"/>
      <c r="F2" s="6109"/>
      <c r="G2" s="6109"/>
      <c r="H2" s="6109"/>
      <c r="I2" s="6109"/>
      <c r="J2" s="6109"/>
      <c r="K2" s="6109"/>
      <c r="L2" s="2083"/>
      <c r="M2" s="2083"/>
      <c r="N2" s="2083"/>
      <c r="O2" s="2083"/>
      <c r="P2" s="2083"/>
      <c r="Q2" s="2083"/>
      <c r="R2" s="2083"/>
      <c r="S2" s="2083"/>
      <c r="T2" s="2083"/>
      <c r="U2" s="2083"/>
      <c r="V2" s="2083"/>
      <c r="W2" s="2083"/>
      <c r="X2" s="2083"/>
      <c r="Y2" s="2083"/>
      <c r="Z2" s="2083"/>
      <c r="AA2" s="2083"/>
      <c r="AB2" s="2083"/>
      <c r="AC2" s="2083"/>
      <c r="AD2" s="2083"/>
      <c r="AE2" s="2083"/>
      <c r="AF2" s="2083"/>
      <c r="AG2" s="2083"/>
    </row>
    <row r="3" spans="1:34" ht="18.75" customHeight="1">
      <c r="A3" s="6110" t="s">
        <v>1200</v>
      </c>
      <c r="B3" s="6110"/>
      <c r="C3" s="6110"/>
      <c r="D3" s="6110"/>
      <c r="E3" s="6110"/>
      <c r="F3" s="6110"/>
      <c r="G3" s="6110"/>
      <c r="H3" s="6110"/>
      <c r="I3" s="6110"/>
      <c r="J3" s="6110"/>
      <c r="K3" s="6110"/>
      <c r="L3" s="2084"/>
      <c r="M3" s="2084"/>
      <c r="N3" s="2084"/>
      <c r="O3" s="2084"/>
      <c r="P3" s="2084"/>
      <c r="Q3" s="2084"/>
      <c r="R3" s="2084"/>
      <c r="S3" s="2084"/>
      <c r="T3" s="2084"/>
      <c r="U3" s="2084"/>
      <c r="V3" s="2084"/>
      <c r="W3" s="2084"/>
      <c r="X3" s="2084"/>
      <c r="Y3" s="2084"/>
      <c r="Z3" s="2084"/>
      <c r="AA3" s="2084"/>
      <c r="AB3" s="2084"/>
      <c r="AC3" s="2084"/>
      <c r="AD3" s="2084"/>
      <c r="AE3" s="2084"/>
      <c r="AF3" s="2084"/>
      <c r="AG3" s="2084"/>
    </row>
    <row r="4" spans="1:34" ht="18">
      <c r="A4" s="1093"/>
      <c r="B4" s="1094"/>
      <c r="C4" s="1092"/>
      <c r="D4" s="1092"/>
      <c r="E4" s="1091"/>
      <c r="F4" s="1091"/>
      <c r="G4" s="1091"/>
      <c r="H4" s="1091"/>
      <c r="I4" s="1091"/>
      <c r="J4" s="1091"/>
      <c r="K4" s="1091"/>
      <c r="L4" s="1092"/>
      <c r="M4" s="1092"/>
      <c r="N4" s="1092"/>
      <c r="O4" s="1092"/>
      <c r="P4" s="1092"/>
      <c r="Q4" s="1092"/>
      <c r="R4" s="1092"/>
      <c r="S4" s="1092"/>
      <c r="T4" s="2054"/>
      <c r="U4" s="2054"/>
      <c r="V4" s="2054"/>
      <c r="W4" s="1092"/>
      <c r="X4" s="1092"/>
      <c r="Y4" s="1092"/>
      <c r="Z4" s="1092"/>
      <c r="AA4" s="1092"/>
      <c r="AB4" s="1092"/>
      <c r="AC4" s="1092"/>
      <c r="AD4" s="1092"/>
      <c r="AE4" s="1092"/>
      <c r="AF4" s="1092"/>
    </row>
    <row r="5" spans="1:34">
      <c r="L5" s="1100"/>
      <c r="M5" s="1100"/>
      <c r="N5" s="1100"/>
      <c r="O5" s="1100"/>
      <c r="P5" s="1100"/>
      <c r="Q5" s="1496"/>
      <c r="R5" s="1496"/>
      <c r="S5" s="1496"/>
      <c r="T5" s="2055"/>
      <c r="U5" s="2055"/>
      <c r="V5" s="2055"/>
      <c r="W5" s="1100"/>
      <c r="X5" s="1100"/>
      <c r="Y5" s="1100"/>
      <c r="Z5" s="1100"/>
      <c r="AA5" s="1100"/>
      <c r="AB5" s="1100"/>
      <c r="AC5" s="1100"/>
      <c r="AD5" s="1100"/>
      <c r="AE5" s="1100"/>
      <c r="AF5" s="1100"/>
      <c r="AG5" s="1099" t="s">
        <v>982</v>
      </c>
    </row>
    <row r="6" spans="1:34" s="1520" customFormat="1" ht="17.100000000000001" customHeight="1">
      <c r="A6" s="6073" t="s">
        <v>247</v>
      </c>
      <c r="B6" s="6112" t="s">
        <v>983</v>
      </c>
      <c r="C6" s="6113" t="s">
        <v>984</v>
      </c>
      <c r="D6" s="6113"/>
      <c r="E6" s="6113"/>
      <c r="F6" s="6113"/>
      <c r="G6" s="6113"/>
      <c r="H6" s="6113"/>
      <c r="I6" s="6113"/>
      <c r="J6" s="6113"/>
      <c r="K6" s="6113"/>
      <c r="L6" s="6101" t="s">
        <v>985</v>
      </c>
      <c r="M6" s="6101"/>
      <c r="N6" s="6101"/>
      <c r="O6" s="6101"/>
      <c r="P6" s="6101"/>
      <c r="Q6" s="6101"/>
      <c r="R6" s="6101"/>
      <c r="S6" s="6101"/>
      <c r="T6" s="6101"/>
      <c r="U6" s="6101"/>
      <c r="V6" s="6101"/>
      <c r="W6" s="6101" t="s">
        <v>986</v>
      </c>
      <c r="X6" s="6101"/>
      <c r="Y6" s="6101"/>
      <c r="Z6" s="6101"/>
      <c r="AA6" s="6101"/>
      <c r="AB6" s="6101"/>
      <c r="AC6" s="6101"/>
      <c r="AD6" s="6101"/>
      <c r="AE6" s="6101"/>
      <c r="AF6" s="6101"/>
      <c r="AG6" s="6101" t="s">
        <v>861</v>
      </c>
    </row>
    <row r="7" spans="1:34" s="1521" customFormat="1" ht="15.75" customHeight="1">
      <c r="A7" s="6073"/>
      <c r="B7" s="6112"/>
      <c r="C7" s="6101" t="s">
        <v>987</v>
      </c>
      <c r="D7" s="6101" t="s">
        <v>988</v>
      </c>
      <c r="E7" s="6101" t="s">
        <v>989</v>
      </c>
      <c r="F7" s="6101" t="s">
        <v>990</v>
      </c>
      <c r="G7" s="6108" t="s">
        <v>991</v>
      </c>
      <c r="H7" s="6105" t="s">
        <v>992</v>
      </c>
      <c r="I7" s="6105" t="s">
        <v>993</v>
      </c>
      <c r="J7" s="6105" t="s">
        <v>994</v>
      </c>
      <c r="K7" s="6105" t="s">
        <v>995</v>
      </c>
      <c r="L7" s="6101" t="s">
        <v>987</v>
      </c>
      <c r="M7" s="6101" t="s">
        <v>988</v>
      </c>
      <c r="N7" s="6101" t="s">
        <v>989</v>
      </c>
      <c r="O7" s="6101" t="s">
        <v>996</v>
      </c>
      <c r="P7" s="6101" t="s">
        <v>997</v>
      </c>
      <c r="Q7" s="6101" t="s">
        <v>998</v>
      </c>
      <c r="R7" s="6101"/>
      <c r="S7" s="6105" t="s">
        <v>992</v>
      </c>
      <c r="T7" s="6107" t="s">
        <v>993</v>
      </c>
      <c r="U7" s="6107" t="s">
        <v>999</v>
      </c>
      <c r="V7" s="6107" t="s">
        <v>995</v>
      </c>
      <c r="W7" s="6101" t="s">
        <v>987</v>
      </c>
      <c r="X7" s="6101" t="s">
        <v>988</v>
      </c>
      <c r="Y7" s="6101" t="s">
        <v>989</v>
      </c>
      <c r="Z7" s="6101" t="s">
        <v>996</v>
      </c>
      <c r="AA7" s="6101" t="s">
        <v>1000</v>
      </c>
      <c r="AB7" s="6101" t="s">
        <v>998</v>
      </c>
      <c r="AC7" s="6101"/>
      <c r="AD7" s="6101" t="s">
        <v>992</v>
      </c>
      <c r="AE7" s="6101" t="s">
        <v>993</v>
      </c>
      <c r="AF7" s="6105" t="s">
        <v>995</v>
      </c>
      <c r="AG7" s="6101"/>
    </row>
    <row r="8" spans="1:34" s="1521" customFormat="1" ht="214.5" customHeight="1">
      <c r="A8" s="6073"/>
      <c r="B8" s="6112"/>
      <c r="C8" s="6101"/>
      <c r="D8" s="6101"/>
      <c r="E8" s="6101"/>
      <c r="F8" s="6101"/>
      <c r="G8" s="6108"/>
      <c r="H8" s="6105"/>
      <c r="I8" s="6105"/>
      <c r="J8" s="6105"/>
      <c r="K8" s="6105"/>
      <c r="L8" s="6101"/>
      <c r="M8" s="6101"/>
      <c r="N8" s="6101"/>
      <c r="O8" s="6101"/>
      <c r="P8" s="6101"/>
      <c r="Q8" s="1511" t="s">
        <v>1001</v>
      </c>
      <c r="R8" s="1511" t="s">
        <v>1002</v>
      </c>
      <c r="S8" s="6105"/>
      <c r="T8" s="6107"/>
      <c r="U8" s="6107"/>
      <c r="V8" s="6107"/>
      <c r="W8" s="6101"/>
      <c r="X8" s="6101"/>
      <c r="Y8" s="6101"/>
      <c r="Z8" s="6101"/>
      <c r="AA8" s="6101"/>
      <c r="AB8" s="1511" t="s">
        <v>1001</v>
      </c>
      <c r="AC8" s="1511" t="s">
        <v>1002</v>
      </c>
      <c r="AD8" s="6101"/>
      <c r="AE8" s="6101"/>
      <c r="AF8" s="6105"/>
      <c r="AG8" s="6101"/>
    </row>
    <row r="9" spans="1:34" s="1522" customFormat="1" ht="13.8">
      <c r="A9" s="1209" t="s">
        <v>1</v>
      </c>
      <c r="B9" s="1209" t="s">
        <v>37</v>
      </c>
      <c r="C9" s="1210">
        <v>1</v>
      </c>
      <c r="D9" s="1210">
        <v>2</v>
      </c>
      <c r="E9" s="1210">
        <v>3</v>
      </c>
      <c r="F9" s="1210">
        <v>4</v>
      </c>
      <c r="G9" s="1210">
        <v>5</v>
      </c>
      <c r="H9" s="1211" t="s">
        <v>1003</v>
      </c>
      <c r="I9" s="1210">
        <v>7</v>
      </c>
      <c r="J9" s="1210">
        <v>8</v>
      </c>
      <c r="K9" s="1210">
        <v>9</v>
      </c>
      <c r="L9" s="1210">
        <v>10</v>
      </c>
      <c r="M9" s="1210">
        <f>L9+1</f>
        <v>11</v>
      </c>
      <c r="N9" s="1210">
        <f t="shared" ref="N9" si="0">M9+1</f>
        <v>12</v>
      </c>
      <c r="O9" s="1210">
        <f>N9+1</f>
        <v>13</v>
      </c>
      <c r="P9" s="1210">
        <f>O9+1</f>
        <v>14</v>
      </c>
      <c r="Q9" s="1210" t="s">
        <v>1004</v>
      </c>
      <c r="R9" s="1210">
        <v>16</v>
      </c>
      <c r="S9" s="1211" t="s">
        <v>1005</v>
      </c>
      <c r="T9" s="2056">
        <v>18</v>
      </c>
      <c r="U9" s="2056">
        <f t="shared" ref="U9:AG9" si="1">T9+1</f>
        <v>19</v>
      </c>
      <c r="V9" s="2056">
        <f t="shared" si="1"/>
        <v>20</v>
      </c>
      <c r="W9" s="1210">
        <f t="shared" si="1"/>
        <v>21</v>
      </c>
      <c r="X9" s="1210">
        <f t="shared" si="1"/>
        <v>22</v>
      </c>
      <c r="Y9" s="1210">
        <f t="shared" si="1"/>
        <v>23</v>
      </c>
      <c r="Z9" s="1210">
        <f t="shared" si="1"/>
        <v>24</v>
      </c>
      <c r="AA9" s="1210">
        <v>25</v>
      </c>
      <c r="AB9" s="1211" t="s">
        <v>1006</v>
      </c>
      <c r="AC9" s="1210">
        <v>27</v>
      </c>
      <c r="AD9" s="1211" t="s">
        <v>1007</v>
      </c>
      <c r="AE9" s="1210">
        <v>29</v>
      </c>
      <c r="AF9" s="1210">
        <v>30</v>
      </c>
      <c r="AG9" s="1210">
        <f t="shared" si="1"/>
        <v>31</v>
      </c>
    </row>
    <row r="10" spans="1:34">
      <c r="A10" s="1101"/>
      <c r="B10" s="1212" t="s">
        <v>1008</v>
      </c>
      <c r="C10" s="1207">
        <f>SUM(C11,C78)</f>
        <v>694719.54166666663</v>
      </c>
      <c r="D10" s="1199">
        <f t="shared" ref="D10:K10" si="2">SUM(D11,D78)</f>
        <v>0.27</v>
      </c>
      <c r="E10" s="1207">
        <f t="shared" si="2"/>
        <v>851236.94975397224</v>
      </c>
      <c r="F10" s="1207">
        <f t="shared" si="2"/>
        <v>923105.56320400001</v>
      </c>
      <c r="G10" s="1207">
        <f t="shared" si="2"/>
        <v>0</v>
      </c>
      <c r="H10" s="1207">
        <f>SUM(H11,H78)</f>
        <v>-71868.613450027799</v>
      </c>
      <c r="I10" s="1207">
        <f t="shared" si="2"/>
        <v>0</v>
      </c>
      <c r="J10" s="1207">
        <f t="shared" si="2"/>
        <v>0</v>
      </c>
      <c r="K10" s="1207">
        <f t="shared" si="2"/>
        <v>-71868.613450027799</v>
      </c>
      <c r="L10" s="1207">
        <f>L11+L78</f>
        <v>807109</v>
      </c>
      <c r="M10" s="1199">
        <f t="shared" ref="M10:AF10" si="3">M11+M78</f>
        <v>1.6E-2</v>
      </c>
      <c r="N10" s="1207">
        <f t="shared" si="3"/>
        <v>1133582.5875466666</v>
      </c>
      <c r="O10" s="1199">
        <f t="shared" si="3"/>
        <v>923105.69120400003</v>
      </c>
      <c r="P10" s="1199">
        <f t="shared" si="3"/>
        <v>0</v>
      </c>
      <c r="Q10" s="1199">
        <f t="shared" si="3"/>
        <v>71868.613450027799</v>
      </c>
      <c r="R10" s="1199">
        <f t="shared" si="3"/>
        <v>-71868.613450027799</v>
      </c>
      <c r="S10" s="1199">
        <f t="shared" si="3"/>
        <v>138608.2828926389</v>
      </c>
      <c r="T10" s="2057">
        <f t="shared" si="3"/>
        <v>0</v>
      </c>
      <c r="U10" s="2057">
        <f t="shared" si="3"/>
        <v>0</v>
      </c>
      <c r="V10" s="2057">
        <f t="shared" si="3"/>
        <v>35956.02199999999</v>
      </c>
      <c r="W10" s="1225">
        <f t="shared" si="3"/>
        <v>986429</v>
      </c>
      <c r="X10" s="1225">
        <f t="shared" si="3"/>
        <v>0.16</v>
      </c>
      <c r="Y10" s="1225">
        <f t="shared" si="3"/>
        <v>1302430.0459917779</v>
      </c>
      <c r="Z10" s="1225">
        <f t="shared" si="3"/>
        <v>923105.69120400003</v>
      </c>
      <c r="AA10" s="1225">
        <f t="shared" si="3"/>
        <v>0</v>
      </c>
      <c r="AB10" s="1225">
        <f t="shared" si="3"/>
        <v>0</v>
      </c>
      <c r="AC10" s="1225">
        <f t="shared" si="3"/>
        <v>0</v>
      </c>
      <c r="AD10" s="1225">
        <f t="shared" si="3"/>
        <v>379324.35478777776</v>
      </c>
      <c r="AE10" s="1225">
        <f t="shared" si="3"/>
        <v>0</v>
      </c>
      <c r="AF10" s="1225">
        <f t="shared" si="3"/>
        <v>0</v>
      </c>
      <c r="AG10" s="1102"/>
    </row>
    <row r="11" spans="1:34" s="1520" customFormat="1" ht="31.2">
      <c r="A11" s="1112" t="s">
        <v>3</v>
      </c>
      <c r="B11" s="1104" t="s">
        <v>1009</v>
      </c>
      <c r="C11" s="1206">
        <f>SUM(C12,C48,C64)</f>
        <v>694719.54166666663</v>
      </c>
      <c r="D11" s="1200">
        <f t="shared" ref="D11:AF11" si="4">SUM(D12,D48,D64)</f>
        <v>0.27</v>
      </c>
      <c r="E11" s="1206">
        <f t="shared" si="4"/>
        <v>851236.94975397224</v>
      </c>
      <c r="F11" s="1206">
        <f>SUM(F12,F48,F64)</f>
        <v>923105.56320400001</v>
      </c>
      <c r="G11" s="1206">
        <f t="shared" si="4"/>
        <v>0</v>
      </c>
      <c r="H11" s="1206">
        <f>SUM(H12,H48,H64)</f>
        <v>-71868.613450027799</v>
      </c>
      <c r="I11" s="1206">
        <f t="shared" si="4"/>
        <v>0</v>
      </c>
      <c r="J11" s="1206">
        <f t="shared" si="4"/>
        <v>0</v>
      </c>
      <c r="K11" s="1206">
        <f>SUM(K12,K48,K64)</f>
        <v>-71868.613450027799</v>
      </c>
      <c r="L11" s="1206">
        <f>SUM(L12,L48,L64)</f>
        <v>807109</v>
      </c>
      <c r="M11" s="1200">
        <f t="shared" si="4"/>
        <v>1.6E-2</v>
      </c>
      <c r="N11" s="1206">
        <f t="shared" si="4"/>
        <v>1133582.5875466666</v>
      </c>
      <c r="O11" s="1200">
        <f>SUM(O12,O48,O64)</f>
        <v>923105.69120400003</v>
      </c>
      <c r="P11" s="1200">
        <f t="shared" si="4"/>
        <v>0</v>
      </c>
      <c r="Q11" s="1200">
        <f>SUM(Q12,Q48,Q64)</f>
        <v>71868.613450027799</v>
      </c>
      <c r="R11" s="1200">
        <f t="shared" si="4"/>
        <v>-71868.613450027799</v>
      </c>
      <c r="S11" s="1200">
        <f t="shared" si="4"/>
        <v>138608.2828926389</v>
      </c>
      <c r="T11" s="2058">
        <f t="shared" si="4"/>
        <v>0</v>
      </c>
      <c r="U11" s="2058">
        <f t="shared" si="4"/>
        <v>0</v>
      </c>
      <c r="V11" s="2058">
        <f t="shared" si="4"/>
        <v>35956.02199999999</v>
      </c>
      <c r="W11" s="1226">
        <f t="shared" si="4"/>
        <v>986429</v>
      </c>
      <c r="X11" s="1226">
        <f t="shared" si="4"/>
        <v>0.16</v>
      </c>
      <c r="Y11" s="1226">
        <f t="shared" si="4"/>
        <v>1302430.0459917779</v>
      </c>
      <c r="Z11" s="1226">
        <f>SUM(Z12,Z48,Z64)</f>
        <v>923105.69120400003</v>
      </c>
      <c r="AA11" s="1226">
        <f t="shared" ref="AA11" si="5">SUM(AA12,AA48,AA64)</f>
        <v>0</v>
      </c>
      <c r="AB11" s="1226">
        <f>SUM(AB12,AB48,AB64)</f>
        <v>0</v>
      </c>
      <c r="AC11" s="1226">
        <f t="shared" ref="AC11:AD11" si="6">SUM(AC12,AC48,AC64)</f>
        <v>0</v>
      </c>
      <c r="AD11" s="1226">
        <f t="shared" si="6"/>
        <v>379324.35478777776</v>
      </c>
      <c r="AE11" s="1226">
        <f t="shared" si="4"/>
        <v>0</v>
      </c>
      <c r="AF11" s="1226">
        <f t="shared" si="4"/>
        <v>0</v>
      </c>
      <c r="AG11" s="1103"/>
    </row>
    <row r="12" spans="1:34" s="1520" customFormat="1">
      <c r="A12" s="1112">
        <v>1</v>
      </c>
      <c r="B12" s="1104" t="s">
        <v>1010</v>
      </c>
      <c r="C12" s="2066">
        <f>SUM(C13,C19,C23,C41)</f>
        <v>25180</v>
      </c>
      <c r="D12" s="1201">
        <f t="shared" ref="D12:K12" si="7">SUM(D13,D19,D23,D41)</f>
        <v>0.16</v>
      </c>
      <c r="E12" s="2066">
        <f t="shared" si="7"/>
        <v>42639.49139888888</v>
      </c>
      <c r="F12" s="2066">
        <f t="shared" si="7"/>
        <v>77562</v>
      </c>
      <c r="G12" s="2066">
        <f t="shared" si="7"/>
        <v>0</v>
      </c>
      <c r="H12" s="2066">
        <f>SUM(H13,H19,H23,H41)</f>
        <v>-34922.50860111112</v>
      </c>
      <c r="I12" s="2066">
        <f t="shared" si="7"/>
        <v>0</v>
      </c>
      <c r="J12" s="2066">
        <f t="shared" si="7"/>
        <v>0</v>
      </c>
      <c r="K12" s="2066">
        <f t="shared" si="7"/>
        <v>-34922.50860111112</v>
      </c>
      <c r="L12" s="2066">
        <f>SUM(L13,L19,L23,L41)</f>
        <v>41113</v>
      </c>
      <c r="M12" s="1201">
        <f t="shared" ref="M12:AF12" si="8">SUM(M13,M19,M23,M41)</f>
        <v>1.6E-2</v>
      </c>
      <c r="N12" s="1201">
        <f t="shared" si="8"/>
        <v>44947.814166666663</v>
      </c>
      <c r="O12" s="1201">
        <f t="shared" si="8"/>
        <v>77562.127999999997</v>
      </c>
      <c r="P12" s="1201">
        <f t="shared" si="8"/>
        <v>0</v>
      </c>
      <c r="Q12" s="1201">
        <f t="shared" si="8"/>
        <v>34922.50860111112</v>
      </c>
      <c r="R12" s="1201">
        <f t="shared" si="8"/>
        <v>-34922.50860111112</v>
      </c>
      <c r="S12" s="1201">
        <f>SUM(S13,S19,S23,S41)</f>
        <v>-67536.822434444432</v>
      </c>
      <c r="T12" s="1491">
        <f t="shared" si="8"/>
        <v>0</v>
      </c>
      <c r="U12" s="1491">
        <f t="shared" si="8"/>
        <v>0</v>
      </c>
      <c r="V12" s="1491">
        <f t="shared" si="8"/>
        <v>35956.02199999999</v>
      </c>
      <c r="W12" s="1227">
        <f t="shared" si="8"/>
        <v>44437</v>
      </c>
      <c r="X12" s="1227">
        <f t="shared" si="8"/>
        <v>0.16</v>
      </c>
      <c r="Y12" s="1227">
        <f t="shared" si="8"/>
        <v>52021.061027777774</v>
      </c>
      <c r="Z12" s="1227">
        <f t="shared" si="8"/>
        <v>77562.127999999997</v>
      </c>
      <c r="AA12" s="1227">
        <f t="shared" si="8"/>
        <v>0</v>
      </c>
      <c r="AB12" s="1227">
        <f t="shared" si="8"/>
        <v>0</v>
      </c>
      <c r="AC12" s="1227">
        <f t="shared" si="8"/>
        <v>0</v>
      </c>
      <c r="AD12" s="1227">
        <f>SUM(AD13,AD19,AD23,AD41)</f>
        <v>-25541.066972222226</v>
      </c>
      <c r="AE12" s="1227">
        <f t="shared" si="8"/>
        <v>0</v>
      </c>
      <c r="AF12" s="1227">
        <f t="shared" si="8"/>
        <v>0</v>
      </c>
      <c r="AG12" s="1103"/>
    </row>
    <row r="13" spans="1:34" s="1520" customFormat="1" ht="46.8">
      <c r="A13" s="1499" t="s">
        <v>1011</v>
      </c>
      <c r="B13" s="1500" t="s">
        <v>1012</v>
      </c>
      <c r="C13" s="2067">
        <f>SUM(C14,C18)</f>
        <v>22490</v>
      </c>
      <c r="D13" s="1498">
        <f t="shared" ref="D13:M13" si="9">SUM(D14,D18)</f>
        <v>0</v>
      </c>
      <c r="E13" s="2067">
        <f t="shared" si="9"/>
        <v>35048.275499999996</v>
      </c>
      <c r="F13" s="2067">
        <v>50988</v>
      </c>
      <c r="G13" s="2067"/>
      <c r="H13" s="2067">
        <f>E13-(F13+G13)</f>
        <v>-15939.724500000004</v>
      </c>
      <c r="I13" s="2067"/>
      <c r="J13" s="2067"/>
      <c r="K13" s="2067">
        <f>H13</f>
        <v>-15939.724500000004</v>
      </c>
      <c r="L13" s="2067">
        <f t="shared" si="9"/>
        <v>37533</v>
      </c>
      <c r="M13" s="1498">
        <f t="shared" si="9"/>
        <v>0</v>
      </c>
      <c r="N13" s="1498">
        <f>SUM(N14,N18)</f>
        <v>38959.235499999995</v>
      </c>
      <c r="O13" s="1498">
        <f t="shared" ref="O13" si="10">SUM(O14,O18)</f>
        <v>50988.399999999994</v>
      </c>
      <c r="P13" s="1498">
        <f>SUM(P14,P18)</f>
        <v>0</v>
      </c>
      <c r="Q13" s="1498">
        <f>-R13</f>
        <v>15939.724500000004</v>
      </c>
      <c r="R13" s="1498">
        <f>+K13</f>
        <v>-15939.724500000004</v>
      </c>
      <c r="S13" s="1498">
        <f>+N13-(O13+Q13)</f>
        <v>-27968.88900000001</v>
      </c>
      <c r="T13" s="1488">
        <f t="shared" ref="T13:Z13" si="11">SUM(T14,T18)</f>
        <v>0</v>
      </c>
      <c r="U13" s="1488">
        <f t="shared" si="11"/>
        <v>0</v>
      </c>
      <c r="V13" s="1488">
        <f>SUM(V14,V18)</f>
        <v>35956.02199999999</v>
      </c>
      <c r="W13" s="1501">
        <f>SUM(W14,W18)</f>
        <v>40373</v>
      </c>
      <c r="X13" s="1501">
        <f t="shared" si="11"/>
        <v>0</v>
      </c>
      <c r="Y13" s="1501">
        <f t="shared" si="11"/>
        <v>44703.611249999994</v>
      </c>
      <c r="Z13" s="1501">
        <f t="shared" si="11"/>
        <v>50988.399999999994</v>
      </c>
      <c r="AA13" s="1501">
        <f>SUM(AA14,AA18)</f>
        <v>0</v>
      </c>
      <c r="AB13" s="1501">
        <f t="shared" ref="AB13:AF13" si="12">SUM(AB14,AB18)</f>
        <v>0</v>
      </c>
      <c r="AC13" s="1501">
        <f t="shared" si="12"/>
        <v>0</v>
      </c>
      <c r="AD13" s="1501">
        <f t="shared" si="12"/>
        <v>-6284.7887500000052</v>
      </c>
      <c r="AE13" s="1228">
        <f t="shared" si="12"/>
        <v>0</v>
      </c>
      <c r="AF13" s="1228">
        <f t="shared" si="12"/>
        <v>0</v>
      </c>
      <c r="AG13" s="1103" t="s">
        <v>1013</v>
      </c>
    </row>
    <row r="14" spans="1:34" s="1520" customFormat="1">
      <c r="A14" s="1109" t="s">
        <v>29</v>
      </c>
      <c r="B14" s="1105" t="s">
        <v>1014</v>
      </c>
      <c r="C14" s="2068">
        <f>SUM(C15,C16,C17)</f>
        <v>15462</v>
      </c>
      <c r="D14" s="1202">
        <f t="shared" ref="D14:K14" si="13">SUM(D15,D16,D17)</f>
        <v>0</v>
      </c>
      <c r="E14" s="2068">
        <f t="shared" si="13"/>
        <v>26722.750499999998</v>
      </c>
      <c r="F14" s="2068">
        <f t="shared" si="13"/>
        <v>0</v>
      </c>
      <c r="G14" s="2068">
        <f t="shared" si="13"/>
        <v>0</v>
      </c>
      <c r="H14" s="2068">
        <f t="shared" si="13"/>
        <v>0</v>
      </c>
      <c r="I14" s="2068">
        <f t="shared" si="13"/>
        <v>0</v>
      </c>
      <c r="J14" s="2068">
        <f t="shared" si="13"/>
        <v>0</v>
      </c>
      <c r="K14" s="2068">
        <f t="shared" si="13"/>
        <v>0</v>
      </c>
      <c r="L14" s="2068">
        <f>SUM(L15,L16,L17)</f>
        <v>25081</v>
      </c>
      <c r="M14" s="1202">
        <f>SUM(M15,M16,M17)</f>
        <v>0</v>
      </c>
      <c r="N14" s="1202">
        <f t="shared" ref="N14:Q14" si="14">SUM(N15,N16,N17)</f>
        <v>30468.785499999994</v>
      </c>
      <c r="O14" s="1202">
        <f t="shared" si="14"/>
        <v>24955</v>
      </c>
      <c r="P14" s="1202">
        <f t="shared" si="14"/>
        <v>0</v>
      </c>
      <c r="Q14" s="1202">
        <f t="shared" si="14"/>
        <v>0</v>
      </c>
      <c r="R14" s="1202">
        <f>SUM(R15,R16,R17)</f>
        <v>0</v>
      </c>
      <c r="S14" s="1202">
        <f>SUM(S15,S16,S17)</f>
        <v>5513.7854999999963</v>
      </c>
      <c r="T14" s="1488">
        <f t="shared" ref="T14:AB14" si="15">SUM(T15,T16,T17)</f>
        <v>0</v>
      </c>
      <c r="U14" s="1488">
        <f t="shared" si="15"/>
        <v>0</v>
      </c>
      <c r="V14" s="1488">
        <f t="shared" si="15"/>
        <v>27465.571999999993</v>
      </c>
      <c r="W14" s="1228">
        <f>SUM(W15,W16,W17)</f>
        <v>26897</v>
      </c>
      <c r="X14" s="1228">
        <f t="shared" si="15"/>
        <v>0</v>
      </c>
      <c r="Y14" s="1228">
        <f t="shared" si="15"/>
        <v>35635.211249999993</v>
      </c>
      <c r="Z14" s="1228">
        <f t="shared" si="15"/>
        <v>24955</v>
      </c>
      <c r="AA14" s="1228">
        <f t="shared" si="15"/>
        <v>0</v>
      </c>
      <c r="AB14" s="1228">
        <f t="shared" si="15"/>
        <v>0</v>
      </c>
      <c r="AC14" s="1228">
        <f>SUM(AC15,AC16,AC17)</f>
        <v>0</v>
      </c>
      <c r="AD14" s="1228">
        <f t="shared" ref="AD14:AF14" si="16">SUM(AD15,AD16,AD17)</f>
        <v>10680.211249999995</v>
      </c>
      <c r="AE14" s="1228">
        <f t="shared" si="16"/>
        <v>0</v>
      </c>
      <c r="AF14" s="1228">
        <f t="shared" si="16"/>
        <v>0</v>
      </c>
      <c r="AG14" s="1512"/>
    </row>
    <row r="15" spans="1:34" s="1523" customFormat="1">
      <c r="A15" s="1107"/>
      <c r="B15" s="1106" t="s">
        <v>1015</v>
      </c>
      <c r="C15" s="2069">
        <v>10103</v>
      </c>
      <c r="D15" s="1203"/>
      <c r="E15" s="2069">
        <v>22782.673999999999</v>
      </c>
      <c r="F15" s="2069"/>
      <c r="G15" s="2069"/>
      <c r="H15" s="2069"/>
      <c r="I15" s="2069"/>
      <c r="J15" s="2069"/>
      <c r="K15" s="2069"/>
      <c r="L15" s="2079">
        <f>+'Phụ lục số IVa'!D30+'Phụ lục số IVa'!F30</f>
        <v>12802</v>
      </c>
      <c r="M15" s="1203"/>
      <c r="N15" s="1497">
        <f>+'Phụ lục số IVa'!E30+'Phụ lục số IVa'!G30</f>
        <v>19210.322999999997</v>
      </c>
      <c r="O15" s="1203">
        <v>22615</v>
      </c>
      <c r="P15" s="1203"/>
      <c r="Q15" s="1203">
        <f>P15-R15</f>
        <v>0</v>
      </c>
      <c r="R15" s="1203"/>
      <c r="S15" s="1203">
        <f>N15-(O15+Q15)</f>
        <v>-3404.6770000000033</v>
      </c>
      <c r="T15" s="2059"/>
      <c r="U15" s="2059"/>
      <c r="V15" s="2059">
        <f>'[4]1a'!I28</f>
        <v>19195.515999999992</v>
      </c>
      <c r="W15" s="2089">
        <f>'Phụ lục số IVa'!K30+'Phụ lục số IVa'!M30</f>
        <v>14753</v>
      </c>
      <c r="X15" s="1229"/>
      <c r="Y15" s="1229">
        <f>'Phụ lục số IVa'!L30+'Phụ lục số IVa'!N30</f>
        <v>21771.761249999996</v>
      </c>
      <c r="Z15" s="1229">
        <v>22615</v>
      </c>
      <c r="AA15" s="1229"/>
      <c r="AB15" s="1229">
        <f>AA15-AC15</f>
        <v>0</v>
      </c>
      <c r="AC15" s="1229"/>
      <c r="AD15" s="1229">
        <f>Y15-(Z15+AB15)</f>
        <v>-843.23875000000407</v>
      </c>
      <c r="AE15" s="1229"/>
      <c r="AF15" s="1229"/>
      <c r="AG15" s="1108"/>
    </row>
    <row r="16" spans="1:34" s="1523" customFormat="1">
      <c r="A16" s="1107"/>
      <c r="B16" s="1106" t="s">
        <v>1016</v>
      </c>
      <c r="C16" s="2069">
        <v>840</v>
      </c>
      <c r="D16" s="1203"/>
      <c r="E16" s="2069">
        <v>3040.3615000000004</v>
      </c>
      <c r="F16" s="2069"/>
      <c r="G16" s="2069"/>
      <c r="H16" s="2069"/>
      <c r="I16" s="2069"/>
      <c r="J16" s="2069"/>
      <c r="K16" s="2069"/>
      <c r="L16" s="2080">
        <f>+'Phụ lục số IVa'!D59+'Phụ lục số IVa'!F59</f>
        <v>4224</v>
      </c>
      <c r="M16" s="1203"/>
      <c r="N16" s="1497">
        <f>+'Phụ lục số IVa'!E59+'Phụ lục số IVa'!G59</f>
        <v>8304.7759999999998</v>
      </c>
      <c r="O16" s="1203">
        <v>721</v>
      </c>
      <c r="P16" s="1203"/>
      <c r="Q16" s="1203">
        <f>P16-R16</f>
        <v>0</v>
      </c>
      <c r="R16" s="1203"/>
      <c r="S16" s="1203">
        <f t="shared" ref="S16:S17" si="17">N16-(O16+Q16)</f>
        <v>7583.7759999999998</v>
      </c>
      <c r="T16" s="2059"/>
      <c r="U16" s="2059"/>
      <c r="V16" s="2059">
        <f>'[4]1a'!I57</f>
        <v>8270.0559999999987</v>
      </c>
      <c r="W16" s="2089">
        <f>'Phụ lục số IVa'!K59+'Phụ lục số IVa'!M59</f>
        <v>4034</v>
      </c>
      <c r="X16" s="1229"/>
      <c r="Y16" s="1229">
        <f>'Phụ lục số IVa'!L59+'Phụ lục số IVa'!N59</f>
        <v>13035.824999999999</v>
      </c>
      <c r="Z16" s="1229">
        <v>721</v>
      </c>
      <c r="AA16" s="1229"/>
      <c r="AB16" s="1229">
        <f>AA16-AC16</f>
        <v>0</v>
      </c>
      <c r="AC16" s="1229"/>
      <c r="AD16" s="1229">
        <f t="shared" ref="AD16:AD17" si="18">Y16-(Z16+AB16)</f>
        <v>12314.824999999999</v>
      </c>
      <c r="AE16" s="1229"/>
      <c r="AF16" s="1229"/>
      <c r="AG16" s="1108"/>
    </row>
    <row r="17" spans="1:33" s="1523" customFormat="1">
      <c r="A17" s="1107"/>
      <c r="B17" s="1106" t="s">
        <v>1017</v>
      </c>
      <c r="C17" s="2069">
        <v>4519</v>
      </c>
      <c r="D17" s="1203"/>
      <c r="E17" s="2069">
        <v>899.71500000000003</v>
      </c>
      <c r="F17" s="2069"/>
      <c r="G17" s="2069"/>
      <c r="H17" s="2069"/>
      <c r="I17" s="2069"/>
      <c r="J17" s="2069"/>
      <c r="K17" s="2069"/>
      <c r="L17" s="2079">
        <f>+'Phụ lục số IVa'!D73+'Phụ lục số IVa'!F73</f>
        <v>8055</v>
      </c>
      <c r="M17" s="1203"/>
      <c r="N17" s="1497">
        <f>+'Phụ lục số IVa'!E73+'Phụ lục số IVa'!G73</f>
        <v>2953.6864999999998</v>
      </c>
      <c r="O17" s="1203">
        <v>1619</v>
      </c>
      <c r="P17" s="1203"/>
      <c r="Q17" s="1203">
        <f t="shared" ref="Q17:Q40" si="19">P17-R17</f>
        <v>0</v>
      </c>
      <c r="R17" s="1203"/>
      <c r="S17" s="1203">
        <f t="shared" si="17"/>
        <v>1334.6864999999998</v>
      </c>
      <c r="T17" s="2059"/>
      <c r="U17" s="2059"/>
      <c r="V17" s="2059"/>
      <c r="W17" s="1229">
        <f>'Phụ lục số IVa'!K73+'Phụ lục số IVa'!M73</f>
        <v>8110</v>
      </c>
      <c r="X17" s="1229"/>
      <c r="Y17" s="1229">
        <f>'Phụ lục số IVa'!L73+'Phụ lục số IVa'!N73</f>
        <v>827.625</v>
      </c>
      <c r="Z17" s="1229">
        <v>1619</v>
      </c>
      <c r="AA17" s="1229"/>
      <c r="AB17" s="1229">
        <f t="shared" ref="AB17:AB40" si="20">AA17-AC17</f>
        <v>0</v>
      </c>
      <c r="AC17" s="1229"/>
      <c r="AD17" s="1229">
        <f t="shared" si="18"/>
        <v>-791.375</v>
      </c>
      <c r="AE17" s="1229"/>
      <c r="AF17" s="1229"/>
      <c r="AG17" s="1108"/>
    </row>
    <row r="18" spans="1:33" s="1520" customFormat="1">
      <c r="A18" s="1109" t="s">
        <v>29</v>
      </c>
      <c r="B18" s="1105" t="s">
        <v>1018</v>
      </c>
      <c r="C18" s="2068">
        <v>7028</v>
      </c>
      <c r="D18" s="1202"/>
      <c r="E18" s="2068">
        <v>8325.5249999999996</v>
      </c>
      <c r="F18" s="2068"/>
      <c r="G18" s="2068"/>
      <c r="H18" s="2068"/>
      <c r="I18" s="2068"/>
      <c r="J18" s="2068"/>
      <c r="K18" s="2068"/>
      <c r="L18" s="2067">
        <f>+'Phụ lục số IVa'!D13+'Phụ lục số IVa'!F13</f>
        <v>12452</v>
      </c>
      <c r="M18" s="1202"/>
      <c r="N18" s="1498">
        <f>+'Phụ lục số IVa'!E13+'Phụ lục số IVa'!G13</f>
        <v>8490.4500000000007</v>
      </c>
      <c r="O18" s="1202">
        <v>26033.399999999998</v>
      </c>
      <c r="P18" s="1202"/>
      <c r="Q18" s="1202">
        <f t="shared" si="19"/>
        <v>0</v>
      </c>
      <c r="R18" s="1202"/>
      <c r="S18" s="1202">
        <f>N18-(O18+Q18)</f>
        <v>-17542.949999999997</v>
      </c>
      <c r="T18" s="1488"/>
      <c r="U18" s="1488"/>
      <c r="V18" s="1488">
        <f>'[4]1a'!I11</f>
        <v>8490.4499999999989</v>
      </c>
      <c r="W18" s="1228">
        <f>'Phụ lục số IVa'!K13+'Phụ lục số IVa'!M13</f>
        <v>13476</v>
      </c>
      <c r="X18" s="1228"/>
      <c r="Y18" s="1228">
        <f>'Phụ lục số IVa'!L13+'Phụ lục số IVa'!N13</f>
        <v>9068.4</v>
      </c>
      <c r="Z18" s="1228">
        <v>26033.399999999998</v>
      </c>
      <c r="AA18" s="1228"/>
      <c r="AB18" s="1228">
        <f t="shared" si="20"/>
        <v>0</v>
      </c>
      <c r="AC18" s="1228"/>
      <c r="AD18" s="1228">
        <f>Y18-(Z18+AB18)</f>
        <v>-16965</v>
      </c>
      <c r="AE18" s="1228"/>
      <c r="AF18" s="1228"/>
      <c r="AG18" s="1103"/>
    </row>
    <row r="19" spans="1:33" s="1520" customFormat="1" ht="51" customHeight="1">
      <c r="A19" s="1499" t="s">
        <v>1019</v>
      </c>
      <c r="B19" s="1500" t="s">
        <v>1020</v>
      </c>
      <c r="C19" s="2067">
        <f>SUM(C20,C21,C22)</f>
        <v>2189</v>
      </c>
      <c r="D19" s="1498">
        <f t="shared" ref="D19:J19" si="21">SUM(D20,D21,D22)</f>
        <v>0.16</v>
      </c>
      <c r="E19" s="2067">
        <f t="shared" si="21"/>
        <v>1899.2799999999997</v>
      </c>
      <c r="F19" s="2067">
        <f t="shared" si="21"/>
        <v>22516</v>
      </c>
      <c r="G19" s="2067">
        <f t="shared" si="21"/>
        <v>0</v>
      </c>
      <c r="H19" s="2067">
        <f>SUM(H20,H21,H22)</f>
        <v>-20616.72</v>
      </c>
      <c r="I19" s="2067">
        <f t="shared" si="21"/>
        <v>0</v>
      </c>
      <c r="J19" s="2067">
        <f t="shared" si="21"/>
        <v>0</v>
      </c>
      <c r="K19" s="2067">
        <f>SUM(K20,K21,K22)</f>
        <v>-20616.72</v>
      </c>
      <c r="L19" s="2067">
        <f t="shared" ref="L19:AF19" si="22">SUM(L20,L21,L22)</f>
        <v>3076</v>
      </c>
      <c r="M19" s="1498">
        <f t="shared" si="22"/>
        <v>1.6E-2</v>
      </c>
      <c r="N19" s="1498">
        <f t="shared" si="22"/>
        <v>2218.6800000000003</v>
      </c>
      <c r="O19" s="1498">
        <f t="shared" si="22"/>
        <v>22515.84</v>
      </c>
      <c r="P19" s="1498">
        <f>SUM(P20,P21,P22)</f>
        <v>0</v>
      </c>
      <c r="Q19" s="1498">
        <f>SUM(Q20,Q21,Q22)</f>
        <v>20616.72</v>
      </c>
      <c r="R19" s="1498">
        <f t="shared" ref="R19" si="23">SUM(R20,R21,R22)</f>
        <v>-20616.72</v>
      </c>
      <c r="S19" s="1498">
        <f>+N19-(O19+Q19)</f>
        <v>-40913.879999999997</v>
      </c>
      <c r="T19" s="1488">
        <f t="shared" si="22"/>
        <v>0</v>
      </c>
      <c r="U19" s="1488">
        <f t="shared" si="22"/>
        <v>0</v>
      </c>
      <c r="V19" s="1488">
        <f t="shared" si="22"/>
        <v>0</v>
      </c>
      <c r="W19" s="1501">
        <f t="shared" si="22"/>
        <v>3550</v>
      </c>
      <c r="X19" s="1501">
        <f t="shared" si="22"/>
        <v>0.16</v>
      </c>
      <c r="Y19" s="1501">
        <f t="shared" si="22"/>
        <v>2556</v>
      </c>
      <c r="Z19" s="1501">
        <f t="shared" si="22"/>
        <v>22515.84</v>
      </c>
      <c r="AA19" s="1501">
        <f t="shared" si="22"/>
        <v>0</v>
      </c>
      <c r="AB19" s="1501">
        <f t="shared" si="22"/>
        <v>0</v>
      </c>
      <c r="AC19" s="1501">
        <f t="shared" si="22"/>
        <v>0</v>
      </c>
      <c r="AD19" s="1501">
        <f t="shared" si="22"/>
        <v>-19959.84</v>
      </c>
      <c r="AE19" s="1228">
        <f t="shared" si="22"/>
        <v>0</v>
      </c>
      <c r="AF19" s="1228">
        <f t="shared" si="22"/>
        <v>0</v>
      </c>
      <c r="AG19" s="1103" t="s">
        <v>1021</v>
      </c>
    </row>
    <row r="20" spans="1:33" s="1520" customFormat="1">
      <c r="A20" s="1109" t="s">
        <v>29</v>
      </c>
      <c r="B20" s="1105" t="s">
        <v>1022</v>
      </c>
      <c r="C20" s="2068">
        <v>2189</v>
      </c>
      <c r="D20" s="1202">
        <v>0.16</v>
      </c>
      <c r="E20" s="2068">
        <v>1899.2799999999997</v>
      </c>
      <c r="F20" s="2068">
        <v>22516</v>
      </c>
      <c r="G20" s="2068"/>
      <c r="H20" s="2068">
        <f>E20-(F20+G20)</f>
        <v>-20616.72</v>
      </c>
      <c r="I20" s="2068"/>
      <c r="J20" s="2068"/>
      <c r="K20" s="2068">
        <f>H20</f>
        <v>-20616.72</v>
      </c>
      <c r="L20" s="2067">
        <f>+'Phụ lục số IVb'!C10+'Phụ lục số IVb'!G10</f>
        <v>3076</v>
      </c>
      <c r="M20" s="1202">
        <v>1.6E-2</v>
      </c>
      <c r="N20" s="1498">
        <f>+'Phụ lục số IVb'!F10+'Phụ lục số IVb'!J10</f>
        <v>2218.6800000000003</v>
      </c>
      <c r="O20" s="1202">
        <v>22515.84</v>
      </c>
      <c r="P20" s="1202"/>
      <c r="Q20" s="1202">
        <f>-R20</f>
        <v>20616.72</v>
      </c>
      <c r="R20" s="1202">
        <f>+K20</f>
        <v>-20616.72</v>
      </c>
      <c r="S20" s="1202">
        <f>N20-(O20+Q20)</f>
        <v>-40913.879999999997</v>
      </c>
      <c r="T20" s="1488"/>
      <c r="U20" s="1488"/>
      <c r="V20" s="1488"/>
      <c r="W20" s="1228">
        <f>'Phụ lục số IVb'!Q10+'Phụ lục số IVb'!U10</f>
        <v>3550</v>
      </c>
      <c r="X20" s="1228">
        <v>0.16</v>
      </c>
      <c r="Y20" s="1228">
        <f>'Phụ lục số IVb'!T10+'Phụ lục số IVb'!X10</f>
        <v>2556</v>
      </c>
      <c r="Z20" s="1228">
        <v>22515.84</v>
      </c>
      <c r="AA20" s="1228"/>
      <c r="AB20" s="1228">
        <f t="shared" si="20"/>
        <v>0</v>
      </c>
      <c r="AC20" s="1228"/>
      <c r="AD20" s="1228">
        <f t="shared" ref="AD20:AD40" si="24">Y20-(Z20+AB20)</f>
        <v>-19959.84</v>
      </c>
      <c r="AE20" s="1228"/>
      <c r="AF20" s="1228"/>
      <c r="AG20" s="1103"/>
    </row>
    <row r="21" spans="1:33" s="1520" customFormat="1">
      <c r="A21" s="1109" t="s">
        <v>29</v>
      </c>
      <c r="B21" s="1105" t="s">
        <v>1023</v>
      </c>
      <c r="C21" s="2068"/>
      <c r="D21" s="1202"/>
      <c r="E21" s="2068"/>
      <c r="F21" s="2068"/>
      <c r="G21" s="2068"/>
      <c r="H21" s="2068"/>
      <c r="I21" s="2068"/>
      <c r="J21" s="2068"/>
      <c r="K21" s="2068"/>
      <c r="L21" s="2068"/>
      <c r="M21" s="1202"/>
      <c r="N21" s="1202">
        <f>'[4]1b-R'!L9</f>
        <v>0</v>
      </c>
      <c r="O21" s="1202"/>
      <c r="P21" s="1202"/>
      <c r="Q21" s="1202">
        <f>P21-R21</f>
        <v>0</v>
      </c>
      <c r="R21" s="1202"/>
      <c r="S21" s="1202">
        <f t="shared" ref="S21:S47" si="25">N21-(O21+Q21)</f>
        <v>0</v>
      </c>
      <c r="T21" s="1488"/>
      <c r="U21" s="1488"/>
      <c r="V21" s="1488"/>
      <c r="W21" s="1228"/>
      <c r="X21" s="1228"/>
      <c r="Y21" s="1228">
        <f>'[4]1b-R'!Z9</f>
        <v>0</v>
      </c>
      <c r="Z21" s="1228"/>
      <c r="AA21" s="1228"/>
      <c r="AB21" s="1228">
        <f t="shared" si="20"/>
        <v>0</v>
      </c>
      <c r="AC21" s="1228"/>
      <c r="AD21" s="1228">
        <f t="shared" si="24"/>
        <v>0</v>
      </c>
      <c r="AE21" s="1228"/>
      <c r="AF21" s="1228"/>
      <c r="AG21" s="1103"/>
    </row>
    <row r="22" spans="1:33" s="1520" customFormat="1">
      <c r="A22" s="1109" t="s">
        <v>29</v>
      </c>
      <c r="B22" s="1105" t="s">
        <v>1024</v>
      </c>
      <c r="C22" s="2068"/>
      <c r="D22" s="1202"/>
      <c r="E22" s="2068"/>
      <c r="F22" s="2068"/>
      <c r="G22" s="2068"/>
      <c r="H22" s="2068"/>
      <c r="I22" s="2068"/>
      <c r="J22" s="2068"/>
      <c r="K22" s="2068"/>
      <c r="L22" s="2068"/>
      <c r="M22" s="1202"/>
      <c r="N22" s="1202">
        <f>'[4]1b-R'!M9</f>
        <v>0</v>
      </c>
      <c r="O22" s="1202"/>
      <c r="P22" s="1202"/>
      <c r="Q22" s="1202">
        <f t="shared" si="19"/>
        <v>0</v>
      </c>
      <c r="R22" s="1202"/>
      <c r="S22" s="1202">
        <f t="shared" si="25"/>
        <v>0</v>
      </c>
      <c r="T22" s="1488"/>
      <c r="U22" s="1488"/>
      <c r="V22" s="1488"/>
      <c r="W22" s="1228"/>
      <c r="X22" s="1228"/>
      <c r="Y22" s="1228">
        <f>'[4]1b-R'!AA9</f>
        <v>0</v>
      </c>
      <c r="Z22" s="1228"/>
      <c r="AA22" s="1228"/>
      <c r="AB22" s="1228">
        <f t="shared" si="20"/>
        <v>0</v>
      </c>
      <c r="AC22" s="1228"/>
      <c r="AD22" s="1228">
        <f t="shared" si="24"/>
        <v>0</v>
      </c>
      <c r="AE22" s="1228"/>
      <c r="AF22" s="1228"/>
      <c r="AG22" s="1103"/>
    </row>
    <row r="23" spans="1:33" s="1520" customFormat="1" ht="41.4">
      <c r="A23" s="1499" t="s">
        <v>1025</v>
      </c>
      <c r="B23" s="1500" t="s">
        <v>1026</v>
      </c>
      <c r="C23" s="2067">
        <f>SUM(C24,C25)</f>
        <v>481</v>
      </c>
      <c r="D23" s="1498">
        <f t="shared" ref="D23:J23" si="26">SUM(D24,D25)</f>
        <v>0</v>
      </c>
      <c r="E23" s="2067">
        <f t="shared" si="26"/>
        <v>2112.4948988888891</v>
      </c>
      <c r="F23" s="2067">
        <v>4058</v>
      </c>
      <c r="G23" s="2067"/>
      <c r="H23" s="2067">
        <f>E23-(F23+G23)</f>
        <v>-1945.5051011111109</v>
      </c>
      <c r="I23" s="2067">
        <f t="shared" si="26"/>
        <v>0</v>
      </c>
      <c r="J23" s="2067">
        <f t="shared" si="26"/>
        <v>0</v>
      </c>
      <c r="K23" s="2067">
        <f>H23</f>
        <v>-1945.5051011111109</v>
      </c>
      <c r="L23" s="2067">
        <f>SUM(L24,L25)</f>
        <v>504</v>
      </c>
      <c r="M23" s="1498">
        <f t="shared" ref="M23:AF23" si="27">SUM(M24,M25)</f>
        <v>0</v>
      </c>
      <c r="N23" s="1498">
        <f t="shared" si="27"/>
        <v>3769.8986666666665</v>
      </c>
      <c r="O23" s="1498">
        <v>4057.8879999999999</v>
      </c>
      <c r="P23" s="1498"/>
      <c r="Q23" s="1498">
        <f t="shared" ref="Q23" si="28">P23-R23</f>
        <v>1945.5051011111109</v>
      </c>
      <c r="R23" s="1498">
        <f>+K23</f>
        <v>-1945.5051011111109</v>
      </c>
      <c r="S23" s="1498">
        <f t="shared" si="25"/>
        <v>-2233.4944344444443</v>
      </c>
      <c r="T23" s="1488">
        <f t="shared" si="27"/>
        <v>0</v>
      </c>
      <c r="U23" s="1488">
        <f t="shared" si="27"/>
        <v>0</v>
      </c>
      <c r="V23" s="1488">
        <f t="shared" si="27"/>
        <v>0</v>
      </c>
      <c r="W23" s="1501">
        <f t="shared" si="27"/>
        <v>514</v>
      </c>
      <c r="X23" s="1501">
        <f t="shared" si="27"/>
        <v>0</v>
      </c>
      <c r="Y23" s="1501">
        <f t="shared" si="27"/>
        <v>4761.4497777777779</v>
      </c>
      <c r="Z23" s="1501">
        <v>4057.8879999999999</v>
      </c>
      <c r="AA23" s="1501">
        <f t="shared" ref="AA23:AC23" si="29">SUM(AA24,AA25)</f>
        <v>0</v>
      </c>
      <c r="AB23" s="1501">
        <f t="shared" si="29"/>
        <v>0</v>
      </c>
      <c r="AC23" s="1501">
        <f t="shared" si="29"/>
        <v>0</v>
      </c>
      <c r="AD23" s="1501">
        <f>Y23-(Z23+AB23)</f>
        <v>703.56177777777793</v>
      </c>
      <c r="AE23" s="1501">
        <f t="shared" si="27"/>
        <v>0</v>
      </c>
      <c r="AF23" s="1501">
        <f t="shared" si="27"/>
        <v>0</v>
      </c>
      <c r="AG23" s="1502" t="s">
        <v>1027</v>
      </c>
    </row>
    <row r="24" spans="1:33" s="1524" customFormat="1">
      <c r="A24" s="1109" t="s">
        <v>29</v>
      </c>
      <c r="B24" s="1105" t="s">
        <v>1028</v>
      </c>
      <c r="C24" s="2068">
        <v>262</v>
      </c>
      <c r="D24" s="1202"/>
      <c r="E24" s="2068">
        <v>1983.2204124444445</v>
      </c>
      <c r="F24" s="2068"/>
      <c r="G24" s="2068"/>
      <c r="H24" s="2068"/>
      <c r="I24" s="2068"/>
      <c r="J24" s="2068"/>
      <c r="K24" s="2068"/>
      <c r="L24" s="2170">
        <v>269</v>
      </c>
      <c r="M24" s="1498"/>
      <c r="N24" s="1498">
        <f>+'Phụ lục số IVd'!E11+'Phụ lục số IVd'!I11</f>
        <v>3539.232</v>
      </c>
      <c r="O24" s="1202"/>
      <c r="P24" s="1202"/>
      <c r="Q24" s="1202">
        <f>P24-R24</f>
        <v>0</v>
      </c>
      <c r="R24" s="1202"/>
      <c r="S24" s="1202">
        <f t="shared" si="25"/>
        <v>3539.232</v>
      </c>
      <c r="T24" s="1488"/>
      <c r="U24" s="1488"/>
      <c r="V24" s="1488"/>
      <c r="W24" s="2171">
        <v>274</v>
      </c>
      <c r="X24" s="1228"/>
      <c r="Y24" s="1228">
        <f>'Phụ lục số IVd'!P11+'Phụ lục số IVd'!T11</f>
        <v>4494.6720000000005</v>
      </c>
      <c r="Z24" s="1228"/>
      <c r="AA24" s="1228"/>
      <c r="AB24" s="1228">
        <f t="shared" si="20"/>
        <v>0</v>
      </c>
      <c r="AC24" s="1228"/>
      <c r="AD24" s="1228">
        <f t="shared" si="24"/>
        <v>4494.6720000000005</v>
      </c>
      <c r="AE24" s="1228"/>
      <c r="AF24" s="1228"/>
      <c r="AG24" s="1103"/>
    </row>
    <row r="25" spans="1:33" s="1524" customFormat="1">
      <c r="A25" s="1109" t="s">
        <v>29</v>
      </c>
      <c r="B25" s="1111" t="s">
        <v>1029</v>
      </c>
      <c r="C25" s="2068">
        <v>219</v>
      </c>
      <c r="D25" s="1202"/>
      <c r="E25" s="2068">
        <v>129.27448644444445</v>
      </c>
      <c r="F25" s="2068"/>
      <c r="G25" s="2068"/>
      <c r="H25" s="2068"/>
      <c r="I25" s="2068"/>
      <c r="J25" s="2068"/>
      <c r="K25" s="2068"/>
      <c r="L25" s="2170">
        <v>235</v>
      </c>
      <c r="M25" s="1498"/>
      <c r="N25" s="1498">
        <f>+'Phụ lục số IVd'!F11+'Phụ lục số IVd'!J11</f>
        <v>230.66666666666669</v>
      </c>
      <c r="O25" s="1202"/>
      <c r="P25" s="1525"/>
      <c r="Q25" s="1202"/>
      <c r="R25" s="1202"/>
      <c r="S25" s="1202">
        <f t="shared" si="25"/>
        <v>230.66666666666669</v>
      </c>
      <c r="T25" s="1488"/>
      <c r="U25" s="1488"/>
      <c r="V25" s="1488"/>
      <c r="W25" s="2171">
        <v>240</v>
      </c>
      <c r="X25" s="1228"/>
      <c r="Y25" s="1228">
        <f>'Phụ lục số IVd'!Q11+'Phụ lục số IVd'!U11</f>
        <v>266.77777777777777</v>
      </c>
      <c r="Z25" s="1228"/>
      <c r="AA25" s="1228"/>
      <c r="AB25" s="1228">
        <f t="shared" si="20"/>
        <v>0</v>
      </c>
      <c r="AC25" s="1228"/>
      <c r="AD25" s="1228">
        <f t="shared" si="24"/>
        <v>266.77777777777777</v>
      </c>
      <c r="AE25" s="1228"/>
      <c r="AF25" s="1228"/>
      <c r="AG25" s="1103"/>
    </row>
    <row r="26" spans="1:33" s="1526" customFormat="1" ht="36.75" hidden="1" customHeight="1">
      <c r="A26" s="1197" t="s">
        <v>1030</v>
      </c>
      <c r="B26" s="1196" t="s">
        <v>1031</v>
      </c>
      <c r="C26" s="2070"/>
      <c r="D26" s="1488"/>
      <c r="E26" s="2070"/>
      <c r="F26" s="2070"/>
      <c r="G26" s="2070"/>
      <c r="H26" s="2070"/>
      <c r="I26" s="2070"/>
      <c r="J26" s="2070"/>
      <c r="K26" s="2070"/>
      <c r="L26" s="2070"/>
      <c r="M26" s="1488"/>
      <c r="N26" s="1488"/>
      <c r="O26" s="1488"/>
      <c r="P26" s="1488"/>
      <c r="Q26" s="1488">
        <f t="shared" si="19"/>
        <v>0</v>
      </c>
      <c r="R26" s="1488"/>
      <c r="S26" s="1488">
        <f t="shared" si="25"/>
        <v>0</v>
      </c>
      <c r="T26" s="1488"/>
      <c r="U26" s="1488"/>
      <c r="V26" s="1488"/>
      <c r="W26" s="1489"/>
      <c r="X26" s="1489"/>
      <c r="Y26" s="1489"/>
      <c r="Z26" s="1489"/>
      <c r="AA26" s="1489"/>
      <c r="AB26" s="1489">
        <f t="shared" si="20"/>
        <v>0</v>
      </c>
      <c r="AC26" s="1489"/>
      <c r="AD26" s="1489">
        <f t="shared" si="24"/>
        <v>0</v>
      </c>
      <c r="AE26" s="1489"/>
      <c r="AF26" s="1489"/>
      <c r="AG26" s="1490" t="s">
        <v>1032</v>
      </c>
    </row>
    <row r="27" spans="1:33" s="1526" customFormat="1" hidden="1">
      <c r="A27" s="1197" t="s">
        <v>29</v>
      </c>
      <c r="B27" s="1196" t="s">
        <v>1033</v>
      </c>
      <c r="C27" s="2070"/>
      <c r="D27" s="1488"/>
      <c r="E27" s="2070"/>
      <c r="F27" s="2070"/>
      <c r="G27" s="2070"/>
      <c r="H27" s="2070"/>
      <c r="I27" s="2070"/>
      <c r="J27" s="2070"/>
      <c r="K27" s="2070"/>
      <c r="L27" s="2071"/>
      <c r="M27" s="1491"/>
      <c r="N27" s="1491"/>
      <c r="O27" s="1491"/>
      <c r="P27" s="1491"/>
      <c r="Q27" s="1488">
        <f t="shared" si="19"/>
        <v>0</v>
      </c>
      <c r="R27" s="1491"/>
      <c r="S27" s="1488">
        <f t="shared" si="25"/>
        <v>0</v>
      </c>
      <c r="T27" s="1491"/>
      <c r="U27" s="1491"/>
      <c r="V27" s="1491"/>
      <c r="W27" s="1492"/>
      <c r="X27" s="1492"/>
      <c r="Y27" s="1492"/>
      <c r="Z27" s="1492"/>
      <c r="AA27" s="1492"/>
      <c r="AB27" s="1489">
        <f t="shared" si="20"/>
        <v>0</v>
      </c>
      <c r="AC27" s="1492"/>
      <c r="AD27" s="1489">
        <f t="shared" si="24"/>
        <v>0</v>
      </c>
      <c r="AE27" s="1492"/>
      <c r="AF27" s="1492"/>
      <c r="AG27" s="1493"/>
    </row>
    <row r="28" spans="1:33" s="1526" customFormat="1" hidden="1">
      <c r="A28" s="1197" t="s">
        <v>29</v>
      </c>
      <c r="B28" s="1196" t="s">
        <v>1034</v>
      </c>
      <c r="C28" s="2070"/>
      <c r="D28" s="1488"/>
      <c r="E28" s="2070"/>
      <c r="F28" s="2070"/>
      <c r="G28" s="2070"/>
      <c r="H28" s="2070"/>
      <c r="I28" s="2070"/>
      <c r="J28" s="2070"/>
      <c r="K28" s="2070"/>
      <c r="L28" s="2071"/>
      <c r="M28" s="1491"/>
      <c r="N28" s="1491"/>
      <c r="O28" s="1491"/>
      <c r="P28" s="1491"/>
      <c r="Q28" s="1488">
        <f t="shared" si="19"/>
        <v>0</v>
      </c>
      <c r="R28" s="1491"/>
      <c r="S28" s="1488">
        <f t="shared" si="25"/>
        <v>0</v>
      </c>
      <c r="T28" s="1491"/>
      <c r="U28" s="1491"/>
      <c r="V28" s="1491"/>
      <c r="W28" s="1492"/>
      <c r="X28" s="1492"/>
      <c r="Y28" s="1492"/>
      <c r="Z28" s="1492"/>
      <c r="AA28" s="1492"/>
      <c r="AB28" s="1489">
        <f t="shared" si="20"/>
        <v>0</v>
      </c>
      <c r="AC28" s="1492"/>
      <c r="AD28" s="1489">
        <f t="shared" si="24"/>
        <v>0</v>
      </c>
      <c r="AE28" s="1492"/>
      <c r="AF28" s="1492"/>
      <c r="AG28" s="1493"/>
    </row>
    <row r="29" spans="1:33" s="1526" customFormat="1" hidden="1">
      <c r="A29" s="1197" t="s">
        <v>29</v>
      </c>
      <c r="B29" s="1196" t="s">
        <v>1035</v>
      </c>
      <c r="C29" s="2070"/>
      <c r="D29" s="1488"/>
      <c r="E29" s="2070"/>
      <c r="F29" s="2070"/>
      <c r="G29" s="2070"/>
      <c r="H29" s="2070"/>
      <c r="I29" s="2070"/>
      <c r="J29" s="2070"/>
      <c r="K29" s="2070"/>
      <c r="L29" s="2071"/>
      <c r="M29" s="1491"/>
      <c r="N29" s="1491"/>
      <c r="O29" s="1491"/>
      <c r="P29" s="1491"/>
      <c r="Q29" s="1488">
        <f t="shared" si="19"/>
        <v>0</v>
      </c>
      <c r="R29" s="1491"/>
      <c r="S29" s="1488">
        <f t="shared" si="25"/>
        <v>0</v>
      </c>
      <c r="T29" s="1491"/>
      <c r="U29" s="1491"/>
      <c r="V29" s="1491"/>
      <c r="W29" s="1492"/>
      <c r="X29" s="1492"/>
      <c r="Y29" s="1492"/>
      <c r="Z29" s="1492"/>
      <c r="AA29" s="1492"/>
      <c r="AB29" s="1489">
        <f t="shared" si="20"/>
        <v>0</v>
      </c>
      <c r="AC29" s="1492"/>
      <c r="AD29" s="1489">
        <f t="shared" si="24"/>
        <v>0</v>
      </c>
      <c r="AE29" s="1492"/>
      <c r="AF29" s="1492"/>
      <c r="AG29" s="1493"/>
    </row>
    <row r="30" spans="1:33" s="1526" customFormat="1" hidden="1">
      <c r="A30" s="1197" t="s">
        <v>29</v>
      </c>
      <c r="B30" s="1196" t="s">
        <v>1036</v>
      </c>
      <c r="C30" s="2070"/>
      <c r="D30" s="1488"/>
      <c r="E30" s="2070"/>
      <c r="F30" s="2070"/>
      <c r="G30" s="2070"/>
      <c r="H30" s="2070"/>
      <c r="I30" s="2070"/>
      <c r="J30" s="2070"/>
      <c r="K30" s="2070"/>
      <c r="L30" s="2071"/>
      <c r="M30" s="1491"/>
      <c r="N30" s="1491"/>
      <c r="O30" s="1491"/>
      <c r="P30" s="1491"/>
      <c r="Q30" s="1488">
        <f t="shared" si="19"/>
        <v>0</v>
      </c>
      <c r="R30" s="1491"/>
      <c r="S30" s="1488">
        <f t="shared" si="25"/>
        <v>0</v>
      </c>
      <c r="T30" s="1491"/>
      <c r="U30" s="1491"/>
      <c r="V30" s="1491"/>
      <c r="W30" s="1492"/>
      <c r="X30" s="1492"/>
      <c r="Y30" s="1492"/>
      <c r="Z30" s="1492"/>
      <c r="AA30" s="1492"/>
      <c r="AB30" s="1489">
        <f t="shared" si="20"/>
        <v>0</v>
      </c>
      <c r="AC30" s="1492"/>
      <c r="AD30" s="1489">
        <f t="shared" si="24"/>
        <v>0</v>
      </c>
      <c r="AE30" s="1492"/>
      <c r="AF30" s="1492"/>
      <c r="AG30" s="1493"/>
    </row>
    <row r="31" spans="1:33" s="1526" customFormat="1" ht="46.8" hidden="1">
      <c r="A31" s="1197" t="s">
        <v>1037</v>
      </c>
      <c r="B31" s="1196" t="s">
        <v>1038</v>
      </c>
      <c r="C31" s="2070"/>
      <c r="D31" s="1488"/>
      <c r="E31" s="2070"/>
      <c r="F31" s="2070"/>
      <c r="G31" s="2070"/>
      <c r="H31" s="2070"/>
      <c r="I31" s="2070"/>
      <c r="J31" s="2070"/>
      <c r="K31" s="2070"/>
      <c r="L31" s="2070"/>
      <c r="M31" s="1488"/>
      <c r="N31" s="1488"/>
      <c r="O31" s="1488"/>
      <c r="P31" s="1488"/>
      <c r="Q31" s="1488">
        <f t="shared" si="19"/>
        <v>0</v>
      </c>
      <c r="R31" s="1488"/>
      <c r="S31" s="1488">
        <f t="shared" si="25"/>
        <v>0</v>
      </c>
      <c r="T31" s="1488"/>
      <c r="U31" s="1488"/>
      <c r="V31" s="1488"/>
      <c r="W31" s="1489"/>
      <c r="X31" s="1489"/>
      <c r="Y31" s="1489"/>
      <c r="Z31" s="1489"/>
      <c r="AA31" s="1489"/>
      <c r="AB31" s="1489">
        <f t="shared" si="20"/>
        <v>0</v>
      </c>
      <c r="AC31" s="1489"/>
      <c r="AD31" s="1489">
        <f t="shared" si="24"/>
        <v>0</v>
      </c>
      <c r="AE31" s="1489"/>
      <c r="AF31" s="1489"/>
      <c r="AG31" s="1490" t="s">
        <v>1039</v>
      </c>
    </row>
    <row r="32" spans="1:33" s="1526" customFormat="1" ht="46.8" hidden="1">
      <c r="A32" s="1197" t="s">
        <v>1040</v>
      </c>
      <c r="B32" s="1196" t="s">
        <v>1041</v>
      </c>
      <c r="C32" s="2070"/>
      <c r="D32" s="1488"/>
      <c r="E32" s="2070"/>
      <c r="F32" s="2070"/>
      <c r="G32" s="2070"/>
      <c r="H32" s="2070"/>
      <c r="I32" s="2070"/>
      <c r="J32" s="2070"/>
      <c r="K32" s="2070"/>
      <c r="L32" s="2070"/>
      <c r="M32" s="1488"/>
      <c r="N32" s="1488"/>
      <c r="O32" s="1488"/>
      <c r="P32" s="1488"/>
      <c r="Q32" s="1488">
        <f t="shared" si="19"/>
        <v>0</v>
      </c>
      <c r="R32" s="1488"/>
      <c r="S32" s="1488">
        <f t="shared" si="25"/>
        <v>0</v>
      </c>
      <c r="T32" s="1488"/>
      <c r="U32" s="1488"/>
      <c r="V32" s="1488"/>
      <c r="W32" s="1489"/>
      <c r="X32" s="1489"/>
      <c r="Y32" s="1489"/>
      <c r="Z32" s="1489"/>
      <c r="AA32" s="1489"/>
      <c r="AB32" s="1489">
        <f t="shared" si="20"/>
        <v>0</v>
      </c>
      <c r="AC32" s="1489"/>
      <c r="AD32" s="1489">
        <f t="shared" si="24"/>
        <v>0</v>
      </c>
      <c r="AE32" s="1489"/>
      <c r="AF32" s="1489"/>
      <c r="AG32" s="1490" t="s">
        <v>1042</v>
      </c>
    </row>
    <row r="33" spans="1:33" s="1527" customFormat="1" hidden="1">
      <c r="A33" s="1197" t="s">
        <v>29</v>
      </c>
      <c r="B33" s="1196" t="s">
        <v>1043</v>
      </c>
      <c r="C33" s="2071"/>
      <c r="D33" s="1488"/>
      <c r="E33" s="2070"/>
      <c r="F33" s="2070"/>
      <c r="G33" s="2070"/>
      <c r="H33" s="2070"/>
      <c r="I33" s="2070"/>
      <c r="J33" s="2070"/>
      <c r="K33" s="2070"/>
      <c r="L33" s="2071"/>
      <c r="M33" s="1491"/>
      <c r="N33" s="1491"/>
      <c r="O33" s="1491"/>
      <c r="P33" s="1491"/>
      <c r="Q33" s="1488">
        <f t="shared" si="19"/>
        <v>0</v>
      </c>
      <c r="R33" s="1491"/>
      <c r="S33" s="1488">
        <f t="shared" si="25"/>
        <v>0</v>
      </c>
      <c r="T33" s="1491"/>
      <c r="U33" s="1491"/>
      <c r="V33" s="1491"/>
      <c r="W33" s="1492"/>
      <c r="X33" s="1492"/>
      <c r="Y33" s="1492"/>
      <c r="Z33" s="1492"/>
      <c r="AA33" s="1492"/>
      <c r="AB33" s="1489">
        <f t="shared" si="20"/>
        <v>0</v>
      </c>
      <c r="AC33" s="1492"/>
      <c r="AD33" s="1489">
        <f t="shared" si="24"/>
        <v>0</v>
      </c>
      <c r="AE33" s="1492"/>
      <c r="AF33" s="1492"/>
      <c r="AG33" s="1493"/>
    </row>
    <row r="34" spans="1:33" s="1527" customFormat="1" hidden="1">
      <c r="A34" s="1197"/>
      <c r="B34" s="1494" t="s">
        <v>1044</v>
      </c>
      <c r="C34" s="2071"/>
      <c r="D34" s="1488"/>
      <c r="E34" s="2070"/>
      <c r="F34" s="2070"/>
      <c r="G34" s="2070"/>
      <c r="H34" s="2070"/>
      <c r="I34" s="2070"/>
      <c r="J34" s="2070"/>
      <c r="K34" s="2070"/>
      <c r="L34" s="2071"/>
      <c r="M34" s="1491"/>
      <c r="N34" s="1491"/>
      <c r="O34" s="1491"/>
      <c r="P34" s="1491"/>
      <c r="Q34" s="1488">
        <f t="shared" si="19"/>
        <v>0</v>
      </c>
      <c r="R34" s="1491"/>
      <c r="S34" s="1488">
        <f t="shared" si="25"/>
        <v>0</v>
      </c>
      <c r="T34" s="1491"/>
      <c r="U34" s="1491"/>
      <c r="V34" s="1491"/>
      <c r="W34" s="1492"/>
      <c r="X34" s="1492"/>
      <c r="Y34" s="1492"/>
      <c r="Z34" s="1492"/>
      <c r="AA34" s="1492"/>
      <c r="AB34" s="1489">
        <f t="shared" si="20"/>
        <v>0</v>
      </c>
      <c r="AC34" s="1492"/>
      <c r="AD34" s="1489">
        <f t="shared" si="24"/>
        <v>0</v>
      </c>
      <c r="AE34" s="1492"/>
      <c r="AF34" s="1492"/>
      <c r="AG34" s="1493"/>
    </row>
    <row r="35" spans="1:33" s="1527" customFormat="1" hidden="1">
      <c r="A35" s="1197"/>
      <c r="B35" s="1494" t="s">
        <v>1045</v>
      </c>
      <c r="C35" s="2071"/>
      <c r="D35" s="1488"/>
      <c r="E35" s="2070"/>
      <c r="F35" s="2070"/>
      <c r="G35" s="2070"/>
      <c r="H35" s="2070"/>
      <c r="I35" s="2070"/>
      <c r="J35" s="2070"/>
      <c r="K35" s="2070"/>
      <c r="L35" s="2071"/>
      <c r="M35" s="1491"/>
      <c r="N35" s="1491"/>
      <c r="O35" s="1491"/>
      <c r="P35" s="1491"/>
      <c r="Q35" s="1488">
        <f t="shared" si="19"/>
        <v>0</v>
      </c>
      <c r="R35" s="1491"/>
      <c r="S35" s="1488">
        <f t="shared" si="25"/>
        <v>0</v>
      </c>
      <c r="T35" s="1491"/>
      <c r="U35" s="1491"/>
      <c r="V35" s="1491"/>
      <c r="W35" s="1492"/>
      <c r="X35" s="1492"/>
      <c r="Y35" s="1492"/>
      <c r="Z35" s="1492"/>
      <c r="AA35" s="1492"/>
      <c r="AB35" s="1489">
        <f t="shared" si="20"/>
        <v>0</v>
      </c>
      <c r="AC35" s="1492"/>
      <c r="AD35" s="1489">
        <f t="shared" si="24"/>
        <v>0</v>
      </c>
      <c r="AE35" s="1492"/>
      <c r="AF35" s="1492"/>
      <c r="AG35" s="1493"/>
    </row>
    <row r="36" spans="1:33" s="1527" customFormat="1" hidden="1">
      <c r="A36" s="1198"/>
      <c r="B36" s="1494" t="s">
        <v>1046</v>
      </c>
      <c r="C36" s="2071"/>
      <c r="D36" s="1491"/>
      <c r="E36" s="2070"/>
      <c r="F36" s="2070"/>
      <c r="G36" s="2070"/>
      <c r="H36" s="2070"/>
      <c r="I36" s="2070"/>
      <c r="J36" s="2070"/>
      <c r="K36" s="2070"/>
      <c r="L36" s="2071"/>
      <c r="M36" s="1491"/>
      <c r="N36" s="1491"/>
      <c r="O36" s="1491"/>
      <c r="P36" s="1491"/>
      <c r="Q36" s="1488">
        <f t="shared" si="19"/>
        <v>0</v>
      </c>
      <c r="R36" s="1491"/>
      <c r="S36" s="1488">
        <f t="shared" si="25"/>
        <v>0</v>
      </c>
      <c r="T36" s="1491"/>
      <c r="U36" s="1491"/>
      <c r="V36" s="1491"/>
      <c r="W36" s="1492"/>
      <c r="X36" s="1492"/>
      <c r="Y36" s="1492"/>
      <c r="Z36" s="1492"/>
      <c r="AA36" s="1492"/>
      <c r="AB36" s="1489">
        <f t="shared" si="20"/>
        <v>0</v>
      </c>
      <c r="AC36" s="1492"/>
      <c r="AD36" s="1489">
        <f t="shared" si="24"/>
        <v>0</v>
      </c>
      <c r="AE36" s="1492"/>
      <c r="AF36" s="1492"/>
      <c r="AG36" s="1493"/>
    </row>
    <row r="37" spans="1:33" s="1527" customFormat="1" ht="31.2" hidden="1">
      <c r="A37" s="1197" t="s">
        <v>29</v>
      </c>
      <c r="B37" s="1494" t="s">
        <v>1047</v>
      </c>
      <c r="C37" s="2071"/>
      <c r="D37" s="1491"/>
      <c r="E37" s="2071"/>
      <c r="F37" s="2071"/>
      <c r="G37" s="2071"/>
      <c r="H37" s="2071"/>
      <c r="I37" s="2071"/>
      <c r="J37" s="2071"/>
      <c r="K37" s="2071"/>
      <c r="L37" s="2071"/>
      <c r="M37" s="1491"/>
      <c r="N37" s="1491"/>
      <c r="O37" s="1491"/>
      <c r="P37" s="1491"/>
      <c r="Q37" s="1488">
        <f t="shared" si="19"/>
        <v>0</v>
      </c>
      <c r="R37" s="1491"/>
      <c r="S37" s="1488">
        <f t="shared" si="25"/>
        <v>0</v>
      </c>
      <c r="T37" s="1491"/>
      <c r="U37" s="1491"/>
      <c r="V37" s="1491"/>
      <c r="W37" s="1492"/>
      <c r="X37" s="1492"/>
      <c r="Y37" s="1492"/>
      <c r="Z37" s="1492"/>
      <c r="AA37" s="1492"/>
      <c r="AB37" s="1489">
        <f t="shared" si="20"/>
        <v>0</v>
      </c>
      <c r="AC37" s="1492"/>
      <c r="AD37" s="1489">
        <f t="shared" si="24"/>
        <v>0</v>
      </c>
      <c r="AE37" s="1492"/>
      <c r="AF37" s="1492"/>
      <c r="AG37" s="1493"/>
    </row>
    <row r="38" spans="1:33" s="1526" customFormat="1" ht="41.4" hidden="1">
      <c r="A38" s="1197" t="s">
        <v>1048</v>
      </c>
      <c r="B38" s="1196" t="s">
        <v>1049</v>
      </c>
      <c r="C38" s="2070"/>
      <c r="D38" s="1488"/>
      <c r="E38" s="2070"/>
      <c r="F38" s="2070"/>
      <c r="G38" s="2070"/>
      <c r="H38" s="2070"/>
      <c r="I38" s="2070"/>
      <c r="J38" s="2070"/>
      <c r="K38" s="2070"/>
      <c r="L38" s="2070"/>
      <c r="M38" s="1488"/>
      <c r="N38" s="1488"/>
      <c r="O38" s="1488"/>
      <c r="P38" s="1488"/>
      <c r="Q38" s="1488">
        <f t="shared" si="19"/>
        <v>0</v>
      </c>
      <c r="R38" s="1488"/>
      <c r="S38" s="1488">
        <f t="shared" si="25"/>
        <v>0</v>
      </c>
      <c r="T38" s="1488"/>
      <c r="U38" s="1488"/>
      <c r="V38" s="1488"/>
      <c r="W38" s="1489"/>
      <c r="X38" s="1489"/>
      <c r="Y38" s="1489"/>
      <c r="Z38" s="1489"/>
      <c r="AA38" s="1489"/>
      <c r="AB38" s="1489">
        <f t="shared" si="20"/>
        <v>0</v>
      </c>
      <c r="AC38" s="1489"/>
      <c r="AD38" s="1489">
        <f t="shared" si="24"/>
        <v>0</v>
      </c>
      <c r="AE38" s="1489"/>
      <c r="AF38" s="1489"/>
      <c r="AG38" s="1490" t="s">
        <v>1050</v>
      </c>
    </row>
    <row r="39" spans="1:33" s="1527" customFormat="1" hidden="1">
      <c r="A39" s="1198"/>
      <c r="B39" s="1494" t="s">
        <v>1051</v>
      </c>
      <c r="C39" s="2071"/>
      <c r="D39" s="1491"/>
      <c r="E39" s="2071"/>
      <c r="F39" s="2071"/>
      <c r="G39" s="2071"/>
      <c r="H39" s="2071"/>
      <c r="I39" s="2071"/>
      <c r="J39" s="2071"/>
      <c r="K39" s="2071"/>
      <c r="L39" s="2071"/>
      <c r="M39" s="1491"/>
      <c r="N39" s="1491"/>
      <c r="O39" s="1491"/>
      <c r="P39" s="1491"/>
      <c r="Q39" s="1488">
        <f t="shared" si="19"/>
        <v>0</v>
      </c>
      <c r="R39" s="1491"/>
      <c r="S39" s="1488">
        <f t="shared" si="25"/>
        <v>0</v>
      </c>
      <c r="T39" s="1491"/>
      <c r="U39" s="1491"/>
      <c r="V39" s="1491"/>
      <c r="W39" s="1492"/>
      <c r="X39" s="1492"/>
      <c r="Y39" s="1492"/>
      <c r="Z39" s="1492"/>
      <c r="AA39" s="1492"/>
      <c r="AB39" s="1489">
        <f t="shared" si="20"/>
        <v>0</v>
      </c>
      <c r="AC39" s="1492"/>
      <c r="AD39" s="1489">
        <f t="shared" si="24"/>
        <v>0</v>
      </c>
      <c r="AE39" s="1492"/>
      <c r="AF39" s="1492"/>
      <c r="AG39" s="1493"/>
    </row>
    <row r="40" spans="1:33" s="1527" customFormat="1" hidden="1">
      <c r="A40" s="1198"/>
      <c r="B40" s="1494" t="s">
        <v>1052</v>
      </c>
      <c r="C40" s="2071"/>
      <c r="D40" s="1491"/>
      <c r="E40" s="2071"/>
      <c r="F40" s="2071"/>
      <c r="G40" s="2071"/>
      <c r="H40" s="2071"/>
      <c r="I40" s="2071"/>
      <c r="J40" s="2071"/>
      <c r="K40" s="2071"/>
      <c r="L40" s="2071"/>
      <c r="M40" s="1491"/>
      <c r="N40" s="1491"/>
      <c r="O40" s="1491"/>
      <c r="P40" s="1491"/>
      <c r="Q40" s="1488">
        <f t="shared" si="19"/>
        <v>0</v>
      </c>
      <c r="R40" s="1491"/>
      <c r="S40" s="1488">
        <f t="shared" si="25"/>
        <v>0</v>
      </c>
      <c r="T40" s="1491"/>
      <c r="U40" s="1491"/>
      <c r="V40" s="1491"/>
      <c r="W40" s="1492"/>
      <c r="X40" s="1492"/>
      <c r="Y40" s="1492"/>
      <c r="Z40" s="1492"/>
      <c r="AA40" s="1492"/>
      <c r="AB40" s="1489">
        <f t="shared" si="20"/>
        <v>0</v>
      </c>
      <c r="AC40" s="1492"/>
      <c r="AD40" s="1489">
        <f t="shared" si="24"/>
        <v>0</v>
      </c>
      <c r="AE40" s="1492"/>
      <c r="AF40" s="1492"/>
      <c r="AG40" s="1493"/>
    </row>
    <row r="41" spans="1:33" s="1520" customFormat="1">
      <c r="A41" s="1109" t="s">
        <v>1030</v>
      </c>
      <c r="B41" s="1105" t="s">
        <v>1053</v>
      </c>
      <c r="C41" s="2068">
        <v>20</v>
      </c>
      <c r="D41" s="1202">
        <v>0</v>
      </c>
      <c r="E41" s="2068">
        <v>3579.4409999999998</v>
      </c>
      <c r="F41" s="2068">
        <v>0</v>
      </c>
      <c r="G41" s="2068"/>
      <c r="H41" s="2068">
        <f>E41-(F41+G41)</f>
        <v>3579.4409999999998</v>
      </c>
      <c r="I41" s="2068"/>
      <c r="J41" s="2068"/>
      <c r="K41" s="2068">
        <f>H41</f>
        <v>3579.4409999999998</v>
      </c>
      <c r="L41" s="2068"/>
      <c r="M41" s="1202"/>
      <c r="N41" s="1202"/>
      <c r="O41" s="1202"/>
      <c r="P41" s="1202"/>
      <c r="Q41" s="1202">
        <f>P41-R41</f>
        <v>-3579.4409999999998</v>
      </c>
      <c r="R41" s="1202">
        <f>+K41</f>
        <v>3579.4409999999998</v>
      </c>
      <c r="S41" s="1202">
        <f>N41-(O41+Q41)</f>
        <v>3579.4409999999998</v>
      </c>
      <c r="T41" s="1488"/>
      <c r="U41" s="1488"/>
      <c r="V41" s="1488"/>
      <c r="W41" s="1228"/>
      <c r="X41" s="1228"/>
      <c r="Y41" s="1228"/>
      <c r="Z41" s="1228"/>
      <c r="AA41" s="1228"/>
      <c r="AB41" s="1228">
        <f>AA41-AC41</f>
        <v>0</v>
      </c>
      <c r="AC41" s="1228"/>
      <c r="AD41" s="1228">
        <f>Y41-(Z41+AB41)</f>
        <v>0</v>
      </c>
      <c r="AE41" s="1228"/>
      <c r="AF41" s="1228"/>
      <c r="AG41" s="1103"/>
    </row>
    <row r="42" spans="1:33" s="1526" customFormat="1" ht="46.8" hidden="1">
      <c r="A42" s="1197" t="s">
        <v>1054</v>
      </c>
      <c r="B42" s="1196" t="s">
        <v>1055</v>
      </c>
      <c r="C42" s="2070"/>
      <c r="D42" s="1488"/>
      <c r="E42" s="2070"/>
      <c r="F42" s="2070"/>
      <c r="G42" s="2070"/>
      <c r="H42" s="2070"/>
      <c r="I42" s="2070"/>
      <c r="J42" s="2070"/>
      <c r="K42" s="2070"/>
      <c r="L42" s="2070"/>
      <c r="M42" s="1488"/>
      <c r="N42" s="1488"/>
      <c r="O42" s="1488"/>
      <c r="P42" s="1488"/>
      <c r="Q42" s="1488"/>
      <c r="R42" s="1488"/>
      <c r="S42" s="1488">
        <f t="shared" si="25"/>
        <v>0</v>
      </c>
      <c r="T42" s="1488"/>
      <c r="U42" s="1488"/>
      <c r="V42" s="1488"/>
      <c r="W42" s="1489"/>
      <c r="X42" s="1489"/>
      <c r="Y42" s="1489"/>
      <c r="Z42" s="1489"/>
      <c r="AA42" s="1489"/>
      <c r="AB42" s="1489"/>
      <c r="AC42" s="1489"/>
      <c r="AD42" s="1489">
        <f t="shared" ref="AD42:AD47" si="30">Y42-(Z42+AB42)</f>
        <v>0</v>
      </c>
      <c r="AE42" s="1489"/>
      <c r="AF42" s="1489"/>
      <c r="AG42" s="1490" t="s">
        <v>1056</v>
      </c>
    </row>
    <row r="43" spans="1:33" s="1527" customFormat="1" ht="18" hidden="1">
      <c r="A43" s="1198"/>
      <c r="B43" s="1495" t="s">
        <v>1057</v>
      </c>
      <c r="C43" s="2071"/>
      <c r="D43" s="1491"/>
      <c r="E43" s="2071"/>
      <c r="F43" s="2071"/>
      <c r="G43" s="2071"/>
      <c r="H43" s="2071"/>
      <c r="I43" s="2071"/>
      <c r="J43" s="2071"/>
      <c r="K43" s="2071"/>
      <c r="L43" s="2071"/>
      <c r="M43" s="1491"/>
      <c r="N43" s="1491"/>
      <c r="O43" s="1491"/>
      <c r="P43" s="1491"/>
      <c r="Q43" s="1491"/>
      <c r="R43" s="1491"/>
      <c r="S43" s="1488">
        <f t="shared" si="25"/>
        <v>0</v>
      </c>
      <c r="T43" s="1491"/>
      <c r="U43" s="1491"/>
      <c r="V43" s="1491"/>
      <c r="W43" s="1492"/>
      <c r="X43" s="1492"/>
      <c r="Y43" s="1492"/>
      <c r="Z43" s="1492"/>
      <c r="AA43" s="1492"/>
      <c r="AB43" s="1492"/>
      <c r="AC43" s="1492"/>
      <c r="AD43" s="1489">
        <f t="shared" si="30"/>
        <v>0</v>
      </c>
      <c r="AE43" s="1492"/>
      <c r="AF43" s="1492"/>
      <c r="AG43" s="1493"/>
    </row>
    <row r="44" spans="1:33" s="1527" customFormat="1" ht="18" hidden="1">
      <c r="A44" s="1198"/>
      <c r="B44" s="1495" t="s">
        <v>1058</v>
      </c>
      <c r="C44" s="2071"/>
      <c r="D44" s="1491"/>
      <c r="E44" s="2071"/>
      <c r="F44" s="2071"/>
      <c r="G44" s="2071"/>
      <c r="H44" s="2071"/>
      <c r="I44" s="2071"/>
      <c r="J44" s="2071"/>
      <c r="K44" s="2071"/>
      <c r="L44" s="2071"/>
      <c r="M44" s="1491"/>
      <c r="N44" s="1491"/>
      <c r="O44" s="1491"/>
      <c r="P44" s="1491"/>
      <c r="Q44" s="1491"/>
      <c r="R44" s="1491"/>
      <c r="S44" s="1488">
        <f t="shared" si="25"/>
        <v>0</v>
      </c>
      <c r="T44" s="1491"/>
      <c r="U44" s="1491"/>
      <c r="V44" s="1491"/>
      <c r="W44" s="1492"/>
      <c r="X44" s="1492"/>
      <c r="Y44" s="1492"/>
      <c r="Z44" s="1492"/>
      <c r="AA44" s="1492"/>
      <c r="AB44" s="1492"/>
      <c r="AC44" s="1492"/>
      <c r="AD44" s="1489">
        <f t="shared" si="30"/>
        <v>0</v>
      </c>
      <c r="AE44" s="1492"/>
      <c r="AF44" s="1492"/>
      <c r="AG44" s="1493"/>
    </row>
    <row r="45" spans="1:33" s="1527" customFormat="1" ht="18" hidden="1">
      <c r="A45" s="1198"/>
      <c r="B45" s="1495" t="s">
        <v>1059</v>
      </c>
      <c r="C45" s="2071"/>
      <c r="D45" s="1491"/>
      <c r="E45" s="2071"/>
      <c r="F45" s="2071"/>
      <c r="G45" s="2071"/>
      <c r="H45" s="2071"/>
      <c r="I45" s="2071"/>
      <c r="J45" s="2071"/>
      <c r="K45" s="2071"/>
      <c r="L45" s="2071"/>
      <c r="M45" s="1491"/>
      <c r="N45" s="1491"/>
      <c r="O45" s="1491"/>
      <c r="P45" s="1491"/>
      <c r="Q45" s="1491"/>
      <c r="R45" s="1491"/>
      <c r="S45" s="1488">
        <f t="shared" si="25"/>
        <v>0</v>
      </c>
      <c r="T45" s="1491"/>
      <c r="U45" s="1491"/>
      <c r="V45" s="1491"/>
      <c r="W45" s="1492"/>
      <c r="X45" s="1492"/>
      <c r="Y45" s="1492"/>
      <c r="Z45" s="1492"/>
      <c r="AA45" s="1492"/>
      <c r="AB45" s="1492"/>
      <c r="AC45" s="1492"/>
      <c r="AD45" s="1489">
        <f t="shared" si="30"/>
        <v>0</v>
      </c>
      <c r="AE45" s="1492"/>
      <c r="AF45" s="1492"/>
      <c r="AG45" s="1493"/>
    </row>
    <row r="46" spans="1:33" s="1527" customFormat="1" ht="18" hidden="1">
      <c r="A46" s="1198"/>
      <c r="B46" s="1495" t="s">
        <v>1060</v>
      </c>
      <c r="C46" s="2071"/>
      <c r="D46" s="1491"/>
      <c r="E46" s="2071"/>
      <c r="F46" s="2071"/>
      <c r="G46" s="2071"/>
      <c r="H46" s="2071"/>
      <c r="I46" s="2071"/>
      <c r="J46" s="2071"/>
      <c r="K46" s="2071"/>
      <c r="L46" s="2071"/>
      <c r="M46" s="1491"/>
      <c r="N46" s="1491"/>
      <c r="O46" s="1491"/>
      <c r="P46" s="1491"/>
      <c r="Q46" s="1491"/>
      <c r="R46" s="1491"/>
      <c r="S46" s="1488">
        <f t="shared" si="25"/>
        <v>0</v>
      </c>
      <c r="T46" s="1491"/>
      <c r="U46" s="1491"/>
      <c r="V46" s="1491"/>
      <c r="W46" s="1492"/>
      <c r="X46" s="1492"/>
      <c r="Y46" s="1492"/>
      <c r="Z46" s="1492"/>
      <c r="AA46" s="1492"/>
      <c r="AB46" s="1492"/>
      <c r="AC46" s="1492"/>
      <c r="AD46" s="1489">
        <f t="shared" si="30"/>
        <v>0</v>
      </c>
      <c r="AE46" s="1492"/>
      <c r="AF46" s="1492"/>
      <c r="AG46" s="1493"/>
    </row>
    <row r="47" spans="1:33" s="1526" customFormat="1" ht="41.4" hidden="1">
      <c r="A47" s="1197" t="s">
        <v>1061</v>
      </c>
      <c r="B47" s="1196" t="s">
        <v>1062</v>
      </c>
      <c r="C47" s="2070"/>
      <c r="D47" s="1488"/>
      <c r="E47" s="2070"/>
      <c r="F47" s="2070"/>
      <c r="G47" s="2070"/>
      <c r="H47" s="2070"/>
      <c r="I47" s="2070"/>
      <c r="J47" s="2070"/>
      <c r="K47" s="2070"/>
      <c r="L47" s="2070"/>
      <c r="M47" s="1488"/>
      <c r="N47" s="1488"/>
      <c r="O47" s="1488"/>
      <c r="P47" s="1488"/>
      <c r="Q47" s="1488"/>
      <c r="R47" s="1488"/>
      <c r="S47" s="1488">
        <f t="shared" si="25"/>
        <v>0</v>
      </c>
      <c r="T47" s="1488"/>
      <c r="U47" s="1488"/>
      <c r="V47" s="1488"/>
      <c r="W47" s="1489"/>
      <c r="X47" s="1489"/>
      <c r="Y47" s="1489"/>
      <c r="Z47" s="1489"/>
      <c r="AA47" s="1489"/>
      <c r="AB47" s="1489"/>
      <c r="AC47" s="1489"/>
      <c r="AD47" s="1489">
        <f t="shared" si="30"/>
        <v>0</v>
      </c>
      <c r="AE47" s="1489"/>
      <c r="AF47" s="1489"/>
      <c r="AG47" s="1490" t="s">
        <v>1063</v>
      </c>
    </row>
    <row r="48" spans="1:33" s="1520" customFormat="1" ht="31.2">
      <c r="A48" s="1505">
        <v>2</v>
      </c>
      <c r="B48" s="1506" t="s">
        <v>1064</v>
      </c>
      <c r="C48" s="2072">
        <f>SUM(C49,C50,C51,C52,C53,C54,C59,C60,C61,C62,C63)</f>
        <v>542980</v>
      </c>
      <c r="D48" s="1507">
        <f t="shared" ref="D48:J48" si="31">SUM(D49,D50,D51,D52,D53,D54,D59,D60,D61,D62,D63)</f>
        <v>0</v>
      </c>
      <c r="E48" s="2072">
        <f t="shared" si="31"/>
        <v>308988.38153108332</v>
      </c>
      <c r="F48" s="2072">
        <f t="shared" si="31"/>
        <v>318516.59969999996</v>
      </c>
      <c r="G48" s="2072">
        <f t="shared" si="31"/>
        <v>0</v>
      </c>
      <c r="H48" s="2072">
        <f>SUM(H49,H50,H51,H52,H53,H54,H59,H60,H61,H62,H63)</f>
        <v>-9528.2181689167064</v>
      </c>
      <c r="I48" s="2072">
        <f t="shared" si="31"/>
        <v>0</v>
      </c>
      <c r="J48" s="2072">
        <f t="shared" si="31"/>
        <v>0</v>
      </c>
      <c r="K48" s="2072">
        <f>SUM(K49,K50,K51,K52,K53,K54,K59,K60,K61,K62,K63)</f>
        <v>-9528.2181689167064</v>
      </c>
      <c r="L48" s="2081">
        <f>SUM(L49,L50,L51,L52,L53,L54,L59,L60,L61,L62,L63)</f>
        <v>566567</v>
      </c>
      <c r="M48" s="1509">
        <f t="shared" ref="M48:N48" si="32">SUM(M49,M50,M51,M52,M53,M54,M59,M60,M61,M62,M63)</f>
        <v>0</v>
      </c>
      <c r="N48" s="1509">
        <f t="shared" si="32"/>
        <v>371174.52738000004</v>
      </c>
      <c r="O48" s="1509">
        <f>SUM(O49,O50,O51,O52,O53,O54,O59,O60,O61,O62,O63)</f>
        <v>318516.59969999996</v>
      </c>
      <c r="P48" s="1509">
        <f t="shared" ref="P48:R48" si="33">SUM(P49,P50,P51,P52,P53,P54,P59,P60,P61,P62,P63)</f>
        <v>0</v>
      </c>
      <c r="Q48" s="1509">
        <f t="shared" si="33"/>
        <v>9528.2181689167064</v>
      </c>
      <c r="R48" s="1509">
        <f t="shared" si="33"/>
        <v>-9528.2181689167064</v>
      </c>
      <c r="S48" s="1509">
        <f>SUM(S49,S50,S51,S52,S53,S54,S59,S60,S61,S62,S63)</f>
        <v>43129.709511083332</v>
      </c>
      <c r="T48" s="2060">
        <f t="shared" ref="T48:Y48" si="34">SUM(T49,T50,T51,T52,T53,T54,T59,T60,T61,T62,T63)</f>
        <v>0</v>
      </c>
      <c r="U48" s="2060">
        <f t="shared" si="34"/>
        <v>0</v>
      </c>
      <c r="V48" s="2060">
        <f t="shared" si="34"/>
        <v>0</v>
      </c>
      <c r="W48" s="1510">
        <f t="shared" si="34"/>
        <v>735086</v>
      </c>
      <c r="X48" s="1510">
        <f t="shared" si="34"/>
        <v>0</v>
      </c>
      <c r="Y48" s="1510">
        <f t="shared" si="34"/>
        <v>459104.47496400005</v>
      </c>
      <c r="Z48" s="1510">
        <f>SUM(Z49,Z50,Z51,Z52,Z53,Z54,Z59,Z60,Z61,Z62,Z63)</f>
        <v>318516.59969999996</v>
      </c>
      <c r="AA48" s="1510">
        <f t="shared" ref="AA48:AF48" si="35">SUM(AA49,AA50,AA51,AA52,AA53,AA54,AA59,AA60,AA61,AA62,AA63)</f>
        <v>0</v>
      </c>
      <c r="AB48" s="1510">
        <f t="shared" si="35"/>
        <v>0</v>
      </c>
      <c r="AC48" s="1510">
        <f t="shared" si="35"/>
        <v>0</v>
      </c>
      <c r="AD48" s="1510">
        <f t="shared" si="35"/>
        <v>140587.875264</v>
      </c>
      <c r="AE48" s="1230">
        <f t="shared" si="35"/>
        <v>0</v>
      </c>
      <c r="AF48" s="1230">
        <f t="shared" si="35"/>
        <v>0</v>
      </c>
      <c r="AG48" s="6106" t="s">
        <v>1065</v>
      </c>
    </row>
    <row r="49" spans="1:33" s="1528" customFormat="1" ht="31.2">
      <c r="A49" s="1499" t="s">
        <v>204</v>
      </c>
      <c r="B49" s="1105" t="s">
        <v>1066</v>
      </c>
      <c r="C49" s="2068">
        <v>25990</v>
      </c>
      <c r="D49" s="1202"/>
      <c r="E49" s="2068">
        <v>22643.852449999998</v>
      </c>
      <c r="F49" s="2068">
        <v>33723.199800000002</v>
      </c>
      <c r="G49" s="2068"/>
      <c r="H49" s="2068">
        <f>E49-(F49+G49)</f>
        <v>-11079.347350000004</v>
      </c>
      <c r="I49" s="2068"/>
      <c r="J49" s="2068"/>
      <c r="K49" s="2068">
        <f>H49</f>
        <v>-11079.347350000004</v>
      </c>
      <c r="L49" s="2068">
        <f>'Phụ lục số IVk'!C13</f>
        <v>17772</v>
      </c>
      <c r="M49" s="1202"/>
      <c r="N49" s="1202">
        <f>'Phụ lục số IVk'!D13+'Phụ lục số IVk'!F13</f>
        <v>19805.399649999999</v>
      </c>
      <c r="O49" s="1202">
        <v>33723.199800000002</v>
      </c>
      <c r="P49" s="1202"/>
      <c r="Q49" s="1202">
        <f>P49-R49</f>
        <v>11079.347350000004</v>
      </c>
      <c r="R49" s="1202">
        <f>+H49</f>
        <v>-11079.347350000004</v>
      </c>
      <c r="S49" s="1202">
        <f t="shared" ref="S49:S53" si="36">N49-(O49+Q49)</f>
        <v>-24997.147500000006</v>
      </c>
      <c r="T49" s="1488"/>
      <c r="U49" s="1488"/>
      <c r="V49" s="1488"/>
      <c r="W49" s="1228">
        <f>'Phụ lục số IVk'!I13</f>
        <v>17772</v>
      </c>
      <c r="X49" s="1228"/>
      <c r="Y49" s="1228">
        <f>'Phụ lục số IVk'!J13+'Phụ lục số IVk'!L13</f>
        <v>22377.408299999999</v>
      </c>
      <c r="Z49" s="1228">
        <v>33723.199800000002</v>
      </c>
      <c r="AA49" s="1228"/>
      <c r="AB49" s="1228">
        <f>AA49-AC49</f>
        <v>0</v>
      </c>
      <c r="AC49" s="1228"/>
      <c r="AD49" s="1228">
        <f t="shared" ref="AD49:AD53" si="37">Y49-(Z49+AB49)</f>
        <v>-11345.791500000003</v>
      </c>
      <c r="AE49" s="1228"/>
      <c r="AF49" s="1228"/>
      <c r="AG49" s="6106"/>
    </row>
    <row r="50" spans="1:33" s="1520" customFormat="1">
      <c r="A50" s="1499" t="s">
        <v>206</v>
      </c>
      <c r="B50" s="1105" t="s">
        <v>1067</v>
      </c>
      <c r="C50" s="2068">
        <v>61921</v>
      </c>
      <c r="D50" s="1202"/>
      <c r="E50" s="2068">
        <v>54555.891750000003</v>
      </c>
      <c r="F50" s="2068">
        <v>48395.080799999996</v>
      </c>
      <c r="G50" s="2068"/>
      <c r="H50" s="2068">
        <f t="shared" ref="H50:H53" si="38">E50-(F50+G50)</f>
        <v>6160.8109500000064</v>
      </c>
      <c r="I50" s="2068"/>
      <c r="J50" s="2068"/>
      <c r="K50" s="2068">
        <f t="shared" ref="K50:K53" si="39">H50</f>
        <v>6160.8109500000064</v>
      </c>
      <c r="L50" s="2068">
        <f>('Phụ lục số IVk'!C18+'Phụ lục số IVk'!E18)/2</f>
        <v>65134.75</v>
      </c>
      <c r="M50" s="1202"/>
      <c r="N50" s="1202">
        <f>'Phụ lục số IVk'!D18+'Phụ lục số IVk'!F18</f>
        <v>73014.258200000011</v>
      </c>
      <c r="O50" s="1202">
        <v>48395.080799999996</v>
      </c>
      <c r="P50" s="1202"/>
      <c r="Q50" s="1202">
        <f t="shared" ref="Q50:Q53" si="40">P50-R50</f>
        <v>-6160.8109500000064</v>
      </c>
      <c r="R50" s="1202">
        <f>+H50</f>
        <v>6160.8109500000064</v>
      </c>
      <c r="S50" s="1202">
        <f t="shared" si="36"/>
        <v>30779.988350000021</v>
      </c>
      <c r="T50" s="1488"/>
      <c r="U50" s="1488"/>
      <c r="V50" s="1488"/>
      <c r="W50" s="1228">
        <f>('Phụ lục số IVk'!I18+'Phụ lục số IVk'!K18)/2</f>
        <v>69551.5</v>
      </c>
      <c r="X50" s="1228"/>
      <c r="Y50" s="1228">
        <f>'Phụ lục số IVk'!J18+'Phụ lục số IVk'!L18</f>
        <v>87885.275399999999</v>
      </c>
      <c r="Z50" s="1228">
        <v>48395.080799999996</v>
      </c>
      <c r="AA50" s="1228"/>
      <c r="AB50" s="1228">
        <f t="shared" ref="AB50:AB53" si="41">AA50-AC50</f>
        <v>0</v>
      </c>
      <c r="AC50" s="1228"/>
      <c r="AD50" s="1228">
        <f t="shared" si="37"/>
        <v>39490.194600000003</v>
      </c>
      <c r="AE50" s="1228"/>
      <c r="AF50" s="1228"/>
      <c r="AG50" s="6106" t="s">
        <v>1065</v>
      </c>
    </row>
    <row r="51" spans="1:33" s="1520" customFormat="1">
      <c r="A51" s="1499" t="s">
        <v>237</v>
      </c>
      <c r="B51" s="1218" t="s">
        <v>1068</v>
      </c>
      <c r="C51" s="2068">
        <v>140509</v>
      </c>
      <c r="D51" s="1202"/>
      <c r="E51" s="2068">
        <v>131662.25279999999</v>
      </c>
      <c r="F51" s="2068">
        <v>121685.2902</v>
      </c>
      <c r="G51" s="2068"/>
      <c r="H51" s="2068">
        <f t="shared" si="38"/>
        <v>9976.9625999999844</v>
      </c>
      <c r="I51" s="2068"/>
      <c r="J51" s="2068"/>
      <c r="K51" s="2068">
        <f t="shared" si="39"/>
        <v>9976.9625999999844</v>
      </c>
      <c r="L51" s="2068">
        <f>('Phụ lục số IVk'!C14+'Phụ lục số IVk'!E14)/2</f>
        <v>146870</v>
      </c>
      <c r="M51" s="1202"/>
      <c r="N51" s="1202">
        <f>'Phụ lục số IVk'!D14+'Phụ lục số IVk'!F14</f>
        <v>164384.37270000001</v>
      </c>
      <c r="O51" s="1202">
        <v>121685.2902</v>
      </c>
      <c r="P51" s="1202"/>
      <c r="Q51" s="1202">
        <f t="shared" si="40"/>
        <v>-9976.9625999999844</v>
      </c>
      <c r="R51" s="1202">
        <f>+K51</f>
        <v>9976.9625999999844</v>
      </c>
      <c r="S51" s="1202">
        <f t="shared" si="36"/>
        <v>52676.045099999988</v>
      </c>
      <c r="T51" s="1488"/>
      <c r="U51" s="1488"/>
      <c r="V51" s="1488"/>
      <c r="W51" s="1228">
        <f>('Phụ lục số IVk'!I14+'Phụ lục số IVk'!K14)/2</f>
        <v>302643</v>
      </c>
      <c r="X51" s="1228"/>
      <c r="Y51" s="1228">
        <f>'Phụ lục số IVk'!J14+'Phụ lục số IVk'!L14</f>
        <v>191209.8474</v>
      </c>
      <c r="Z51" s="1228">
        <v>121685.2902</v>
      </c>
      <c r="AA51" s="1228"/>
      <c r="AB51" s="1228">
        <f t="shared" si="41"/>
        <v>0</v>
      </c>
      <c r="AC51" s="1228"/>
      <c r="AD51" s="1228">
        <f t="shared" si="37"/>
        <v>69524.557199999996</v>
      </c>
      <c r="AE51" s="1228"/>
      <c r="AF51" s="1228"/>
      <c r="AG51" s="6106"/>
    </row>
    <row r="52" spans="1:33" s="1520" customFormat="1">
      <c r="A52" s="1499" t="s">
        <v>1069</v>
      </c>
      <c r="B52" s="1218" t="s">
        <v>1070</v>
      </c>
      <c r="C52" s="2068">
        <v>254043</v>
      </c>
      <c r="D52" s="1202"/>
      <c r="E52" s="2068">
        <v>61445.859987749995</v>
      </c>
      <c r="F52" s="2068">
        <v>62088.246359999997</v>
      </c>
      <c r="G52" s="2068"/>
      <c r="H52" s="2068">
        <f>E52-(F52+G52)</f>
        <v>-642.38637225000275</v>
      </c>
      <c r="I52" s="2068"/>
      <c r="J52" s="2068"/>
      <c r="K52" s="2068">
        <f t="shared" si="39"/>
        <v>-642.38637225000275</v>
      </c>
      <c r="L52" s="2070">
        <f>'Phụ lục số IVk'!C27+'Phụ lục số IVk'!E27</f>
        <v>280775</v>
      </c>
      <c r="M52" s="1202"/>
      <c r="N52" s="1202">
        <f>'Phụ lục số IVk'!D27+'Phụ lục số IVk'!F27</f>
        <v>72292.115310000008</v>
      </c>
      <c r="O52" s="1202">
        <v>62088.246359999997</v>
      </c>
      <c r="P52" s="1202"/>
      <c r="Q52" s="1202">
        <f t="shared" si="40"/>
        <v>642.38637225000275</v>
      </c>
      <c r="R52" s="1202">
        <f>+K52</f>
        <v>-642.38637225000275</v>
      </c>
      <c r="S52" s="1202">
        <f t="shared" si="36"/>
        <v>9561.4825777500082</v>
      </c>
      <c r="T52" s="1488"/>
      <c r="U52" s="1488"/>
      <c r="V52" s="1488"/>
      <c r="W52" s="1227">
        <f>'Phụ lục số IVk'!I27</f>
        <v>280775</v>
      </c>
      <c r="X52" s="1227"/>
      <c r="Y52" s="1227">
        <f>'Phụ lục số IVk'!J27+'Phụ lục số IVk'!L27</f>
        <v>101832.65252</v>
      </c>
      <c r="Z52" s="1227">
        <v>62088.246359999997</v>
      </c>
      <c r="AA52" s="1227"/>
      <c r="AB52" s="1227">
        <f t="shared" si="41"/>
        <v>0</v>
      </c>
      <c r="AC52" s="1227"/>
      <c r="AD52" s="1227">
        <f t="shared" si="37"/>
        <v>39744.406160000006</v>
      </c>
      <c r="AE52" s="1228"/>
      <c r="AF52" s="1228"/>
      <c r="AG52" s="6106"/>
    </row>
    <row r="53" spans="1:33" s="1520" customFormat="1">
      <c r="A53" s="1499" t="s">
        <v>1071</v>
      </c>
      <c r="B53" s="1105" t="s">
        <v>1072</v>
      </c>
      <c r="C53" s="2068">
        <v>12203</v>
      </c>
      <c r="D53" s="1202"/>
      <c r="E53" s="2068">
        <v>14295.38535</v>
      </c>
      <c r="F53" s="2068">
        <v>13641.188399999999</v>
      </c>
      <c r="G53" s="2068"/>
      <c r="H53" s="2068">
        <f t="shared" si="38"/>
        <v>654.19695000000138</v>
      </c>
      <c r="I53" s="2068"/>
      <c r="J53" s="2068"/>
      <c r="K53" s="2068">
        <f t="shared" si="39"/>
        <v>654.19695000000138</v>
      </c>
      <c r="L53" s="2068">
        <f>('Phụ lục số IVk'!C17+'Phụ lục số IVk'!E17)/2</f>
        <v>16039.25</v>
      </c>
      <c r="M53" s="1202"/>
      <c r="N53" s="1202">
        <f>'Phụ lục số IVk'!D17+'Phụ lục số IVk'!F17</f>
        <v>17698.297500000001</v>
      </c>
      <c r="O53" s="1202">
        <v>13641.188399999999</v>
      </c>
      <c r="P53" s="1202"/>
      <c r="Q53" s="1202">
        <f t="shared" si="40"/>
        <v>-654.19695000000138</v>
      </c>
      <c r="R53" s="1202">
        <f>+K53</f>
        <v>654.19695000000138</v>
      </c>
      <c r="S53" s="1202">
        <f t="shared" si="36"/>
        <v>4711.3060500000029</v>
      </c>
      <c r="T53" s="1488"/>
      <c r="U53" s="1488"/>
      <c r="V53" s="1488"/>
      <c r="W53" s="1228">
        <f>('Phụ lục số IVk'!I17+'Phụ lục số IVk'!K17)/2</f>
        <v>15879</v>
      </c>
      <c r="X53" s="1228"/>
      <c r="Y53" s="1228">
        <f>'Phụ lục số IVk'!J17+'Phụ lục số IVk'!L17</f>
        <v>19796.189400000003</v>
      </c>
      <c r="Z53" s="1228">
        <v>13641.188399999999</v>
      </c>
      <c r="AA53" s="1228"/>
      <c r="AB53" s="1228">
        <f t="shared" si="41"/>
        <v>0</v>
      </c>
      <c r="AC53" s="1228"/>
      <c r="AD53" s="1228">
        <f t="shared" si="37"/>
        <v>6155.0010000000038</v>
      </c>
      <c r="AE53" s="1228"/>
      <c r="AF53" s="1228"/>
      <c r="AG53" s="6106"/>
    </row>
    <row r="54" spans="1:33" s="1520" customFormat="1" ht="31.2">
      <c r="A54" s="1499" t="s">
        <v>1073</v>
      </c>
      <c r="B54" s="1105" t="s">
        <v>1074</v>
      </c>
      <c r="C54" s="2068">
        <f>SUM(C55,C58)</f>
        <v>46691</v>
      </c>
      <c r="D54" s="1202">
        <f t="shared" ref="D54:J54" si="42">SUM(D55,D58)</f>
        <v>0</v>
      </c>
      <c r="E54" s="2068">
        <f t="shared" si="42"/>
        <v>22966.481793333303</v>
      </c>
      <c r="F54" s="2068">
        <f t="shared" si="42"/>
        <v>38949.800939999994</v>
      </c>
      <c r="G54" s="2068">
        <f t="shared" si="42"/>
        <v>0</v>
      </c>
      <c r="H54" s="2068">
        <f>SUM(H55,H58)</f>
        <v>-15983.319146666692</v>
      </c>
      <c r="I54" s="2068">
        <f t="shared" si="42"/>
        <v>0</v>
      </c>
      <c r="J54" s="2068">
        <f t="shared" si="42"/>
        <v>0</v>
      </c>
      <c r="K54" s="2068">
        <f>SUM(K55,K58)</f>
        <v>-15983.319146666692</v>
      </c>
      <c r="L54" s="2070">
        <f>SUM(L55,L58)</f>
        <v>38017</v>
      </c>
      <c r="M54" s="1202">
        <f t="shared" ref="M54:AF54" si="43">SUM(M55,M58)</f>
        <v>0</v>
      </c>
      <c r="N54" s="1202">
        <f>SUM(N55,N58)</f>
        <v>21759.987420000001</v>
      </c>
      <c r="O54" s="1202">
        <f>SUM(O55,O58)</f>
        <v>38949.800939999994</v>
      </c>
      <c r="P54" s="1202">
        <f t="shared" si="43"/>
        <v>0</v>
      </c>
      <c r="Q54" s="1202">
        <f t="shared" si="43"/>
        <v>15983.319146666692</v>
      </c>
      <c r="R54" s="1202">
        <f t="shared" si="43"/>
        <v>-15983.319146666692</v>
      </c>
      <c r="S54" s="1202">
        <f>SUM(S55,S58)</f>
        <v>-33173.132666666679</v>
      </c>
      <c r="T54" s="1488">
        <f t="shared" si="43"/>
        <v>0</v>
      </c>
      <c r="U54" s="1488">
        <f t="shared" si="43"/>
        <v>0</v>
      </c>
      <c r="V54" s="1488">
        <f t="shared" si="43"/>
        <v>0</v>
      </c>
      <c r="W54" s="1227">
        <f t="shared" si="43"/>
        <v>41568</v>
      </c>
      <c r="X54" s="1227">
        <f t="shared" si="43"/>
        <v>0</v>
      </c>
      <c r="Y54" s="1227">
        <f t="shared" si="43"/>
        <v>31388.750644</v>
      </c>
      <c r="Z54" s="1227">
        <f>SUM(Z55,Z58)</f>
        <v>38949.800939999994</v>
      </c>
      <c r="AA54" s="1227">
        <f t="shared" ref="AA54:AC54" si="44">SUM(AA55,AA58)</f>
        <v>0</v>
      </c>
      <c r="AB54" s="1227">
        <f t="shared" si="44"/>
        <v>0</v>
      </c>
      <c r="AC54" s="1227">
        <f t="shared" si="44"/>
        <v>0</v>
      </c>
      <c r="AD54" s="1227">
        <f>SUM(AD55,AD58)</f>
        <v>-7561.0502959999949</v>
      </c>
      <c r="AE54" s="1228">
        <f t="shared" si="43"/>
        <v>0</v>
      </c>
      <c r="AF54" s="1228">
        <f t="shared" si="43"/>
        <v>0</v>
      </c>
      <c r="AG54" s="6106"/>
    </row>
    <row r="55" spans="1:33" s="1520" customFormat="1">
      <c r="A55" s="1109" t="s">
        <v>29</v>
      </c>
      <c r="B55" s="1105" t="s">
        <v>1075</v>
      </c>
      <c r="C55" s="2068">
        <f>SUM(C56,C57)</f>
        <v>39533</v>
      </c>
      <c r="D55" s="1202">
        <f t="shared" ref="D55:K55" si="45">SUM(D56,D57)</f>
        <v>0</v>
      </c>
      <c r="E55" s="2068">
        <f t="shared" si="45"/>
        <v>21120.994533333302</v>
      </c>
      <c r="F55" s="2068">
        <f t="shared" si="45"/>
        <v>37792.625219999994</v>
      </c>
      <c r="G55" s="2068">
        <f t="shared" si="45"/>
        <v>0</v>
      </c>
      <c r="H55" s="2068">
        <f>SUM(H56,H57)</f>
        <v>-16671.630686666693</v>
      </c>
      <c r="I55" s="2068">
        <f t="shared" si="45"/>
        <v>0</v>
      </c>
      <c r="J55" s="2068">
        <f t="shared" si="45"/>
        <v>0</v>
      </c>
      <c r="K55" s="2068">
        <f t="shared" si="45"/>
        <v>-16671.630686666693</v>
      </c>
      <c r="L55" s="2068">
        <f>SUM(L56,L57)</f>
        <v>30339</v>
      </c>
      <c r="M55" s="1202">
        <f t="shared" ref="M55:AF55" si="46">SUM(M56,M57)</f>
        <v>0</v>
      </c>
      <c r="N55" s="1202">
        <f t="shared" si="46"/>
        <v>19860.082200000001</v>
      </c>
      <c r="O55" s="1202">
        <f>SUM(O56,O57)</f>
        <v>37792.625219999994</v>
      </c>
      <c r="P55" s="1202">
        <f t="shared" ref="P55:R55" si="47">SUM(P56,P57)</f>
        <v>0</v>
      </c>
      <c r="Q55" s="1202">
        <f t="shared" si="47"/>
        <v>16671.630686666693</v>
      </c>
      <c r="R55" s="1202">
        <f t="shared" si="47"/>
        <v>-16671.630686666693</v>
      </c>
      <c r="S55" s="1202">
        <f>SUM(S56,S57)</f>
        <v>-34604.173706666683</v>
      </c>
      <c r="T55" s="1488">
        <f t="shared" si="46"/>
        <v>0</v>
      </c>
      <c r="U55" s="1488">
        <f t="shared" si="46"/>
        <v>0</v>
      </c>
      <c r="V55" s="1488">
        <f t="shared" si="46"/>
        <v>0</v>
      </c>
      <c r="W55" s="1228">
        <f t="shared" si="46"/>
        <v>33890</v>
      </c>
      <c r="X55" s="1228">
        <f t="shared" si="46"/>
        <v>0</v>
      </c>
      <c r="Y55" s="1228">
        <f t="shared" si="46"/>
        <v>28748.07936</v>
      </c>
      <c r="Z55" s="1228">
        <f>SUM(Z56,Z57)</f>
        <v>37792.625219999994</v>
      </c>
      <c r="AA55" s="1228">
        <f t="shared" ref="AA55:AD55" si="48">SUM(AA56,AA57)</f>
        <v>0</v>
      </c>
      <c r="AB55" s="1228">
        <f t="shared" si="48"/>
        <v>0</v>
      </c>
      <c r="AC55" s="1228">
        <f t="shared" si="48"/>
        <v>0</v>
      </c>
      <c r="AD55" s="1228">
        <f t="shared" si="48"/>
        <v>-9044.5458599999947</v>
      </c>
      <c r="AE55" s="1228">
        <f t="shared" si="46"/>
        <v>0</v>
      </c>
      <c r="AF55" s="1228">
        <f t="shared" si="46"/>
        <v>0</v>
      </c>
      <c r="AG55" s="6106"/>
    </row>
    <row r="56" spans="1:33" s="1520" customFormat="1">
      <c r="A56" s="1109"/>
      <c r="B56" s="1111" t="s">
        <v>1076</v>
      </c>
      <c r="C56" s="2068">
        <v>0</v>
      </c>
      <c r="D56" s="1202"/>
      <c r="E56" s="2068">
        <v>0</v>
      </c>
      <c r="F56" s="2068">
        <v>0</v>
      </c>
      <c r="G56" s="2068"/>
      <c r="H56" s="2068">
        <f>E56-(F56+G56)</f>
        <v>0</v>
      </c>
      <c r="I56" s="2068"/>
      <c r="J56" s="2068"/>
      <c r="K56" s="2068">
        <f>H56</f>
        <v>0</v>
      </c>
      <c r="L56" s="2068"/>
      <c r="M56" s="1202"/>
      <c r="N56" s="1202"/>
      <c r="O56" s="1202"/>
      <c r="P56" s="1202"/>
      <c r="Q56" s="1202">
        <f t="shared" ref="Q56:Q63" si="49">P56-R56</f>
        <v>0</v>
      </c>
      <c r="R56" s="1202">
        <f t="shared" ref="R56:R63" si="50">+K56</f>
        <v>0</v>
      </c>
      <c r="S56" s="1202">
        <f t="shared" ref="S56:S58" si="51">N56-(O56+Q56)</f>
        <v>0</v>
      </c>
      <c r="T56" s="1488"/>
      <c r="U56" s="1488"/>
      <c r="V56" s="1488"/>
      <c r="W56" s="1228"/>
      <c r="X56" s="1228"/>
      <c r="Y56" s="1228"/>
      <c r="Z56" s="1228"/>
      <c r="AA56" s="1228"/>
      <c r="AB56" s="1228">
        <f t="shared" ref="AB56:AB63" si="52">AA56-AC56</f>
        <v>0</v>
      </c>
      <c r="AC56" s="1228"/>
      <c r="AD56" s="1228">
        <f t="shared" ref="AD56:AD58" si="53">Y56-(Z56+AB56)</f>
        <v>0</v>
      </c>
      <c r="AE56" s="1228"/>
      <c r="AF56" s="1228"/>
      <c r="AG56" s="6106"/>
    </row>
    <row r="57" spans="1:33" s="1520" customFormat="1">
      <c r="A57" s="1109"/>
      <c r="B57" s="1111" t="s">
        <v>1077</v>
      </c>
      <c r="C57" s="2068">
        <v>39533</v>
      </c>
      <c r="D57" s="1202"/>
      <c r="E57" s="2068">
        <v>21120.994533333302</v>
      </c>
      <c r="F57" s="2068">
        <v>37792.625219999994</v>
      </c>
      <c r="G57" s="2068"/>
      <c r="H57" s="2068">
        <f t="shared" ref="H57:H59" si="54">E57-(F57+G57)</f>
        <v>-16671.630686666693</v>
      </c>
      <c r="I57" s="2068"/>
      <c r="J57" s="2068"/>
      <c r="K57" s="2068">
        <f>H57</f>
        <v>-16671.630686666693</v>
      </c>
      <c r="L57" s="2068">
        <f>'Phụ lục số IVk'!C26+'Phụ lục số IVk'!E26</f>
        <v>30339</v>
      </c>
      <c r="M57" s="1202"/>
      <c r="N57" s="1202">
        <f>'Phụ lục số IVk'!D26+'Phụ lục số IVk'!F26</f>
        <v>19860.082200000001</v>
      </c>
      <c r="O57" s="1202">
        <v>37792.625219999994</v>
      </c>
      <c r="P57" s="1202"/>
      <c r="Q57" s="1202">
        <f t="shared" si="49"/>
        <v>16671.630686666693</v>
      </c>
      <c r="R57" s="1202">
        <f t="shared" si="50"/>
        <v>-16671.630686666693</v>
      </c>
      <c r="S57" s="1202">
        <f t="shared" si="51"/>
        <v>-34604.173706666683</v>
      </c>
      <c r="T57" s="1488"/>
      <c r="U57" s="1488"/>
      <c r="V57" s="1488"/>
      <c r="W57" s="1228">
        <f>'Phụ lục số IVk'!I26+'Phụ lục số IVk'!K26</f>
        <v>33890</v>
      </c>
      <c r="X57" s="1228"/>
      <c r="Y57" s="1228">
        <f>'Phụ lục số IVk'!J26+'Phụ lục số IVk'!L26</f>
        <v>28748.07936</v>
      </c>
      <c r="Z57" s="1228">
        <v>37792.625219999994</v>
      </c>
      <c r="AA57" s="1228"/>
      <c r="AB57" s="1228">
        <f t="shared" si="52"/>
        <v>0</v>
      </c>
      <c r="AC57" s="1228"/>
      <c r="AD57" s="1228">
        <f t="shared" si="53"/>
        <v>-9044.5458599999947</v>
      </c>
      <c r="AE57" s="1228"/>
      <c r="AF57" s="1228"/>
      <c r="AG57" s="6106"/>
    </row>
    <row r="58" spans="1:33" s="1520" customFormat="1">
      <c r="A58" s="1499" t="s">
        <v>29</v>
      </c>
      <c r="B58" s="1105" t="s">
        <v>1078</v>
      </c>
      <c r="C58" s="2073">
        <v>7158</v>
      </c>
      <c r="D58" s="1205"/>
      <c r="E58" s="2073">
        <v>1845.4872600000001</v>
      </c>
      <c r="F58" s="2073">
        <v>1157.17572</v>
      </c>
      <c r="G58" s="2073"/>
      <c r="H58" s="2068">
        <f t="shared" si="54"/>
        <v>688.31154000000015</v>
      </c>
      <c r="I58" s="2082"/>
      <c r="J58" s="2073"/>
      <c r="K58" s="2073">
        <f t="shared" ref="K58" si="55">H58</f>
        <v>688.31154000000015</v>
      </c>
      <c r="L58" s="2068">
        <f>'Phụ lục số IVk'!C28+'Phụ lục số IVk'!E28</f>
        <v>7678</v>
      </c>
      <c r="M58" s="1202"/>
      <c r="N58" s="1202">
        <f>'Phụ lục số IVk'!D28+'Phụ lục số IVk'!F28</f>
        <v>1899.9052200000001</v>
      </c>
      <c r="O58" s="1202">
        <v>1157.17572</v>
      </c>
      <c r="P58" s="1202"/>
      <c r="Q58" s="1202">
        <f t="shared" si="49"/>
        <v>-688.31154000000015</v>
      </c>
      <c r="R58" s="1202">
        <f t="shared" si="50"/>
        <v>688.31154000000015</v>
      </c>
      <c r="S58" s="1202">
        <f t="shared" si="51"/>
        <v>1431.0410400000003</v>
      </c>
      <c r="T58" s="1488"/>
      <c r="U58" s="1488"/>
      <c r="V58" s="1488"/>
      <c r="W58" s="1228">
        <f>'Phụ lục số IVk'!I28+'Phụ lục số IVk'!K28</f>
        <v>7678</v>
      </c>
      <c r="X58" s="1228"/>
      <c r="Y58" s="1228">
        <f>'Phụ lục số IVk'!J28+'Phụ lục số IVk'!L28</f>
        <v>2640.671284</v>
      </c>
      <c r="Z58" s="1228">
        <v>1157.17572</v>
      </c>
      <c r="AA58" s="1228"/>
      <c r="AB58" s="1228">
        <f t="shared" si="52"/>
        <v>0</v>
      </c>
      <c r="AC58" s="1228"/>
      <c r="AD58" s="1228">
        <f t="shared" si="53"/>
        <v>1483.4955640000001</v>
      </c>
      <c r="AE58" s="1228"/>
      <c r="AF58" s="1228"/>
      <c r="AG58" s="6106"/>
    </row>
    <row r="59" spans="1:33" s="1520" customFormat="1">
      <c r="A59" s="1499" t="s">
        <v>1079</v>
      </c>
      <c r="B59" s="1105" t="s">
        <v>1080</v>
      </c>
      <c r="C59" s="2068">
        <v>51</v>
      </c>
      <c r="D59" s="1202"/>
      <c r="E59" s="2068">
        <v>44.707949999999997</v>
      </c>
      <c r="F59" s="2068">
        <v>33.793199999999999</v>
      </c>
      <c r="G59" s="2068"/>
      <c r="H59" s="2068">
        <f t="shared" si="54"/>
        <v>10.914749999999998</v>
      </c>
      <c r="I59" s="2068"/>
      <c r="J59" s="2068"/>
      <c r="K59" s="2068">
        <f>H59</f>
        <v>10.914749999999998</v>
      </c>
      <c r="L59" s="2068">
        <f>('Phụ lục số IVk'!C19+'Phụ lục số IVk'!E19)/2</f>
        <v>63.5</v>
      </c>
      <c r="M59" s="1202"/>
      <c r="N59" s="1202">
        <f>'Phụ lục số IVk'!D19+'Phụ lục số IVk'!F19</f>
        <v>71.126100000000008</v>
      </c>
      <c r="O59" s="1202">
        <v>33.793199999999999</v>
      </c>
      <c r="P59" s="1202"/>
      <c r="Q59" s="1202">
        <f t="shared" si="49"/>
        <v>-10.914749999999998</v>
      </c>
      <c r="R59" s="1202">
        <f t="shared" si="50"/>
        <v>10.914749999999998</v>
      </c>
      <c r="S59" s="1202">
        <f>N59-(O59+Q59)</f>
        <v>48.247650000000007</v>
      </c>
      <c r="T59" s="1488"/>
      <c r="U59" s="1488"/>
      <c r="V59" s="1488"/>
      <c r="W59" s="1228">
        <f>('Phụ lục số IVk'!I19+'Phụ lục số IVk'!K19)/2</f>
        <v>133</v>
      </c>
      <c r="X59" s="1228"/>
      <c r="Y59" s="1228">
        <f>'Phụ lục số IVk'!J19+'Phụ lục số IVk'!L19</f>
        <v>84.02940000000001</v>
      </c>
      <c r="Z59" s="1228">
        <v>33.793199999999999</v>
      </c>
      <c r="AA59" s="1228"/>
      <c r="AB59" s="1228">
        <f t="shared" si="52"/>
        <v>0</v>
      </c>
      <c r="AC59" s="1228"/>
      <c r="AD59" s="1228">
        <f>Y59-(Z59+AB59)</f>
        <v>50.236200000000011</v>
      </c>
      <c r="AE59" s="1228"/>
      <c r="AF59" s="1228"/>
      <c r="AG59" s="6106"/>
    </row>
    <row r="60" spans="1:33" s="1526" customFormat="1" hidden="1">
      <c r="A60" s="1197" t="s">
        <v>1081</v>
      </c>
      <c r="B60" s="1196" t="s">
        <v>1082</v>
      </c>
      <c r="C60" s="2070"/>
      <c r="D60" s="1488"/>
      <c r="E60" s="2070"/>
      <c r="F60" s="2070"/>
      <c r="G60" s="2070"/>
      <c r="H60" s="2070"/>
      <c r="I60" s="2070"/>
      <c r="J60" s="2070"/>
      <c r="K60" s="2070"/>
      <c r="L60" s="2070"/>
      <c r="M60" s="1488"/>
      <c r="N60" s="1488"/>
      <c r="O60" s="1488"/>
      <c r="P60" s="1488"/>
      <c r="Q60" s="1488">
        <f>P60-R60</f>
        <v>0</v>
      </c>
      <c r="R60" s="1488">
        <f t="shared" si="50"/>
        <v>0</v>
      </c>
      <c r="S60" s="1488">
        <f t="shared" ref="S60:S63" si="56">N60-(O60+Q60)</f>
        <v>0</v>
      </c>
      <c r="T60" s="1488"/>
      <c r="U60" s="1488"/>
      <c r="V60" s="1488"/>
      <c r="W60" s="1489"/>
      <c r="X60" s="1489"/>
      <c r="Y60" s="1489"/>
      <c r="Z60" s="1489"/>
      <c r="AA60" s="1489"/>
      <c r="AB60" s="1489">
        <f>AA60-AC60</f>
        <v>0</v>
      </c>
      <c r="AC60" s="1489"/>
      <c r="AD60" s="1489">
        <f t="shared" ref="AD60:AD63" si="57">Y60-(Z60+AB60)</f>
        <v>0</v>
      </c>
      <c r="AE60" s="1489"/>
      <c r="AF60" s="1489"/>
      <c r="AG60" s="1490"/>
    </row>
    <row r="61" spans="1:33" s="1526" customFormat="1" ht="46.8" hidden="1">
      <c r="A61" s="1197" t="s">
        <v>1083</v>
      </c>
      <c r="B61" s="1196" t="s">
        <v>1084</v>
      </c>
      <c r="C61" s="2070"/>
      <c r="D61" s="1488"/>
      <c r="E61" s="2070"/>
      <c r="F61" s="2070"/>
      <c r="G61" s="2070"/>
      <c r="H61" s="2070"/>
      <c r="I61" s="2070"/>
      <c r="J61" s="2070"/>
      <c r="K61" s="2070"/>
      <c r="L61" s="2070"/>
      <c r="M61" s="1488"/>
      <c r="N61" s="1488"/>
      <c r="O61" s="1488"/>
      <c r="P61" s="1488"/>
      <c r="Q61" s="1488">
        <f t="shared" si="49"/>
        <v>0</v>
      </c>
      <c r="R61" s="1488">
        <f t="shared" si="50"/>
        <v>0</v>
      </c>
      <c r="S61" s="1488">
        <f t="shared" si="56"/>
        <v>0</v>
      </c>
      <c r="T61" s="1488"/>
      <c r="U61" s="1488"/>
      <c r="V61" s="1488"/>
      <c r="W61" s="1489"/>
      <c r="X61" s="1489"/>
      <c r="Y61" s="1489"/>
      <c r="Z61" s="1489"/>
      <c r="AA61" s="1489"/>
      <c r="AB61" s="1489">
        <f t="shared" si="52"/>
        <v>0</v>
      </c>
      <c r="AC61" s="1489"/>
      <c r="AD61" s="1489">
        <f t="shared" si="57"/>
        <v>0</v>
      </c>
      <c r="AE61" s="1489"/>
      <c r="AF61" s="1489"/>
      <c r="AG61" s="1490"/>
    </row>
    <row r="62" spans="1:33" s="1520" customFormat="1">
      <c r="A62" s="1499" t="s">
        <v>1081</v>
      </c>
      <c r="B62" s="1105" t="s">
        <v>1085</v>
      </c>
      <c r="C62" s="2068">
        <v>1163</v>
      </c>
      <c r="D62" s="1202"/>
      <c r="E62" s="2068">
        <v>1031.74245</v>
      </c>
      <c r="F62" s="2068"/>
      <c r="G62" s="2068"/>
      <c r="H62" s="2068">
        <f>E62-(F62+G62)</f>
        <v>1031.74245</v>
      </c>
      <c r="I62" s="2068"/>
      <c r="J62" s="2068"/>
      <c r="K62" s="2068">
        <f>H62</f>
        <v>1031.74245</v>
      </c>
      <c r="L62" s="2068">
        <f>('Phụ lục số IVk'!C21+'Phụ lục số IVk'!E21)/2</f>
        <v>1489.5</v>
      </c>
      <c r="M62" s="1202"/>
      <c r="N62" s="1202">
        <f>'Phụ lục số IVk'!D21+'Phụ lục số IVk'!F21</f>
        <v>1695.1437000000001</v>
      </c>
      <c r="O62" s="1202"/>
      <c r="P62" s="1202"/>
      <c r="Q62" s="1202">
        <f t="shared" si="49"/>
        <v>-1031.74245</v>
      </c>
      <c r="R62" s="1202">
        <f t="shared" si="50"/>
        <v>1031.74245</v>
      </c>
      <c r="S62" s="1202">
        <f t="shared" si="56"/>
        <v>2726.8861500000003</v>
      </c>
      <c r="T62" s="1488"/>
      <c r="U62" s="1488"/>
      <c r="V62" s="1488"/>
      <c r="W62" s="1228">
        <f>('Phụ lục số IVk'!I21+'Phụ lục số IVk'!K21)/2</f>
        <v>6358.5</v>
      </c>
      <c r="X62" s="1228"/>
      <c r="Y62" s="1228">
        <f>('Phụ lục số IVk'!J21+'Phụ lục số IVk'!L21)</f>
        <v>4017.3002999999999</v>
      </c>
      <c r="Z62" s="1228"/>
      <c r="AA62" s="1228"/>
      <c r="AB62" s="1228">
        <f t="shared" si="52"/>
        <v>0</v>
      </c>
      <c r="AC62" s="1228"/>
      <c r="AD62" s="1228">
        <f t="shared" si="57"/>
        <v>4017.3002999999999</v>
      </c>
      <c r="AE62" s="1228"/>
      <c r="AF62" s="1228"/>
      <c r="AG62" s="1103"/>
    </row>
    <row r="63" spans="1:33" s="1520" customFormat="1">
      <c r="A63" s="1499" t="s">
        <v>1083</v>
      </c>
      <c r="B63" s="1105" t="s">
        <v>1086</v>
      </c>
      <c r="C63" s="2068">
        <v>409</v>
      </c>
      <c r="D63" s="1202"/>
      <c r="E63" s="2068">
        <v>342.20699999999999</v>
      </c>
      <c r="F63" s="2068"/>
      <c r="G63" s="2068"/>
      <c r="H63" s="2068">
        <f t="shared" ref="H63" si="58">E63-(F63+G63)</f>
        <v>342.20699999999999</v>
      </c>
      <c r="I63" s="2068"/>
      <c r="J63" s="2068"/>
      <c r="K63" s="2068">
        <f t="shared" ref="K63" si="59">H63</f>
        <v>342.20699999999999</v>
      </c>
      <c r="L63" s="2068">
        <f>'Phụ lục số IVk'!C22</f>
        <v>406</v>
      </c>
      <c r="M63" s="1202"/>
      <c r="N63" s="1202">
        <f>'Phụ lục số IVk'!D22+'Phụ lục số IVk'!F22</f>
        <v>453.82680000000005</v>
      </c>
      <c r="O63" s="1202"/>
      <c r="P63" s="1202"/>
      <c r="Q63" s="1202">
        <f t="shared" si="49"/>
        <v>-342.20699999999999</v>
      </c>
      <c r="R63" s="1202">
        <f t="shared" si="50"/>
        <v>342.20699999999999</v>
      </c>
      <c r="S63" s="1202">
        <f t="shared" si="56"/>
        <v>796.03380000000004</v>
      </c>
      <c r="T63" s="1488"/>
      <c r="U63" s="1488"/>
      <c r="V63" s="1488"/>
      <c r="W63" s="1228">
        <f>'Phụ lục số IVk'!I22</f>
        <v>406</v>
      </c>
      <c r="X63" s="1228"/>
      <c r="Y63" s="1228">
        <f>'Phụ lục số IVk'!J22+'Phụ lục số IVk'!L22</f>
        <v>513.02160000000003</v>
      </c>
      <c r="Z63" s="1228"/>
      <c r="AA63" s="1228"/>
      <c r="AB63" s="1228">
        <f t="shared" si="52"/>
        <v>0</v>
      </c>
      <c r="AC63" s="1228"/>
      <c r="AD63" s="1228">
        <f t="shared" si="57"/>
        <v>513.02160000000003</v>
      </c>
      <c r="AE63" s="1228"/>
      <c r="AF63" s="1228"/>
      <c r="AG63" s="1103"/>
    </row>
    <row r="64" spans="1:33" s="1520" customFormat="1">
      <c r="A64" s="1505">
        <v>3</v>
      </c>
      <c r="B64" s="1506" t="s">
        <v>1087</v>
      </c>
      <c r="C64" s="2072">
        <f>SUM(C65,C68,C72,C76,C77)</f>
        <v>126559.54166666667</v>
      </c>
      <c r="D64" s="1507">
        <f t="shared" ref="D64:K64" si="60">SUM(D65,D68,D72,D76,D77)</f>
        <v>0.11</v>
      </c>
      <c r="E64" s="2072">
        <f t="shared" si="60"/>
        <v>499609.07682400011</v>
      </c>
      <c r="F64" s="2072">
        <f t="shared" si="60"/>
        <v>527026.9635040001</v>
      </c>
      <c r="G64" s="2072">
        <f t="shared" si="60"/>
        <v>0</v>
      </c>
      <c r="H64" s="2072">
        <f>SUM(H65,H68,H72,H76,H77)</f>
        <v>-27417.886679999978</v>
      </c>
      <c r="I64" s="2072">
        <f t="shared" si="60"/>
        <v>0</v>
      </c>
      <c r="J64" s="2072">
        <f t="shared" si="60"/>
        <v>0</v>
      </c>
      <c r="K64" s="2072">
        <f t="shared" si="60"/>
        <v>-27417.886679999978</v>
      </c>
      <c r="L64" s="2072">
        <f>SUM(L65,L68,L72,L76,L77)</f>
        <v>199429</v>
      </c>
      <c r="M64" s="1507">
        <f t="shared" ref="M64:AF64" si="61">SUM(M65,M68,M72,M76,M77)</f>
        <v>0</v>
      </c>
      <c r="N64" s="1507">
        <f t="shared" si="61"/>
        <v>717460.24600000004</v>
      </c>
      <c r="O64" s="1507">
        <f t="shared" si="61"/>
        <v>527026.9635040001</v>
      </c>
      <c r="P64" s="1507">
        <f t="shared" si="61"/>
        <v>0</v>
      </c>
      <c r="Q64" s="1507">
        <f t="shared" si="61"/>
        <v>27417.886679999978</v>
      </c>
      <c r="R64" s="1507">
        <f t="shared" si="61"/>
        <v>-27417.886679999978</v>
      </c>
      <c r="S64" s="1507">
        <f>SUM(S65,S68,S72,S76,S77)</f>
        <v>163015.395816</v>
      </c>
      <c r="T64" s="1491">
        <f t="shared" si="61"/>
        <v>0</v>
      </c>
      <c r="U64" s="1491">
        <f t="shared" si="61"/>
        <v>0</v>
      </c>
      <c r="V64" s="1491">
        <f t="shared" si="61"/>
        <v>0</v>
      </c>
      <c r="W64" s="1503">
        <f t="shared" si="61"/>
        <v>206906</v>
      </c>
      <c r="X64" s="1503">
        <f t="shared" si="61"/>
        <v>0</v>
      </c>
      <c r="Y64" s="1503">
        <f t="shared" si="61"/>
        <v>791304.51</v>
      </c>
      <c r="Z64" s="1503">
        <f t="shared" si="61"/>
        <v>527026.9635040001</v>
      </c>
      <c r="AA64" s="1503">
        <f t="shared" si="61"/>
        <v>0</v>
      </c>
      <c r="AB64" s="1503">
        <f t="shared" si="61"/>
        <v>0</v>
      </c>
      <c r="AC64" s="1503">
        <f t="shared" si="61"/>
        <v>0</v>
      </c>
      <c r="AD64" s="1503">
        <f>SUM(AD65,AD68,AD72,AD76,AD77)</f>
        <v>264277.54649599997</v>
      </c>
      <c r="AE64" s="1503">
        <f t="shared" si="61"/>
        <v>0</v>
      </c>
      <c r="AF64" s="1503">
        <f t="shared" si="61"/>
        <v>0</v>
      </c>
      <c r="AG64" s="1508"/>
    </row>
    <row r="65" spans="1:33" s="1520" customFormat="1" ht="46.8">
      <c r="A65" s="1499" t="s">
        <v>1088</v>
      </c>
      <c r="B65" s="1500" t="s">
        <v>1376</v>
      </c>
      <c r="C65" s="2067">
        <f>SUM(C66,C67)</f>
        <v>76120.541666666672</v>
      </c>
      <c r="D65" s="1498">
        <f t="shared" ref="D65:I65" si="62">SUM(D66,D67)</f>
        <v>0</v>
      </c>
      <c r="E65" s="2067">
        <f t="shared" si="62"/>
        <v>483830.25028300006</v>
      </c>
      <c r="F65" s="2067">
        <v>507981.60000000003</v>
      </c>
      <c r="G65" s="2067">
        <f t="shared" si="62"/>
        <v>0</v>
      </c>
      <c r="H65" s="2067">
        <f t="shared" ref="H65" si="63">E65-(F65+G65)</f>
        <v>-24151.349716999975</v>
      </c>
      <c r="I65" s="2067">
        <f t="shared" si="62"/>
        <v>0</v>
      </c>
      <c r="J65" s="2067">
        <f>SUM(J66,J67)</f>
        <v>0</v>
      </c>
      <c r="K65" s="2067">
        <f>H65</f>
        <v>-24151.349716999975</v>
      </c>
      <c r="L65" s="2067">
        <f t="shared" ref="L65:M65" si="64">SUM(L66,L67)</f>
        <v>88257</v>
      </c>
      <c r="M65" s="1498">
        <f t="shared" si="64"/>
        <v>0</v>
      </c>
      <c r="N65" s="1498">
        <f>SUM(N66,N67)</f>
        <v>698034.62</v>
      </c>
      <c r="O65" s="1498">
        <v>507981.60000000003</v>
      </c>
      <c r="P65" s="1498">
        <f t="shared" ref="P65" si="65">SUM(P66,P67)</f>
        <v>0</v>
      </c>
      <c r="Q65" s="1498">
        <f>P65-R65</f>
        <v>24151.349716999975</v>
      </c>
      <c r="R65" s="1498">
        <f>+K65</f>
        <v>-24151.349716999975</v>
      </c>
      <c r="S65" s="1498">
        <f>N65-(O65+Q65)</f>
        <v>165901.67028299998</v>
      </c>
      <c r="T65" s="1488">
        <f t="shared" ref="T65:Y65" si="66">SUM(T66,T67)</f>
        <v>0</v>
      </c>
      <c r="U65" s="1488">
        <f t="shared" si="66"/>
        <v>0</v>
      </c>
      <c r="V65" s="1488">
        <f t="shared" si="66"/>
        <v>0</v>
      </c>
      <c r="W65" s="1501">
        <f t="shared" si="66"/>
        <v>88257</v>
      </c>
      <c r="X65" s="1501">
        <f t="shared" si="66"/>
        <v>0</v>
      </c>
      <c r="Y65" s="1501">
        <f t="shared" si="66"/>
        <v>772923</v>
      </c>
      <c r="Z65" s="1501">
        <v>507981.60000000003</v>
      </c>
      <c r="AA65" s="1501">
        <f t="shared" ref="AA65:AC65" si="67">SUM(AA66,AA67)</f>
        <v>0</v>
      </c>
      <c r="AB65" s="1501">
        <f t="shared" si="67"/>
        <v>0</v>
      </c>
      <c r="AC65" s="1501">
        <f t="shared" si="67"/>
        <v>0</v>
      </c>
      <c r="AD65" s="1501">
        <f>Y65-(Z65+AB65)</f>
        <v>264941.39999999997</v>
      </c>
      <c r="AE65" s="1501">
        <f t="shared" ref="AE65:AF65" si="68">SUM(AE66,AE67)</f>
        <v>0</v>
      </c>
      <c r="AF65" s="1501">
        <f t="shared" si="68"/>
        <v>0</v>
      </c>
      <c r="AG65" s="1502" t="s">
        <v>1089</v>
      </c>
    </row>
    <row r="66" spans="1:33" s="1520" customFormat="1">
      <c r="A66" s="1109"/>
      <c r="B66" s="1113" t="s">
        <v>1090</v>
      </c>
      <c r="C66" s="2068">
        <v>69869.25</v>
      </c>
      <c r="D66" s="1202">
        <v>0</v>
      </c>
      <c r="E66" s="2068">
        <v>438822.75028300006</v>
      </c>
      <c r="F66" s="2068"/>
      <c r="G66" s="2068"/>
      <c r="H66" s="2068"/>
      <c r="I66" s="2068"/>
      <c r="J66" s="2068"/>
      <c r="K66" s="2068"/>
      <c r="L66" s="2068">
        <f>'Phụ lục số IVL'!C12</f>
        <v>84417</v>
      </c>
      <c r="M66" s="1202"/>
      <c r="N66" s="1202">
        <f>'Phụ lục số IVL'!G12+'Phụ lục số IVL'!J12</f>
        <v>631986.62</v>
      </c>
      <c r="O66" s="1202"/>
      <c r="P66" s="1202"/>
      <c r="Q66" s="1202">
        <f t="shared" ref="Q66:Q67" si="69">P66-R66</f>
        <v>0</v>
      </c>
      <c r="R66" s="1202">
        <f>+K66</f>
        <v>0</v>
      </c>
      <c r="S66" s="1504">
        <f t="shared" ref="S66:S67" si="70">N66-(O66+Q66)</f>
        <v>631986.62</v>
      </c>
      <c r="T66" s="1488"/>
      <c r="U66" s="1488"/>
      <c r="V66" s="1488"/>
      <c r="W66" s="1228">
        <f>'Phụ lục số IVL'!N12</f>
        <v>84417</v>
      </c>
      <c r="X66" s="1228"/>
      <c r="Y66" s="1228">
        <f>'Phụ lục số IVL'!R12</f>
        <v>734523</v>
      </c>
      <c r="Z66" s="1228"/>
      <c r="AA66" s="1228"/>
      <c r="AB66" s="1228">
        <f t="shared" ref="AB66:AB67" si="71">AA66-AC66</f>
        <v>0</v>
      </c>
      <c r="AC66" s="1228"/>
      <c r="AD66" s="1228"/>
      <c r="AE66" s="1228"/>
      <c r="AF66" s="1228"/>
      <c r="AG66" s="1103"/>
    </row>
    <row r="67" spans="1:33" s="1520" customFormat="1">
      <c r="A67" s="1109"/>
      <c r="B67" s="1113" t="s">
        <v>1091</v>
      </c>
      <c r="C67" s="2068">
        <v>6251.2916666666661</v>
      </c>
      <c r="D67" s="1202">
        <v>0</v>
      </c>
      <c r="E67" s="2068">
        <v>45007.499999999993</v>
      </c>
      <c r="F67" s="2068"/>
      <c r="G67" s="2068"/>
      <c r="H67" s="2068"/>
      <c r="I67" s="2068"/>
      <c r="J67" s="2068"/>
      <c r="K67" s="2068"/>
      <c r="L67" s="2068">
        <f>'Phụ lục số IVL'!C82</f>
        <v>3840</v>
      </c>
      <c r="M67" s="1202"/>
      <c r="N67" s="1202">
        <f>'Phụ lục số IVL'!G82+'Phụ lục số IVL'!J82</f>
        <v>66048</v>
      </c>
      <c r="O67" s="1202"/>
      <c r="P67" s="1202"/>
      <c r="Q67" s="1202">
        <f t="shared" si="69"/>
        <v>0</v>
      </c>
      <c r="R67" s="1202">
        <f>+K67</f>
        <v>0</v>
      </c>
      <c r="S67" s="1504">
        <f t="shared" si="70"/>
        <v>66048</v>
      </c>
      <c r="T67" s="1488"/>
      <c r="U67" s="1488"/>
      <c r="V67" s="1488"/>
      <c r="W67" s="1228">
        <f>'Phụ lục số IVL'!N82</f>
        <v>3840</v>
      </c>
      <c r="X67" s="1228"/>
      <c r="Y67" s="1228">
        <f>'Phụ lục số IVL'!R82</f>
        <v>38400</v>
      </c>
      <c r="Z67" s="1228"/>
      <c r="AA67" s="1228"/>
      <c r="AB67" s="1228">
        <f t="shared" si="71"/>
        <v>0</v>
      </c>
      <c r="AC67" s="1228"/>
      <c r="AD67" s="1228"/>
      <c r="AE67" s="1228"/>
      <c r="AF67" s="1228"/>
      <c r="AG67" s="1103"/>
    </row>
    <row r="68" spans="1:33" s="1520" customFormat="1" ht="46.8">
      <c r="A68" s="1499" t="s">
        <v>1092</v>
      </c>
      <c r="B68" s="1500" t="s">
        <v>1093</v>
      </c>
      <c r="C68" s="2067">
        <f>SUM(C69,C70,C71)</f>
        <v>11563</v>
      </c>
      <c r="D68" s="1498">
        <f t="shared" ref="D68:K68" si="72">SUM(D69,D70,D71)</f>
        <v>0.11</v>
      </c>
      <c r="E68" s="2067">
        <f t="shared" si="72"/>
        <v>7510.0116500000004</v>
      </c>
      <c r="F68" s="2067">
        <f t="shared" si="72"/>
        <v>12597.363503999999</v>
      </c>
      <c r="G68" s="2067">
        <f t="shared" si="72"/>
        <v>0</v>
      </c>
      <c r="H68" s="2067">
        <f>SUM(H69,H70,H71)</f>
        <v>-5087.3518539999986</v>
      </c>
      <c r="I68" s="2067">
        <f t="shared" si="72"/>
        <v>0</v>
      </c>
      <c r="J68" s="2067">
        <f t="shared" si="72"/>
        <v>0</v>
      </c>
      <c r="K68" s="2067">
        <f t="shared" si="72"/>
        <v>-5087.3518539999986</v>
      </c>
      <c r="L68" s="2067">
        <f>SUM(L69,L70,L71)</f>
        <v>9649</v>
      </c>
      <c r="M68" s="1498"/>
      <c r="N68" s="1498">
        <f t="shared" ref="N68:AF68" si="73">SUM(N69,N70,N71)</f>
        <v>8257.6260000000002</v>
      </c>
      <c r="O68" s="1498">
        <f t="shared" si="73"/>
        <v>12597.363503999999</v>
      </c>
      <c r="P68" s="1498">
        <f t="shared" si="73"/>
        <v>0</v>
      </c>
      <c r="Q68" s="1498">
        <f t="shared" si="73"/>
        <v>5087.3518539999986</v>
      </c>
      <c r="R68" s="1498">
        <f t="shared" si="73"/>
        <v>-5087.3518539999986</v>
      </c>
      <c r="S68" s="1498">
        <f t="shared" si="73"/>
        <v>-9427.0893579999974</v>
      </c>
      <c r="T68" s="1488">
        <f t="shared" si="73"/>
        <v>0</v>
      </c>
      <c r="U68" s="1488">
        <f t="shared" si="73"/>
        <v>0</v>
      </c>
      <c r="V68" s="1488">
        <f t="shared" si="73"/>
        <v>0</v>
      </c>
      <c r="W68" s="1501">
        <f t="shared" si="73"/>
        <v>9005</v>
      </c>
      <c r="X68" s="1501"/>
      <c r="Y68" s="1501">
        <f t="shared" si="73"/>
        <v>6321.5099999999993</v>
      </c>
      <c r="Z68" s="1501">
        <f t="shared" si="73"/>
        <v>12597.363503999999</v>
      </c>
      <c r="AA68" s="1501">
        <f t="shared" si="73"/>
        <v>0</v>
      </c>
      <c r="AB68" s="1501">
        <f t="shared" si="73"/>
        <v>0</v>
      </c>
      <c r="AC68" s="1501">
        <f t="shared" si="73"/>
        <v>0</v>
      </c>
      <c r="AD68" s="1501">
        <f t="shared" si="73"/>
        <v>-6275.8535039999997</v>
      </c>
      <c r="AE68" s="1501">
        <f t="shared" si="73"/>
        <v>0</v>
      </c>
      <c r="AF68" s="1501">
        <f t="shared" si="73"/>
        <v>0</v>
      </c>
      <c r="AG68" s="1502" t="s">
        <v>1094</v>
      </c>
    </row>
    <row r="69" spans="1:33" s="1520" customFormat="1">
      <c r="A69" s="1109" t="s">
        <v>29</v>
      </c>
      <c r="B69" s="1105" t="s">
        <v>1095</v>
      </c>
      <c r="C69" s="2068">
        <v>10928</v>
      </c>
      <c r="D69" s="1202">
        <v>5.5E-2</v>
      </c>
      <c r="E69" s="2068">
        <v>7253.1845499999999</v>
      </c>
      <c r="F69" s="2068">
        <v>9283.5618479999994</v>
      </c>
      <c r="G69" s="2068"/>
      <c r="H69" s="2068">
        <f t="shared" ref="H69:H72" si="74">E69-(F69+G69)</f>
        <v>-2030.3772979999994</v>
      </c>
      <c r="I69" s="2068"/>
      <c r="J69" s="2068"/>
      <c r="K69" s="2068">
        <f>H69</f>
        <v>-2030.3772979999994</v>
      </c>
      <c r="L69" s="2068">
        <f>+'Phụ lục số IVm'!D9</f>
        <v>7535</v>
      </c>
      <c r="M69" s="1202">
        <f>+'Phụ lục số IVm'!I10</f>
        <v>58500</v>
      </c>
      <c r="N69" s="1202">
        <f>+'Phụ lục số IVm'!N9</f>
        <v>6773.598</v>
      </c>
      <c r="O69" s="1202">
        <v>9283.5618479999994</v>
      </c>
      <c r="P69" s="1201"/>
      <c r="Q69" s="1202">
        <f>P69-R69</f>
        <v>2030.3772979999994</v>
      </c>
      <c r="R69" s="1202">
        <f>+K69</f>
        <v>-2030.3772979999994</v>
      </c>
      <c r="S69" s="1202">
        <f>N69-(O69+Q69)</f>
        <v>-4540.3411459999988</v>
      </c>
      <c r="T69" s="1491"/>
      <c r="U69" s="1491"/>
      <c r="V69" s="1491"/>
      <c r="W69" s="1228">
        <f>+'Phụ lục số IVm'!S9</f>
        <v>6878</v>
      </c>
      <c r="X69" s="1228">
        <f>+'Phụ lục số IVm'!X10</f>
        <v>58500</v>
      </c>
      <c r="Y69" s="1228">
        <f>+'Phụ lục số IVm'!AC9</f>
        <v>4828.3559999999998</v>
      </c>
      <c r="Z69" s="1228">
        <v>9283.5618479999994</v>
      </c>
      <c r="AA69" s="1227"/>
      <c r="AB69" s="1227">
        <f t="shared" ref="AB69:AB71" si="75">AA69-AC69</f>
        <v>0</v>
      </c>
      <c r="AC69" s="1227"/>
      <c r="AD69" s="1228">
        <f t="shared" ref="AD69:AD77" si="76">Y69-(Z69+AB69)</f>
        <v>-4455.2058479999996</v>
      </c>
      <c r="AE69" s="1227"/>
      <c r="AF69" s="1227"/>
      <c r="AG69" s="1512"/>
    </row>
    <row r="70" spans="1:33" s="1520" customFormat="1">
      <c r="A70" s="1109" t="s">
        <v>29</v>
      </c>
      <c r="B70" s="1105" t="s">
        <v>1096</v>
      </c>
      <c r="C70" s="2068">
        <v>635</v>
      </c>
      <c r="D70" s="1202">
        <v>5.5E-2</v>
      </c>
      <c r="E70" s="2068">
        <v>256.82709999999997</v>
      </c>
      <c r="F70" s="2068">
        <v>3313.8016559999996</v>
      </c>
      <c r="G70" s="2068"/>
      <c r="H70" s="2068">
        <f t="shared" si="74"/>
        <v>-3056.9745559999997</v>
      </c>
      <c r="I70" s="2068"/>
      <c r="J70" s="2068"/>
      <c r="K70" s="2068">
        <f>H70</f>
        <v>-3056.9745559999997</v>
      </c>
      <c r="L70" s="2068">
        <f>+'Phụ lục số IVm'!G9</f>
        <v>2114</v>
      </c>
      <c r="M70" s="1202">
        <f>+M69</f>
        <v>58500</v>
      </c>
      <c r="N70" s="1202">
        <f>+'Phụ lục số IVm'!O9</f>
        <v>1484.028</v>
      </c>
      <c r="O70" s="1202">
        <v>3313.8016559999996</v>
      </c>
      <c r="P70" s="1201"/>
      <c r="Q70" s="1202">
        <f>P70-R70</f>
        <v>3056.9745559999997</v>
      </c>
      <c r="R70" s="1202">
        <f>+K70</f>
        <v>-3056.9745559999997</v>
      </c>
      <c r="S70" s="1202">
        <f t="shared" ref="S70:S77" si="77">N70-(O70+Q70)</f>
        <v>-4886.7482119999986</v>
      </c>
      <c r="T70" s="1491"/>
      <c r="U70" s="1491"/>
      <c r="V70" s="1491"/>
      <c r="W70" s="1228">
        <f>+'Phụ lục số IVm'!U9</f>
        <v>2127</v>
      </c>
      <c r="X70" s="1228">
        <f>+X69</f>
        <v>58500</v>
      </c>
      <c r="Y70" s="1228">
        <f>+'Phụ lục số IVm'!AD9</f>
        <v>1493.1539999999998</v>
      </c>
      <c r="Z70" s="1228">
        <v>3313.8016559999996</v>
      </c>
      <c r="AA70" s="1227"/>
      <c r="AB70" s="1227">
        <f t="shared" si="75"/>
        <v>0</v>
      </c>
      <c r="AC70" s="1227"/>
      <c r="AD70" s="1228">
        <f t="shared" si="76"/>
        <v>-1820.6476559999999</v>
      </c>
      <c r="AE70" s="1227"/>
      <c r="AF70" s="1227"/>
      <c r="AG70" s="1103"/>
    </row>
    <row r="71" spans="1:33" s="1520" customFormat="1" ht="31.2">
      <c r="A71" s="1109" t="s">
        <v>29</v>
      </c>
      <c r="B71" s="1105" t="s">
        <v>1097</v>
      </c>
      <c r="C71" s="2068"/>
      <c r="D71" s="1202"/>
      <c r="E71" s="2068"/>
      <c r="F71" s="2068"/>
      <c r="G71" s="2068"/>
      <c r="H71" s="2068"/>
      <c r="I71" s="2068"/>
      <c r="J71" s="2068"/>
      <c r="K71" s="2068"/>
      <c r="L71" s="2066"/>
      <c r="M71" s="1201"/>
      <c r="N71" s="1201"/>
      <c r="O71" s="1201"/>
      <c r="P71" s="1201"/>
      <c r="Q71" s="1202">
        <f t="shared" ref="Q71" si="78">P71-R71</f>
        <v>0</v>
      </c>
      <c r="R71" s="1201"/>
      <c r="S71" s="1201">
        <f t="shared" si="77"/>
        <v>0</v>
      </c>
      <c r="T71" s="1491"/>
      <c r="U71" s="1491"/>
      <c r="V71" s="1491"/>
      <c r="W71" s="1227"/>
      <c r="X71" s="1227"/>
      <c r="Y71" s="1227"/>
      <c r="Z71" s="1227"/>
      <c r="AA71" s="1227"/>
      <c r="AB71" s="1227">
        <f t="shared" si="75"/>
        <v>0</v>
      </c>
      <c r="AC71" s="1227"/>
      <c r="AD71" s="1227">
        <f t="shared" si="76"/>
        <v>0</v>
      </c>
      <c r="AE71" s="1227"/>
      <c r="AF71" s="1227"/>
      <c r="AG71" s="1103"/>
    </row>
    <row r="72" spans="1:33" s="1520" customFormat="1" ht="41.4">
      <c r="A72" s="1499" t="s">
        <v>1098</v>
      </c>
      <c r="B72" s="1500" t="s">
        <v>1099</v>
      </c>
      <c r="C72" s="2067">
        <v>38873</v>
      </c>
      <c r="D72" s="1498">
        <v>0</v>
      </c>
      <c r="E72" s="2067">
        <v>8221.4048910000001</v>
      </c>
      <c r="F72" s="2067">
        <v>6448</v>
      </c>
      <c r="G72" s="2067"/>
      <c r="H72" s="2067">
        <f t="shared" si="74"/>
        <v>1773.4048910000001</v>
      </c>
      <c r="I72" s="2067"/>
      <c r="J72" s="2067"/>
      <c r="K72" s="2067">
        <f>H72</f>
        <v>1773.4048910000001</v>
      </c>
      <c r="L72" s="2067">
        <f>SUM(L73,L74,L75)</f>
        <v>101523</v>
      </c>
      <c r="M72" s="1498">
        <f t="shared" ref="M72:AF72" si="79">SUM(M73,M74,M75)</f>
        <v>0</v>
      </c>
      <c r="N72" s="1498">
        <f t="shared" si="79"/>
        <v>11168</v>
      </c>
      <c r="O72" s="1498">
        <v>6448</v>
      </c>
      <c r="P72" s="1498">
        <f t="shared" si="79"/>
        <v>0</v>
      </c>
      <c r="Q72" s="1498">
        <f t="shared" ref="Q72" si="80">P72-R72</f>
        <v>-1773.4048910000001</v>
      </c>
      <c r="R72" s="1498">
        <f t="shared" ref="R72:R77" si="81">+K72</f>
        <v>1773.4048910000001</v>
      </c>
      <c r="S72" s="1498">
        <f t="shared" si="77"/>
        <v>6493.4048910000001</v>
      </c>
      <c r="T72" s="1488">
        <f t="shared" si="79"/>
        <v>0</v>
      </c>
      <c r="U72" s="1488">
        <f t="shared" si="79"/>
        <v>0</v>
      </c>
      <c r="V72" s="1488">
        <f t="shared" si="79"/>
        <v>0</v>
      </c>
      <c r="W72" s="1501">
        <f t="shared" si="79"/>
        <v>109644</v>
      </c>
      <c r="X72" s="1501">
        <f t="shared" si="79"/>
        <v>0</v>
      </c>
      <c r="Y72" s="1501">
        <f>SUM(Y73,Y74,Y75)</f>
        <v>12060</v>
      </c>
      <c r="Z72" s="1501">
        <v>6448</v>
      </c>
      <c r="AA72" s="1501">
        <f t="shared" ref="AA72:AC72" si="82">SUM(AA73,AA74,AA75)</f>
        <v>0</v>
      </c>
      <c r="AB72" s="1501">
        <f t="shared" si="82"/>
        <v>0</v>
      </c>
      <c r="AC72" s="1501">
        <f t="shared" si="82"/>
        <v>0</v>
      </c>
      <c r="AD72" s="1503">
        <f>Y72-(Z72+AB72)</f>
        <v>5612</v>
      </c>
      <c r="AE72" s="1501">
        <f t="shared" si="79"/>
        <v>0</v>
      </c>
      <c r="AF72" s="1501">
        <f t="shared" si="79"/>
        <v>0</v>
      </c>
      <c r="AG72" s="1502" t="s">
        <v>1100</v>
      </c>
    </row>
    <row r="73" spans="1:33" s="1520" customFormat="1">
      <c r="A73" s="1109" t="s">
        <v>29</v>
      </c>
      <c r="B73" s="1113" t="s">
        <v>1101</v>
      </c>
      <c r="C73" s="2068"/>
      <c r="D73" s="1202"/>
      <c r="E73" s="2068"/>
      <c r="F73" s="2068"/>
      <c r="G73" s="2068"/>
      <c r="H73" s="2068"/>
      <c r="I73" s="2068"/>
      <c r="J73" s="2068"/>
      <c r="K73" s="2068"/>
      <c r="L73" s="2067">
        <f>+('Phụ lục số IVn'!C12+'Phụ lục số IVn'!E12)/2</f>
        <v>587.5</v>
      </c>
      <c r="M73" s="1498"/>
      <c r="N73" s="1498">
        <f>+'Phụ lục số IVn'!D12+'Phụ lục số IVn'!F12</f>
        <v>152</v>
      </c>
      <c r="O73" s="1202"/>
      <c r="P73" s="1202"/>
      <c r="Q73" s="1202">
        <f t="shared" ref="Q73:Q77" si="83">P73-R73</f>
        <v>0</v>
      </c>
      <c r="R73" s="1202">
        <f t="shared" si="81"/>
        <v>0</v>
      </c>
      <c r="S73" s="1202">
        <f t="shared" si="77"/>
        <v>152</v>
      </c>
      <c r="T73" s="1488"/>
      <c r="U73" s="1488"/>
      <c r="V73" s="1488"/>
      <c r="W73" s="1228">
        <f>+('Phụ lục số IVn'!J12+'Phụ lục số IVn'!L12)/2</f>
        <v>635</v>
      </c>
      <c r="X73" s="1228"/>
      <c r="Y73" s="1228">
        <f>+'Phụ lục số IVn'!K12+'Phụ lục số IVn'!M12</f>
        <v>165</v>
      </c>
      <c r="Z73" s="1228"/>
      <c r="AA73" s="1228"/>
      <c r="AB73" s="1228">
        <f t="shared" ref="AB73:AB77" si="84">AA73-AC73</f>
        <v>0</v>
      </c>
      <c r="AC73" s="1228"/>
      <c r="AD73" s="1228">
        <f t="shared" si="76"/>
        <v>165</v>
      </c>
      <c r="AE73" s="1228"/>
      <c r="AF73" s="1228"/>
      <c r="AG73" s="1103"/>
    </row>
    <row r="74" spans="1:33" s="1520" customFormat="1">
      <c r="A74" s="1109" t="s">
        <v>29</v>
      </c>
      <c r="B74" s="1113" t="s">
        <v>1102</v>
      </c>
      <c r="C74" s="2068"/>
      <c r="D74" s="1202"/>
      <c r="E74" s="2068"/>
      <c r="F74" s="2068"/>
      <c r="G74" s="2068"/>
      <c r="H74" s="2068"/>
      <c r="I74" s="2068"/>
      <c r="J74" s="2068"/>
      <c r="K74" s="2068"/>
      <c r="L74" s="2067">
        <f>+('Phụ lục số IVn'!C13+'Phụ lục số IVn'!E13)/2</f>
        <v>1050</v>
      </c>
      <c r="M74" s="1498"/>
      <c r="N74" s="1498">
        <f>+'Phụ lục số IVn'!D13+'Phụ lục số IVn'!F13</f>
        <v>208</v>
      </c>
      <c r="O74" s="1202"/>
      <c r="P74" s="1202"/>
      <c r="Q74" s="1202">
        <f t="shared" si="83"/>
        <v>0</v>
      </c>
      <c r="R74" s="1202">
        <f t="shared" si="81"/>
        <v>0</v>
      </c>
      <c r="S74" s="1202">
        <f t="shared" si="77"/>
        <v>208</v>
      </c>
      <c r="T74" s="1488"/>
      <c r="U74" s="1488"/>
      <c r="V74" s="1488"/>
      <c r="W74" s="1228">
        <f>+('Phụ lục số IVn'!J13+'Phụ lục số IVn'!L13)/2</f>
        <v>1134</v>
      </c>
      <c r="X74" s="1228"/>
      <c r="Y74" s="1228">
        <f>+'Phụ lục số IVn'!K13+'Phụ lục số IVn'!M13</f>
        <v>225</v>
      </c>
      <c r="Z74" s="1228"/>
      <c r="AA74" s="1228"/>
      <c r="AB74" s="1228">
        <f t="shared" si="84"/>
        <v>0</v>
      </c>
      <c r="AC74" s="1228"/>
      <c r="AD74" s="1228">
        <f t="shared" si="76"/>
        <v>225</v>
      </c>
      <c r="AE74" s="1228"/>
      <c r="AF74" s="1228"/>
      <c r="AG74" s="1103"/>
    </row>
    <row r="75" spans="1:33" s="1520" customFormat="1">
      <c r="A75" s="1109" t="s">
        <v>29</v>
      </c>
      <c r="B75" s="1113" t="s">
        <v>1103</v>
      </c>
      <c r="C75" s="2068"/>
      <c r="D75" s="1202"/>
      <c r="E75" s="2068"/>
      <c r="F75" s="2068"/>
      <c r="G75" s="2068"/>
      <c r="H75" s="2068"/>
      <c r="I75" s="2068"/>
      <c r="J75" s="2068"/>
      <c r="K75" s="2068"/>
      <c r="L75" s="2067">
        <f>(+'Phụ lục số IVn'!C14+'Phụ lục số IVn'!E14)/2</f>
        <v>99885.5</v>
      </c>
      <c r="M75" s="1498"/>
      <c r="N75" s="1498">
        <f>+'Phụ lục số IVn'!D14+'Phụ lục số IVn'!F14</f>
        <v>10808</v>
      </c>
      <c r="O75" s="1202"/>
      <c r="P75" s="1202"/>
      <c r="Q75" s="1202">
        <f t="shared" si="83"/>
        <v>0</v>
      </c>
      <c r="R75" s="1202">
        <f t="shared" si="81"/>
        <v>0</v>
      </c>
      <c r="S75" s="1202">
        <f t="shared" si="77"/>
        <v>10808</v>
      </c>
      <c r="T75" s="1488"/>
      <c r="U75" s="1488"/>
      <c r="V75" s="1488"/>
      <c r="W75" s="1228">
        <f>('Phụ lục số IVn'!J14+'Phụ lục số IVn'!L14)/2</f>
        <v>107875</v>
      </c>
      <c r="X75" s="1228"/>
      <c r="Y75" s="1228">
        <f>+'Phụ lục số IVn'!K14+'Phụ lục số IVn'!M14</f>
        <v>11670</v>
      </c>
      <c r="Z75" s="1228"/>
      <c r="AA75" s="1228"/>
      <c r="AB75" s="1228">
        <f t="shared" si="84"/>
        <v>0</v>
      </c>
      <c r="AC75" s="1228"/>
      <c r="AD75" s="1228">
        <f t="shared" si="76"/>
        <v>11670</v>
      </c>
      <c r="AE75" s="1228"/>
      <c r="AF75" s="1228"/>
      <c r="AG75" s="1103"/>
    </row>
    <row r="76" spans="1:33" s="1520" customFormat="1" ht="30.75" customHeight="1">
      <c r="A76" s="1109" t="s">
        <v>1104</v>
      </c>
      <c r="B76" s="1113" t="s">
        <v>1105</v>
      </c>
      <c r="C76" s="2068">
        <v>2</v>
      </c>
      <c r="D76" s="1202">
        <v>0</v>
      </c>
      <c r="E76" s="2068">
        <v>46.2</v>
      </c>
      <c r="F76" s="2068"/>
      <c r="G76" s="2068"/>
      <c r="H76" s="2068">
        <f t="shared" ref="H76:H77" si="85">E76-(F76+G76)</f>
        <v>46.2</v>
      </c>
      <c r="I76" s="2068"/>
      <c r="J76" s="2068"/>
      <c r="K76" s="2068">
        <f>H76</f>
        <v>46.2</v>
      </c>
      <c r="L76" s="2068"/>
      <c r="M76" s="1202"/>
      <c r="N76" s="1202"/>
      <c r="O76" s="1202"/>
      <c r="P76" s="1202"/>
      <c r="Q76" s="1202">
        <f t="shared" si="83"/>
        <v>-46.2</v>
      </c>
      <c r="R76" s="1202">
        <f t="shared" si="81"/>
        <v>46.2</v>
      </c>
      <c r="S76" s="1202">
        <f t="shared" si="77"/>
        <v>46.2</v>
      </c>
      <c r="T76" s="1488"/>
      <c r="U76" s="1488"/>
      <c r="V76" s="1488"/>
      <c r="W76" s="1228"/>
      <c r="X76" s="1228"/>
      <c r="Y76" s="1228"/>
      <c r="Z76" s="1228"/>
      <c r="AA76" s="1228"/>
      <c r="AB76" s="1228">
        <f t="shared" si="84"/>
        <v>0</v>
      </c>
      <c r="AC76" s="1228"/>
      <c r="AD76" s="1228">
        <f t="shared" si="76"/>
        <v>0</v>
      </c>
      <c r="AE76" s="1228"/>
      <c r="AF76" s="1228"/>
      <c r="AG76" s="1103"/>
    </row>
    <row r="77" spans="1:33" s="1520" customFormat="1" ht="48" customHeight="1">
      <c r="A77" s="1109" t="s">
        <v>1106</v>
      </c>
      <c r="B77" s="1113" t="s">
        <v>1107</v>
      </c>
      <c r="C77" s="2068">
        <v>1</v>
      </c>
      <c r="D77" s="1202">
        <v>0</v>
      </c>
      <c r="E77" s="2068">
        <v>1.21</v>
      </c>
      <c r="F77" s="2068"/>
      <c r="G77" s="2068"/>
      <c r="H77" s="2068">
        <f t="shared" si="85"/>
        <v>1.21</v>
      </c>
      <c r="I77" s="2068"/>
      <c r="J77" s="2068"/>
      <c r="K77" s="2068">
        <f>H77</f>
        <v>1.21</v>
      </c>
      <c r="L77" s="2068"/>
      <c r="M77" s="1202"/>
      <c r="N77" s="1202"/>
      <c r="O77" s="1202"/>
      <c r="P77" s="1202"/>
      <c r="Q77" s="1202">
        <f t="shared" si="83"/>
        <v>-1.21</v>
      </c>
      <c r="R77" s="1202">
        <f t="shared" si="81"/>
        <v>1.21</v>
      </c>
      <c r="S77" s="1202">
        <f t="shared" si="77"/>
        <v>1.21</v>
      </c>
      <c r="T77" s="1488"/>
      <c r="U77" s="1488"/>
      <c r="V77" s="1488"/>
      <c r="W77" s="1228"/>
      <c r="X77" s="1228"/>
      <c r="Y77" s="1228"/>
      <c r="Z77" s="1228"/>
      <c r="AA77" s="1228"/>
      <c r="AB77" s="1228">
        <f t="shared" si="84"/>
        <v>0</v>
      </c>
      <c r="AC77" s="1228"/>
      <c r="AD77" s="1228">
        <f t="shared" si="76"/>
        <v>0</v>
      </c>
      <c r="AE77" s="1228"/>
      <c r="AF77" s="1228"/>
      <c r="AG77" s="1103"/>
    </row>
    <row r="78" spans="1:33" s="1529" customFormat="1">
      <c r="A78" s="1114" t="s">
        <v>33</v>
      </c>
      <c r="B78" s="1224" t="s">
        <v>1108</v>
      </c>
      <c r="C78" s="2074"/>
      <c r="D78" s="1204"/>
      <c r="E78" s="2074"/>
      <c r="F78" s="2074"/>
      <c r="G78" s="2074"/>
      <c r="H78" s="2074"/>
      <c r="I78" s="2074"/>
      <c r="J78" s="2074"/>
      <c r="K78" s="2074"/>
      <c r="L78" s="2074"/>
      <c r="M78" s="1204"/>
      <c r="N78" s="1204"/>
      <c r="O78" s="1204"/>
      <c r="P78" s="1204"/>
      <c r="Q78" s="1204"/>
      <c r="R78" s="1204"/>
      <c r="S78" s="1204"/>
      <c r="T78" s="2061"/>
      <c r="U78" s="2061"/>
      <c r="V78" s="2061"/>
      <c r="W78" s="1231"/>
      <c r="X78" s="1231"/>
      <c r="Y78" s="1231"/>
      <c r="Z78" s="1231"/>
      <c r="AA78" s="1231"/>
      <c r="AB78" s="1231"/>
      <c r="AC78" s="1231"/>
      <c r="AD78" s="1231"/>
      <c r="AE78" s="1231"/>
      <c r="AF78" s="1231"/>
      <c r="AG78" s="1115"/>
    </row>
    <row r="79" spans="1:33" s="1529" customFormat="1" ht="46.8" hidden="1">
      <c r="A79" s="1219">
        <v>1</v>
      </c>
      <c r="B79" s="1220" t="s">
        <v>1109</v>
      </c>
      <c r="C79" s="2075"/>
      <c r="D79" s="1221"/>
      <c r="E79" s="1221"/>
      <c r="F79" s="1221"/>
      <c r="G79" s="1221"/>
      <c r="H79" s="1221"/>
      <c r="I79" s="1221"/>
      <c r="J79" s="1221"/>
      <c r="K79" s="1221"/>
      <c r="L79" s="1221"/>
      <c r="M79" s="1221"/>
      <c r="N79" s="1221"/>
      <c r="O79" s="1221"/>
      <c r="P79" s="1221"/>
      <c r="Q79" s="1221"/>
      <c r="R79" s="1221"/>
      <c r="S79" s="1221"/>
      <c r="T79" s="2062"/>
      <c r="U79" s="2062"/>
      <c r="V79" s="2062"/>
      <c r="W79" s="1222"/>
      <c r="X79" s="1222"/>
      <c r="Y79" s="1222"/>
      <c r="Z79" s="1222"/>
      <c r="AA79" s="1222"/>
      <c r="AB79" s="1222"/>
      <c r="AC79" s="1222"/>
      <c r="AD79" s="1222"/>
      <c r="AE79" s="1222"/>
      <c r="AF79" s="1222"/>
      <c r="AG79" s="1223" t="s">
        <v>1110</v>
      </c>
    </row>
    <row r="80" spans="1:33" s="1529" customFormat="1" hidden="1">
      <c r="A80" s="1213"/>
      <c r="B80" s="1208" t="s">
        <v>1111</v>
      </c>
      <c r="C80" s="2066"/>
      <c r="D80" s="1201"/>
      <c r="E80" s="1201"/>
      <c r="F80" s="1201"/>
      <c r="G80" s="1201"/>
      <c r="H80" s="1201"/>
      <c r="I80" s="1201"/>
      <c r="J80" s="1201"/>
      <c r="K80" s="1201"/>
      <c r="L80" s="1201"/>
      <c r="M80" s="1201"/>
      <c r="N80" s="1201"/>
      <c r="O80" s="1201"/>
      <c r="P80" s="1201"/>
      <c r="Q80" s="1201"/>
      <c r="R80" s="1201"/>
      <c r="S80" s="1201"/>
      <c r="T80" s="1491"/>
      <c r="U80" s="1491"/>
      <c r="V80" s="1491"/>
      <c r="W80" s="1110"/>
      <c r="X80" s="1110"/>
      <c r="Y80" s="1110"/>
      <c r="Z80" s="1110"/>
      <c r="AA80" s="1110"/>
      <c r="AB80" s="1110"/>
      <c r="AC80" s="1110"/>
      <c r="AD80" s="1110"/>
      <c r="AE80" s="1110"/>
      <c r="AF80" s="1110"/>
      <c r="AG80" s="1512"/>
    </row>
    <row r="81" spans="1:33" s="1520" customFormat="1" ht="46.8" hidden="1">
      <c r="A81" s="1214"/>
      <c r="B81" s="1530" t="s">
        <v>1109</v>
      </c>
      <c r="C81" s="2076"/>
      <c r="D81" s="1215"/>
      <c r="E81" s="1216"/>
      <c r="F81" s="1216"/>
      <c r="G81" s="1216"/>
      <c r="H81" s="1216"/>
      <c r="I81" s="1216"/>
      <c r="J81" s="1216"/>
      <c r="K81" s="1216"/>
      <c r="L81" s="1216"/>
      <c r="M81" s="1216"/>
      <c r="N81" s="1216"/>
      <c r="O81" s="1216"/>
      <c r="P81" s="1216"/>
      <c r="Q81" s="1216"/>
      <c r="R81" s="1216"/>
      <c r="S81" s="1216"/>
      <c r="T81" s="2063"/>
      <c r="U81" s="2063"/>
      <c r="V81" s="2063"/>
      <c r="W81" s="1217"/>
      <c r="X81" s="1217"/>
      <c r="Y81" s="1217"/>
      <c r="Z81" s="1217"/>
      <c r="AA81" s="1217"/>
      <c r="AB81" s="1217"/>
      <c r="AC81" s="1217"/>
      <c r="AD81" s="1217"/>
      <c r="AE81" s="1217"/>
      <c r="AF81" s="1217"/>
      <c r="AG81" s="1115"/>
    </row>
    <row r="82" spans="1:33" hidden="1">
      <c r="C82" s="2077"/>
    </row>
    <row r="83" spans="1:33" ht="18" hidden="1">
      <c r="A83" s="1116" t="s">
        <v>1112</v>
      </c>
      <c r="B83" s="1116" t="s">
        <v>1113</v>
      </c>
      <c r="C83" s="2078"/>
      <c r="D83" s="1094"/>
      <c r="E83" s="1094"/>
      <c r="F83" s="1094"/>
      <c r="G83" s="1094"/>
      <c r="H83" s="1094"/>
      <c r="I83" s="1094"/>
      <c r="J83" s="1094"/>
      <c r="K83" s="1094"/>
      <c r="Z83" s="6102" t="s">
        <v>1114</v>
      </c>
      <c r="AA83" s="6102"/>
      <c r="AB83" s="6102"/>
      <c r="AC83" s="6102"/>
      <c r="AD83" s="6102"/>
      <c r="AE83" s="6102"/>
      <c r="AF83" s="6102"/>
      <c r="AG83" s="6102"/>
    </row>
    <row r="84" spans="1:33" ht="18" hidden="1">
      <c r="A84" s="1095" t="s">
        <v>1115</v>
      </c>
      <c r="B84" s="1116" t="s">
        <v>1116</v>
      </c>
      <c r="C84" s="2077"/>
      <c r="Y84" s="6103" t="s">
        <v>1117</v>
      </c>
      <c r="Z84" s="6103"/>
      <c r="AA84" s="6103"/>
      <c r="AB84" s="6103"/>
      <c r="AC84" s="6103"/>
      <c r="AD84" s="6103"/>
      <c r="AE84" s="6103"/>
      <c r="AF84" s="6103"/>
      <c r="AG84" s="6103"/>
    </row>
    <row r="85" spans="1:33" ht="18" hidden="1">
      <c r="B85" s="1116" t="s">
        <v>1118</v>
      </c>
      <c r="C85" s="2077"/>
      <c r="Z85" s="6103" t="s">
        <v>629</v>
      </c>
      <c r="AA85" s="6103"/>
      <c r="AB85" s="6103"/>
      <c r="AC85" s="6103"/>
      <c r="AD85" s="6103"/>
      <c r="AE85" s="6103"/>
      <c r="AF85" s="6103"/>
      <c r="AG85" s="6103"/>
    </row>
    <row r="86" spans="1:33" ht="18" hidden="1">
      <c r="C86" s="2077"/>
      <c r="Z86" s="6104" t="s">
        <v>630</v>
      </c>
      <c r="AA86" s="6104"/>
      <c r="AB86" s="6104"/>
      <c r="AC86" s="6104"/>
      <c r="AD86" s="6104"/>
      <c r="AE86" s="6104"/>
      <c r="AF86" s="6104"/>
      <c r="AG86" s="6104"/>
    </row>
    <row r="87" spans="1:33">
      <c r="C87" s="2077"/>
    </row>
    <row r="88" spans="1:33">
      <c r="B88" s="1095" t="s">
        <v>1448</v>
      </c>
      <c r="D88" s="1097">
        <f>46000000/1000000000</f>
        <v>4.5999999999999999E-2</v>
      </c>
      <c r="F88" s="1534">
        <f>+F52+F54</f>
        <v>101038.04729999999</v>
      </c>
      <c r="G88" s="1534">
        <f t="shared" ref="G88:AG88" si="86">+G52+G54</f>
        <v>0</v>
      </c>
      <c r="H88" s="1534">
        <f t="shared" si="86"/>
        <v>-16625.705518916693</v>
      </c>
      <c r="I88" s="1534">
        <f t="shared" si="86"/>
        <v>0</v>
      </c>
      <c r="J88" s="1534">
        <f t="shared" si="86"/>
        <v>0</v>
      </c>
      <c r="K88" s="1534">
        <f t="shared" si="86"/>
        <v>-16625.705518916693</v>
      </c>
      <c r="L88" s="1534">
        <f t="shared" si="86"/>
        <v>318792</v>
      </c>
      <c r="M88" s="1534">
        <f t="shared" si="86"/>
        <v>0</v>
      </c>
      <c r="N88" s="1534">
        <f t="shared" si="86"/>
        <v>94052.102730000013</v>
      </c>
      <c r="O88" s="1534">
        <f t="shared" si="86"/>
        <v>101038.04729999999</v>
      </c>
      <c r="P88" s="1534">
        <f t="shared" si="86"/>
        <v>0</v>
      </c>
      <c r="Q88" s="1534">
        <f t="shared" si="86"/>
        <v>16625.705518916693</v>
      </c>
      <c r="R88" s="1534">
        <f t="shared" si="86"/>
        <v>-16625.705518916693</v>
      </c>
      <c r="S88" s="1534">
        <f t="shared" si="86"/>
        <v>-23611.650088916671</v>
      </c>
      <c r="T88" s="2065">
        <f t="shared" si="86"/>
        <v>0</v>
      </c>
      <c r="U88" s="2065">
        <f t="shared" si="86"/>
        <v>0</v>
      </c>
      <c r="V88" s="2065">
        <f t="shared" si="86"/>
        <v>0</v>
      </c>
      <c r="W88" s="1534">
        <f>+W52+W54</f>
        <v>322343</v>
      </c>
      <c r="X88" s="1534">
        <f t="shared" si="86"/>
        <v>0</v>
      </c>
      <c r="Y88" s="1534">
        <f t="shared" si="86"/>
        <v>133221.40316400002</v>
      </c>
      <c r="Z88" s="1534">
        <f t="shared" si="86"/>
        <v>101038.04729999999</v>
      </c>
      <c r="AA88" s="1534">
        <f t="shared" si="86"/>
        <v>0</v>
      </c>
      <c r="AB88" s="1534">
        <f t="shared" si="86"/>
        <v>0</v>
      </c>
      <c r="AC88" s="1534">
        <f t="shared" si="86"/>
        <v>0</v>
      </c>
      <c r="AD88" s="1534">
        <f t="shared" si="86"/>
        <v>32183.355864000012</v>
      </c>
      <c r="AE88" s="1534">
        <f t="shared" si="86"/>
        <v>0</v>
      </c>
      <c r="AF88" s="1534">
        <f t="shared" si="86"/>
        <v>0</v>
      </c>
      <c r="AG88" s="1534">
        <f t="shared" si="86"/>
        <v>0</v>
      </c>
    </row>
    <row r="89" spans="1:33">
      <c r="D89" s="1097">
        <f>1000000/1000000000</f>
        <v>1E-3</v>
      </c>
    </row>
    <row r="90" spans="1:33">
      <c r="B90" s="1095" t="s">
        <v>1449</v>
      </c>
      <c r="E90" s="1534"/>
      <c r="F90" s="1534">
        <f t="shared" ref="F90:K90" si="87">+F48-F52-F54</f>
        <v>217478.55239999999</v>
      </c>
      <c r="G90" s="1534">
        <f t="shared" si="87"/>
        <v>0</v>
      </c>
      <c r="H90" s="1534">
        <f t="shared" si="87"/>
        <v>7097.4873499999885</v>
      </c>
      <c r="I90" s="1534">
        <f t="shared" si="87"/>
        <v>0</v>
      </c>
      <c r="J90" s="1534">
        <f t="shared" si="87"/>
        <v>0</v>
      </c>
      <c r="K90" s="1534">
        <f t="shared" si="87"/>
        <v>7097.4873499999885</v>
      </c>
      <c r="L90" s="1534">
        <f>+L48-L52-L54</f>
        <v>247775</v>
      </c>
      <c r="M90" s="1534">
        <f t="shared" ref="M90:AG90" si="88">+M48-M52-M54</f>
        <v>0</v>
      </c>
      <c r="N90" s="1534">
        <f t="shared" si="88"/>
        <v>277122.42465</v>
      </c>
      <c r="O90" s="1534">
        <f t="shared" si="88"/>
        <v>217478.55239999999</v>
      </c>
      <c r="P90" s="1534">
        <f t="shared" si="88"/>
        <v>0</v>
      </c>
      <c r="Q90" s="1534">
        <f t="shared" si="88"/>
        <v>-7097.4873499999885</v>
      </c>
      <c r="R90" s="1534">
        <f t="shared" si="88"/>
        <v>7097.4873499999885</v>
      </c>
      <c r="S90" s="1534">
        <f t="shared" si="88"/>
        <v>66741.359599999996</v>
      </c>
      <c r="T90" s="2065">
        <f t="shared" si="88"/>
        <v>0</v>
      </c>
      <c r="U90" s="2065">
        <f t="shared" si="88"/>
        <v>0</v>
      </c>
      <c r="V90" s="2065">
        <f t="shared" si="88"/>
        <v>0</v>
      </c>
      <c r="W90" s="1534">
        <f>+W48-W52-W54</f>
        <v>412743</v>
      </c>
      <c r="X90" s="1534">
        <f t="shared" si="88"/>
        <v>0</v>
      </c>
      <c r="Y90" s="1534">
        <f t="shared" si="88"/>
        <v>325883.07180000003</v>
      </c>
      <c r="Z90" s="1534">
        <f t="shared" si="88"/>
        <v>217478.55239999999</v>
      </c>
      <c r="AA90" s="1534">
        <f t="shared" si="88"/>
        <v>0</v>
      </c>
      <c r="AB90" s="1534">
        <f t="shared" si="88"/>
        <v>0</v>
      </c>
      <c r="AC90" s="1534">
        <f t="shared" si="88"/>
        <v>0</v>
      </c>
      <c r="AD90" s="1534">
        <f t="shared" si="88"/>
        <v>108404.51939999999</v>
      </c>
      <c r="AE90" s="1534">
        <f t="shared" si="88"/>
        <v>0</v>
      </c>
      <c r="AF90" s="1534">
        <f t="shared" si="88"/>
        <v>0</v>
      </c>
      <c r="AG90" s="1534" t="e">
        <f t="shared" si="88"/>
        <v>#VALUE!</v>
      </c>
    </row>
  </sheetData>
  <mergeCells count="43">
    <mergeCell ref="A2:K2"/>
    <mergeCell ref="A3:K3"/>
    <mergeCell ref="A1:B1"/>
    <mergeCell ref="A6:A8"/>
    <mergeCell ref="B6:B8"/>
    <mergeCell ref="C6:K6"/>
    <mergeCell ref="L6:V6"/>
    <mergeCell ref="W6:AF6"/>
    <mergeCell ref="AG6:AG8"/>
    <mergeCell ref="C7:C8"/>
    <mergeCell ref="D7:D8"/>
    <mergeCell ref="E7:E8"/>
    <mergeCell ref="F7:F8"/>
    <mergeCell ref="G7:G8"/>
    <mergeCell ref="H7:H8"/>
    <mergeCell ref="I7:I8"/>
    <mergeCell ref="V7:V8"/>
    <mergeCell ref="J7:J8"/>
    <mergeCell ref="K7:K8"/>
    <mergeCell ref="L7:L8"/>
    <mergeCell ref="M7:M8"/>
    <mergeCell ref="N7:N8"/>
    <mergeCell ref="O7:O8"/>
    <mergeCell ref="P7:P8"/>
    <mergeCell ref="Q7:R7"/>
    <mergeCell ref="S7:S8"/>
    <mergeCell ref="T7:T8"/>
    <mergeCell ref="U7:U8"/>
    <mergeCell ref="W7:W8"/>
    <mergeCell ref="X7:X8"/>
    <mergeCell ref="Y7:Y8"/>
    <mergeCell ref="Z7:Z8"/>
    <mergeCell ref="AA7:AA8"/>
    <mergeCell ref="Z83:AG83"/>
    <mergeCell ref="Y84:AG84"/>
    <mergeCell ref="Z85:AG85"/>
    <mergeCell ref="Z86:AG86"/>
    <mergeCell ref="AD7:AD8"/>
    <mergeCell ref="AE7:AE8"/>
    <mergeCell ref="AF7:AF8"/>
    <mergeCell ref="AG48:AG49"/>
    <mergeCell ref="AG50:AG59"/>
    <mergeCell ref="AB7:AC7"/>
  </mergeCells>
  <hyperlinks>
    <hyperlink ref="A6:A8" location="'Danh mục file'!A1" display="STT"/>
  </hyperlinks>
  <printOptions horizontalCentered="1"/>
  <pageMargins left="0" right="0" top="0.39370078740157483" bottom="0.39370078740157483" header="0" footer="0"/>
  <pageSetup paperSize="9" scale="80" orientation="landscape" r:id="rId1"/>
  <headerFooter scaleWithDoc="0" alignWithMargins="0">
    <oddHeader>&amp;R&amp;A</oddHeader>
    <oddFooter>&amp;C&amp;P/&amp;N</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H72"/>
  <sheetViews>
    <sheetView topLeftCell="A3" workbookViewId="0">
      <selection activeCell="A5" sqref="A5"/>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74"/>
      <c r="B1" s="6574"/>
      <c r="C1" s="6574"/>
    </row>
    <row r="2" spans="1:4" hidden="1">
      <c r="A2" s="386"/>
      <c r="B2" s="386"/>
      <c r="C2" s="386"/>
    </row>
    <row r="3" spans="1:4">
      <c r="A3" s="6109" t="s">
        <v>3134</v>
      </c>
      <c r="B3" s="6045"/>
      <c r="C3" s="6045"/>
    </row>
    <row r="4" spans="1:4">
      <c r="A4" s="6512" t="str">
        <f>+'Phụ lục 3-CKNS'!A5:E5</f>
        <v>(Kèm theo Quyết định số       /QĐ-UBND-HC ngày     /12/2024 của Ủy ban nhân dân tỉnh Đồng Tháp)</v>
      </c>
      <c r="B4" s="6498"/>
      <c r="C4" s="6498"/>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195"/>
  <sheetViews>
    <sheetView zoomScale="50" zoomScaleNormal="50" workbookViewId="0">
      <pane xSplit="16" ySplit="10" topLeftCell="Q38" activePane="bottomRight" state="frozen"/>
      <selection pane="topRight" activeCell="K1" sqref="K1"/>
      <selection pane="bottomLeft" activeCell="A10" sqref="A10"/>
      <selection pane="bottomRight" activeCell="C3" sqref="C1:P1048576"/>
    </sheetView>
  </sheetViews>
  <sheetFormatPr defaultColWidth="10" defaultRowHeight="18"/>
  <cols>
    <col min="1" max="1" width="8.109375" style="583" bestFit="1" customWidth="1"/>
    <col min="2" max="2" width="56.5546875" style="381" customWidth="1"/>
    <col min="3" max="3" width="15.88671875" style="381" customWidth="1"/>
    <col min="4" max="6" width="14.5546875" style="381" customWidth="1"/>
    <col min="7" max="7" width="14.5546875" style="873" customWidth="1"/>
    <col min="8" max="8" width="14.5546875" style="381" customWidth="1"/>
    <col min="9" max="9" width="14.5546875" style="873" customWidth="1"/>
    <col min="10" max="15" width="14.5546875" style="38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281" t="s">
        <v>756</v>
      </c>
      <c r="B1" s="6281"/>
      <c r="C1" s="6281"/>
      <c r="D1" s="6281"/>
      <c r="E1" s="6281"/>
      <c r="F1" s="6281"/>
      <c r="G1" s="6281"/>
      <c r="H1" s="6281"/>
      <c r="I1" s="6281"/>
      <c r="J1" s="6281"/>
      <c r="K1" s="6281"/>
      <c r="L1" s="6281"/>
      <c r="M1" s="6281"/>
      <c r="N1" s="6281"/>
      <c r="O1" s="6281"/>
      <c r="P1" s="6281"/>
      <c r="Q1" s="6281"/>
      <c r="R1" s="6281"/>
      <c r="S1" s="6281"/>
      <c r="T1" s="6281"/>
      <c r="U1" s="6281"/>
      <c r="V1" s="6281"/>
      <c r="W1" s="6281"/>
      <c r="X1" s="6281"/>
      <c r="Y1" s="6281"/>
      <c r="Z1" s="6281"/>
      <c r="AA1" s="6281"/>
      <c r="AB1" s="6281"/>
      <c r="AC1" s="6281"/>
      <c r="AD1" s="6281"/>
      <c r="AE1" s="6281"/>
      <c r="AF1" s="6281"/>
      <c r="AG1" s="6281"/>
      <c r="AH1" s="6281"/>
      <c r="AI1" s="6281"/>
      <c r="AJ1" s="6281"/>
      <c r="AK1" s="6281"/>
      <c r="AL1" s="6281"/>
      <c r="AM1" s="6281"/>
    </row>
    <row r="2" spans="1:41">
      <c r="A2" s="6325" t="str">
        <f>+'Phụ lục 4-CKNS'!A4:C4</f>
        <v>(Kèm theo Quyết định số       /QĐ-UBND-HC ngày     /12/2024 của Ủy ban nhân dân tỉnh Đồng Tháp)</v>
      </c>
      <c r="B2" s="6325"/>
      <c r="C2" s="6325"/>
      <c r="D2" s="6325"/>
      <c r="E2" s="6325"/>
      <c r="F2" s="6325"/>
      <c r="G2" s="6325"/>
      <c r="H2" s="6325"/>
      <c r="I2" s="6325"/>
      <c r="J2" s="6325"/>
      <c r="K2" s="6325"/>
      <c r="L2" s="6325"/>
      <c r="M2" s="6325"/>
      <c r="N2" s="6325"/>
      <c r="O2" s="6325"/>
      <c r="P2" s="6325"/>
      <c r="Q2" s="6325"/>
      <c r="R2" s="6325"/>
      <c r="S2" s="6325"/>
      <c r="T2" s="6325"/>
      <c r="U2" s="6325"/>
      <c r="V2" s="6325"/>
      <c r="W2" s="6325"/>
      <c r="X2" s="6325"/>
      <c r="Y2" s="6325"/>
      <c r="Z2" s="6325"/>
      <c r="AA2" s="6325"/>
      <c r="AB2" s="6325"/>
      <c r="AC2" s="6325"/>
      <c r="AD2" s="6325"/>
      <c r="AE2" s="6325"/>
      <c r="AF2" s="6325"/>
      <c r="AG2" s="6325"/>
      <c r="AH2" s="6325"/>
      <c r="AI2" s="6325"/>
      <c r="AJ2" s="6325"/>
      <c r="AK2" s="6325"/>
      <c r="AL2" s="6325"/>
      <c r="AM2" s="6325"/>
    </row>
    <row r="3" spans="1:41">
      <c r="P3" s="667">
        <f>+P10-'Phụ lục số 5'!P10</f>
        <v>0</v>
      </c>
      <c r="AB3" s="426"/>
    </row>
    <row r="4" spans="1:41" ht="18.600000000000001" thickBot="1">
      <c r="C4" s="426">
        <f>+C10-'Phụ lục số 5'!C10</f>
        <v>0</v>
      </c>
      <c r="Y4" s="667"/>
      <c r="AH4" s="6516" t="s">
        <v>638</v>
      </c>
      <c r="AI4" s="6516"/>
      <c r="AJ4" s="6516"/>
      <c r="AK4" s="681"/>
    </row>
    <row r="5" spans="1:41" s="386" customFormat="1" ht="18.75" customHeight="1" thickTop="1">
      <c r="A5" s="6517" t="s">
        <v>136</v>
      </c>
      <c r="B5" s="6519" t="s">
        <v>639</v>
      </c>
      <c r="C5" s="6520" t="s">
        <v>121</v>
      </c>
      <c r="D5" s="6520"/>
      <c r="E5" s="6520"/>
      <c r="F5" s="6520"/>
      <c r="G5" s="6520"/>
      <c r="H5" s="6520"/>
      <c r="I5" s="6520"/>
      <c r="J5" s="6520"/>
      <c r="K5" s="6520"/>
      <c r="L5" s="6520"/>
      <c r="M5" s="6520"/>
      <c r="N5" s="6520"/>
      <c r="O5" s="6520"/>
      <c r="P5" s="6520"/>
      <c r="Q5" s="6520"/>
      <c r="R5" s="6520"/>
      <c r="S5" s="6520"/>
      <c r="T5" s="6520"/>
      <c r="U5" s="6520"/>
      <c r="V5" s="6520"/>
      <c r="W5" s="6520"/>
      <c r="X5" s="6520"/>
      <c r="Y5" s="6520"/>
      <c r="Z5" s="6520"/>
      <c r="AA5" s="6520"/>
      <c r="AB5" s="6520"/>
      <c r="AC5" s="6520"/>
      <c r="AD5" s="6520"/>
      <c r="AE5" s="6520"/>
      <c r="AF5" s="6520"/>
      <c r="AG5" s="6520"/>
      <c r="AH5" s="6520"/>
      <c r="AI5" s="6520"/>
      <c r="AJ5" s="6520"/>
      <c r="AK5" s="5010"/>
      <c r="AL5" s="6519" t="s">
        <v>640</v>
      </c>
      <c r="AM5" s="6521" t="s">
        <v>3230</v>
      </c>
      <c r="AN5" s="6523" t="s">
        <v>3174</v>
      </c>
    </row>
    <row r="6" spans="1:41" s="386" customFormat="1" ht="17.399999999999999">
      <c r="A6" s="6518"/>
      <c r="B6" s="6044"/>
      <c r="C6" s="6044" t="s">
        <v>641</v>
      </c>
      <c r="D6" s="6044" t="s">
        <v>642</v>
      </c>
      <c r="E6" s="6044"/>
      <c r="F6" s="6044"/>
      <c r="G6" s="6044"/>
      <c r="H6" s="6044"/>
      <c r="I6" s="6044"/>
      <c r="J6" s="6044"/>
      <c r="K6" s="6044"/>
      <c r="L6" s="6044"/>
      <c r="M6" s="6044"/>
      <c r="N6" s="6044"/>
      <c r="O6" s="6044"/>
      <c r="P6" s="6464" t="s">
        <v>643</v>
      </c>
      <c r="Q6" s="6464"/>
      <c r="R6" s="6464"/>
      <c r="S6" s="6464"/>
      <c r="T6" s="6464"/>
      <c r="U6" s="6464"/>
      <c r="V6" s="6464"/>
      <c r="W6" s="6464"/>
      <c r="X6" s="6464"/>
      <c r="Y6" s="6464"/>
      <c r="Z6" s="6464"/>
      <c r="AA6" s="6464"/>
      <c r="AB6" s="6464"/>
      <c r="AC6" s="6464"/>
      <c r="AD6" s="6044" t="s">
        <v>755</v>
      </c>
      <c r="AE6" s="6044" t="s">
        <v>174</v>
      </c>
      <c r="AF6" s="6044" t="s">
        <v>175</v>
      </c>
      <c r="AG6" s="6513" t="s">
        <v>176</v>
      </c>
      <c r="AH6" s="6044" t="s">
        <v>644</v>
      </c>
      <c r="AI6" s="6369" t="s">
        <v>645</v>
      </c>
      <c r="AJ6" s="6369"/>
      <c r="AK6" s="6044" t="s">
        <v>766</v>
      </c>
      <c r="AL6" s="6044"/>
      <c r="AM6" s="6511"/>
      <c r="AN6" s="6524"/>
    </row>
    <row r="7" spans="1:41" s="386" customFormat="1" ht="17.399999999999999">
      <c r="A7" s="6518"/>
      <c r="B7" s="6044"/>
      <c r="C7" s="6044"/>
      <c r="D7" s="6044" t="s">
        <v>646</v>
      </c>
      <c r="E7" s="6044" t="s">
        <v>645</v>
      </c>
      <c r="F7" s="6044"/>
      <c r="G7" s="6044"/>
      <c r="H7" s="6044"/>
      <c r="I7" s="6044"/>
      <c r="J7" s="6044"/>
      <c r="K7" s="6044"/>
      <c r="L7" s="6044"/>
      <c r="M7" s="6044"/>
      <c r="N7" s="6044"/>
      <c r="O7" s="6044"/>
      <c r="P7" s="6044" t="s">
        <v>647</v>
      </c>
      <c r="Q7" s="6464" t="s">
        <v>645</v>
      </c>
      <c r="R7" s="6464"/>
      <c r="S7" s="6464"/>
      <c r="T7" s="6464"/>
      <c r="U7" s="6464"/>
      <c r="V7" s="6464"/>
      <c r="W7" s="6464"/>
      <c r="X7" s="6464"/>
      <c r="Y7" s="6464"/>
      <c r="Z7" s="6464"/>
      <c r="AA7" s="6464"/>
      <c r="AB7" s="6464"/>
      <c r="AC7" s="6464"/>
      <c r="AD7" s="6044"/>
      <c r="AE7" s="6044"/>
      <c r="AF7" s="6044"/>
      <c r="AG7" s="6513"/>
      <c r="AH7" s="6044"/>
      <c r="AI7" s="6369"/>
      <c r="AJ7" s="6369"/>
      <c r="AK7" s="6044"/>
      <c r="AL7" s="6044"/>
      <c r="AM7" s="6511"/>
      <c r="AN7" s="6524"/>
    </row>
    <row r="8" spans="1:41" s="386" customFormat="1" ht="18.75" hidden="1" customHeight="1">
      <c r="A8" s="6518"/>
      <c r="B8" s="6044"/>
      <c r="C8" s="6044"/>
      <c r="D8" s="6044"/>
      <c r="E8" s="6323" t="str">
        <f>'[2]Phụ lục số 2'!B10</f>
        <v>Chi đầu tư xây dựng cơ bản</v>
      </c>
      <c r="F8" s="6323" t="str">
        <f>'[2]Phụ lục số 2'!B11</f>
        <v>Chi đầu tư từ nguồn thu tiền sử dụng đất</v>
      </c>
      <c r="G8" s="6514"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23" t="str">
        <f>'[2]Phụ lục số 2'!B12</f>
        <v>Chi đầu tư từ nguồn thu xổ số kiến thiết</v>
      </c>
      <c r="I8" s="6514" t="str">
        <f>+'Phụ lục số 5'!I8:I9</f>
        <v>Trong đó: Ủy thác qua Ngân hàng Chính sách xã hội chi nhánh tỉnh Đồng Tháp (từ nguồn thu sổ số kiến thiết năm 2025)</v>
      </c>
      <c r="J8" s="6323" t="str">
        <f>+'Phụ lục số 5'!J8:J9</f>
        <v>Chi đầu tư từ nguồn thu thoái vốn doanh nghiệp nhà nước địa phương quản lý;…</v>
      </c>
      <c r="K8" s="6323" t="str">
        <f>+'Phụ lục số 5'!K8:K9</f>
        <v xml:space="preserve">Chi đầu tư phát triển khác </v>
      </c>
      <c r="L8" s="430"/>
      <c r="M8" s="430"/>
      <c r="N8" s="430"/>
      <c r="O8" s="430"/>
      <c r="P8" s="6044"/>
      <c r="Q8" s="2239"/>
      <c r="R8" s="2239"/>
      <c r="S8" s="2239"/>
      <c r="T8" s="2239"/>
      <c r="U8" s="2239"/>
      <c r="V8" s="2239"/>
      <c r="W8" s="2239"/>
      <c r="X8" s="2239"/>
      <c r="Y8" s="2239"/>
      <c r="Z8" s="2239"/>
      <c r="AA8" s="2239"/>
      <c r="AB8" s="2239"/>
      <c r="AC8" s="2239"/>
      <c r="AD8" s="6044"/>
      <c r="AE8" s="6044"/>
      <c r="AF8" s="6044"/>
      <c r="AG8" s="6513"/>
      <c r="AH8" s="6044"/>
      <c r="AI8" s="2238"/>
      <c r="AJ8" s="2238"/>
      <c r="AK8" s="6044"/>
      <c r="AL8" s="6044"/>
      <c r="AM8" s="6511"/>
      <c r="AN8" s="6524"/>
    </row>
    <row r="9" spans="1:41" s="431" customFormat="1" ht="211.5" customHeight="1">
      <c r="A9" s="6518"/>
      <c r="B9" s="6044"/>
      <c r="C9" s="6044"/>
      <c r="D9" s="6044"/>
      <c r="E9" s="6334"/>
      <c r="F9" s="6334"/>
      <c r="G9" s="6515"/>
      <c r="H9" s="6334"/>
      <c r="I9" s="6515"/>
      <c r="J9" s="6334"/>
      <c r="K9" s="6334"/>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44"/>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44"/>
      <c r="AE9" s="6044"/>
      <c r="AF9" s="6044"/>
      <c r="AG9" s="6513"/>
      <c r="AH9" s="6044"/>
      <c r="AI9" s="430" t="s">
        <v>649</v>
      </c>
      <c r="AJ9" s="430" t="s">
        <v>650</v>
      </c>
      <c r="AK9" s="6044"/>
      <c r="AL9" s="6044"/>
      <c r="AM9" s="6339"/>
      <c r="AN9" s="6524"/>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N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si="4"/>
        <v>0</v>
      </c>
      <c r="AN11" s="5958">
        <f t="shared" si="4"/>
        <v>0</v>
      </c>
    </row>
    <row r="12" spans="1:41" s="382" customFormat="1">
      <c r="A12" s="606" t="s">
        <v>3</v>
      </c>
      <c r="B12" s="607" t="s">
        <v>653</v>
      </c>
      <c r="C12" s="5954">
        <f>SUM(C13:C43)</f>
        <v>2982510.3296019998</v>
      </c>
      <c r="D12" s="5954">
        <f t="shared" ref="D12:K12" si="5">SUM(D13:D43)</f>
        <v>0</v>
      </c>
      <c r="E12" s="5954">
        <f t="shared" si="5"/>
        <v>0</v>
      </c>
      <c r="F12" s="5954">
        <f t="shared" si="5"/>
        <v>0</v>
      </c>
      <c r="G12" s="5959"/>
      <c r="H12" s="5954">
        <f t="shared" si="5"/>
        <v>0</v>
      </c>
      <c r="I12" s="5959"/>
      <c r="J12" s="5954"/>
      <c r="K12" s="5954">
        <f t="shared" si="5"/>
        <v>0</v>
      </c>
      <c r="L12" s="5954"/>
      <c r="M12" s="5954"/>
      <c r="N12" s="5954"/>
      <c r="O12" s="5954"/>
      <c r="P12" s="5957">
        <f>SUM(P13:P43)</f>
        <v>2857433.3296019998</v>
      </c>
      <c r="Q12" s="5957">
        <f>SUM(Q13:Q43)</f>
        <v>1080741.6000000001</v>
      </c>
      <c r="R12" s="5957">
        <f t="shared" ref="R12:V12" si="6">SUM(R13:R43)</f>
        <v>29624</v>
      </c>
      <c r="S12" s="5957">
        <f t="shared" si="6"/>
        <v>0</v>
      </c>
      <c r="T12" s="5957">
        <f t="shared" si="6"/>
        <v>0</v>
      </c>
      <c r="U12" s="5957">
        <f>SUM(U13:U43)</f>
        <v>624975.74300000002</v>
      </c>
      <c r="V12" s="5957">
        <f t="shared" si="6"/>
        <v>55631</v>
      </c>
      <c r="W12" s="5957">
        <f>SUM(W13:W43)</f>
        <v>22029</v>
      </c>
      <c r="X12" s="5957">
        <f t="shared" ref="X12:AN12" si="7">SUM(X13:X43)</f>
        <v>23615</v>
      </c>
      <c r="Y12" s="5957">
        <f t="shared" si="7"/>
        <v>79089</v>
      </c>
      <c r="Z12" s="5957">
        <f t="shared" si="7"/>
        <v>237940</v>
      </c>
      <c r="AA12" s="5957">
        <f t="shared" si="7"/>
        <v>635714.98660199996</v>
      </c>
      <c r="AB12" s="5957">
        <f>SUM(AB13:AB43)</f>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8">D14+P14+AD14+AE14+AH14+AL14+AF14+AG14+AK14+AN14</f>
        <v>16569</v>
      </c>
      <c r="D14" s="5120">
        <f t="shared" ref="D14:D43" si="9">SUM(E14:O14)</f>
        <v>0</v>
      </c>
      <c r="E14" s="5120"/>
      <c r="F14" s="5120"/>
      <c r="G14" s="5960"/>
      <c r="H14" s="5120"/>
      <c r="I14" s="5960"/>
      <c r="J14" s="5120"/>
      <c r="K14" s="5120"/>
      <c r="L14" s="5120"/>
      <c r="M14" s="5120"/>
      <c r="N14" s="5120"/>
      <c r="O14" s="5120"/>
      <c r="P14" s="5961">
        <f t="shared" ref="P14:P42" si="10">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1">SUM(AI14:AJ14)</f>
        <v>0</v>
      </c>
      <c r="AI14" s="4775">
        <f>+'Phụ lục số 5'!AI14</f>
        <v>0</v>
      </c>
      <c r="AJ14" s="4775">
        <f>+'Phụ lục số 5'!AJ14</f>
        <v>0</v>
      </c>
      <c r="AK14" s="5962"/>
      <c r="AL14" s="328"/>
      <c r="AM14" s="328"/>
      <c r="AN14" s="1656"/>
    </row>
    <row r="15" spans="1:41" s="596" customFormat="1">
      <c r="A15" s="603">
        <v>3</v>
      </c>
      <c r="B15" s="604" t="s">
        <v>656</v>
      </c>
      <c r="C15" s="5120">
        <f t="shared" si="8"/>
        <v>33575</v>
      </c>
      <c r="D15" s="5120">
        <f t="shared" si="9"/>
        <v>0</v>
      </c>
      <c r="E15" s="5120"/>
      <c r="F15" s="5120"/>
      <c r="G15" s="5960"/>
      <c r="H15" s="5120"/>
      <c r="I15" s="5960"/>
      <c r="J15" s="5120"/>
      <c r="K15" s="5120"/>
      <c r="L15" s="5120"/>
      <c r="M15" s="5120"/>
      <c r="N15" s="5120"/>
      <c r="O15" s="5120"/>
      <c r="P15" s="5961">
        <f t="shared" si="10"/>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1"/>
        <v>0</v>
      </c>
      <c r="AI15" s="4775">
        <f>+'Phụ lục số 5'!AI15</f>
        <v>0</v>
      </c>
      <c r="AJ15" s="4775">
        <f>+'Phụ lục số 5'!AJ15</f>
        <v>0</v>
      </c>
      <c r="AK15" s="5962"/>
      <c r="AL15" s="328"/>
      <c r="AM15" s="328"/>
      <c r="AN15" s="1656"/>
    </row>
    <row r="16" spans="1:41" s="596" customFormat="1">
      <c r="A16" s="603">
        <v>4</v>
      </c>
      <c r="B16" s="604" t="s">
        <v>657</v>
      </c>
      <c r="C16" s="5120">
        <f t="shared" si="8"/>
        <v>144887</v>
      </c>
      <c r="D16" s="5120">
        <f t="shared" si="9"/>
        <v>0</v>
      </c>
      <c r="E16" s="5120"/>
      <c r="F16" s="5120"/>
      <c r="G16" s="5960"/>
      <c r="H16" s="5120"/>
      <c r="I16" s="5960"/>
      <c r="J16" s="5120"/>
      <c r="K16" s="5120"/>
      <c r="L16" s="5120"/>
      <c r="M16" s="5120"/>
      <c r="N16" s="5120"/>
      <c r="O16" s="5120"/>
      <c r="P16" s="5961">
        <f t="shared" si="10"/>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1"/>
        <v>39225</v>
      </c>
      <c r="AI16" s="4775">
        <f>+'Phụ lục số 5'!AI16</f>
        <v>0</v>
      </c>
      <c r="AJ16" s="4775">
        <f>+'Phụ lục số 5'!AJ16</f>
        <v>39225</v>
      </c>
      <c r="AK16" s="5962"/>
      <c r="AL16" s="328"/>
      <c r="AM16" s="328"/>
      <c r="AN16" s="1656"/>
      <c r="AO16" s="597"/>
    </row>
    <row r="17" spans="1:40" s="596" customFormat="1">
      <c r="A17" s="603">
        <v>5</v>
      </c>
      <c r="B17" s="604" t="s">
        <v>658</v>
      </c>
      <c r="C17" s="5120">
        <f t="shared" si="8"/>
        <v>16569</v>
      </c>
      <c r="D17" s="5120">
        <f t="shared" si="9"/>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1"/>
        <v>610</v>
      </c>
      <c r="AI17" s="4775">
        <f>+'Phụ lục số 5'!AI17</f>
        <v>0</v>
      </c>
      <c r="AJ17" s="4775">
        <f>+'Phụ lục số 5'!AJ17</f>
        <v>610</v>
      </c>
      <c r="AK17" s="5962"/>
      <c r="AL17" s="328"/>
      <c r="AM17" s="328"/>
      <c r="AN17" s="1656"/>
    </row>
    <row r="18" spans="1:40" s="596" customFormat="1">
      <c r="A18" s="603">
        <v>6</v>
      </c>
      <c r="B18" s="604" t="s">
        <v>659</v>
      </c>
      <c r="C18" s="5120">
        <f t="shared" si="8"/>
        <v>22686</v>
      </c>
      <c r="D18" s="5120">
        <f t="shared" si="9"/>
        <v>0</v>
      </c>
      <c r="E18" s="5120"/>
      <c r="F18" s="5120"/>
      <c r="G18" s="5960"/>
      <c r="H18" s="5120"/>
      <c r="I18" s="5960"/>
      <c r="J18" s="5120"/>
      <c r="K18" s="5120"/>
      <c r="L18" s="5120"/>
      <c r="M18" s="5120"/>
      <c r="N18" s="5120"/>
      <c r="O18" s="5120"/>
      <c r="P18" s="5961">
        <f t="shared" si="10"/>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1"/>
        <v>0</v>
      </c>
      <c r="AI18" s="4775">
        <f>+'Phụ lục số 5'!AI18</f>
        <v>0</v>
      </c>
      <c r="AJ18" s="4775">
        <f>+'Phụ lục số 5'!AJ18</f>
        <v>0</v>
      </c>
      <c r="AK18" s="5962"/>
      <c r="AL18" s="328"/>
      <c r="AM18" s="328"/>
      <c r="AN18" s="1656"/>
    </row>
    <row r="19" spans="1:40" s="596" customFormat="1">
      <c r="A19" s="603">
        <v>7</v>
      </c>
      <c r="B19" s="604" t="s">
        <v>660</v>
      </c>
      <c r="C19" s="5120">
        <f t="shared" si="8"/>
        <v>56355</v>
      </c>
      <c r="D19" s="5120">
        <f t="shared" si="9"/>
        <v>0</v>
      </c>
      <c r="E19" s="5120"/>
      <c r="F19" s="5120"/>
      <c r="G19" s="5960"/>
      <c r="H19" s="5120"/>
      <c r="I19" s="5960"/>
      <c r="J19" s="5120"/>
      <c r="K19" s="5120"/>
      <c r="L19" s="5120"/>
      <c r="M19" s="5120"/>
      <c r="N19" s="5120"/>
      <c r="O19" s="5120"/>
      <c r="P19" s="5961">
        <f t="shared" si="10"/>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1"/>
        <v>0</v>
      </c>
      <c r="AI19" s="4775">
        <f>+'Phụ lục số 5'!AI19</f>
        <v>0</v>
      </c>
      <c r="AJ19" s="4775">
        <f>+'Phụ lục số 5'!AJ19</f>
        <v>0</v>
      </c>
      <c r="AK19" s="5962"/>
      <c r="AL19" s="328"/>
      <c r="AM19" s="328"/>
      <c r="AN19" s="1656"/>
    </row>
    <row r="20" spans="1:40" s="596" customFormat="1">
      <c r="A20" s="603">
        <v>8</v>
      </c>
      <c r="B20" s="604" t="s">
        <v>661</v>
      </c>
      <c r="C20" s="5120">
        <f t="shared" si="8"/>
        <v>10971</v>
      </c>
      <c r="D20" s="5120">
        <f t="shared" si="9"/>
        <v>0</v>
      </c>
      <c r="E20" s="5120"/>
      <c r="F20" s="5120"/>
      <c r="G20" s="5960"/>
      <c r="H20" s="5120"/>
      <c r="I20" s="5960"/>
      <c r="J20" s="5120"/>
      <c r="K20" s="5120"/>
      <c r="L20" s="5120"/>
      <c r="M20" s="5120"/>
      <c r="N20" s="5120"/>
      <c r="O20" s="5120"/>
      <c r="P20" s="5961">
        <f t="shared" si="10"/>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1"/>
        <v>0</v>
      </c>
      <c r="AI20" s="4775">
        <f>+'Phụ lục số 5'!AI20</f>
        <v>0</v>
      </c>
      <c r="AJ20" s="4775">
        <f>+'Phụ lục số 5'!AJ20</f>
        <v>0</v>
      </c>
      <c r="AK20" s="5962"/>
      <c r="AL20" s="328"/>
      <c r="AM20" s="328"/>
      <c r="AN20" s="1656"/>
    </row>
    <row r="21" spans="1:40" s="596" customFormat="1">
      <c r="A21" s="603">
        <v>9</v>
      </c>
      <c r="B21" s="604" t="s">
        <v>662</v>
      </c>
      <c r="C21" s="5120">
        <f t="shared" si="8"/>
        <v>19880</v>
      </c>
      <c r="D21" s="5120">
        <f t="shared" si="9"/>
        <v>0</v>
      </c>
      <c r="E21" s="5120"/>
      <c r="F21" s="5120"/>
      <c r="G21" s="5960"/>
      <c r="H21" s="5120"/>
      <c r="I21" s="5960"/>
      <c r="J21" s="5120"/>
      <c r="K21" s="5120"/>
      <c r="L21" s="5120"/>
      <c r="M21" s="5120"/>
      <c r="N21" s="5120"/>
      <c r="O21" s="5120"/>
      <c r="P21" s="5961">
        <f t="shared" si="10"/>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1"/>
        <v>0</v>
      </c>
      <c r="AI21" s="4775">
        <f>+'Phụ lục số 5'!AI21</f>
        <v>0</v>
      </c>
      <c r="AJ21" s="4775">
        <f>+'Phụ lục số 5'!AJ21</f>
        <v>0</v>
      </c>
      <c r="AK21" s="5962"/>
      <c r="AL21" s="328"/>
      <c r="AM21" s="328"/>
      <c r="AN21" s="1656"/>
    </row>
    <row r="22" spans="1:40" s="596" customFormat="1">
      <c r="A22" s="603">
        <v>10</v>
      </c>
      <c r="B22" s="604" t="s">
        <v>663</v>
      </c>
      <c r="C22" s="5120">
        <f t="shared" si="8"/>
        <v>637637</v>
      </c>
      <c r="D22" s="5120">
        <f t="shared" si="9"/>
        <v>0</v>
      </c>
      <c r="E22" s="5120"/>
      <c r="F22" s="5120"/>
      <c r="G22" s="5960"/>
      <c r="H22" s="5120"/>
      <c r="I22" s="5960"/>
      <c r="J22" s="5120"/>
      <c r="K22" s="5120"/>
      <c r="L22" s="5120"/>
      <c r="M22" s="5120"/>
      <c r="N22" s="5120"/>
      <c r="O22" s="5120"/>
      <c r="P22" s="5961">
        <f t="shared" si="10"/>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1"/>
        <v>0</v>
      </c>
      <c r="AI22" s="4775">
        <f>+'Phụ lục số 5'!AI22</f>
        <v>0</v>
      </c>
      <c r="AJ22" s="4775">
        <f>+'Phụ lục số 5'!AJ22</f>
        <v>0</v>
      </c>
      <c r="AK22" s="5962"/>
      <c r="AL22" s="328"/>
      <c r="AM22" s="328"/>
      <c r="AN22" s="1656"/>
    </row>
    <row r="23" spans="1:40" s="596" customFormat="1">
      <c r="A23" s="603">
        <v>11</v>
      </c>
      <c r="B23" s="604" t="s">
        <v>664</v>
      </c>
      <c r="C23" s="5120">
        <f t="shared" si="8"/>
        <v>22627</v>
      </c>
      <c r="D23" s="5120">
        <f t="shared" si="9"/>
        <v>0</v>
      </c>
      <c r="E23" s="5120"/>
      <c r="F23" s="5120"/>
      <c r="G23" s="5960"/>
      <c r="H23" s="5120"/>
      <c r="I23" s="5960"/>
      <c r="J23" s="5120"/>
      <c r="K23" s="5120"/>
      <c r="L23" s="5120"/>
      <c r="M23" s="5120"/>
      <c r="N23" s="5120"/>
      <c r="O23" s="5120"/>
      <c r="P23" s="5961">
        <f t="shared" si="10"/>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1"/>
        <v>450</v>
      </c>
      <c r="AI23" s="4775">
        <f>+'Phụ lục số 5'!AI23</f>
        <v>0</v>
      </c>
      <c r="AJ23" s="4775">
        <f>+'Phụ lục số 5'!AJ23</f>
        <v>450</v>
      </c>
      <c r="AK23" s="5962"/>
      <c r="AL23" s="328"/>
      <c r="AM23" s="328"/>
      <c r="AN23" s="1656"/>
    </row>
    <row r="24" spans="1:40" s="596" customFormat="1">
      <c r="A24" s="603">
        <v>12</v>
      </c>
      <c r="B24" s="604" t="s">
        <v>665</v>
      </c>
      <c r="C24" s="5120">
        <f t="shared" si="8"/>
        <v>18435</v>
      </c>
      <c r="D24" s="5120">
        <f t="shared" si="9"/>
        <v>0</v>
      </c>
      <c r="E24" s="5120"/>
      <c r="F24" s="5120"/>
      <c r="G24" s="5960"/>
      <c r="H24" s="5120"/>
      <c r="I24" s="5960"/>
      <c r="J24" s="5120"/>
      <c r="K24" s="5120"/>
      <c r="L24" s="5120"/>
      <c r="M24" s="5120"/>
      <c r="N24" s="5120"/>
      <c r="O24" s="5120"/>
      <c r="P24" s="5961">
        <f t="shared" si="10"/>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1"/>
        <v>0</v>
      </c>
      <c r="AI24" s="4775">
        <f>+'Phụ lục số 5'!AI24</f>
        <v>0</v>
      </c>
      <c r="AJ24" s="4775">
        <f>+'Phụ lục số 5'!AJ24</f>
        <v>0</v>
      </c>
      <c r="AK24" s="5962"/>
      <c r="AL24" s="328"/>
      <c r="AM24" s="328"/>
      <c r="AN24" s="1656"/>
    </row>
    <row r="25" spans="1:40" s="596" customFormat="1">
      <c r="A25" s="603">
        <v>13</v>
      </c>
      <c r="B25" s="604" t="s">
        <v>666</v>
      </c>
      <c r="C25" s="5120">
        <f t="shared" si="8"/>
        <v>37082</v>
      </c>
      <c r="D25" s="5120">
        <f t="shared" si="9"/>
        <v>0</v>
      </c>
      <c r="E25" s="5120"/>
      <c r="F25" s="5120"/>
      <c r="G25" s="5960"/>
      <c r="H25" s="5120"/>
      <c r="I25" s="5960"/>
      <c r="J25" s="5120"/>
      <c r="K25" s="5120"/>
      <c r="L25" s="5120"/>
      <c r="M25" s="5120"/>
      <c r="N25" s="5120"/>
      <c r="O25" s="5120"/>
      <c r="P25" s="5961">
        <f t="shared" si="10"/>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1"/>
        <v>500</v>
      </c>
      <c r="AI25" s="4775">
        <f>+'Phụ lục số 5'!AI25</f>
        <v>0</v>
      </c>
      <c r="AJ25" s="4775">
        <f>+'Phụ lục số 5'!AJ25</f>
        <v>500</v>
      </c>
      <c r="AK25" s="5962"/>
      <c r="AL25" s="328"/>
      <c r="AM25" s="328"/>
      <c r="AN25" s="1656"/>
    </row>
    <row r="26" spans="1:40" s="596" customFormat="1">
      <c r="A26" s="603">
        <v>14</v>
      </c>
      <c r="B26" s="604" t="s">
        <v>667</v>
      </c>
      <c r="C26" s="5120">
        <f t="shared" si="8"/>
        <v>834331</v>
      </c>
      <c r="D26" s="5120">
        <f t="shared" si="9"/>
        <v>0</v>
      </c>
      <c r="E26" s="5120"/>
      <c r="F26" s="5120"/>
      <c r="G26" s="5960"/>
      <c r="H26" s="5120"/>
      <c r="I26" s="5960"/>
      <c r="J26" s="5120"/>
      <c r="K26" s="5120"/>
      <c r="L26" s="5120"/>
      <c r="M26" s="5120"/>
      <c r="N26" s="5120"/>
      <c r="O26" s="5120"/>
      <c r="P26" s="5961">
        <f t="shared" si="10"/>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1"/>
        <v>0</v>
      </c>
      <c r="AI26" s="4775">
        <f>+'Phụ lục số 5'!AI26</f>
        <v>0</v>
      </c>
      <c r="AJ26" s="4775">
        <f>+'Phụ lục số 5'!AJ26</f>
        <v>0</v>
      </c>
      <c r="AK26" s="5962"/>
      <c r="AL26" s="328"/>
      <c r="AM26" s="328"/>
      <c r="AN26" s="1656"/>
    </row>
    <row r="27" spans="1:40" s="596" customFormat="1">
      <c r="A27" s="603">
        <v>15</v>
      </c>
      <c r="B27" s="604" t="s">
        <v>668</v>
      </c>
      <c r="C27" s="5120">
        <f t="shared" si="8"/>
        <v>50582</v>
      </c>
      <c r="D27" s="5120">
        <f t="shared" si="9"/>
        <v>0</v>
      </c>
      <c r="E27" s="5120"/>
      <c r="F27" s="5120"/>
      <c r="G27" s="5960"/>
      <c r="H27" s="5120"/>
      <c r="I27" s="5960"/>
      <c r="J27" s="5120"/>
      <c r="K27" s="5120"/>
      <c r="L27" s="5120"/>
      <c r="M27" s="5120"/>
      <c r="N27" s="5120"/>
      <c r="O27" s="5120"/>
      <c r="P27" s="4775">
        <f t="shared" si="10"/>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1"/>
        <v>0</v>
      </c>
      <c r="AI27" s="4775">
        <f>+'Phụ lục số 5'!AI27</f>
        <v>0</v>
      </c>
      <c r="AJ27" s="4775">
        <f>+'Phụ lục số 5'!AJ27</f>
        <v>0</v>
      </c>
      <c r="AK27" s="5962"/>
      <c r="AL27" s="328"/>
      <c r="AM27" s="328"/>
      <c r="AN27" s="1656"/>
    </row>
    <row r="28" spans="1:40" s="596" customFormat="1">
      <c r="A28" s="603">
        <v>16</v>
      </c>
      <c r="B28" s="604" t="s">
        <v>669</v>
      </c>
      <c r="C28" s="5120">
        <f t="shared" si="8"/>
        <v>159789</v>
      </c>
      <c r="D28" s="5120">
        <f t="shared" si="9"/>
        <v>0</v>
      </c>
      <c r="E28" s="5120"/>
      <c r="F28" s="5120"/>
      <c r="G28" s="5960"/>
      <c r="H28" s="5120"/>
      <c r="I28" s="5960"/>
      <c r="J28" s="5120"/>
      <c r="K28" s="5120"/>
      <c r="L28" s="5120"/>
      <c r="M28" s="5120"/>
      <c r="N28" s="5120"/>
      <c r="O28" s="5120"/>
      <c r="P28" s="4775">
        <f t="shared" si="10"/>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1"/>
        <v>0</v>
      </c>
      <c r="AI28" s="4775">
        <f>+'Phụ lục số 5'!AI28</f>
        <v>0</v>
      </c>
      <c r="AJ28" s="4775">
        <f>+'Phụ lục số 5'!AJ28</f>
        <v>0</v>
      </c>
      <c r="AK28" s="5962"/>
      <c r="AL28" s="328"/>
      <c r="AM28" s="328"/>
      <c r="AN28" s="1656"/>
    </row>
    <row r="29" spans="1:40" s="596" customFormat="1">
      <c r="A29" s="603">
        <v>17</v>
      </c>
      <c r="B29" s="604" t="s">
        <v>670</v>
      </c>
      <c r="C29" s="5120">
        <f t="shared" si="8"/>
        <v>58811</v>
      </c>
      <c r="D29" s="5120">
        <f t="shared" si="9"/>
        <v>0</v>
      </c>
      <c r="E29" s="5120"/>
      <c r="F29" s="5120"/>
      <c r="G29" s="5960"/>
      <c r="H29" s="5120"/>
      <c r="I29" s="5960"/>
      <c r="J29" s="5120"/>
      <c r="K29" s="5120"/>
      <c r="L29" s="5120"/>
      <c r="M29" s="5120"/>
      <c r="N29" s="5120"/>
      <c r="O29" s="5120"/>
      <c r="P29" s="4775">
        <f t="shared" si="10"/>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1"/>
        <v>500</v>
      </c>
      <c r="AI29" s="4775">
        <f>+'Phụ lục số 5'!AI29</f>
        <v>0</v>
      </c>
      <c r="AJ29" s="4775">
        <f>+'Phụ lục số 5'!AJ29</f>
        <v>500</v>
      </c>
      <c r="AK29" s="5962"/>
      <c r="AL29" s="328"/>
      <c r="AM29" s="328"/>
      <c r="AN29" s="1656"/>
    </row>
    <row r="30" spans="1:40" s="596" customFormat="1">
      <c r="A30" s="603">
        <v>18</v>
      </c>
      <c r="B30" s="604" t="s">
        <v>671</v>
      </c>
      <c r="C30" s="5120">
        <f t="shared" si="8"/>
        <v>122626</v>
      </c>
      <c r="D30" s="5120">
        <f t="shared" si="9"/>
        <v>0</v>
      </c>
      <c r="E30" s="5120"/>
      <c r="F30" s="5120"/>
      <c r="G30" s="5960"/>
      <c r="H30" s="5120"/>
      <c r="I30" s="5960"/>
      <c r="J30" s="5120"/>
      <c r="K30" s="5120"/>
      <c r="L30" s="5120"/>
      <c r="M30" s="5120"/>
      <c r="N30" s="5120"/>
      <c r="O30" s="5120"/>
      <c r="P30" s="4775">
        <f t="shared" si="10"/>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1"/>
        <v>60404</v>
      </c>
      <c r="AI30" s="4775">
        <f>+'Phụ lục số 5'!AI30</f>
        <v>0</v>
      </c>
      <c r="AJ30" s="4775">
        <f>+'Phụ lục số 5'!AJ30</f>
        <v>60404</v>
      </c>
      <c r="AK30" s="5962"/>
      <c r="AL30" s="328"/>
      <c r="AM30" s="328"/>
      <c r="AN30" s="1656"/>
    </row>
    <row r="31" spans="1:40" s="596" customFormat="1">
      <c r="A31" s="603">
        <v>19</v>
      </c>
      <c r="B31" s="604" t="s">
        <v>672</v>
      </c>
      <c r="C31" s="5120">
        <f t="shared" si="8"/>
        <v>169872</v>
      </c>
      <c r="D31" s="5120">
        <f t="shared" si="9"/>
        <v>0</v>
      </c>
      <c r="E31" s="5120"/>
      <c r="F31" s="5120"/>
      <c r="G31" s="5960"/>
      <c r="H31" s="5120"/>
      <c r="I31" s="5960"/>
      <c r="J31" s="5120"/>
      <c r="K31" s="5120"/>
      <c r="L31" s="5120"/>
      <c r="M31" s="5120"/>
      <c r="N31" s="5120"/>
      <c r="O31" s="5120"/>
      <c r="P31" s="4775">
        <f t="shared" si="10"/>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1"/>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8"/>
        <v>16270</v>
      </c>
      <c r="D32" s="5120">
        <f t="shared" si="9"/>
        <v>0</v>
      </c>
      <c r="E32" s="5120"/>
      <c r="F32" s="5120"/>
      <c r="G32" s="5960"/>
      <c r="H32" s="5120"/>
      <c r="I32" s="5960"/>
      <c r="J32" s="5120"/>
      <c r="K32" s="5120"/>
      <c r="L32" s="5120"/>
      <c r="M32" s="5120"/>
      <c r="N32" s="5120"/>
      <c r="O32" s="5120"/>
      <c r="P32" s="4775">
        <f t="shared" si="10"/>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1"/>
        <v>0</v>
      </c>
      <c r="AI32" s="4775">
        <f>+'Phụ lục số 5'!AI32</f>
        <v>0</v>
      </c>
      <c r="AJ32" s="4775">
        <f>+'Phụ lục số 5'!AJ32</f>
        <v>0</v>
      </c>
      <c r="AK32" s="5962"/>
      <c r="AL32" s="328"/>
      <c r="AM32" s="328"/>
      <c r="AN32" s="1656"/>
    </row>
    <row r="33" spans="1:41" s="596" customFormat="1">
      <c r="A33" s="603">
        <v>21</v>
      </c>
      <c r="B33" s="604" t="s">
        <v>674</v>
      </c>
      <c r="C33" s="5120">
        <f t="shared" si="8"/>
        <v>24710</v>
      </c>
      <c r="D33" s="5120">
        <f t="shared" si="9"/>
        <v>0</v>
      </c>
      <c r="E33" s="5120"/>
      <c r="F33" s="5120"/>
      <c r="G33" s="5960"/>
      <c r="H33" s="5120"/>
      <c r="I33" s="5960"/>
      <c r="J33" s="5120"/>
      <c r="K33" s="5120"/>
      <c r="L33" s="5120"/>
      <c r="M33" s="5120"/>
      <c r="N33" s="5120"/>
      <c r="O33" s="5120"/>
      <c r="P33" s="4775">
        <f t="shared" si="10"/>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1"/>
        <v>0</v>
      </c>
      <c r="AI33" s="4775">
        <f>+'Phụ lục số 5'!AI33</f>
        <v>0</v>
      </c>
      <c r="AJ33" s="4775">
        <f>+'Phụ lục số 5'!AJ33</f>
        <v>0</v>
      </c>
      <c r="AK33" s="5962"/>
      <c r="AL33" s="328"/>
      <c r="AM33" s="328"/>
      <c r="AN33" s="1656"/>
    </row>
    <row r="34" spans="1:41" s="596" customFormat="1">
      <c r="A34" s="603">
        <v>22</v>
      </c>
      <c r="B34" s="604" t="s">
        <v>675</v>
      </c>
      <c r="C34" s="5120">
        <f t="shared" si="8"/>
        <v>32129</v>
      </c>
      <c r="D34" s="5120">
        <f t="shared" si="9"/>
        <v>0</v>
      </c>
      <c r="E34" s="5120"/>
      <c r="F34" s="5120"/>
      <c r="G34" s="5960"/>
      <c r="H34" s="5120"/>
      <c r="I34" s="5960"/>
      <c r="J34" s="5120"/>
      <c r="K34" s="5120"/>
      <c r="L34" s="5120"/>
      <c r="M34" s="5120"/>
      <c r="N34" s="5120"/>
      <c r="O34" s="5120"/>
      <c r="P34" s="4775">
        <f t="shared" si="10"/>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1"/>
        <v>0</v>
      </c>
      <c r="AI34" s="4775">
        <f>+'Phụ lục số 5'!AI34</f>
        <v>0</v>
      </c>
      <c r="AJ34" s="4775">
        <f>+'Phụ lục số 5'!AJ34</f>
        <v>0</v>
      </c>
      <c r="AK34" s="5962"/>
      <c r="AL34" s="328"/>
      <c r="AM34" s="328"/>
      <c r="AN34" s="1656"/>
    </row>
    <row r="35" spans="1:41" s="596" customFormat="1">
      <c r="A35" s="603">
        <v>23</v>
      </c>
      <c r="B35" s="604" t="s">
        <v>676</v>
      </c>
      <c r="C35" s="5120">
        <f t="shared" si="8"/>
        <v>10534</v>
      </c>
      <c r="D35" s="5120">
        <f t="shared" si="9"/>
        <v>0</v>
      </c>
      <c r="E35" s="5120"/>
      <c r="F35" s="5120"/>
      <c r="G35" s="5960"/>
      <c r="H35" s="5120"/>
      <c r="I35" s="5960"/>
      <c r="J35" s="5120"/>
      <c r="K35" s="5120"/>
      <c r="L35" s="5120"/>
      <c r="M35" s="5120"/>
      <c r="N35" s="5120"/>
      <c r="O35" s="5120"/>
      <c r="P35" s="4775">
        <f t="shared" si="10"/>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1"/>
        <v>0</v>
      </c>
      <c r="AI35" s="4775">
        <f>+'Phụ lục số 5'!AI35</f>
        <v>0</v>
      </c>
      <c r="AJ35" s="4775">
        <f>+'Phụ lục số 5'!AJ35</f>
        <v>0</v>
      </c>
      <c r="AK35" s="5962"/>
      <c r="AL35" s="328"/>
      <c r="AM35" s="328"/>
      <c r="AN35" s="1656"/>
    </row>
    <row r="36" spans="1:41" s="596" customFormat="1">
      <c r="A36" s="603">
        <v>24</v>
      </c>
      <c r="B36" s="604" t="s">
        <v>677</v>
      </c>
      <c r="C36" s="5120">
        <f t="shared" si="8"/>
        <v>16765</v>
      </c>
      <c r="D36" s="5120">
        <f t="shared" si="9"/>
        <v>0</v>
      </c>
      <c r="E36" s="5120"/>
      <c r="F36" s="5120"/>
      <c r="G36" s="5960"/>
      <c r="H36" s="5120"/>
      <c r="I36" s="5960"/>
      <c r="J36" s="5120"/>
      <c r="K36" s="5120"/>
      <c r="L36" s="5120"/>
      <c r="M36" s="5120"/>
      <c r="N36" s="5120"/>
      <c r="O36" s="5120"/>
      <c r="P36" s="4775">
        <f t="shared" si="10"/>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1"/>
        <v>0</v>
      </c>
      <c r="AI36" s="4775">
        <f>+'Phụ lục số 5'!AI36</f>
        <v>0</v>
      </c>
      <c r="AJ36" s="4775">
        <f>+'Phụ lục số 5'!AJ36</f>
        <v>0</v>
      </c>
      <c r="AK36" s="5962"/>
      <c r="AL36" s="328"/>
      <c r="AM36" s="328"/>
      <c r="AN36" s="1656"/>
    </row>
    <row r="37" spans="1:41" s="596" customFormat="1">
      <c r="A37" s="603">
        <v>25</v>
      </c>
      <c r="B37" s="604" t="s">
        <v>678</v>
      </c>
      <c r="C37" s="5120">
        <f t="shared" si="8"/>
        <v>13825</v>
      </c>
      <c r="D37" s="5120">
        <f t="shared" si="9"/>
        <v>0</v>
      </c>
      <c r="E37" s="5120"/>
      <c r="F37" s="5120"/>
      <c r="G37" s="5960"/>
      <c r="H37" s="5120"/>
      <c r="I37" s="5960"/>
      <c r="J37" s="5120"/>
      <c r="K37" s="5120"/>
      <c r="L37" s="5120"/>
      <c r="M37" s="5120"/>
      <c r="N37" s="5120"/>
      <c r="O37" s="5120"/>
      <c r="P37" s="4775">
        <f t="shared" si="10"/>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1"/>
        <v>11047</v>
      </c>
      <c r="AI37" s="4775">
        <f>+'Phụ lục số 5'!AI37</f>
        <v>0</v>
      </c>
      <c r="AJ37" s="4775">
        <f>+'Phụ lục số 5'!AJ37</f>
        <v>11047</v>
      </c>
      <c r="AK37" s="5962"/>
      <c r="AL37" s="328"/>
      <c r="AM37" s="328"/>
      <c r="AN37" s="1656"/>
    </row>
    <row r="38" spans="1:41" s="596" customFormat="1" ht="36">
      <c r="A38" s="603">
        <v>26</v>
      </c>
      <c r="B38" s="604" t="s">
        <v>679</v>
      </c>
      <c r="C38" s="5120">
        <f t="shared" si="8"/>
        <v>38522</v>
      </c>
      <c r="D38" s="5120">
        <f t="shared" si="9"/>
        <v>0</v>
      </c>
      <c r="E38" s="5120"/>
      <c r="F38" s="5120"/>
      <c r="G38" s="5960"/>
      <c r="H38" s="5120"/>
      <c r="I38" s="5960"/>
      <c r="J38" s="5120"/>
      <c r="K38" s="5120"/>
      <c r="L38" s="5120"/>
      <c r="M38" s="5120"/>
      <c r="N38" s="5120"/>
      <c r="O38" s="5120"/>
      <c r="P38" s="4775">
        <f t="shared" si="10"/>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1"/>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8"/>
        <v>0</v>
      </c>
      <c r="D39" s="5120"/>
      <c r="E39" s="5120"/>
      <c r="F39" s="5120"/>
      <c r="G39" s="5960"/>
      <c r="H39" s="5120"/>
      <c r="I39" s="5960"/>
      <c r="J39" s="5120"/>
      <c r="K39" s="5120"/>
      <c r="L39" s="5120"/>
      <c r="M39" s="5120"/>
      <c r="N39" s="5120"/>
      <c r="O39" s="5120"/>
      <c r="P39" s="4775">
        <f t="shared" si="10"/>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8"/>
        <v>0</v>
      </c>
      <c r="D40" s="5120"/>
      <c r="E40" s="5120"/>
      <c r="F40" s="5120"/>
      <c r="G40" s="5960"/>
      <c r="H40" s="5120"/>
      <c r="I40" s="5960"/>
      <c r="J40" s="5120"/>
      <c r="K40" s="5120"/>
      <c r="L40" s="5120"/>
      <c r="M40" s="5120"/>
      <c r="N40" s="5120"/>
      <c r="O40" s="5120"/>
      <c r="P40" s="4775">
        <f t="shared" si="10"/>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8"/>
        <v>22478</v>
      </c>
      <c r="D41" s="5120">
        <f t="shared" si="9"/>
        <v>0</v>
      </c>
      <c r="E41" s="5120"/>
      <c r="F41" s="5120"/>
      <c r="G41" s="5960"/>
      <c r="H41" s="5120"/>
      <c r="I41" s="5960"/>
      <c r="J41" s="5120"/>
      <c r="K41" s="5120"/>
      <c r="L41" s="5120"/>
      <c r="M41" s="5120"/>
      <c r="N41" s="5120"/>
      <c r="O41" s="5120"/>
      <c r="P41" s="4775">
        <f t="shared" si="10"/>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1"/>
        <v>0</v>
      </c>
      <c r="AI41" s="4775">
        <f>+'Phụ lục số 5'!AI41</f>
        <v>0</v>
      </c>
      <c r="AJ41" s="4775">
        <f>+'Phụ lục số 5'!AJ41</f>
        <v>0</v>
      </c>
      <c r="AK41" s="5962"/>
      <c r="AL41" s="328"/>
      <c r="AM41" s="328"/>
      <c r="AN41" s="1656"/>
    </row>
    <row r="42" spans="1:41" s="596" customFormat="1">
      <c r="A42" s="603">
        <v>28</v>
      </c>
      <c r="B42" s="604" t="s">
        <v>681</v>
      </c>
      <c r="C42" s="5120">
        <f t="shared" si="8"/>
        <v>28621</v>
      </c>
      <c r="D42" s="5120">
        <f t="shared" si="9"/>
        <v>0</v>
      </c>
      <c r="E42" s="5120"/>
      <c r="F42" s="5120"/>
      <c r="G42" s="5960"/>
      <c r="H42" s="5120"/>
      <c r="I42" s="5960"/>
      <c r="J42" s="5120"/>
      <c r="K42" s="5120"/>
      <c r="L42" s="5120"/>
      <c r="M42" s="5120"/>
      <c r="N42" s="5120"/>
      <c r="O42" s="5120"/>
      <c r="P42" s="4775">
        <f t="shared" si="10"/>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1"/>
        <v>0</v>
      </c>
      <c r="AI42" s="4775">
        <f>+'Phụ lục số 5'!AI42</f>
        <v>0</v>
      </c>
      <c r="AJ42" s="4775">
        <f>+'Phụ lục số 5'!AJ42</f>
        <v>0</v>
      </c>
      <c r="AK42" s="5962"/>
      <c r="AL42" s="328"/>
      <c r="AM42" s="328"/>
      <c r="AN42" s="1656"/>
    </row>
    <row r="43" spans="1:41" s="596" customFormat="1" hidden="1">
      <c r="A43" s="603">
        <v>29</v>
      </c>
      <c r="B43" s="604"/>
      <c r="C43" s="5120">
        <f t="shared" si="8"/>
        <v>0</v>
      </c>
      <c r="D43" s="5120">
        <f t="shared" si="9"/>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1"/>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2">SUM(D45,D51)</f>
        <v>0</v>
      </c>
      <c r="E44" s="5966">
        <f t="shared" si="12"/>
        <v>0</v>
      </c>
      <c r="F44" s="5966">
        <f t="shared" si="12"/>
        <v>0</v>
      </c>
      <c r="G44" s="5967"/>
      <c r="H44" s="5966">
        <f t="shared" si="12"/>
        <v>0</v>
      </c>
      <c r="I44" s="5967"/>
      <c r="J44" s="5966"/>
      <c r="K44" s="5966">
        <f t="shared" si="12"/>
        <v>0</v>
      </c>
      <c r="L44" s="5966"/>
      <c r="M44" s="5966"/>
      <c r="N44" s="5966"/>
      <c r="O44" s="5966"/>
      <c r="P44" s="5966">
        <f>SUM(P45,P51)</f>
        <v>67277</v>
      </c>
      <c r="Q44" s="5966">
        <f t="shared" ref="Q44:AJ44" si="13">SUM(Q45,Q51)</f>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21"/>
      <c r="H45" s="1658">
        <f t="shared" si="14"/>
        <v>0</v>
      </c>
      <c r="I45" s="5121"/>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20">
        <f t="shared" ref="C46:C79" si="16">D46+P46+AD46+AE46+AH46+AL46+AF46+AG46+AK46+AN46</f>
        <v>10828</v>
      </c>
      <c r="D46" s="5120">
        <f t="shared" ref="D46:D56" si="17">SUM(E46:O46)</f>
        <v>0</v>
      </c>
      <c r="E46" s="5962"/>
      <c r="F46" s="5962"/>
      <c r="G46" s="5123"/>
      <c r="H46" s="5962"/>
      <c r="I46" s="5123"/>
      <c r="J46" s="5962"/>
      <c r="K46" s="5962"/>
      <c r="L46" s="5962"/>
      <c r="M46" s="5962"/>
      <c r="N46" s="5962"/>
      <c r="O46" s="5962"/>
      <c r="P46" s="4775">
        <f t="shared" ref="P46:P56" si="18">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6"/>
        <v>9018</v>
      </c>
      <c r="D47" s="5120">
        <f t="shared" si="17"/>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19">SUM(AI47:AJ47)</f>
        <v>0</v>
      </c>
      <c r="AI47" s="5962">
        <f>+'Phụ lục số 5'!AI53</f>
        <v>0</v>
      </c>
      <c r="AJ47" s="5962">
        <f>+'Phụ lục số 5'!AJ53</f>
        <v>0</v>
      </c>
      <c r="AK47" s="5962"/>
      <c r="AL47" s="328"/>
      <c r="AM47" s="328"/>
      <c r="AN47" s="1656"/>
    </row>
    <row r="48" spans="1:41" s="596" customFormat="1">
      <c r="A48" s="603">
        <f>A47+1</f>
        <v>31</v>
      </c>
      <c r="B48" s="604" t="s">
        <v>687</v>
      </c>
      <c r="C48" s="5120">
        <f t="shared" si="16"/>
        <v>8117</v>
      </c>
      <c r="D48" s="5120">
        <f t="shared" si="17"/>
        <v>0</v>
      </c>
      <c r="E48" s="5962"/>
      <c r="F48" s="5962"/>
      <c r="G48" s="5123"/>
      <c r="H48" s="5962"/>
      <c r="I48" s="5123"/>
      <c r="J48" s="5962"/>
      <c r="K48" s="5962"/>
      <c r="L48" s="5962"/>
      <c r="M48" s="5962"/>
      <c r="N48" s="5962"/>
      <c r="O48" s="5962"/>
      <c r="P48" s="4775">
        <f t="shared" si="18"/>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19"/>
        <v>0</v>
      </c>
      <c r="AI48" s="5962">
        <f>+'Phụ lục số 5'!AI54</f>
        <v>0</v>
      </c>
      <c r="AJ48" s="5962">
        <f>+'Phụ lục số 5'!AJ54</f>
        <v>0</v>
      </c>
      <c r="AK48" s="5962"/>
      <c r="AL48" s="328"/>
      <c r="AM48" s="328"/>
      <c r="AN48" s="1656"/>
    </row>
    <row r="49" spans="1:43" s="596" customFormat="1">
      <c r="A49" s="603">
        <f>A48+1</f>
        <v>32</v>
      </c>
      <c r="B49" s="604" t="s">
        <v>688</v>
      </c>
      <c r="C49" s="5120">
        <f t="shared" si="16"/>
        <v>6426</v>
      </c>
      <c r="D49" s="5120">
        <f t="shared" si="17"/>
        <v>0</v>
      </c>
      <c r="E49" s="5962"/>
      <c r="F49" s="5962"/>
      <c r="G49" s="5123"/>
      <c r="H49" s="5962"/>
      <c r="I49" s="5123"/>
      <c r="J49" s="5962"/>
      <c r="K49" s="5962"/>
      <c r="L49" s="5962"/>
      <c r="M49" s="5962"/>
      <c r="N49" s="5962"/>
      <c r="O49" s="5962"/>
      <c r="P49" s="4775">
        <f t="shared" si="18"/>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19"/>
        <v>0</v>
      </c>
      <c r="AI49" s="5962">
        <f>+'Phụ lục số 5'!AI55</f>
        <v>0</v>
      </c>
      <c r="AJ49" s="5962">
        <f>+'Phụ lục số 5'!AJ49</f>
        <v>0</v>
      </c>
      <c r="AK49" s="5962"/>
      <c r="AL49" s="328"/>
      <c r="AM49" s="328"/>
      <c r="AN49" s="1656"/>
    </row>
    <row r="50" spans="1:43" s="596" customFormat="1">
      <c r="A50" s="603">
        <f>A49+1</f>
        <v>33</v>
      </c>
      <c r="B50" s="604" t="s">
        <v>689</v>
      </c>
      <c r="C50" s="5120">
        <f t="shared" si="16"/>
        <v>3796</v>
      </c>
      <c r="D50" s="5120">
        <f t="shared" si="17"/>
        <v>0</v>
      </c>
      <c r="E50" s="5962"/>
      <c r="F50" s="5962"/>
      <c r="G50" s="5123"/>
      <c r="H50" s="5962"/>
      <c r="I50" s="5123"/>
      <c r="J50" s="5962"/>
      <c r="K50" s="5962"/>
      <c r="L50" s="5962"/>
      <c r="M50" s="5962"/>
      <c r="N50" s="5962"/>
      <c r="O50" s="5962"/>
      <c r="P50" s="4775">
        <f t="shared" si="18"/>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19"/>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0">SUM(D52:D58)</f>
        <v>0</v>
      </c>
      <c r="E51" s="1658">
        <f t="shared" si="20"/>
        <v>0</v>
      </c>
      <c r="F51" s="1658">
        <f t="shared" si="20"/>
        <v>0</v>
      </c>
      <c r="G51" s="5121"/>
      <c r="H51" s="1658">
        <f t="shared" si="20"/>
        <v>0</v>
      </c>
      <c r="I51" s="5121"/>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20">
        <f t="shared" si="16"/>
        <v>5327</v>
      </c>
      <c r="D52" s="5120">
        <f t="shared" si="17"/>
        <v>0</v>
      </c>
      <c r="E52" s="328"/>
      <c r="F52" s="328"/>
      <c r="G52" s="5122"/>
      <c r="H52" s="328"/>
      <c r="I52" s="5122"/>
      <c r="J52" s="328"/>
      <c r="K52" s="328"/>
      <c r="L52" s="328"/>
      <c r="M52" s="328"/>
      <c r="N52" s="328"/>
      <c r="O52" s="328"/>
      <c r="P52" s="4775">
        <f t="shared" si="18"/>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6"/>
        <v>4627</v>
      </c>
      <c r="D53" s="5120">
        <f t="shared" si="17"/>
        <v>0</v>
      </c>
      <c r="E53" s="328"/>
      <c r="F53" s="328"/>
      <c r="G53" s="5122"/>
      <c r="H53" s="328"/>
      <c r="I53" s="5122"/>
      <c r="J53" s="328"/>
      <c r="K53" s="328"/>
      <c r="L53" s="328"/>
      <c r="M53" s="328"/>
      <c r="N53" s="328"/>
      <c r="O53" s="328"/>
      <c r="P53" s="4775">
        <f t="shared" si="18"/>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2">SUM(AI53:AJ53)</f>
        <v>0</v>
      </c>
      <c r="AI53" s="5962">
        <f>+'Phụ lục số 5'!AI53</f>
        <v>0</v>
      </c>
      <c r="AJ53" s="5962">
        <f>+'Phụ lục số 5'!AJ53</f>
        <v>0</v>
      </c>
      <c r="AK53" s="328"/>
      <c r="AL53" s="328"/>
      <c r="AM53" s="328"/>
      <c r="AN53" s="1656"/>
    </row>
    <row r="54" spans="1:43" s="596" customFormat="1">
      <c r="A54" s="603">
        <v>37</v>
      </c>
      <c r="B54" s="604" t="s">
        <v>694</v>
      </c>
      <c r="C54" s="5120">
        <f t="shared" si="16"/>
        <v>3820</v>
      </c>
      <c r="D54" s="5120">
        <f t="shared" si="17"/>
        <v>0</v>
      </c>
      <c r="E54" s="328"/>
      <c r="F54" s="328"/>
      <c r="G54" s="5122"/>
      <c r="H54" s="328"/>
      <c r="I54" s="5122"/>
      <c r="J54" s="328"/>
      <c r="K54" s="328"/>
      <c r="L54" s="328"/>
      <c r="M54" s="328"/>
      <c r="N54" s="328"/>
      <c r="O54" s="328"/>
      <c r="P54" s="4775">
        <f t="shared" si="18"/>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2"/>
        <v>0</v>
      </c>
      <c r="AI54" s="5962">
        <f>+'Phụ lục số 5'!AI54</f>
        <v>0</v>
      </c>
      <c r="AJ54" s="5962">
        <f>+'Phụ lục số 5'!AJ54</f>
        <v>0</v>
      </c>
      <c r="AK54" s="328"/>
      <c r="AL54" s="328"/>
      <c r="AM54" s="328"/>
      <c r="AN54" s="1656"/>
    </row>
    <row r="55" spans="1:43" s="596" customFormat="1">
      <c r="A55" s="603">
        <v>38</v>
      </c>
      <c r="B55" s="604" t="s">
        <v>695</v>
      </c>
      <c r="C55" s="5120">
        <f t="shared" si="16"/>
        <v>8003</v>
      </c>
      <c r="D55" s="5120">
        <f t="shared" si="17"/>
        <v>0</v>
      </c>
      <c r="E55" s="328"/>
      <c r="F55" s="328"/>
      <c r="G55" s="5122"/>
      <c r="H55" s="328"/>
      <c r="I55" s="5122"/>
      <c r="J55" s="328"/>
      <c r="K55" s="328"/>
      <c r="L55" s="328"/>
      <c r="M55" s="328"/>
      <c r="N55" s="328"/>
      <c r="O55" s="328"/>
      <c r="P55" s="4775">
        <f t="shared" si="18"/>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2"/>
        <v>500</v>
      </c>
      <c r="AI55" s="5962">
        <f>+'Phụ lục số 5'!AI55</f>
        <v>0</v>
      </c>
      <c r="AJ55" s="5962">
        <f>+'Phụ lục số 5'!AJ55</f>
        <v>500</v>
      </c>
      <c r="AK55" s="328"/>
      <c r="AL55" s="328"/>
      <c r="AM55" s="328"/>
      <c r="AN55" s="1656"/>
    </row>
    <row r="56" spans="1:43" s="596" customFormat="1">
      <c r="A56" s="603">
        <v>39</v>
      </c>
      <c r="B56" s="604" t="s">
        <v>696</v>
      </c>
      <c r="C56" s="5120">
        <f t="shared" si="16"/>
        <v>7815</v>
      </c>
      <c r="D56" s="5120">
        <f t="shared" si="17"/>
        <v>0</v>
      </c>
      <c r="E56" s="328"/>
      <c r="F56" s="328"/>
      <c r="G56" s="5122"/>
      <c r="H56" s="328"/>
      <c r="I56" s="5122"/>
      <c r="J56" s="328"/>
      <c r="K56" s="328"/>
      <c r="L56" s="328"/>
      <c r="M56" s="328"/>
      <c r="N56" s="328"/>
      <c r="O56" s="328"/>
      <c r="P56" s="4775">
        <f t="shared" si="18"/>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2"/>
        <v>0</v>
      </c>
      <c r="AI56" s="5962">
        <f>+'Phụ lục số 5'!AI56</f>
        <v>0</v>
      </c>
      <c r="AJ56" s="5962">
        <f>+'Phụ lục số 5'!AJ56</f>
        <v>0</v>
      </c>
      <c r="AK56" s="328"/>
      <c r="AL56" s="328"/>
      <c r="AM56" s="328"/>
      <c r="AN56" s="1656"/>
    </row>
    <row r="57" spans="1:43" s="596" customFormat="1">
      <c r="A57" s="603">
        <v>40</v>
      </c>
      <c r="B57" s="604" t="s">
        <v>697</v>
      </c>
      <c r="C57" s="5120">
        <f t="shared" si="16"/>
        <v>0</v>
      </c>
      <c r="D57" s="328">
        <f t="shared" ref="D57:D112" si="23">SUM(E57:K57)</f>
        <v>0</v>
      </c>
      <c r="E57" s="328"/>
      <c r="F57" s="328"/>
      <c r="G57" s="5122"/>
      <c r="H57" s="328"/>
      <c r="I57" s="5122"/>
      <c r="J57" s="328"/>
      <c r="K57" s="328"/>
      <c r="L57" s="328"/>
      <c r="M57" s="328"/>
      <c r="N57" s="328"/>
      <c r="O57" s="328"/>
      <c r="P57" s="5962">
        <f t="shared" ref="P57:P58" si="24">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2"/>
        <v>0</v>
      </c>
      <c r="AI57" s="5962">
        <f>+'Phụ lục số 5'!AI57</f>
        <v>0</v>
      </c>
      <c r="AJ57" s="5962">
        <f>+'Phụ lục số 5'!AJ57</f>
        <v>0</v>
      </c>
      <c r="AK57" s="328"/>
      <c r="AL57" s="328"/>
      <c r="AM57" s="328"/>
      <c r="AN57" s="1656"/>
    </row>
    <row r="58" spans="1:43" s="596" customFormat="1">
      <c r="A58" s="603">
        <v>41</v>
      </c>
      <c r="B58" s="604" t="s">
        <v>698</v>
      </c>
      <c r="C58" s="5120">
        <f t="shared" si="16"/>
        <v>0</v>
      </c>
      <c r="D58" s="328">
        <f t="shared" si="23"/>
        <v>0</v>
      </c>
      <c r="E58" s="328"/>
      <c r="F58" s="328"/>
      <c r="G58" s="5122"/>
      <c r="H58" s="328"/>
      <c r="I58" s="5122"/>
      <c r="J58" s="328"/>
      <c r="K58" s="328"/>
      <c r="L58" s="328"/>
      <c r="M58" s="328"/>
      <c r="N58" s="328"/>
      <c r="O58" s="328"/>
      <c r="P58" s="5962">
        <f t="shared" si="24"/>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2"/>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5">SUM(D60:D62)</f>
        <v>0</v>
      </c>
      <c r="E59" s="5966">
        <f t="shared" si="25"/>
        <v>0</v>
      </c>
      <c r="F59" s="5966">
        <f t="shared" si="25"/>
        <v>0</v>
      </c>
      <c r="G59" s="5967"/>
      <c r="H59" s="5966">
        <f t="shared" si="25"/>
        <v>0</v>
      </c>
      <c r="I59" s="5967"/>
      <c r="J59" s="5966"/>
      <c r="K59" s="5966">
        <f t="shared" si="25"/>
        <v>0</v>
      </c>
      <c r="L59" s="5966"/>
      <c r="M59" s="5966"/>
      <c r="N59" s="5966"/>
      <c r="O59" s="5966"/>
      <c r="P59" s="5966">
        <f>SUM(P60:P62)</f>
        <v>160670</v>
      </c>
      <c r="Q59" s="5966">
        <f t="shared" ref="Q59:AJ59" si="26">SUM(Q60:Q62)</f>
        <v>6070</v>
      </c>
      <c r="R59" s="5966">
        <f t="shared" si="26"/>
        <v>0</v>
      </c>
      <c r="S59" s="5966">
        <f t="shared" si="26"/>
        <v>150000</v>
      </c>
      <c r="T59" s="5966">
        <f t="shared" si="26"/>
        <v>0</v>
      </c>
      <c r="U59" s="5966">
        <f t="shared" si="26"/>
        <v>4300</v>
      </c>
      <c r="V59" s="5966">
        <f t="shared" si="26"/>
        <v>0</v>
      </c>
      <c r="W59" s="5966">
        <f t="shared" si="26"/>
        <v>0</v>
      </c>
      <c r="X59" s="5966">
        <f t="shared" si="26"/>
        <v>0</v>
      </c>
      <c r="Y59" s="5966">
        <f t="shared" si="26"/>
        <v>300</v>
      </c>
      <c r="Z59" s="5966">
        <f t="shared" si="26"/>
        <v>0</v>
      </c>
      <c r="AA59" s="5966">
        <f t="shared" si="26"/>
        <v>0</v>
      </c>
      <c r="AB59" s="5966">
        <f t="shared" si="26"/>
        <v>0</v>
      </c>
      <c r="AC59" s="5966">
        <f t="shared" si="26"/>
        <v>0</v>
      </c>
      <c r="AD59" s="5966">
        <f t="shared" si="26"/>
        <v>0</v>
      </c>
      <c r="AE59" s="5966">
        <f t="shared" si="26"/>
        <v>0</v>
      </c>
      <c r="AF59" s="5966">
        <f t="shared" si="26"/>
        <v>0</v>
      </c>
      <c r="AG59" s="5966">
        <f t="shared" si="26"/>
        <v>0</v>
      </c>
      <c r="AH59" s="5966">
        <f t="shared" si="26"/>
        <v>0</v>
      </c>
      <c r="AI59" s="5966">
        <f t="shared" si="26"/>
        <v>0</v>
      </c>
      <c r="AJ59" s="5966">
        <f t="shared" si="26"/>
        <v>0</v>
      </c>
      <c r="AK59" s="5966"/>
      <c r="AL59" s="329"/>
      <c r="AM59" s="329"/>
      <c r="AN59" s="1657"/>
    </row>
    <row r="60" spans="1:43" s="596" customFormat="1">
      <c r="A60" s="603">
        <v>42</v>
      </c>
      <c r="B60" s="604" t="s">
        <v>700</v>
      </c>
      <c r="C60" s="5120">
        <f t="shared" si="16"/>
        <v>51300</v>
      </c>
      <c r="D60" s="5120">
        <f t="shared" ref="D60:D77" si="27">SUM(E60:O60)</f>
        <v>0</v>
      </c>
      <c r="E60" s="328"/>
      <c r="F60" s="328"/>
      <c r="G60" s="5122"/>
      <c r="H60" s="328"/>
      <c r="I60" s="5122"/>
      <c r="J60" s="328"/>
      <c r="K60" s="328"/>
      <c r="L60" s="328"/>
      <c r="M60" s="328"/>
      <c r="N60" s="328"/>
      <c r="O60" s="328"/>
      <c r="P60" s="4775">
        <f t="shared" ref="P60:P79" si="28">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6"/>
        <v>92870</v>
      </c>
      <c r="D61" s="5120">
        <f t="shared" si="27"/>
        <v>0</v>
      </c>
      <c r="E61" s="328"/>
      <c r="F61" s="328"/>
      <c r="G61" s="5122"/>
      <c r="H61" s="328"/>
      <c r="I61" s="5122"/>
      <c r="J61" s="328"/>
      <c r="K61" s="328"/>
      <c r="L61" s="328"/>
      <c r="M61" s="328"/>
      <c r="N61" s="328"/>
      <c r="O61" s="328"/>
      <c r="P61" s="4775">
        <f t="shared" si="28"/>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29">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6"/>
        <v>16500</v>
      </c>
      <c r="D62" s="5120">
        <f t="shared" si="27"/>
        <v>0</v>
      </c>
      <c r="E62" s="328"/>
      <c r="F62" s="328"/>
      <c r="G62" s="5122"/>
      <c r="H62" s="328"/>
      <c r="I62" s="5122"/>
      <c r="J62" s="328"/>
      <c r="K62" s="328"/>
      <c r="L62" s="328"/>
      <c r="M62" s="328"/>
      <c r="N62" s="328"/>
      <c r="O62" s="328"/>
      <c r="P62" s="4775">
        <f t="shared" si="28"/>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29"/>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0">SUM(D64:D77)</f>
        <v>0</v>
      </c>
      <c r="E63" s="5966">
        <f t="shared" si="30"/>
        <v>0</v>
      </c>
      <c r="F63" s="5966">
        <f t="shared" si="30"/>
        <v>0</v>
      </c>
      <c r="G63" s="5967"/>
      <c r="H63" s="5966">
        <f t="shared" si="30"/>
        <v>0</v>
      </c>
      <c r="I63" s="5967"/>
      <c r="J63" s="5966"/>
      <c r="K63" s="5966">
        <f t="shared" si="30"/>
        <v>0</v>
      </c>
      <c r="L63" s="5966"/>
      <c r="M63" s="5966"/>
      <c r="N63" s="5966"/>
      <c r="O63" s="5966">
        <f t="shared" si="30"/>
        <v>0</v>
      </c>
      <c r="P63" s="5966">
        <f>SUM(P64:P79)</f>
        <v>383595.2</v>
      </c>
      <c r="Q63" s="5966">
        <f t="shared" ref="Q63:AM63" si="31">SUM(Q64:Q79)</f>
        <v>0</v>
      </c>
      <c r="R63" s="5966">
        <f t="shared" si="31"/>
        <v>0</v>
      </c>
      <c r="S63" s="5966">
        <f t="shared" si="31"/>
        <v>0</v>
      </c>
      <c r="T63" s="5966">
        <f t="shared" si="31"/>
        <v>0</v>
      </c>
      <c r="U63" s="5966">
        <f t="shared" si="31"/>
        <v>367885</v>
      </c>
      <c r="V63" s="5966">
        <f t="shared" si="31"/>
        <v>0</v>
      </c>
      <c r="W63" s="5966">
        <f t="shared" si="31"/>
        <v>9765</v>
      </c>
      <c r="X63" s="5966">
        <f t="shared" si="31"/>
        <v>0</v>
      </c>
      <c r="Y63" s="5966">
        <f t="shared" si="31"/>
        <v>0</v>
      </c>
      <c r="Z63" s="5966">
        <f t="shared" si="31"/>
        <v>0</v>
      </c>
      <c r="AA63" s="5966">
        <f t="shared" si="31"/>
        <v>0</v>
      </c>
      <c r="AB63" s="5966">
        <f t="shared" si="31"/>
        <v>0</v>
      </c>
      <c r="AC63" s="5966">
        <f t="shared" si="31"/>
        <v>5945.2</v>
      </c>
      <c r="AD63" s="5966">
        <f t="shared" si="31"/>
        <v>0</v>
      </c>
      <c r="AE63" s="5966">
        <f t="shared" si="31"/>
        <v>0</v>
      </c>
      <c r="AF63" s="5966">
        <f t="shared" si="31"/>
        <v>0</v>
      </c>
      <c r="AG63" s="5966">
        <f t="shared" si="31"/>
        <v>0</v>
      </c>
      <c r="AH63" s="5966">
        <f t="shared" si="31"/>
        <v>114476</v>
      </c>
      <c r="AI63" s="5966">
        <f t="shared" si="31"/>
        <v>0</v>
      </c>
      <c r="AJ63" s="5966">
        <f t="shared" si="31"/>
        <v>114476</v>
      </c>
      <c r="AK63" s="5966">
        <f t="shared" si="31"/>
        <v>0</v>
      </c>
      <c r="AL63" s="5966">
        <f t="shared" si="31"/>
        <v>0</v>
      </c>
      <c r="AM63" s="5966">
        <f t="shared" si="31"/>
        <v>0</v>
      </c>
      <c r="AN63" s="1657"/>
    </row>
    <row r="64" spans="1:43" s="596" customFormat="1">
      <c r="A64" s="603">
        <v>45</v>
      </c>
      <c r="B64" s="604" t="s">
        <v>704</v>
      </c>
      <c r="C64" s="5120">
        <f t="shared" si="16"/>
        <v>482201</v>
      </c>
      <c r="D64" s="5120">
        <f t="shared" si="27"/>
        <v>0</v>
      </c>
      <c r="E64" s="328"/>
      <c r="F64" s="328"/>
      <c r="G64" s="5122"/>
      <c r="H64" s="328"/>
      <c r="I64" s="5122"/>
      <c r="J64" s="328"/>
      <c r="K64" s="328"/>
      <c r="L64" s="328"/>
      <c r="M64" s="328"/>
      <c r="N64" s="328"/>
      <c r="O64" s="328"/>
      <c r="P64" s="4775">
        <f t="shared" si="28"/>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6"/>
        <v>0</v>
      </c>
      <c r="D65" s="5120">
        <f t="shared" si="27"/>
        <v>0</v>
      </c>
      <c r="E65" s="328"/>
      <c r="F65" s="328"/>
      <c r="G65" s="5122"/>
      <c r="H65" s="328"/>
      <c r="I65" s="5122"/>
      <c r="J65" s="328"/>
      <c r="K65" s="328"/>
      <c r="L65" s="328"/>
      <c r="M65" s="328"/>
      <c r="N65" s="328"/>
      <c r="O65" s="328"/>
      <c r="P65" s="4775">
        <f t="shared" si="28"/>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6"/>
        <v>1625</v>
      </c>
      <c r="D66" s="5120">
        <f t="shared" si="27"/>
        <v>0</v>
      </c>
      <c r="E66" s="328"/>
      <c r="F66" s="328"/>
      <c r="G66" s="5122"/>
      <c r="H66" s="328"/>
      <c r="I66" s="5122"/>
      <c r="J66" s="328"/>
      <c r="K66" s="328"/>
      <c r="L66" s="328"/>
      <c r="M66" s="328"/>
      <c r="N66" s="328"/>
      <c r="O66" s="328"/>
      <c r="P66" s="4775">
        <f t="shared" si="28"/>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2">SUM(AI66:AJ66)</f>
        <v>160</v>
      </c>
      <c r="AI66" s="5962">
        <f>'Phụ lục số 5'!AI66</f>
        <v>0</v>
      </c>
      <c r="AJ66" s="5962">
        <f>'Phụ lục số 5'!AJ66</f>
        <v>160</v>
      </c>
      <c r="AK66" s="328"/>
      <c r="AL66" s="328"/>
      <c r="AM66" s="328"/>
      <c r="AN66" s="1656"/>
    </row>
    <row r="67" spans="1:40" s="596" customFormat="1">
      <c r="A67" s="603">
        <v>48</v>
      </c>
      <c r="B67" s="610" t="s">
        <v>707</v>
      </c>
      <c r="C67" s="5120">
        <f t="shared" si="16"/>
        <v>610</v>
      </c>
      <c r="D67" s="5120">
        <f t="shared" si="27"/>
        <v>0</v>
      </c>
      <c r="E67" s="328"/>
      <c r="F67" s="328"/>
      <c r="G67" s="5122"/>
      <c r="H67" s="328"/>
      <c r="I67" s="5122"/>
      <c r="J67" s="328"/>
      <c r="K67" s="328"/>
      <c r="L67" s="328"/>
      <c r="M67" s="328"/>
      <c r="N67" s="328"/>
      <c r="O67" s="328"/>
      <c r="P67" s="4775">
        <f t="shared" si="28"/>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2"/>
        <v>0</v>
      </c>
      <c r="AI67" s="5962">
        <f>'Phụ lục số 5'!AI67</f>
        <v>0</v>
      </c>
      <c r="AJ67" s="5962">
        <f>'Phụ lục số 5'!AJ67</f>
        <v>0</v>
      </c>
      <c r="AK67" s="328"/>
      <c r="AL67" s="328"/>
      <c r="AM67" s="328"/>
      <c r="AN67" s="1656"/>
    </row>
    <row r="68" spans="1:40" s="596" customFormat="1" ht="36">
      <c r="A68" s="603">
        <v>49</v>
      </c>
      <c r="B68" s="610" t="s">
        <v>708</v>
      </c>
      <c r="C68" s="5120">
        <f t="shared" si="16"/>
        <v>530</v>
      </c>
      <c r="D68" s="5120">
        <f t="shared" si="27"/>
        <v>0</v>
      </c>
      <c r="E68" s="328"/>
      <c r="F68" s="328"/>
      <c r="G68" s="5122"/>
      <c r="H68" s="328"/>
      <c r="I68" s="5122"/>
      <c r="J68" s="328"/>
      <c r="K68" s="328"/>
      <c r="L68" s="328"/>
      <c r="M68" s="328"/>
      <c r="N68" s="328"/>
      <c r="O68" s="328"/>
      <c r="P68" s="4775">
        <f t="shared" si="28"/>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2"/>
        <v>0</v>
      </c>
      <c r="AI68" s="5962">
        <f>'Phụ lục số 5'!AI68</f>
        <v>0</v>
      </c>
      <c r="AJ68" s="5962">
        <f>'Phụ lục số 5'!AJ68</f>
        <v>0</v>
      </c>
      <c r="AK68" s="328"/>
      <c r="AL68" s="328"/>
      <c r="AM68" s="328"/>
      <c r="AN68" s="1656"/>
    </row>
    <row r="69" spans="1:40" s="596" customFormat="1">
      <c r="A69" s="603">
        <v>50</v>
      </c>
      <c r="B69" s="610" t="s">
        <v>709</v>
      </c>
      <c r="C69" s="5120">
        <f t="shared" si="16"/>
        <v>550</v>
      </c>
      <c r="D69" s="5120">
        <f t="shared" si="27"/>
        <v>0</v>
      </c>
      <c r="E69" s="328"/>
      <c r="F69" s="328"/>
      <c r="G69" s="5122"/>
      <c r="H69" s="328"/>
      <c r="I69" s="5122"/>
      <c r="J69" s="328"/>
      <c r="K69" s="328"/>
      <c r="L69" s="328"/>
      <c r="M69" s="328"/>
      <c r="N69" s="328"/>
      <c r="O69" s="328"/>
      <c r="P69" s="4775">
        <f t="shared" si="28"/>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2"/>
        <v>0</v>
      </c>
      <c r="AI69" s="5962">
        <f>'Phụ lục số 5'!AI69</f>
        <v>0</v>
      </c>
      <c r="AJ69" s="5962">
        <f>'Phụ lục số 5'!AJ69</f>
        <v>0</v>
      </c>
      <c r="AK69" s="328"/>
      <c r="AL69" s="328"/>
      <c r="AM69" s="328"/>
      <c r="AN69" s="1656"/>
    </row>
    <row r="70" spans="1:40" s="596" customFormat="1">
      <c r="A70" s="603">
        <v>51</v>
      </c>
      <c r="B70" s="610" t="s">
        <v>710</v>
      </c>
      <c r="C70" s="5120">
        <f t="shared" si="16"/>
        <v>435</v>
      </c>
      <c r="D70" s="5120">
        <f t="shared" si="27"/>
        <v>0</v>
      </c>
      <c r="E70" s="328"/>
      <c r="F70" s="328"/>
      <c r="G70" s="5122"/>
      <c r="H70" s="328"/>
      <c r="I70" s="5122"/>
      <c r="J70" s="328"/>
      <c r="K70" s="328"/>
      <c r="L70" s="328"/>
      <c r="M70" s="328"/>
      <c r="N70" s="328"/>
      <c r="O70" s="328"/>
      <c r="P70" s="4775">
        <f t="shared" si="28"/>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2"/>
        <v>0</v>
      </c>
      <c r="AI70" s="5962">
        <f>'Phụ lục số 5'!AI70</f>
        <v>0</v>
      </c>
      <c r="AJ70" s="5962">
        <f>'Phụ lục số 5'!AJ70</f>
        <v>0</v>
      </c>
      <c r="AK70" s="328"/>
      <c r="AL70" s="328"/>
      <c r="AM70" s="328"/>
      <c r="AN70" s="1656"/>
    </row>
    <row r="71" spans="1:40" s="596" customFormat="1">
      <c r="A71" s="603">
        <v>52</v>
      </c>
      <c r="B71" s="610" t="s">
        <v>711</v>
      </c>
      <c r="C71" s="5120">
        <f t="shared" si="16"/>
        <v>676</v>
      </c>
      <c r="D71" s="5120">
        <f t="shared" si="27"/>
        <v>0</v>
      </c>
      <c r="E71" s="328"/>
      <c r="F71" s="328"/>
      <c r="G71" s="5122"/>
      <c r="H71" s="328"/>
      <c r="I71" s="5122"/>
      <c r="J71" s="328"/>
      <c r="K71" s="328"/>
      <c r="L71" s="328"/>
      <c r="M71" s="328"/>
      <c r="N71" s="328"/>
      <c r="O71" s="328"/>
      <c r="P71" s="4775">
        <f t="shared" si="28"/>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2"/>
        <v>0</v>
      </c>
      <c r="AI71" s="5962">
        <f>'Phụ lục số 5'!AI71</f>
        <v>0</v>
      </c>
      <c r="AJ71" s="5962">
        <f>'Phụ lục số 5'!AJ71</f>
        <v>0</v>
      </c>
      <c r="AK71" s="328"/>
      <c r="AL71" s="328"/>
      <c r="AM71" s="328"/>
      <c r="AN71" s="1656"/>
    </row>
    <row r="72" spans="1:40" s="596" customFormat="1">
      <c r="A72" s="603">
        <v>53</v>
      </c>
      <c r="B72" s="610" t="s">
        <v>712</v>
      </c>
      <c r="C72" s="5120">
        <f t="shared" si="16"/>
        <v>729.2</v>
      </c>
      <c r="D72" s="5120">
        <f t="shared" si="27"/>
        <v>0</v>
      </c>
      <c r="E72" s="328"/>
      <c r="F72" s="328"/>
      <c r="G72" s="5122"/>
      <c r="H72" s="328"/>
      <c r="I72" s="5122"/>
      <c r="J72" s="328"/>
      <c r="K72" s="328"/>
      <c r="L72" s="328"/>
      <c r="M72" s="328"/>
      <c r="N72" s="328"/>
      <c r="O72" s="328"/>
      <c r="P72" s="4775">
        <f t="shared" si="28"/>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2"/>
        <v>0</v>
      </c>
      <c r="AI72" s="5962">
        <f>'Phụ lục số 5'!AI72</f>
        <v>0</v>
      </c>
      <c r="AJ72" s="5962">
        <f>'Phụ lục số 5'!AJ72</f>
        <v>0</v>
      </c>
      <c r="AK72" s="328"/>
      <c r="AL72" s="328"/>
      <c r="AM72" s="328"/>
      <c r="AN72" s="1656"/>
    </row>
    <row r="73" spans="1:40" s="596" customFormat="1">
      <c r="A73" s="603">
        <v>54</v>
      </c>
      <c r="B73" s="610" t="s">
        <v>713</v>
      </c>
      <c r="C73" s="5120">
        <f t="shared" si="16"/>
        <v>150</v>
      </c>
      <c r="D73" s="5120">
        <f t="shared" si="27"/>
        <v>0</v>
      </c>
      <c r="E73" s="328"/>
      <c r="F73" s="328"/>
      <c r="G73" s="5122"/>
      <c r="H73" s="328"/>
      <c r="I73" s="5122"/>
      <c r="J73" s="328"/>
      <c r="K73" s="328"/>
      <c r="L73" s="328"/>
      <c r="M73" s="328"/>
      <c r="N73" s="328"/>
      <c r="O73" s="328"/>
      <c r="P73" s="4775">
        <f t="shared" si="28"/>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2"/>
        <v>0</v>
      </c>
      <c r="AI73" s="5962">
        <f>'Phụ lục số 5'!AI73</f>
        <v>0</v>
      </c>
      <c r="AJ73" s="5962">
        <f>'Phụ lục số 5'!AJ73</f>
        <v>0</v>
      </c>
      <c r="AK73" s="328"/>
      <c r="AL73" s="328"/>
      <c r="AM73" s="328"/>
      <c r="AN73" s="1656"/>
    </row>
    <row r="74" spans="1:40" s="596" customFormat="1">
      <c r="A74" s="603">
        <v>55</v>
      </c>
      <c r="B74" s="610" t="s">
        <v>714</v>
      </c>
      <c r="C74" s="5120">
        <f t="shared" si="16"/>
        <v>300</v>
      </c>
      <c r="D74" s="5120">
        <f t="shared" si="27"/>
        <v>0</v>
      </c>
      <c r="E74" s="328"/>
      <c r="F74" s="328"/>
      <c r="G74" s="5122"/>
      <c r="H74" s="328"/>
      <c r="I74" s="5122"/>
      <c r="J74" s="328"/>
      <c r="K74" s="328"/>
      <c r="L74" s="328"/>
      <c r="M74" s="328"/>
      <c r="N74" s="328"/>
      <c r="O74" s="328"/>
      <c r="P74" s="4775">
        <f t="shared" si="28"/>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2"/>
        <v>0</v>
      </c>
      <c r="AI74" s="5962">
        <f>'Phụ lục số 5'!AI74</f>
        <v>0</v>
      </c>
      <c r="AJ74" s="5962">
        <f>'Phụ lục số 5'!AJ74</f>
        <v>0</v>
      </c>
      <c r="AK74" s="328"/>
      <c r="AL74" s="328"/>
      <c r="AM74" s="328"/>
      <c r="AN74" s="1656"/>
    </row>
    <row r="75" spans="1:40" s="596" customFormat="1">
      <c r="A75" s="603">
        <v>56</v>
      </c>
      <c r="B75" s="610" t="s">
        <v>715</v>
      </c>
      <c r="C75" s="5120">
        <f t="shared" si="16"/>
        <v>0</v>
      </c>
      <c r="D75" s="5120">
        <f t="shared" si="27"/>
        <v>0</v>
      </c>
      <c r="E75" s="328"/>
      <c r="F75" s="328"/>
      <c r="G75" s="5122"/>
      <c r="H75" s="328"/>
      <c r="I75" s="5122"/>
      <c r="J75" s="328"/>
      <c r="K75" s="328"/>
      <c r="L75" s="328"/>
      <c r="M75" s="328"/>
      <c r="N75" s="328"/>
      <c r="O75" s="328"/>
      <c r="P75" s="4775">
        <f t="shared" si="28"/>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2"/>
        <v>0</v>
      </c>
      <c r="AI75" s="5962">
        <f>'Phụ lục số 5'!AI75</f>
        <v>0</v>
      </c>
      <c r="AJ75" s="5962">
        <f>'Phụ lục số 5'!AJ75</f>
        <v>0</v>
      </c>
      <c r="AK75" s="328"/>
      <c r="AL75" s="328"/>
      <c r="AM75" s="328"/>
      <c r="AN75" s="1656"/>
    </row>
    <row r="76" spans="1:40" s="596" customFormat="1">
      <c r="A76" s="603">
        <v>57</v>
      </c>
      <c r="B76" s="610" t="s">
        <v>716</v>
      </c>
      <c r="C76" s="5120">
        <f t="shared" si="16"/>
        <v>300</v>
      </c>
      <c r="D76" s="5120">
        <f t="shared" si="27"/>
        <v>0</v>
      </c>
      <c r="E76" s="328"/>
      <c r="F76" s="328"/>
      <c r="G76" s="5122"/>
      <c r="H76" s="328"/>
      <c r="I76" s="5122"/>
      <c r="J76" s="328"/>
      <c r="K76" s="328"/>
      <c r="L76" s="328"/>
      <c r="M76" s="328"/>
      <c r="N76" s="328"/>
      <c r="O76" s="328"/>
      <c r="P76" s="4775">
        <f t="shared" si="28"/>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2"/>
        <v>0</v>
      </c>
      <c r="AI76" s="5962">
        <f>'Phụ lục số 5'!AI76</f>
        <v>0</v>
      </c>
      <c r="AJ76" s="5962">
        <f>'Phụ lục số 5'!AJ76</f>
        <v>0</v>
      </c>
      <c r="AK76" s="328"/>
      <c r="AL76" s="328"/>
      <c r="AM76" s="328"/>
      <c r="AN76" s="1656"/>
    </row>
    <row r="77" spans="1:40" s="596" customFormat="1">
      <c r="A77" s="603">
        <v>58</v>
      </c>
      <c r="B77" s="610" t="s">
        <v>717</v>
      </c>
      <c r="C77" s="5120">
        <f t="shared" si="16"/>
        <v>200</v>
      </c>
      <c r="D77" s="5120">
        <f t="shared" si="27"/>
        <v>0</v>
      </c>
      <c r="E77" s="328"/>
      <c r="F77" s="328"/>
      <c r="G77" s="5122"/>
      <c r="H77" s="328"/>
      <c r="I77" s="5122"/>
      <c r="J77" s="328"/>
      <c r="K77" s="328"/>
      <c r="L77" s="328"/>
      <c r="M77" s="328"/>
      <c r="N77" s="328"/>
      <c r="O77" s="328"/>
      <c r="P77" s="4775">
        <f t="shared" si="28"/>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2"/>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6"/>
        <v>0</v>
      </c>
      <c r="D78" s="5120"/>
      <c r="E78" s="328"/>
      <c r="F78" s="328"/>
      <c r="G78" s="5122"/>
      <c r="H78" s="328"/>
      <c r="I78" s="5122"/>
      <c r="J78" s="328"/>
      <c r="K78" s="328"/>
      <c r="L78" s="328"/>
      <c r="M78" s="328"/>
      <c r="N78" s="328"/>
      <c r="O78" s="328"/>
      <c r="P78" s="4775">
        <f t="shared" si="28"/>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6"/>
        <v>9765</v>
      </c>
      <c r="D79" s="5120"/>
      <c r="E79" s="328"/>
      <c r="F79" s="328"/>
      <c r="G79" s="5122"/>
      <c r="H79" s="328"/>
      <c r="I79" s="5122"/>
      <c r="J79" s="328"/>
      <c r="K79" s="328"/>
      <c r="L79" s="328"/>
      <c r="M79" s="328"/>
      <c r="N79" s="328"/>
      <c r="O79" s="328"/>
      <c r="P79" s="4775">
        <f t="shared" si="28"/>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3">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3"/>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4">D82+P82+AD82+AE82+AH82+AL82+AF82+AG82+AK82+AN82</f>
        <v>12636.937382673808</v>
      </c>
      <c r="D82" s="5120">
        <f t="shared" ref="D82:D84" si="35">SUM(E82:O82)</f>
        <v>0</v>
      </c>
      <c r="E82" s="328"/>
      <c r="F82" s="328"/>
      <c r="G82" s="5122"/>
      <c r="H82" s="328"/>
      <c r="I82" s="5122"/>
      <c r="J82" s="328"/>
      <c r="K82" s="328"/>
      <c r="L82" s="328"/>
      <c r="M82" s="328"/>
      <c r="N82" s="328"/>
      <c r="O82" s="328"/>
      <c r="P82" s="5962">
        <f t="shared" si="33"/>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6">SUM(AI82:AJ82)</f>
        <v>0</v>
      </c>
      <c r="AI82" s="328"/>
      <c r="AJ82" s="328">
        <f>+'Phụ lục số 5'!AJ82</f>
        <v>0</v>
      </c>
      <c r="AK82" s="328"/>
      <c r="AL82" s="328"/>
      <c r="AM82" s="328"/>
      <c r="AN82" s="1656"/>
    </row>
    <row r="83" spans="1:40" s="380" customFormat="1" ht="34.799999999999997">
      <c r="A83" s="2977">
        <v>2</v>
      </c>
      <c r="B83" s="5974" t="s">
        <v>1697</v>
      </c>
      <c r="C83" s="5128">
        <f t="shared" ref="C83:C124" si="37">D83+P83+AD83+AE83+AH83+AL83+AF83+AG83+AK83</f>
        <v>0</v>
      </c>
      <c r="D83" s="5128">
        <f t="shared" si="35"/>
        <v>0</v>
      </c>
      <c r="E83" s="329"/>
      <c r="F83" s="329"/>
      <c r="G83" s="5125"/>
      <c r="H83" s="329"/>
      <c r="I83" s="5125"/>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4"/>
        <v>0</v>
      </c>
      <c r="D84" s="5120">
        <f t="shared" si="35"/>
        <v>0</v>
      </c>
      <c r="E84" s="5122"/>
      <c r="F84" s="5122"/>
      <c r="G84" s="5122"/>
      <c r="H84" s="5122"/>
      <c r="I84" s="5122"/>
      <c r="J84" s="5122"/>
      <c r="K84" s="5122"/>
      <c r="L84" s="5122"/>
      <c r="M84" s="5122"/>
      <c r="N84" s="5122"/>
      <c r="O84" s="5122"/>
      <c r="P84" s="5123">
        <f t="shared" si="33"/>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37"/>
        <v>0</v>
      </c>
      <c r="D85" s="329">
        <f>SUM(E85:K85)</f>
        <v>0</v>
      </c>
      <c r="E85" s="329"/>
      <c r="F85" s="329"/>
      <c r="G85" s="5125"/>
      <c r="H85" s="329"/>
      <c r="I85" s="5125"/>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4"/>
        <v>0</v>
      </c>
      <c r="D86" s="5122">
        <f t="shared" ref="D86" si="38">SUM(E86:K86)</f>
        <v>0</v>
      </c>
      <c r="E86" s="5122"/>
      <c r="F86" s="5122"/>
      <c r="G86" s="5122"/>
      <c r="H86" s="5122"/>
      <c r="I86" s="5122"/>
      <c r="J86" s="5122"/>
      <c r="K86" s="5122"/>
      <c r="L86" s="5122"/>
      <c r="M86" s="5122"/>
      <c r="N86" s="5122"/>
      <c r="O86" s="5122"/>
      <c r="P86" s="5123">
        <f t="shared" si="33"/>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37"/>
        <v>0</v>
      </c>
      <c r="D87" s="5125"/>
      <c r="E87" s="5125"/>
      <c r="F87" s="5125"/>
      <c r="G87" s="5125"/>
      <c r="H87" s="5125"/>
      <c r="I87" s="5125"/>
      <c r="J87" s="5125"/>
      <c r="K87" s="5125"/>
      <c r="L87" s="5125"/>
      <c r="M87" s="5125"/>
      <c r="N87" s="5125"/>
      <c r="O87" s="5125"/>
      <c r="P87" s="5121">
        <f t="shared" si="33"/>
        <v>0</v>
      </c>
      <c r="Q87" s="5121"/>
      <c r="R87" s="5121">
        <f t="shared" ref="R87" si="39">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4"/>
        <v>0</v>
      </c>
      <c r="D88" s="5122"/>
      <c r="E88" s="5122"/>
      <c r="F88" s="5122"/>
      <c r="G88" s="5122"/>
      <c r="H88" s="5122"/>
      <c r="I88" s="5122"/>
      <c r="J88" s="5122"/>
      <c r="K88" s="5122"/>
      <c r="L88" s="5122"/>
      <c r="M88" s="5122"/>
      <c r="N88" s="5122"/>
      <c r="O88" s="5122"/>
      <c r="P88" s="5123">
        <f t="shared" si="33"/>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3"/>
        <v>0.25699999998323619</v>
      </c>
      <c r="Q89" s="5121"/>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4"/>
        <v>0.25699999998323619</v>
      </c>
      <c r="D90" s="5122"/>
      <c r="E90" s="5122"/>
      <c r="F90" s="5122"/>
      <c r="G90" s="5122"/>
      <c r="H90" s="5122"/>
      <c r="I90" s="5122"/>
      <c r="J90" s="5122"/>
      <c r="K90" s="5122"/>
      <c r="L90" s="5122"/>
      <c r="M90" s="5122"/>
      <c r="N90" s="5122"/>
      <c r="O90" s="5122"/>
      <c r="P90" s="5123">
        <f t="shared" si="33"/>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6"/>
        <v>0</v>
      </c>
      <c r="AI90" s="5122"/>
      <c r="AJ90" s="5122"/>
      <c r="AK90" s="5122"/>
      <c r="AL90" s="5122"/>
      <c r="AM90" s="5122"/>
      <c r="AN90" s="2626"/>
    </row>
    <row r="91" spans="1:40" s="5127" customFormat="1">
      <c r="A91" s="620">
        <v>5</v>
      </c>
      <c r="B91" s="5119" t="s">
        <v>1789</v>
      </c>
      <c r="C91" s="5124">
        <f t="shared" si="37"/>
        <v>0</v>
      </c>
      <c r="D91" s="5125"/>
      <c r="E91" s="5125"/>
      <c r="F91" s="5125"/>
      <c r="G91" s="5125"/>
      <c r="H91" s="5125"/>
      <c r="I91" s="5125"/>
      <c r="J91" s="5125"/>
      <c r="K91" s="5125"/>
      <c r="L91" s="5125"/>
      <c r="M91" s="5125"/>
      <c r="N91" s="5125"/>
      <c r="O91" s="5125"/>
      <c r="P91" s="5121">
        <f t="shared" si="33"/>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4"/>
        <v>0</v>
      </c>
      <c r="D92" s="5122"/>
      <c r="E92" s="5122"/>
      <c r="F92" s="5122"/>
      <c r="G92" s="5122"/>
      <c r="H92" s="5122"/>
      <c r="I92" s="5122"/>
      <c r="J92" s="5122"/>
      <c r="K92" s="5122"/>
      <c r="L92" s="5122"/>
      <c r="M92" s="5122"/>
      <c r="N92" s="5122"/>
      <c r="O92" s="5122"/>
      <c r="P92" s="5123">
        <f t="shared" si="33"/>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37"/>
        <v>0</v>
      </c>
      <c r="D93" s="329"/>
      <c r="E93" s="329"/>
      <c r="F93" s="329"/>
      <c r="G93" s="5125"/>
      <c r="H93" s="329"/>
      <c r="I93" s="5125"/>
      <c r="J93" s="329"/>
      <c r="K93" s="329"/>
      <c r="L93" s="329"/>
      <c r="M93" s="329"/>
      <c r="N93" s="329"/>
      <c r="O93" s="329"/>
      <c r="P93" s="5123">
        <f t="shared" si="33"/>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4"/>
        <v>0</v>
      </c>
      <c r="D94" s="5122"/>
      <c r="E94" s="5122"/>
      <c r="F94" s="5122"/>
      <c r="G94" s="5122"/>
      <c r="H94" s="5122"/>
      <c r="I94" s="5122"/>
      <c r="J94" s="5122"/>
      <c r="K94" s="5122"/>
      <c r="L94" s="5122"/>
      <c r="M94" s="5122"/>
      <c r="N94" s="5122"/>
      <c r="O94" s="5122"/>
      <c r="P94" s="5123">
        <f t="shared" si="33"/>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37"/>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4"/>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37"/>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4"/>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3"/>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4"/>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4"/>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1">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4"/>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1"/>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4"/>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1"/>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6"/>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4"/>
        <v>80946.835146215482</v>
      </c>
      <c r="D105" s="5122"/>
      <c r="E105" s="5122"/>
      <c r="F105" s="5122"/>
      <c r="G105" s="5122"/>
      <c r="H105" s="5122"/>
      <c r="I105" s="5122"/>
      <c r="J105" s="5122"/>
      <c r="K105" s="5122"/>
      <c r="L105" s="5122"/>
      <c r="M105" s="5122"/>
      <c r="N105" s="5122"/>
      <c r="O105" s="5122"/>
      <c r="P105" s="5123">
        <f t="shared" si="41"/>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37"/>
        <v>13652.513398000039</v>
      </c>
      <c r="D106" s="5125">
        <f t="shared" si="23"/>
        <v>0</v>
      </c>
      <c r="E106" s="5125"/>
      <c r="F106" s="5125"/>
      <c r="G106" s="5125"/>
      <c r="H106" s="5125"/>
      <c r="I106" s="5125"/>
      <c r="J106" s="5125"/>
      <c r="K106" s="5125"/>
      <c r="L106" s="5125"/>
      <c r="M106" s="5125"/>
      <c r="N106" s="5125"/>
      <c r="O106" s="5125"/>
      <c r="P106" s="5121">
        <f t="shared" ref="P106:P112" si="42">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6"/>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4"/>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2"/>
        <v>0.10000000000582077</v>
      </c>
      <c r="Q108" s="5121"/>
      <c r="R108" s="5125"/>
      <c r="S108" s="5125"/>
      <c r="T108" s="5125"/>
      <c r="U108" s="5125"/>
      <c r="V108" s="5121"/>
      <c r="W108" s="5125"/>
      <c r="X108" s="5125"/>
      <c r="Y108" s="5125"/>
      <c r="Z108" s="5125"/>
      <c r="AA108" s="5121"/>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4"/>
        <v>12060</v>
      </c>
      <c r="D109" s="5122"/>
      <c r="E109" s="5122"/>
      <c r="F109" s="5122"/>
      <c r="G109" s="5122"/>
      <c r="H109" s="5122"/>
      <c r="I109" s="5122"/>
      <c r="J109" s="5122"/>
      <c r="K109" s="5122"/>
      <c r="L109" s="5122"/>
      <c r="M109" s="5122"/>
      <c r="N109" s="5122"/>
      <c r="O109" s="5122"/>
      <c r="P109" s="5962">
        <f t="shared" si="42"/>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6"/>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4"/>
        <v>0.10000000000582077</v>
      </c>
      <c r="D110" s="329">
        <f t="shared" si="23"/>
        <v>0</v>
      </c>
      <c r="E110" s="329"/>
      <c r="F110" s="329"/>
      <c r="G110" s="5125"/>
      <c r="H110" s="329"/>
      <c r="I110" s="5125"/>
      <c r="J110" s="329"/>
      <c r="K110" s="329"/>
      <c r="L110" s="329"/>
      <c r="M110" s="329"/>
      <c r="N110" s="329"/>
      <c r="O110" s="329"/>
      <c r="P110" s="5962">
        <f t="shared" si="42"/>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28">
        <f>+C112</f>
        <v>13427.738688122938</v>
      </c>
      <c r="D111" s="329">
        <f t="shared" si="23"/>
        <v>0</v>
      </c>
      <c r="E111" s="329"/>
      <c r="F111" s="329"/>
      <c r="G111" s="5125"/>
      <c r="H111" s="329"/>
      <c r="I111" s="5125"/>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4"/>
        <v>13427.738688122938</v>
      </c>
      <c r="D112" s="328">
        <f t="shared" si="23"/>
        <v>0</v>
      </c>
      <c r="E112" s="328"/>
      <c r="F112" s="328"/>
      <c r="G112" s="5122"/>
      <c r="H112" s="328"/>
      <c r="I112" s="5122"/>
      <c r="J112" s="328"/>
      <c r="K112" s="328"/>
      <c r="L112" s="328"/>
      <c r="M112" s="328"/>
      <c r="N112" s="328"/>
      <c r="O112" s="328"/>
      <c r="P112" s="5962">
        <f t="shared" si="42"/>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6"/>
        <v>0</v>
      </c>
      <c r="AI112" s="328"/>
      <c r="AJ112" s="328"/>
      <c r="AK112" s="328"/>
      <c r="AL112" s="328"/>
      <c r="AM112" s="328"/>
      <c r="AN112" s="1656"/>
    </row>
    <row r="113" spans="1:41" s="380" customFormat="1" ht="34.799999999999997">
      <c r="A113" s="611">
        <v>13</v>
      </c>
      <c r="B113" s="630" t="s">
        <v>722</v>
      </c>
      <c r="C113" s="5128">
        <f t="shared" si="37"/>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37"/>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28">
        <f t="shared" si="37"/>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28">
        <f t="shared" si="37"/>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37"/>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28">
        <f t="shared" si="37"/>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28">
        <f t="shared" si="37"/>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28">
        <f t="shared" si="37"/>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37"/>
        <v>163959.4</v>
      </c>
      <c r="D121" s="1658">
        <f t="shared" ref="D121" si="45">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28">
        <f t="shared" si="37"/>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37"/>
        <v>2530494</v>
      </c>
      <c r="D123" s="1658">
        <f t="shared" ref="D123:D127" si="46">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6"/>
        <v>2530494</v>
      </c>
      <c r="AI123" s="1658">
        <f>+'Phụ lục số 5'!AI123</f>
        <v>2530494</v>
      </c>
      <c r="AJ123" s="329"/>
      <c r="AK123" s="329"/>
      <c r="AL123" s="329"/>
      <c r="AM123" s="329"/>
      <c r="AN123" s="1657"/>
    </row>
    <row r="124" spans="1:41" s="380" customFormat="1" ht="34.799999999999997">
      <c r="A124" s="611" t="s">
        <v>731</v>
      </c>
      <c r="B124" s="612" t="s">
        <v>765</v>
      </c>
      <c r="C124" s="5128">
        <f t="shared" si="37"/>
        <v>0</v>
      </c>
      <c r="D124" s="1658">
        <f t="shared" si="46"/>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6"/>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39"/>
  <sheetViews>
    <sheetView workbookViewId="0">
      <selection activeCell="I19" sqref="I19"/>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09" t="str">
        <f>+'Phụ lục số 6'!A1:E1</f>
        <v>DỰ TOÁN CHI NGÂN SÁCH CHO MỘT SỐ CHƯƠNG TRÌNH, DỰ ÁN, NHIỆM VỤ KHÁC QUAN TRỌNG NĂM 2025</v>
      </c>
      <c r="B1" s="6497"/>
      <c r="C1" s="6497"/>
      <c r="D1" s="6497"/>
      <c r="E1" s="6497"/>
    </row>
    <row r="2" spans="1:5">
      <c r="A2" s="6512" t="str">
        <f>+'Phụ lục 5-CKNS'!A2:AM2</f>
        <v>(Kèm theo Quyết định số       /QĐ-UBND-HC ngày     /12/2024 của Ủy ban nhân dân tỉnh Đồng Tháp)</v>
      </c>
      <c r="B2" s="6498"/>
      <c r="C2" s="6498"/>
      <c r="D2" s="6498"/>
      <c r="E2" s="6498"/>
    </row>
    <row r="3" spans="1:5">
      <c r="A3" s="431"/>
      <c r="B3" s="2635"/>
      <c r="C3" s="2635"/>
      <c r="D3" s="2635"/>
      <c r="E3" s="2635"/>
    </row>
    <row r="4" spans="1:5" ht="18.600000000000001" thickBot="1">
      <c r="B4" s="6575" t="s">
        <v>638</v>
      </c>
      <c r="C4" s="6575"/>
      <c r="D4" s="6575"/>
      <c r="E4" s="6575"/>
    </row>
    <row r="5" spans="1:5" s="431" customFormat="1" thickTop="1">
      <c r="A5" s="6561" t="s">
        <v>247</v>
      </c>
      <c r="B5" s="6519" t="s">
        <v>1123</v>
      </c>
      <c r="C5" s="6519" t="s">
        <v>1455</v>
      </c>
      <c r="D5" s="6519" t="s">
        <v>998</v>
      </c>
      <c r="E5" s="6576"/>
    </row>
    <row r="6" spans="1:5" s="431" customFormat="1" ht="34.799999999999997">
      <c r="A6" s="6562"/>
      <c r="B6" s="6044"/>
      <c r="C6" s="6044"/>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4"/>
  <sheetViews>
    <sheetView zoomScale="70" zoomScaleNormal="70" workbookViewId="0">
      <selection activeCell="AD8" sqref="AD8"/>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290" t="s">
        <v>3164</v>
      </c>
      <c r="B1" s="6290"/>
      <c r="C1" s="6290"/>
      <c r="D1" s="6290"/>
      <c r="E1" s="6290"/>
      <c r="F1" s="6290"/>
      <c r="G1" s="6290"/>
      <c r="H1" s="6290"/>
      <c r="I1" s="6290"/>
      <c r="J1" s="6290"/>
      <c r="K1" s="6290"/>
      <c r="L1" s="6290"/>
      <c r="M1" s="6290"/>
      <c r="N1" s="6290"/>
      <c r="O1" s="6290"/>
      <c r="P1" s="6290"/>
      <c r="Q1" s="6290"/>
      <c r="R1" s="6290"/>
      <c r="S1" s="6290"/>
      <c r="T1" s="6290"/>
      <c r="U1" s="6290"/>
      <c r="V1" s="6290"/>
    </row>
    <row r="2" spans="1:22">
      <c r="A2" s="6508" t="str">
        <f>+'Phụ lục 6-CKNS'!A2:E2</f>
        <v>(Kèm theo Quyết định số       /QĐ-UBND-HC ngày     /12/2024 của Ủy ban nhân dân tỉnh Đồng Tháp)</v>
      </c>
      <c r="B2" s="6508"/>
      <c r="C2" s="6508"/>
      <c r="D2" s="6508"/>
      <c r="E2" s="6508"/>
      <c r="F2" s="6508"/>
      <c r="G2" s="6508"/>
      <c r="H2" s="6508"/>
      <c r="I2" s="6508"/>
      <c r="J2" s="6508"/>
      <c r="K2" s="6508"/>
      <c r="L2" s="6508"/>
      <c r="M2" s="6508"/>
      <c r="N2" s="6508"/>
      <c r="O2" s="6508"/>
      <c r="P2" s="6508"/>
      <c r="Q2" s="6508"/>
      <c r="R2" s="6508"/>
      <c r="S2" s="6508"/>
      <c r="T2" s="6508"/>
      <c r="U2" s="6508"/>
      <c r="V2" s="6508"/>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06" t="s">
        <v>638</v>
      </c>
      <c r="T4" s="6506"/>
      <c r="U4" s="6506"/>
      <c r="V4" s="6506"/>
    </row>
    <row r="5" spans="1:22" s="49" customFormat="1" thickTop="1">
      <c r="A5" s="6567" t="s">
        <v>247</v>
      </c>
      <c r="B5" s="6569" t="s">
        <v>1526</v>
      </c>
      <c r="C5" s="6569" t="s">
        <v>3194</v>
      </c>
      <c r="D5" s="6569" t="s">
        <v>1527</v>
      </c>
      <c r="E5" s="6569"/>
      <c r="F5" s="6569"/>
      <c r="G5" s="6569"/>
      <c r="H5" s="6569"/>
      <c r="I5" s="6569"/>
      <c r="J5" s="6569"/>
      <c r="K5" s="6569"/>
      <c r="L5" s="6569"/>
      <c r="M5" s="6569" t="s">
        <v>3169</v>
      </c>
      <c r="N5" s="6078" t="s">
        <v>1724</v>
      </c>
      <c r="O5" s="6078"/>
      <c r="P5" s="6078"/>
      <c r="Q5" s="6078"/>
      <c r="R5" s="6078"/>
      <c r="S5" s="6078"/>
      <c r="T5" s="6078"/>
      <c r="U5" s="6078"/>
      <c r="V5" s="6079"/>
    </row>
    <row r="6" spans="1:22" s="49" customFormat="1" ht="17.399999999999999">
      <c r="A6" s="6568"/>
      <c r="B6" s="6293"/>
      <c r="C6" s="6293"/>
      <c r="D6" s="6293" t="s">
        <v>1528</v>
      </c>
      <c r="E6" s="6293" t="s">
        <v>1529</v>
      </c>
      <c r="F6" s="6293" t="s">
        <v>645</v>
      </c>
      <c r="G6" s="6293"/>
      <c r="H6" s="6293" t="s">
        <v>1530</v>
      </c>
      <c r="I6" s="6293" t="s">
        <v>645</v>
      </c>
      <c r="J6" s="6293"/>
      <c r="K6" s="6293"/>
      <c r="L6" s="6293" t="s">
        <v>1531</v>
      </c>
      <c r="M6" s="6293"/>
      <c r="N6" s="6504" t="s">
        <v>208</v>
      </c>
      <c r="O6" s="6504"/>
      <c r="P6" s="6504"/>
      <c r="Q6" s="6504" t="s">
        <v>209</v>
      </c>
      <c r="R6" s="6504"/>
      <c r="S6" s="6504"/>
      <c r="T6" s="6293" t="s">
        <v>175</v>
      </c>
      <c r="U6" s="6293" t="s">
        <v>176</v>
      </c>
      <c r="V6" s="6566" t="s">
        <v>825</v>
      </c>
    </row>
    <row r="7" spans="1:22" s="49" customFormat="1" ht="18.75" customHeight="1">
      <c r="A7" s="6568"/>
      <c r="B7" s="6293"/>
      <c r="C7" s="6293"/>
      <c r="D7" s="6293"/>
      <c r="E7" s="6293"/>
      <c r="F7" s="6293"/>
      <c r="G7" s="6293"/>
      <c r="H7" s="6293"/>
      <c r="I7" s="6044" t="s">
        <v>205</v>
      </c>
      <c r="J7" s="6044" t="s">
        <v>3163</v>
      </c>
      <c r="K7" s="6044" t="s">
        <v>3167</v>
      </c>
      <c r="L7" s="6293"/>
      <c r="M7" s="6293"/>
      <c r="N7" s="6293" t="s">
        <v>387</v>
      </c>
      <c r="O7" s="6293" t="s">
        <v>645</v>
      </c>
      <c r="P7" s="6293"/>
      <c r="Q7" s="6293" t="s">
        <v>387</v>
      </c>
      <c r="R7" s="6504" t="s">
        <v>645</v>
      </c>
      <c r="S7" s="6504"/>
      <c r="T7" s="6293"/>
      <c r="U7" s="6293"/>
      <c r="V7" s="6566"/>
    </row>
    <row r="8" spans="1:22" s="49" customFormat="1" ht="284.25" customHeight="1">
      <c r="A8" s="6568"/>
      <c r="B8" s="6293"/>
      <c r="C8" s="6293"/>
      <c r="D8" s="6293"/>
      <c r="E8" s="6293"/>
      <c r="F8" s="2247" t="s">
        <v>1533</v>
      </c>
      <c r="G8" s="2247" t="s">
        <v>1534</v>
      </c>
      <c r="H8" s="6293"/>
      <c r="I8" s="6044"/>
      <c r="J8" s="6044"/>
      <c r="K8" s="6044"/>
      <c r="L8" s="6293"/>
      <c r="M8" s="6293"/>
      <c r="N8" s="6293"/>
      <c r="O8" s="2247" t="s">
        <v>143</v>
      </c>
      <c r="P8" s="2247" t="s">
        <v>144</v>
      </c>
      <c r="Q8" s="6293"/>
      <c r="R8" s="2247" t="s">
        <v>824</v>
      </c>
      <c r="S8" s="2247" t="s">
        <v>740</v>
      </c>
      <c r="T8" s="6293"/>
      <c r="U8" s="6293"/>
      <c r="V8" s="6566"/>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W28"/>
  <sheetViews>
    <sheetView workbookViewId="0">
      <selection activeCell="A3" sqref="A3"/>
    </sheetView>
  </sheetViews>
  <sheetFormatPr defaultRowHeight="14.4"/>
  <cols>
    <col min="1" max="1" width="4.88671875" customWidth="1"/>
    <col min="2" max="2" width="20.33203125" customWidth="1"/>
    <col min="3" max="3" width="7.44140625" customWidth="1"/>
    <col min="4" max="4" width="8" customWidth="1"/>
    <col min="5" max="5" width="8.33203125" customWidth="1"/>
    <col min="6" max="9" width="9.33203125" customWidth="1"/>
    <col min="10" max="10" width="8.33203125" customWidth="1"/>
    <col min="11" max="11" width="9.33203125" customWidth="1"/>
    <col min="12" max="12" width="9.6640625" customWidth="1"/>
    <col min="13" max="13" width="8.5546875" customWidth="1"/>
    <col min="14" max="15" width="9.33203125" customWidth="1"/>
    <col min="16" max="16" width="8.6640625" customWidth="1"/>
    <col min="17" max="17" width="9.33203125" customWidth="1"/>
  </cols>
  <sheetData>
    <row r="1" spans="1:17" ht="15.6">
      <c r="A1" s="6557" t="s">
        <v>3283</v>
      </c>
      <c r="B1" s="6138"/>
      <c r="C1" s="6138"/>
      <c r="D1" s="6138"/>
      <c r="E1" s="6138"/>
      <c r="F1" s="6138"/>
      <c r="G1" s="6138"/>
      <c r="H1" s="6138"/>
      <c r="I1" s="6138"/>
      <c r="J1" s="6138"/>
      <c r="K1" s="6138"/>
      <c r="L1" s="6138"/>
      <c r="M1" s="6138"/>
      <c r="N1" s="6138"/>
      <c r="O1" s="6138"/>
      <c r="P1" s="6138"/>
      <c r="Q1" s="6138"/>
    </row>
    <row r="2" spans="1:17" ht="15.6">
      <c r="A2" s="6607" t="str">
        <f>+'Phụ lục 7-CKNS'!A2:V2</f>
        <v>(Kèm theo Quyết định số       /QĐ-UBND-HC ngày     /12/2024 của Ủy ban nhân dân tỉnh Đồng Tháp)</v>
      </c>
      <c r="B2" s="6608"/>
      <c r="C2" s="6608"/>
      <c r="D2" s="6608"/>
      <c r="E2" s="6608"/>
      <c r="F2" s="6608"/>
      <c r="G2" s="6608"/>
      <c r="H2" s="6608"/>
      <c r="I2" s="6608"/>
      <c r="J2" s="6608"/>
      <c r="K2" s="6608"/>
      <c r="L2" s="6608"/>
      <c r="M2" s="6608"/>
      <c r="N2" s="6608"/>
      <c r="O2" s="6608"/>
      <c r="P2" s="6608"/>
      <c r="Q2" s="6608"/>
    </row>
    <row r="3" spans="1:17" ht="15.6">
      <c r="A3" s="4391"/>
      <c r="B3" s="1410"/>
      <c r="C3" s="1410"/>
      <c r="D3" s="1410"/>
      <c r="E3" s="1410"/>
      <c r="F3" s="1410"/>
      <c r="G3" s="1410"/>
      <c r="H3" s="1410"/>
      <c r="I3" s="1410"/>
      <c r="J3" s="1410"/>
      <c r="K3" s="1410"/>
      <c r="L3" s="1410"/>
      <c r="M3" s="1410"/>
      <c r="N3" s="1410"/>
      <c r="O3" s="1410"/>
      <c r="P3" s="1410"/>
      <c r="Q3" s="1410"/>
    </row>
    <row r="4" spans="1:17" ht="15.6">
      <c r="A4" s="1192"/>
      <c r="B4" s="1192"/>
      <c r="C4" s="1192"/>
      <c r="D4" s="1192"/>
      <c r="E4" s="1192"/>
      <c r="F4" s="1192"/>
      <c r="G4" s="1192"/>
      <c r="H4" s="1192"/>
      <c r="I4" s="1192"/>
      <c r="J4" s="1192"/>
      <c r="K4" s="1192"/>
      <c r="L4" s="1192"/>
      <c r="M4" s="1192"/>
      <c r="N4" s="1192"/>
      <c r="O4" s="1192"/>
      <c r="P4" s="6141" t="s">
        <v>2469</v>
      </c>
      <c r="Q4" s="6141"/>
    </row>
    <row r="5" spans="1:17" s="2423" customFormat="1" ht="15.6">
      <c r="A5" s="6073" t="s">
        <v>1660</v>
      </c>
      <c r="B5" s="6132" t="s">
        <v>1161</v>
      </c>
      <c r="C5" s="6347" t="s">
        <v>2470</v>
      </c>
      <c r="D5" s="6348"/>
      <c r="E5" s="6348"/>
      <c r="F5" s="6348"/>
      <c r="G5" s="6348"/>
      <c r="H5" s="6348"/>
      <c r="I5" s="6348"/>
      <c r="J5" s="6348"/>
      <c r="K5" s="6348"/>
      <c r="L5" s="6348"/>
      <c r="M5" s="6348"/>
      <c r="N5" s="6348"/>
      <c r="O5" s="6348"/>
      <c r="P5" s="6348"/>
      <c r="Q5" s="6349"/>
    </row>
    <row r="6" spans="1:17" s="2423" customFormat="1" ht="15.6">
      <c r="A6" s="6073"/>
      <c r="B6" s="6132"/>
      <c r="C6" s="6563" t="s">
        <v>1477</v>
      </c>
      <c r="D6" s="6564"/>
      <c r="E6" s="6564"/>
      <c r="F6" s="6564"/>
      <c r="G6" s="6565"/>
      <c r="H6" s="6132" t="s">
        <v>2471</v>
      </c>
      <c r="I6" s="6132" t="s">
        <v>20</v>
      </c>
      <c r="J6" s="6132" t="s">
        <v>2472</v>
      </c>
      <c r="K6" s="6606" t="s">
        <v>1479</v>
      </c>
      <c r="L6" s="6606" t="s">
        <v>97</v>
      </c>
      <c r="M6" s="6132" t="s">
        <v>2473</v>
      </c>
      <c r="N6" s="6558" t="s">
        <v>2474</v>
      </c>
      <c r="O6" s="6132" t="s">
        <v>2475</v>
      </c>
      <c r="P6" s="6560" t="s">
        <v>2476</v>
      </c>
      <c r="Q6" s="6606" t="s">
        <v>2477</v>
      </c>
    </row>
    <row r="7" spans="1:17" s="1382" customFormat="1" ht="106.5" customHeight="1">
      <c r="A7" s="6073"/>
      <c r="B7" s="6132"/>
      <c r="C7" s="1383" t="s">
        <v>2478</v>
      </c>
      <c r="D7" s="1383" t="s">
        <v>2479</v>
      </c>
      <c r="E7" s="1383" t="s">
        <v>10</v>
      </c>
      <c r="F7" s="1383" t="s">
        <v>2480</v>
      </c>
      <c r="G7" s="1383" t="s">
        <v>2481</v>
      </c>
      <c r="H7" s="6132"/>
      <c r="I7" s="6132"/>
      <c r="J7" s="6132"/>
      <c r="K7" s="6606"/>
      <c r="L7" s="6606"/>
      <c r="M7" s="6132"/>
      <c r="N7" s="6401"/>
      <c r="O7" s="6132"/>
      <c r="P7" s="6560"/>
      <c r="Q7" s="6606"/>
    </row>
    <row r="8" spans="1:17" s="4395" customFormat="1" ht="15.6">
      <c r="A8" s="4392">
        <v>1</v>
      </c>
      <c r="B8" s="4393" t="s">
        <v>1135</v>
      </c>
      <c r="C8" s="4394">
        <v>1</v>
      </c>
      <c r="D8" s="4394">
        <v>1</v>
      </c>
      <c r="E8" s="4394">
        <v>0</v>
      </c>
      <c r="F8" s="4394">
        <v>0</v>
      </c>
      <c r="G8" s="4394">
        <v>1</v>
      </c>
      <c r="H8" s="4394">
        <v>1</v>
      </c>
      <c r="I8" s="4394">
        <v>1</v>
      </c>
      <c r="J8" s="4394">
        <v>1</v>
      </c>
      <c r="K8" s="4394">
        <v>0</v>
      </c>
      <c r="L8" s="4394">
        <v>0</v>
      </c>
      <c r="M8" s="4394">
        <v>1</v>
      </c>
      <c r="N8" s="4394">
        <v>0.9</v>
      </c>
      <c r="O8" s="4394">
        <v>0.9</v>
      </c>
      <c r="P8" s="4394">
        <v>1</v>
      </c>
      <c r="Q8" s="4394">
        <v>0</v>
      </c>
    </row>
    <row r="9" spans="1:17" s="3780" customFormat="1" ht="15.6">
      <c r="A9" s="745">
        <v>2</v>
      </c>
      <c r="B9" s="828" t="s">
        <v>1136</v>
      </c>
      <c r="C9" s="4396">
        <v>1</v>
      </c>
      <c r="D9" s="4396">
        <v>1</v>
      </c>
      <c r="E9" s="4396">
        <v>0</v>
      </c>
      <c r="F9" s="4396">
        <v>0</v>
      </c>
      <c r="G9" s="4396">
        <v>1</v>
      </c>
      <c r="H9" s="4396">
        <v>1</v>
      </c>
      <c r="I9" s="4396">
        <v>1</v>
      </c>
      <c r="J9" s="4396">
        <v>1</v>
      </c>
      <c r="K9" s="4396">
        <v>0</v>
      </c>
      <c r="L9" s="4396">
        <v>0</v>
      </c>
      <c r="M9" s="4396">
        <v>1</v>
      </c>
      <c r="N9" s="4396">
        <v>0.9</v>
      </c>
      <c r="O9" s="4396">
        <v>0.9</v>
      </c>
      <c r="P9" s="4396">
        <v>1</v>
      </c>
      <c r="Q9" s="4396">
        <v>0</v>
      </c>
    </row>
    <row r="10" spans="1:17" s="4395" customFormat="1" ht="15.6">
      <c r="A10" s="745">
        <v>3</v>
      </c>
      <c r="B10" s="828" t="s">
        <v>1137</v>
      </c>
      <c r="C10" s="4396">
        <v>1</v>
      </c>
      <c r="D10" s="4396">
        <v>1</v>
      </c>
      <c r="E10" s="4396">
        <v>0</v>
      </c>
      <c r="F10" s="4396">
        <v>0</v>
      </c>
      <c r="G10" s="4396">
        <v>1</v>
      </c>
      <c r="H10" s="4396">
        <v>1</v>
      </c>
      <c r="I10" s="4396">
        <v>1</v>
      </c>
      <c r="J10" s="4396">
        <v>1</v>
      </c>
      <c r="K10" s="4396">
        <v>0</v>
      </c>
      <c r="L10" s="4396">
        <v>0</v>
      </c>
      <c r="M10" s="4396">
        <v>1</v>
      </c>
      <c r="N10" s="4396">
        <v>0.9</v>
      </c>
      <c r="O10" s="4396">
        <v>0.9</v>
      </c>
      <c r="P10" s="4396">
        <v>1</v>
      </c>
      <c r="Q10" s="4396">
        <v>0</v>
      </c>
    </row>
    <row r="11" spans="1:17" s="4395" customFormat="1" ht="15.6">
      <c r="A11" s="745">
        <v>4</v>
      </c>
      <c r="B11" s="828" t="s">
        <v>1138</v>
      </c>
      <c r="C11" s="4396">
        <v>1</v>
      </c>
      <c r="D11" s="4396">
        <v>1</v>
      </c>
      <c r="E11" s="4396">
        <v>0</v>
      </c>
      <c r="F11" s="4396">
        <v>0</v>
      </c>
      <c r="G11" s="4396">
        <v>1</v>
      </c>
      <c r="H11" s="4396">
        <v>1</v>
      </c>
      <c r="I11" s="4396">
        <v>1</v>
      </c>
      <c r="J11" s="4396">
        <v>1</v>
      </c>
      <c r="K11" s="4396">
        <v>0</v>
      </c>
      <c r="L11" s="4396">
        <v>0</v>
      </c>
      <c r="M11" s="4396">
        <v>1</v>
      </c>
      <c r="N11" s="4396">
        <v>0.9</v>
      </c>
      <c r="O11" s="4396">
        <v>0.9</v>
      </c>
      <c r="P11" s="4396">
        <v>1</v>
      </c>
      <c r="Q11" s="4396">
        <v>0</v>
      </c>
    </row>
    <row r="12" spans="1:17" s="4395" customFormat="1" ht="15.6">
      <c r="A12" s="745">
        <v>5</v>
      </c>
      <c r="B12" s="828" t="s">
        <v>1139</v>
      </c>
      <c r="C12" s="4396">
        <v>1</v>
      </c>
      <c r="D12" s="4396">
        <v>1</v>
      </c>
      <c r="E12" s="4396">
        <v>0</v>
      </c>
      <c r="F12" s="4396">
        <v>0</v>
      </c>
      <c r="G12" s="4396">
        <v>1</v>
      </c>
      <c r="H12" s="4396">
        <v>1</v>
      </c>
      <c r="I12" s="4396">
        <v>1</v>
      </c>
      <c r="J12" s="4396">
        <v>1</v>
      </c>
      <c r="K12" s="4396">
        <v>0</v>
      </c>
      <c r="L12" s="4396">
        <v>0</v>
      </c>
      <c r="M12" s="4396">
        <v>1</v>
      </c>
      <c r="N12" s="4396">
        <v>0.9</v>
      </c>
      <c r="O12" s="4396">
        <v>0.9</v>
      </c>
      <c r="P12" s="4396">
        <v>1</v>
      </c>
      <c r="Q12" s="4396">
        <v>0</v>
      </c>
    </row>
    <row r="13" spans="1:17" s="3780" customFormat="1" ht="15.6">
      <c r="A13" s="745">
        <v>6</v>
      </c>
      <c r="B13" s="828" t="s">
        <v>1140</v>
      </c>
      <c r="C13" s="4396">
        <v>1</v>
      </c>
      <c r="D13" s="4396">
        <v>1</v>
      </c>
      <c r="E13" s="4396">
        <v>0</v>
      </c>
      <c r="F13" s="4396">
        <v>0</v>
      </c>
      <c r="G13" s="4396">
        <v>1</v>
      </c>
      <c r="H13" s="4396">
        <v>1</v>
      </c>
      <c r="I13" s="4396">
        <v>1</v>
      </c>
      <c r="J13" s="4396">
        <v>1</v>
      </c>
      <c r="K13" s="4396">
        <v>0</v>
      </c>
      <c r="L13" s="4396">
        <v>0</v>
      </c>
      <c r="M13" s="4396">
        <v>1</v>
      </c>
      <c r="N13" s="4396">
        <v>0.9</v>
      </c>
      <c r="O13" s="4396">
        <v>0.9</v>
      </c>
      <c r="P13" s="4396">
        <v>1</v>
      </c>
      <c r="Q13" s="4396">
        <v>0</v>
      </c>
    </row>
    <row r="14" spans="1:17" s="3780" customFormat="1" ht="15.6">
      <c r="A14" s="745">
        <v>7</v>
      </c>
      <c r="B14" s="828" t="s">
        <v>1141</v>
      </c>
      <c r="C14" s="4396">
        <v>1</v>
      </c>
      <c r="D14" s="4396">
        <v>1</v>
      </c>
      <c r="E14" s="4396">
        <v>0</v>
      </c>
      <c r="F14" s="4396">
        <v>0</v>
      </c>
      <c r="G14" s="4396">
        <v>1</v>
      </c>
      <c r="H14" s="4396">
        <v>1</v>
      </c>
      <c r="I14" s="4396">
        <v>1</v>
      </c>
      <c r="J14" s="4396">
        <v>1</v>
      </c>
      <c r="K14" s="4396">
        <v>0</v>
      </c>
      <c r="L14" s="4396">
        <v>0</v>
      </c>
      <c r="M14" s="4396">
        <v>1</v>
      </c>
      <c r="N14" s="4396">
        <v>0.9</v>
      </c>
      <c r="O14" s="4396">
        <v>0.9</v>
      </c>
      <c r="P14" s="4396">
        <v>1</v>
      </c>
      <c r="Q14" s="4396">
        <v>0</v>
      </c>
    </row>
    <row r="15" spans="1:17" s="3780" customFormat="1" ht="15.6">
      <c r="A15" s="745">
        <v>8</v>
      </c>
      <c r="B15" s="828" t="s">
        <v>1142</v>
      </c>
      <c r="C15" s="4396">
        <v>1</v>
      </c>
      <c r="D15" s="4396">
        <v>1</v>
      </c>
      <c r="E15" s="4396">
        <v>0</v>
      </c>
      <c r="F15" s="4396">
        <v>0</v>
      </c>
      <c r="G15" s="4396">
        <v>1</v>
      </c>
      <c r="H15" s="4396">
        <v>1</v>
      </c>
      <c r="I15" s="4396">
        <v>1</v>
      </c>
      <c r="J15" s="4396">
        <v>1</v>
      </c>
      <c r="K15" s="4396">
        <v>0</v>
      </c>
      <c r="L15" s="4396">
        <v>0</v>
      </c>
      <c r="M15" s="4396">
        <v>1</v>
      </c>
      <c r="N15" s="4396">
        <v>0.9</v>
      </c>
      <c r="O15" s="4396">
        <v>0.9</v>
      </c>
      <c r="P15" s="4396">
        <v>1</v>
      </c>
      <c r="Q15" s="4396">
        <v>0</v>
      </c>
    </row>
    <row r="16" spans="1:17" s="3780" customFormat="1" ht="15.6">
      <c r="A16" s="745">
        <v>9</v>
      </c>
      <c r="B16" s="828" t="s">
        <v>1143</v>
      </c>
      <c r="C16" s="4396">
        <v>1</v>
      </c>
      <c r="D16" s="4396">
        <v>1</v>
      </c>
      <c r="E16" s="4396">
        <v>0</v>
      </c>
      <c r="F16" s="4396">
        <v>0</v>
      </c>
      <c r="G16" s="4396">
        <v>1</v>
      </c>
      <c r="H16" s="4396">
        <v>1</v>
      </c>
      <c r="I16" s="4396">
        <v>1</v>
      </c>
      <c r="J16" s="4396">
        <v>1</v>
      </c>
      <c r="K16" s="4396">
        <v>0</v>
      </c>
      <c r="L16" s="4396">
        <v>0</v>
      </c>
      <c r="M16" s="4396">
        <v>1</v>
      </c>
      <c r="N16" s="4396">
        <v>0.9</v>
      </c>
      <c r="O16" s="4396">
        <v>0.9</v>
      </c>
      <c r="P16" s="4396">
        <v>1</v>
      </c>
      <c r="Q16" s="4396">
        <v>0</v>
      </c>
    </row>
    <row r="17" spans="1:23" s="3780" customFormat="1" ht="15.6">
      <c r="A17" s="745">
        <v>10</v>
      </c>
      <c r="B17" s="828" t="s">
        <v>1144</v>
      </c>
      <c r="C17" s="4396">
        <v>1</v>
      </c>
      <c r="D17" s="4396">
        <v>1</v>
      </c>
      <c r="E17" s="4396">
        <v>0</v>
      </c>
      <c r="F17" s="4396">
        <v>0</v>
      </c>
      <c r="G17" s="4396">
        <v>1</v>
      </c>
      <c r="H17" s="4396">
        <v>1</v>
      </c>
      <c r="I17" s="4396">
        <v>1</v>
      </c>
      <c r="J17" s="4396">
        <v>1</v>
      </c>
      <c r="K17" s="4396">
        <v>0</v>
      </c>
      <c r="L17" s="4396">
        <v>0</v>
      </c>
      <c r="M17" s="4396">
        <v>1</v>
      </c>
      <c r="N17" s="4396">
        <v>0.9</v>
      </c>
      <c r="O17" s="4396">
        <v>0.9</v>
      </c>
      <c r="P17" s="4396">
        <v>1</v>
      </c>
      <c r="Q17" s="4396">
        <v>0</v>
      </c>
      <c r="W17" s="3780" t="s">
        <v>117</v>
      </c>
    </row>
    <row r="18" spans="1:23" s="3780" customFormat="1" ht="15.6">
      <c r="A18" s="745">
        <v>11</v>
      </c>
      <c r="B18" s="828" t="s">
        <v>1145</v>
      </c>
      <c r="C18" s="4396">
        <v>1</v>
      </c>
      <c r="D18" s="4396">
        <v>1</v>
      </c>
      <c r="E18" s="4396">
        <v>0</v>
      </c>
      <c r="F18" s="4396">
        <v>0</v>
      </c>
      <c r="G18" s="4396">
        <v>1</v>
      </c>
      <c r="H18" s="4396">
        <v>1</v>
      </c>
      <c r="I18" s="4396">
        <v>1</v>
      </c>
      <c r="J18" s="4396">
        <v>1</v>
      </c>
      <c r="K18" s="4396">
        <v>0</v>
      </c>
      <c r="L18" s="4396">
        <v>0</v>
      </c>
      <c r="M18" s="4396">
        <v>1</v>
      </c>
      <c r="N18" s="4396">
        <v>0.9</v>
      </c>
      <c r="O18" s="4396">
        <v>0.9</v>
      </c>
      <c r="P18" s="4396">
        <v>1</v>
      </c>
      <c r="Q18" s="4396">
        <v>0</v>
      </c>
    </row>
    <row r="19" spans="1:23" s="4395" customFormat="1" ht="15.6">
      <c r="A19" s="4397">
        <v>12</v>
      </c>
      <c r="B19" s="4398" t="s">
        <v>1146</v>
      </c>
      <c r="C19" s="4399">
        <v>1</v>
      </c>
      <c r="D19" s="4399">
        <v>1</v>
      </c>
      <c r="E19" s="4399">
        <v>0</v>
      </c>
      <c r="F19" s="4399">
        <v>0</v>
      </c>
      <c r="G19" s="4399">
        <v>1</v>
      </c>
      <c r="H19" s="4399">
        <v>1</v>
      </c>
      <c r="I19" s="4399">
        <v>1</v>
      </c>
      <c r="J19" s="4399">
        <v>1</v>
      </c>
      <c r="K19" s="4399">
        <v>0</v>
      </c>
      <c r="L19" s="4399">
        <v>0</v>
      </c>
      <c r="M19" s="4399">
        <v>1</v>
      </c>
      <c r="N19" s="4399">
        <v>0.9</v>
      </c>
      <c r="O19" s="4399">
        <v>0.9</v>
      </c>
      <c r="P19" s="4399">
        <v>1</v>
      </c>
      <c r="Q19" s="4399">
        <v>0</v>
      </c>
    </row>
    <row r="20" spans="1:23" ht="15.6">
      <c r="A20" s="1192"/>
      <c r="B20" s="4400" t="s">
        <v>2482</v>
      </c>
      <c r="C20" s="1192"/>
      <c r="D20" s="1192"/>
      <c r="E20" s="1192"/>
      <c r="F20" s="1192"/>
      <c r="G20" s="1192"/>
      <c r="H20" s="1192"/>
      <c r="I20" s="1192"/>
      <c r="J20" s="1192"/>
      <c r="K20" s="1192"/>
      <c r="L20" s="1192"/>
      <c r="M20" s="6605"/>
      <c r="N20" s="6605"/>
      <c r="O20" s="6605"/>
      <c r="P20" s="6605"/>
      <c r="Q20" s="1192"/>
    </row>
    <row r="21" spans="1:23" ht="15.6">
      <c r="A21" s="1192"/>
      <c r="B21" s="4341" t="s">
        <v>2483</v>
      </c>
      <c r="C21" s="1192"/>
      <c r="D21" s="1192"/>
      <c r="E21" s="1192"/>
      <c r="F21" s="1192"/>
      <c r="G21" s="1192"/>
      <c r="H21" s="1192"/>
      <c r="I21" s="1192"/>
      <c r="J21" s="1192"/>
      <c r="K21" s="1192"/>
      <c r="L21" s="1192"/>
      <c r="M21" s="6138"/>
      <c r="N21" s="6138"/>
      <c r="O21" s="6138"/>
      <c r="P21" s="6138"/>
      <c r="Q21" s="1192"/>
    </row>
    <row r="22" spans="1:23" ht="15.6">
      <c r="A22" s="1192"/>
      <c r="B22" s="4341" t="s">
        <v>2484</v>
      </c>
      <c r="C22" s="1192"/>
      <c r="D22" s="1192"/>
      <c r="E22" s="1192"/>
      <c r="F22" s="1192"/>
      <c r="G22" s="1192"/>
      <c r="H22" s="1192"/>
      <c r="I22" s="1192"/>
      <c r="J22" s="1192"/>
      <c r="K22" s="1192"/>
      <c r="L22" s="1192"/>
      <c r="M22" s="6138"/>
      <c r="N22" s="6138"/>
      <c r="O22" s="6138"/>
      <c r="P22" s="6138"/>
      <c r="Q22" s="1192"/>
    </row>
    <row r="23" spans="1:23" ht="15.6">
      <c r="A23" s="1192"/>
      <c r="B23" s="4341" t="s">
        <v>2485</v>
      </c>
      <c r="C23" s="1192"/>
      <c r="D23" s="1192"/>
      <c r="E23" s="1192"/>
      <c r="F23" s="1192"/>
      <c r="G23" s="1192"/>
      <c r="H23" s="1192"/>
      <c r="I23" s="1192"/>
      <c r="J23" s="1192"/>
      <c r="K23" s="1192"/>
      <c r="L23" s="1192"/>
      <c r="M23" s="1192"/>
      <c r="N23" s="1192"/>
      <c r="O23" s="1192"/>
      <c r="P23" s="1192"/>
      <c r="Q23" s="1192"/>
    </row>
    <row r="24" spans="1:23" ht="15.6">
      <c r="A24" s="1192"/>
      <c r="B24" s="4341" t="s">
        <v>2486</v>
      </c>
      <c r="C24" s="1192"/>
      <c r="D24" s="1192"/>
      <c r="E24" s="1192"/>
      <c r="F24" s="1192"/>
      <c r="G24" s="1192"/>
      <c r="H24" s="1192"/>
      <c r="I24" s="1192"/>
      <c r="J24" s="1192"/>
      <c r="K24" s="1192"/>
      <c r="L24" s="1192"/>
      <c r="M24" s="1192"/>
      <c r="N24" s="1192"/>
      <c r="O24" s="1192"/>
      <c r="P24" s="1192"/>
      <c r="Q24" s="1192"/>
    </row>
    <row r="25" spans="1:23" ht="15.6">
      <c r="A25" s="1192"/>
      <c r="B25" s="4341" t="s">
        <v>2487</v>
      </c>
      <c r="C25" s="1192"/>
      <c r="D25" s="1192"/>
      <c r="E25" s="1192"/>
      <c r="F25" s="1192"/>
      <c r="G25" s="1192"/>
      <c r="H25" s="1192"/>
      <c r="I25" s="1192"/>
      <c r="J25" s="1192"/>
      <c r="K25" s="1192"/>
      <c r="L25" s="1192"/>
      <c r="M25" s="1192"/>
      <c r="N25" s="1192"/>
      <c r="O25" s="1192"/>
      <c r="P25" s="1192"/>
      <c r="Q25" s="1192"/>
    </row>
    <row r="26" spans="1:23" ht="15.6">
      <c r="A26" s="1192"/>
      <c r="B26" s="4341" t="s">
        <v>2488</v>
      </c>
      <c r="C26" s="1192"/>
      <c r="D26" s="1192"/>
      <c r="E26" s="1192"/>
      <c r="F26" s="1192"/>
      <c r="G26" s="1192"/>
      <c r="H26" s="1192"/>
      <c r="I26" s="1192"/>
      <c r="J26" s="1192"/>
      <c r="K26" s="1192"/>
      <c r="L26" s="1192"/>
      <c r="M26" s="1192"/>
      <c r="N26" s="1192"/>
      <c r="O26" s="1192"/>
      <c r="P26" s="1192"/>
      <c r="Q26" s="1192"/>
    </row>
    <row r="27" spans="1:23" ht="28.5" customHeight="1">
      <c r="A27" s="1192"/>
      <c r="B27" s="6559" t="s">
        <v>2489</v>
      </c>
      <c r="C27" s="6559"/>
      <c r="D27" s="6559"/>
      <c r="E27" s="6559"/>
      <c r="F27" s="6559"/>
      <c r="G27" s="6559"/>
      <c r="H27" s="6559"/>
      <c r="I27" s="6559"/>
      <c r="J27" s="6559"/>
      <c r="K27" s="6559"/>
      <c r="L27" s="6559"/>
      <c r="M27" s="6559"/>
      <c r="N27" s="6559"/>
      <c r="O27" s="6559"/>
      <c r="P27" s="6559"/>
      <c r="Q27" s="6559"/>
    </row>
    <row r="28" spans="1:23">
      <c r="B28" s="4341" t="s">
        <v>3284</v>
      </c>
    </row>
  </sheetData>
  <mergeCells count="21">
    <mergeCell ref="A1:Q1"/>
    <mergeCell ref="A2:Q2"/>
    <mergeCell ref="P4:Q4"/>
    <mergeCell ref="A5:A7"/>
    <mergeCell ref="B5:B7"/>
    <mergeCell ref="C5:Q5"/>
    <mergeCell ref="C6:G6"/>
    <mergeCell ref="H6:H7"/>
    <mergeCell ref="I6:I7"/>
    <mergeCell ref="J6:J7"/>
    <mergeCell ref="Q6:Q7"/>
    <mergeCell ref="M20:P20"/>
    <mergeCell ref="M21:P21"/>
    <mergeCell ref="M22:P22"/>
    <mergeCell ref="B27:Q27"/>
    <mergeCell ref="K6:K7"/>
    <mergeCell ref="L6:L7"/>
    <mergeCell ref="M6:M7"/>
    <mergeCell ref="N6:N7"/>
    <mergeCell ref="O6:O7"/>
    <mergeCell ref="P6:P7"/>
  </mergeCells>
  <hyperlinks>
    <hyperlink ref="A5:A7" location="'Danh mục file'!A1" display="'Danh mục file'!A1"/>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3" tint="0.39997558519241921"/>
  </sheetPr>
  <dimension ref="A1:G167"/>
  <sheetViews>
    <sheetView workbookViewId="0">
      <selection activeCell="J11" sqref="J11"/>
    </sheetView>
  </sheetViews>
  <sheetFormatPr defaultColWidth="10.33203125" defaultRowHeight="15.6"/>
  <cols>
    <col min="1" max="1" width="4.88671875" style="1193" customWidth="1"/>
    <col min="2" max="2" width="32.33203125" style="1192" customWidth="1"/>
    <col min="3" max="7" width="15.88671875" style="1192" customWidth="1"/>
    <col min="8" max="16384" width="10.33203125" style="1192"/>
  </cols>
  <sheetData>
    <row r="1" spans="1:7">
      <c r="A1" s="6138" t="s">
        <v>2490</v>
      </c>
      <c r="B1" s="6138"/>
      <c r="C1" s="6138"/>
      <c r="D1" s="6138"/>
      <c r="E1" s="6138"/>
      <c r="F1" s="6138"/>
      <c r="G1" s="6138"/>
    </row>
    <row r="2" spans="1:7">
      <c r="A2" s="6557" t="s">
        <v>3285</v>
      </c>
      <c r="B2" s="6138"/>
      <c r="C2" s="6138"/>
      <c r="D2" s="6138"/>
      <c r="E2" s="6138"/>
      <c r="F2" s="6138"/>
      <c r="G2" s="6138"/>
    </row>
    <row r="3" spans="1:7">
      <c r="A3" s="6607" t="str">
        <f>+'Phụ lục 8-CKNS'!A2:Q2</f>
        <v>(Kèm theo Quyết định số       /QĐ-UBND-HC ngày     /12/2024 của Ủy ban nhân dân tỉnh Đồng Tháp)</v>
      </c>
      <c r="B3" s="6608"/>
      <c r="C3" s="6608"/>
      <c r="D3" s="6608"/>
      <c r="E3" s="6608"/>
      <c r="F3" s="6608"/>
      <c r="G3" s="6608"/>
    </row>
    <row r="4" spans="1:7">
      <c r="F4" s="6609" t="s">
        <v>2491</v>
      </c>
      <c r="G4" s="6609"/>
    </row>
    <row r="5" spans="1:7">
      <c r="A5" s="6073" t="s">
        <v>1660</v>
      </c>
      <c r="B5" s="6132" t="s">
        <v>2492</v>
      </c>
      <c r="C5" s="6610"/>
      <c r="D5" s="6610"/>
      <c r="E5" s="6610"/>
      <c r="F5" s="6610"/>
      <c r="G5" s="6610"/>
    </row>
    <row r="6" spans="1:7" s="3042" customFormat="1" ht="46.8">
      <c r="A6" s="6073"/>
      <c r="B6" s="6132"/>
      <c r="C6" s="1383" t="s">
        <v>97</v>
      </c>
      <c r="D6" s="1383" t="s">
        <v>2493</v>
      </c>
      <c r="E6" s="1383" t="s">
        <v>1479</v>
      </c>
      <c r="F6" s="1383" t="s">
        <v>2494</v>
      </c>
      <c r="G6" s="1383" t="s">
        <v>2495</v>
      </c>
    </row>
    <row r="7" spans="1:7" s="2423" customFormat="1">
      <c r="A7" s="4401" t="s">
        <v>3</v>
      </c>
      <c r="B7" s="4402" t="s">
        <v>1135</v>
      </c>
      <c r="C7" s="4403"/>
      <c r="D7" s="4403"/>
      <c r="E7" s="4403"/>
      <c r="F7" s="4403"/>
      <c r="G7" s="4403"/>
    </row>
    <row r="8" spans="1:7" s="2423" customFormat="1">
      <c r="A8" s="4404">
        <v>1</v>
      </c>
      <c r="B8" s="4405" t="s">
        <v>2496</v>
      </c>
      <c r="C8" s="4406">
        <v>1</v>
      </c>
      <c r="D8" s="4406">
        <v>1</v>
      </c>
      <c r="E8" s="4406">
        <v>1</v>
      </c>
      <c r="F8" s="4406">
        <v>1</v>
      </c>
      <c r="G8" s="4406">
        <v>1</v>
      </c>
    </row>
    <row r="9" spans="1:7">
      <c r="A9" s="4404">
        <v>2</v>
      </c>
      <c r="B9" s="4405" t="s">
        <v>2497</v>
      </c>
      <c r="C9" s="4406">
        <v>1</v>
      </c>
      <c r="D9" s="4406">
        <v>1</v>
      </c>
      <c r="E9" s="4406">
        <v>1</v>
      </c>
      <c r="F9" s="4406">
        <v>1</v>
      </c>
      <c r="G9" s="4406">
        <v>1</v>
      </c>
    </row>
    <row r="10" spans="1:7">
      <c r="A10" s="4404">
        <v>3</v>
      </c>
      <c r="B10" s="4405" t="s">
        <v>2498</v>
      </c>
      <c r="C10" s="4406">
        <v>1</v>
      </c>
      <c r="D10" s="4406">
        <v>1</v>
      </c>
      <c r="E10" s="4406">
        <v>1</v>
      </c>
      <c r="F10" s="4406">
        <v>1</v>
      </c>
      <c r="G10" s="4406">
        <v>1</v>
      </c>
    </row>
    <row r="11" spans="1:7">
      <c r="A11" s="4404">
        <v>4</v>
      </c>
      <c r="B11" s="4405" t="s">
        <v>2499</v>
      </c>
      <c r="C11" s="4406">
        <v>1</v>
      </c>
      <c r="D11" s="4406">
        <v>1</v>
      </c>
      <c r="E11" s="4406">
        <v>1</v>
      </c>
      <c r="F11" s="4406">
        <v>1</v>
      </c>
      <c r="G11" s="4406">
        <v>1</v>
      </c>
    </row>
    <row r="12" spans="1:7">
      <c r="A12" s="4404">
        <v>5</v>
      </c>
      <c r="B12" s="4405" t="s">
        <v>2500</v>
      </c>
      <c r="C12" s="4406">
        <v>1</v>
      </c>
      <c r="D12" s="4406">
        <v>1</v>
      </c>
      <c r="E12" s="4406">
        <v>1</v>
      </c>
      <c r="F12" s="4406">
        <v>1</v>
      </c>
      <c r="G12" s="4406">
        <v>1</v>
      </c>
    </row>
    <row r="13" spans="1:7">
      <c r="A13" s="4404">
        <v>6</v>
      </c>
      <c r="B13" s="4405" t="s">
        <v>2501</v>
      </c>
      <c r="C13" s="4406">
        <v>1</v>
      </c>
      <c r="D13" s="4406">
        <v>1</v>
      </c>
      <c r="E13" s="4406">
        <v>1</v>
      </c>
      <c r="F13" s="4406">
        <v>1</v>
      </c>
      <c r="G13" s="4406">
        <v>1</v>
      </c>
    </row>
    <row r="14" spans="1:7">
      <c r="A14" s="4404">
        <v>7</v>
      </c>
      <c r="B14" s="4405" t="s">
        <v>2502</v>
      </c>
      <c r="C14" s="4406">
        <v>1</v>
      </c>
      <c r="D14" s="4406">
        <v>1</v>
      </c>
      <c r="E14" s="4406">
        <v>1</v>
      </c>
      <c r="F14" s="4406">
        <v>1</v>
      </c>
      <c r="G14" s="4406">
        <v>1</v>
      </c>
    </row>
    <row r="15" spans="1:7">
      <c r="A15" s="4404">
        <v>8</v>
      </c>
      <c r="B15" s="4405" t="s">
        <v>2503</v>
      </c>
      <c r="C15" s="4406">
        <v>1</v>
      </c>
      <c r="D15" s="4406">
        <v>1</v>
      </c>
      <c r="E15" s="4406">
        <v>1</v>
      </c>
      <c r="F15" s="4406">
        <v>1</v>
      </c>
      <c r="G15" s="4406">
        <v>1</v>
      </c>
    </row>
    <row r="16" spans="1:7">
      <c r="A16" s="4404">
        <v>9</v>
      </c>
      <c r="B16" s="4405" t="s">
        <v>2504</v>
      </c>
      <c r="C16" s="4406">
        <v>1</v>
      </c>
      <c r="D16" s="4406">
        <v>1</v>
      </c>
      <c r="E16" s="4406">
        <v>1</v>
      </c>
      <c r="F16" s="4406">
        <v>1</v>
      </c>
      <c r="G16" s="4406">
        <v>1</v>
      </c>
    </row>
    <row r="17" spans="1:7">
      <c r="A17" s="4404">
        <v>10</v>
      </c>
      <c r="B17" s="4405" t="s">
        <v>2505</v>
      </c>
      <c r="C17" s="4406">
        <v>1</v>
      </c>
      <c r="D17" s="4406">
        <v>1</v>
      </c>
      <c r="E17" s="4406">
        <v>1</v>
      </c>
      <c r="F17" s="4406">
        <v>1</v>
      </c>
      <c r="G17" s="4406">
        <v>1</v>
      </c>
    </row>
    <row r="18" spans="1:7" s="2423" customFormat="1">
      <c r="A18" s="4407" t="s">
        <v>33</v>
      </c>
      <c r="B18" s="4408" t="s">
        <v>1136</v>
      </c>
      <c r="C18" s="4409"/>
      <c r="D18" s="4409"/>
      <c r="E18" s="4409"/>
      <c r="F18" s="4409"/>
      <c r="G18" s="4409"/>
    </row>
    <row r="19" spans="1:7" ht="15.75" customHeight="1">
      <c r="A19" s="4410">
        <v>1</v>
      </c>
      <c r="B19" s="4411" t="s">
        <v>2506</v>
      </c>
      <c r="C19" s="6611" t="s">
        <v>2507</v>
      </c>
      <c r="D19" s="6612"/>
      <c r="E19" s="6612"/>
      <c r="F19" s="6613"/>
      <c r="G19" s="4412">
        <v>1</v>
      </c>
    </row>
    <row r="20" spans="1:7">
      <c r="A20" s="4410">
        <v>2</v>
      </c>
      <c r="B20" s="4411" t="s">
        <v>2508</v>
      </c>
      <c r="C20" s="6614"/>
      <c r="D20" s="6615"/>
      <c r="E20" s="6615"/>
      <c r="F20" s="6616"/>
      <c r="G20" s="4412">
        <v>1</v>
      </c>
    </row>
    <row r="21" spans="1:7">
      <c r="A21" s="4413">
        <v>3</v>
      </c>
      <c r="B21" s="4414" t="s">
        <v>2509</v>
      </c>
      <c r="C21" s="6614"/>
      <c r="D21" s="6615"/>
      <c r="E21" s="6615"/>
      <c r="F21" s="6616"/>
      <c r="G21" s="4415">
        <v>1</v>
      </c>
    </row>
    <row r="22" spans="1:7">
      <c r="A22" s="4410">
        <v>4</v>
      </c>
      <c r="B22" s="4411" t="s">
        <v>2510</v>
      </c>
      <c r="C22" s="6614"/>
      <c r="D22" s="6615"/>
      <c r="E22" s="6615"/>
      <c r="F22" s="6616"/>
      <c r="G22" s="4412">
        <v>1</v>
      </c>
    </row>
    <row r="23" spans="1:7">
      <c r="A23" s="4410">
        <v>5</v>
      </c>
      <c r="B23" s="4411" t="s">
        <v>2511</v>
      </c>
      <c r="C23" s="6617"/>
      <c r="D23" s="6618"/>
      <c r="E23" s="6618"/>
      <c r="F23" s="6619"/>
      <c r="G23" s="4412">
        <v>1</v>
      </c>
    </row>
    <row r="24" spans="1:7">
      <c r="A24" s="4404">
        <v>6</v>
      </c>
      <c r="B24" s="4405" t="s">
        <v>2512</v>
      </c>
      <c r="C24" s="4406">
        <v>1</v>
      </c>
      <c r="D24" s="4406">
        <v>1</v>
      </c>
      <c r="E24" s="4406">
        <v>1</v>
      </c>
      <c r="F24" s="4406">
        <v>1</v>
      </c>
      <c r="G24" s="4406">
        <v>1</v>
      </c>
    </row>
    <row r="25" spans="1:7">
      <c r="A25" s="4404">
        <v>7</v>
      </c>
      <c r="B25" s="4405" t="s">
        <v>2513</v>
      </c>
      <c r="C25" s="4406">
        <v>1</v>
      </c>
      <c r="D25" s="4406">
        <v>1</v>
      </c>
      <c r="E25" s="4406">
        <v>1</v>
      </c>
      <c r="F25" s="4406">
        <v>1</v>
      </c>
      <c r="G25" s="4406">
        <v>1</v>
      </c>
    </row>
    <row r="26" spans="1:7" s="2423" customFormat="1">
      <c r="A26" s="4407" t="s">
        <v>182</v>
      </c>
      <c r="B26" s="4408" t="s">
        <v>1137</v>
      </c>
      <c r="C26" s="4409"/>
      <c r="D26" s="4409"/>
      <c r="E26" s="4409"/>
      <c r="F26" s="4409"/>
      <c r="G26" s="4409"/>
    </row>
    <row r="27" spans="1:7">
      <c r="A27" s="4404">
        <v>1</v>
      </c>
      <c r="B27" s="4405" t="s">
        <v>2514</v>
      </c>
      <c r="C27" s="4406">
        <v>1</v>
      </c>
      <c r="D27" s="4406">
        <v>1</v>
      </c>
      <c r="E27" s="4406">
        <v>1</v>
      </c>
      <c r="F27" s="4406">
        <v>1</v>
      </c>
      <c r="G27" s="4406">
        <v>1</v>
      </c>
    </row>
    <row r="28" spans="1:7">
      <c r="A28" s="4404">
        <v>2</v>
      </c>
      <c r="B28" s="4405" t="s">
        <v>2515</v>
      </c>
      <c r="C28" s="4406">
        <v>1</v>
      </c>
      <c r="D28" s="4406">
        <v>1</v>
      </c>
      <c r="E28" s="4406">
        <v>1</v>
      </c>
      <c r="F28" s="4406">
        <v>1</v>
      </c>
      <c r="G28" s="4406">
        <v>1</v>
      </c>
    </row>
    <row r="29" spans="1:7">
      <c r="A29" s="4404">
        <v>3</v>
      </c>
      <c r="B29" s="4405" t="s">
        <v>2516</v>
      </c>
      <c r="C29" s="4406">
        <v>1</v>
      </c>
      <c r="D29" s="4406">
        <v>1</v>
      </c>
      <c r="E29" s="4406">
        <v>1</v>
      </c>
      <c r="F29" s="4406">
        <v>1</v>
      </c>
      <c r="G29" s="4406">
        <v>1</v>
      </c>
    </row>
    <row r="30" spans="1:7">
      <c r="A30" s="4404">
        <v>4</v>
      </c>
      <c r="B30" s="4405" t="s">
        <v>2517</v>
      </c>
      <c r="C30" s="4406">
        <v>1</v>
      </c>
      <c r="D30" s="4406">
        <v>1</v>
      </c>
      <c r="E30" s="4406">
        <v>1</v>
      </c>
      <c r="F30" s="4406">
        <v>1</v>
      </c>
      <c r="G30" s="4406">
        <v>1</v>
      </c>
    </row>
    <row r="31" spans="1:7">
      <c r="A31" s="4404">
        <v>5</v>
      </c>
      <c r="B31" s="4405" t="s">
        <v>2518</v>
      </c>
      <c r="C31" s="4406">
        <v>1</v>
      </c>
      <c r="D31" s="4406">
        <v>1</v>
      </c>
      <c r="E31" s="4406">
        <v>1</v>
      </c>
      <c r="F31" s="4406">
        <v>1</v>
      </c>
      <c r="G31" s="4406">
        <v>1</v>
      </c>
    </row>
    <row r="32" spans="1:7">
      <c r="A32" s="4404">
        <v>6</v>
      </c>
      <c r="B32" s="4405" t="s">
        <v>2519</v>
      </c>
      <c r="C32" s="4406">
        <v>1</v>
      </c>
      <c r="D32" s="4406">
        <v>1</v>
      </c>
      <c r="E32" s="4406">
        <v>1</v>
      </c>
      <c r="F32" s="4406">
        <v>1</v>
      </c>
      <c r="G32" s="4406">
        <v>1</v>
      </c>
    </row>
    <row r="33" spans="1:7">
      <c r="A33" s="4404">
        <v>7</v>
      </c>
      <c r="B33" s="4405" t="s">
        <v>2520</v>
      </c>
      <c r="C33" s="4406">
        <v>1</v>
      </c>
      <c r="D33" s="4406">
        <v>1</v>
      </c>
      <c r="E33" s="4406">
        <v>1</v>
      </c>
      <c r="F33" s="4406">
        <v>1</v>
      </c>
      <c r="G33" s="4406">
        <v>1</v>
      </c>
    </row>
    <row r="34" spans="1:7">
      <c r="A34" s="4404">
        <v>8</v>
      </c>
      <c r="B34" s="4405" t="s">
        <v>2521</v>
      </c>
      <c r="C34" s="4406">
        <v>1</v>
      </c>
      <c r="D34" s="4406">
        <v>1</v>
      </c>
      <c r="E34" s="4406">
        <v>1</v>
      </c>
      <c r="F34" s="4406">
        <v>1</v>
      </c>
      <c r="G34" s="4406">
        <v>1</v>
      </c>
    </row>
    <row r="35" spans="1:7">
      <c r="A35" s="4404">
        <v>9</v>
      </c>
      <c r="B35" s="4405" t="s">
        <v>2522</v>
      </c>
      <c r="C35" s="4406">
        <v>1</v>
      </c>
      <c r="D35" s="4406">
        <v>1</v>
      </c>
      <c r="E35" s="4406">
        <v>1</v>
      </c>
      <c r="F35" s="4406">
        <v>1</v>
      </c>
      <c r="G35" s="4406">
        <v>1</v>
      </c>
    </row>
    <row r="36" spans="1:7" s="2423" customFormat="1">
      <c r="A36" s="4407" t="s">
        <v>215</v>
      </c>
      <c r="B36" s="4408" t="s">
        <v>2523</v>
      </c>
      <c r="C36" s="4409"/>
      <c r="D36" s="4409"/>
      <c r="E36" s="4409"/>
      <c r="F36" s="4409"/>
      <c r="G36" s="4409"/>
    </row>
    <row r="37" spans="1:7">
      <c r="A37" s="4404">
        <v>1</v>
      </c>
      <c r="B37" s="4405" t="s">
        <v>2524</v>
      </c>
      <c r="C37" s="4406">
        <v>1</v>
      </c>
      <c r="D37" s="4406">
        <v>1</v>
      </c>
      <c r="E37" s="4406">
        <v>1</v>
      </c>
      <c r="F37" s="4406">
        <v>1</v>
      </c>
      <c r="G37" s="4406">
        <v>1</v>
      </c>
    </row>
    <row r="38" spans="1:7">
      <c r="A38" s="4404">
        <v>2</v>
      </c>
      <c r="B38" s="4405" t="s">
        <v>2525</v>
      </c>
      <c r="C38" s="4406">
        <v>1</v>
      </c>
      <c r="D38" s="4406">
        <v>1</v>
      </c>
      <c r="E38" s="4406">
        <v>1</v>
      </c>
      <c r="F38" s="4406">
        <v>1</v>
      </c>
      <c r="G38" s="4406">
        <v>1</v>
      </c>
    </row>
    <row r="39" spans="1:7">
      <c r="A39" s="4404">
        <v>3</v>
      </c>
      <c r="B39" s="4405" t="s">
        <v>2526</v>
      </c>
      <c r="C39" s="4406">
        <v>1</v>
      </c>
      <c r="D39" s="4406">
        <v>1</v>
      </c>
      <c r="E39" s="4406">
        <v>1</v>
      </c>
      <c r="F39" s="4406">
        <v>1</v>
      </c>
      <c r="G39" s="4406">
        <v>1</v>
      </c>
    </row>
    <row r="40" spans="1:7">
      <c r="A40" s="4404">
        <v>4</v>
      </c>
      <c r="B40" s="4405" t="s">
        <v>2527</v>
      </c>
      <c r="C40" s="4406">
        <v>1</v>
      </c>
      <c r="D40" s="4406">
        <v>1</v>
      </c>
      <c r="E40" s="4406">
        <v>1</v>
      </c>
      <c r="F40" s="4406">
        <v>1</v>
      </c>
      <c r="G40" s="4406">
        <v>1</v>
      </c>
    </row>
    <row r="41" spans="1:7">
      <c r="A41" s="4404">
        <v>5</v>
      </c>
      <c r="B41" s="4405" t="s">
        <v>2528</v>
      </c>
      <c r="C41" s="4406">
        <v>1</v>
      </c>
      <c r="D41" s="4406">
        <v>1</v>
      </c>
      <c r="E41" s="4406">
        <v>1</v>
      </c>
      <c r="F41" s="4406">
        <v>1</v>
      </c>
      <c r="G41" s="4406">
        <v>1</v>
      </c>
    </row>
    <row r="42" spans="1:7">
      <c r="A42" s="4404">
        <v>6</v>
      </c>
      <c r="B42" s="4405" t="s">
        <v>2529</v>
      </c>
      <c r="C42" s="4406">
        <v>1</v>
      </c>
      <c r="D42" s="4406">
        <v>1</v>
      </c>
      <c r="E42" s="4406">
        <v>1</v>
      </c>
      <c r="F42" s="4406">
        <v>1</v>
      </c>
      <c r="G42" s="4406">
        <v>1</v>
      </c>
    </row>
    <row r="43" spans="1:7">
      <c r="A43" s="4404">
        <v>7</v>
      </c>
      <c r="B43" s="4405" t="s">
        <v>2530</v>
      </c>
      <c r="C43" s="4406">
        <v>1</v>
      </c>
      <c r="D43" s="4406">
        <v>1</v>
      </c>
      <c r="E43" s="4406">
        <v>1</v>
      </c>
      <c r="F43" s="4406">
        <v>1</v>
      </c>
      <c r="G43" s="4406">
        <v>1</v>
      </c>
    </row>
    <row r="44" spans="1:7">
      <c r="A44" s="4404">
        <v>8</v>
      </c>
      <c r="B44" s="4405" t="s">
        <v>2531</v>
      </c>
      <c r="C44" s="4406">
        <v>1</v>
      </c>
      <c r="D44" s="4406">
        <v>1</v>
      </c>
      <c r="E44" s="4406">
        <v>1</v>
      </c>
      <c r="F44" s="4406">
        <v>1</v>
      </c>
      <c r="G44" s="4406">
        <v>1</v>
      </c>
    </row>
    <row r="45" spans="1:7">
      <c r="A45" s="4404">
        <v>9</v>
      </c>
      <c r="B45" s="4405" t="s">
        <v>2532</v>
      </c>
      <c r="C45" s="4406">
        <v>1</v>
      </c>
      <c r="D45" s="4406">
        <v>1</v>
      </c>
      <c r="E45" s="4406">
        <v>1</v>
      </c>
      <c r="F45" s="4406">
        <v>1</v>
      </c>
      <c r="G45" s="4406">
        <v>1</v>
      </c>
    </row>
    <row r="46" spans="1:7">
      <c r="A46" s="4404">
        <v>10</v>
      </c>
      <c r="B46" s="4405" t="s">
        <v>2533</v>
      </c>
      <c r="C46" s="4406">
        <v>1</v>
      </c>
      <c r="D46" s="4406">
        <v>1</v>
      </c>
      <c r="E46" s="4406">
        <v>1</v>
      </c>
      <c r="F46" s="4406">
        <v>1</v>
      </c>
      <c r="G46" s="4406">
        <v>1</v>
      </c>
    </row>
    <row r="47" spans="1:7">
      <c r="A47" s="4404">
        <v>11</v>
      </c>
      <c r="B47" s="4405" t="s">
        <v>2534</v>
      </c>
      <c r="C47" s="4406">
        <v>1</v>
      </c>
      <c r="D47" s="4406">
        <v>1</v>
      </c>
      <c r="E47" s="4406">
        <v>1</v>
      </c>
      <c r="F47" s="4406">
        <v>1</v>
      </c>
      <c r="G47" s="4406">
        <v>1</v>
      </c>
    </row>
    <row r="48" spans="1:7">
      <c r="A48" s="4404">
        <v>12</v>
      </c>
      <c r="B48" s="4405" t="s">
        <v>2535</v>
      </c>
      <c r="C48" s="4406">
        <v>1</v>
      </c>
      <c r="D48" s="4406">
        <v>1</v>
      </c>
      <c r="E48" s="4406">
        <v>1</v>
      </c>
      <c r="F48" s="4406">
        <v>1</v>
      </c>
      <c r="G48" s="4406">
        <v>1</v>
      </c>
    </row>
    <row r="49" spans="1:7" s="2423" customFormat="1">
      <c r="A49" s="4407" t="s">
        <v>718</v>
      </c>
      <c r="B49" s="4408" t="s">
        <v>1139</v>
      </c>
      <c r="C49" s="4409"/>
      <c r="D49" s="4409"/>
      <c r="E49" s="4409"/>
      <c r="F49" s="4409"/>
      <c r="G49" s="4409"/>
    </row>
    <row r="50" spans="1:7">
      <c r="A50" s="4404">
        <v>1</v>
      </c>
      <c r="B50" s="4416" t="s">
        <v>2536</v>
      </c>
      <c r="C50" s="4406">
        <v>1</v>
      </c>
      <c r="D50" s="4406">
        <v>1</v>
      </c>
      <c r="E50" s="4406">
        <v>1</v>
      </c>
      <c r="F50" s="4406">
        <v>1</v>
      </c>
      <c r="G50" s="4406">
        <v>1</v>
      </c>
    </row>
    <row r="51" spans="1:7">
      <c r="A51" s="4404">
        <v>2</v>
      </c>
      <c r="B51" s="4416" t="s">
        <v>2537</v>
      </c>
      <c r="C51" s="4406">
        <v>1</v>
      </c>
      <c r="D51" s="4406">
        <v>1</v>
      </c>
      <c r="E51" s="4406">
        <v>1</v>
      </c>
      <c r="F51" s="4406">
        <v>1</v>
      </c>
      <c r="G51" s="4406">
        <v>1</v>
      </c>
    </row>
    <row r="52" spans="1:7">
      <c r="A52" s="4404">
        <v>3</v>
      </c>
      <c r="B52" s="4416" t="s">
        <v>2538</v>
      </c>
      <c r="C52" s="4406">
        <v>1</v>
      </c>
      <c r="D52" s="4406">
        <v>1</v>
      </c>
      <c r="E52" s="4406">
        <v>1</v>
      </c>
      <c r="F52" s="4406">
        <v>1</v>
      </c>
      <c r="G52" s="4406">
        <v>1</v>
      </c>
    </row>
    <row r="53" spans="1:7">
      <c r="A53" s="4404">
        <v>4</v>
      </c>
      <c r="B53" s="4416" t="s">
        <v>2539</v>
      </c>
      <c r="C53" s="4406">
        <v>1</v>
      </c>
      <c r="D53" s="4406">
        <v>1</v>
      </c>
      <c r="E53" s="4406">
        <v>1</v>
      </c>
      <c r="F53" s="4406">
        <v>1</v>
      </c>
      <c r="G53" s="4406">
        <v>1</v>
      </c>
    </row>
    <row r="54" spans="1:7">
      <c r="A54" s="4404">
        <v>5</v>
      </c>
      <c r="B54" s="4416" t="s">
        <v>2540</v>
      </c>
      <c r="C54" s="4406">
        <v>1</v>
      </c>
      <c r="D54" s="4406">
        <v>1</v>
      </c>
      <c r="E54" s="4406">
        <v>1</v>
      </c>
      <c r="F54" s="4406">
        <v>1</v>
      </c>
      <c r="G54" s="4406">
        <v>1</v>
      </c>
    </row>
    <row r="55" spans="1:7">
      <c r="A55" s="4404">
        <v>6</v>
      </c>
      <c r="B55" s="4416" t="s">
        <v>2541</v>
      </c>
      <c r="C55" s="4406">
        <v>1</v>
      </c>
      <c r="D55" s="4406">
        <v>1</v>
      </c>
      <c r="E55" s="4406">
        <v>1</v>
      </c>
      <c r="F55" s="4406">
        <v>1</v>
      </c>
      <c r="G55" s="4406">
        <v>1</v>
      </c>
    </row>
    <row r="56" spans="1:7">
      <c r="A56" s="4404">
        <v>7</v>
      </c>
      <c r="B56" s="4416" t="s">
        <v>2542</v>
      </c>
      <c r="C56" s="4406">
        <v>1</v>
      </c>
      <c r="D56" s="4406">
        <v>1</v>
      </c>
      <c r="E56" s="4406">
        <v>1</v>
      </c>
      <c r="F56" s="4406">
        <v>1</v>
      </c>
      <c r="G56" s="4406">
        <v>1</v>
      </c>
    </row>
    <row r="57" spans="1:7">
      <c r="A57" s="4404">
        <v>8</v>
      </c>
      <c r="B57" s="4416" t="s">
        <v>2543</v>
      </c>
      <c r="C57" s="4406">
        <v>1</v>
      </c>
      <c r="D57" s="4406">
        <v>1</v>
      </c>
      <c r="E57" s="4406">
        <v>1</v>
      </c>
      <c r="F57" s="4406">
        <v>1</v>
      </c>
      <c r="G57" s="4406">
        <v>1</v>
      </c>
    </row>
    <row r="58" spans="1:7">
      <c r="A58" s="4404">
        <v>9</v>
      </c>
      <c r="B58" s="4416" t="s">
        <v>2544</v>
      </c>
      <c r="C58" s="4406">
        <v>1</v>
      </c>
      <c r="D58" s="4406">
        <v>1</v>
      </c>
      <c r="E58" s="4406">
        <v>1</v>
      </c>
      <c r="F58" s="4406">
        <v>1</v>
      </c>
      <c r="G58" s="4406">
        <v>1</v>
      </c>
    </row>
    <row r="59" spans="1:7">
      <c r="A59" s="4404">
        <v>10</v>
      </c>
      <c r="B59" s="4416" t="s">
        <v>2545</v>
      </c>
      <c r="C59" s="4406">
        <v>1</v>
      </c>
      <c r="D59" s="4406">
        <v>1</v>
      </c>
      <c r="E59" s="4406">
        <v>1</v>
      </c>
      <c r="F59" s="4406">
        <v>1</v>
      </c>
      <c r="G59" s="4406">
        <v>1</v>
      </c>
    </row>
    <row r="60" spans="1:7">
      <c r="A60" s="4404">
        <v>11</v>
      </c>
      <c r="B60" s="4416" t="s">
        <v>2546</v>
      </c>
      <c r="C60" s="4406">
        <v>1</v>
      </c>
      <c r="D60" s="4406">
        <v>1</v>
      </c>
      <c r="E60" s="4406">
        <v>1</v>
      </c>
      <c r="F60" s="4406">
        <v>1</v>
      </c>
      <c r="G60" s="4406">
        <v>1</v>
      </c>
    </row>
    <row r="61" spans="1:7">
      <c r="A61" s="4404">
        <v>12</v>
      </c>
      <c r="B61" s="4416" t="s">
        <v>2547</v>
      </c>
      <c r="C61" s="4406">
        <v>1</v>
      </c>
      <c r="D61" s="4406">
        <v>1</v>
      </c>
      <c r="E61" s="4406">
        <v>1</v>
      </c>
      <c r="F61" s="4406">
        <v>1</v>
      </c>
      <c r="G61" s="4406">
        <v>1</v>
      </c>
    </row>
    <row r="62" spans="1:7">
      <c r="A62" s="4404">
        <v>13</v>
      </c>
      <c r="B62" s="4416" t="s">
        <v>2548</v>
      </c>
      <c r="C62" s="4406">
        <v>1</v>
      </c>
      <c r="D62" s="4406">
        <v>1</v>
      </c>
      <c r="E62" s="4406">
        <v>1</v>
      </c>
      <c r="F62" s="4406">
        <v>1</v>
      </c>
      <c r="G62" s="4406">
        <v>1</v>
      </c>
    </row>
    <row r="63" spans="1:7">
      <c r="A63" s="4407" t="s">
        <v>744</v>
      </c>
      <c r="B63" s="4417" t="s">
        <v>2549</v>
      </c>
      <c r="C63" s="4406"/>
      <c r="D63" s="4406"/>
      <c r="E63" s="4406"/>
      <c r="F63" s="4406"/>
      <c r="G63" s="4406"/>
    </row>
    <row r="64" spans="1:7" ht="15.75" customHeight="1">
      <c r="A64" s="4418">
        <v>1</v>
      </c>
      <c r="B64" s="4419" t="s">
        <v>2550</v>
      </c>
      <c r="C64" s="6620" t="s">
        <v>2551</v>
      </c>
      <c r="D64" s="6621"/>
      <c r="E64" s="6621"/>
      <c r="F64" s="6621"/>
      <c r="G64" s="4412">
        <v>1</v>
      </c>
    </row>
    <row r="65" spans="1:7">
      <c r="A65" s="4418">
        <v>2</v>
      </c>
      <c r="B65" s="4419" t="s">
        <v>2552</v>
      </c>
      <c r="C65" s="6621"/>
      <c r="D65" s="6621"/>
      <c r="E65" s="6621"/>
      <c r="F65" s="6621"/>
      <c r="G65" s="4412">
        <v>1</v>
      </c>
    </row>
    <row r="66" spans="1:7">
      <c r="A66" s="4418">
        <v>3</v>
      </c>
      <c r="B66" s="4419" t="s">
        <v>2553</v>
      </c>
      <c r="C66" s="6621"/>
      <c r="D66" s="6621"/>
      <c r="E66" s="6621"/>
      <c r="F66" s="6621"/>
      <c r="G66" s="4412">
        <v>1</v>
      </c>
    </row>
    <row r="67" spans="1:7">
      <c r="A67" s="4418">
        <v>4</v>
      </c>
      <c r="B67" s="4419" t="s">
        <v>2554</v>
      </c>
      <c r="C67" s="6621"/>
      <c r="D67" s="6621"/>
      <c r="E67" s="6621"/>
      <c r="F67" s="6621"/>
      <c r="G67" s="4412">
        <v>1</v>
      </c>
    </row>
    <row r="68" spans="1:7">
      <c r="A68" s="4418">
        <v>5</v>
      </c>
      <c r="B68" s="4419" t="s">
        <v>2555</v>
      </c>
      <c r="C68" s="6621"/>
      <c r="D68" s="6621"/>
      <c r="E68" s="6621"/>
      <c r="F68" s="6621"/>
      <c r="G68" s="4412">
        <v>1</v>
      </c>
    </row>
    <row r="69" spans="1:7">
      <c r="A69" s="4418">
        <v>6</v>
      </c>
      <c r="B69" s="4419" t="s">
        <v>2556</v>
      </c>
      <c r="C69" s="6621"/>
      <c r="D69" s="6621"/>
      <c r="E69" s="6621"/>
      <c r="F69" s="6621"/>
      <c r="G69" s="4412">
        <v>1</v>
      </c>
    </row>
    <row r="70" spans="1:7">
      <c r="A70" s="4418">
        <v>7</v>
      </c>
      <c r="B70" s="4419" t="s">
        <v>2557</v>
      </c>
      <c r="C70" s="6621"/>
      <c r="D70" s="6621"/>
      <c r="E70" s="6621"/>
      <c r="F70" s="6621"/>
      <c r="G70" s="4412">
        <v>1</v>
      </c>
    </row>
    <row r="71" spans="1:7">
      <c r="A71" s="4418">
        <v>8</v>
      </c>
      <c r="B71" s="4419" t="s">
        <v>2558</v>
      </c>
      <c r="C71" s="6621"/>
      <c r="D71" s="6621"/>
      <c r="E71" s="6621"/>
      <c r="F71" s="6621"/>
      <c r="G71" s="4412">
        <v>1</v>
      </c>
    </row>
    <row r="72" spans="1:7">
      <c r="A72" s="4404">
        <v>9</v>
      </c>
      <c r="B72" s="4416" t="s">
        <v>2559</v>
      </c>
      <c r="C72" s="4406">
        <v>1</v>
      </c>
      <c r="D72" s="4406">
        <v>1</v>
      </c>
      <c r="E72" s="4406">
        <v>1</v>
      </c>
      <c r="F72" s="4406">
        <v>1</v>
      </c>
      <c r="G72" s="4406">
        <v>1</v>
      </c>
    </row>
    <row r="73" spans="1:7">
      <c r="A73" s="4404">
        <v>10</v>
      </c>
      <c r="B73" s="4416" t="s">
        <v>2560</v>
      </c>
      <c r="C73" s="4406">
        <v>1</v>
      </c>
      <c r="D73" s="4406">
        <v>1</v>
      </c>
      <c r="E73" s="4406">
        <v>1</v>
      </c>
      <c r="F73" s="4406">
        <v>1</v>
      </c>
      <c r="G73" s="4406">
        <v>1</v>
      </c>
    </row>
    <row r="74" spans="1:7">
      <c r="A74" s="4404">
        <v>11</v>
      </c>
      <c r="B74" s="4416" t="s">
        <v>2561</v>
      </c>
      <c r="C74" s="4406">
        <v>1</v>
      </c>
      <c r="D74" s="4406">
        <v>1</v>
      </c>
      <c r="E74" s="4406">
        <v>1</v>
      </c>
      <c r="F74" s="4406">
        <v>1</v>
      </c>
      <c r="G74" s="4406">
        <v>1</v>
      </c>
    </row>
    <row r="75" spans="1:7">
      <c r="A75" s="4404">
        <v>12</v>
      </c>
      <c r="B75" s="4416" t="s">
        <v>2562</v>
      </c>
      <c r="C75" s="4406">
        <v>1</v>
      </c>
      <c r="D75" s="4406">
        <v>1</v>
      </c>
      <c r="E75" s="4406">
        <v>1</v>
      </c>
      <c r="F75" s="4406">
        <v>1</v>
      </c>
      <c r="G75" s="4406">
        <v>1</v>
      </c>
    </row>
    <row r="76" spans="1:7">
      <c r="A76" s="4404">
        <v>13</v>
      </c>
      <c r="B76" s="4416" t="s">
        <v>2563</v>
      </c>
      <c r="C76" s="4406">
        <v>1</v>
      </c>
      <c r="D76" s="4406">
        <v>1</v>
      </c>
      <c r="E76" s="4406">
        <v>1</v>
      </c>
      <c r="F76" s="4406">
        <v>1</v>
      </c>
      <c r="G76" s="4406">
        <v>1</v>
      </c>
    </row>
    <row r="77" spans="1:7">
      <c r="A77" s="4404">
        <v>14</v>
      </c>
      <c r="B77" s="4416" t="s">
        <v>2564</v>
      </c>
      <c r="C77" s="4406">
        <v>1</v>
      </c>
      <c r="D77" s="4406">
        <v>1</v>
      </c>
      <c r="E77" s="4406">
        <v>1</v>
      </c>
      <c r="F77" s="4406">
        <v>1</v>
      </c>
      <c r="G77" s="4406">
        <v>1</v>
      </c>
    </row>
    <row r="78" spans="1:7">
      <c r="A78" s="4404">
        <v>15</v>
      </c>
      <c r="B78" s="4416" t="s">
        <v>2565</v>
      </c>
      <c r="C78" s="4406">
        <v>1</v>
      </c>
      <c r="D78" s="4406">
        <v>1</v>
      </c>
      <c r="E78" s="4406">
        <v>1</v>
      </c>
      <c r="F78" s="4406">
        <v>1</v>
      </c>
      <c r="G78" s="4406">
        <v>1</v>
      </c>
    </row>
    <row r="79" spans="1:7">
      <c r="A79" s="4407" t="s">
        <v>745</v>
      </c>
      <c r="B79" s="4417" t="s">
        <v>2566</v>
      </c>
      <c r="C79" s="4406"/>
      <c r="D79" s="4406"/>
      <c r="E79" s="4406"/>
      <c r="F79" s="4406"/>
      <c r="G79" s="4406"/>
    </row>
    <row r="80" spans="1:7">
      <c r="A80" s="4404">
        <v>1</v>
      </c>
      <c r="B80" s="4416" t="s">
        <v>2567</v>
      </c>
      <c r="C80" s="4406">
        <v>1</v>
      </c>
      <c r="D80" s="4406">
        <v>1</v>
      </c>
      <c r="E80" s="4406">
        <v>1</v>
      </c>
      <c r="F80" s="4406">
        <v>1</v>
      </c>
      <c r="G80" s="4406">
        <v>1</v>
      </c>
    </row>
    <row r="81" spans="1:7">
      <c r="A81" s="4404">
        <v>2</v>
      </c>
      <c r="B81" s="4416" t="s">
        <v>2568</v>
      </c>
      <c r="C81" s="4406">
        <v>1</v>
      </c>
      <c r="D81" s="4406">
        <v>1</v>
      </c>
      <c r="E81" s="4406">
        <v>1</v>
      </c>
      <c r="F81" s="4406">
        <v>1</v>
      </c>
      <c r="G81" s="4406">
        <v>1</v>
      </c>
    </row>
    <row r="82" spans="1:7">
      <c r="A82" s="4404">
        <v>3</v>
      </c>
      <c r="B82" s="4416" t="s">
        <v>2569</v>
      </c>
      <c r="C82" s="4406">
        <v>1</v>
      </c>
      <c r="D82" s="4406">
        <v>1</v>
      </c>
      <c r="E82" s="4406">
        <v>1</v>
      </c>
      <c r="F82" s="4406">
        <v>1</v>
      </c>
      <c r="G82" s="4406">
        <v>1</v>
      </c>
    </row>
    <row r="83" spans="1:7">
      <c r="A83" s="4404">
        <v>4</v>
      </c>
      <c r="B83" s="4416" t="s">
        <v>2570</v>
      </c>
      <c r="C83" s="4406">
        <v>1</v>
      </c>
      <c r="D83" s="4406">
        <v>1</v>
      </c>
      <c r="E83" s="4406">
        <v>1</v>
      </c>
      <c r="F83" s="4406">
        <v>1</v>
      </c>
      <c r="G83" s="4406">
        <v>1</v>
      </c>
    </row>
    <row r="84" spans="1:7">
      <c r="A84" s="4404">
        <v>5</v>
      </c>
      <c r="B84" s="4416" t="s">
        <v>2571</v>
      </c>
      <c r="C84" s="4406">
        <v>1</v>
      </c>
      <c r="D84" s="4406">
        <v>1</v>
      </c>
      <c r="E84" s="4406">
        <v>1</v>
      </c>
      <c r="F84" s="4406">
        <v>1</v>
      </c>
      <c r="G84" s="4406">
        <v>1</v>
      </c>
    </row>
    <row r="85" spans="1:7">
      <c r="A85" s="4404">
        <v>6</v>
      </c>
      <c r="B85" s="4416" t="s">
        <v>2572</v>
      </c>
      <c r="C85" s="4406">
        <v>1</v>
      </c>
      <c r="D85" s="4406">
        <v>1</v>
      </c>
      <c r="E85" s="4406">
        <v>1</v>
      </c>
      <c r="F85" s="4406">
        <v>1</v>
      </c>
      <c r="G85" s="4406">
        <v>1</v>
      </c>
    </row>
    <row r="86" spans="1:7">
      <c r="A86" s="4404">
        <v>7</v>
      </c>
      <c r="B86" s="4416" t="s">
        <v>2573</v>
      </c>
      <c r="C86" s="4406">
        <v>1</v>
      </c>
      <c r="D86" s="4406">
        <v>1</v>
      </c>
      <c r="E86" s="4406">
        <v>1</v>
      </c>
      <c r="F86" s="4406">
        <v>1</v>
      </c>
      <c r="G86" s="4406">
        <v>1</v>
      </c>
    </row>
    <row r="87" spans="1:7">
      <c r="A87" s="4404">
        <v>8</v>
      </c>
      <c r="B87" s="4416" t="s">
        <v>2574</v>
      </c>
      <c r="C87" s="4406">
        <v>1</v>
      </c>
      <c r="D87" s="4406">
        <v>1</v>
      </c>
      <c r="E87" s="4406">
        <v>1</v>
      </c>
      <c r="F87" s="4406">
        <v>1</v>
      </c>
      <c r="G87" s="4406">
        <v>1</v>
      </c>
    </row>
    <row r="88" spans="1:7">
      <c r="A88" s="4404">
        <v>9</v>
      </c>
      <c r="B88" s="4416" t="s">
        <v>2575</v>
      </c>
      <c r="C88" s="4406">
        <v>1</v>
      </c>
      <c r="D88" s="4406">
        <v>1</v>
      </c>
      <c r="E88" s="4406">
        <v>1</v>
      </c>
      <c r="F88" s="4406">
        <v>1</v>
      </c>
      <c r="G88" s="4406">
        <v>1</v>
      </c>
    </row>
    <row r="89" spans="1:7">
      <c r="A89" s="4404">
        <v>10</v>
      </c>
      <c r="B89" s="4416" t="s">
        <v>2576</v>
      </c>
      <c r="C89" s="4406">
        <v>1</v>
      </c>
      <c r="D89" s="4406">
        <v>1</v>
      </c>
      <c r="E89" s="4406">
        <v>1</v>
      </c>
      <c r="F89" s="4406">
        <v>1</v>
      </c>
      <c r="G89" s="4406">
        <v>1</v>
      </c>
    </row>
    <row r="90" spans="1:7">
      <c r="A90" s="4404">
        <v>11</v>
      </c>
      <c r="B90" s="4416" t="s">
        <v>2577</v>
      </c>
      <c r="C90" s="4406">
        <v>1</v>
      </c>
      <c r="D90" s="4406">
        <v>1</v>
      </c>
      <c r="E90" s="4406">
        <v>1</v>
      </c>
      <c r="F90" s="4406">
        <v>1</v>
      </c>
      <c r="G90" s="4406">
        <v>1</v>
      </c>
    </row>
    <row r="91" spans="1:7">
      <c r="A91" s="4404">
        <v>12</v>
      </c>
      <c r="B91" s="4416" t="s">
        <v>2578</v>
      </c>
      <c r="C91" s="4406">
        <v>1</v>
      </c>
      <c r="D91" s="4406">
        <v>1</v>
      </c>
      <c r="E91" s="4406">
        <v>1</v>
      </c>
      <c r="F91" s="4406">
        <v>1</v>
      </c>
      <c r="G91" s="4406">
        <v>1</v>
      </c>
    </row>
    <row r="92" spans="1:7">
      <c r="A92" s="4404">
        <v>13</v>
      </c>
      <c r="B92" s="4416" t="s">
        <v>2579</v>
      </c>
      <c r="C92" s="4406">
        <v>1</v>
      </c>
      <c r="D92" s="4406">
        <v>1</v>
      </c>
      <c r="E92" s="4406">
        <v>1</v>
      </c>
      <c r="F92" s="4406">
        <v>1</v>
      </c>
      <c r="G92" s="4406">
        <v>1</v>
      </c>
    </row>
    <row r="93" spans="1:7">
      <c r="A93" s="4404">
        <v>14</v>
      </c>
      <c r="B93" s="4416" t="s">
        <v>2580</v>
      </c>
      <c r="C93" s="4406">
        <v>1</v>
      </c>
      <c r="D93" s="4406">
        <v>1</v>
      </c>
      <c r="E93" s="4406">
        <v>1</v>
      </c>
      <c r="F93" s="4406">
        <v>1</v>
      </c>
      <c r="G93" s="4406">
        <v>1</v>
      </c>
    </row>
    <row r="94" spans="1:7">
      <c r="A94" s="4404">
        <v>15</v>
      </c>
      <c r="B94" s="4416" t="s">
        <v>2581</v>
      </c>
      <c r="C94" s="4406">
        <v>1</v>
      </c>
      <c r="D94" s="4406">
        <v>1</v>
      </c>
      <c r="E94" s="4406">
        <v>1</v>
      </c>
      <c r="F94" s="4406">
        <v>1</v>
      </c>
      <c r="G94" s="4406">
        <v>1</v>
      </c>
    </row>
    <row r="95" spans="1:7">
      <c r="A95" s="4404">
        <v>16</v>
      </c>
      <c r="B95" s="4416" t="s">
        <v>2582</v>
      </c>
      <c r="C95" s="4406">
        <v>1</v>
      </c>
      <c r="D95" s="4406">
        <v>1</v>
      </c>
      <c r="E95" s="4406">
        <v>1</v>
      </c>
      <c r="F95" s="4406">
        <v>1</v>
      </c>
      <c r="G95" s="4406">
        <v>1</v>
      </c>
    </row>
    <row r="96" spans="1:7">
      <c r="A96" s="4404">
        <v>17</v>
      </c>
      <c r="B96" s="4416" t="s">
        <v>2512</v>
      </c>
      <c r="C96" s="4406">
        <v>1</v>
      </c>
      <c r="D96" s="4406">
        <v>1</v>
      </c>
      <c r="E96" s="4406">
        <v>1</v>
      </c>
      <c r="F96" s="4406">
        <v>1</v>
      </c>
      <c r="G96" s="4406">
        <v>1</v>
      </c>
    </row>
    <row r="97" spans="1:7">
      <c r="A97" s="4404">
        <v>18</v>
      </c>
      <c r="B97" s="4416" t="s">
        <v>2583</v>
      </c>
      <c r="C97" s="4406">
        <v>1</v>
      </c>
      <c r="D97" s="4406">
        <v>1</v>
      </c>
      <c r="E97" s="4406">
        <v>1</v>
      </c>
      <c r="F97" s="4406">
        <v>1</v>
      </c>
      <c r="G97" s="4406">
        <v>1</v>
      </c>
    </row>
    <row r="98" spans="1:7">
      <c r="A98" s="4407" t="s">
        <v>1716</v>
      </c>
      <c r="B98" s="4417" t="s">
        <v>1142</v>
      </c>
      <c r="C98" s="4416"/>
      <c r="D98" s="4416"/>
      <c r="E98" s="4416"/>
      <c r="F98" s="4416"/>
      <c r="G98" s="4416"/>
    </row>
    <row r="99" spans="1:7">
      <c r="A99" s="4404">
        <v>1</v>
      </c>
      <c r="B99" s="4416" t="s">
        <v>2584</v>
      </c>
      <c r="C99" s="4406">
        <v>1</v>
      </c>
      <c r="D99" s="4406">
        <v>1</v>
      </c>
      <c r="E99" s="4406">
        <v>1</v>
      </c>
      <c r="F99" s="4406">
        <v>1</v>
      </c>
      <c r="G99" s="4406">
        <v>1</v>
      </c>
    </row>
    <row r="100" spans="1:7">
      <c r="A100" s="4404">
        <v>2</v>
      </c>
      <c r="B100" s="4416" t="s">
        <v>2585</v>
      </c>
      <c r="C100" s="4406">
        <v>1</v>
      </c>
      <c r="D100" s="4406">
        <v>1</v>
      </c>
      <c r="E100" s="4406">
        <v>1</v>
      </c>
      <c r="F100" s="4406">
        <v>1</v>
      </c>
      <c r="G100" s="4406">
        <v>1</v>
      </c>
    </row>
    <row r="101" spans="1:7">
      <c r="A101" s="4404">
        <v>3</v>
      </c>
      <c r="B101" s="4416" t="s">
        <v>2586</v>
      </c>
      <c r="C101" s="4406">
        <v>1</v>
      </c>
      <c r="D101" s="4406">
        <v>1</v>
      </c>
      <c r="E101" s="4406">
        <v>1</v>
      </c>
      <c r="F101" s="4406">
        <v>1</v>
      </c>
      <c r="G101" s="4406">
        <v>1</v>
      </c>
    </row>
    <row r="102" spans="1:7">
      <c r="A102" s="4404">
        <v>4</v>
      </c>
      <c r="B102" s="4416" t="s">
        <v>2587</v>
      </c>
      <c r="C102" s="4406">
        <v>1</v>
      </c>
      <c r="D102" s="4406">
        <v>1</v>
      </c>
      <c r="E102" s="4406">
        <v>1</v>
      </c>
      <c r="F102" s="4406">
        <v>1</v>
      </c>
      <c r="G102" s="4406">
        <v>1</v>
      </c>
    </row>
    <row r="103" spans="1:7">
      <c r="A103" s="4404">
        <v>5</v>
      </c>
      <c r="B103" s="4416" t="s">
        <v>2588</v>
      </c>
      <c r="C103" s="4406">
        <v>1</v>
      </c>
      <c r="D103" s="4406">
        <v>1</v>
      </c>
      <c r="E103" s="4406">
        <v>1</v>
      </c>
      <c r="F103" s="4406">
        <v>1</v>
      </c>
      <c r="G103" s="4406">
        <v>1</v>
      </c>
    </row>
    <row r="104" spans="1:7">
      <c r="A104" s="4404">
        <v>6</v>
      </c>
      <c r="B104" s="4416" t="s">
        <v>2589</v>
      </c>
      <c r="C104" s="4406">
        <v>1</v>
      </c>
      <c r="D104" s="4406">
        <v>1</v>
      </c>
      <c r="E104" s="4406">
        <v>1</v>
      </c>
      <c r="F104" s="4406">
        <v>1</v>
      </c>
      <c r="G104" s="4406">
        <v>1</v>
      </c>
    </row>
    <row r="105" spans="1:7">
      <c r="A105" s="4404">
        <v>7</v>
      </c>
      <c r="B105" s="4416" t="s">
        <v>2590</v>
      </c>
      <c r="C105" s="4406">
        <v>1</v>
      </c>
      <c r="D105" s="4406">
        <v>1</v>
      </c>
      <c r="E105" s="4406">
        <v>1</v>
      </c>
      <c r="F105" s="4406">
        <v>1</v>
      </c>
      <c r="G105" s="4406">
        <v>1</v>
      </c>
    </row>
    <row r="106" spans="1:7">
      <c r="A106" s="4404">
        <v>8</v>
      </c>
      <c r="B106" s="4416" t="s">
        <v>2591</v>
      </c>
      <c r="C106" s="4406">
        <v>1</v>
      </c>
      <c r="D106" s="4406">
        <v>1</v>
      </c>
      <c r="E106" s="4406">
        <v>1</v>
      </c>
      <c r="F106" s="4406">
        <v>1</v>
      </c>
      <c r="G106" s="4406">
        <v>1</v>
      </c>
    </row>
    <row r="107" spans="1:7">
      <c r="A107" s="4404">
        <v>9</v>
      </c>
      <c r="B107" s="4416" t="s">
        <v>2592</v>
      </c>
      <c r="C107" s="4406">
        <v>1</v>
      </c>
      <c r="D107" s="4406">
        <v>1</v>
      </c>
      <c r="E107" s="4406">
        <v>1</v>
      </c>
      <c r="F107" s="4406">
        <v>1</v>
      </c>
      <c r="G107" s="4406">
        <v>1</v>
      </c>
    </row>
    <row r="108" spans="1:7">
      <c r="A108" s="4404">
        <v>10</v>
      </c>
      <c r="B108" s="4416" t="s">
        <v>2593</v>
      </c>
      <c r="C108" s="4406">
        <v>1</v>
      </c>
      <c r="D108" s="4406">
        <v>1</v>
      </c>
      <c r="E108" s="4406">
        <v>1</v>
      </c>
      <c r="F108" s="4406">
        <v>1</v>
      </c>
      <c r="G108" s="4406">
        <v>1</v>
      </c>
    </row>
    <row r="109" spans="1:7">
      <c r="A109" s="4404">
        <v>11</v>
      </c>
      <c r="B109" s="4416" t="s">
        <v>2594</v>
      </c>
      <c r="C109" s="4406">
        <v>1</v>
      </c>
      <c r="D109" s="4406">
        <v>1</v>
      </c>
      <c r="E109" s="4406">
        <v>1</v>
      </c>
      <c r="F109" s="4406">
        <v>1</v>
      </c>
      <c r="G109" s="4406">
        <v>1</v>
      </c>
    </row>
    <row r="110" spans="1:7">
      <c r="A110" s="4404">
        <v>12</v>
      </c>
      <c r="B110" s="4416" t="s">
        <v>2595</v>
      </c>
      <c r="C110" s="4406">
        <v>1</v>
      </c>
      <c r="D110" s="4406">
        <v>1</v>
      </c>
      <c r="E110" s="4406">
        <v>1</v>
      </c>
      <c r="F110" s="4406">
        <v>1</v>
      </c>
      <c r="G110" s="4406">
        <v>1</v>
      </c>
    </row>
    <row r="111" spans="1:7">
      <c r="A111" s="4404">
        <v>13</v>
      </c>
      <c r="B111" s="4416" t="s">
        <v>2596</v>
      </c>
      <c r="C111" s="4406">
        <v>1</v>
      </c>
      <c r="D111" s="4406">
        <v>1</v>
      </c>
      <c r="E111" s="4406">
        <v>1</v>
      </c>
      <c r="F111" s="4406">
        <v>1</v>
      </c>
      <c r="G111" s="4406">
        <v>1</v>
      </c>
    </row>
    <row r="112" spans="1:7">
      <c r="A112" s="4407" t="s">
        <v>2597</v>
      </c>
      <c r="B112" s="4417" t="s">
        <v>1143</v>
      </c>
      <c r="C112" s="4416"/>
      <c r="D112" s="4416"/>
      <c r="E112" s="4416"/>
      <c r="F112" s="4416"/>
      <c r="G112" s="4416"/>
    </row>
    <row r="113" spans="1:7">
      <c r="A113" s="4404">
        <v>1</v>
      </c>
      <c r="B113" s="4416" t="s">
        <v>2598</v>
      </c>
      <c r="C113" s="4406">
        <v>1</v>
      </c>
      <c r="D113" s="4406">
        <v>1</v>
      </c>
      <c r="E113" s="4406">
        <v>1</v>
      </c>
      <c r="F113" s="4406">
        <v>1</v>
      </c>
      <c r="G113" s="4406">
        <v>1</v>
      </c>
    </row>
    <row r="114" spans="1:7">
      <c r="A114" s="4404">
        <v>2</v>
      </c>
      <c r="B114" s="4416" t="s">
        <v>2537</v>
      </c>
      <c r="C114" s="4406">
        <v>1</v>
      </c>
      <c r="D114" s="4406">
        <v>1</v>
      </c>
      <c r="E114" s="4406">
        <v>1</v>
      </c>
      <c r="F114" s="4406">
        <v>1</v>
      </c>
      <c r="G114" s="4406">
        <v>1</v>
      </c>
    </row>
    <row r="115" spans="1:7">
      <c r="A115" s="4404">
        <v>3</v>
      </c>
      <c r="B115" s="4416" t="s">
        <v>2599</v>
      </c>
      <c r="C115" s="4406">
        <v>1</v>
      </c>
      <c r="D115" s="4406">
        <v>1</v>
      </c>
      <c r="E115" s="4406">
        <v>1</v>
      </c>
      <c r="F115" s="4406">
        <v>1</v>
      </c>
      <c r="G115" s="4406">
        <v>1</v>
      </c>
    </row>
    <row r="116" spans="1:7">
      <c r="A116" s="4404">
        <v>4</v>
      </c>
      <c r="B116" s="4416" t="s">
        <v>2600</v>
      </c>
      <c r="C116" s="4406">
        <v>1</v>
      </c>
      <c r="D116" s="4406">
        <v>1</v>
      </c>
      <c r="E116" s="4406">
        <v>1</v>
      </c>
      <c r="F116" s="4406">
        <v>1</v>
      </c>
      <c r="G116" s="4406">
        <v>1</v>
      </c>
    </row>
    <row r="117" spans="1:7">
      <c r="A117" s="4404">
        <v>5</v>
      </c>
      <c r="B117" s="4416" t="s">
        <v>2601</v>
      </c>
      <c r="C117" s="4406">
        <v>1</v>
      </c>
      <c r="D117" s="4406">
        <v>1</v>
      </c>
      <c r="E117" s="4406">
        <v>1</v>
      </c>
      <c r="F117" s="4406">
        <v>1</v>
      </c>
      <c r="G117" s="4406">
        <v>1</v>
      </c>
    </row>
    <row r="118" spans="1:7">
      <c r="A118" s="4404">
        <v>6</v>
      </c>
      <c r="B118" s="4416" t="s">
        <v>2602</v>
      </c>
      <c r="C118" s="4406">
        <v>1</v>
      </c>
      <c r="D118" s="4406">
        <v>1</v>
      </c>
      <c r="E118" s="4406">
        <v>1</v>
      </c>
      <c r="F118" s="4406">
        <v>1</v>
      </c>
      <c r="G118" s="4406">
        <v>1</v>
      </c>
    </row>
    <row r="119" spans="1:7">
      <c r="A119" s="4404">
        <v>7</v>
      </c>
      <c r="B119" s="4416" t="s">
        <v>2603</v>
      </c>
      <c r="C119" s="4406">
        <v>1</v>
      </c>
      <c r="D119" s="4406">
        <v>1</v>
      </c>
      <c r="E119" s="4406">
        <v>1</v>
      </c>
      <c r="F119" s="4406">
        <v>1</v>
      </c>
      <c r="G119" s="4406">
        <v>1</v>
      </c>
    </row>
    <row r="120" spans="1:7">
      <c r="A120" s="4404">
        <v>8</v>
      </c>
      <c r="B120" s="4416" t="s">
        <v>2604</v>
      </c>
      <c r="C120" s="4406">
        <v>1</v>
      </c>
      <c r="D120" s="4406">
        <v>1</v>
      </c>
      <c r="E120" s="4406">
        <v>1</v>
      </c>
      <c r="F120" s="4406">
        <v>1</v>
      </c>
      <c r="G120" s="4406">
        <v>1</v>
      </c>
    </row>
    <row r="121" spans="1:7">
      <c r="A121" s="4404">
        <v>9</v>
      </c>
      <c r="B121" s="4416" t="s">
        <v>2605</v>
      </c>
      <c r="C121" s="4406">
        <v>1</v>
      </c>
      <c r="D121" s="4406">
        <v>1</v>
      </c>
      <c r="E121" s="4406">
        <v>1</v>
      </c>
      <c r="F121" s="4406">
        <v>1</v>
      </c>
      <c r="G121" s="4406">
        <v>1</v>
      </c>
    </row>
    <row r="122" spans="1:7">
      <c r="A122" s="4404">
        <v>10</v>
      </c>
      <c r="B122" s="4416" t="s">
        <v>2606</v>
      </c>
      <c r="C122" s="4406">
        <v>1</v>
      </c>
      <c r="D122" s="4406">
        <v>1</v>
      </c>
      <c r="E122" s="4406">
        <v>1</v>
      </c>
      <c r="F122" s="4406">
        <v>1</v>
      </c>
      <c r="G122" s="4406">
        <v>1</v>
      </c>
    </row>
    <row r="123" spans="1:7">
      <c r="A123" s="4404">
        <v>11</v>
      </c>
      <c r="B123" s="4416" t="s">
        <v>2607</v>
      </c>
      <c r="C123" s="4406">
        <v>1</v>
      </c>
      <c r="D123" s="4406">
        <v>1</v>
      </c>
      <c r="E123" s="4406">
        <v>1</v>
      </c>
      <c r="F123" s="4406">
        <v>1</v>
      </c>
      <c r="G123" s="4406">
        <v>1</v>
      </c>
    </row>
    <row r="124" spans="1:7">
      <c r="A124" s="4404">
        <v>12</v>
      </c>
      <c r="B124" s="4416" t="s">
        <v>2608</v>
      </c>
      <c r="C124" s="4406">
        <v>1</v>
      </c>
      <c r="D124" s="4406">
        <v>1</v>
      </c>
      <c r="E124" s="4406">
        <v>1</v>
      </c>
      <c r="F124" s="4406">
        <v>1</v>
      </c>
      <c r="G124" s="4406">
        <v>1</v>
      </c>
    </row>
    <row r="125" spans="1:7">
      <c r="A125" s="4404">
        <v>13</v>
      </c>
      <c r="B125" s="4416" t="s">
        <v>2609</v>
      </c>
      <c r="C125" s="4406">
        <v>1</v>
      </c>
      <c r="D125" s="4406">
        <v>1</v>
      </c>
      <c r="E125" s="4406">
        <v>1</v>
      </c>
      <c r="F125" s="4406">
        <v>1</v>
      </c>
      <c r="G125" s="4406">
        <v>1</v>
      </c>
    </row>
    <row r="126" spans="1:7">
      <c r="A126" s="4407" t="s">
        <v>2610</v>
      </c>
      <c r="B126" s="4417" t="s">
        <v>2611</v>
      </c>
      <c r="C126" s="4416"/>
      <c r="D126" s="4416"/>
      <c r="E126" s="4416"/>
      <c r="F126" s="4416"/>
      <c r="G126" s="4416"/>
    </row>
    <row r="127" spans="1:7">
      <c r="A127" s="4404">
        <v>1</v>
      </c>
      <c r="B127" s="4416" t="s">
        <v>2612</v>
      </c>
      <c r="C127" s="4406">
        <v>1</v>
      </c>
      <c r="D127" s="4406">
        <v>1</v>
      </c>
      <c r="E127" s="4406">
        <v>1</v>
      </c>
      <c r="F127" s="4406">
        <v>1</v>
      </c>
      <c r="G127" s="4406">
        <v>1</v>
      </c>
    </row>
    <row r="128" spans="1:7">
      <c r="A128" s="4404">
        <v>2</v>
      </c>
      <c r="B128" s="4416" t="s">
        <v>2613</v>
      </c>
      <c r="C128" s="4406">
        <v>1</v>
      </c>
      <c r="D128" s="4406">
        <v>1</v>
      </c>
      <c r="E128" s="4406">
        <v>1</v>
      </c>
      <c r="F128" s="4406">
        <v>1</v>
      </c>
      <c r="G128" s="4406">
        <v>1</v>
      </c>
    </row>
    <row r="129" spans="1:7">
      <c r="A129" s="4404">
        <v>3</v>
      </c>
      <c r="B129" s="4416" t="s">
        <v>2614</v>
      </c>
      <c r="C129" s="4406">
        <v>1</v>
      </c>
      <c r="D129" s="4406">
        <v>1</v>
      </c>
      <c r="E129" s="4406">
        <v>1</v>
      </c>
      <c r="F129" s="4406">
        <v>1</v>
      </c>
      <c r="G129" s="4406">
        <v>1</v>
      </c>
    </row>
    <row r="130" spans="1:7">
      <c r="A130" s="4404">
        <v>4</v>
      </c>
      <c r="B130" s="4416" t="s">
        <v>2520</v>
      </c>
      <c r="C130" s="4406">
        <v>1</v>
      </c>
      <c r="D130" s="4406">
        <v>1</v>
      </c>
      <c r="E130" s="4406">
        <v>1</v>
      </c>
      <c r="F130" s="4406">
        <v>1</v>
      </c>
      <c r="G130" s="4406">
        <v>1</v>
      </c>
    </row>
    <row r="131" spans="1:7">
      <c r="A131" s="4404">
        <v>5</v>
      </c>
      <c r="B131" s="4416" t="s">
        <v>2615</v>
      </c>
      <c r="C131" s="4406">
        <v>1</v>
      </c>
      <c r="D131" s="4406">
        <v>1</v>
      </c>
      <c r="E131" s="4406">
        <v>1</v>
      </c>
      <c r="F131" s="4406">
        <v>1</v>
      </c>
      <c r="G131" s="4406">
        <v>1</v>
      </c>
    </row>
    <row r="132" spans="1:7">
      <c r="A132" s="4404">
        <v>6</v>
      </c>
      <c r="B132" s="4416" t="s">
        <v>2616</v>
      </c>
      <c r="C132" s="4406">
        <v>1</v>
      </c>
      <c r="D132" s="4406">
        <v>1</v>
      </c>
      <c r="E132" s="4406">
        <v>1</v>
      </c>
      <c r="F132" s="4406">
        <v>1</v>
      </c>
      <c r="G132" s="4406">
        <v>1</v>
      </c>
    </row>
    <row r="133" spans="1:7">
      <c r="A133" s="4404">
        <v>7</v>
      </c>
      <c r="B133" s="4416" t="s">
        <v>2617</v>
      </c>
      <c r="C133" s="4406">
        <v>1</v>
      </c>
      <c r="D133" s="4406">
        <v>1</v>
      </c>
      <c r="E133" s="4406">
        <v>1</v>
      </c>
      <c r="F133" s="4406">
        <v>1</v>
      </c>
      <c r="G133" s="4406">
        <v>1</v>
      </c>
    </row>
    <row r="134" spans="1:7">
      <c r="A134" s="4404">
        <v>8</v>
      </c>
      <c r="B134" s="4416" t="s">
        <v>2618</v>
      </c>
      <c r="C134" s="4406">
        <v>1</v>
      </c>
      <c r="D134" s="4406">
        <v>1</v>
      </c>
      <c r="E134" s="4406">
        <v>1</v>
      </c>
      <c r="F134" s="4406">
        <v>1</v>
      </c>
      <c r="G134" s="4406">
        <v>1</v>
      </c>
    </row>
    <row r="135" spans="1:7">
      <c r="A135" s="4404">
        <v>9</v>
      </c>
      <c r="B135" s="4416" t="s">
        <v>2619</v>
      </c>
      <c r="C135" s="4406">
        <v>1</v>
      </c>
      <c r="D135" s="4406">
        <v>1</v>
      </c>
      <c r="E135" s="4406">
        <v>1</v>
      </c>
      <c r="F135" s="4406">
        <v>1</v>
      </c>
      <c r="G135" s="4406">
        <v>1</v>
      </c>
    </row>
    <row r="136" spans="1:7">
      <c r="A136" s="4404">
        <v>10</v>
      </c>
      <c r="B136" s="4416" t="s">
        <v>2620</v>
      </c>
      <c r="C136" s="4406">
        <v>1</v>
      </c>
      <c r="D136" s="4406">
        <v>1</v>
      </c>
      <c r="E136" s="4406">
        <v>1</v>
      </c>
      <c r="F136" s="4406">
        <v>1</v>
      </c>
      <c r="G136" s="4406">
        <v>1</v>
      </c>
    </row>
    <row r="137" spans="1:7">
      <c r="A137" s="4404">
        <v>11</v>
      </c>
      <c r="B137" s="4416" t="s">
        <v>2621</v>
      </c>
      <c r="C137" s="4406">
        <v>1</v>
      </c>
      <c r="D137" s="4406">
        <v>1</v>
      </c>
      <c r="E137" s="4406">
        <v>1</v>
      </c>
      <c r="F137" s="4406">
        <v>1</v>
      </c>
      <c r="G137" s="4406">
        <v>1</v>
      </c>
    </row>
    <row r="138" spans="1:7">
      <c r="A138" s="4404">
        <v>12</v>
      </c>
      <c r="B138" s="4416" t="s">
        <v>2622</v>
      </c>
      <c r="C138" s="4406">
        <v>1</v>
      </c>
      <c r="D138" s="4406">
        <v>1</v>
      </c>
      <c r="E138" s="4406">
        <v>1</v>
      </c>
      <c r="F138" s="4406">
        <v>1</v>
      </c>
      <c r="G138" s="4406">
        <v>1</v>
      </c>
    </row>
    <row r="139" spans="1:7">
      <c r="A139" s="4407" t="s">
        <v>2623</v>
      </c>
      <c r="B139" s="4417" t="s">
        <v>1460</v>
      </c>
      <c r="C139" s="4416"/>
      <c r="D139" s="4416"/>
      <c r="E139" s="4416"/>
      <c r="F139" s="4416"/>
      <c r="G139" s="4416"/>
    </row>
    <row r="140" spans="1:7" ht="15.75" customHeight="1">
      <c r="A140" s="4418">
        <v>1</v>
      </c>
      <c r="B140" s="4419" t="s">
        <v>2550</v>
      </c>
      <c r="C140" s="6620" t="s">
        <v>2624</v>
      </c>
      <c r="D140" s="6621"/>
      <c r="E140" s="6621"/>
      <c r="F140" s="6621"/>
      <c r="G140" s="4412">
        <v>1</v>
      </c>
    </row>
    <row r="141" spans="1:7">
      <c r="A141" s="4418">
        <v>2</v>
      </c>
      <c r="B141" s="4419" t="s">
        <v>2552</v>
      </c>
      <c r="C141" s="6621"/>
      <c r="D141" s="6621"/>
      <c r="E141" s="6621"/>
      <c r="F141" s="6621"/>
      <c r="G141" s="4412">
        <v>1</v>
      </c>
    </row>
    <row r="142" spans="1:7">
      <c r="A142" s="4418">
        <v>3</v>
      </c>
      <c r="B142" s="4419" t="s">
        <v>2553</v>
      </c>
      <c r="C142" s="6621"/>
      <c r="D142" s="6621"/>
      <c r="E142" s="6621"/>
      <c r="F142" s="6621"/>
      <c r="G142" s="4412">
        <v>1</v>
      </c>
    </row>
    <row r="143" spans="1:7">
      <c r="A143" s="4418">
        <v>4</v>
      </c>
      <c r="B143" s="4419" t="s">
        <v>2554</v>
      </c>
      <c r="C143" s="6621"/>
      <c r="D143" s="6621"/>
      <c r="E143" s="6621"/>
      <c r="F143" s="6621"/>
      <c r="G143" s="4412">
        <v>1</v>
      </c>
    </row>
    <row r="144" spans="1:7">
      <c r="A144" s="4418">
        <v>5</v>
      </c>
      <c r="B144" s="4419" t="s">
        <v>2625</v>
      </c>
      <c r="C144" s="6621"/>
      <c r="D144" s="6621"/>
      <c r="E144" s="6621"/>
      <c r="F144" s="6621"/>
      <c r="G144" s="4412">
        <v>1</v>
      </c>
    </row>
    <row r="145" spans="1:7">
      <c r="A145" s="4420">
        <v>6</v>
      </c>
      <c r="B145" s="4421" t="s">
        <v>2626</v>
      </c>
      <c r="C145" s="6621"/>
      <c r="D145" s="6621"/>
      <c r="E145" s="6621"/>
      <c r="F145" s="6621"/>
      <c r="G145" s="4415">
        <v>1</v>
      </c>
    </row>
    <row r="146" spans="1:7">
      <c r="A146" s="4404">
        <v>7</v>
      </c>
      <c r="B146" s="4416" t="s">
        <v>2627</v>
      </c>
      <c r="C146" s="4406">
        <v>1</v>
      </c>
      <c r="D146" s="4406">
        <v>1</v>
      </c>
      <c r="E146" s="4406">
        <v>1</v>
      </c>
      <c r="F146" s="4406">
        <v>1</v>
      </c>
      <c r="G146" s="4406">
        <v>1</v>
      </c>
    </row>
    <row r="147" spans="1:7">
      <c r="A147" s="4404">
        <v>8</v>
      </c>
      <c r="B147" s="4416" t="s">
        <v>2628</v>
      </c>
      <c r="C147" s="4406">
        <v>1</v>
      </c>
      <c r="D147" s="4406">
        <v>1</v>
      </c>
      <c r="E147" s="4406">
        <v>1</v>
      </c>
      <c r="F147" s="4406">
        <v>1</v>
      </c>
      <c r="G147" s="4406">
        <v>1</v>
      </c>
    </row>
    <row r="148" spans="1:7">
      <c r="A148" s="4404">
        <v>9</v>
      </c>
      <c r="B148" s="4416" t="s">
        <v>2629</v>
      </c>
      <c r="C148" s="4406">
        <v>1</v>
      </c>
      <c r="D148" s="4406">
        <v>1</v>
      </c>
      <c r="E148" s="4406">
        <v>1</v>
      </c>
      <c r="F148" s="4406">
        <v>1</v>
      </c>
      <c r="G148" s="4406">
        <v>1</v>
      </c>
    </row>
    <row r="149" spans="1:7">
      <c r="A149" s="4407" t="s">
        <v>2630</v>
      </c>
      <c r="B149" s="4417" t="s">
        <v>2631</v>
      </c>
      <c r="C149" s="4416"/>
      <c r="D149" s="4416"/>
      <c r="E149" s="4416"/>
      <c r="F149" s="4416"/>
      <c r="G149" s="4416"/>
    </row>
    <row r="150" spans="1:7">
      <c r="A150" s="4404">
        <v>1</v>
      </c>
      <c r="B150" s="4416" t="s">
        <v>2632</v>
      </c>
      <c r="C150" s="4406">
        <v>1</v>
      </c>
      <c r="D150" s="4406">
        <v>1</v>
      </c>
      <c r="E150" s="4406">
        <v>1</v>
      </c>
      <c r="F150" s="4406">
        <v>1</v>
      </c>
      <c r="G150" s="4406">
        <v>1</v>
      </c>
    </row>
    <row r="151" spans="1:7">
      <c r="A151" s="4404">
        <v>2</v>
      </c>
      <c r="B151" s="4416" t="s">
        <v>2548</v>
      </c>
      <c r="C151" s="4406">
        <v>1</v>
      </c>
      <c r="D151" s="4406">
        <v>1</v>
      </c>
      <c r="E151" s="4406">
        <v>1</v>
      </c>
      <c r="F151" s="4406">
        <v>1</v>
      </c>
      <c r="G151" s="4406">
        <v>1</v>
      </c>
    </row>
    <row r="152" spans="1:7">
      <c r="A152" s="4404">
        <v>3</v>
      </c>
      <c r="B152" s="4416" t="s">
        <v>2633</v>
      </c>
      <c r="C152" s="4406">
        <v>1</v>
      </c>
      <c r="D152" s="4406">
        <v>1</v>
      </c>
      <c r="E152" s="4406">
        <v>1</v>
      </c>
      <c r="F152" s="4406">
        <v>1</v>
      </c>
      <c r="G152" s="4406">
        <v>1</v>
      </c>
    </row>
    <row r="153" spans="1:7">
      <c r="A153" s="4404">
        <v>4</v>
      </c>
      <c r="B153" s="4416" t="s">
        <v>2634</v>
      </c>
      <c r="C153" s="4406">
        <v>1</v>
      </c>
      <c r="D153" s="4406">
        <v>1</v>
      </c>
      <c r="E153" s="4406">
        <v>1</v>
      </c>
      <c r="F153" s="4406">
        <v>1</v>
      </c>
      <c r="G153" s="4406">
        <v>1</v>
      </c>
    </row>
    <row r="154" spans="1:7">
      <c r="A154" s="4404">
        <v>5</v>
      </c>
      <c r="B154" s="4416" t="s">
        <v>2635</v>
      </c>
      <c r="C154" s="4406">
        <v>1</v>
      </c>
      <c r="D154" s="4406">
        <v>1</v>
      </c>
      <c r="E154" s="4406">
        <v>1</v>
      </c>
      <c r="F154" s="4406">
        <v>1</v>
      </c>
      <c r="G154" s="4406">
        <v>1</v>
      </c>
    </row>
    <row r="155" spans="1:7">
      <c r="A155" s="4404">
        <v>6</v>
      </c>
      <c r="B155" s="4416" t="s">
        <v>2636</v>
      </c>
      <c r="C155" s="4406">
        <v>1</v>
      </c>
      <c r="D155" s="4406">
        <v>1</v>
      </c>
      <c r="E155" s="4406">
        <v>1</v>
      </c>
      <c r="F155" s="4406">
        <v>1</v>
      </c>
      <c r="G155" s="4406">
        <v>1</v>
      </c>
    </row>
    <row r="156" spans="1:7">
      <c r="A156" s="4404">
        <v>7</v>
      </c>
      <c r="B156" s="4416" t="s">
        <v>2637</v>
      </c>
      <c r="C156" s="4406">
        <v>1</v>
      </c>
      <c r="D156" s="4406">
        <v>1</v>
      </c>
      <c r="E156" s="4406">
        <v>1</v>
      </c>
      <c r="F156" s="4406">
        <v>1</v>
      </c>
      <c r="G156" s="4406">
        <v>1</v>
      </c>
    </row>
    <row r="157" spans="1:7">
      <c r="A157" s="4404">
        <v>8</v>
      </c>
      <c r="B157" s="4416" t="s">
        <v>2638</v>
      </c>
      <c r="C157" s="4406">
        <v>1</v>
      </c>
      <c r="D157" s="4406">
        <v>1</v>
      </c>
      <c r="E157" s="4406">
        <v>1</v>
      </c>
      <c r="F157" s="4406">
        <v>1</v>
      </c>
      <c r="G157" s="4406">
        <v>1</v>
      </c>
    </row>
    <row r="158" spans="1:7">
      <c r="A158" s="4404">
        <v>9</v>
      </c>
      <c r="B158" s="4416" t="s">
        <v>2639</v>
      </c>
      <c r="C158" s="4406">
        <v>1</v>
      </c>
      <c r="D158" s="4406">
        <v>1</v>
      </c>
      <c r="E158" s="4406">
        <v>1</v>
      </c>
      <c r="F158" s="4406">
        <v>1</v>
      </c>
      <c r="G158" s="4406">
        <v>1</v>
      </c>
    </row>
    <row r="159" spans="1:7">
      <c r="A159" s="4404">
        <v>10</v>
      </c>
      <c r="B159" s="4416" t="s">
        <v>2640</v>
      </c>
      <c r="C159" s="4406">
        <v>1</v>
      </c>
      <c r="D159" s="4406">
        <v>1</v>
      </c>
      <c r="E159" s="4406">
        <v>1</v>
      </c>
      <c r="F159" s="4406">
        <v>1</v>
      </c>
      <c r="G159" s="4406">
        <v>1</v>
      </c>
    </row>
    <row r="160" spans="1:7">
      <c r="A160" s="4404">
        <v>11</v>
      </c>
      <c r="B160" s="4416" t="s">
        <v>2641</v>
      </c>
      <c r="C160" s="4406">
        <v>1</v>
      </c>
      <c r="D160" s="4406">
        <v>1</v>
      </c>
      <c r="E160" s="4406">
        <v>1</v>
      </c>
      <c r="F160" s="4406">
        <v>1</v>
      </c>
      <c r="G160" s="4406">
        <v>1</v>
      </c>
    </row>
    <row r="161" spans="1:7">
      <c r="A161" s="4422">
        <v>12</v>
      </c>
      <c r="B161" s="4423" t="s">
        <v>2642</v>
      </c>
      <c r="C161" s="4424">
        <v>1</v>
      </c>
      <c r="D161" s="4424">
        <v>1</v>
      </c>
      <c r="E161" s="4424">
        <v>1</v>
      </c>
      <c r="F161" s="4424">
        <v>1</v>
      </c>
      <c r="G161" s="4424">
        <v>1</v>
      </c>
    </row>
    <row r="162" spans="1:7">
      <c r="B162" s="2423" t="s">
        <v>2643</v>
      </c>
      <c r="E162" s="6605"/>
      <c r="F162" s="6605"/>
      <c r="G162" s="6605"/>
    </row>
    <row r="163" spans="1:7">
      <c r="B163" s="1192" t="s">
        <v>2644</v>
      </c>
      <c r="E163" s="4425"/>
      <c r="F163" s="4425"/>
      <c r="G163" s="4425"/>
    </row>
    <row r="164" spans="1:7">
      <c r="B164" s="1192" t="s">
        <v>2645</v>
      </c>
      <c r="E164" s="6138"/>
      <c r="F164" s="6138"/>
      <c r="G164" s="6138"/>
    </row>
    <row r="165" spans="1:7">
      <c r="B165" s="1192" t="s">
        <v>2646</v>
      </c>
      <c r="E165" s="6138"/>
      <c r="F165" s="6138"/>
      <c r="G165" s="6138"/>
    </row>
    <row r="166" spans="1:7">
      <c r="B166" s="1192" t="s">
        <v>2647</v>
      </c>
    </row>
    <row r="167" spans="1:7">
      <c r="B167" s="1192" t="s">
        <v>2648</v>
      </c>
    </row>
  </sheetData>
  <mergeCells count="13">
    <mergeCell ref="E165:G165"/>
    <mergeCell ref="A1:G1"/>
    <mergeCell ref="A2:G2"/>
    <mergeCell ref="A3:G3"/>
    <mergeCell ref="F4:G4"/>
    <mergeCell ref="A5:A6"/>
    <mergeCell ref="B5:B6"/>
    <mergeCell ref="C5:G5"/>
    <mergeCell ref="C19:F23"/>
    <mergeCell ref="C64:F71"/>
    <mergeCell ref="C140:F145"/>
    <mergeCell ref="E162:G162"/>
    <mergeCell ref="E164:G164"/>
  </mergeCells>
  <hyperlinks>
    <hyperlink ref="A5:A6" location="'Danh mục file'!A1" display="'Danh mục file'!A1"/>
  </hyperlinks>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3" tint="0.39997558519241921"/>
  </sheetPr>
  <dimension ref="A1:I38"/>
  <sheetViews>
    <sheetView topLeftCell="A22" workbookViewId="0">
      <selection activeCell="E31" sqref="E31"/>
    </sheetView>
  </sheetViews>
  <sheetFormatPr defaultColWidth="10.33203125" defaultRowHeight="18"/>
  <cols>
    <col min="1" max="1" width="7.44140625" style="583" customWidth="1"/>
    <col min="2" max="2" width="72.88671875" style="381" customWidth="1"/>
    <col min="3" max="3" width="14.109375" style="381" customWidth="1"/>
    <col min="4" max="5" width="16" style="381" customWidth="1"/>
    <col min="6" max="6" width="19.44140625" style="381" customWidth="1"/>
    <col min="7" max="8" width="10.33203125" style="381"/>
    <col min="9" max="9" width="16" style="381" hidden="1" customWidth="1"/>
    <col min="10" max="16384" width="10.33203125" style="381"/>
  </cols>
  <sheetData>
    <row r="1" spans="1:7" s="386" customFormat="1" ht="35.25" customHeight="1">
      <c r="A1" s="6109" t="s">
        <v>3269</v>
      </c>
      <c r="B1" s="6109"/>
      <c r="C1" s="6109"/>
      <c r="D1" s="6109"/>
      <c r="E1" s="6109"/>
      <c r="F1" s="6109"/>
    </row>
    <row r="2" spans="1:7" s="386" customFormat="1" ht="18.75" customHeight="1">
      <c r="A2" s="6510" t="str">
        <f>+'Phụ lục 9-CKNS'!A3:G3</f>
        <v>(Kèm theo Quyết định số       /QĐ-UBND-HC ngày     /12/2024 của Ủy ban nhân dân tỉnh Đồng Tháp)</v>
      </c>
      <c r="B2" s="6497"/>
      <c r="C2" s="6497"/>
      <c r="D2" s="6497"/>
      <c r="E2" s="6497"/>
      <c r="F2" s="6497"/>
    </row>
    <row r="3" spans="1:7">
      <c r="B3" s="6041"/>
      <c r="C3" s="6041"/>
      <c r="D3" s="6041"/>
      <c r="E3" s="6041"/>
    </row>
    <row r="5" spans="1:7" s="588" customFormat="1" ht="19.5" customHeight="1">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23" t="str">
        <f>'[28]Phụ lục 2-HĐND'!B20</f>
        <v>Chi đầu tư xây dựng cơ bản</v>
      </c>
      <c r="C8" s="6623"/>
      <c r="D8" s="6623"/>
      <c r="E8" s="2805">
        <f>+'Phụ lục 5-KQPB'!E8</f>
        <v>966890</v>
      </c>
      <c r="F8" s="381" t="s">
        <v>432</v>
      </c>
    </row>
    <row r="9" spans="1:7" s="386" customFormat="1">
      <c r="A9" s="583">
        <v>2</v>
      </c>
      <c r="B9" s="6623" t="str">
        <f>'[28]Phụ lục 2-HĐND'!B21</f>
        <v>Chi đầu tư từ nguồn thu tiền sử dụng đất</v>
      </c>
      <c r="C9" s="6623"/>
      <c r="D9" s="6623"/>
      <c r="E9" s="2805">
        <f>+'Phụ lục 5-KQPB'!E9</f>
        <v>1600000</v>
      </c>
      <c r="F9" s="381" t="s">
        <v>432</v>
      </c>
    </row>
    <row r="10" spans="1:7" s="386" customFormat="1">
      <c r="A10" s="583">
        <v>3</v>
      </c>
      <c r="B10" s="6623" t="str">
        <f>'[28]Phụ lục 2-HĐND'!B22</f>
        <v>Chi đầu tư từ nguồn thu xổ số kiến thiết</v>
      </c>
      <c r="C10" s="6623"/>
      <c r="D10" s="6623"/>
      <c r="E10" s="2805">
        <f>+'Phụ lục 5-KQPB'!E10</f>
        <v>2100000</v>
      </c>
      <c r="F10" s="381" t="s">
        <v>432</v>
      </c>
    </row>
    <row r="11" spans="1:7" s="386" customFormat="1">
      <c r="A11" s="641"/>
      <c r="B11" s="2806" t="s">
        <v>234</v>
      </c>
      <c r="D11" s="2804"/>
      <c r="F11" s="381"/>
    </row>
    <row r="12" spans="1:7" s="873" customFormat="1">
      <c r="A12" s="680"/>
      <c r="B12" s="2807" t="s">
        <v>1734</v>
      </c>
      <c r="D12" s="2808"/>
      <c r="E12" s="2809">
        <f>+'Phụ lục 5-KQPB'!E12</f>
        <v>812200</v>
      </c>
      <c r="F12" s="873" t="s">
        <v>432</v>
      </c>
      <c r="G12" s="2810"/>
    </row>
    <row r="13" spans="1:7" s="873" customFormat="1">
      <c r="A13" s="680"/>
      <c r="B13" s="2807" t="s">
        <v>1735</v>
      </c>
      <c r="D13" s="2808"/>
      <c r="E13" s="2809">
        <f>+'Phụ lục 5-KQPB'!E13</f>
        <v>130000</v>
      </c>
      <c r="F13" s="873" t="s">
        <v>432</v>
      </c>
      <c r="G13" s="2811"/>
    </row>
    <row r="14" spans="1:7" s="617" customFormat="1">
      <c r="A14" s="2510">
        <v>4</v>
      </c>
      <c r="B14" s="6624" t="str">
        <f>'[28]Phụ lục 2-HĐND'!B23</f>
        <v>Chi đầu tư từ nguồn thu cổ phần hóa, thoái vốn doanh nghiệp nhà nước địa phương quản lý;…</v>
      </c>
      <c r="C14" s="6624"/>
      <c r="D14" s="6624"/>
      <c r="E14" s="2812">
        <f>+'Phụ lục 5-KQPB'!E14</f>
        <v>0</v>
      </c>
      <c r="F14" s="596" t="s">
        <v>432</v>
      </c>
      <c r="G14" s="2813"/>
    </row>
    <row r="15" spans="1:7" s="617" customFormat="1">
      <c r="A15" s="2510">
        <v>5</v>
      </c>
      <c r="B15" s="6624" t="str">
        <f>'[28]Phụ lục 2-HĐND'!B24</f>
        <v>Chi đầu tư phát triển khác (Ủy thác qua NH Chính sách xã hội chi nhánh tỉnh Đồng Tháp)</v>
      </c>
      <c r="C15" s="6624"/>
      <c r="D15" s="6624"/>
      <c r="E15" s="2812">
        <f>+'Phụ lục 5-KQPB'!E15</f>
        <v>0</v>
      </c>
      <c r="F15" s="596" t="s">
        <v>432</v>
      </c>
      <c r="G15" s="2813"/>
    </row>
    <row r="16" spans="1:7" s="386" customFormat="1" ht="17.399999999999999">
      <c r="A16" s="2800" t="s">
        <v>37</v>
      </c>
      <c r="B16" s="588" t="s">
        <v>1736</v>
      </c>
      <c r="F16" s="660"/>
    </row>
    <row r="17" spans="1:9" ht="18.600000000000001" thickBot="1">
      <c r="E17" s="6575" t="s">
        <v>638</v>
      </c>
      <c r="F17" s="6575"/>
    </row>
    <row r="18" spans="1:9" s="386" customFormat="1" thickTop="1">
      <c r="A18" s="6561" t="s">
        <v>136</v>
      </c>
      <c r="B18" s="6519" t="s">
        <v>248</v>
      </c>
      <c r="C18" s="6519" t="s">
        <v>3270</v>
      </c>
      <c r="D18" s="6519" t="s">
        <v>408</v>
      </c>
      <c r="E18" s="6519"/>
      <c r="F18" s="6576" t="s">
        <v>861</v>
      </c>
    </row>
    <row r="19" spans="1:9" s="386" customFormat="1" ht="34.799999999999997">
      <c r="A19" s="6562"/>
      <c r="B19" s="6044"/>
      <c r="C19" s="6044"/>
      <c r="D19" s="430" t="s">
        <v>1737</v>
      </c>
      <c r="E19" s="430" t="s">
        <v>1738</v>
      </c>
      <c r="F19" s="6622"/>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6" customFormat="1" ht="17.399999999999999">
      <c r="A25" s="2818">
        <v>2</v>
      </c>
      <c r="B25" s="2819" t="s">
        <v>1742</v>
      </c>
      <c r="C25" s="2820">
        <f>SUM(C27:C28)</f>
        <v>165900</v>
      </c>
      <c r="D25" s="2820">
        <f>SUM(D27:D28)</f>
        <v>0</v>
      </c>
      <c r="E25" s="2820">
        <f>SUM(E27:E28)</f>
        <v>165900</v>
      </c>
      <c r="F25" s="2821"/>
    </row>
    <row r="26" spans="1:9">
      <c r="A26" s="2822"/>
      <c r="B26" s="2823" t="s">
        <v>822</v>
      </c>
      <c r="C26" s="2824"/>
      <c r="D26" s="2824"/>
      <c r="E26" s="2824"/>
      <c r="F26" s="2825"/>
    </row>
    <row r="27" spans="1:9">
      <c r="A27" s="593" t="s">
        <v>99</v>
      </c>
      <c r="B27" s="2823" t="s">
        <v>1743</v>
      </c>
      <c r="C27" s="2829">
        <f>+'Phụ lục 5-KQPB'!C27</f>
        <v>165900</v>
      </c>
      <c r="D27" s="2824">
        <v>0</v>
      </c>
      <c r="E27" s="2829">
        <f>+'Phụ lục 5-KQPB'!E25</f>
        <v>165900</v>
      </c>
      <c r="F27" s="2830" t="s">
        <v>1744</v>
      </c>
      <c r="H27" s="2420"/>
      <c r="I27" s="2831">
        <v>225040</v>
      </c>
    </row>
    <row r="28" spans="1:9">
      <c r="A28" s="2822" t="s">
        <v>1745</v>
      </c>
      <c r="B28" s="2823" t="s">
        <v>1746</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+'Phụ lục 5-KQPB'!C31</f>
        <v>88300</v>
      </c>
      <c r="D31" s="2827">
        <f>'[28]Phụ lục số 1'!AH60</f>
        <v>0</v>
      </c>
      <c r="E31" s="2827">
        <f>+'Phụ lục 5-KQPB'!E31</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6">
      <c r="A33" s="2822"/>
      <c r="B33" s="2823" t="s">
        <v>234</v>
      </c>
      <c r="C33" s="2824"/>
      <c r="D33" s="2824"/>
      <c r="E33" s="2824"/>
      <c r="F33" s="2825"/>
    </row>
    <row r="34" spans="1:6" ht="36">
      <c r="A34" s="2822"/>
      <c r="B34" s="2826" t="s">
        <v>1741</v>
      </c>
      <c r="C34" s="2827">
        <f>0</f>
        <v>0</v>
      </c>
      <c r="D34" s="2827">
        <v>0</v>
      </c>
      <c r="E34" s="2827">
        <f>0</f>
        <v>0</v>
      </c>
      <c r="F34" s="2828"/>
    </row>
    <row r="35" spans="1:6" s="386" customFormat="1" thickBot="1">
      <c r="A35" s="2837">
        <v>5</v>
      </c>
      <c r="B35" s="2838" t="s">
        <v>337</v>
      </c>
      <c r="C35" s="2839">
        <v>0</v>
      </c>
      <c r="D35" s="2839">
        <v>0</v>
      </c>
      <c r="E35" s="2839">
        <v>0</v>
      </c>
      <c r="F35" s="2840"/>
    </row>
    <row r="36" spans="1:6" ht="18.600000000000001" thickTop="1"/>
    <row r="38" spans="1:6" hidden="1">
      <c r="E38" s="2315">
        <f>C31-E31</f>
        <v>67500</v>
      </c>
    </row>
  </sheetData>
  <mergeCells count="14">
    <mergeCell ref="E17:F17"/>
    <mergeCell ref="A1:F1"/>
    <mergeCell ref="A2:F2"/>
    <mergeCell ref="B3:E3"/>
    <mergeCell ref="B8:D8"/>
    <mergeCell ref="B9:D9"/>
    <mergeCell ref="B10:D10"/>
    <mergeCell ref="B14:D14"/>
    <mergeCell ref="B15:D15"/>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3:K19"/>
  <sheetViews>
    <sheetView workbookViewId="0">
      <selection activeCell="B21" sqref="B21"/>
    </sheetView>
  </sheetViews>
  <sheetFormatPr defaultColWidth="9.109375" defaultRowHeight="18"/>
  <cols>
    <col min="1" max="1" width="6.109375" style="319" customWidth="1"/>
    <col min="2" max="2" width="100.109375" style="47" bestFit="1" customWidth="1"/>
    <col min="3" max="3" width="12.6640625" style="47" customWidth="1"/>
    <col min="4" max="4" width="11.88671875" style="47" customWidth="1"/>
    <col min="5" max="5" width="13.88671875" style="47" bestFit="1" customWidth="1"/>
    <col min="6" max="6" width="10.6640625" style="47" bestFit="1" customWidth="1"/>
    <col min="7" max="7" width="11.33203125" style="47" bestFit="1" customWidth="1"/>
    <col min="8" max="8" width="13.88671875" style="47" bestFit="1" customWidth="1"/>
    <col min="9" max="9" width="10.6640625" style="47" bestFit="1" customWidth="1"/>
    <col min="10" max="10" width="11.33203125" style="47" bestFit="1" customWidth="1"/>
    <col min="11" max="11" width="13.88671875" style="47" bestFit="1" customWidth="1"/>
    <col min="12" max="16384" width="9.109375" style="47"/>
  </cols>
  <sheetData>
    <row r="3" spans="1:11" s="49" customFormat="1" ht="46.5" customHeight="1">
      <c r="A3" s="6073" t="s">
        <v>136</v>
      </c>
      <c r="B3" s="6292" t="s">
        <v>137</v>
      </c>
      <c r="C3" s="6293" t="s">
        <v>1654</v>
      </c>
      <c r="D3" s="6293"/>
      <c r="E3" s="6293"/>
      <c r="F3" s="6293" t="s">
        <v>1655</v>
      </c>
      <c r="G3" s="6293"/>
      <c r="H3" s="6293"/>
      <c r="I3" s="6293" t="s">
        <v>1656</v>
      </c>
      <c r="J3" s="6293"/>
      <c r="K3" s="6293"/>
    </row>
    <row r="4" spans="1:11" s="1638" customFormat="1" ht="17.399999999999999">
      <c r="A4" s="6073"/>
      <c r="B4" s="6292"/>
      <c r="C4" s="50" t="s">
        <v>54</v>
      </c>
      <c r="D4" s="50" t="s">
        <v>249</v>
      </c>
      <c r="E4" s="50" t="s">
        <v>250</v>
      </c>
      <c r="F4" s="50" t="s">
        <v>54</v>
      </c>
      <c r="G4" s="50" t="s">
        <v>249</v>
      </c>
      <c r="H4" s="50" t="s">
        <v>250</v>
      </c>
      <c r="I4" s="50" t="s">
        <v>54</v>
      </c>
      <c r="J4" s="50" t="s">
        <v>249</v>
      </c>
      <c r="K4" s="50" t="s">
        <v>250</v>
      </c>
    </row>
    <row r="5" spans="1:11">
      <c r="A5" s="2614"/>
      <c r="B5" s="2613" t="s">
        <v>1653</v>
      </c>
      <c r="C5" s="2616">
        <f>SUM(C6,C12,C16,C17,C18,C19)</f>
        <v>0</v>
      </c>
      <c r="D5" s="2616">
        <f t="shared" ref="D5:K5" si="0">SUM(D6,D12,D16,D17,D18,D19)</f>
        <v>0</v>
      </c>
      <c r="E5" s="2616">
        <f t="shared" si="0"/>
        <v>0</v>
      </c>
      <c r="F5" s="2616">
        <f>SUM(F6,F12,F16,F17,F18,F19)</f>
        <v>0</v>
      </c>
      <c r="G5" s="2616">
        <f t="shared" si="0"/>
        <v>0</v>
      </c>
      <c r="H5" s="2616">
        <f t="shared" si="0"/>
        <v>0</v>
      </c>
      <c r="I5" s="2616">
        <f>SUM(I6,I12,I16,I17,I18,I19)</f>
        <v>0</v>
      </c>
      <c r="J5" s="2616">
        <f t="shared" si="0"/>
        <v>0</v>
      </c>
      <c r="K5" s="2616">
        <f t="shared" si="0"/>
        <v>0</v>
      </c>
    </row>
    <row r="6" spans="1:11">
      <c r="A6" s="2615" t="s">
        <v>3</v>
      </c>
      <c r="B6" s="668" t="s">
        <v>736</v>
      </c>
      <c r="C6" s="453">
        <f>SUM(C7:C11)</f>
        <v>0</v>
      </c>
      <c r="D6" s="453">
        <f t="shared" ref="D6:K6" si="1">SUM(D7:D11)</f>
        <v>0</v>
      </c>
      <c r="E6" s="453">
        <f t="shared" si="1"/>
        <v>0</v>
      </c>
      <c r="F6" s="453">
        <f>SUM(F7:F11)</f>
        <v>0</v>
      </c>
      <c r="G6" s="453">
        <f t="shared" si="1"/>
        <v>0</v>
      </c>
      <c r="H6" s="453">
        <f t="shared" si="1"/>
        <v>0</v>
      </c>
      <c r="I6" s="453">
        <f>SUM(I7:I11)</f>
        <v>0</v>
      </c>
      <c r="J6" s="453">
        <f t="shared" si="1"/>
        <v>0</v>
      </c>
      <c r="K6" s="453">
        <f t="shared" si="1"/>
        <v>0</v>
      </c>
    </row>
    <row r="7" spans="1:11">
      <c r="A7" s="2615">
        <v>1</v>
      </c>
      <c r="B7" s="669" t="str">
        <f>'[31]Phụ lục số 3.1'!B25</f>
        <v>Chi đầu tư xây dựng cơ bản</v>
      </c>
      <c r="C7" s="518">
        <f>SUM(D7:E7)</f>
        <v>0</v>
      </c>
      <c r="D7" s="518"/>
      <c r="E7" s="518"/>
      <c r="F7" s="518">
        <f>SUM(G7:H7)</f>
        <v>0</v>
      </c>
      <c r="G7" s="518"/>
      <c r="H7" s="518"/>
      <c r="I7" s="518">
        <f>SUM(J7:K7)</f>
        <v>0</v>
      </c>
      <c r="J7" s="518"/>
      <c r="K7" s="518"/>
    </row>
    <row r="8" spans="1:11">
      <c r="A8" s="2615">
        <v>2</v>
      </c>
      <c r="B8" s="669" t="str">
        <f>'[31]Phụ lục số 3.1'!B26</f>
        <v>Chi đầu tư từ nguồn thu tiền sử dụng đất</v>
      </c>
      <c r="C8" s="518">
        <f t="shared" ref="C8:C19" si="2">SUM(D8:E8)</f>
        <v>0</v>
      </c>
      <c r="D8" s="518"/>
      <c r="E8" s="518"/>
      <c r="F8" s="518">
        <f t="shared" ref="F8:F19" si="3">SUM(G8:H8)</f>
        <v>0</v>
      </c>
      <c r="G8" s="518"/>
      <c r="H8" s="518"/>
      <c r="I8" s="518">
        <f t="shared" ref="I8:I19" si="4">SUM(J8:K8)</f>
        <v>0</v>
      </c>
      <c r="J8" s="518"/>
      <c r="K8" s="518"/>
    </row>
    <row r="9" spans="1:11">
      <c r="A9" s="2615">
        <v>3</v>
      </c>
      <c r="B9" s="669" t="str">
        <f>'[31]Phụ lục số 3.1'!B27</f>
        <v>Chi đầu tư từ nguồn thu xổ số kiến thiết</v>
      </c>
      <c r="C9" s="518">
        <f t="shared" si="2"/>
        <v>0</v>
      </c>
      <c r="D9" s="518"/>
      <c r="E9" s="518"/>
      <c r="F9" s="518">
        <f t="shared" si="3"/>
        <v>0</v>
      </c>
      <c r="G9" s="518"/>
      <c r="H9" s="518"/>
      <c r="I9" s="518">
        <f t="shared" si="4"/>
        <v>0</v>
      </c>
      <c r="J9" s="518"/>
      <c r="K9" s="518"/>
    </row>
    <row r="10" spans="1:11">
      <c r="A10" s="2615">
        <v>4</v>
      </c>
      <c r="B10" s="669" t="str">
        <f>'[31]Phụ lục số 3.1'!B28</f>
        <v>Chi đầu tư từ nguồn thu thoái vốn doanh nghiệp nhà nước địa phương quản lý;…</v>
      </c>
      <c r="C10" s="518">
        <f t="shared" si="2"/>
        <v>0</v>
      </c>
      <c r="D10" s="518"/>
      <c r="E10" s="518"/>
      <c r="F10" s="518">
        <f t="shared" si="3"/>
        <v>0</v>
      </c>
      <c r="G10" s="518"/>
      <c r="H10" s="518"/>
      <c r="I10" s="518">
        <f t="shared" si="4"/>
        <v>0</v>
      </c>
      <c r="J10" s="518"/>
      <c r="K10" s="518"/>
    </row>
    <row r="11" spans="1:11">
      <c r="A11" s="2615">
        <v>5</v>
      </c>
      <c r="B11" s="669" t="str">
        <f>'[31]Phụ lục số 3.1'!B29</f>
        <v>Chi đầu tư phát triển khác (Ủy thác qua NH Chính sách xã hội chi nhánh tỉnh Đồng Tháp)</v>
      </c>
      <c r="C11" s="518">
        <f t="shared" si="2"/>
        <v>0</v>
      </c>
      <c r="D11" s="518"/>
      <c r="E11" s="518"/>
      <c r="F11" s="518">
        <f t="shared" si="3"/>
        <v>0</v>
      </c>
      <c r="G11" s="518"/>
      <c r="H11" s="518"/>
      <c r="I11" s="518">
        <f t="shared" si="4"/>
        <v>0</v>
      </c>
      <c r="J11" s="518"/>
      <c r="K11" s="518"/>
    </row>
    <row r="12" spans="1:11">
      <c r="A12" s="2615" t="s">
        <v>33</v>
      </c>
      <c r="B12" s="668" t="s">
        <v>1657</v>
      </c>
      <c r="C12" s="453">
        <f>SUM(C13:C15)</f>
        <v>0</v>
      </c>
      <c r="D12" s="453">
        <f t="shared" ref="D12:K12" si="5">SUM(D13:D15)</f>
        <v>0</v>
      </c>
      <c r="E12" s="453">
        <f t="shared" si="5"/>
        <v>0</v>
      </c>
      <c r="F12" s="453">
        <f>SUM(F13:F15)</f>
        <v>0</v>
      </c>
      <c r="G12" s="453">
        <f t="shared" si="5"/>
        <v>0</v>
      </c>
      <c r="H12" s="453">
        <f t="shared" si="5"/>
        <v>0</v>
      </c>
      <c r="I12" s="453">
        <f>SUM(I13:I15)</f>
        <v>0</v>
      </c>
      <c r="J12" s="453">
        <f t="shared" si="5"/>
        <v>0</v>
      </c>
      <c r="K12" s="453">
        <f t="shared" si="5"/>
        <v>0</v>
      </c>
    </row>
    <row r="13" spans="1:11">
      <c r="A13" s="2615">
        <v>1</v>
      </c>
      <c r="B13" s="669" t="s">
        <v>738</v>
      </c>
      <c r="C13" s="518">
        <f t="shared" si="2"/>
        <v>0</v>
      </c>
      <c r="D13" s="518"/>
      <c r="E13" s="518"/>
      <c r="F13" s="518">
        <f t="shared" si="3"/>
        <v>0</v>
      </c>
      <c r="G13" s="518"/>
      <c r="H13" s="518"/>
      <c r="I13" s="518">
        <f t="shared" si="4"/>
        <v>0</v>
      </c>
      <c r="J13" s="518"/>
      <c r="K13" s="518"/>
    </row>
    <row r="14" spans="1:11">
      <c r="A14" s="2615">
        <v>2</v>
      </c>
      <c r="B14" s="669" t="s">
        <v>739</v>
      </c>
      <c r="C14" s="518">
        <f t="shared" si="2"/>
        <v>0</v>
      </c>
      <c r="D14" s="518"/>
      <c r="E14" s="518"/>
      <c r="F14" s="518">
        <f t="shared" si="3"/>
        <v>0</v>
      </c>
      <c r="G14" s="518"/>
      <c r="H14" s="518"/>
      <c r="I14" s="518">
        <f t="shared" si="4"/>
        <v>0</v>
      </c>
      <c r="J14" s="518"/>
      <c r="K14" s="518"/>
    </row>
    <row r="15" spans="1:11">
      <c r="A15" s="2615">
        <v>3</v>
      </c>
      <c r="B15" s="669" t="s">
        <v>740</v>
      </c>
      <c r="C15" s="518">
        <f t="shared" si="2"/>
        <v>0</v>
      </c>
      <c r="D15" s="518"/>
      <c r="E15" s="518"/>
      <c r="F15" s="518">
        <f t="shared" si="3"/>
        <v>0</v>
      </c>
      <c r="G15" s="518"/>
      <c r="H15" s="518"/>
      <c r="I15" s="518">
        <f t="shared" si="4"/>
        <v>0</v>
      </c>
      <c r="J15" s="518"/>
      <c r="K15" s="518"/>
    </row>
    <row r="16" spans="1:11">
      <c r="A16" s="2615" t="s">
        <v>182</v>
      </c>
      <c r="B16" s="668" t="s">
        <v>741</v>
      </c>
      <c r="C16" s="453">
        <f t="shared" si="2"/>
        <v>0</v>
      </c>
      <c r="D16" s="518"/>
      <c r="E16" s="518"/>
      <c r="F16" s="453">
        <f t="shared" si="3"/>
        <v>0</v>
      </c>
      <c r="G16" s="518"/>
      <c r="H16" s="518"/>
      <c r="I16" s="453">
        <f t="shared" si="4"/>
        <v>0</v>
      </c>
      <c r="J16" s="518"/>
      <c r="K16" s="518"/>
    </row>
    <row r="17" spans="1:11">
      <c r="A17" s="2615" t="s">
        <v>215</v>
      </c>
      <c r="B17" s="668" t="s">
        <v>742</v>
      </c>
      <c r="C17" s="453">
        <f t="shared" si="2"/>
        <v>0</v>
      </c>
      <c r="D17" s="518"/>
      <c r="E17" s="518"/>
      <c r="F17" s="453">
        <f t="shared" si="3"/>
        <v>0</v>
      </c>
      <c r="G17" s="518"/>
      <c r="H17" s="518"/>
      <c r="I17" s="453">
        <f t="shared" si="4"/>
        <v>0</v>
      </c>
      <c r="J17" s="518"/>
      <c r="K17" s="518"/>
    </row>
    <row r="18" spans="1:11">
      <c r="A18" s="2615" t="s">
        <v>718</v>
      </c>
      <c r="B18" s="668" t="s">
        <v>743</v>
      </c>
      <c r="C18" s="453">
        <f t="shared" si="2"/>
        <v>0</v>
      </c>
      <c r="D18" s="518"/>
      <c r="E18" s="518"/>
      <c r="F18" s="453">
        <f t="shared" si="3"/>
        <v>0</v>
      </c>
      <c r="G18" s="518"/>
      <c r="H18" s="518"/>
      <c r="I18" s="453">
        <f t="shared" si="4"/>
        <v>0</v>
      </c>
      <c r="J18" s="518"/>
      <c r="K18" s="518"/>
    </row>
    <row r="19" spans="1:11">
      <c r="A19" s="1085" t="s">
        <v>744</v>
      </c>
      <c r="B19" s="670" t="s">
        <v>213</v>
      </c>
      <c r="C19" s="2617">
        <f t="shared" si="2"/>
        <v>0</v>
      </c>
      <c r="D19" s="921"/>
      <c r="E19" s="921"/>
      <c r="F19" s="2617">
        <f t="shared" si="3"/>
        <v>0</v>
      </c>
      <c r="G19" s="921"/>
      <c r="H19" s="921"/>
      <c r="I19" s="2617">
        <f t="shared" si="4"/>
        <v>0</v>
      </c>
      <c r="J19" s="921"/>
      <c r="K19" s="921"/>
    </row>
  </sheetData>
  <mergeCells count="5">
    <mergeCell ref="B3:B4"/>
    <mergeCell ref="A3:A4"/>
    <mergeCell ref="C3:E3"/>
    <mergeCell ref="F3:H3"/>
    <mergeCell ref="I3:K3"/>
  </mergeCells>
  <conditionalFormatting sqref="B5:B19">
    <cfRule type="expression" dxfId="0" priority="1">
      <formula>MOD(COLUMN(),2)</formula>
    </cfRule>
  </conditionalFormatting>
  <hyperlinks>
    <hyperlink ref="A3:A4" location="'Danh mục file'!A1" display="Số TT"/>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P72"/>
  <sheetViews>
    <sheetView topLeftCell="T18" workbookViewId="0">
      <selection activeCell="AG36" sqref="AG36"/>
    </sheetView>
  </sheetViews>
  <sheetFormatPr defaultColWidth="9.88671875" defaultRowHeight="18"/>
  <cols>
    <col min="1" max="1" width="6.33203125" style="381" customWidth="1"/>
    <col min="2" max="2" width="97.109375" style="381" customWidth="1"/>
    <col min="3" max="3" width="26.33203125" style="381" customWidth="1"/>
    <col min="4" max="6" width="10.88671875" style="381" customWidth="1"/>
    <col min="7" max="10" width="10.88671875" style="381" hidden="1" customWidth="1"/>
    <col min="11" max="11" width="14.6640625" style="381" hidden="1" customWidth="1"/>
    <col min="12" max="12" width="16.88671875" style="381" hidden="1" customWidth="1"/>
    <col min="13" max="13" width="14.33203125" style="381" hidden="1" customWidth="1"/>
    <col min="14" max="14" width="20.33203125" style="381" hidden="1" customWidth="1"/>
    <col min="15" max="15" width="12.109375" style="381" bestFit="1" customWidth="1"/>
    <col min="16" max="16" width="21.6640625" style="381" bestFit="1" customWidth="1"/>
    <col min="17" max="16384" width="9.88671875" style="381"/>
  </cols>
  <sheetData>
    <row r="1" spans="1:13" s="386" customFormat="1" ht="17.399999999999999" hidden="1">
      <c r="A1" s="6574"/>
      <c r="B1" s="6574"/>
      <c r="C1" s="6574"/>
    </row>
    <row r="2" spans="1:13" hidden="1">
      <c r="A2" s="386"/>
      <c r="B2" s="386"/>
      <c r="C2" s="386"/>
    </row>
    <row r="3" spans="1:13">
      <c r="A3" s="6109" t="s">
        <v>3134</v>
      </c>
      <c r="B3" s="6045"/>
      <c r="C3" s="6045"/>
    </row>
    <row r="4" spans="1:13">
      <c r="A4" s="6498" t="str">
        <f>+'Phụ lục số 2'!A3:Q3</f>
        <v>(Kèm theo Báo cáo số     462/BC-UBND ngày 22 tháng 11 năm 2024 của Ủy ban nhân dân tỉnh Đồng Tháp)</v>
      </c>
      <c r="B4" s="6498"/>
      <c r="C4" s="6498"/>
    </row>
    <row r="5" spans="1:13">
      <c r="A5" s="2635"/>
      <c r="B5" s="2635"/>
      <c r="C5" s="2635"/>
    </row>
    <row r="6" spans="1:13" ht="18.600000000000001" thickBot="1">
      <c r="C6" s="2565" t="s">
        <v>638</v>
      </c>
    </row>
    <row r="7" spans="1:13" s="431" customFormat="1" ht="31.8" thickTop="1">
      <c r="A7" s="4258" t="s">
        <v>1660</v>
      </c>
      <c r="B7" s="2618" t="s">
        <v>201</v>
      </c>
      <c r="C7" s="2619" t="s">
        <v>1455</v>
      </c>
    </row>
    <row r="8" spans="1:13" s="2923" customFormat="1" ht="17.399999999999999">
      <c r="A8" s="5841" t="s">
        <v>1</v>
      </c>
      <c r="B8" s="5842" t="s">
        <v>1674</v>
      </c>
      <c r="C8" s="5837">
        <f>SUM(C9,C12,C17,C16)</f>
        <v>16886294.195999999</v>
      </c>
      <c r="D8" s="5104"/>
      <c r="E8" s="5104"/>
      <c r="F8" s="5104"/>
      <c r="G8" s="5104"/>
      <c r="H8" s="5104"/>
      <c r="I8" s="5104"/>
      <c r="J8" s="5104"/>
      <c r="L8" s="5104"/>
      <c r="M8" s="5104"/>
    </row>
    <row r="9" spans="1:13" s="2923" customFormat="1" ht="17.399999999999999">
      <c r="A9" s="606" t="s">
        <v>3</v>
      </c>
      <c r="B9" s="2627" t="s">
        <v>1675</v>
      </c>
      <c r="C9" s="2638">
        <f>+'Phụ lục số 1'!U10</f>
        <v>4983218.7960000001</v>
      </c>
      <c r="K9" s="5104"/>
    </row>
    <row r="10" spans="1:13" s="1649" customFormat="1">
      <c r="A10" s="614">
        <v>1</v>
      </c>
      <c r="B10" s="2625" t="s">
        <v>1676</v>
      </c>
      <c r="C10" s="2640">
        <f>C9-C11</f>
        <v>2887618.7960000001</v>
      </c>
      <c r="K10" s="5843"/>
    </row>
    <row r="11" spans="1:13" s="1649" customFormat="1">
      <c r="A11" s="614">
        <v>2</v>
      </c>
      <c r="B11" s="1924" t="s">
        <v>833</v>
      </c>
      <c r="C11" s="2640">
        <f>+'Phụ lục số 1'!U77</f>
        <v>2095600</v>
      </c>
      <c r="K11" s="5287"/>
      <c r="L11" s="5287"/>
      <c r="M11" s="5287"/>
    </row>
    <row r="12" spans="1:13" s="2923" customFormat="1" ht="17.399999999999999">
      <c r="A12" s="606" t="s">
        <v>33</v>
      </c>
      <c r="B12" s="2627" t="s">
        <v>1677</v>
      </c>
      <c r="C12" s="2638">
        <f>SUM(C13:C15)</f>
        <v>11903075</v>
      </c>
      <c r="D12" s="5104"/>
      <c r="E12" s="5104"/>
      <c r="F12" s="5104"/>
      <c r="G12" s="5104"/>
      <c r="H12" s="5104"/>
      <c r="I12" s="5104"/>
      <c r="J12" s="5104"/>
      <c r="K12" s="5104"/>
    </row>
    <row r="13" spans="1:13" s="47" customFormat="1">
      <c r="A13" s="603">
        <v>1</v>
      </c>
      <c r="B13" s="297" t="s">
        <v>205</v>
      </c>
      <c r="C13" s="4785">
        <f>+'Phụ lục số 1'!U58</f>
        <v>6749488</v>
      </c>
      <c r="K13" s="320"/>
    </row>
    <row r="14" spans="1:13" s="47" customFormat="1">
      <c r="A14" s="603">
        <v>2</v>
      </c>
      <c r="B14" s="297" t="s">
        <v>3133</v>
      </c>
      <c r="C14" s="4785">
        <f>+'Phụ lục số 1'!U60</f>
        <v>2116595</v>
      </c>
      <c r="L14" s="679">
        <f>+C14+C13+C9</f>
        <v>13849301.796</v>
      </c>
      <c r="M14" s="5844">
        <f>+L14-L19</f>
        <v>-67685.400000000373</v>
      </c>
    </row>
    <row r="15" spans="1:13" s="47" customFormat="1">
      <c r="A15" s="603">
        <v>3</v>
      </c>
      <c r="B15" s="297" t="s">
        <v>41</v>
      </c>
      <c r="C15" s="4785">
        <f>+'Phụ lục số 1'!U61</f>
        <v>3036992</v>
      </c>
      <c r="K15" s="320"/>
      <c r="L15" s="679">
        <f>+C20+C32+C48+C49+C50</f>
        <v>6833081.4930000007</v>
      </c>
    </row>
    <row r="16" spans="1:13" s="5845" customFormat="1">
      <c r="A16" s="606" t="s">
        <v>182</v>
      </c>
      <c r="B16" s="2627" t="s">
        <v>1531</v>
      </c>
      <c r="C16" s="2638">
        <f>+'Phụ lục số 1'!U71</f>
        <v>0.40000000001455194</v>
      </c>
      <c r="L16" s="5846">
        <f>+L15+C63+C67</f>
        <v>13916987.196</v>
      </c>
      <c r="M16" s="5846">
        <f>+L14-L16</f>
        <v>-67685.400000000373</v>
      </c>
    </row>
    <row r="17" spans="1:16" s="2923" customFormat="1" ht="17.399999999999999">
      <c r="A17" s="606" t="s">
        <v>215</v>
      </c>
      <c r="B17" s="2699" t="s">
        <v>47</v>
      </c>
      <c r="C17" s="2638">
        <f>+'Phụ lục số 1'!U72</f>
        <v>0</v>
      </c>
    </row>
    <row r="18" spans="1:16" s="2923" customFormat="1" ht="16.2" customHeight="1">
      <c r="A18" s="606" t="s">
        <v>37</v>
      </c>
      <c r="B18" s="2627" t="s">
        <v>1678</v>
      </c>
      <c r="C18" s="2628">
        <f>SUM(C19,C52,C62,C63,C67)</f>
        <v>16699594.196</v>
      </c>
      <c r="D18" s="5104"/>
      <c r="E18" s="5104"/>
      <c r="F18" s="5104"/>
      <c r="G18" s="5104">
        <f>+C18/1000</f>
        <v>16699.594196000002</v>
      </c>
      <c r="H18" s="5104"/>
      <c r="I18" s="5104"/>
      <c r="J18" s="5104"/>
      <c r="K18" s="5104"/>
      <c r="L18" s="5847">
        <f>+C8-C18</f>
        <v>186699.99999999814</v>
      </c>
      <c r="M18" s="5104">
        <f>+C18-'Phụ lục số 3-CĐC'!J33</f>
        <v>0</v>
      </c>
      <c r="N18" s="5104">
        <f>+C18-'Phụ lục số 2'!P8</f>
        <v>7078351.9069999997</v>
      </c>
      <c r="P18" s="5104"/>
    </row>
    <row r="19" spans="1:16" s="5850" customFormat="1" ht="16.2" customHeight="1">
      <c r="A19" s="2707" t="s">
        <v>3</v>
      </c>
      <c r="B19" s="2708" t="s">
        <v>1679</v>
      </c>
      <c r="C19" s="2647">
        <f>SUM(C20,C32,C48,C49,C50,C51)</f>
        <v>6833081.4930000007</v>
      </c>
      <c r="D19" s="5848"/>
      <c r="E19" s="5848"/>
      <c r="F19" s="5848"/>
      <c r="G19" s="5848"/>
      <c r="H19" s="5848"/>
      <c r="I19" s="5848"/>
      <c r="J19" s="5848"/>
      <c r="K19" s="5848">
        <f>+C8-C18</f>
        <v>186699.99999999814</v>
      </c>
      <c r="L19" s="5849">
        <f>+C20+C32+C48+C49+C50+C63+C67</f>
        <v>13916987.196</v>
      </c>
      <c r="N19" s="5848">
        <f>+C63</f>
        <v>7078351.9069999997</v>
      </c>
    </row>
    <row r="20" spans="1:16" s="5850" customFormat="1" ht="16.2" customHeight="1">
      <c r="A20" s="5368">
        <v>1</v>
      </c>
      <c r="B20" s="2699" t="s">
        <v>1680</v>
      </c>
      <c r="C20" s="2647">
        <f>+C21+C22+C24</f>
        <v>2983390</v>
      </c>
      <c r="D20" s="5848"/>
      <c r="E20" s="5848"/>
      <c r="F20" s="5848"/>
      <c r="G20" s="5848"/>
      <c r="H20" s="5848"/>
      <c r="I20" s="5848"/>
      <c r="J20" s="5848"/>
      <c r="K20" s="5848"/>
      <c r="L20" s="5849">
        <f>+C52</f>
        <v>2782607</v>
      </c>
    </row>
    <row r="21" spans="1:16" s="5851" customFormat="1" ht="16.2" customHeight="1">
      <c r="A21" s="2756" t="s">
        <v>99</v>
      </c>
      <c r="B21" s="1784" t="str">
        <f>+'Phụ lục số 2'!B11</f>
        <v>Chi đầu tư xây dựng cơ bản</v>
      </c>
      <c r="C21" s="2661">
        <f>+'Phụ lục số 2'!P11</f>
        <v>376890</v>
      </c>
      <c r="D21" s="2734"/>
      <c r="E21" s="2734"/>
      <c r="F21" s="2734"/>
      <c r="G21" s="2734"/>
      <c r="H21" s="2734"/>
      <c r="I21" s="2734"/>
      <c r="J21" s="2734"/>
      <c r="L21" s="5852">
        <f>+L19+L20</f>
        <v>16699594.196</v>
      </c>
    </row>
    <row r="22" spans="1:16" s="5851" customFormat="1" ht="16.2" customHeight="1">
      <c r="A22" s="2756" t="s">
        <v>101</v>
      </c>
      <c r="B22" s="1784" t="str">
        <f>+'Phụ lục số 2'!B12</f>
        <v>Chi đầu tư từ nguồn thu tiền sử dụng đất</v>
      </c>
      <c r="C22" s="2661">
        <f>+'Phụ lục số 2'!P12</f>
        <v>506500</v>
      </c>
      <c r="D22" s="2734"/>
      <c r="E22" s="2734"/>
      <c r="F22" s="2734"/>
      <c r="G22" s="2734"/>
      <c r="H22" s="2734"/>
      <c r="I22" s="2734"/>
      <c r="J22" s="2734"/>
      <c r="L22" s="5853">
        <f>+C18-L21</f>
        <v>0</v>
      </c>
    </row>
    <row r="23" spans="1:16" s="5856" customFormat="1" ht="62.25" customHeight="1">
      <c r="A23" s="2758"/>
      <c r="B23" s="585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3" s="2653">
        <f>+'Phụ lục số 2'!P13</f>
        <v>160000</v>
      </c>
      <c r="D23" s="5854"/>
      <c r="E23" s="5854"/>
      <c r="F23" s="5854"/>
      <c r="G23" s="5854"/>
      <c r="H23" s="5854"/>
      <c r="I23" s="5854"/>
      <c r="J23" s="5854"/>
      <c r="K23" s="2734">
        <f>+C8-C68</f>
        <v>16699594.195999999</v>
      </c>
      <c r="L23" s="5855">
        <f>+C14+C13+C9</f>
        <v>13849301.796</v>
      </c>
    </row>
    <row r="24" spans="1:16" s="5851" customFormat="1" ht="16.2" customHeight="1">
      <c r="A24" s="2756" t="s">
        <v>147</v>
      </c>
      <c r="B24" s="1784" t="str">
        <f>+'Phụ lục số 2'!B14</f>
        <v>Chi đầu tư từ nguồn thu xổ số kiến thiết</v>
      </c>
      <c r="C24" s="2661">
        <f>+'Phụ lục số 2'!P14</f>
        <v>2100000</v>
      </c>
      <c r="D24" s="2734"/>
      <c r="E24" s="2734"/>
      <c r="F24" s="2734"/>
      <c r="G24" s="2734"/>
      <c r="H24" s="2734"/>
      <c r="I24" s="2734"/>
      <c r="J24" s="2734"/>
      <c r="K24" s="2734">
        <f>+K23-C18</f>
        <v>0</v>
      </c>
      <c r="L24" s="5857">
        <f>+L23-L19</f>
        <v>-67685.400000000373</v>
      </c>
    </row>
    <row r="25" spans="1:16" s="5856" customFormat="1" ht="30" customHeight="1">
      <c r="A25" s="2758"/>
      <c r="B25" s="5859" t="str">
        <f>+'Phụ lục số 2'!B15</f>
        <v>Trong đó: Ủy thác qua Ngân hàng Chính sách xã hội chi nhánh tỉnh Đồng Tháp (từ nguồn thu sổ số kiến thiết năm 2025)</v>
      </c>
      <c r="C25" s="2653">
        <f>+'Phụ lục số 2'!P15</f>
        <v>100000</v>
      </c>
      <c r="D25" s="5854"/>
      <c r="E25" s="5854"/>
      <c r="F25" s="5854"/>
      <c r="G25" s="5854"/>
      <c r="H25" s="5854"/>
      <c r="I25" s="5854"/>
      <c r="J25" s="5854"/>
      <c r="L25" s="5858">
        <f>-L24</f>
        <v>67685.400000000373</v>
      </c>
    </row>
    <row r="26" spans="1:16" s="5856" customFormat="1" ht="16.2" hidden="1" customHeight="1">
      <c r="A26" s="614" t="s">
        <v>148</v>
      </c>
      <c r="B26" s="1893" t="str">
        <f>+'Phụ lục số 2'!B16</f>
        <v>Chi đầu tư từ nguồn thu thoái vốn doanh nghiệp nhà nước địa phương quản lý;…</v>
      </c>
      <c r="C26" s="2653">
        <f>+'Phụ lục số 2'!P16</f>
        <v>0</v>
      </c>
      <c r="D26" s="5854"/>
      <c r="E26" s="5854"/>
      <c r="F26" s="5854"/>
      <c r="G26" s="5854"/>
      <c r="H26" s="5854"/>
      <c r="I26" s="5854"/>
      <c r="J26" s="5854"/>
    </row>
    <row r="27" spans="1:16" s="5851" customFormat="1" ht="16.2" hidden="1" customHeight="1">
      <c r="A27" s="603" t="s">
        <v>149</v>
      </c>
      <c r="B27" s="1784" t="str">
        <f>+'Phụ lục số 2'!B17</f>
        <v xml:space="preserve">Chi đầu tư phát triển khác </v>
      </c>
      <c r="C27" s="2661">
        <f>SUM(C28:C31)</f>
        <v>0</v>
      </c>
      <c r="D27" s="2734"/>
      <c r="E27" s="2734"/>
      <c r="F27" s="2734"/>
      <c r="G27" s="2734"/>
      <c r="H27" s="2734"/>
      <c r="I27" s="2734"/>
      <c r="J27" s="2734"/>
    </row>
    <row r="28" spans="1:16" s="5856" customFormat="1" ht="16.2" hidden="1" customHeight="1">
      <c r="A28" s="614" t="s">
        <v>3126</v>
      </c>
      <c r="B28" s="5859" t="str">
        <f>+'Phụ lục số 2'!B18</f>
        <v>Ủy thác qua Ngân hàng Chính sách xã hội chi nhánh tỉnh Đồng Tháp (từ nguồn thu sổ số kiến thiết năm 2025)</v>
      </c>
      <c r="C28" s="2653">
        <f>+'Phụ lục số 2'!P18</f>
        <v>0</v>
      </c>
      <c r="D28" s="5854"/>
      <c r="E28" s="5854"/>
      <c r="F28" s="5854"/>
      <c r="G28" s="5854"/>
      <c r="H28" s="5854"/>
      <c r="I28" s="5854"/>
      <c r="J28" s="5854"/>
    </row>
    <row r="29" spans="1:16" s="5856" customFormat="1" ht="16.2" hidden="1" customHeight="1">
      <c r="A29" s="614" t="s">
        <v>3127</v>
      </c>
      <c r="B29" s="585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9" s="2653">
        <f>+'Phụ lục số 2'!P19</f>
        <v>0</v>
      </c>
      <c r="D29" s="5854"/>
      <c r="E29" s="5854"/>
      <c r="F29" s="5854"/>
      <c r="G29" s="5854"/>
      <c r="H29" s="5854"/>
      <c r="I29" s="5854"/>
      <c r="J29" s="5854"/>
    </row>
    <row r="30" spans="1:16" s="5856" customFormat="1" ht="16.2" hidden="1" customHeight="1">
      <c r="A30" s="614"/>
      <c r="B30" s="5859">
        <f>+'Phụ lục số 2'!B20</f>
        <v>0</v>
      </c>
      <c r="C30" s="2653"/>
      <c r="D30" s="5854"/>
      <c r="E30" s="5854"/>
      <c r="F30" s="5854"/>
      <c r="G30" s="5854"/>
      <c r="H30" s="5854"/>
      <c r="I30" s="5854"/>
      <c r="J30" s="5854"/>
    </row>
    <row r="31" spans="1:16" s="5856" customFormat="1" ht="16.2" hidden="1" customHeight="1">
      <c r="A31" s="614"/>
      <c r="B31" s="5859">
        <f>+'Phụ lục số 2'!B21</f>
        <v>0</v>
      </c>
      <c r="C31" s="2653"/>
      <c r="D31" s="5854"/>
      <c r="E31" s="5854"/>
      <c r="F31" s="5854"/>
      <c r="G31" s="5854"/>
      <c r="H31" s="5854"/>
      <c r="I31" s="5854"/>
      <c r="J31" s="5854"/>
    </row>
    <row r="32" spans="1:16" s="5850" customFormat="1" ht="16.2" customHeight="1">
      <c r="A32" s="5368">
        <v>2</v>
      </c>
      <c r="B32" s="2699" t="s">
        <v>209</v>
      </c>
      <c r="C32" s="2647">
        <f>SUM(C33,C34,C35,C39:C47)</f>
        <v>3680232.0929999999</v>
      </c>
      <c r="D32" s="5848"/>
      <c r="E32" s="5848"/>
      <c r="F32" s="5848"/>
      <c r="G32" s="5848"/>
      <c r="H32" s="5848"/>
      <c r="I32" s="5848"/>
      <c r="J32" s="5848"/>
      <c r="K32" s="5860"/>
    </row>
    <row r="33" spans="1:16" s="5851" customFormat="1" ht="16.2" customHeight="1">
      <c r="A33" s="2756" t="s">
        <v>204</v>
      </c>
      <c r="B33" s="4600" t="s">
        <v>152</v>
      </c>
      <c r="C33" s="2661">
        <f>+'Phụ lục số 2'!P23</f>
        <v>1106650</v>
      </c>
      <c r="D33" s="2734"/>
      <c r="E33" s="2734"/>
      <c r="F33" s="2734"/>
      <c r="G33" s="2734"/>
      <c r="H33" s="2734"/>
      <c r="I33" s="2734"/>
      <c r="J33" s="2734"/>
    </row>
    <row r="34" spans="1:16" s="5851" customFormat="1" ht="16.2" customHeight="1">
      <c r="A34" s="2756" t="s">
        <v>206</v>
      </c>
      <c r="B34" s="4600" t="s">
        <v>153</v>
      </c>
      <c r="C34" s="2661">
        <f>+'Phụ lục số 2'!P24</f>
        <v>31307</v>
      </c>
      <c r="D34" s="2734"/>
      <c r="E34" s="2734"/>
      <c r="F34" s="2734"/>
      <c r="G34" s="2734"/>
      <c r="H34" s="2734"/>
      <c r="I34" s="2734"/>
      <c r="J34" s="2734"/>
    </row>
    <row r="35" spans="1:16" s="5851" customFormat="1" ht="16.2" customHeight="1">
      <c r="A35" s="2756" t="s">
        <v>237</v>
      </c>
      <c r="B35" s="46" t="s">
        <v>1691</v>
      </c>
      <c r="C35" s="2661">
        <f>+'Phụ lục số 2'!P25</f>
        <v>150000</v>
      </c>
      <c r="D35" s="2734"/>
      <c r="E35" s="2734"/>
      <c r="F35" s="2734"/>
      <c r="G35" s="2734"/>
      <c r="H35" s="2734"/>
      <c r="I35" s="2734"/>
      <c r="J35" s="2734"/>
    </row>
    <row r="36" spans="1:16" s="5856" customFormat="1" ht="16.2" customHeight="1">
      <c r="A36" s="2758" t="s">
        <v>99</v>
      </c>
      <c r="B36" s="193" t="s">
        <v>1692</v>
      </c>
      <c r="C36" s="2653">
        <f>+'Phụ lục số 5'!S60</f>
        <v>51000</v>
      </c>
      <c r="D36" s="5854"/>
      <c r="E36" s="5854"/>
      <c r="F36" s="5854"/>
      <c r="G36" s="5854"/>
      <c r="H36" s="5854"/>
      <c r="I36" s="5854"/>
      <c r="J36" s="5854"/>
    </row>
    <row r="37" spans="1:16" s="5856" customFormat="1" ht="16.2" customHeight="1">
      <c r="A37" s="2758" t="s">
        <v>101</v>
      </c>
      <c r="B37" s="193" t="s">
        <v>1693</v>
      </c>
      <c r="C37" s="2653">
        <f>+'Phụ lục số 5'!S61</f>
        <v>82500</v>
      </c>
      <c r="D37" s="5854"/>
      <c r="E37" s="5854"/>
      <c r="F37" s="5854"/>
      <c r="G37" s="5854"/>
      <c r="H37" s="5854"/>
      <c r="I37" s="5854"/>
      <c r="J37" s="5854"/>
    </row>
    <row r="38" spans="1:16" s="5856" customFormat="1" ht="16.2" customHeight="1">
      <c r="A38" s="2758" t="s">
        <v>147</v>
      </c>
      <c r="B38" s="193" t="s">
        <v>1694</v>
      </c>
      <c r="C38" s="2653">
        <f>+'Phụ lục số 5'!S62</f>
        <v>16500</v>
      </c>
      <c r="D38" s="5854"/>
      <c r="E38" s="5854"/>
      <c r="F38" s="5854"/>
      <c r="G38" s="5854"/>
      <c r="H38" s="5854"/>
      <c r="I38" s="5854"/>
      <c r="J38" s="5854"/>
    </row>
    <row r="39" spans="1:16" s="5856" customFormat="1" ht="16.2" customHeight="1">
      <c r="A39" s="2756" t="s">
        <v>1069</v>
      </c>
      <c r="B39" s="5011" t="s">
        <v>156</v>
      </c>
      <c r="C39" s="2661">
        <f>+'Phụ lục số 2'!P27</f>
        <v>997261</v>
      </c>
      <c r="D39" s="5854"/>
      <c r="E39" s="5854"/>
      <c r="F39" s="5854"/>
      <c r="G39" s="5854"/>
      <c r="H39" s="5854"/>
      <c r="I39" s="5854"/>
      <c r="J39" s="5854"/>
    </row>
    <row r="40" spans="1:16" s="5856" customFormat="1">
      <c r="A40" s="2756" t="s">
        <v>1071</v>
      </c>
      <c r="B40" s="5011" t="s">
        <v>158</v>
      </c>
      <c r="C40" s="2661">
        <f>+'Phụ lục số 2'!P28</f>
        <v>55631</v>
      </c>
      <c r="D40" s="5854"/>
      <c r="E40" s="5854"/>
      <c r="F40" s="5854"/>
      <c r="G40" s="5854"/>
      <c r="H40" s="5854"/>
      <c r="I40" s="5854"/>
      <c r="J40" s="5854"/>
      <c r="N40" s="5861"/>
      <c r="P40" s="5861"/>
    </row>
    <row r="41" spans="1:16" s="5856" customFormat="1">
      <c r="A41" s="2756" t="s">
        <v>1073</v>
      </c>
      <c r="B41" s="5011" t="s">
        <v>160</v>
      </c>
      <c r="C41" s="2661">
        <f>+'Phụ lục số 2'!P29</f>
        <v>32394</v>
      </c>
      <c r="D41" s="5854"/>
      <c r="E41" s="5854"/>
      <c r="F41" s="5854"/>
      <c r="G41" s="5854"/>
      <c r="H41" s="5854"/>
      <c r="I41" s="5854"/>
      <c r="J41" s="5854"/>
      <c r="N41" s="5861"/>
      <c r="P41" s="5861"/>
    </row>
    <row r="42" spans="1:16" s="5856" customFormat="1">
      <c r="A42" s="2756" t="s">
        <v>1079</v>
      </c>
      <c r="B42" s="5011" t="s">
        <v>162</v>
      </c>
      <c r="C42" s="2661">
        <f>+'Phụ lục số 2'!P30</f>
        <v>23615</v>
      </c>
      <c r="D42" s="5854"/>
      <c r="E42" s="5854"/>
      <c r="F42" s="5854"/>
      <c r="G42" s="5854"/>
      <c r="H42" s="5854"/>
      <c r="I42" s="5854"/>
      <c r="J42" s="5854"/>
      <c r="N42" s="5861"/>
      <c r="P42" s="5861"/>
    </row>
    <row r="43" spans="1:16" s="5851" customFormat="1">
      <c r="A43" s="2756" t="s">
        <v>1081</v>
      </c>
      <c r="B43" s="5011" t="s">
        <v>164</v>
      </c>
      <c r="C43" s="2661">
        <f>+'Phụ lục số 2'!P31</f>
        <v>88389</v>
      </c>
      <c r="D43" s="2734"/>
      <c r="E43" s="2734"/>
      <c r="F43" s="2734"/>
      <c r="G43" s="2734"/>
      <c r="H43" s="2734"/>
      <c r="I43" s="2734"/>
      <c r="J43" s="2734"/>
      <c r="P43" s="5862"/>
    </row>
    <row r="44" spans="1:16" s="5851" customFormat="1">
      <c r="A44" s="2756" t="s">
        <v>1083</v>
      </c>
      <c r="B44" s="5011" t="s">
        <v>166</v>
      </c>
      <c r="C44" s="2661">
        <f>+'Phụ lục số 2'!P32</f>
        <v>396140.49299999996</v>
      </c>
      <c r="D44" s="2734"/>
      <c r="E44" s="2734"/>
      <c r="F44" s="2734"/>
      <c r="G44" s="2734"/>
      <c r="H44" s="2734"/>
      <c r="I44" s="2734"/>
      <c r="J44" s="2734"/>
    </row>
    <row r="45" spans="1:16" s="5856" customFormat="1">
      <c r="A45" s="2756" t="s">
        <v>3130</v>
      </c>
      <c r="B45" s="5011" t="s">
        <v>168</v>
      </c>
      <c r="C45" s="2661">
        <f>+'Phụ lục số 2'!P33</f>
        <v>708771.5</v>
      </c>
      <c r="D45" s="5854"/>
      <c r="E45" s="5854"/>
      <c r="F45" s="5854"/>
      <c r="G45" s="5854"/>
      <c r="H45" s="5854"/>
      <c r="I45" s="5854"/>
      <c r="J45" s="5854"/>
    </row>
    <row r="46" spans="1:16" s="5856" customFormat="1">
      <c r="A46" s="2756" t="s">
        <v>3131</v>
      </c>
      <c r="B46" s="5011" t="s">
        <v>170</v>
      </c>
      <c r="C46" s="2661">
        <f>+'Phụ lục số 2'!P34</f>
        <v>68073.100000000006</v>
      </c>
      <c r="D46" s="5854"/>
      <c r="E46" s="5854"/>
      <c r="F46" s="5854"/>
      <c r="G46" s="5854"/>
      <c r="H46" s="5854"/>
      <c r="I46" s="5854"/>
      <c r="J46" s="5854"/>
    </row>
    <row r="47" spans="1:16" s="5851" customFormat="1">
      <c r="A47" s="2756" t="s">
        <v>3132</v>
      </c>
      <c r="B47" s="46" t="s">
        <v>721</v>
      </c>
      <c r="C47" s="2661">
        <f>+'Phụ lục số 2'!P35</f>
        <v>22000</v>
      </c>
      <c r="D47" s="2734"/>
      <c r="E47" s="2734"/>
      <c r="F47" s="2734"/>
      <c r="G47" s="2734"/>
      <c r="H47" s="2734"/>
      <c r="I47" s="2734"/>
      <c r="J47" s="2734"/>
    </row>
    <row r="48" spans="1:16" s="5850" customFormat="1" ht="17.399999999999999">
      <c r="A48" s="5368">
        <v>3</v>
      </c>
      <c r="B48" s="2708" t="s">
        <v>1444</v>
      </c>
      <c r="C48" s="2647">
        <f>+'Phụ lục số 2'!P36</f>
        <v>3500</v>
      </c>
      <c r="D48" s="5848"/>
      <c r="E48" s="5848"/>
      <c r="F48" s="5848"/>
      <c r="G48" s="5848"/>
      <c r="H48" s="5848"/>
      <c r="I48" s="5848"/>
      <c r="J48" s="5848"/>
    </row>
    <row r="49" spans="1:12" s="5850" customFormat="1" ht="17.399999999999999">
      <c r="A49" s="5368">
        <v>4</v>
      </c>
      <c r="B49" s="2708" t="s">
        <v>174</v>
      </c>
      <c r="C49" s="2647">
        <f>+'Phụ lục số 2'!P37</f>
        <v>2000</v>
      </c>
      <c r="D49" s="5848"/>
      <c r="E49" s="5848"/>
      <c r="F49" s="5848"/>
      <c r="G49" s="5848"/>
      <c r="H49" s="5848"/>
      <c r="I49" s="5848"/>
      <c r="J49" s="5848"/>
    </row>
    <row r="50" spans="1:12" s="5850" customFormat="1" ht="17.399999999999999">
      <c r="A50" s="5368">
        <v>5</v>
      </c>
      <c r="B50" s="2708" t="s">
        <v>175</v>
      </c>
      <c r="C50" s="2647">
        <f>+'Phụ lục số 2'!P38</f>
        <v>163959.4</v>
      </c>
      <c r="D50" s="5848"/>
      <c r="E50" s="5848"/>
      <c r="F50" s="5848"/>
      <c r="G50" s="5848"/>
      <c r="H50" s="5848"/>
      <c r="I50" s="5848"/>
      <c r="J50" s="5848"/>
    </row>
    <row r="51" spans="1:12" s="5850" customFormat="1" ht="17.399999999999999">
      <c r="A51" s="606">
        <v>6</v>
      </c>
      <c r="B51" s="2708" t="s">
        <v>1419</v>
      </c>
      <c r="C51" s="2647">
        <f>+'Phụ lục số 2'!P39</f>
        <v>0</v>
      </c>
      <c r="D51" s="5848"/>
      <c r="E51" s="5848"/>
      <c r="F51" s="5848"/>
      <c r="G51" s="5848"/>
      <c r="H51" s="5848"/>
      <c r="I51" s="5848"/>
      <c r="J51" s="5848"/>
    </row>
    <row r="52" spans="1:12" s="5850" customFormat="1" ht="17.399999999999999">
      <c r="A52" s="2707" t="s">
        <v>33</v>
      </c>
      <c r="B52" s="4783" t="s">
        <v>177</v>
      </c>
      <c r="C52" s="2647">
        <f>+C53+C56+C59</f>
        <v>2782607</v>
      </c>
      <c r="D52" s="5848"/>
      <c r="E52" s="5848"/>
      <c r="F52" s="5848"/>
      <c r="G52" s="5848"/>
      <c r="H52" s="5848"/>
      <c r="I52" s="5848"/>
      <c r="J52" s="5848"/>
    </row>
    <row r="53" spans="1:12" s="5865" customFormat="1" ht="17.399999999999999">
      <c r="A53" s="5838">
        <v>1</v>
      </c>
      <c r="B53" s="5839" t="s">
        <v>178</v>
      </c>
      <c r="C53" s="5863">
        <f>+C54+C55</f>
        <v>2530494</v>
      </c>
      <c r="D53" s="5864"/>
      <c r="E53" s="5864"/>
      <c r="F53" s="5864"/>
      <c r="G53" s="5864"/>
      <c r="H53" s="5864"/>
      <c r="I53" s="5864"/>
      <c r="J53" s="5864"/>
    </row>
    <row r="54" spans="1:12" s="5865" customFormat="1" hidden="1">
      <c r="A54" s="5840" t="s">
        <v>99</v>
      </c>
      <c r="B54" s="5839" t="s">
        <v>100</v>
      </c>
      <c r="C54" s="5866">
        <f>+'Phụ lục số 2'!P42</f>
        <v>2399255</v>
      </c>
      <c r="D54" s="5864"/>
      <c r="E54" s="5864"/>
      <c r="F54" s="5864"/>
      <c r="G54" s="5864"/>
      <c r="H54" s="5864"/>
      <c r="I54" s="5864"/>
      <c r="J54" s="5864"/>
    </row>
    <row r="55" spans="1:12" s="5865" customFormat="1" hidden="1">
      <c r="A55" s="5840" t="s">
        <v>101</v>
      </c>
      <c r="B55" s="5839" t="s">
        <v>102</v>
      </c>
      <c r="C55" s="5866">
        <f>+'Phụ lục số 2'!P43</f>
        <v>131239</v>
      </c>
      <c r="D55" s="5864"/>
      <c r="E55" s="5864"/>
      <c r="F55" s="5864"/>
      <c r="G55" s="5864"/>
      <c r="H55" s="5864"/>
      <c r="I55" s="5864"/>
      <c r="J55" s="5864"/>
    </row>
    <row r="56" spans="1:12" s="5865" customFormat="1" ht="17.399999999999999">
      <c r="A56" s="5838">
        <v>2</v>
      </c>
      <c r="B56" s="5839" t="s">
        <v>179</v>
      </c>
      <c r="C56" s="5863">
        <f>+C57+C58</f>
        <v>125737</v>
      </c>
      <c r="D56" s="5864"/>
      <c r="E56" s="5864"/>
      <c r="F56" s="5864"/>
      <c r="G56" s="5864"/>
      <c r="H56" s="5864"/>
      <c r="I56" s="5864"/>
      <c r="J56" s="5864"/>
    </row>
    <row r="57" spans="1:12" s="5865" customFormat="1" hidden="1">
      <c r="A57" s="5840" t="s">
        <v>99</v>
      </c>
      <c r="B57" s="5839" t="s">
        <v>103</v>
      </c>
      <c r="C57" s="5866">
        <f>+'Phụ lục số 2'!P45</f>
        <v>89832</v>
      </c>
      <c r="D57" s="5864"/>
      <c r="E57" s="5864"/>
      <c r="F57" s="5864"/>
      <c r="G57" s="5864"/>
      <c r="H57" s="5864"/>
      <c r="I57" s="5864"/>
      <c r="J57" s="5864"/>
    </row>
    <row r="58" spans="1:12" s="5865" customFormat="1" hidden="1">
      <c r="A58" s="5840" t="s">
        <v>101</v>
      </c>
      <c r="B58" s="5839" t="s">
        <v>102</v>
      </c>
      <c r="C58" s="5866">
        <f>+'Phụ lục số 2'!P46</f>
        <v>35905</v>
      </c>
      <c r="D58" s="5864"/>
      <c r="E58" s="5864"/>
      <c r="F58" s="5864"/>
      <c r="G58" s="5864"/>
      <c r="H58" s="5864"/>
      <c r="I58" s="5864"/>
      <c r="J58" s="5864"/>
    </row>
    <row r="59" spans="1:12" s="5865" customFormat="1" ht="17.399999999999999">
      <c r="A59" s="5838">
        <v>3</v>
      </c>
      <c r="B59" s="5839" t="s">
        <v>180</v>
      </c>
      <c r="C59" s="5863">
        <f>+C60+C61</f>
        <v>126376</v>
      </c>
      <c r="D59" s="5864"/>
      <c r="E59" s="5864"/>
      <c r="F59" s="5864"/>
      <c r="G59" s="5864"/>
      <c r="H59" s="5864"/>
      <c r="I59" s="5864"/>
      <c r="J59" s="5864"/>
    </row>
    <row r="60" spans="1:12" s="5865" customFormat="1" hidden="1">
      <c r="A60" s="5840" t="s">
        <v>99</v>
      </c>
      <c r="B60" s="5839" t="s">
        <v>104</v>
      </c>
      <c r="C60" s="5866">
        <f>+'Phụ lục số 2'!P48</f>
        <v>0</v>
      </c>
      <c r="D60" s="5864"/>
      <c r="E60" s="5864"/>
      <c r="F60" s="5864"/>
      <c r="G60" s="5864"/>
      <c r="H60" s="5864"/>
      <c r="I60" s="5864"/>
      <c r="J60" s="5864"/>
    </row>
    <row r="61" spans="1:12" s="5865" customFormat="1" hidden="1">
      <c r="A61" s="5840" t="s">
        <v>101</v>
      </c>
      <c r="B61" s="5839" t="s">
        <v>105</v>
      </c>
      <c r="C61" s="5866">
        <f>+'Phụ lục số 2'!P49</f>
        <v>126376</v>
      </c>
      <c r="D61" s="5864"/>
      <c r="E61" s="5864"/>
      <c r="F61" s="5864"/>
      <c r="G61" s="5864"/>
      <c r="H61" s="5864"/>
      <c r="I61" s="5864"/>
      <c r="J61" s="5864"/>
    </row>
    <row r="62" spans="1:12" s="5850" customFormat="1" ht="17.399999999999999">
      <c r="A62" s="2707" t="s">
        <v>182</v>
      </c>
      <c r="B62" s="2785" t="s">
        <v>181</v>
      </c>
      <c r="C62" s="2647">
        <f>+'Phụ lục số 2'!P50</f>
        <v>0</v>
      </c>
      <c r="D62" s="5848"/>
      <c r="E62" s="5848"/>
      <c r="F62" s="5848"/>
      <c r="G62" s="5848"/>
      <c r="H62" s="5848"/>
      <c r="I62" s="5848"/>
      <c r="J62" s="5848"/>
    </row>
    <row r="63" spans="1:12" s="2923" customFormat="1" ht="17.399999999999999">
      <c r="A63" s="606" t="s">
        <v>215</v>
      </c>
      <c r="B63" s="2627" t="s">
        <v>1695</v>
      </c>
      <c r="C63" s="2638">
        <f>SUM(C64:C66)</f>
        <v>7078351.9069999997</v>
      </c>
      <c r="L63" s="5104"/>
    </row>
    <row r="64" spans="1:12" s="1649" customFormat="1">
      <c r="A64" s="614">
        <v>1</v>
      </c>
      <c r="B64" s="2625" t="s">
        <v>205</v>
      </c>
      <c r="C64" s="2640">
        <f>+'Phụ lục số 7'!E37</f>
        <v>4430923</v>
      </c>
      <c r="L64" s="5287"/>
    </row>
    <row r="65" spans="1:12" s="1649" customFormat="1">
      <c r="A65" s="614">
        <v>2</v>
      </c>
      <c r="B65" s="1924" t="s">
        <v>3175</v>
      </c>
      <c r="C65" s="2640">
        <f>+'Phụ lục số 7'!E38</f>
        <v>1681469</v>
      </c>
      <c r="L65" s="5287">
        <f>+C9+C13+C14</f>
        <v>13849301.796</v>
      </c>
    </row>
    <row r="66" spans="1:12" s="1649" customFormat="1">
      <c r="A66" s="614">
        <v>3</v>
      </c>
      <c r="B66" s="2625" t="s">
        <v>41</v>
      </c>
      <c r="C66" s="2640">
        <f>+'Phụ lục số 7'!E39</f>
        <v>965959.90700000001</v>
      </c>
      <c r="K66" s="5287">
        <f>+C66-L25</f>
        <v>898274.50699999963</v>
      </c>
      <c r="L66" s="5287">
        <f>+C20+C32+C48+C49+C50+C68+C67+C65+C64</f>
        <v>13137727.289000001</v>
      </c>
    </row>
    <row r="67" spans="1:12" s="49" customFormat="1" ht="17.399999999999999">
      <c r="A67" s="611" t="s">
        <v>718</v>
      </c>
      <c r="B67" s="330" t="s">
        <v>3233</v>
      </c>
      <c r="C67" s="5289">
        <f>+'Phụ lục số 2'!P51</f>
        <v>5553.7960000000003</v>
      </c>
      <c r="L67" s="320">
        <f>+L65-L66</f>
        <v>711574.50699999928</v>
      </c>
    </row>
    <row r="68" spans="1:12" s="47" customFormat="1">
      <c r="A68" s="4262" t="s">
        <v>44</v>
      </c>
      <c r="B68" s="453" t="s">
        <v>347</v>
      </c>
      <c r="C68" s="5290">
        <f>+'Phụ lục số 2'!P52</f>
        <v>186700</v>
      </c>
    </row>
    <row r="69" spans="1:12" s="47" customFormat="1">
      <c r="A69" s="5867"/>
      <c r="B69" s="518" t="s">
        <v>3219</v>
      </c>
      <c r="C69" s="5076"/>
    </row>
    <row r="70" spans="1:12" s="47" customFormat="1">
      <c r="A70" s="5867"/>
      <c r="B70" s="5868" t="s">
        <v>3221</v>
      </c>
      <c r="C70" s="5291">
        <v>20800</v>
      </c>
    </row>
    <row r="71" spans="1:12" s="47" customFormat="1" ht="18.600000000000001" thickBot="1">
      <c r="A71" s="5869"/>
      <c r="B71" s="5870" t="s">
        <v>3222</v>
      </c>
      <c r="C71" s="5292">
        <f>165900</f>
        <v>165900</v>
      </c>
    </row>
    <row r="72" spans="1:12" ht="18.600000000000001" thickTop="1">
      <c r="C72" s="667"/>
    </row>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AY384"/>
  <sheetViews>
    <sheetView zoomScale="50" zoomScaleNormal="50" workbookViewId="0">
      <pane xSplit="2" ySplit="11" topLeftCell="C68" activePane="bottomRight" state="frozen"/>
      <selection activeCell="AG36" sqref="AG36"/>
      <selection pane="topRight" activeCell="AG36" sqref="AG36"/>
      <selection pane="bottomLeft" activeCell="AG36" sqref="AG36"/>
      <selection pane="bottomRight" activeCell="V9" sqref="V9"/>
    </sheetView>
  </sheetViews>
  <sheetFormatPr defaultColWidth="10" defaultRowHeight="18"/>
  <cols>
    <col min="1" max="1" width="8.109375" style="583" bestFit="1" customWidth="1"/>
    <col min="2" max="2" width="71" style="381" customWidth="1"/>
    <col min="3" max="3" width="16.6640625" style="381" customWidth="1"/>
    <col min="4" max="6" width="17.109375" style="381" hidden="1" customWidth="1"/>
    <col min="7" max="7" width="17.109375" style="873" hidden="1" customWidth="1"/>
    <col min="8" max="8" width="17.109375" style="381" hidden="1" customWidth="1"/>
    <col min="9" max="9" width="17.109375" style="873" hidden="1" customWidth="1"/>
    <col min="10" max="15" width="17.109375" style="381" hidden="1" customWidth="1"/>
    <col min="16" max="19" width="14.5546875" style="381" customWidth="1"/>
    <col min="20" max="20" width="14.5546875" style="381" hidden="1" customWidth="1"/>
    <col min="21" max="29" width="14.5546875" style="381" customWidth="1"/>
    <col min="30" max="30" width="14.88671875" style="381" hidden="1" customWidth="1"/>
    <col min="31" max="31" width="16" style="381" hidden="1" customWidth="1"/>
    <col min="32" max="32" width="13.109375" style="381" hidden="1" customWidth="1"/>
    <col min="33" max="33" width="14.5546875" style="381" hidden="1" customWidth="1"/>
    <col min="34" max="34" width="14.33203125" style="381" customWidth="1"/>
    <col min="35" max="36" width="14.5546875" style="381" customWidth="1"/>
    <col min="37" max="37" width="14.5546875" style="381" hidden="1" customWidth="1"/>
    <col min="38" max="38" width="14.88671875" style="381" hidden="1" customWidth="1"/>
    <col min="39" max="39" width="14.5546875" style="381" customWidth="1"/>
    <col min="40" max="40" width="13.44140625" style="381" customWidth="1"/>
    <col min="41" max="41" width="15.6640625" style="381" bestFit="1" customWidth="1"/>
    <col min="42" max="42" width="10" style="381"/>
    <col min="43" max="43" width="27.33203125" style="381" hidden="1" customWidth="1"/>
    <col min="44" max="44" width="11.5546875" style="381" hidden="1" customWidth="1"/>
    <col min="45" max="46" width="0" style="381" hidden="1" customWidth="1"/>
    <col min="47" max="47" width="11" style="381" bestFit="1" customWidth="1"/>
    <col min="48" max="48" width="10" style="381"/>
    <col min="49" max="49" width="19.109375" style="381" bestFit="1" customWidth="1"/>
    <col min="50" max="50" width="11.88671875" style="381" bestFit="1" customWidth="1"/>
    <col min="51" max="51" width="19.109375" style="381" bestFit="1" customWidth="1"/>
    <col min="52" max="52" width="11" style="381" bestFit="1" customWidth="1"/>
    <col min="53" max="16384" width="10" style="381"/>
  </cols>
  <sheetData>
    <row r="1" spans="1:45">
      <c r="A1" s="6281" t="s">
        <v>756</v>
      </c>
      <c r="B1" s="6281"/>
      <c r="C1" s="6281"/>
      <c r="D1" s="6281"/>
      <c r="E1" s="6281"/>
      <c r="F1" s="6281"/>
      <c r="G1" s="6281"/>
      <c r="H1" s="6281"/>
      <c r="I1" s="6281"/>
      <c r="J1" s="6281"/>
      <c r="K1" s="6281"/>
      <c r="L1" s="6281"/>
      <c r="M1" s="6281"/>
      <c r="N1" s="6281"/>
      <c r="O1" s="6281"/>
      <c r="P1" s="6281"/>
      <c r="Q1" s="6281"/>
      <c r="R1" s="6281"/>
      <c r="S1" s="6281"/>
      <c r="T1" s="6281"/>
      <c r="U1" s="6281"/>
      <c r="V1" s="6281"/>
      <c r="W1" s="6281"/>
      <c r="X1" s="6281"/>
      <c r="Y1" s="6281"/>
      <c r="Z1" s="6281"/>
      <c r="AA1" s="6281"/>
      <c r="AB1" s="6281"/>
      <c r="AC1" s="6281"/>
      <c r="AD1" s="6281"/>
      <c r="AE1" s="6281"/>
      <c r="AF1" s="6281"/>
      <c r="AG1" s="6281"/>
      <c r="AH1" s="6281"/>
      <c r="AI1" s="6281"/>
      <c r="AJ1" s="6281"/>
      <c r="AK1" s="6281"/>
      <c r="AL1" s="6281"/>
    </row>
    <row r="2" spans="1:45">
      <c r="A2" s="6325" t="str">
        <f>+'Phụ lục số 4'!A4:C4</f>
        <v>(Kèm theo Báo cáo số     462/BC-UBND ngày 22 tháng 11 năm 2024 của Ủy ban nhân dân tỉnh Đồng Tháp)</v>
      </c>
      <c r="B2" s="6496"/>
      <c r="C2" s="6496"/>
      <c r="D2" s="6496"/>
      <c r="E2" s="6496"/>
      <c r="F2" s="6496"/>
      <c r="G2" s="6496"/>
      <c r="H2" s="6496"/>
      <c r="I2" s="6496"/>
      <c r="J2" s="6496"/>
      <c r="K2" s="6496"/>
      <c r="L2" s="6496"/>
      <c r="M2" s="6496"/>
      <c r="N2" s="6496"/>
      <c r="O2" s="6496"/>
      <c r="P2" s="6496"/>
      <c r="Q2" s="6496"/>
      <c r="R2" s="6496"/>
      <c r="S2" s="6496"/>
      <c r="T2" s="6496"/>
      <c r="U2" s="6496"/>
      <c r="V2" s="6496"/>
      <c r="W2" s="6496"/>
      <c r="X2" s="6496"/>
      <c r="Y2" s="6496"/>
      <c r="Z2" s="6496"/>
      <c r="AA2" s="6496"/>
      <c r="AB2" s="6496"/>
      <c r="AC2" s="6496"/>
      <c r="AD2" s="6496"/>
      <c r="AE2" s="6496"/>
      <c r="AF2" s="6496"/>
      <c r="AG2" s="6496"/>
      <c r="AH2" s="6496"/>
      <c r="AI2" s="6496"/>
      <c r="AJ2" s="6496"/>
      <c r="AK2" s="680"/>
    </row>
    <row r="3" spans="1:45">
      <c r="AB3" s="426"/>
    </row>
    <row r="4" spans="1:45" ht="18.600000000000001" thickBot="1">
      <c r="C4" s="426"/>
      <c r="D4" s="667"/>
      <c r="E4" s="667"/>
      <c r="F4" s="667"/>
      <c r="H4" s="667"/>
      <c r="I4" s="688"/>
      <c r="J4" s="667"/>
      <c r="P4" s="5112"/>
      <c r="Q4" s="667"/>
      <c r="S4" s="667"/>
      <c r="AH4" s="6516" t="s">
        <v>638</v>
      </c>
      <c r="AI4" s="6516"/>
      <c r="AJ4" s="6516"/>
      <c r="AK4" s="681"/>
    </row>
    <row r="5" spans="1:45" s="386" customFormat="1" ht="19.5" customHeight="1" thickTop="1">
      <c r="A5" s="6517" t="s">
        <v>136</v>
      </c>
      <c r="B5" s="6519" t="s">
        <v>639</v>
      </c>
      <c r="C5" s="6520" t="s">
        <v>121</v>
      </c>
      <c r="D5" s="6520"/>
      <c r="E5" s="6520"/>
      <c r="F5" s="6520"/>
      <c r="G5" s="6520"/>
      <c r="H5" s="6520"/>
      <c r="I5" s="6520"/>
      <c r="J5" s="6520"/>
      <c r="K5" s="6520"/>
      <c r="L5" s="6520"/>
      <c r="M5" s="6520"/>
      <c r="N5" s="6520"/>
      <c r="O5" s="6520"/>
      <c r="P5" s="6520"/>
      <c r="Q5" s="6520"/>
      <c r="R5" s="6520"/>
      <c r="S5" s="6520"/>
      <c r="T5" s="6520"/>
      <c r="U5" s="6520"/>
      <c r="V5" s="6520"/>
      <c r="W5" s="6520"/>
      <c r="X5" s="6520"/>
      <c r="Y5" s="6520"/>
      <c r="Z5" s="6520"/>
      <c r="AA5" s="6520"/>
      <c r="AB5" s="6520"/>
      <c r="AC5" s="6520"/>
      <c r="AD5" s="6520"/>
      <c r="AE5" s="6520"/>
      <c r="AF5" s="6520"/>
      <c r="AG5" s="6520"/>
      <c r="AH5" s="6520"/>
      <c r="AI5" s="6520"/>
      <c r="AJ5" s="6520"/>
      <c r="AK5" s="5010"/>
      <c r="AL5" s="6519" t="s">
        <v>640</v>
      </c>
      <c r="AM5" s="6519" t="s">
        <v>3232</v>
      </c>
      <c r="AN5" s="6523" t="s">
        <v>3174</v>
      </c>
    </row>
    <row r="6" spans="1:45" s="386" customFormat="1" ht="18.75" customHeight="1">
      <c r="A6" s="6518"/>
      <c r="B6" s="6044"/>
      <c r="C6" s="6044" t="s">
        <v>641</v>
      </c>
      <c r="D6" s="6044" t="s">
        <v>642</v>
      </c>
      <c r="E6" s="6044"/>
      <c r="F6" s="6044"/>
      <c r="G6" s="6044"/>
      <c r="H6" s="6044"/>
      <c r="I6" s="6044"/>
      <c r="J6" s="6044"/>
      <c r="K6" s="6044"/>
      <c r="L6" s="6044"/>
      <c r="M6" s="6044"/>
      <c r="N6" s="6044"/>
      <c r="O6" s="6044"/>
      <c r="P6" s="6464" t="s">
        <v>643</v>
      </c>
      <c r="Q6" s="6464"/>
      <c r="R6" s="6464"/>
      <c r="S6" s="6464"/>
      <c r="T6" s="6464"/>
      <c r="U6" s="6464"/>
      <c r="V6" s="6464"/>
      <c r="W6" s="6464"/>
      <c r="X6" s="6464"/>
      <c r="Y6" s="6464"/>
      <c r="Z6" s="6464"/>
      <c r="AA6" s="6464"/>
      <c r="AB6" s="6464"/>
      <c r="AC6" s="6464"/>
      <c r="AD6" s="6044" t="s">
        <v>755</v>
      </c>
      <c r="AE6" s="6044" t="s">
        <v>174</v>
      </c>
      <c r="AF6" s="6044" t="s">
        <v>175</v>
      </c>
      <c r="AG6" s="6513" t="s">
        <v>176</v>
      </c>
      <c r="AH6" s="6044" t="s">
        <v>644</v>
      </c>
      <c r="AI6" s="6369" t="s">
        <v>645</v>
      </c>
      <c r="AJ6" s="6369"/>
      <c r="AK6" s="6044" t="s">
        <v>766</v>
      </c>
      <c r="AL6" s="6044"/>
      <c r="AM6" s="6044"/>
      <c r="AN6" s="6524"/>
    </row>
    <row r="7" spans="1:45" s="386" customFormat="1" ht="17.399999999999999">
      <c r="A7" s="6518"/>
      <c r="B7" s="6044"/>
      <c r="C7" s="6044"/>
      <c r="D7" s="6044" t="s">
        <v>646</v>
      </c>
      <c r="E7" s="6044" t="s">
        <v>645</v>
      </c>
      <c r="F7" s="6044"/>
      <c r="G7" s="6044"/>
      <c r="H7" s="6044"/>
      <c r="I7" s="6044"/>
      <c r="J7" s="6044"/>
      <c r="K7" s="6044"/>
      <c r="L7" s="6044"/>
      <c r="M7" s="6044"/>
      <c r="N7" s="6044"/>
      <c r="O7" s="6044"/>
      <c r="P7" s="6044" t="s">
        <v>647</v>
      </c>
      <c r="Q7" s="6369" t="s">
        <v>645</v>
      </c>
      <c r="R7" s="6369"/>
      <c r="S7" s="6369"/>
      <c r="T7" s="6369"/>
      <c r="U7" s="6369"/>
      <c r="V7" s="6369"/>
      <c r="W7" s="6369"/>
      <c r="X7" s="6369"/>
      <c r="Y7" s="6369"/>
      <c r="Z7" s="6369"/>
      <c r="AA7" s="6369"/>
      <c r="AB7" s="6369"/>
      <c r="AC7" s="6369"/>
      <c r="AD7" s="6044"/>
      <c r="AE7" s="6044"/>
      <c r="AF7" s="6044"/>
      <c r="AG7" s="6513"/>
      <c r="AH7" s="6044"/>
      <c r="AI7" s="6369"/>
      <c r="AJ7" s="6369"/>
      <c r="AK7" s="6044"/>
      <c r="AL7" s="6044"/>
      <c r="AM7" s="6044"/>
      <c r="AN7" s="6524"/>
    </row>
    <row r="8" spans="1:45" s="386" customFormat="1" ht="17.399999999999999">
      <c r="A8" s="6518"/>
      <c r="B8" s="6044"/>
      <c r="C8" s="6044"/>
      <c r="D8" s="6044"/>
      <c r="E8" s="6315" t="str">
        <f>+'Phụ lục số 2'!B11</f>
        <v>Chi đầu tư xây dựng cơ bản</v>
      </c>
      <c r="F8" s="6315" t="str">
        <f>+'Phụ lục số 2'!B12</f>
        <v>Chi đầu tư từ nguồn thu tiền sử dụng đất</v>
      </c>
      <c r="G8" s="6514"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15" t="str">
        <f>+'Phụ lục số 2'!B14</f>
        <v>Chi đầu tư từ nguồn thu xổ số kiến thiết</v>
      </c>
      <c r="I8" s="6514" t="str">
        <f>+'Phụ lục số 2'!B15</f>
        <v>Trong đó: Ủy thác qua Ngân hàng Chính sách xã hội chi nhánh tỉnh Đồng Tháp (từ nguồn thu sổ số kiến thiết năm 2025)</v>
      </c>
      <c r="J8" s="6315" t="str">
        <f>+'Phụ lục số 2'!B16</f>
        <v>Chi đầu tư từ nguồn thu thoái vốn doanh nghiệp nhà nước địa phương quản lý;…</v>
      </c>
      <c r="K8" s="6315" t="str">
        <f>+'Phụ lục số 2'!B17</f>
        <v xml:space="preserve">Chi đầu tư phát triển khác </v>
      </c>
      <c r="L8" s="6044" t="s">
        <v>186</v>
      </c>
      <c r="M8" s="6044"/>
      <c r="N8" s="6044"/>
      <c r="O8" s="6044"/>
      <c r="P8" s="6044"/>
      <c r="Q8" s="6369"/>
      <c r="R8" s="6369"/>
      <c r="S8" s="6369"/>
      <c r="T8" s="6369"/>
      <c r="U8" s="6369"/>
      <c r="V8" s="6369"/>
      <c r="W8" s="6369"/>
      <c r="X8" s="6369"/>
      <c r="Y8" s="6369"/>
      <c r="Z8" s="6369"/>
      <c r="AA8" s="6369"/>
      <c r="AB8" s="6369"/>
      <c r="AC8" s="6369"/>
      <c r="AD8" s="6044"/>
      <c r="AE8" s="6044"/>
      <c r="AF8" s="6044"/>
      <c r="AG8" s="6513"/>
      <c r="AH8" s="6044"/>
      <c r="AI8" s="6465" t="s">
        <v>649</v>
      </c>
      <c r="AJ8" s="6465" t="s">
        <v>650</v>
      </c>
      <c r="AK8" s="6044"/>
      <c r="AL8" s="6044"/>
      <c r="AM8" s="6044"/>
      <c r="AN8" s="6524"/>
    </row>
    <row r="9" spans="1:45" s="431" customFormat="1" ht="190.5" customHeight="1">
      <c r="A9" s="6518"/>
      <c r="B9" s="6044"/>
      <c r="C9" s="6044"/>
      <c r="D9" s="6044"/>
      <c r="E9" s="6315"/>
      <c r="F9" s="6315"/>
      <c r="G9" s="6515"/>
      <c r="H9" s="6315"/>
      <c r="I9" s="6515"/>
      <c r="J9" s="6315"/>
      <c r="K9" s="6315"/>
      <c r="L9" s="584" t="str">
        <f>+'Phụ lục số 2'!B18</f>
        <v>Ủy thác qua Ngân hàng Chính sách xã hội chi nhánh tỉnh Đồng Tháp (từ nguồn thu sổ số kiến thiết năm 2025)</v>
      </c>
      <c r="M9" s="58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2'!B20</f>
        <v>0</v>
      </c>
      <c r="O9" s="584">
        <f>+'Phụ lục số 2'!B21</f>
        <v>0</v>
      </c>
      <c r="P9" s="6044"/>
      <c r="Q9" s="430" t="s">
        <v>752</v>
      </c>
      <c r="R9" s="584" t="s">
        <v>753</v>
      </c>
      <c r="S9" s="430" t="s">
        <v>3124</v>
      </c>
      <c r="T9" s="5171" t="s">
        <v>754</v>
      </c>
      <c r="U9" s="5009" t="s">
        <v>156</v>
      </c>
      <c r="V9" s="5009" t="s">
        <v>158</v>
      </c>
      <c r="W9" s="5009" t="s">
        <v>160</v>
      </c>
      <c r="X9" s="5009" t="s">
        <v>162</v>
      </c>
      <c r="Y9" s="5009" t="s">
        <v>164</v>
      </c>
      <c r="Z9" s="5009" t="s">
        <v>166</v>
      </c>
      <c r="AA9" s="5009" t="s">
        <v>168</v>
      </c>
      <c r="AB9" s="5009" t="s">
        <v>170</v>
      </c>
      <c r="AC9" s="5009" t="s">
        <v>172</v>
      </c>
      <c r="AD9" s="6044"/>
      <c r="AE9" s="6044"/>
      <c r="AF9" s="6044"/>
      <c r="AG9" s="6513"/>
      <c r="AH9" s="6044"/>
      <c r="AI9" s="6339"/>
      <c r="AJ9" s="6339"/>
      <c r="AK9" s="6044"/>
      <c r="AL9" s="6044"/>
      <c r="AM9" s="6044"/>
      <c r="AN9" s="6524"/>
    </row>
    <row r="10" spans="1:45" s="588" customFormat="1">
      <c r="A10" s="586"/>
      <c r="B10" s="587" t="s">
        <v>651</v>
      </c>
      <c r="C10" s="5984">
        <f>C11+C114+C115+C118+C119+C120+C121+C123+C124+C127+C117+C116+C122+C125</f>
        <v>16699594.196</v>
      </c>
      <c r="D10" s="5984">
        <f t="shared" ref="D10:O10" si="0">D11+D114+D115+D118+D119+D120+D121+D123+D124+D127+D117+D116+D122+D125</f>
        <v>2983390</v>
      </c>
      <c r="E10" s="5984">
        <f t="shared" si="0"/>
        <v>376890</v>
      </c>
      <c r="F10" s="5984">
        <f t="shared" si="0"/>
        <v>506500</v>
      </c>
      <c r="G10" s="5985">
        <f t="shared" si="0"/>
        <v>160000</v>
      </c>
      <c r="H10" s="5984">
        <f t="shared" si="0"/>
        <v>2100000</v>
      </c>
      <c r="I10" s="5985">
        <f t="shared" si="0"/>
        <v>100000</v>
      </c>
      <c r="J10" s="5984">
        <f t="shared" si="0"/>
        <v>0</v>
      </c>
      <c r="K10" s="5984">
        <f t="shared" si="0"/>
        <v>0</v>
      </c>
      <c r="L10" s="5984">
        <f t="shared" si="0"/>
        <v>0</v>
      </c>
      <c r="M10" s="5984">
        <f t="shared" si="0"/>
        <v>0</v>
      </c>
      <c r="N10" s="5984">
        <f t="shared" si="0"/>
        <v>0</v>
      </c>
      <c r="O10" s="5984" t="e">
        <f t="shared" si="0"/>
        <v>#DIV/0!</v>
      </c>
      <c r="P10" s="5986">
        <f>P11+P114+P115+P118+P119+P120+P121+P123+P124+P127+P117+P116+P122</f>
        <v>3680232.0929999999</v>
      </c>
      <c r="Q10" s="5986">
        <f t="shared" ref="Q10:X10" si="1">Q11+Q114+Q115+Q118+Q119+Q120+Q121+Q123+Q124+Q127+Q117+Q116+Q122</f>
        <v>1106650</v>
      </c>
      <c r="R10" s="5986">
        <f>R11+R114+R115+R118+R119+R120+R121+R123+R124+R127+R117+R116+R122</f>
        <v>31307</v>
      </c>
      <c r="S10" s="5986">
        <f>S11+S114+S115+S118+S119+S120+S121+S123+S124+S127+S117+S116+S122</f>
        <v>150000</v>
      </c>
      <c r="T10" s="5986">
        <f t="shared" si="1"/>
        <v>0</v>
      </c>
      <c r="U10" s="5986">
        <f t="shared" si="1"/>
        <v>997261</v>
      </c>
      <c r="V10" s="5986">
        <f t="shared" si="1"/>
        <v>55631</v>
      </c>
      <c r="W10" s="5986">
        <f t="shared" si="1"/>
        <v>32394</v>
      </c>
      <c r="X10" s="5986">
        <f t="shared" si="1"/>
        <v>23615</v>
      </c>
      <c r="Y10" s="5986">
        <f>Y11+Y114+Y115+Y118+Y119+Y120+Y121+Y123+Y124+Y127+Y117+Y116+Y122</f>
        <v>88389</v>
      </c>
      <c r="Z10" s="5986">
        <f>Z11+Z114+Z115+Z118+Z119+Z120+Z121+Z123+Z124+Z127+Z117+Z116+Z122</f>
        <v>396140.49299999996</v>
      </c>
      <c r="AA10" s="5986">
        <f t="shared" ref="AA10:AC10" si="2">AA11+AA114+AA115+AA118+AA119+AA120+AA121+AA123+AA124+AA127+AA117+AA116+AA122</f>
        <v>708771.5</v>
      </c>
      <c r="AB10" s="5986">
        <f t="shared" si="2"/>
        <v>68073.100000000006</v>
      </c>
      <c r="AC10" s="5986">
        <f t="shared" si="2"/>
        <v>22000</v>
      </c>
      <c r="AD10" s="5986">
        <f t="shared" ref="AD10:AJ10" si="3">AD11+AD114+AD115+AD118+AD119+AD120+AD121+AD123+AD124+AD127+AD117+AD116+AD122</f>
        <v>3500</v>
      </c>
      <c r="AE10" s="5986">
        <f t="shared" si="3"/>
        <v>2000</v>
      </c>
      <c r="AF10" s="5986">
        <f t="shared" si="3"/>
        <v>163959.4</v>
      </c>
      <c r="AG10" s="5987">
        <f t="shared" si="3"/>
        <v>0</v>
      </c>
      <c r="AH10" s="5988">
        <f t="shared" si="3"/>
        <v>2782607</v>
      </c>
      <c r="AI10" s="5988">
        <f t="shared" si="3"/>
        <v>2530494</v>
      </c>
      <c r="AJ10" s="5988">
        <f t="shared" si="3"/>
        <v>252113</v>
      </c>
      <c r="AK10" s="5988">
        <f>AK11+AK114+AK115+AK118+AK119+AK120+AK121+AK123+AK124+AK127+AK117+AK116+AK122</f>
        <v>0</v>
      </c>
      <c r="AL10" s="5988">
        <f>AL11+AL114+AL115+AL118+AL119+AL120+AL121+AL123+AL124+AL127+AL117+AL116+AL122</f>
        <v>7078351.9069999997</v>
      </c>
      <c r="AM10" s="5989">
        <f>AM11+AM114+AM115+AM118+AM119+AM120+AM121+AM123+AM124+AM127+AM117+AM116+AM122+AM125+AM126</f>
        <v>5553.7960000000003</v>
      </c>
      <c r="AN10" s="5989">
        <f>AN11+AN114+AN115+AN118+AN119+AN120+AN121+AN123+AN124+AN127+AN117+AN116+AN122+AN125+AN126</f>
        <v>186700</v>
      </c>
      <c r="AO10" s="708"/>
      <c r="AQ10" s="5247">
        <f>+AN10+C10</f>
        <v>16886294.196000002</v>
      </c>
    </row>
    <row r="11" spans="1:45" s="382" customFormat="1">
      <c r="A11" s="589" t="s">
        <v>1</v>
      </c>
      <c r="B11" s="590" t="s">
        <v>652</v>
      </c>
      <c r="C11" s="5990">
        <f>C12+C44+C59+C63+C80</f>
        <v>3932345.0929999999</v>
      </c>
      <c r="D11" s="5991">
        <f>D12+D44+D59+D63+D80</f>
        <v>0</v>
      </c>
      <c r="E11" s="5991">
        <f>E12+E44+E59+E63+E80</f>
        <v>0</v>
      </c>
      <c r="F11" s="5991">
        <f>F12+F44+F59+F63+F80</f>
        <v>0</v>
      </c>
      <c r="G11" s="5992"/>
      <c r="H11" s="5991">
        <f>H12+H44+H59+H63+H80</f>
        <v>0</v>
      </c>
      <c r="I11" s="5992"/>
      <c r="J11" s="5991">
        <f>J12+J44+J59+J63+J80</f>
        <v>0</v>
      </c>
      <c r="K11" s="5991"/>
      <c r="L11" s="5991"/>
      <c r="M11" s="5991"/>
      <c r="N11" s="5991"/>
      <c r="O11" s="5991"/>
      <c r="P11" s="5990">
        <f>P12+P44+P59+P63+P80</f>
        <v>3680232.0929999999</v>
      </c>
      <c r="Q11" s="5990">
        <f>Q12+Q44+Q59+Q63+Q80</f>
        <v>1106650</v>
      </c>
      <c r="R11" s="5990">
        <f t="shared" ref="R11:AC11" si="4">R12+R44+R59+R63+R80</f>
        <v>31307</v>
      </c>
      <c r="S11" s="5990">
        <f t="shared" si="4"/>
        <v>150000</v>
      </c>
      <c r="T11" s="5990">
        <f t="shared" si="4"/>
        <v>0</v>
      </c>
      <c r="U11" s="5990">
        <f t="shared" si="4"/>
        <v>997261</v>
      </c>
      <c r="V11" s="5990">
        <f t="shared" si="4"/>
        <v>55631</v>
      </c>
      <c r="W11" s="5990">
        <f t="shared" si="4"/>
        <v>32394</v>
      </c>
      <c r="X11" s="5990">
        <f t="shared" si="4"/>
        <v>23615</v>
      </c>
      <c r="Y11" s="5990">
        <f t="shared" si="4"/>
        <v>88389</v>
      </c>
      <c r="Z11" s="5990">
        <f>Z12+Z44+Z59+Z63+Z80</f>
        <v>396140.49299999996</v>
      </c>
      <c r="AA11" s="5990">
        <f t="shared" si="4"/>
        <v>708771.5</v>
      </c>
      <c r="AB11" s="5990">
        <f t="shared" si="4"/>
        <v>68073.100000000006</v>
      </c>
      <c r="AC11" s="5990">
        <f t="shared" si="4"/>
        <v>22000</v>
      </c>
      <c r="AD11" s="5993"/>
      <c r="AE11" s="5993"/>
      <c r="AF11" s="5993"/>
      <c r="AG11" s="5993"/>
      <c r="AH11" s="5994">
        <f>AH12+AH44+AH59+AH63+AH80</f>
        <v>252113</v>
      </c>
      <c r="AI11" s="5994">
        <f>AI12+AI44+AI59+AI63+AI80</f>
        <v>0</v>
      </c>
      <c r="AJ11" s="5994">
        <f>AJ12+AJ44+AJ59+AJ63+AJ80</f>
        <v>252113</v>
      </c>
      <c r="AK11" s="5994">
        <f t="shared" ref="AK11:AN11" si="5">AK12+AK44+AK59+AK63+AK80</f>
        <v>0</v>
      </c>
      <c r="AL11" s="5994">
        <f t="shared" si="5"/>
        <v>0</v>
      </c>
      <c r="AM11" s="5994">
        <f t="shared" si="5"/>
        <v>0</v>
      </c>
      <c r="AN11" s="5995">
        <f t="shared" si="5"/>
        <v>0</v>
      </c>
    </row>
    <row r="12" spans="1:45" s="382" customFormat="1">
      <c r="A12" s="591" t="s">
        <v>3</v>
      </c>
      <c r="B12" s="592" t="s">
        <v>653</v>
      </c>
      <c r="C12" s="5954">
        <f t="shared" ref="C12:P12" si="6">SUM(C13:C31)+SUM(C32:C42)</f>
        <v>2982510.3296019998</v>
      </c>
      <c r="D12" s="5954">
        <f t="shared" si="6"/>
        <v>0</v>
      </c>
      <c r="E12" s="5954">
        <f t="shared" si="6"/>
        <v>0</v>
      </c>
      <c r="F12" s="5954">
        <f t="shared" si="6"/>
        <v>0</v>
      </c>
      <c r="G12" s="5959">
        <f t="shared" si="6"/>
        <v>0</v>
      </c>
      <c r="H12" s="5954">
        <f t="shared" si="6"/>
        <v>0</v>
      </c>
      <c r="I12" s="5959">
        <f t="shared" si="6"/>
        <v>0</v>
      </c>
      <c r="J12" s="5954">
        <f t="shared" si="6"/>
        <v>0</v>
      </c>
      <c r="K12" s="5954">
        <f t="shared" si="6"/>
        <v>0</v>
      </c>
      <c r="L12" s="5954">
        <f t="shared" si="6"/>
        <v>0</v>
      </c>
      <c r="M12" s="5954">
        <f t="shared" si="6"/>
        <v>0</v>
      </c>
      <c r="N12" s="5954">
        <f t="shared" si="6"/>
        <v>0</v>
      </c>
      <c r="O12" s="5954">
        <f t="shared" si="6"/>
        <v>0</v>
      </c>
      <c r="P12" s="5954">
        <f t="shared" si="6"/>
        <v>2857433.3296019998</v>
      </c>
      <c r="Q12" s="5954">
        <f t="shared" ref="Q12:AN12" si="7">SUM(Q13:Q42)</f>
        <v>1080741.6000000001</v>
      </c>
      <c r="R12" s="5954">
        <f t="shared" si="7"/>
        <v>29624</v>
      </c>
      <c r="S12" s="5954">
        <f t="shared" si="7"/>
        <v>0</v>
      </c>
      <c r="T12" s="5954">
        <f t="shared" si="7"/>
        <v>0</v>
      </c>
      <c r="U12" s="5954">
        <f t="shared" si="7"/>
        <v>624975.74300000002</v>
      </c>
      <c r="V12" s="5954">
        <f t="shared" si="7"/>
        <v>55631</v>
      </c>
      <c r="W12" s="5954">
        <f t="shared" si="7"/>
        <v>22029</v>
      </c>
      <c r="X12" s="5954">
        <f t="shared" si="7"/>
        <v>23615</v>
      </c>
      <c r="Y12" s="5954">
        <f t="shared" si="7"/>
        <v>79089</v>
      </c>
      <c r="Z12" s="5954">
        <f>SUM(Z13:Z42)</f>
        <v>237940</v>
      </c>
      <c r="AA12" s="5954">
        <f t="shared" si="7"/>
        <v>635714.98660199996</v>
      </c>
      <c r="AB12" s="5954">
        <f t="shared" si="7"/>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c r="AQ12" s="4788">
        <f>+C10-'Phụ lục số 4'!C18</f>
        <v>0</v>
      </c>
    </row>
    <row r="13" spans="1:45" s="596" customFormat="1">
      <c r="A13" s="593">
        <v>1</v>
      </c>
      <c r="B13" s="594" t="s">
        <v>654</v>
      </c>
      <c r="C13" s="5120">
        <f>D13+P13+AD13+AE13+AH13+AL13+AF13+AG13+AK13+AM13</f>
        <v>345372.32960199995</v>
      </c>
      <c r="D13" s="5120">
        <f t="shared" ref="D13:D43" si="8">SUM(E13:K13)</f>
        <v>0</v>
      </c>
      <c r="E13" s="5120"/>
      <c r="F13" s="5120"/>
      <c r="G13" s="5960"/>
      <c r="H13" s="5120"/>
      <c r="I13" s="5960"/>
      <c r="J13" s="5120"/>
      <c r="K13" s="5120"/>
      <c r="L13" s="5120"/>
      <c r="M13" s="5120"/>
      <c r="N13" s="5120"/>
      <c r="O13" s="5120"/>
      <c r="P13" s="4775">
        <f>SUM(Q13:AC13)</f>
        <v>345372.32960199995</v>
      </c>
      <c r="Q13" s="4775">
        <f>'[32]VP TINH UY DT 2025'!$P$87+630</f>
        <v>1982.6000000000001</v>
      </c>
      <c r="R13" s="4775"/>
      <c r="S13" s="4775"/>
      <c r="T13" s="4775"/>
      <c r="U13" s="4775">
        <f>+'[32]VP TINH UY DT 2025'!$P$53</f>
        <v>14090.743</v>
      </c>
      <c r="V13" s="4775"/>
      <c r="W13" s="4775"/>
      <c r="X13" s="4775"/>
      <c r="Y13" s="4775"/>
      <c r="Z13" s="4775"/>
      <c r="AA13" s="4775">
        <f>'[32]VP TINH UY DT 2025'!$P$12-Q13-U13+(57045413/1000)+(7242926/1000)+630</f>
        <v>329298.98660199996</v>
      </c>
      <c r="AB13" s="4775"/>
      <c r="AC13" s="4775"/>
      <c r="AD13" s="5996"/>
      <c r="AE13" s="5996"/>
      <c r="AF13" s="5996"/>
      <c r="AG13" s="5996"/>
      <c r="AH13" s="5996">
        <f>SUM(AI13:AJ13)</f>
        <v>0</v>
      </c>
      <c r="AI13" s="5996"/>
      <c r="AJ13" s="5996"/>
      <c r="AK13" s="5996"/>
      <c r="AL13" s="297"/>
      <c r="AM13" s="297"/>
      <c r="AN13" s="5997"/>
    </row>
    <row r="14" spans="1:45" s="596" customFormat="1">
      <c r="A14" s="593">
        <v>2</v>
      </c>
      <c r="B14" s="594" t="s">
        <v>655</v>
      </c>
      <c r="C14" s="5120">
        <f t="shared" ref="C14:C43" si="9">D14+P14+AD14+AE14+AH14+AL14+AF14+AG14+AK14+AM14</f>
        <v>16569</v>
      </c>
      <c r="D14" s="5120">
        <f t="shared" si="8"/>
        <v>0</v>
      </c>
      <c r="E14" s="5120"/>
      <c r="F14" s="5120"/>
      <c r="G14" s="5960"/>
      <c r="H14" s="5120"/>
      <c r="I14" s="5960"/>
      <c r="J14" s="5120"/>
      <c r="K14" s="5120"/>
      <c r="L14" s="5120"/>
      <c r="M14" s="5120"/>
      <c r="N14" s="5120"/>
      <c r="O14" s="5120"/>
      <c r="P14" s="4775">
        <f t="shared" ref="P14:P43" si="10">SUM(Q14:AC14)</f>
        <v>16569</v>
      </c>
      <c r="Q14" s="4775">
        <v>652</v>
      </c>
      <c r="R14" s="4775"/>
      <c r="S14" s="4775"/>
      <c r="T14" s="4775"/>
      <c r="U14" s="4775"/>
      <c r="V14" s="4775"/>
      <c r="W14" s="4775">
        <v>340</v>
      </c>
      <c r="X14" s="4775"/>
      <c r="Y14" s="4775"/>
      <c r="Z14" s="4775"/>
      <c r="AA14" s="4775">
        <v>15577</v>
      </c>
      <c r="AB14" s="4775"/>
      <c r="AC14" s="4775"/>
      <c r="AD14" s="5996"/>
      <c r="AE14" s="5996"/>
      <c r="AF14" s="5996"/>
      <c r="AG14" s="5996"/>
      <c r="AH14" s="5996">
        <f t="shared" ref="AH14:AH43" si="11">SUM(AI14:AJ14)</f>
        <v>0</v>
      </c>
      <c r="AI14" s="5996"/>
      <c r="AJ14" s="5996"/>
      <c r="AK14" s="5996"/>
      <c r="AL14" s="297"/>
      <c r="AM14" s="297"/>
      <c r="AN14" s="5997"/>
    </row>
    <row r="15" spans="1:45" s="596" customFormat="1">
      <c r="A15" s="593">
        <v>3</v>
      </c>
      <c r="B15" s="594" t="s">
        <v>656</v>
      </c>
      <c r="C15" s="5120">
        <f t="shared" si="9"/>
        <v>33575</v>
      </c>
      <c r="D15" s="5120">
        <f t="shared" si="8"/>
        <v>0</v>
      </c>
      <c r="E15" s="5120"/>
      <c r="F15" s="5120"/>
      <c r="G15" s="5960"/>
      <c r="H15" s="5120"/>
      <c r="I15" s="5960"/>
      <c r="J15" s="5120"/>
      <c r="K15" s="5120"/>
      <c r="L15" s="5120"/>
      <c r="M15" s="5120"/>
      <c r="N15" s="5120"/>
      <c r="O15" s="5120"/>
      <c r="P15" s="4775">
        <f t="shared" si="10"/>
        <v>33575</v>
      </c>
      <c r="Q15" s="4775">
        <v>100</v>
      </c>
      <c r="R15" s="4775"/>
      <c r="S15" s="4775"/>
      <c r="T15" s="4775"/>
      <c r="U15" s="4775"/>
      <c r="V15" s="4775"/>
      <c r="W15" s="4775"/>
      <c r="X15" s="4775"/>
      <c r="Y15" s="4775"/>
      <c r="Z15" s="4775">
        <v>2755</v>
      </c>
      <c r="AA15" s="598">
        <v>30720</v>
      </c>
      <c r="AB15" s="4775"/>
      <c r="AC15" s="4775"/>
      <c r="AD15" s="5996"/>
      <c r="AE15" s="5996"/>
      <c r="AF15" s="5996"/>
      <c r="AG15" s="5996"/>
      <c r="AH15" s="5996">
        <f t="shared" si="11"/>
        <v>0</v>
      </c>
      <c r="AI15" s="5996"/>
      <c r="AJ15" s="5996"/>
      <c r="AK15" s="5996"/>
      <c r="AL15" s="297"/>
      <c r="AM15" s="297"/>
      <c r="AN15" s="5997"/>
    </row>
    <row r="16" spans="1:45" s="596" customFormat="1">
      <c r="A16" s="593">
        <v>4</v>
      </c>
      <c r="B16" s="594" t="s">
        <v>657</v>
      </c>
      <c r="C16" s="5120">
        <f t="shared" si="9"/>
        <v>144887</v>
      </c>
      <c r="D16" s="5120">
        <f t="shared" si="8"/>
        <v>0</v>
      </c>
      <c r="E16" s="5120"/>
      <c r="F16" s="5120"/>
      <c r="G16" s="5960"/>
      <c r="H16" s="5120"/>
      <c r="I16" s="5960"/>
      <c r="J16" s="5120"/>
      <c r="K16" s="5120"/>
      <c r="L16" s="5120"/>
      <c r="M16" s="5120"/>
      <c r="N16" s="5120"/>
      <c r="O16" s="5120"/>
      <c r="P16" s="4775">
        <f t="shared" si="10"/>
        <v>105662</v>
      </c>
      <c r="Q16" s="4775">
        <v>742</v>
      </c>
      <c r="R16" s="598">
        <v>3624</v>
      </c>
      <c r="S16" s="598"/>
      <c r="T16" s="595"/>
      <c r="U16" s="4775"/>
      <c r="V16" s="4775"/>
      <c r="W16" s="4775"/>
      <c r="X16" s="4775"/>
      <c r="Y16" s="4775">
        <v>15509</v>
      </c>
      <c r="Z16" s="4775">
        <f>125081-53900+2136</f>
        <v>73317</v>
      </c>
      <c r="AA16" s="598">
        <f>13420-950</f>
        <v>12470</v>
      </c>
      <c r="AB16" s="4775"/>
      <c r="AC16" s="4775"/>
      <c r="AD16" s="5996"/>
      <c r="AE16" s="5996"/>
      <c r="AF16" s="5996"/>
      <c r="AG16" s="5996"/>
      <c r="AH16" s="5996">
        <f t="shared" si="11"/>
        <v>39225</v>
      </c>
      <c r="AI16" s="5996"/>
      <c r="AJ16" s="5996">
        <f>'Phụ lục số 6'!E35+'Phụ lục số 6'!E25</f>
        <v>39225</v>
      </c>
      <c r="AK16" s="5996"/>
      <c r="AL16" s="297"/>
      <c r="AM16" s="297"/>
      <c r="AN16" s="5997"/>
      <c r="AO16" s="597"/>
      <c r="AQ16" s="602">
        <f>+AJ16+AJ17+AJ23+AJ25+AJ29+AJ30+AJ37+AJ44</f>
        <v>113236</v>
      </c>
      <c r="AS16" s="596">
        <v>76000</v>
      </c>
    </row>
    <row r="17" spans="1:45" s="596" customFormat="1">
      <c r="A17" s="593">
        <v>5</v>
      </c>
      <c r="B17" s="594" t="s">
        <v>658</v>
      </c>
      <c r="C17" s="5120">
        <f t="shared" si="9"/>
        <v>16569</v>
      </c>
      <c r="D17" s="5120">
        <f t="shared" si="8"/>
        <v>0</v>
      </c>
      <c r="E17" s="5120"/>
      <c r="F17" s="5120"/>
      <c r="G17" s="5960"/>
      <c r="H17" s="5120"/>
      <c r="I17" s="5960"/>
      <c r="J17" s="5120"/>
      <c r="K17" s="5120"/>
      <c r="L17" s="5120"/>
      <c r="M17" s="5120"/>
      <c r="N17" s="5120"/>
      <c r="O17" s="5120"/>
      <c r="P17" s="4775">
        <f>SUM(Q17:AC17)</f>
        <v>15959</v>
      </c>
      <c r="Q17" s="4775">
        <v>531</v>
      </c>
      <c r="R17" s="4775"/>
      <c r="S17" s="4775"/>
      <c r="T17" s="4775"/>
      <c r="U17" s="4775"/>
      <c r="V17" s="4775"/>
      <c r="W17" s="4775">
        <v>777</v>
      </c>
      <c r="X17" s="4775"/>
      <c r="Y17" s="4775"/>
      <c r="Z17" s="4775">
        <v>4492</v>
      </c>
      <c r="AA17" s="598">
        <v>10159</v>
      </c>
      <c r="AB17" s="4775"/>
      <c r="AC17" s="4775"/>
      <c r="AD17" s="5996"/>
      <c r="AE17" s="5996"/>
      <c r="AF17" s="5996"/>
      <c r="AG17" s="5996"/>
      <c r="AH17" s="5996">
        <f t="shared" si="11"/>
        <v>610</v>
      </c>
      <c r="AI17" s="5996"/>
      <c r="AJ17" s="5996">
        <f>'Phụ lục số 6'!E34-AJ23-AJ25-AJ29</f>
        <v>610</v>
      </c>
      <c r="AK17" s="5996"/>
      <c r="AL17" s="297"/>
      <c r="AM17" s="297"/>
      <c r="AN17" s="5997"/>
      <c r="AS17" s="5248">
        <f>+AS16+Z10</f>
        <v>472140.49299999996</v>
      </c>
    </row>
    <row r="18" spans="1:45" s="380" customFormat="1">
      <c r="A18" s="52">
        <v>6</v>
      </c>
      <c r="B18" s="601" t="s">
        <v>659</v>
      </c>
      <c r="C18" s="5120">
        <f t="shared" si="9"/>
        <v>22686</v>
      </c>
      <c r="D18" s="5128">
        <f t="shared" si="8"/>
        <v>0</v>
      </c>
      <c r="E18" s="5128"/>
      <c r="F18" s="5128"/>
      <c r="G18" s="5124"/>
      <c r="H18" s="5128"/>
      <c r="I18" s="5124"/>
      <c r="J18" s="5128"/>
      <c r="K18" s="5128"/>
      <c r="L18" s="5128"/>
      <c r="M18" s="5128"/>
      <c r="N18" s="5128"/>
      <c r="O18" s="5128"/>
      <c r="P18" s="595">
        <f>SUM(Q18:AC18)</f>
        <v>22686</v>
      </c>
      <c r="Q18" s="4775">
        <f>1680+222</f>
        <v>1902</v>
      </c>
      <c r="R18" s="5998"/>
      <c r="S18" s="5998"/>
      <c r="T18" s="5998"/>
      <c r="U18" s="5998"/>
      <c r="V18" s="5998"/>
      <c r="W18" s="5998"/>
      <c r="X18" s="5998"/>
      <c r="Y18" s="5998">
        <v>0</v>
      </c>
      <c r="Z18" s="5998">
        <f>7811-6400</f>
        <v>1411</v>
      </c>
      <c r="AA18" s="598">
        <v>19373</v>
      </c>
      <c r="AB18" s="595"/>
      <c r="AC18" s="595"/>
      <c r="AD18" s="5117"/>
      <c r="AE18" s="5117"/>
      <c r="AF18" s="5117"/>
      <c r="AG18" s="5117"/>
      <c r="AH18" s="5117">
        <f t="shared" si="11"/>
        <v>0</v>
      </c>
      <c r="AI18" s="5117"/>
      <c r="AJ18" s="5117"/>
      <c r="AK18" s="5117"/>
      <c r="AL18" s="330"/>
      <c r="AM18" s="330"/>
      <c r="AN18" s="1659"/>
    </row>
    <row r="19" spans="1:45" s="596" customFormat="1">
      <c r="A19" s="593">
        <v>7</v>
      </c>
      <c r="B19" s="594" t="s">
        <v>660</v>
      </c>
      <c r="C19" s="5120">
        <f t="shared" si="9"/>
        <v>56355</v>
      </c>
      <c r="D19" s="5120">
        <f t="shared" si="8"/>
        <v>0</v>
      </c>
      <c r="E19" s="5120"/>
      <c r="F19" s="5120"/>
      <c r="G19" s="5960"/>
      <c r="H19" s="5120"/>
      <c r="I19" s="5960"/>
      <c r="J19" s="5120"/>
      <c r="K19" s="5120"/>
      <c r="L19" s="5120"/>
      <c r="M19" s="5120"/>
      <c r="N19" s="5120"/>
      <c r="O19" s="5120"/>
      <c r="P19" s="4775">
        <f t="shared" si="10"/>
        <v>56355</v>
      </c>
      <c r="Q19" s="4775">
        <v>4200</v>
      </c>
      <c r="R19" s="598"/>
      <c r="S19" s="4775"/>
      <c r="T19" s="4775"/>
      <c r="U19" s="5998"/>
      <c r="V19" s="4775"/>
      <c r="W19" s="4775"/>
      <c r="X19" s="4775"/>
      <c r="Y19" s="4775"/>
      <c r="Z19" s="6001">
        <f>31375-10000</f>
        <v>21375</v>
      </c>
      <c r="AA19" s="598">
        <v>30780</v>
      </c>
      <c r="AB19" s="4775"/>
      <c r="AC19" s="4775"/>
      <c r="AD19" s="5996"/>
      <c r="AE19" s="5996"/>
      <c r="AF19" s="5996"/>
      <c r="AG19" s="5996"/>
      <c r="AH19" s="5996">
        <f t="shared" si="11"/>
        <v>0</v>
      </c>
      <c r="AI19" s="5996"/>
      <c r="AJ19" s="5996"/>
      <c r="AK19" s="5996"/>
      <c r="AL19" s="297"/>
      <c r="AM19" s="297"/>
      <c r="AN19" s="5997"/>
    </row>
    <row r="20" spans="1:45" s="596" customFormat="1">
      <c r="A20" s="593">
        <v>8</v>
      </c>
      <c r="B20" s="594" t="s">
        <v>661</v>
      </c>
      <c r="C20" s="5120">
        <f t="shared" si="9"/>
        <v>10971</v>
      </c>
      <c r="D20" s="5120">
        <f t="shared" si="8"/>
        <v>0</v>
      </c>
      <c r="E20" s="5120"/>
      <c r="F20" s="5120"/>
      <c r="G20" s="5960"/>
      <c r="H20" s="5120"/>
      <c r="I20" s="5960"/>
      <c r="J20" s="5120"/>
      <c r="K20" s="5120"/>
      <c r="L20" s="5120"/>
      <c r="M20" s="5120"/>
      <c r="N20" s="5120"/>
      <c r="O20" s="5120"/>
      <c r="P20" s="4775">
        <f t="shared" si="10"/>
        <v>10971</v>
      </c>
      <c r="Q20" s="4775">
        <v>810</v>
      </c>
      <c r="R20" s="598"/>
      <c r="S20" s="4775"/>
      <c r="T20" s="4775"/>
      <c r="U20" s="598"/>
      <c r="V20" s="4775"/>
      <c r="W20" s="4775"/>
      <c r="X20" s="4775"/>
      <c r="Y20" s="4775"/>
      <c r="Z20" s="4775">
        <v>975</v>
      </c>
      <c r="AA20" s="598">
        <v>9186</v>
      </c>
      <c r="AB20" s="4775"/>
      <c r="AC20" s="4775"/>
      <c r="AD20" s="5996"/>
      <c r="AE20" s="5996"/>
      <c r="AF20" s="5996"/>
      <c r="AG20" s="5996"/>
      <c r="AH20" s="5996">
        <f t="shared" si="11"/>
        <v>0</v>
      </c>
      <c r="AI20" s="5996"/>
      <c r="AJ20" s="5996"/>
      <c r="AK20" s="5996"/>
      <c r="AL20" s="297"/>
      <c r="AM20" s="297"/>
      <c r="AN20" s="5997"/>
    </row>
    <row r="21" spans="1:45" s="596" customFormat="1">
      <c r="A21" s="593">
        <v>9</v>
      </c>
      <c r="B21" s="594" t="s">
        <v>662</v>
      </c>
      <c r="C21" s="5120">
        <f t="shared" si="9"/>
        <v>19880</v>
      </c>
      <c r="D21" s="5120">
        <f t="shared" si="8"/>
        <v>0</v>
      </c>
      <c r="E21" s="5120"/>
      <c r="F21" s="5120"/>
      <c r="G21" s="5960"/>
      <c r="H21" s="5120"/>
      <c r="I21" s="5960"/>
      <c r="J21" s="5120"/>
      <c r="K21" s="5120"/>
      <c r="L21" s="5120"/>
      <c r="M21" s="5120"/>
      <c r="N21" s="5120"/>
      <c r="O21" s="5120"/>
      <c r="P21" s="4775">
        <f>SUM(Q21:AC21)</f>
        <v>19880</v>
      </c>
      <c r="Q21" s="4775">
        <v>1034</v>
      </c>
      <c r="R21" s="598"/>
      <c r="S21" s="4775"/>
      <c r="T21" s="4775"/>
      <c r="U21" s="598"/>
      <c r="V21" s="4775"/>
      <c r="W21" s="4775">
        <v>708</v>
      </c>
      <c r="X21" s="598"/>
      <c r="Y21" s="4775"/>
      <c r="Z21" s="598">
        <v>10157</v>
      </c>
      <c r="AA21" s="598">
        <v>7981</v>
      </c>
      <c r="AB21" s="4775"/>
      <c r="AC21" s="4775"/>
      <c r="AD21" s="5996"/>
      <c r="AE21" s="5996"/>
      <c r="AF21" s="5996"/>
      <c r="AG21" s="5996"/>
      <c r="AH21" s="5996">
        <f t="shared" si="11"/>
        <v>0</v>
      </c>
      <c r="AI21" s="5996"/>
      <c r="AJ21" s="5996"/>
      <c r="AK21" s="5996"/>
      <c r="AL21" s="297"/>
      <c r="AM21" s="297"/>
      <c r="AN21" s="5997"/>
    </row>
    <row r="22" spans="1:45" s="596" customFormat="1">
      <c r="A22" s="593">
        <v>10</v>
      </c>
      <c r="B22" s="594" t="s">
        <v>663</v>
      </c>
      <c r="C22" s="5120">
        <f t="shared" si="9"/>
        <v>637637</v>
      </c>
      <c r="D22" s="5120">
        <f t="shared" si="8"/>
        <v>0</v>
      </c>
      <c r="E22" s="5120"/>
      <c r="F22" s="5120"/>
      <c r="G22" s="5960"/>
      <c r="H22" s="5120"/>
      <c r="I22" s="5960"/>
      <c r="J22" s="5120"/>
      <c r="K22" s="5120"/>
      <c r="L22" s="5120"/>
      <c r="M22" s="5120"/>
      <c r="N22" s="5120"/>
      <c r="O22" s="5120"/>
      <c r="P22" s="4775">
        <f t="shared" si="10"/>
        <v>637637</v>
      </c>
      <c r="Q22" s="4775">
        <v>7189</v>
      </c>
      <c r="R22" s="4775"/>
      <c r="S22" s="4775"/>
      <c r="T22" s="4775"/>
      <c r="U22" s="5998">
        <v>610885</v>
      </c>
      <c r="V22" s="598"/>
      <c r="W22" s="4775"/>
      <c r="X22" s="4775"/>
      <c r="Y22" s="4775">
        <v>4684</v>
      </c>
      <c r="Z22" s="4775"/>
      <c r="AA22" s="598">
        <v>14879</v>
      </c>
      <c r="AB22" s="4775"/>
      <c r="AC22" s="4775"/>
      <c r="AD22" s="5996"/>
      <c r="AE22" s="5996"/>
      <c r="AF22" s="5996"/>
      <c r="AG22" s="5996"/>
      <c r="AH22" s="5996">
        <f t="shared" si="11"/>
        <v>0</v>
      </c>
      <c r="AI22" s="5996"/>
      <c r="AJ22" s="5996"/>
      <c r="AK22" s="5996"/>
      <c r="AL22" s="297"/>
      <c r="AM22" s="297"/>
      <c r="AN22" s="5997"/>
      <c r="AQ22" s="597">
        <f>+'Phụ lục số 3-CĐC'!J33</f>
        <v>16699594.196</v>
      </c>
    </row>
    <row r="23" spans="1:45" s="596" customFormat="1">
      <c r="A23" s="593">
        <v>11</v>
      </c>
      <c r="B23" s="594" t="s">
        <v>664</v>
      </c>
      <c r="C23" s="5120">
        <f t="shared" si="9"/>
        <v>22627</v>
      </c>
      <c r="D23" s="5120">
        <f t="shared" si="8"/>
        <v>0</v>
      </c>
      <c r="E23" s="5120"/>
      <c r="F23" s="5120"/>
      <c r="G23" s="5960"/>
      <c r="H23" s="5120"/>
      <c r="I23" s="5960"/>
      <c r="J23" s="5120"/>
      <c r="K23" s="5120"/>
      <c r="L23" s="5120"/>
      <c r="M23" s="5120"/>
      <c r="N23" s="5120"/>
      <c r="O23" s="5120"/>
      <c r="P23" s="4775">
        <f t="shared" si="10"/>
        <v>22177</v>
      </c>
      <c r="Q23" s="4775">
        <v>364</v>
      </c>
      <c r="R23" s="4775"/>
      <c r="S23" s="4775"/>
      <c r="T23" s="4775"/>
      <c r="U23" s="4775"/>
      <c r="V23" s="4775"/>
      <c r="W23" s="4775"/>
      <c r="X23" s="4775"/>
      <c r="Y23" s="4775">
        <v>30</v>
      </c>
      <c r="Z23" s="4775">
        <v>9420</v>
      </c>
      <c r="AA23" s="4775">
        <v>12363</v>
      </c>
      <c r="AB23" s="4775"/>
      <c r="AC23" s="4775"/>
      <c r="AD23" s="5996"/>
      <c r="AE23" s="5996"/>
      <c r="AF23" s="5996"/>
      <c r="AG23" s="5996"/>
      <c r="AH23" s="5996">
        <f t="shared" si="11"/>
        <v>450</v>
      </c>
      <c r="AI23" s="5996"/>
      <c r="AJ23" s="5996">
        <v>450</v>
      </c>
      <c r="AK23" s="5996"/>
      <c r="AL23" s="297"/>
      <c r="AM23" s="297"/>
      <c r="AN23" s="5997"/>
      <c r="AQ23" s="597">
        <f>+C10-AQ22</f>
        <v>0</v>
      </c>
    </row>
    <row r="24" spans="1:45" s="596" customFormat="1">
      <c r="A24" s="593">
        <v>12</v>
      </c>
      <c r="B24" s="594" t="s">
        <v>665</v>
      </c>
      <c r="C24" s="5120">
        <f t="shared" si="9"/>
        <v>18435</v>
      </c>
      <c r="D24" s="5120">
        <f t="shared" si="8"/>
        <v>0</v>
      </c>
      <c r="E24" s="5120"/>
      <c r="F24" s="5120"/>
      <c r="G24" s="5960"/>
      <c r="H24" s="5120"/>
      <c r="I24" s="5960"/>
      <c r="J24" s="5120"/>
      <c r="K24" s="5120"/>
      <c r="L24" s="5120"/>
      <c r="M24" s="5120"/>
      <c r="N24" s="5120"/>
      <c r="O24" s="5120"/>
      <c r="P24" s="4775">
        <f t="shared" si="10"/>
        <v>18435</v>
      </c>
      <c r="Q24" s="4775">
        <v>2051</v>
      </c>
      <c r="R24" s="598"/>
      <c r="S24" s="4775"/>
      <c r="T24" s="4775"/>
      <c r="U24" s="598"/>
      <c r="V24" s="4775"/>
      <c r="W24" s="4775"/>
      <c r="X24" s="4775"/>
      <c r="Y24" s="4775"/>
      <c r="Z24" s="4775">
        <v>2343</v>
      </c>
      <c r="AA24" s="598">
        <v>14041</v>
      </c>
      <c r="AB24" s="4775"/>
      <c r="AC24" s="4775"/>
      <c r="AD24" s="5996"/>
      <c r="AE24" s="5996"/>
      <c r="AF24" s="5996"/>
      <c r="AG24" s="5996"/>
      <c r="AH24" s="5996">
        <f t="shared" si="11"/>
        <v>0</v>
      </c>
      <c r="AI24" s="5996"/>
      <c r="AJ24" s="5996"/>
      <c r="AK24" s="5996"/>
      <c r="AL24" s="297"/>
      <c r="AM24" s="297"/>
      <c r="AN24" s="5997"/>
    </row>
    <row r="25" spans="1:45" s="596" customFormat="1">
      <c r="A25" s="593">
        <v>13</v>
      </c>
      <c r="B25" s="594" t="s">
        <v>666</v>
      </c>
      <c r="C25" s="5120">
        <f t="shared" si="9"/>
        <v>37082</v>
      </c>
      <c r="D25" s="5120">
        <f t="shared" si="8"/>
        <v>0</v>
      </c>
      <c r="E25" s="5120"/>
      <c r="F25" s="5120"/>
      <c r="G25" s="5960"/>
      <c r="H25" s="5120"/>
      <c r="I25" s="5960"/>
      <c r="J25" s="5120"/>
      <c r="K25" s="5120"/>
      <c r="L25" s="5120"/>
      <c r="M25" s="5120"/>
      <c r="N25" s="5120"/>
      <c r="O25" s="5120"/>
      <c r="P25" s="4775">
        <f t="shared" si="10"/>
        <v>36582</v>
      </c>
      <c r="Q25" s="4775">
        <v>111</v>
      </c>
      <c r="R25" s="4775">
        <v>26000</v>
      </c>
      <c r="S25" s="4775"/>
      <c r="T25" s="4775"/>
      <c r="U25" s="4775"/>
      <c r="V25" s="4775"/>
      <c r="W25" s="4775"/>
      <c r="X25" s="4775"/>
      <c r="Y25" s="4775"/>
      <c r="Z25" s="4775"/>
      <c r="AA25" s="4775">
        <v>10471</v>
      </c>
      <c r="AB25" s="4775"/>
      <c r="AC25" s="4775"/>
      <c r="AD25" s="5996"/>
      <c r="AE25" s="5996"/>
      <c r="AF25" s="5996"/>
      <c r="AG25" s="5996"/>
      <c r="AH25" s="5996">
        <f t="shared" si="11"/>
        <v>500</v>
      </c>
      <c r="AI25" s="5996"/>
      <c r="AJ25" s="5996">
        <v>500</v>
      </c>
      <c r="AK25" s="5996"/>
      <c r="AL25" s="297"/>
      <c r="AM25" s="297"/>
      <c r="AN25" s="5997"/>
    </row>
    <row r="26" spans="1:45" s="596" customFormat="1">
      <c r="A26" s="593">
        <v>14</v>
      </c>
      <c r="B26" s="594" t="s">
        <v>667</v>
      </c>
      <c r="C26" s="5120">
        <f t="shared" si="9"/>
        <v>834331</v>
      </c>
      <c r="D26" s="5120">
        <f t="shared" si="8"/>
        <v>0</v>
      </c>
      <c r="E26" s="5120"/>
      <c r="F26" s="5120"/>
      <c r="G26" s="5960"/>
      <c r="H26" s="5120"/>
      <c r="I26" s="5960"/>
      <c r="J26" s="5120"/>
      <c r="K26" s="5120"/>
      <c r="L26" s="5120"/>
      <c r="M26" s="5120"/>
      <c r="N26" s="5120"/>
      <c r="O26" s="5120"/>
      <c r="P26" s="4775">
        <f t="shared" si="10"/>
        <v>834331</v>
      </c>
      <c r="Q26" s="595">
        <f>830509-15706</f>
        <v>814803</v>
      </c>
      <c r="R26" s="4775"/>
      <c r="S26" s="4775"/>
      <c r="T26" s="4775"/>
      <c r="U26" s="4775"/>
      <c r="V26" s="4775"/>
      <c r="W26" s="4775">
        <v>520</v>
      </c>
      <c r="X26" s="4775">
        <v>3500</v>
      </c>
      <c r="Y26" s="598">
        <v>130</v>
      </c>
      <c r="Z26" s="4775"/>
      <c r="AA26" s="598">
        <v>15378</v>
      </c>
      <c r="AB26" s="4775"/>
      <c r="AC26" s="4775"/>
      <c r="AD26" s="5996"/>
      <c r="AE26" s="5996"/>
      <c r="AF26" s="5996"/>
      <c r="AG26" s="5996"/>
      <c r="AH26" s="5996">
        <f t="shared" si="11"/>
        <v>0</v>
      </c>
      <c r="AI26" s="5996"/>
      <c r="AJ26" s="5996"/>
      <c r="AK26" s="5996"/>
      <c r="AL26" s="297"/>
      <c r="AM26" s="297"/>
      <c r="AN26" s="5997"/>
    </row>
    <row r="27" spans="1:45" s="596" customFormat="1">
      <c r="A27" s="593">
        <v>15</v>
      </c>
      <c r="B27" s="594" t="s">
        <v>668</v>
      </c>
      <c r="C27" s="5120">
        <f t="shared" si="9"/>
        <v>50582</v>
      </c>
      <c r="D27" s="5120">
        <f t="shared" si="8"/>
        <v>0</v>
      </c>
      <c r="E27" s="5120"/>
      <c r="F27" s="5120"/>
      <c r="G27" s="5960"/>
      <c r="H27" s="5120"/>
      <c r="I27" s="5960"/>
      <c r="J27" s="5120"/>
      <c r="K27" s="5120"/>
      <c r="L27" s="5120"/>
      <c r="M27" s="5120"/>
      <c r="N27" s="5120"/>
      <c r="O27" s="5120"/>
      <c r="P27" s="4775">
        <f t="shared" si="10"/>
        <v>50582</v>
      </c>
      <c r="Q27" s="4775">
        <v>109</v>
      </c>
      <c r="R27" s="598"/>
      <c r="S27" s="598"/>
      <c r="T27" s="4775"/>
      <c r="U27" s="4775"/>
      <c r="V27" s="4775"/>
      <c r="W27" s="4775"/>
      <c r="X27" s="4775"/>
      <c r="Y27" s="4775">
        <f>30000</f>
        <v>30000</v>
      </c>
      <c r="Z27" s="4775">
        <v>4000</v>
      </c>
      <c r="AA27" s="595">
        <v>16473</v>
      </c>
      <c r="AB27" s="4775"/>
      <c r="AC27" s="4775"/>
      <c r="AD27" s="5996"/>
      <c r="AE27" s="5996"/>
      <c r="AF27" s="5996"/>
      <c r="AG27" s="5996"/>
      <c r="AH27" s="5996">
        <f t="shared" si="11"/>
        <v>0</v>
      </c>
      <c r="AI27" s="5996"/>
      <c r="AJ27" s="5996"/>
      <c r="AK27" s="5996"/>
      <c r="AL27" s="297"/>
      <c r="AM27" s="297"/>
      <c r="AN27" s="5997"/>
    </row>
    <row r="28" spans="1:45" s="596" customFormat="1">
      <c r="A28" s="593">
        <v>16</v>
      </c>
      <c r="B28" s="594" t="s">
        <v>669</v>
      </c>
      <c r="C28" s="5120">
        <f t="shared" si="9"/>
        <v>159789</v>
      </c>
      <c r="D28" s="5120">
        <f t="shared" si="8"/>
        <v>0</v>
      </c>
      <c r="E28" s="5120"/>
      <c r="F28" s="5120"/>
      <c r="G28" s="5960"/>
      <c r="H28" s="5120"/>
      <c r="I28" s="5960"/>
      <c r="J28" s="5120"/>
      <c r="K28" s="5120"/>
      <c r="L28" s="5120"/>
      <c r="M28" s="5120"/>
      <c r="N28" s="5120"/>
      <c r="O28" s="5120"/>
      <c r="P28" s="4775">
        <f t="shared" si="10"/>
        <v>159789</v>
      </c>
      <c r="Q28" s="4775">
        <v>72605</v>
      </c>
      <c r="R28" s="5999"/>
      <c r="S28" s="4775"/>
      <c r="T28" s="4775"/>
      <c r="U28" s="598"/>
      <c r="V28" s="4775">
        <v>54131</v>
      </c>
      <c r="W28" s="598"/>
      <c r="X28" s="4775">
        <v>20115</v>
      </c>
      <c r="Y28" s="598"/>
      <c r="Z28" s="4775">
        <v>545</v>
      </c>
      <c r="AA28" s="598">
        <v>12393</v>
      </c>
      <c r="AB28" s="4775"/>
      <c r="AC28" s="4775"/>
      <c r="AD28" s="5996"/>
      <c r="AE28" s="5996"/>
      <c r="AF28" s="5996"/>
      <c r="AG28" s="5996"/>
      <c r="AH28" s="5996">
        <f t="shared" si="11"/>
        <v>0</v>
      </c>
      <c r="AI28" s="5996"/>
      <c r="AJ28" s="5996"/>
      <c r="AK28" s="5996"/>
      <c r="AL28" s="297"/>
      <c r="AM28" s="297"/>
      <c r="AN28" s="5997"/>
    </row>
    <row r="29" spans="1:45" s="596" customFormat="1">
      <c r="A29" s="593">
        <v>17</v>
      </c>
      <c r="B29" s="594" t="s">
        <v>670</v>
      </c>
      <c r="C29" s="5120">
        <f t="shared" si="9"/>
        <v>58811</v>
      </c>
      <c r="D29" s="5120">
        <f t="shared" si="8"/>
        <v>0</v>
      </c>
      <c r="E29" s="5120"/>
      <c r="F29" s="5120"/>
      <c r="G29" s="5960"/>
      <c r="H29" s="5120"/>
      <c r="I29" s="5960"/>
      <c r="J29" s="5120"/>
      <c r="K29" s="5120"/>
      <c r="L29" s="5120"/>
      <c r="M29" s="5120"/>
      <c r="N29" s="5120"/>
      <c r="O29" s="5120"/>
      <c r="P29" s="4775">
        <f t="shared" si="10"/>
        <v>58311</v>
      </c>
      <c r="Q29" s="4775">
        <v>645</v>
      </c>
      <c r="R29" s="598"/>
      <c r="S29" s="4775"/>
      <c r="T29" s="4775"/>
      <c r="U29" s="598"/>
      <c r="V29" s="4775"/>
      <c r="W29" s="4775">
        <v>19684</v>
      </c>
      <c r="X29" s="598"/>
      <c r="Y29" s="4775"/>
      <c r="Z29" s="4775">
        <v>23012</v>
      </c>
      <c r="AA29" s="598">
        <v>14970</v>
      </c>
      <c r="AB29" s="4775"/>
      <c r="AC29" s="4775"/>
      <c r="AD29" s="5996"/>
      <c r="AE29" s="5996"/>
      <c r="AF29" s="5996"/>
      <c r="AG29" s="5996"/>
      <c r="AH29" s="5996">
        <f t="shared" si="11"/>
        <v>500</v>
      </c>
      <c r="AI29" s="5996"/>
      <c r="AJ29" s="5996">
        <v>500</v>
      </c>
      <c r="AK29" s="5996"/>
      <c r="AL29" s="297"/>
      <c r="AM29" s="297"/>
      <c r="AN29" s="5997"/>
    </row>
    <row r="30" spans="1:45" s="596" customFormat="1">
      <c r="A30" s="593">
        <v>18</v>
      </c>
      <c r="B30" s="594" t="s">
        <v>671</v>
      </c>
      <c r="C30" s="5120">
        <f t="shared" si="9"/>
        <v>122626</v>
      </c>
      <c r="D30" s="5120">
        <f t="shared" si="8"/>
        <v>0</v>
      </c>
      <c r="E30" s="5120"/>
      <c r="F30" s="5120"/>
      <c r="G30" s="5960"/>
      <c r="H30" s="5120"/>
      <c r="I30" s="5960"/>
      <c r="J30" s="5120"/>
      <c r="K30" s="5120"/>
      <c r="L30" s="5120"/>
      <c r="M30" s="5120"/>
      <c r="N30" s="5120"/>
      <c r="O30" s="5120"/>
      <c r="P30" s="4775">
        <f t="shared" si="10"/>
        <v>62222</v>
      </c>
      <c r="Q30" s="595">
        <f>272+14115</f>
        <v>14387</v>
      </c>
      <c r="R30" s="598"/>
      <c r="S30" s="4775"/>
      <c r="T30" s="4775"/>
      <c r="U30" s="598"/>
      <c r="V30" s="4775"/>
      <c r="W30" s="4775"/>
      <c r="X30" s="4775"/>
      <c r="Y30" s="4775"/>
      <c r="Z30" s="4775">
        <v>27235</v>
      </c>
      <c r="AA30" s="598">
        <v>20600</v>
      </c>
      <c r="AB30" s="4775"/>
      <c r="AC30" s="4775"/>
      <c r="AD30" s="5996"/>
      <c r="AE30" s="5996"/>
      <c r="AF30" s="5996"/>
      <c r="AG30" s="5996"/>
      <c r="AH30" s="5996">
        <f t="shared" si="11"/>
        <v>60404</v>
      </c>
      <c r="AI30" s="5996"/>
      <c r="AJ30" s="5996">
        <f>'Phụ lục số 6'!E37+1750</f>
        <v>60404</v>
      </c>
      <c r="AK30" s="5996"/>
      <c r="AL30" s="297"/>
      <c r="AM30" s="297"/>
      <c r="AN30" s="5997"/>
    </row>
    <row r="31" spans="1:45" s="596" customFormat="1">
      <c r="A31" s="593">
        <v>19</v>
      </c>
      <c r="B31" s="594" t="s">
        <v>672</v>
      </c>
      <c r="C31" s="5120">
        <f t="shared" si="9"/>
        <v>169872</v>
      </c>
      <c r="D31" s="5120">
        <f t="shared" si="8"/>
        <v>0</v>
      </c>
      <c r="E31" s="5120"/>
      <c r="F31" s="5120"/>
      <c r="G31" s="5960"/>
      <c r="H31" s="5120"/>
      <c r="I31" s="5960"/>
      <c r="J31" s="5120"/>
      <c r="K31" s="5120"/>
      <c r="L31" s="5120"/>
      <c r="M31" s="5120"/>
      <c r="N31" s="5120"/>
      <c r="O31" s="5120"/>
      <c r="P31" s="4775">
        <f t="shared" si="10"/>
        <v>169872</v>
      </c>
      <c r="Q31" s="4775">
        <v>88678</v>
      </c>
      <c r="R31" s="4775"/>
      <c r="S31" s="598"/>
      <c r="T31" s="4775"/>
      <c r="U31" s="598"/>
      <c r="V31" s="4775"/>
      <c r="W31" s="4775"/>
      <c r="X31" s="4775"/>
      <c r="Y31" s="4775">
        <v>0</v>
      </c>
      <c r="Z31" s="598"/>
      <c r="AA31" s="598">
        <v>13121</v>
      </c>
      <c r="AB31" s="4775">
        <v>68073</v>
      </c>
      <c r="AC31" s="4775"/>
      <c r="AD31" s="5996"/>
      <c r="AE31" s="5996"/>
      <c r="AF31" s="5996"/>
      <c r="AG31" s="5996"/>
      <c r="AH31" s="5996">
        <f t="shared" si="11"/>
        <v>0</v>
      </c>
      <c r="AI31" s="5996"/>
      <c r="AJ31" s="5996"/>
      <c r="AK31" s="5996"/>
      <c r="AL31" s="297"/>
      <c r="AM31" s="328"/>
      <c r="AN31" s="1656"/>
    </row>
    <row r="32" spans="1:45" s="596" customFormat="1">
      <c r="A32" s="593">
        <v>20</v>
      </c>
      <c r="B32" s="594" t="s">
        <v>673</v>
      </c>
      <c r="C32" s="5120">
        <f t="shared" si="9"/>
        <v>16270</v>
      </c>
      <c r="D32" s="5120">
        <f t="shared" si="8"/>
        <v>0</v>
      </c>
      <c r="E32" s="5120"/>
      <c r="F32" s="5120"/>
      <c r="G32" s="5960"/>
      <c r="H32" s="5120"/>
      <c r="I32" s="5960"/>
      <c r="J32" s="5120"/>
      <c r="K32" s="5120"/>
      <c r="L32" s="5120"/>
      <c r="M32" s="5120"/>
      <c r="N32" s="5120"/>
      <c r="O32" s="5120"/>
      <c r="P32" s="4775">
        <f t="shared" si="10"/>
        <v>16270</v>
      </c>
      <c r="Q32" s="4775">
        <v>287</v>
      </c>
      <c r="R32" s="4775"/>
      <c r="S32" s="4775"/>
      <c r="T32" s="4775"/>
      <c r="U32" s="598"/>
      <c r="V32" s="4775"/>
      <c r="W32" s="4775"/>
      <c r="X32" s="4775"/>
      <c r="Y32" s="4775"/>
      <c r="Z32" s="4775"/>
      <c r="AA32" s="598">
        <v>15983</v>
      </c>
      <c r="AB32" s="4775"/>
      <c r="AC32" s="4775"/>
      <c r="AD32" s="5996"/>
      <c r="AE32" s="5996"/>
      <c r="AF32" s="5996"/>
      <c r="AG32" s="5996"/>
      <c r="AH32" s="5996">
        <f t="shared" si="11"/>
        <v>0</v>
      </c>
      <c r="AI32" s="5996"/>
      <c r="AJ32" s="5996"/>
      <c r="AK32" s="5996"/>
      <c r="AL32" s="297"/>
      <c r="AM32" s="297"/>
      <c r="AN32" s="5997"/>
    </row>
    <row r="33" spans="1:44" s="596" customFormat="1">
      <c r="A33" s="593">
        <v>21</v>
      </c>
      <c r="B33" s="594" t="s">
        <v>674</v>
      </c>
      <c r="C33" s="5120">
        <f t="shared" si="9"/>
        <v>24710</v>
      </c>
      <c r="D33" s="5120">
        <f t="shared" si="8"/>
        <v>0</v>
      </c>
      <c r="E33" s="5120"/>
      <c r="F33" s="5120"/>
      <c r="G33" s="5960"/>
      <c r="H33" s="5120"/>
      <c r="I33" s="5960"/>
      <c r="J33" s="5120"/>
      <c r="K33" s="5120"/>
      <c r="L33" s="5120"/>
      <c r="M33" s="5120"/>
      <c r="N33" s="5120"/>
      <c r="O33" s="5120"/>
      <c r="P33" s="4775">
        <f t="shared" si="10"/>
        <v>24710</v>
      </c>
      <c r="Q33" s="4775">
        <v>24710</v>
      </c>
      <c r="R33" s="4775"/>
      <c r="S33" s="4775"/>
      <c r="T33" s="4775"/>
      <c r="U33" s="598"/>
      <c r="V33" s="4775"/>
      <c r="W33" s="4775"/>
      <c r="X33" s="4775"/>
      <c r="Y33" s="4775"/>
      <c r="Z33" s="4775"/>
      <c r="AA33" s="4775"/>
      <c r="AB33" s="4775"/>
      <c r="AC33" s="4775"/>
      <c r="AD33" s="5996"/>
      <c r="AE33" s="5996"/>
      <c r="AF33" s="5996"/>
      <c r="AG33" s="5996"/>
      <c r="AH33" s="5996">
        <f t="shared" si="11"/>
        <v>0</v>
      </c>
      <c r="AI33" s="5996"/>
      <c r="AJ33" s="5996"/>
      <c r="AK33" s="5996"/>
      <c r="AL33" s="297"/>
      <c r="AM33" s="297"/>
      <c r="AN33" s="5997"/>
    </row>
    <row r="34" spans="1:44" s="596" customFormat="1">
      <c r="A34" s="593">
        <v>22</v>
      </c>
      <c r="B34" s="594" t="s">
        <v>675</v>
      </c>
      <c r="C34" s="5120">
        <f t="shared" si="9"/>
        <v>32129</v>
      </c>
      <c r="D34" s="5120">
        <f t="shared" si="8"/>
        <v>0</v>
      </c>
      <c r="E34" s="5120"/>
      <c r="F34" s="5120"/>
      <c r="G34" s="5960"/>
      <c r="H34" s="5120"/>
      <c r="I34" s="5960"/>
      <c r="J34" s="5120"/>
      <c r="K34" s="5120"/>
      <c r="L34" s="5120"/>
      <c r="M34" s="5120"/>
      <c r="N34" s="5120"/>
      <c r="O34" s="5120"/>
      <c r="P34" s="4775">
        <f t="shared" si="10"/>
        <v>32129</v>
      </c>
      <c r="Q34" s="4775">
        <f>32351-222</f>
        <v>32129</v>
      </c>
      <c r="R34" s="4775"/>
      <c r="S34" s="4775"/>
      <c r="T34" s="4775"/>
      <c r="U34" s="598"/>
      <c r="V34" s="4775"/>
      <c r="W34" s="4775"/>
      <c r="X34" s="4775"/>
      <c r="Y34" s="4775"/>
      <c r="Z34" s="4775"/>
      <c r="AA34" s="4775"/>
      <c r="AB34" s="4775"/>
      <c r="AC34" s="4775"/>
      <c r="AD34" s="5996"/>
      <c r="AE34" s="5996"/>
      <c r="AF34" s="5996"/>
      <c r="AG34" s="5996"/>
      <c r="AH34" s="5996">
        <f t="shared" si="11"/>
        <v>0</v>
      </c>
      <c r="AI34" s="5996"/>
      <c r="AJ34" s="5996"/>
      <c r="AK34" s="5996"/>
      <c r="AL34" s="297"/>
      <c r="AM34" s="297"/>
      <c r="AN34" s="5997"/>
    </row>
    <row r="35" spans="1:44" s="596" customFormat="1">
      <c r="A35" s="593">
        <v>23</v>
      </c>
      <c r="B35" s="594" t="s">
        <v>676</v>
      </c>
      <c r="C35" s="5120">
        <f t="shared" si="9"/>
        <v>10534</v>
      </c>
      <c r="D35" s="5120">
        <f t="shared" si="8"/>
        <v>0</v>
      </c>
      <c r="E35" s="5120"/>
      <c r="F35" s="5120"/>
      <c r="G35" s="5960"/>
      <c r="H35" s="5120"/>
      <c r="I35" s="5960"/>
      <c r="J35" s="5120"/>
      <c r="K35" s="5120"/>
      <c r="L35" s="5120"/>
      <c r="M35" s="5120"/>
      <c r="N35" s="5120"/>
      <c r="O35" s="5120"/>
      <c r="P35" s="4775">
        <f t="shared" si="10"/>
        <v>10534</v>
      </c>
      <c r="Q35" s="4775">
        <v>10534</v>
      </c>
      <c r="R35" s="4775"/>
      <c r="S35" s="4775"/>
      <c r="T35" s="4775"/>
      <c r="U35" s="4775"/>
      <c r="V35" s="4775"/>
      <c r="W35" s="4775"/>
      <c r="X35" s="4775"/>
      <c r="Y35" s="4775"/>
      <c r="Z35" s="4775"/>
      <c r="AA35" s="4775"/>
      <c r="AB35" s="4775"/>
      <c r="AC35" s="4775"/>
      <c r="AD35" s="5996"/>
      <c r="AE35" s="5996"/>
      <c r="AF35" s="5996"/>
      <c r="AG35" s="5996"/>
      <c r="AH35" s="5996">
        <f t="shared" si="11"/>
        <v>0</v>
      </c>
      <c r="AI35" s="5996"/>
      <c r="AJ35" s="5996"/>
      <c r="AK35" s="5996"/>
      <c r="AL35" s="297"/>
      <c r="AM35" s="297"/>
      <c r="AN35" s="5997"/>
    </row>
    <row r="36" spans="1:44" s="596" customFormat="1">
      <c r="A36" s="593">
        <v>24</v>
      </c>
      <c r="B36" s="594" t="s">
        <v>677</v>
      </c>
      <c r="C36" s="5120">
        <f t="shared" si="9"/>
        <v>16765</v>
      </c>
      <c r="D36" s="5120">
        <f t="shared" si="8"/>
        <v>0</v>
      </c>
      <c r="E36" s="5120"/>
      <c r="F36" s="5120"/>
      <c r="G36" s="5960"/>
      <c r="H36" s="5120"/>
      <c r="I36" s="5960"/>
      <c r="J36" s="5120"/>
      <c r="K36" s="5120"/>
      <c r="L36" s="5120"/>
      <c r="M36" s="5120"/>
      <c r="N36" s="5120"/>
      <c r="O36" s="5120"/>
      <c r="P36" s="4775">
        <f t="shared" si="10"/>
        <v>16765</v>
      </c>
      <c r="Q36" s="4775">
        <v>102</v>
      </c>
      <c r="R36" s="4775"/>
      <c r="S36" s="4775"/>
      <c r="T36" s="4775"/>
      <c r="U36" s="4775"/>
      <c r="V36" s="4775"/>
      <c r="W36" s="4775"/>
      <c r="X36" s="4775"/>
      <c r="Y36" s="4775">
        <v>161</v>
      </c>
      <c r="Z36" s="4775">
        <v>7004</v>
      </c>
      <c r="AA36" s="4775">
        <v>9498</v>
      </c>
      <c r="AB36" s="4775"/>
      <c r="AC36" s="4775"/>
      <c r="AD36" s="5996"/>
      <c r="AE36" s="5996"/>
      <c r="AF36" s="5996"/>
      <c r="AG36" s="5996"/>
      <c r="AH36" s="5996">
        <f t="shared" si="11"/>
        <v>0</v>
      </c>
      <c r="AI36" s="5996"/>
      <c r="AJ36" s="5996"/>
      <c r="AK36" s="5996"/>
      <c r="AL36" s="297"/>
      <c r="AM36" s="297"/>
      <c r="AN36" s="5997"/>
    </row>
    <row r="37" spans="1:44" s="596" customFormat="1">
      <c r="A37" s="593">
        <v>25</v>
      </c>
      <c r="B37" s="594" t="s">
        <v>678</v>
      </c>
      <c r="C37" s="5120">
        <f t="shared" si="9"/>
        <v>13825</v>
      </c>
      <c r="D37" s="5120">
        <f t="shared" si="8"/>
        <v>0</v>
      </c>
      <c r="E37" s="5120"/>
      <c r="F37" s="5120"/>
      <c r="G37" s="5960"/>
      <c r="H37" s="5120"/>
      <c r="I37" s="5960"/>
      <c r="J37" s="5120"/>
      <c r="K37" s="5120"/>
      <c r="L37" s="5120"/>
      <c r="M37" s="5120"/>
      <c r="N37" s="5120"/>
      <c r="O37" s="5120"/>
      <c r="P37" s="4775">
        <f t="shared" si="10"/>
        <v>2778</v>
      </c>
      <c r="Q37" s="4775"/>
      <c r="R37" s="598"/>
      <c r="S37" s="4775"/>
      <c r="T37" s="4775"/>
      <c r="U37" s="4775"/>
      <c r="V37" s="4775"/>
      <c r="W37" s="4775"/>
      <c r="X37" s="4775"/>
      <c r="Y37" s="4775"/>
      <c r="Z37" s="4775">
        <v>2778</v>
      </c>
      <c r="AA37" s="4775"/>
      <c r="AB37" s="4775"/>
      <c r="AC37" s="4775"/>
      <c r="AD37" s="5996"/>
      <c r="AE37" s="5996"/>
      <c r="AF37" s="5996"/>
      <c r="AG37" s="5996"/>
      <c r="AH37" s="5996">
        <f t="shared" si="11"/>
        <v>11047</v>
      </c>
      <c r="AI37" s="5996"/>
      <c r="AJ37" s="5996">
        <f>'Phụ lục số 6'!E36-1750</f>
        <v>11047</v>
      </c>
      <c r="AK37" s="5996"/>
      <c r="AL37" s="297"/>
      <c r="AM37" s="297"/>
      <c r="AN37" s="5997"/>
    </row>
    <row r="38" spans="1:44" s="596" customFormat="1" ht="34.799999999999997">
      <c r="A38" s="622">
        <v>26</v>
      </c>
      <c r="B38" s="623" t="s">
        <v>679</v>
      </c>
      <c r="C38" s="5128">
        <f>D38+P38+AD38+AE38+AH38+AL38+AF38+AG38+AK38+AM38</f>
        <v>38522</v>
      </c>
      <c r="D38" s="5128">
        <f t="shared" si="8"/>
        <v>0</v>
      </c>
      <c r="E38" s="5128"/>
      <c r="F38" s="5128"/>
      <c r="G38" s="5124"/>
      <c r="H38" s="5128"/>
      <c r="I38" s="5124"/>
      <c r="J38" s="5128"/>
      <c r="K38" s="5128"/>
      <c r="L38" s="5128"/>
      <c r="M38" s="5128"/>
      <c r="N38" s="5128"/>
      <c r="O38" s="5128"/>
      <c r="P38" s="595">
        <f>SUM(Q38:AC38)</f>
        <v>26181.000000000004</v>
      </c>
      <c r="Q38" s="595"/>
      <c r="R38" s="595"/>
      <c r="S38" s="595"/>
      <c r="T38" s="595"/>
      <c r="U38" s="595"/>
      <c r="V38" s="595"/>
      <c r="W38" s="595"/>
      <c r="X38" s="595"/>
      <c r="Y38" s="595"/>
      <c r="Z38" s="5963">
        <f>90829-62511.59-2136.41</f>
        <v>26181.000000000004</v>
      </c>
      <c r="AA38" s="595"/>
      <c r="AB38" s="595"/>
      <c r="AC38" s="595"/>
      <c r="AD38" s="5117"/>
      <c r="AE38" s="5117"/>
      <c r="AF38" s="5117"/>
      <c r="AG38" s="5117"/>
      <c r="AH38" s="5117">
        <f t="shared" si="11"/>
        <v>12341</v>
      </c>
      <c r="AI38" s="5117"/>
      <c r="AJ38" s="5117">
        <f>+'Phụ lục số 6'!E33-'Phụ lục số 8'!C20</f>
        <v>12341</v>
      </c>
      <c r="AK38" s="5117"/>
      <c r="AL38" s="330"/>
      <c r="AM38" s="330"/>
      <c r="AN38" s="5997"/>
      <c r="AO38" s="596" t="s">
        <v>3210</v>
      </c>
    </row>
    <row r="39" spans="1:44" s="596" customFormat="1" ht="34.799999999999997" hidden="1">
      <c r="A39" s="622">
        <v>27</v>
      </c>
      <c r="B39" s="623" t="s">
        <v>3250</v>
      </c>
      <c r="C39" s="5128"/>
      <c r="D39" s="5128"/>
      <c r="E39" s="5128"/>
      <c r="F39" s="5128"/>
      <c r="G39" s="5124"/>
      <c r="H39" s="5128"/>
      <c r="I39" s="5124"/>
      <c r="J39" s="5128"/>
      <c r="K39" s="5128"/>
      <c r="L39" s="5128"/>
      <c r="M39" s="5128"/>
      <c r="N39" s="5128"/>
      <c r="O39" s="5128"/>
      <c r="P39" s="595">
        <f t="shared" ref="P39:P40" si="12">SUM(Q39:AC39)</f>
        <v>0</v>
      </c>
      <c r="Q39" s="595"/>
      <c r="R39" s="595"/>
      <c r="S39" s="595"/>
      <c r="T39" s="595"/>
      <c r="U39" s="595"/>
      <c r="V39" s="595"/>
      <c r="W39" s="595"/>
      <c r="X39" s="595"/>
      <c r="Y39" s="595"/>
      <c r="Z39" s="595">
        <v>0</v>
      </c>
      <c r="AA39" s="595"/>
      <c r="AB39" s="595"/>
      <c r="AC39" s="595"/>
      <c r="AD39" s="5117"/>
      <c r="AE39" s="5117"/>
      <c r="AF39" s="5117"/>
      <c r="AG39" s="5117"/>
      <c r="AH39" s="5117"/>
      <c r="AI39" s="5117"/>
      <c r="AJ39" s="5117"/>
      <c r="AK39" s="5117"/>
      <c r="AL39" s="330"/>
      <c r="AM39" s="330"/>
      <c r="AN39" s="5997"/>
    </row>
    <row r="40" spans="1:44" s="596" customFormat="1" ht="34.799999999999997" hidden="1">
      <c r="A40" s="622">
        <v>28</v>
      </c>
      <c r="B40" s="623" t="s">
        <v>3251</v>
      </c>
      <c r="C40" s="5128"/>
      <c r="D40" s="5128"/>
      <c r="E40" s="5128"/>
      <c r="F40" s="5128"/>
      <c r="G40" s="5124"/>
      <c r="H40" s="5128"/>
      <c r="I40" s="5124"/>
      <c r="J40" s="5128"/>
      <c r="K40" s="5128"/>
      <c r="L40" s="5128"/>
      <c r="M40" s="5128"/>
      <c r="N40" s="5128"/>
      <c r="O40" s="5128"/>
      <c r="P40" s="595">
        <f t="shared" si="12"/>
        <v>0</v>
      </c>
      <c r="Q40" s="595"/>
      <c r="R40" s="595"/>
      <c r="S40" s="595"/>
      <c r="T40" s="595"/>
      <c r="U40" s="595"/>
      <c r="V40" s="595"/>
      <c r="W40" s="595"/>
      <c r="X40" s="595"/>
      <c r="Y40" s="595"/>
      <c r="Z40" s="595">
        <v>0</v>
      </c>
      <c r="AA40" s="595"/>
      <c r="AB40" s="595"/>
      <c r="AC40" s="595"/>
      <c r="AD40" s="5117"/>
      <c r="AE40" s="5117"/>
      <c r="AF40" s="5117"/>
      <c r="AG40" s="5117"/>
      <c r="AH40" s="5117"/>
      <c r="AI40" s="5117"/>
      <c r="AJ40" s="5117"/>
      <c r="AK40" s="5117"/>
      <c r="AL40" s="330"/>
      <c r="AM40" s="330"/>
      <c r="AN40" s="5997"/>
    </row>
    <row r="41" spans="1:44" s="596" customFormat="1">
      <c r="A41" s="593">
        <v>27</v>
      </c>
      <c r="B41" s="594" t="s">
        <v>680</v>
      </c>
      <c r="C41" s="5120">
        <f t="shared" si="9"/>
        <v>22478</v>
      </c>
      <c r="D41" s="5120">
        <f t="shared" si="8"/>
        <v>0</v>
      </c>
      <c r="E41" s="5120"/>
      <c r="F41" s="5120"/>
      <c r="G41" s="5960"/>
      <c r="H41" s="5120"/>
      <c r="I41" s="5960"/>
      <c r="J41" s="5120"/>
      <c r="K41" s="5120"/>
      <c r="L41" s="5120"/>
      <c r="M41" s="5120"/>
      <c r="N41" s="5120"/>
      <c r="O41" s="5120"/>
      <c r="P41" s="4775">
        <f t="shared" si="10"/>
        <v>22478</v>
      </c>
      <c r="Q41" s="4775">
        <v>38</v>
      </c>
      <c r="R41" s="4775"/>
      <c r="S41" s="4775"/>
      <c r="T41" s="4775"/>
      <c r="U41" s="4775"/>
      <c r="V41" s="4775">
        <v>1500</v>
      </c>
      <c r="W41" s="4775"/>
      <c r="X41" s="4775"/>
      <c r="Y41" s="4775"/>
      <c r="Z41" s="4775">
        <f>20777+163</f>
        <v>20940</v>
      </c>
      <c r="AA41" s="4775"/>
      <c r="AB41" s="4775"/>
      <c r="AC41" s="4775"/>
      <c r="AD41" s="5996"/>
      <c r="AE41" s="5996"/>
      <c r="AF41" s="5996"/>
      <c r="AG41" s="5996"/>
      <c r="AH41" s="5996">
        <f t="shared" si="11"/>
        <v>0</v>
      </c>
      <c r="AI41" s="5996"/>
      <c r="AJ41" s="5996"/>
      <c r="AK41" s="5996"/>
      <c r="AL41" s="297"/>
      <c r="AM41" s="297"/>
      <c r="AN41" s="5997"/>
      <c r="AR41" s="597">
        <f>+Z38-26181</f>
        <v>0</v>
      </c>
    </row>
    <row r="42" spans="1:44" s="596" customFormat="1">
      <c r="A42" s="593">
        <v>28</v>
      </c>
      <c r="B42" s="594" t="s">
        <v>681</v>
      </c>
      <c r="C42" s="5120">
        <f t="shared" si="9"/>
        <v>28621</v>
      </c>
      <c r="D42" s="5120">
        <f t="shared" si="8"/>
        <v>0</v>
      </c>
      <c r="E42" s="5120"/>
      <c r="F42" s="5120"/>
      <c r="G42" s="5960"/>
      <c r="H42" s="5120"/>
      <c r="I42" s="5960"/>
      <c r="J42" s="5120"/>
      <c r="K42" s="5120"/>
      <c r="L42" s="5120"/>
      <c r="M42" s="5120"/>
      <c r="N42" s="5120"/>
      <c r="O42" s="5120"/>
      <c r="P42" s="4775">
        <f t="shared" si="10"/>
        <v>28621</v>
      </c>
      <c r="Q42" s="4775">
        <v>46</v>
      </c>
      <c r="R42" s="4775"/>
      <c r="S42" s="4775"/>
      <c r="T42" s="4775"/>
      <c r="U42" s="4775"/>
      <c r="V42" s="4775"/>
      <c r="W42" s="4775"/>
      <c r="X42" s="4775"/>
      <c r="Y42" s="4775">
        <v>28575</v>
      </c>
      <c r="Z42" s="4775"/>
      <c r="AA42" s="4775"/>
      <c r="AB42" s="4775"/>
      <c r="AC42" s="4775"/>
      <c r="AD42" s="5996"/>
      <c r="AE42" s="5996"/>
      <c r="AF42" s="5996"/>
      <c r="AG42" s="5996"/>
      <c r="AH42" s="5996">
        <f t="shared" si="11"/>
        <v>0</v>
      </c>
      <c r="AI42" s="5996"/>
      <c r="AJ42" s="5996"/>
      <c r="AK42" s="5996"/>
      <c r="AL42" s="297"/>
      <c r="AM42" s="297"/>
      <c r="AN42" s="5997"/>
    </row>
    <row r="43" spans="1:44" s="596" customFormat="1" hidden="1">
      <c r="A43" s="593"/>
      <c r="B43" s="594"/>
      <c r="C43" s="5120">
        <f t="shared" si="9"/>
        <v>0</v>
      </c>
      <c r="D43" s="5120">
        <f t="shared" si="8"/>
        <v>0</v>
      </c>
      <c r="E43" s="5120"/>
      <c r="F43" s="5120"/>
      <c r="G43" s="5960"/>
      <c r="H43" s="5120"/>
      <c r="I43" s="5960"/>
      <c r="J43" s="5120"/>
      <c r="K43" s="5120"/>
      <c r="L43" s="5120"/>
      <c r="M43" s="5120"/>
      <c r="N43" s="5120"/>
      <c r="O43" s="5120"/>
      <c r="P43" s="4775">
        <f t="shared" si="10"/>
        <v>0</v>
      </c>
      <c r="Q43" s="4775"/>
      <c r="R43" s="4775"/>
      <c r="S43" s="4775"/>
      <c r="T43" s="4775"/>
      <c r="U43" s="4775"/>
      <c r="V43" s="4775"/>
      <c r="W43" s="4775"/>
      <c r="X43" s="4775"/>
      <c r="Y43" s="4775"/>
      <c r="Z43" s="4775"/>
      <c r="AA43" s="4775"/>
      <c r="AB43" s="4775"/>
      <c r="AC43" s="4775"/>
      <c r="AD43" s="5996"/>
      <c r="AE43" s="5996"/>
      <c r="AF43" s="5996"/>
      <c r="AG43" s="5996"/>
      <c r="AH43" s="5996">
        <f t="shared" si="11"/>
        <v>0</v>
      </c>
      <c r="AI43" s="5996"/>
      <c r="AJ43" s="5996"/>
      <c r="AK43" s="5996"/>
      <c r="AL43" s="297"/>
      <c r="AM43" s="297"/>
      <c r="AN43" s="5997"/>
    </row>
    <row r="44" spans="1:44" s="596" customFormat="1" ht="34.799999999999997">
      <c r="A44" s="599" t="s">
        <v>33</v>
      </c>
      <c r="B44" s="600" t="s">
        <v>682</v>
      </c>
      <c r="C44" s="5966">
        <f>SUM(C45,C51)</f>
        <v>67777</v>
      </c>
      <c r="D44" s="5966">
        <f t="shared" ref="D44:AM44" si="13">SUM(D45,D51)</f>
        <v>0</v>
      </c>
      <c r="E44" s="5966">
        <f t="shared" si="13"/>
        <v>0</v>
      </c>
      <c r="F44" s="5966">
        <f t="shared" si="13"/>
        <v>0</v>
      </c>
      <c r="G44" s="5967"/>
      <c r="H44" s="5966">
        <f t="shared" si="13"/>
        <v>0</v>
      </c>
      <c r="I44" s="5967"/>
      <c r="J44" s="5966">
        <f t="shared" si="13"/>
        <v>0</v>
      </c>
      <c r="K44" s="5966"/>
      <c r="L44" s="5966"/>
      <c r="M44" s="5966"/>
      <c r="N44" s="5966"/>
      <c r="O44" s="5966"/>
      <c r="P44" s="5966">
        <f>SUM(P45,P51)</f>
        <v>67277</v>
      </c>
      <c r="Q44" s="5966">
        <f t="shared" si="13"/>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f t="shared" si="13"/>
        <v>0</v>
      </c>
      <c r="AL44" s="5966">
        <f t="shared" si="13"/>
        <v>0</v>
      </c>
      <c r="AM44" s="5966">
        <f t="shared" si="13"/>
        <v>0</v>
      </c>
      <c r="AN44" s="5997"/>
      <c r="AQ44" s="5204">
        <f>+Z38*1000000</f>
        <v>26181000000.000004</v>
      </c>
    </row>
    <row r="45" spans="1:44" s="596" customFormat="1">
      <c r="A45" s="52" t="s">
        <v>683</v>
      </c>
      <c r="B45" s="601" t="s">
        <v>684</v>
      </c>
      <c r="C45" s="5117">
        <f>SUM(C46:C50)</f>
        <v>38185</v>
      </c>
      <c r="D45" s="5117">
        <f t="shared" ref="D45:AM45" si="14">SUM(D46:D50)</f>
        <v>0</v>
      </c>
      <c r="E45" s="5117">
        <f t="shared" si="14"/>
        <v>0</v>
      </c>
      <c r="F45" s="5117">
        <f t="shared" si="14"/>
        <v>0</v>
      </c>
      <c r="G45" s="5116"/>
      <c r="H45" s="5117">
        <f t="shared" si="14"/>
        <v>0</v>
      </c>
      <c r="I45" s="5116"/>
      <c r="J45" s="5117">
        <f t="shared" si="14"/>
        <v>0</v>
      </c>
      <c r="K45" s="5117"/>
      <c r="L45" s="5117"/>
      <c r="M45" s="5117"/>
      <c r="N45" s="5117"/>
      <c r="O45" s="5117"/>
      <c r="P45" s="5117">
        <f t="shared" si="14"/>
        <v>38185</v>
      </c>
      <c r="Q45" s="5117">
        <f t="shared" si="14"/>
        <v>2921</v>
      </c>
      <c r="R45" s="5117">
        <f t="shared" si="14"/>
        <v>75</v>
      </c>
      <c r="S45" s="5117">
        <f t="shared" si="14"/>
        <v>0</v>
      </c>
      <c r="T45" s="5117">
        <f t="shared" si="14"/>
        <v>0</v>
      </c>
      <c r="U45" s="5117">
        <f t="shared" si="14"/>
        <v>0</v>
      </c>
      <c r="V45" s="5117">
        <f t="shared" si="14"/>
        <v>0</v>
      </c>
      <c r="W45" s="5117">
        <f t="shared" si="14"/>
        <v>0</v>
      </c>
      <c r="X45" s="5117">
        <f t="shared" si="14"/>
        <v>0</v>
      </c>
      <c r="Y45" s="5117">
        <f t="shared" si="14"/>
        <v>0</v>
      </c>
      <c r="Z45" s="5117">
        <f t="shared" si="14"/>
        <v>350</v>
      </c>
      <c r="AA45" s="5117">
        <f t="shared" si="14"/>
        <v>34839</v>
      </c>
      <c r="AB45" s="5117">
        <f t="shared" si="14"/>
        <v>0</v>
      </c>
      <c r="AC45" s="5117">
        <f t="shared" si="14"/>
        <v>0</v>
      </c>
      <c r="AD45" s="5117">
        <f t="shared" si="14"/>
        <v>0</v>
      </c>
      <c r="AE45" s="5117">
        <f t="shared" si="14"/>
        <v>0</v>
      </c>
      <c r="AF45" s="5117">
        <f t="shared" si="14"/>
        <v>0</v>
      </c>
      <c r="AG45" s="5117">
        <f t="shared" si="14"/>
        <v>0</v>
      </c>
      <c r="AH45" s="5117">
        <f t="shared" si="14"/>
        <v>0</v>
      </c>
      <c r="AI45" s="5117">
        <f t="shared" si="14"/>
        <v>0</v>
      </c>
      <c r="AJ45" s="5117">
        <f t="shared" si="14"/>
        <v>0</v>
      </c>
      <c r="AK45" s="5117">
        <f t="shared" si="14"/>
        <v>0</v>
      </c>
      <c r="AL45" s="5117">
        <f t="shared" si="14"/>
        <v>0</v>
      </c>
      <c r="AM45" s="5117">
        <f t="shared" si="14"/>
        <v>0</v>
      </c>
      <c r="AN45" s="5997"/>
    </row>
    <row r="46" spans="1:44" s="596" customFormat="1">
      <c r="A46" s="593">
        <f>A42+1</f>
        <v>29</v>
      </c>
      <c r="B46" s="594" t="s">
        <v>685</v>
      </c>
      <c r="C46" s="5120">
        <f t="shared" ref="C46:C56" si="15">D46+P46+AD46+AE46+AH46+AL46+AF46+AG46+AK46+AM46</f>
        <v>10828</v>
      </c>
      <c r="D46" s="5120">
        <f>SUM(E46:K46)</f>
        <v>0</v>
      </c>
      <c r="E46" s="5996"/>
      <c r="F46" s="5996"/>
      <c r="G46" s="629"/>
      <c r="H46" s="5996"/>
      <c r="I46" s="629"/>
      <c r="J46" s="5996"/>
      <c r="K46" s="5996"/>
      <c r="L46" s="5996"/>
      <c r="M46" s="5996"/>
      <c r="N46" s="5996"/>
      <c r="O46" s="5996"/>
      <c r="P46" s="4775">
        <f t="shared" ref="P46:P56" si="16">SUM(Q46:AC46)</f>
        <v>10828</v>
      </c>
      <c r="Q46" s="5996">
        <v>488</v>
      </c>
      <c r="R46" s="5996"/>
      <c r="S46" s="5996"/>
      <c r="T46" s="5996"/>
      <c r="U46" s="5996"/>
      <c r="V46" s="5996"/>
      <c r="W46" s="5996"/>
      <c r="X46" s="5996"/>
      <c r="Y46" s="5996"/>
      <c r="Z46" s="5996"/>
      <c r="AA46" s="5996">
        <v>10340</v>
      </c>
      <c r="AB46" s="5996"/>
      <c r="AC46" s="5996"/>
      <c r="AD46" s="5996"/>
      <c r="AE46" s="5996"/>
      <c r="AF46" s="5996"/>
      <c r="AG46" s="5996"/>
      <c r="AH46" s="5996">
        <f>SUM(AI46:AJ46)</f>
        <v>0</v>
      </c>
      <c r="AI46" s="5996"/>
      <c r="AJ46" s="5996"/>
      <c r="AK46" s="5996"/>
      <c r="AL46" s="297"/>
      <c r="AM46" s="297"/>
      <c r="AN46" s="5997"/>
      <c r="AO46" s="602"/>
    </row>
    <row r="47" spans="1:44" s="596" customFormat="1">
      <c r="A47" s="593">
        <f>A46+1</f>
        <v>30</v>
      </c>
      <c r="B47" s="594" t="s">
        <v>686</v>
      </c>
      <c r="C47" s="5120">
        <f t="shared" si="15"/>
        <v>9018</v>
      </c>
      <c r="D47" s="5120">
        <f>SUM(E47:K47)</f>
        <v>0</v>
      </c>
      <c r="E47" s="5996"/>
      <c r="F47" s="5996"/>
      <c r="G47" s="629"/>
      <c r="H47" s="5996"/>
      <c r="I47" s="629"/>
      <c r="J47" s="5996"/>
      <c r="K47" s="5996"/>
      <c r="L47" s="5996"/>
      <c r="M47" s="5996"/>
      <c r="N47" s="5996"/>
      <c r="O47" s="5996"/>
      <c r="P47" s="4775">
        <f t="shared" si="16"/>
        <v>9018</v>
      </c>
      <c r="Q47" s="5996">
        <v>746</v>
      </c>
      <c r="R47" s="5996"/>
      <c r="S47" s="5996"/>
      <c r="T47" s="5996"/>
      <c r="U47" s="5996"/>
      <c r="V47" s="5996"/>
      <c r="W47" s="5996"/>
      <c r="X47" s="5996"/>
      <c r="Y47" s="5996"/>
      <c r="Z47" s="5996">
        <v>350</v>
      </c>
      <c r="AA47" s="5996">
        <v>7922</v>
      </c>
      <c r="AB47" s="5996"/>
      <c r="AC47" s="5996"/>
      <c r="AD47" s="5996"/>
      <c r="AE47" s="5996"/>
      <c r="AF47" s="5996"/>
      <c r="AG47" s="5996"/>
      <c r="AH47" s="5996">
        <f t="shared" ref="AH47:AH50" si="17">SUM(AI47:AJ47)</f>
        <v>0</v>
      </c>
      <c r="AI47" s="5996"/>
      <c r="AJ47" s="5996"/>
      <c r="AK47" s="5996"/>
      <c r="AL47" s="297"/>
      <c r="AM47" s="297"/>
      <c r="AN47" s="5997"/>
    </row>
    <row r="48" spans="1:44" s="596" customFormat="1">
      <c r="A48" s="593">
        <f>A47+1</f>
        <v>31</v>
      </c>
      <c r="B48" s="594" t="s">
        <v>687</v>
      </c>
      <c r="C48" s="5120">
        <f t="shared" si="15"/>
        <v>8117</v>
      </c>
      <c r="D48" s="5120">
        <f>SUM(E48:K48)</f>
        <v>0</v>
      </c>
      <c r="E48" s="5996"/>
      <c r="F48" s="5996"/>
      <c r="G48" s="629"/>
      <c r="H48" s="5996"/>
      <c r="I48" s="629"/>
      <c r="J48" s="5996"/>
      <c r="K48" s="5996"/>
      <c r="L48" s="5996"/>
      <c r="M48" s="5996"/>
      <c r="N48" s="5996"/>
      <c r="O48" s="5996"/>
      <c r="P48" s="4775">
        <f t="shared" si="16"/>
        <v>8117</v>
      </c>
      <c r="Q48" s="5996">
        <v>1220</v>
      </c>
      <c r="R48" s="5996"/>
      <c r="S48" s="5996"/>
      <c r="T48" s="5996"/>
      <c r="U48" s="5996"/>
      <c r="V48" s="5996"/>
      <c r="W48" s="5996"/>
      <c r="X48" s="5996"/>
      <c r="Y48" s="5996"/>
      <c r="Z48" s="5996"/>
      <c r="AA48" s="5996">
        <v>6897</v>
      </c>
      <c r="AB48" s="5996"/>
      <c r="AC48" s="5996"/>
      <c r="AD48" s="5996"/>
      <c r="AE48" s="5996"/>
      <c r="AF48" s="5996"/>
      <c r="AG48" s="5996"/>
      <c r="AH48" s="5996">
        <f t="shared" si="17"/>
        <v>0</v>
      </c>
      <c r="AI48" s="5996"/>
      <c r="AJ48" s="5996"/>
      <c r="AK48" s="5996"/>
      <c r="AL48" s="297"/>
      <c r="AM48" s="297"/>
      <c r="AN48" s="5997"/>
    </row>
    <row r="49" spans="1:43" s="596" customFormat="1">
      <c r="A49" s="593">
        <f>A48+1</f>
        <v>32</v>
      </c>
      <c r="B49" s="594" t="s">
        <v>688</v>
      </c>
      <c r="C49" s="5120">
        <f t="shared" si="15"/>
        <v>6426</v>
      </c>
      <c r="D49" s="5120">
        <f>SUM(E49:K49)</f>
        <v>0</v>
      </c>
      <c r="E49" s="5996"/>
      <c r="F49" s="5996"/>
      <c r="G49" s="629"/>
      <c r="H49" s="5996"/>
      <c r="I49" s="629"/>
      <c r="J49" s="5996"/>
      <c r="K49" s="5996"/>
      <c r="L49" s="5996"/>
      <c r="M49" s="5996"/>
      <c r="N49" s="5996"/>
      <c r="O49" s="5996"/>
      <c r="P49" s="4775">
        <f t="shared" si="16"/>
        <v>6426</v>
      </c>
      <c r="Q49" s="5996">
        <v>180</v>
      </c>
      <c r="R49" s="5996">
        <v>75</v>
      </c>
      <c r="S49" s="5996"/>
      <c r="T49" s="5996"/>
      <c r="U49" s="5996"/>
      <c r="V49" s="5996"/>
      <c r="W49" s="5996"/>
      <c r="X49" s="5996"/>
      <c r="Y49" s="5996"/>
      <c r="Z49" s="5996">
        <v>0</v>
      </c>
      <c r="AA49" s="5996">
        <v>6171</v>
      </c>
      <c r="AB49" s="5996"/>
      <c r="AC49" s="5996"/>
      <c r="AD49" s="5996"/>
      <c r="AE49" s="5996"/>
      <c r="AF49" s="5996"/>
      <c r="AG49" s="5996"/>
      <c r="AH49" s="5996">
        <f t="shared" si="17"/>
        <v>0</v>
      </c>
      <c r="AI49" s="5996"/>
      <c r="AJ49" s="5996"/>
      <c r="AK49" s="5996"/>
      <c r="AL49" s="297"/>
      <c r="AM49" s="297"/>
      <c r="AN49" s="5997"/>
    </row>
    <row r="50" spans="1:43" s="596" customFormat="1">
      <c r="A50" s="593">
        <f>A49+1</f>
        <v>33</v>
      </c>
      <c r="B50" s="594" t="s">
        <v>689</v>
      </c>
      <c r="C50" s="5120">
        <f t="shared" si="15"/>
        <v>3796</v>
      </c>
      <c r="D50" s="5120">
        <f>SUM(E50:K50)</f>
        <v>0</v>
      </c>
      <c r="E50" s="5996"/>
      <c r="F50" s="5996"/>
      <c r="G50" s="629"/>
      <c r="H50" s="5996"/>
      <c r="I50" s="629"/>
      <c r="J50" s="5996"/>
      <c r="K50" s="5996"/>
      <c r="L50" s="5996"/>
      <c r="M50" s="5996"/>
      <c r="N50" s="5996"/>
      <c r="O50" s="5996"/>
      <c r="P50" s="4775">
        <f t="shared" si="16"/>
        <v>3796</v>
      </c>
      <c r="Q50" s="5996">
        <v>287</v>
      </c>
      <c r="R50" s="5996"/>
      <c r="S50" s="5996"/>
      <c r="T50" s="5996"/>
      <c r="U50" s="5996"/>
      <c r="V50" s="5996"/>
      <c r="W50" s="5996"/>
      <c r="X50" s="5996"/>
      <c r="Y50" s="5996"/>
      <c r="Z50" s="5996"/>
      <c r="AA50" s="5996">
        <v>3509</v>
      </c>
      <c r="AB50" s="5996"/>
      <c r="AC50" s="5996"/>
      <c r="AD50" s="5996"/>
      <c r="AE50" s="5996"/>
      <c r="AF50" s="5996"/>
      <c r="AG50" s="5996"/>
      <c r="AH50" s="5996">
        <f t="shared" si="17"/>
        <v>0</v>
      </c>
      <c r="AI50" s="5996"/>
      <c r="AJ50" s="5996"/>
      <c r="AK50" s="5996"/>
      <c r="AL50" s="297"/>
      <c r="AM50" s="297"/>
      <c r="AN50" s="5997"/>
      <c r="AQ50" s="596">
        <v>112736</v>
      </c>
    </row>
    <row r="51" spans="1:43" s="380" customFormat="1">
      <c r="A51" s="52" t="s">
        <v>690</v>
      </c>
      <c r="B51" s="601" t="s">
        <v>691</v>
      </c>
      <c r="C51" s="5117">
        <f>SUM(C52:C58)</f>
        <v>29592</v>
      </c>
      <c r="D51" s="5117">
        <f t="shared" ref="D51:AM51" si="18">SUM(D52:D58)</f>
        <v>0</v>
      </c>
      <c r="E51" s="5117">
        <f t="shared" si="18"/>
        <v>0</v>
      </c>
      <c r="F51" s="5117">
        <f t="shared" si="18"/>
        <v>0</v>
      </c>
      <c r="G51" s="5116"/>
      <c r="H51" s="5117">
        <f t="shared" si="18"/>
        <v>0</v>
      </c>
      <c r="I51" s="5116"/>
      <c r="J51" s="5117">
        <f t="shared" si="18"/>
        <v>0</v>
      </c>
      <c r="K51" s="5117"/>
      <c r="L51" s="5117"/>
      <c r="M51" s="5117"/>
      <c r="N51" s="5117"/>
      <c r="O51" s="5117"/>
      <c r="P51" s="1658">
        <f t="shared" si="18"/>
        <v>29092</v>
      </c>
      <c r="Q51" s="1658">
        <f t="shared" si="18"/>
        <v>1841</v>
      </c>
      <c r="R51" s="1658">
        <f t="shared" si="18"/>
        <v>1608</v>
      </c>
      <c r="S51" s="1658">
        <f t="shared" si="18"/>
        <v>0</v>
      </c>
      <c r="T51" s="1658">
        <f t="shared" si="18"/>
        <v>0</v>
      </c>
      <c r="U51" s="1658">
        <f t="shared" si="18"/>
        <v>100</v>
      </c>
      <c r="V51" s="1658">
        <f t="shared" si="18"/>
        <v>0</v>
      </c>
      <c r="W51" s="1658">
        <f t="shared" si="18"/>
        <v>600</v>
      </c>
      <c r="X51" s="1658">
        <f t="shared" si="18"/>
        <v>0</v>
      </c>
      <c r="Y51" s="1658">
        <f t="shared" si="18"/>
        <v>0</v>
      </c>
      <c r="Z51" s="1658">
        <f t="shared" si="18"/>
        <v>378</v>
      </c>
      <c r="AA51" s="1658">
        <f t="shared" si="18"/>
        <v>24565</v>
      </c>
      <c r="AB51" s="1658">
        <f t="shared" si="18"/>
        <v>0</v>
      </c>
      <c r="AC51" s="1658">
        <f t="shared" si="18"/>
        <v>0</v>
      </c>
      <c r="AD51" s="1658">
        <f t="shared" si="18"/>
        <v>0</v>
      </c>
      <c r="AE51" s="1658">
        <f t="shared" si="18"/>
        <v>0</v>
      </c>
      <c r="AF51" s="1658">
        <f t="shared" si="18"/>
        <v>0</v>
      </c>
      <c r="AG51" s="1658">
        <f t="shared" si="18"/>
        <v>0</v>
      </c>
      <c r="AH51" s="1658">
        <f t="shared" si="18"/>
        <v>500</v>
      </c>
      <c r="AI51" s="1658">
        <f t="shared" si="18"/>
        <v>0</v>
      </c>
      <c r="AJ51" s="1658">
        <f t="shared" si="18"/>
        <v>500</v>
      </c>
      <c r="AK51" s="1658">
        <f t="shared" si="18"/>
        <v>0</v>
      </c>
      <c r="AL51" s="1658">
        <f t="shared" si="18"/>
        <v>0</v>
      </c>
      <c r="AM51" s="1658">
        <f t="shared" si="18"/>
        <v>0</v>
      </c>
      <c r="AN51" s="1659"/>
      <c r="AQ51" s="3867">
        <f>+AJ11-AJ38-AJ64-AJ66-AJ82-AJ109</f>
        <v>113236</v>
      </c>
    </row>
    <row r="52" spans="1:43" s="596" customFormat="1">
      <c r="A52" s="603">
        <v>35</v>
      </c>
      <c r="B52" s="604" t="s">
        <v>692</v>
      </c>
      <c r="C52" s="5120">
        <f t="shared" si="15"/>
        <v>5327</v>
      </c>
      <c r="D52" s="5120">
        <f>SUM(E52:K52)</f>
        <v>0</v>
      </c>
      <c r="E52" s="297"/>
      <c r="F52" s="297"/>
      <c r="G52" s="2625"/>
      <c r="H52" s="297"/>
      <c r="I52" s="2625"/>
      <c r="J52" s="297"/>
      <c r="K52" s="297"/>
      <c r="L52" s="297"/>
      <c r="M52" s="297"/>
      <c r="N52" s="297"/>
      <c r="O52" s="297"/>
      <c r="P52" s="4775">
        <f t="shared" si="16"/>
        <v>5327</v>
      </c>
      <c r="Q52" s="5996">
        <v>1382</v>
      </c>
      <c r="R52" s="6000"/>
      <c r="S52" s="6000"/>
      <c r="T52" s="6000"/>
      <c r="U52" s="6000"/>
      <c r="V52" s="6001"/>
      <c r="W52" s="6000">
        <v>48</v>
      </c>
      <c r="X52" s="6000"/>
      <c r="Y52" s="6000"/>
      <c r="Z52" s="6000">
        <v>378</v>
      </c>
      <c r="AA52" s="6000">
        <v>3519</v>
      </c>
      <c r="AB52" s="6000"/>
      <c r="AC52" s="6000"/>
      <c r="AD52" s="297"/>
      <c r="AE52" s="297"/>
      <c r="AF52" s="297"/>
      <c r="AG52" s="297"/>
      <c r="AH52" s="5996">
        <f t="shared" ref="AH52:AH54" si="19">SUM(AI52:AJ52)</f>
        <v>0</v>
      </c>
      <c r="AI52" s="297"/>
      <c r="AJ52" s="297"/>
      <c r="AK52" s="297"/>
      <c r="AL52" s="297"/>
      <c r="AM52" s="297"/>
      <c r="AN52" s="5997"/>
      <c r="AQ52" s="602">
        <f>+AQ51-AQ50</f>
        <v>500</v>
      </c>
    </row>
    <row r="53" spans="1:43" s="596" customFormat="1">
      <c r="A53" s="603">
        <v>36</v>
      </c>
      <c r="B53" s="604" t="s">
        <v>693</v>
      </c>
      <c r="C53" s="5120">
        <f t="shared" si="15"/>
        <v>4627</v>
      </c>
      <c r="D53" s="5120">
        <f>SUM(E53:K53)</f>
        <v>0</v>
      </c>
      <c r="E53" s="297"/>
      <c r="F53" s="297"/>
      <c r="G53" s="2625"/>
      <c r="H53" s="297"/>
      <c r="I53" s="2625"/>
      <c r="J53" s="297"/>
      <c r="K53" s="297"/>
      <c r="L53" s="297"/>
      <c r="M53" s="297"/>
      <c r="N53" s="297"/>
      <c r="O53" s="297"/>
      <c r="P53" s="4775">
        <f t="shared" si="16"/>
        <v>4627</v>
      </c>
      <c r="Q53" s="5996">
        <v>14</v>
      </c>
      <c r="R53" s="6000">
        <v>1608</v>
      </c>
      <c r="S53" s="6000"/>
      <c r="T53" s="6000"/>
      <c r="U53" s="6000"/>
      <c r="V53" s="6001"/>
      <c r="W53" s="6000">
        <v>149</v>
      </c>
      <c r="X53" s="6000"/>
      <c r="Y53" s="6000"/>
      <c r="Z53" s="6000"/>
      <c r="AA53" s="6000">
        <v>2856</v>
      </c>
      <c r="AB53" s="6000"/>
      <c r="AC53" s="6000"/>
      <c r="AD53" s="297"/>
      <c r="AE53" s="297"/>
      <c r="AF53" s="297"/>
      <c r="AG53" s="297"/>
      <c r="AH53" s="5996">
        <f t="shared" si="19"/>
        <v>0</v>
      </c>
      <c r="AI53" s="297"/>
      <c r="AJ53" s="297"/>
      <c r="AK53" s="297"/>
      <c r="AL53" s="297"/>
      <c r="AM53" s="297"/>
      <c r="AN53" s="5997"/>
    </row>
    <row r="54" spans="1:43" s="596" customFormat="1">
      <c r="A54" s="603">
        <v>37</v>
      </c>
      <c r="B54" s="604" t="s">
        <v>694</v>
      </c>
      <c r="C54" s="5120">
        <f t="shared" si="15"/>
        <v>3820</v>
      </c>
      <c r="D54" s="5120">
        <f>SUM(E54:K54)</f>
        <v>0</v>
      </c>
      <c r="E54" s="297"/>
      <c r="F54" s="297"/>
      <c r="G54" s="2625"/>
      <c r="H54" s="297"/>
      <c r="I54" s="2625"/>
      <c r="J54" s="297"/>
      <c r="K54" s="297"/>
      <c r="L54" s="297"/>
      <c r="M54" s="297"/>
      <c r="N54" s="297"/>
      <c r="O54" s="297"/>
      <c r="P54" s="4775">
        <f t="shared" si="16"/>
        <v>3820</v>
      </c>
      <c r="Q54" s="5996">
        <v>0</v>
      </c>
      <c r="R54" s="6000"/>
      <c r="S54" s="6000"/>
      <c r="T54" s="6000"/>
      <c r="U54" s="6000"/>
      <c r="V54" s="6001"/>
      <c r="W54" s="6000">
        <v>0</v>
      </c>
      <c r="X54" s="6000"/>
      <c r="Y54" s="6000"/>
      <c r="Z54" s="6000"/>
      <c r="AA54" s="6000">
        <v>3820</v>
      </c>
      <c r="AB54" s="6000"/>
      <c r="AC54" s="6000"/>
      <c r="AD54" s="297"/>
      <c r="AE54" s="297"/>
      <c r="AF54" s="297"/>
      <c r="AG54" s="297"/>
      <c r="AH54" s="5996">
        <f t="shared" si="19"/>
        <v>0</v>
      </c>
      <c r="AI54" s="297"/>
      <c r="AJ54" s="297"/>
      <c r="AK54" s="297"/>
      <c r="AL54" s="297"/>
      <c r="AM54" s="297"/>
      <c r="AN54" s="5997"/>
    </row>
    <row r="55" spans="1:43" s="596" customFormat="1">
      <c r="A55" s="603">
        <v>38</v>
      </c>
      <c r="B55" s="604" t="s">
        <v>695</v>
      </c>
      <c r="C55" s="5120">
        <f t="shared" si="15"/>
        <v>8003</v>
      </c>
      <c r="D55" s="5120">
        <f>SUM(E55:K55)</f>
        <v>0</v>
      </c>
      <c r="E55" s="297"/>
      <c r="F55" s="297"/>
      <c r="G55" s="2625"/>
      <c r="H55" s="297"/>
      <c r="I55" s="2625"/>
      <c r="J55" s="297"/>
      <c r="K55" s="297"/>
      <c r="L55" s="297"/>
      <c r="M55" s="297"/>
      <c r="N55" s="297"/>
      <c r="O55" s="297"/>
      <c r="P55" s="4775">
        <f>SUM(Q55:AC55)</f>
        <v>7503</v>
      </c>
      <c r="Q55" s="5996">
        <v>25</v>
      </c>
      <c r="R55" s="6000"/>
      <c r="S55" s="6000"/>
      <c r="T55" s="6000"/>
      <c r="U55" s="6000"/>
      <c r="V55" s="6001"/>
      <c r="W55" s="6000">
        <v>403</v>
      </c>
      <c r="X55" s="6000"/>
      <c r="Y55" s="6000"/>
      <c r="Z55" s="6000"/>
      <c r="AA55" s="6000">
        <v>7075</v>
      </c>
      <c r="AB55" s="6000"/>
      <c r="AC55" s="297"/>
      <c r="AD55" s="297"/>
      <c r="AE55" s="297"/>
      <c r="AF55" s="297"/>
      <c r="AG55" s="297"/>
      <c r="AH55" s="5996">
        <f>SUM(AI55:AJ55)</f>
        <v>500</v>
      </c>
      <c r="AI55" s="297"/>
      <c r="AJ55" s="297">
        <f>'Phụ lục số 6'!E29</f>
        <v>500</v>
      </c>
      <c r="AK55" s="297"/>
      <c r="AL55" s="297"/>
      <c r="AM55" s="297"/>
      <c r="AN55" s="5997"/>
    </row>
    <row r="56" spans="1:43" s="596" customFormat="1">
      <c r="A56" s="603">
        <v>39</v>
      </c>
      <c r="B56" s="604" t="s">
        <v>696</v>
      </c>
      <c r="C56" s="5120">
        <f t="shared" si="15"/>
        <v>7815</v>
      </c>
      <c r="D56" s="5120">
        <f>SUM(E56:K56)</f>
        <v>0</v>
      </c>
      <c r="E56" s="297"/>
      <c r="F56" s="297"/>
      <c r="G56" s="2625"/>
      <c r="H56" s="297"/>
      <c r="I56" s="2625"/>
      <c r="J56" s="297"/>
      <c r="K56" s="297"/>
      <c r="L56" s="297"/>
      <c r="M56" s="297"/>
      <c r="N56" s="297"/>
      <c r="O56" s="297"/>
      <c r="P56" s="4775">
        <f t="shared" si="16"/>
        <v>7815</v>
      </c>
      <c r="Q56" s="5996">
        <v>420</v>
      </c>
      <c r="R56" s="6000"/>
      <c r="S56" s="6000"/>
      <c r="T56" s="6000"/>
      <c r="U56" s="6001">
        <v>100</v>
      </c>
      <c r="V56" s="6001"/>
      <c r="W56" s="6000"/>
      <c r="X56" s="6000"/>
      <c r="Y56" s="6000"/>
      <c r="Z56" s="6000"/>
      <c r="AA56" s="6000">
        <v>7295</v>
      </c>
      <c r="AB56" s="6000"/>
      <c r="AC56" s="297"/>
      <c r="AD56" s="297"/>
      <c r="AE56" s="297"/>
      <c r="AF56" s="297"/>
      <c r="AG56" s="297"/>
      <c r="AH56" s="5996">
        <f t="shared" ref="AH56:AH58" si="20">SUM(AI56:AJ56)</f>
        <v>0</v>
      </c>
      <c r="AI56" s="297"/>
      <c r="AJ56" s="297"/>
      <c r="AK56" s="297"/>
      <c r="AL56" s="297"/>
      <c r="AM56" s="297"/>
      <c r="AN56" s="5997"/>
    </row>
    <row r="57" spans="1:43" s="596" customFormat="1" hidden="1">
      <c r="A57" s="603">
        <v>40</v>
      </c>
      <c r="B57" s="604" t="s">
        <v>697</v>
      </c>
      <c r="C57" s="6002">
        <f>D57+P57+AD57+AE57+AH57+AL57</f>
        <v>0</v>
      </c>
      <c r="D57" s="297">
        <f t="shared" ref="D57:D111" si="21">SUM(E57:J57)</f>
        <v>0</v>
      </c>
      <c r="E57" s="297"/>
      <c r="F57" s="297"/>
      <c r="G57" s="2625"/>
      <c r="H57" s="297"/>
      <c r="I57" s="2625"/>
      <c r="J57" s="297"/>
      <c r="K57" s="297"/>
      <c r="L57" s="297"/>
      <c r="M57" s="297"/>
      <c r="N57" s="297"/>
      <c r="O57" s="297"/>
      <c r="P57" s="5996">
        <f t="shared" ref="P57:P58" si="22">SUM(R57:AC57)</f>
        <v>0</v>
      </c>
      <c r="Q57" s="5996"/>
      <c r="R57" s="297"/>
      <c r="S57" s="297"/>
      <c r="T57" s="297"/>
      <c r="U57" s="297"/>
      <c r="V57" s="5996"/>
      <c r="W57" s="297"/>
      <c r="X57" s="297"/>
      <c r="Y57" s="297"/>
      <c r="Z57" s="297"/>
      <c r="AA57" s="297"/>
      <c r="AB57" s="297"/>
      <c r="AC57" s="297"/>
      <c r="AD57" s="297"/>
      <c r="AE57" s="297"/>
      <c r="AF57" s="297"/>
      <c r="AG57" s="297"/>
      <c r="AH57" s="5996">
        <f t="shared" si="20"/>
        <v>0</v>
      </c>
      <c r="AI57" s="297"/>
      <c r="AJ57" s="297"/>
      <c r="AK57" s="297"/>
      <c r="AL57" s="297"/>
      <c r="AM57" s="297"/>
      <c r="AN57" s="5997"/>
    </row>
    <row r="58" spans="1:43" s="596" customFormat="1" hidden="1">
      <c r="A58" s="603">
        <v>41</v>
      </c>
      <c r="B58" s="604" t="s">
        <v>698</v>
      </c>
      <c r="C58" s="6002">
        <f>D58+P58+AD58+AE58+AH58+AL58</f>
        <v>0</v>
      </c>
      <c r="D58" s="297">
        <f t="shared" si="21"/>
        <v>0</v>
      </c>
      <c r="E58" s="297"/>
      <c r="F58" s="297"/>
      <c r="G58" s="2625"/>
      <c r="H58" s="297"/>
      <c r="I58" s="2625"/>
      <c r="J58" s="297"/>
      <c r="K58" s="297"/>
      <c r="L58" s="297"/>
      <c r="M58" s="297"/>
      <c r="N58" s="297"/>
      <c r="O58" s="297"/>
      <c r="P58" s="5996">
        <f t="shared" si="22"/>
        <v>0</v>
      </c>
      <c r="Q58" s="5996"/>
      <c r="R58" s="297"/>
      <c r="S58" s="297"/>
      <c r="T58" s="297"/>
      <c r="U58" s="297"/>
      <c r="V58" s="5996"/>
      <c r="W58" s="297"/>
      <c r="X58" s="297"/>
      <c r="Y58" s="297"/>
      <c r="Z58" s="297"/>
      <c r="AA58" s="297"/>
      <c r="AB58" s="297"/>
      <c r="AC58" s="297"/>
      <c r="AD58" s="297"/>
      <c r="AE58" s="297"/>
      <c r="AF58" s="297"/>
      <c r="AG58" s="297"/>
      <c r="AH58" s="5996">
        <f t="shared" si="20"/>
        <v>0</v>
      </c>
      <c r="AI58" s="297"/>
      <c r="AJ58" s="297"/>
      <c r="AK58" s="297"/>
      <c r="AL58" s="297"/>
      <c r="AM58" s="297"/>
      <c r="AN58" s="5997"/>
    </row>
    <row r="59" spans="1:43" s="380" customFormat="1">
      <c r="A59" s="606" t="s">
        <v>182</v>
      </c>
      <c r="B59" s="607" t="s">
        <v>699</v>
      </c>
      <c r="C59" s="5966">
        <f>SUM(C60:C62)</f>
        <v>160670</v>
      </c>
      <c r="D59" s="5966">
        <f t="shared" ref="D59:P59" si="23">SUM(D60:D62)</f>
        <v>0</v>
      </c>
      <c r="E59" s="5966">
        <f t="shared" si="23"/>
        <v>0</v>
      </c>
      <c r="F59" s="5966">
        <f t="shared" si="23"/>
        <v>0</v>
      </c>
      <c r="G59" s="5967"/>
      <c r="H59" s="5966">
        <f t="shared" si="23"/>
        <v>0</v>
      </c>
      <c r="I59" s="5967"/>
      <c r="J59" s="5966">
        <f t="shared" si="23"/>
        <v>0</v>
      </c>
      <c r="K59" s="5966"/>
      <c r="L59" s="5966"/>
      <c r="M59" s="5966"/>
      <c r="N59" s="5966"/>
      <c r="O59" s="5966"/>
      <c r="P59" s="5966">
        <f t="shared" si="23"/>
        <v>160670</v>
      </c>
      <c r="Q59" s="5966">
        <f>SUM(Q60:Q62)</f>
        <v>6070</v>
      </c>
      <c r="R59" s="5966">
        <f t="shared" ref="R59:AC59" si="24">SUM(R60:R62)</f>
        <v>0</v>
      </c>
      <c r="S59" s="5966">
        <f t="shared" si="24"/>
        <v>150000</v>
      </c>
      <c r="T59" s="5966">
        <f t="shared" si="24"/>
        <v>0</v>
      </c>
      <c r="U59" s="5966">
        <f t="shared" si="24"/>
        <v>4300</v>
      </c>
      <c r="V59" s="5966">
        <f t="shared" si="24"/>
        <v>0</v>
      </c>
      <c r="W59" s="5966">
        <f t="shared" si="24"/>
        <v>0</v>
      </c>
      <c r="X59" s="5966">
        <f t="shared" si="24"/>
        <v>0</v>
      </c>
      <c r="Y59" s="5966">
        <f>SUM(Y60:Y62)</f>
        <v>300</v>
      </c>
      <c r="Z59" s="5966">
        <f t="shared" si="24"/>
        <v>0</v>
      </c>
      <c r="AA59" s="5966">
        <f t="shared" si="24"/>
        <v>0</v>
      </c>
      <c r="AB59" s="5966">
        <f t="shared" si="24"/>
        <v>0</v>
      </c>
      <c r="AC59" s="5966">
        <f t="shared" si="24"/>
        <v>0</v>
      </c>
      <c r="AD59" s="5966">
        <f t="shared" ref="AD59" si="25">SUM(AD60:AD62)</f>
        <v>0</v>
      </c>
      <c r="AE59" s="5966">
        <f t="shared" ref="AE59" si="26">SUM(AE60:AE62)</f>
        <v>0</v>
      </c>
      <c r="AF59" s="5966">
        <f t="shared" ref="AF59" si="27">SUM(AF60:AF62)</f>
        <v>0</v>
      </c>
      <c r="AG59" s="5966">
        <f t="shared" ref="AG59" si="28">SUM(AG60:AG62)</f>
        <v>0</v>
      </c>
      <c r="AH59" s="5966">
        <f t="shared" ref="AH59" si="29">SUM(AH60:AH62)</f>
        <v>0</v>
      </c>
      <c r="AI59" s="5966">
        <f t="shared" ref="AI59" si="30">SUM(AI60:AI62)</f>
        <v>0</v>
      </c>
      <c r="AJ59" s="5966">
        <f t="shared" ref="AJ59" si="31">SUM(AJ60:AJ62)</f>
        <v>0</v>
      </c>
      <c r="AK59" s="5966"/>
      <c r="AL59" s="330"/>
      <c r="AM59" s="330"/>
      <c r="AN59" s="1659"/>
    </row>
    <row r="60" spans="1:43" s="596" customFormat="1">
      <c r="A60" s="603">
        <v>42</v>
      </c>
      <c r="B60" s="604" t="s">
        <v>700</v>
      </c>
      <c r="C60" s="5120">
        <f t="shared" ref="C60:C79" si="32">D60+P60+AD60+AE60+AH60+AL60+AF60+AG60+AK60+AM60</f>
        <v>51300</v>
      </c>
      <c r="D60" s="5120">
        <f>SUM(E60:K60)</f>
        <v>0</v>
      </c>
      <c r="E60" s="297"/>
      <c r="F60" s="297"/>
      <c r="G60" s="2625"/>
      <c r="H60" s="297"/>
      <c r="I60" s="2625"/>
      <c r="J60" s="297"/>
      <c r="K60" s="297"/>
      <c r="L60" s="297"/>
      <c r="M60" s="297"/>
      <c r="N60" s="297"/>
      <c r="O60" s="297"/>
      <c r="P60" s="4775">
        <f t="shared" ref="P60:P79" si="33">SUM(Q60:AC60)</f>
        <v>51300</v>
      </c>
      <c r="Q60" s="5996"/>
      <c r="R60" s="297"/>
      <c r="S60" s="6003">
        <f>51000</f>
        <v>51000</v>
      </c>
      <c r="T60" s="6004"/>
      <c r="U60" s="297"/>
      <c r="V60" s="5996"/>
      <c r="W60" s="297"/>
      <c r="X60" s="297"/>
      <c r="Y60" s="297">
        <v>300</v>
      </c>
      <c r="Z60" s="297"/>
      <c r="AA60" s="297"/>
      <c r="AB60" s="5996"/>
      <c r="AC60" s="297"/>
      <c r="AD60" s="297"/>
      <c r="AE60" s="297"/>
      <c r="AF60" s="297"/>
      <c r="AG60" s="297"/>
      <c r="AH60" s="5996"/>
      <c r="AI60" s="297"/>
      <c r="AJ60" s="297"/>
      <c r="AK60" s="297"/>
      <c r="AL60" s="297"/>
      <c r="AM60" s="297"/>
      <c r="AN60" s="5997"/>
      <c r="AQ60" s="608"/>
    </row>
    <row r="61" spans="1:43" s="596" customFormat="1">
      <c r="A61" s="603">
        <v>43</v>
      </c>
      <c r="B61" s="604" t="s">
        <v>701</v>
      </c>
      <c r="C61" s="5120">
        <f t="shared" si="32"/>
        <v>92870</v>
      </c>
      <c r="D61" s="5120">
        <f>SUM(E61:K61)</f>
        <v>0</v>
      </c>
      <c r="E61" s="297"/>
      <c r="F61" s="297"/>
      <c r="G61" s="2625"/>
      <c r="H61" s="297"/>
      <c r="I61" s="2625"/>
      <c r="J61" s="297"/>
      <c r="K61" s="297"/>
      <c r="L61" s="297"/>
      <c r="M61" s="297"/>
      <c r="N61" s="297"/>
      <c r="O61" s="297"/>
      <c r="P61" s="4775">
        <f t="shared" si="33"/>
        <v>92870</v>
      </c>
      <c r="Q61" s="5962">
        <v>6070</v>
      </c>
      <c r="R61" s="297"/>
      <c r="S61" s="4775">
        <f>41880+28120+(16800-U61)</f>
        <v>82500</v>
      </c>
      <c r="T61" s="297"/>
      <c r="U61" s="5996">
        <v>4300</v>
      </c>
      <c r="V61" s="5996"/>
      <c r="W61" s="297"/>
      <c r="X61" s="297"/>
      <c r="Y61" s="297"/>
      <c r="Z61" s="297"/>
      <c r="AA61" s="297"/>
      <c r="AB61" s="5996"/>
      <c r="AC61" s="297"/>
      <c r="AD61" s="297"/>
      <c r="AE61" s="297"/>
      <c r="AF61" s="297"/>
      <c r="AG61" s="297"/>
      <c r="AH61" s="5996"/>
      <c r="AI61" s="297"/>
      <c r="AJ61" s="297"/>
      <c r="AK61" s="297"/>
      <c r="AL61" s="297"/>
      <c r="AM61" s="297"/>
      <c r="AN61" s="5997"/>
      <c r="AQ61" s="608"/>
    </row>
    <row r="62" spans="1:43" s="596" customFormat="1">
      <c r="A62" s="603">
        <v>44</v>
      </c>
      <c r="B62" s="604" t="s">
        <v>702</v>
      </c>
      <c r="C62" s="5120">
        <f t="shared" si="32"/>
        <v>16500</v>
      </c>
      <c r="D62" s="5120">
        <f>SUM(E62:K62)</f>
        <v>0</v>
      </c>
      <c r="E62" s="297"/>
      <c r="F62" s="297"/>
      <c r="G62" s="2625"/>
      <c r="H62" s="297"/>
      <c r="I62" s="2625"/>
      <c r="J62" s="297"/>
      <c r="K62" s="297"/>
      <c r="L62" s="297"/>
      <c r="M62" s="297"/>
      <c r="N62" s="297"/>
      <c r="O62" s="297"/>
      <c r="P62" s="4775">
        <f t="shared" si="33"/>
        <v>16500</v>
      </c>
      <c r="Q62" s="5996"/>
      <c r="R62" s="297"/>
      <c r="S62" s="4775">
        <f>16500</f>
        <v>16500</v>
      </c>
      <c r="T62" s="297"/>
      <c r="U62" s="297"/>
      <c r="V62" s="5996"/>
      <c r="W62" s="297"/>
      <c r="X62" s="297"/>
      <c r="Y62" s="297"/>
      <c r="Z62" s="297"/>
      <c r="AA62" s="297"/>
      <c r="AB62" s="5996"/>
      <c r="AC62" s="297"/>
      <c r="AD62" s="297"/>
      <c r="AE62" s="297"/>
      <c r="AF62" s="297"/>
      <c r="AG62" s="297"/>
      <c r="AH62" s="5996"/>
      <c r="AI62" s="297"/>
      <c r="AJ62" s="297"/>
      <c r="AK62" s="297"/>
      <c r="AL62" s="297"/>
      <c r="AM62" s="297"/>
      <c r="AN62" s="6005"/>
    </row>
    <row r="63" spans="1:43" s="380" customFormat="1">
      <c r="A63" s="606" t="s">
        <v>215</v>
      </c>
      <c r="B63" s="607" t="s">
        <v>703</v>
      </c>
      <c r="C63" s="5966">
        <f>SUM(C64:C79)</f>
        <v>498071.2</v>
      </c>
      <c r="D63" s="5966">
        <f t="shared" ref="D63:AM63" si="34">SUM(D64:D79)</f>
        <v>0</v>
      </c>
      <c r="E63" s="5966">
        <f t="shared" si="34"/>
        <v>0</v>
      </c>
      <c r="F63" s="5966">
        <f t="shared" si="34"/>
        <v>0</v>
      </c>
      <c r="G63" s="5967">
        <f t="shared" si="34"/>
        <v>0</v>
      </c>
      <c r="H63" s="5966">
        <f t="shared" si="34"/>
        <v>0</v>
      </c>
      <c r="I63" s="5967">
        <f t="shared" si="34"/>
        <v>0</v>
      </c>
      <c r="J63" s="5966">
        <f t="shared" si="34"/>
        <v>0</v>
      </c>
      <c r="K63" s="5966">
        <f t="shared" si="34"/>
        <v>0</v>
      </c>
      <c r="L63" s="5966">
        <f t="shared" si="34"/>
        <v>0</v>
      </c>
      <c r="M63" s="5966">
        <f t="shared" si="34"/>
        <v>0</v>
      </c>
      <c r="N63" s="5966">
        <f t="shared" si="34"/>
        <v>0</v>
      </c>
      <c r="O63" s="5966">
        <f t="shared" si="34"/>
        <v>0</v>
      </c>
      <c r="P63" s="5966">
        <f>SUM(P64:P79)</f>
        <v>383595.2</v>
      </c>
      <c r="Q63" s="5966">
        <f t="shared" si="34"/>
        <v>0</v>
      </c>
      <c r="R63" s="5966">
        <f t="shared" si="34"/>
        <v>0</v>
      </c>
      <c r="S63" s="5966">
        <f t="shared" si="34"/>
        <v>0</v>
      </c>
      <c r="T63" s="5966">
        <f t="shared" si="34"/>
        <v>0</v>
      </c>
      <c r="U63" s="5966">
        <f>SUM(U64:U79)</f>
        <v>367885</v>
      </c>
      <c r="V63" s="5966">
        <f t="shared" si="34"/>
        <v>0</v>
      </c>
      <c r="W63" s="5966">
        <f t="shared" si="34"/>
        <v>9765</v>
      </c>
      <c r="X63" s="5966">
        <f t="shared" si="34"/>
        <v>0</v>
      </c>
      <c r="Y63" s="5966">
        <f t="shared" si="34"/>
        <v>0</v>
      </c>
      <c r="Z63" s="5966">
        <f t="shared" si="34"/>
        <v>0</v>
      </c>
      <c r="AA63" s="5966">
        <f t="shared" si="34"/>
        <v>0</v>
      </c>
      <c r="AB63" s="5966">
        <f t="shared" si="34"/>
        <v>0</v>
      </c>
      <c r="AC63" s="5966">
        <f t="shared" si="34"/>
        <v>5945.2</v>
      </c>
      <c r="AD63" s="5966">
        <f t="shared" si="34"/>
        <v>0</v>
      </c>
      <c r="AE63" s="5966">
        <f t="shared" si="34"/>
        <v>0</v>
      </c>
      <c r="AF63" s="5966">
        <f t="shared" si="34"/>
        <v>0</v>
      </c>
      <c r="AG63" s="5966">
        <f t="shared" si="34"/>
        <v>0</v>
      </c>
      <c r="AH63" s="5966">
        <f t="shared" si="34"/>
        <v>114476</v>
      </c>
      <c r="AI63" s="5966">
        <f t="shared" si="34"/>
        <v>0</v>
      </c>
      <c r="AJ63" s="5966">
        <f t="shared" si="34"/>
        <v>114476</v>
      </c>
      <c r="AK63" s="5966">
        <f t="shared" si="34"/>
        <v>0</v>
      </c>
      <c r="AL63" s="5966">
        <f t="shared" si="34"/>
        <v>0</v>
      </c>
      <c r="AM63" s="5966">
        <f t="shared" si="34"/>
        <v>0</v>
      </c>
      <c r="AN63" s="1659"/>
    </row>
    <row r="64" spans="1:43" s="596" customFormat="1">
      <c r="A64" s="603">
        <v>45</v>
      </c>
      <c r="B64" s="604" t="s">
        <v>704</v>
      </c>
      <c r="C64" s="5128">
        <f>D64+P64+AD64+AE64+AH64+AL64+AF64+AG64+AK64+AM64</f>
        <v>482201</v>
      </c>
      <c r="D64" s="5120">
        <f t="shared" ref="D64:D77" si="35">SUM(E64:K64)</f>
        <v>0</v>
      </c>
      <c r="E64" s="297"/>
      <c r="F64" s="297"/>
      <c r="G64" s="2625"/>
      <c r="H64" s="297"/>
      <c r="I64" s="2625"/>
      <c r="J64" s="297"/>
      <c r="K64" s="297"/>
      <c r="L64" s="297"/>
      <c r="M64" s="297"/>
      <c r="N64" s="297"/>
      <c r="O64" s="297"/>
      <c r="P64" s="4775">
        <f t="shared" si="33"/>
        <v>367885</v>
      </c>
      <c r="Q64" s="5996"/>
      <c r="R64" s="297"/>
      <c r="S64" s="297"/>
      <c r="T64" s="297"/>
      <c r="U64" s="6006">
        <f>(328342+4378)+(39543-4378)</f>
        <v>367885</v>
      </c>
      <c r="V64" s="5996"/>
      <c r="W64" s="297"/>
      <c r="X64" s="297"/>
      <c r="Y64" s="297"/>
      <c r="Z64" s="297"/>
      <c r="AA64" s="297"/>
      <c r="AB64" s="297"/>
      <c r="AC64" s="328"/>
      <c r="AD64" s="297"/>
      <c r="AE64" s="297"/>
      <c r="AF64" s="297"/>
      <c r="AG64" s="297"/>
      <c r="AH64" s="5996">
        <f>SUM(AI64:AJ64)</f>
        <v>114316</v>
      </c>
      <c r="AI64" s="297"/>
      <c r="AJ64" s="6007">
        <v>114316</v>
      </c>
      <c r="AK64" s="297"/>
      <c r="AL64" s="297"/>
      <c r="AM64" s="297"/>
      <c r="AN64" s="5997"/>
    </row>
    <row r="65" spans="1:40" s="596" customFormat="1">
      <c r="A65" s="603">
        <v>46</v>
      </c>
      <c r="B65" s="604" t="s">
        <v>705</v>
      </c>
      <c r="C65" s="5128">
        <f t="shared" si="32"/>
        <v>0</v>
      </c>
      <c r="D65" s="5120">
        <f t="shared" si="35"/>
        <v>0</v>
      </c>
      <c r="E65" s="297"/>
      <c r="F65" s="297"/>
      <c r="G65" s="2625"/>
      <c r="H65" s="297"/>
      <c r="I65" s="2625"/>
      <c r="J65" s="297"/>
      <c r="K65" s="297"/>
      <c r="L65" s="297"/>
      <c r="M65" s="297"/>
      <c r="N65" s="297"/>
      <c r="O65" s="297"/>
      <c r="P65" s="4775">
        <f t="shared" si="33"/>
        <v>0</v>
      </c>
      <c r="Q65" s="5996"/>
      <c r="R65" s="297"/>
      <c r="S65" s="297"/>
      <c r="T65" s="297"/>
      <c r="U65" s="5996"/>
      <c r="V65" s="5996"/>
      <c r="W65" s="297"/>
      <c r="X65" s="297"/>
      <c r="Y65" s="297"/>
      <c r="Z65" s="5996"/>
      <c r="AA65" s="297"/>
      <c r="AB65" s="297"/>
      <c r="AC65" s="328"/>
      <c r="AD65" s="297"/>
      <c r="AE65" s="297"/>
      <c r="AF65" s="297"/>
      <c r="AG65" s="297"/>
      <c r="AH65" s="5996">
        <f t="shared" ref="AH65:AH77" si="36">SUM(AI65:AJ65)</f>
        <v>0</v>
      </c>
      <c r="AI65" s="297"/>
      <c r="AJ65" s="297"/>
      <c r="AK65" s="297"/>
      <c r="AL65" s="297"/>
      <c r="AM65" s="297"/>
      <c r="AN65" s="5997"/>
    </row>
    <row r="66" spans="1:40" s="596" customFormat="1">
      <c r="A66" s="603">
        <v>47</v>
      </c>
      <c r="B66" s="604" t="s">
        <v>706</v>
      </c>
      <c r="C66" s="5128">
        <f t="shared" si="32"/>
        <v>1625</v>
      </c>
      <c r="D66" s="5120">
        <f t="shared" si="35"/>
        <v>0</v>
      </c>
      <c r="E66" s="297"/>
      <c r="F66" s="297"/>
      <c r="G66" s="2625"/>
      <c r="H66" s="297"/>
      <c r="I66" s="2625"/>
      <c r="J66" s="297"/>
      <c r="K66" s="297"/>
      <c r="L66" s="297"/>
      <c r="M66" s="297"/>
      <c r="N66" s="297"/>
      <c r="O66" s="297"/>
      <c r="P66" s="4775">
        <f t="shared" si="33"/>
        <v>1465</v>
      </c>
      <c r="Q66" s="5996"/>
      <c r="R66" s="297"/>
      <c r="S66" s="297"/>
      <c r="T66" s="297"/>
      <c r="U66" s="297"/>
      <c r="V66" s="5996"/>
      <c r="W66" s="297"/>
      <c r="X66" s="297"/>
      <c r="Y66" s="297"/>
      <c r="Z66" s="297"/>
      <c r="AA66" s="297"/>
      <c r="AB66" s="297"/>
      <c r="AC66" s="5962">
        <f>400+1065</f>
        <v>1465</v>
      </c>
      <c r="AD66" s="297"/>
      <c r="AE66" s="297"/>
      <c r="AF66" s="297"/>
      <c r="AG66" s="297"/>
      <c r="AH66" s="5996">
        <f t="shared" si="36"/>
        <v>160</v>
      </c>
      <c r="AI66" s="297"/>
      <c r="AJ66" s="297">
        <f>'Phụ lục số 6'!E30</f>
        <v>160</v>
      </c>
      <c r="AK66" s="297"/>
      <c r="AL66" s="297"/>
      <c r="AM66" s="297"/>
      <c r="AN66" s="5997"/>
    </row>
    <row r="67" spans="1:40" s="596" customFormat="1">
      <c r="A67" s="603">
        <v>48</v>
      </c>
      <c r="B67" s="610" t="s">
        <v>707</v>
      </c>
      <c r="C67" s="5128">
        <f t="shared" si="32"/>
        <v>610</v>
      </c>
      <c r="D67" s="5120">
        <f t="shared" si="35"/>
        <v>0</v>
      </c>
      <c r="E67" s="297"/>
      <c r="F67" s="297"/>
      <c r="G67" s="2625"/>
      <c r="H67" s="297"/>
      <c r="I67" s="2625"/>
      <c r="J67" s="297"/>
      <c r="K67" s="297"/>
      <c r="L67" s="297"/>
      <c r="M67" s="297"/>
      <c r="N67" s="297"/>
      <c r="O67" s="297"/>
      <c r="P67" s="4775">
        <f t="shared" si="33"/>
        <v>610</v>
      </c>
      <c r="Q67" s="5996"/>
      <c r="R67" s="297"/>
      <c r="S67" s="297"/>
      <c r="T67" s="297"/>
      <c r="U67" s="297"/>
      <c r="V67" s="5996"/>
      <c r="W67" s="297"/>
      <c r="X67" s="297"/>
      <c r="Y67" s="297"/>
      <c r="Z67" s="297"/>
      <c r="AA67" s="297"/>
      <c r="AB67" s="297"/>
      <c r="AC67" s="6035">
        <f>400+222-12</f>
        <v>610</v>
      </c>
      <c r="AD67" s="297"/>
      <c r="AE67" s="297"/>
      <c r="AF67" s="297"/>
      <c r="AG67" s="297"/>
      <c r="AH67" s="5996">
        <f t="shared" si="36"/>
        <v>0</v>
      </c>
      <c r="AI67" s="297"/>
      <c r="AJ67" s="297"/>
      <c r="AK67" s="297"/>
      <c r="AL67" s="297"/>
      <c r="AM67" s="297"/>
      <c r="AN67" s="5997"/>
    </row>
    <row r="68" spans="1:40" s="596" customFormat="1" ht="36">
      <c r="A68" s="603">
        <v>49</v>
      </c>
      <c r="B68" s="610" t="s">
        <v>708</v>
      </c>
      <c r="C68" s="5128">
        <f t="shared" si="32"/>
        <v>530</v>
      </c>
      <c r="D68" s="5120">
        <f t="shared" si="35"/>
        <v>0</v>
      </c>
      <c r="E68" s="297"/>
      <c r="F68" s="297"/>
      <c r="G68" s="2625"/>
      <c r="H68" s="297"/>
      <c r="I68" s="2625"/>
      <c r="J68" s="297"/>
      <c r="K68" s="297"/>
      <c r="L68" s="297"/>
      <c r="M68" s="297"/>
      <c r="N68" s="297"/>
      <c r="O68" s="297"/>
      <c r="P68" s="4775">
        <f t="shared" si="33"/>
        <v>530</v>
      </c>
      <c r="Q68" s="5996"/>
      <c r="R68" s="297"/>
      <c r="S68" s="297"/>
      <c r="T68" s="297"/>
      <c r="U68" s="297"/>
      <c r="V68" s="5996"/>
      <c r="W68" s="297"/>
      <c r="X68" s="297"/>
      <c r="Y68" s="297"/>
      <c r="Z68" s="297"/>
      <c r="AA68" s="297"/>
      <c r="AB68" s="297"/>
      <c r="AC68" s="328">
        <f>500+30</f>
        <v>530</v>
      </c>
      <c r="AD68" s="297"/>
      <c r="AE68" s="297"/>
      <c r="AF68" s="297"/>
      <c r="AG68" s="297"/>
      <c r="AH68" s="5996">
        <f t="shared" si="36"/>
        <v>0</v>
      </c>
      <c r="AI68" s="297"/>
      <c r="AJ68" s="297"/>
      <c r="AK68" s="297"/>
      <c r="AL68" s="297"/>
      <c r="AM68" s="297"/>
      <c r="AN68" s="5997"/>
    </row>
    <row r="69" spans="1:40" s="596" customFormat="1">
      <c r="A69" s="603">
        <v>50</v>
      </c>
      <c r="B69" s="610" t="s">
        <v>709</v>
      </c>
      <c r="C69" s="5128">
        <f t="shared" si="32"/>
        <v>550</v>
      </c>
      <c r="D69" s="5120">
        <f t="shared" si="35"/>
        <v>0</v>
      </c>
      <c r="E69" s="297"/>
      <c r="F69" s="297"/>
      <c r="G69" s="2625"/>
      <c r="H69" s="297"/>
      <c r="I69" s="2625"/>
      <c r="J69" s="297"/>
      <c r="K69" s="297"/>
      <c r="L69" s="297"/>
      <c r="M69" s="297"/>
      <c r="N69" s="297"/>
      <c r="O69" s="297"/>
      <c r="P69" s="4775">
        <f t="shared" si="33"/>
        <v>550</v>
      </c>
      <c r="Q69" s="5996"/>
      <c r="R69" s="297"/>
      <c r="S69" s="297"/>
      <c r="T69" s="297"/>
      <c r="U69" s="297"/>
      <c r="V69" s="5996"/>
      <c r="W69" s="297"/>
      <c r="X69" s="297"/>
      <c r="Y69" s="297"/>
      <c r="Z69" s="297"/>
      <c r="AA69" s="297"/>
      <c r="AB69" s="297"/>
      <c r="AC69" s="328">
        <f>400+150</f>
        <v>550</v>
      </c>
      <c r="AD69" s="297"/>
      <c r="AE69" s="297"/>
      <c r="AF69" s="297"/>
      <c r="AG69" s="297"/>
      <c r="AH69" s="5996">
        <f t="shared" si="36"/>
        <v>0</v>
      </c>
      <c r="AI69" s="297"/>
      <c r="AJ69" s="297"/>
      <c r="AK69" s="297"/>
      <c r="AL69" s="297"/>
      <c r="AM69" s="297"/>
      <c r="AN69" s="5997"/>
    </row>
    <row r="70" spans="1:40" s="596" customFormat="1">
      <c r="A70" s="603">
        <v>51</v>
      </c>
      <c r="B70" s="610" t="s">
        <v>710</v>
      </c>
      <c r="C70" s="5128">
        <f t="shared" si="32"/>
        <v>435</v>
      </c>
      <c r="D70" s="5120">
        <f t="shared" si="35"/>
        <v>0</v>
      </c>
      <c r="E70" s="297"/>
      <c r="F70" s="297"/>
      <c r="G70" s="2625"/>
      <c r="H70" s="297"/>
      <c r="I70" s="2625"/>
      <c r="J70" s="297"/>
      <c r="K70" s="297"/>
      <c r="L70" s="297"/>
      <c r="M70" s="297"/>
      <c r="N70" s="297"/>
      <c r="O70" s="297"/>
      <c r="P70" s="4775">
        <f t="shared" si="33"/>
        <v>435</v>
      </c>
      <c r="Q70" s="5996"/>
      <c r="R70" s="297"/>
      <c r="S70" s="297"/>
      <c r="T70" s="297"/>
      <c r="U70" s="297"/>
      <c r="V70" s="5996"/>
      <c r="W70" s="297"/>
      <c r="X70" s="297"/>
      <c r="Y70" s="297"/>
      <c r="Z70" s="297"/>
      <c r="AA70" s="297"/>
      <c r="AB70" s="297"/>
      <c r="AC70" s="328">
        <f>400+35</f>
        <v>435</v>
      </c>
      <c r="AD70" s="297"/>
      <c r="AE70" s="297"/>
      <c r="AF70" s="297"/>
      <c r="AG70" s="297"/>
      <c r="AH70" s="5996">
        <f t="shared" si="36"/>
        <v>0</v>
      </c>
      <c r="AI70" s="297"/>
      <c r="AJ70" s="297"/>
      <c r="AK70" s="297"/>
      <c r="AL70" s="297"/>
      <c r="AM70" s="297"/>
      <c r="AN70" s="5997"/>
    </row>
    <row r="71" spans="1:40" s="596" customFormat="1">
      <c r="A71" s="603">
        <v>52</v>
      </c>
      <c r="B71" s="610" t="s">
        <v>711</v>
      </c>
      <c r="C71" s="5128">
        <f t="shared" si="32"/>
        <v>676</v>
      </c>
      <c r="D71" s="5120">
        <f t="shared" si="35"/>
        <v>0</v>
      </c>
      <c r="E71" s="297"/>
      <c r="F71" s="297"/>
      <c r="G71" s="2625"/>
      <c r="H71" s="297"/>
      <c r="I71" s="2625"/>
      <c r="J71" s="297"/>
      <c r="K71" s="297"/>
      <c r="L71" s="297"/>
      <c r="M71" s="297"/>
      <c r="N71" s="297"/>
      <c r="O71" s="297"/>
      <c r="P71" s="4775">
        <f t="shared" si="33"/>
        <v>676</v>
      </c>
      <c r="Q71" s="5996"/>
      <c r="R71" s="297"/>
      <c r="S71" s="297"/>
      <c r="T71" s="297"/>
      <c r="U71" s="297"/>
      <c r="V71" s="5996"/>
      <c r="W71" s="297"/>
      <c r="X71" s="297"/>
      <c r="Y71" s="297"/>
      <c r="Z71" s="297"/>
      <c r="AA71" s="297"/>
      <c r="AB71" s="297"/>
      <c r="AC71" s="6035">
        <f>400+233+43</f>
        <v>676</v>
      </c>
      <c r="AD71" s="297"/>
      <c r="AE71" s="297"/>
      <c r="AF71" s="297"/>
      <c r="AG71" s="297"/>
      <c r="AH71" s="5996">
        <f t="shared" si="36"/>
        <v>0</v>
      </c>
      <c r="AI71" s="297"/>
      <c r="AJ71" s="297"/>
      <c r="AK71" s="297"/>
      <c r="AL71" s="297"/>
      <c r="AM71" s="297"/>
      <c r="AN71" s="5997"/>
    </row>
    <row r="72" spans="1:40" s="596" customFormat="1">
      <c r="A72" s="603">
        <v>53</v>
      </c>
      <c r="B72" s="610" t="s">
        <v>712</v>
      </c>
      <c r="C72" s="5128">
        <f t="shared" si="32"/>
        <v>729.2</v>
      </c>
      <c r="D72" s="5120">
        <f t="shared" si="35"/>
        <v>0</v>
      </c>
      <c r="E72" s="297"/>
      <c r="F72" s="297"/>
      <c r="G72" s="2625"/>
      <c r="H72" s="297"/>
      <c r="I72" s="2625"/>
      <c r="J72" s="297"/>
      <c r="K72" s="297"/>
      <c r="L72" s="297"/>
      <c r="M72" s="297"/>
      <c r="N72" s="297"/>
      <c r="O72" s="297"/>
      <c r="P72" s="4775">
        <f t="shared" si="33"/>
        <v>729.2</v>
      </c>
      <c r="Q72" s="5996"/>
      <c r="R72" s="297"/>
      <c r="S72" s="297"/>
      <c r="T72" s="297"/>
      <c r="U72" s="297"/>
      <c r="V72" s="5996"/>
      <c r="W72" s="297"/>
      <c r="X72" s="297"/>
      <c r="Y72" s="297"/>
      <c r="Z72" s="297"/>
      <c r="AA72" s="297"/>
      <c r="AB72" s="297"/>
      <c r="AC72" s="328">
        <f>400+(378-48.8)</f>
        <v>729.2</v>
      </c>
      <c r="AD72" s="297"/>
      <c r="AE72" s="297"/>
      <c r="AF72" s="297"/>
      <c r="AG72" s="297"/>
      <c r="AH72" s="5996">
        <f t="shared" si="36"/>
        <v>0</v>
      </c>
      <c r="AI72" s="297"/>
      <c r="AJ72" s="297"/>
      <c r="AK72" s="297"/>
      <c r="AL72" s="297"/>
      <c r="AM72" s="297"/>
      <c r="AN72" s="5997"/>
    </row>
    <row r="73" spans="1:40" s="596" customFormat="1">
      <c r="A73" s="603">
        <v>54</v>
      </c>
      <c r="B73" s="610" t="s">
        <v>713</v>
      </c>
      <c r="C73" s="5128">
        <f t="shared" si="32"/>
        <v>150</v>
      </c>
      <c r="D73" s="5120">
        <f t="shared" si="35"/>
        <v>0</v>
      </c>
      <c r="E73" s="297"/>
      <c r="F73" s="297"/>
      <c r="G73" s="2625"/>
      <c r="H73" s="297"/>
      <c r="I73" s="2625"/>
      <c r="J73" s="297"/>
      <c r="K73" s="297"/>
      <c r="L73" s="297"/>
      <c r="M73" s="297"/>
      <c r="N73" s="297"/>
      <c r="O73" s="297"/>
      <c r="P73" s="4775">
        <f t="shared" si="33"/>
        <v>150</v>
      </c>
      <c r="Q73" s="5996"/>
      <c r="R73" s="297"/>
      <c r="S73" s="297"/>
      <c r="T73" s="297"/>
      <c r="U73" s="297"/>
      <c r="V73" s="5996"/>
      <c r="W73" s="297"/>
      <c r="X73" s="297"/>
      <c r="Y73" s="297"/>
      <c r="Z73" s="297"/>
      <c r="AA73" s="297"/>
      <c r="AB73" s="297"/>
      <c r="AC73" s="328">
        <f>150</f>
        <v>150</v>
      </c>
      <c r="AD73" s="297"/>
      <c r="AE73" s="297"/>
      <c r="AF73" s="297"/>
      <c r="AG73" s="297"/>
      <c r="AH73" s="5996">
        <f t="shared" si="36"/>
        <v>0</v>
      </c>
      <c r="AI73" s="297"/>
      <c r="AJ73" s="297"/>
      <c r="AK73" s="297"/>
      <c r="AL73" s="297"/>
      <c r="AM73" s="297"/>
      <c r="AN73" s="5997"/>
    </row>
    <row r="74" spans="1:40" s="596" customFormat="1">
      <c r="A74" s="603">
        <v>55</v>
      </c>
      <c r="B74" s="610" t="s">
        <v>714</v>
      </c>
      <c r="C74" s="5128">
        <f t="shared" si="32"/>
        <v>300</v>
      </c>
      <c r="D74" s="5120">
        <f t="shared" si="35"/>
        <v>0</v>
      </c>
      <c r="E74" s="297"/>
      <c r="F74" s="297"/>
      <c r="G74" s="2625"/>
      <c r="H74" s="297"/>
      <c r="I74" s="2625"/>
      <c r="J74" s="297"/>
      <c r="K74" s="297"/>
      <c r="L74" s="297"/>
      <c r="M74" s="297"/>
      <c r="N74" s="297"/>
      <c r="O74" s="297"/>
      <c r="P74" s="4775">
        <f t="shared" si="33"/>
        <v>300</v>
      </c>
      <c r="Q74" s="5996"/>
      <c r="R74" s="297"/>
      <c r="S74" s="297"/>
      <c r="T74" s="297"/>
      <c r="U74" s="297"/>
      <c r="V74" s="5996"/>
      <c r="W74" s="297"/>
      <c r="X74" s="297"/>
      <c r="Y74" s="297"/>
      <c r="Z74" s="297"/>
      <c r="AA74" s="297"/>
      <c r="AB74" s="297"/>
      <c r="AC74" s="328">
        <v>300</v>
      </c>
      <c r="AD74" s="297"/>
      <c r="AE74" s="297"/>
      <c r="AF74" s="297"/>
      <c r="AG74" s="297"/>
      <c r="AH74" s="5996">
        <f t="shared" si="36"/>
        <v>0</v>
      </c>
      <c r="AI74" s="297"/>
      <c r="AJ74" s="297"/>
      <c r="AK74" s="297"/>
      <c r="AL74" s="297"/>
      <c r="AM74" s="297"/>
      <c r="AN74" s="5997"/>
    </row>
    <row r="75" spans="1:40" s="596" customFormat="1">
      <c r="A75" s="603">
        <v>56</v>
      </c>
      <c r="B75" s="610" t="s">
        <v>715</v>
      </c>
      <c r="C75" s="5128">
        <f t="shared" si="32"/>
        <v>0</v>
      </c>
      <c r="D75" s="5120">
        <f t="shared" si="35"/>
        <v>0</v>
      </c>
      <c r="E75" s="297"/>
      <c r="F75" s="297"/>
      <c r="G75" s="2625"/>
      <c r="H75" s="297"/>
      <c r="I75" s="2625"/>
      <c r="J75" s="297"/>
      <c r="K75" s="297"/>
      <c r="L75" s="297"/>
      <c r="M75" s="297"/>
      <c r="N75" s="297"/>
      <c r="O75" s="297"/>
      <c r="P75" s="4775">
        <f t="shared" si="33"/>
        <v>0</v>
      </c>
      <c r="Q75" s="5996"/>
      <c r="R75" s="297"/>
      <c r="S75" s="297"/>
      <c r="T75" s="297"/>
      <c r="U75" s="297"/>
      <c r="V75" s="5996"/>
      <c r="W75" s="297"/>
      <c r="X75" s="297"/>
      <c r="Y75" s="297"/>
      <c r="Z75" s="297"/>
      <c r="AA75" s="297"/>
      <c r="AB75" s="297"/>
      <c r="AC75" s="328"/>
      <c r="AD75" s="297"/>
      <c r="AE75" s="297"/>
      <c r="AF75" s="297"/>
      <c r="AG75" s="297"/>
      <c r="AH75" s="5996">
        <f t="shared" si="36"/>
        <v>0</v>
      </c>
      <c r="AI75" s="297"/>
      <c r="AJ75" s="297"/>
      <c r="AK75" s="297"/>
      <c r="AL75" s="297"/>
      <c r="AM75" s="297"/>
      <c r="AN75" s="5997"/>
    </row>
    <row r="76" spans="1:40" s="596" customFormat="1">
      <c r="A76" s="603">
        <v>57</v>
      </c>
      <c r="B76" s="610" t="s">
        <v>716</v>
      </c>
      <c r="C76" s="5128">
        <f t="shared" si="32"/>
        <v>300</v>
      </c>
      <c r="D76" s="5120">
        <f t="shared" si="35"/>
        <v>0</v>
      </c>
      <c r="E76" s="297"/>
      <c r="F76" s="297"/>
      <c r="G76" s="2625"/>
      <c r="H76" s="297"/>
      <c r="I76" s="2625"/>
      <c r="J76" s="297"/>
      <c r="K76" s="297"/>
      <c r="L76" s="297"/>
      <c r="M76" s="297"/>
      <c r="N76" s="297"/>
      <c r="O76" s="297"/>
      <c r="P76" s="4775">
        <f>SUM(Q76:AC76)</f>
        <v>300</v>
      </c>
      <c r="Q76" s="5996"/>
      <c r="R76" s="297"/>
      <c r="S76" s="297"/>
      <c r="T76" s="297"/>
      <c r="U76" s="297"/>
      <c r="V76" s="5996"/>
      <c r="W76" s="297"/>
      <c r="X76" s="297"/>
      <c r="Y76" s="297"/>
      <c r="Z76" s="297"/>
      <c r="AA76" s="297"/>
      <c r="AB76" s="297"/>
      <c r="AC76" s="328">
        <v>300</v>
      </c>
      <c r="AD76" s="297"/>
      <c r="AE76" s="297"/>
      <c r="AF76" s="297"/>
      <c r="AG76" s="297"/>
      <c r="AH76" s="5996">
        <f t="shared" si="36"/>
        <v>0</v>
      </c>
      <c r="AI76" s="297"/>
      <c r="AJ76" s="297"/>
      <c r="AK76" s="297"/>
      <c r="AL76" s="297"/>
      <c r="AM76" s="297"/>
      <c r="AN76" s="5997"/>
    </row>
    <row r="77" spans="1:40" s="596" customFormat="1">
      <c r="A77" s="603">
        <v>58</v>
      </c>
      <c r="B77" s="610" t="s">
        <v>717</v>
      </c>
      <c r="C77" s="5128">
        <f t="shared" si="32"/>
        <v>200</v>
      </c>
      <c r="D77" s="5120">
        <f t="shared" si="35"/>
        <v>0</v>
      </c>
      <c r="E77" s="297"/>
      <c r="F77" s="297"/>
      <c r="G77" s="2625"/>
      <c r="H77" s="297"/>
      <c r="I77" s="2625"/>
      <c r="J77" s="297"/>
      <c r="K77" s="297"/>
      <c r="L77" s="297"/>
      <c r="M77" s="297"/>
      <c r="N77" s="297"/>
      <c r="O77" s="297"/>
      <c r="P77" s="4775">
        <f t="shared" si="33"/>
        <v>200</v>
      </c>
      <c r="Q77" s="5996"/>
      <c r="R77" s="297"/>
      <c r="S77" s="297"/>
      <c r="T77" s="297"/>
      <c r="U77" s="297"/>
      <c r="V77" s="5996"/>
      <c r="W77" s="297"/>
      <c r="X77" s="297"/>
      <c r="Y77" s="297"/>
      <c r="Z77" s="297"/>
      <c r="AA77" s="297"/>
      <c r="AB77" s="297"/>
      <c r="AC77" s="328">
        <v>200</v>
      </c>
      <c r="AD77" s="297"/>
      <c r="AE77" s="297"/>
      <c r="AF77" s="297"/>
      <c r="AG77" s="297"/>
      <c r="AH77" s="5996">
        <f t="shared" si="36"/>
        <v>0</v>
      </c>
      <c r="AI77" s="297"/>
      <c r="AJ77" s="297"/>
      <c r="AK77" s="297"/>
      <c r="AL77" s="297"/>
      <c r="AM77" s="297"/>
      <c r="AN77" s="5997"/>
    </row>
    <row r="78" spans="1:40" s="5111" customFormat="1" hidden="1">
      <c r="A78" s="622"/>
      <c r="B78" s="5872"/>
      <c r="C78" s="5128">
        <f t="shared" si="32"/>
        <v>0</v>
      </c>
      <c r="D78" s="5128"/>
      <c r="E78" s="330"/>
      <c r="F78" s="330"/>
      <c r="G78" s="5126"/>
      <c r="H78" s="330"/>
      <c r="I78" s="5126"/>
      <c r="J78" s="330"/>
      <c r="K78" s="330"/>
      <c r="L78" s="330"/>
      <c r="M78" s="330"/>
      <c r="N78" s="330"/>
      <c r="O78" s="330"/>
      <c r="P78" s="595">
        <f t="shared" si="33"/>
        <v>0</v>
      </c>
      <c r="Q78" s="5117"/>
      <c r="R78" s="330"/>
      <c r="S78" s="330"/>
      <c r="T78" s="330"/>
      <c r="U78" s="330"/>
      <c r="V78" s="5117"/>
      <c r="W78" s="330"/>
      <c r="X78" s="330"/>
      <c r="Y78" s="6009"/>
      <c r="Z78" s="330"/>
      <c r="AA78" s="330"/>
      <c r="AB78" s="330"/>
      <c r="AC78" s="329"/>
      <c r="AD78" s="330"/>
      <c r="AE78" s="330"/>
      <c r="AF78" s="330"/>
      <c r="AG78" s="330"/>
      <c r="AH78" s="5117"/>
      <c r="AI78" s="330"/>
      <c r="AJ78" s="330"/>
      <c r="AK78" s="330"/>
      <c r="AL78" s="330"/>
      <c r="AM78" s="330"/>
      <c r="AN78" s="1659"/>
    </row>
    <row r="79" spans="1:40" s="5111" customFormat="1">
      <c r="A79" s="622">
        <v>60</v>
      </c>
      <c r="B79" s="5872" t="s">
        <v>3211</v>
      </c>
      <c r="C79" s="5128">
        <f t="shared" si="32"/>
        <v>9765</v>
      </c>
      <c r="D79" s="5128"/>
      <c r="E79" s="330"/>
      <c r="F79" s="330"/>
      <c r="G79" s="5126"/>
      <c r="H79" s="330"/>
      <c r="I79" s="5126"/>
      <c r="J79" s="330"/>
      <c r="K79" s="330"/>
      <c r="L79" s="330"/>
      <c r="M79" s="330"/>
      <c r="N79" s="330"/>
      <c r="O79" s="330"/>
      <c r="P79" s="595">
        <f t="shared" si="33"/>
        <v>9765</v>
      </c>
      <c r="Q79" s="5117"/>
      <c r="R79" s="330"/>
      <c r="S79" s="330"/>
      <c r="T79" s="330"/>
      <c r="U79" s="330"/>
      <c r="V79" s="5117"/>
      <c r="W79" s="329">
        <v>9765</v>
      </c>
      <c r="X79" s="330"/>
      <c r="Y79" s="6009"/>
      <c r="Z79" s="330"/>
      <c r="AA79" s="330"/>
      <c r="AB79" s="330"/>
      <c r="AC79" s="329"/>
      <c r="AD79" s="330"/>
      <c r="AE79" s="330"/>
      <c r="AF79" s="330"/>
      <c r="AG79" s="330"/>
      <c r="AH79" s="5117"/>
      <c r="AI79" s="330"/>
      <c r="AJ79" s="330"/>
      <c r="AK79" s="330"/>
      <c r="AL79" s="330"/>
      <c r="AM79" s="330"/>
      <c r="AN79" s="1659"/>
    </row>
    <row r="80" spans="1:40" s="596" customFormat="1" ht="52.2">
      <c r="A80" s="606" t="s">
        <v>718</v>
      </c>
      <c r="B80" s="5873" t="s">
        <v>719</v>
      </c>
      <c r="C80" s="5128">
        <f>D80+P80+AD80+AE80+AH80+AL80+AF80+AG80+AK80</f>
        <v>223316.56339799988</v>
      </c>
      <c r="D80" s="5971">
        <f>D81+D83+D85+D87+D91+D97+D100+D108</f>
        <v>0</v>
      </c>
      <c r="E80" s="5971">
        <f>E81+E83+E85+E87+E91+E97+E100+E108</f>
        <v>0</v>
      </c>
      <c r="F80" s="5971">
        <f>F81+F83+F85+F87+F91+F97+F100+F108</f>
        <v>0</v>
      </c>
      <c r="G80" s="5972"/>
      <c r="H80" s="5971">
        <f>H81+H83+H85+H87+H91+H97+H100+H108</f>
        <v>0</v>
      </c>
      <c r="I80" s="5972"/>
      <c r="J80" s="5971">
        <f>J81+J83+J85+J87+J91+J97+J100+J108</f>
        <v>0</v>
      </c>
      <c r="K80" s="5971">
        <f>K81+K83+K85+K87+K91+K97+K100+K108</f>
        <v>0</v>
      </c>
      <c r="L80" s="5971"/>
      <c r="M80" s="5971"/>
      <c r="N80" s="5971"/>
      <c r="O80" s="5971"/>
      <c r="P80" s="5966">
        <f>SUM(Q80:AC80)</f>
        <v>211256.56339799988</v>
      </c>
      <c r="Q80" s="5971">
        <f>SUM(Q81)</f>
        <v>15076.399999999907</v>
      </c>
      <c r="R80" s="5971">
        <f>SUM(R81:R83)</f>
        <v>0</v>
      </c>
      <c r="S80" s="5971">
        <f>SUM(S81:T85)</f>
        <v>0</v>
      </c>
      <c r="T80" s="5971">
        <f>SUM(T82:T85)</f>
        <v>0</v>
      </c>
      <c r="U80" s="5971">
        <f>SUM(U82:U89)</f>
        <v>0.25699999998323619</v>
      </c>
      <c r="V80" s="5971">
        <f>SUM(V82:V91)</f>
        <v>0</v>
      </c>
      <c r="W80" s="5971">
        <f>SUM(W82:W93)</f>
        <v>0</v>
      </c>
      <c r="X80" s="5971">
        <f>SUM(X82:X95)</f>
        <v>0</v>
      </c>
      <c r="Y80" s="5971">
        <f>SUM(Y82:Y97)</f>
        <v>9000</v>
      </c>
      <c r="Z80" s="5971">
        <f>SUM(Z81:Z100)</f>
        <v>157472.49299999996</v>
      </c>
      <c r="AA80" s="5971">
        <f>SUM(AA81:AA106)</f>
        <v>13652.513398000039</v>
      </c>
      <c r="AB80" s="5971">
        <f>SUM(AB81:AB108)</f>
        <v>0.10000000000582077</v>
      </c>
      <c r="AC80" s="5971">
        <f>SUM(AC82:AC111)</f>
        <v>16054.8</v>
      </c>
      <c r="AD80" s="5971">
        <f>SUM(AD82:AD113)</f>
        <v>0</v>
      </c>
      <c r="AE80" s="5971">
        <f>SUM(AE82:AE113)</f>
        <v>0</v>
      </c>
      <c r="AF80" s="5971">
        <f>SUM(AF82:AF113)</f>
        <v>0</v>
      </c>
      <c r="AG80" s="5971">
        <f>SUM(AG82:AG113)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6002">
        <f>SUM(AL82:AL113)</f>
        <v>0</v>
      </c>
      <c r="AM80" s="297"/>
      <c r="AN80" s="5997"/>
    </row>
    <row r="81" spans="1:40" s="380" customFormat="1">
      <c r="A81" s="611">
        <v>1</v>
      </c>
      <c r="B81" s="2881" t="s">
        <v>1696</v>
      </c>
      <c r="C81" s="5128">
        <f>+C82</f>
        <v>12636.937382673808</v>
      </c>
      <c r="D81" s="5971"/>
      <c r="E81" s="5971"/>
      <c r="F81" s="5971"/>
      <c r="G81" s="5972"/>
      <c r="H81" s="5971"/>
      <c r="I81" s="5972"/>
      <c r="J81" s="5971"/>
      <c r="K81" s="5971"/>
      <c r="L81" s="5971"/>
      <c r="M81" s="5971"/>
      <c r="N81" s="5971"/>
      <c r="O81" s="5971"/>
      <c r="P81" s="5117">
        <f>SUM(Q81:AC81)</f>
        <v>15076.399999999907</v>
      </c>
      <c r="Q81" s="5117">
        <f>+Q82+Q113</f>
        <v>15076.399999999907</v>
      </c>
      <c r="R81" s="5971"/>
      <c r="S81" s="5971"/>
      <c r="T81" s="5971"/>
      <c r="U81" s="5971"/>
      <c r="V81" s="5971"/>
      <c r="W81" s="5971"/>
      <c r="X81" s="5971"/>
      <c r="Y81" s="5971"/>
      <c r="Z81" s="5971"/>
      <c r="AA81" s="5971"/>
      <c r="AB81" s="5971"/>
      <c r="AC81" s="5971"/>
      <c r="AD81" s="5971"/>
      <c r="AE81" s="5971"/>
      <c r="AF81" s="5971"/>
      <c r="AG81" s="5971"/>
      <c r="AH81" s="5971">
        <f>+AH82</f>
        <v>0</v>
      </c>
      <c r="AI81" s="5971">
        <f>+AI82</f>
        <v>0</v>
      </c>
      <c r="AJ81" s="5971">
        <f>+AJ82</f>
        <v>0</v>
      </c>
      <c r="AK81" s="5971"/>
      <c r="AL81" s="6010"/>
      <c r="AM81" s="330"/>
      <c r="AN81" s="1659"/>
    </row>
    <row r="82" spans="1:40" s="617" customFormat="1" ht="36">
      <c r="A82" s="614" t="s">
        <v>99</v>
      </c>
      <c r="B82" s="5874" t="str">
        <f>+B84</f>
        <v>Trong đó; Một số nhiệm vụ chi phải báo cáo cấp có thẩm quyền xem xét, quyết định cho phép thực hiện</v>
      </c>
      <c r="C82" s="5960">
        <f>D82+P82+AD82+AE82+AH82+AL82+AF82+AG82+AK82+AM82</f>
        <v>12636.937382673808</v>
      </c>
      <c r="D82" s="5960">
        <f>SUM(E82:K82)</f>
        <v>0</v>
      </c>
      <c r="E82" s="2625"/>
      <c r="F82" s="2625"/>
      <c r="G82" s="2625"/>
      <c r="H82" s="2625"/>
      <c r="I82" s="2625"/>
      <c r="J82" s="2625"/>
      <c r="K82" s="2625"/>
      <c r="L82" s="2625"/>
      <c r="M82" s="2625"/>
      <c r="N82" s="2625"/>
      <c r="O82" s="2625"/>
      <c r="P82" s="629">
        <f t="shared" ref="P82:P84" si="37">SUM(Q82:AC82)</f>
        <v>12636.937382673808</v>
      </c>
      <c r="Q82" s="629">
        <f>1106750-Q12-Q44-Q59-Q113+16000-4374-11726</f>
        <v>12636.937382673808</v>
      </c>
      <c r="R82" s="629"/>
      <c r="S82" s="2625"/>
      <c r="T82" s="2625"/>
      <c r="U82" s="2625"/>
      <c r="V82" s="629"/>
      <c r="W82" s="2625"/>
      <c r="X82" s="2625"/>
      <c r="Y82" s="2625"/>
      <c r="Z82" s="2625"/>
      <c r="AA82" s="2625"/>
      <c r="AB82" s="2625"/>
      <c r="AC82" s="2625"/>
      <c r="AD82" s="2625"/>
      <c r="AE82" s="2625"/>
      <c r="AF82" s="2625"/>
      <c r="AG82" s="2625"/>
      <c r="AH82" s="629">
        <f>SUM(AI82:AJ82)</f>
        <v>0</v>
      </c>
      <c r="AI82" s="2625"/>
      <c r="AJ82" s="5122">
        <f>+'Phụ lục số 6'!E31-'Phụ lục số 6'!E31</f>
        <v>0</v>
      </c>
      <c r="AK82" s="2625"/>
      <c r="AL82" s="2625"/>
      <c r="AM82" s="2625"/>
      <c r="AN82" s="6012"/>
    </row>
    <row r="83" spans="1:40" s="380" customFormat="1">
      <c r="A83" s="611">
        <v>2</v>
      </c>
      <c r="B83" s="2890" t="s">
        <v>1697</v>
      </c>
      <c r="C83" s="5120">
        <f t="shared" ref="C83:C97" si="38">D83+P83+AD83+AE83+AH83+AL83+AF83+AG83+AK83</f>
        <v>0</v>
      </c>
      <c r="D83" s="330">
        <f t="shared" ref="D83:D84" si="39">SUM(E83:J83)</f>
        <v>0</v>
      </c>
      <c r="E83" s="330"/>
      <c r="F83" s="330"/>
      <c r="G83" s="5126"/>
      <c r="H83" s="330"/>
      <c r="I83" s="5126"/>
      <c r="J83" s="330"/>
      <c r="K83" s="330"/>
      <c r="L83" s="330"/>
      <c r="M83" s="330"/>
      <c r="N83" s="330"/>
      <c r="O83" s="330"/>
      <c r="P83" s="5117">
        <f t="shared" si="37"/>
        <v>0</v>
      </c>
      <c r="Q83" s="5117"/>
      <c r="R83" s="1658">
        <f>+R84+S113</f>
        <v>0</v>
      </c>
      <c r="S83" s="329"/>
      <c r="T83" s="330"/>
      <c r="U83" s="330"/>
      <c r="V83" s="5117"/>
      <c r="W83" s="330"/>
      <c r="X83" s="330"/>
      <c r="Y83" s="330"/>
      <c r="Z83" s="330"/>
      <c r="AA83" s="330"/>
      <c r="AB83" s="330"/>
      <c r="AC83" s="330"/>
      <c r="AD83" s="330"/>
      <c r="AE83" s="330"/>
      <c r="AF83" s="330"/>
      <c r="AG83" s="330"/>
      <c r="AH83" s="5117"/>
      <c r="AI83" s="330"/>
      <c r="AJ83" s="330"/>
      <c r="AK83" s="330"/>
      <c r="AL83" s="330"/>
      <c r="AM83" s="330"/>
      <c r="AN83" s="1659"/>
    </row>
    <row r="84" spans="1:40" s="617" customFormat="1" ht="36">
      <c r="A84" s="620"/>
      <c r="B84" s="5874" t="str">
        <f>+B86</f>
        <v>Trong đó; Một số nhiệm vụ chi phải báo cáo cấp có thẩm quyền xem xét, quyết định cho phép thực hiện</v>
      </c>
      <c r="C84" s="5960">
        <f>D84+P84+AD84+AE84+AH84+AL84+AF84+AG84+AK84+AM84</f>
        <v>0</v>
      </c>
      <c r="D84" s="2625">
        <f t="shared" si="39"/>
        <v>0</v>
      </c>
      <c r="E84" s="2625"/>
      <c r="F84" s="2625"/>
      <c r="G84" s="2625"/>
      <c r="H84" s="2625"/>
      <c r="I84" s="2625"/>
      <c r="J84" s="2625"/>
      <c r="K84" s="2625"/>
      <c r="L84" s="2625"/>
      <c r="M84" s="2625"/>
      <c r="N84" s="2625"/>
      <c r="O84" s="2625"/>
      <c r="P84" s="629">
        <f t="shared" si="37"/>
        <v>0</v>
      </c>
      <c r="Q84" s="629"/>
      <c r="R84" s="5123">
        <f>31307-R12-R44-R59-R63-R113</f>
        <v>0</v>
      </c>
      <c r="S84" s="629"/>
      <c r="T84" s="2625"/>
      <c r="U84" s="2625"/>
      <c r="V84" s="629"/>
      <c r="W84" s="2625"/>
      <c r="X84" s="2625"/>
      <c r="Y84" s="2625"/>
      <c r="Z84" s="2625"/>
      <c r="AA84" s="2625"/>
      <c r="AB84" s="2625"/>
      <c r="AC84" s="2625"/>
      <c r="AD84" s="2625"/>
      <c r="AE84" s="2625"/>
      <c r="AF84" s="2625"/>
      <c r="AG84" s="2625"/>
      <c r="AH84" s="629"/>
      <c r="AI84" s="2625"/>
      <c r="AJ84" s="2625"/>
      <c r="AK84" s="2625"/>
      <c r="AL84" s="2625"/>
      <c r="AM84" s="2625"/>
      <c r="AN84" s="6012"/>
    </row>
    <row r="85" spans="1:40" s="621" customFormat="1">
      <c r="A85" s="611">
        <v>3</v>
      </c>
      <c r="B85" s="5875" t="str">
        <f>+S9</f>
        <v>Chi quốc phòng; An ninh và trật tư an toàn xã hội</v>
      </c>
      <c r="C85" s="5120">
        <f t="shared" si="38"/>
        <v>0</v>
      </c>
      <c r="D85" s="5126"/>
      <c r="E85" s="5126"/>
      <c r="F85" s="5126"/>
      <c r="G85" s="5126"/>
      <c r="H85" s="5126"/>
      <c r="I85" s="5126"/>
      <c r="J85" s="5126"/>
      <c r="K85" s="5126"/>
      <c r="L85" s="5126"/>
      <c r="M85" s="5126"/>
      <c r="N85" s="5126"/>
      <c r="O85" s="5126"/>
      <c r="P85" s="5116">
        <f t="shared" ref="P85:P110" si="40">SUM(R85:AC85)</f>
        <v>0</v>
      </c>
      <c r="Q85" s="5116"/>
      <c r="R85" s="5116"/>
      <c r="S85" s="1658">
        <f>+S86+S113</f>
        <v>0</v>
      </c>
      <c r="T85" s="5116">
        <f>T86</f>
        <v>0</v>
      </c>
      <c r="U85" s="5126"/>
      <c r="V85" s="5116"/>
      <c r="W85" s="5126"/>
      <c r="X85" s="5126"/>
      <c r="Y85" s="5126"/>
      <c r="Z85" s="5126"/>
      <c r="AA85" s="5126"/>
      <c r="AB85" s="5126"/>
      <c r="AC85" s="5126"/>
      <c r="AD85" s="5126"/>
      <c r="AE85" s="5126"/>
      <c r="AF85" s="5126"/>
      <c r="AG85" s="5126"/>
      <c r="AH85" s="5116"/>
      <c r="AI85" s="5126"/>
      <c r="AJ85" s="5126"/>
      <c r="AK85" s="5126"/>
      <c r="AL85" s="5126"/>
      <c r="AM85" s="5126"/>
      <c r="AN85" s="6013"/>
    </row>
    <row r="86" spans="1:40" s="617" customFormat="1" ht="36">
      <c r="A86" s="614"/>
      <c r="B86" s="5874" t="str">
        <f>+B90</f>
        <v>Trong đó; Một số nhiệm vụ chi phải báo cáo cấp có thẩm quyền xem xét, quyết định cho phép thực hiện</v>
      </c>
      <c r="C86" s="5120">
        <f>D86+P86+AD86+AE86+AH86+AL86+AF86+AG86+AK86+AM86</f>
        <v>0</v>
      </c>
      <c r="D86" s="2625"/>
      <c r="E86" s="2625"/>
      <c r="F86" s="2625"/>
      <c r="G86" s="2625"/>
      <c r="H86" s="2625"/>
      <c r="I86" s="2625"/>
      <c r="J86" s="2625"/>
      <c r="K86" s="2625"/>
      <c r="L86" s="2625"/>
      <c r="M86" s="2625"/>
      <c r="N86" s="2625"/>
      <c r="O86" s="2625"/>
      <c r="P86" s="629">
        <f t="shared" si="40"/>
        <v>0</v>
      </c>
      <c r="Q86" s="629"/>
      <c r="R86" s="629"/>
      <c r="S86" s="5122">
        <f>150000-S12-S44-S59-S113</f>
        <v>0</v>
      </c>
      <c r="T86" s="5122"/>
      <c r="U86" s="2625"/>
      <c r="V86" s="629"/>
      <c r="W86" s="2625"/>
      <c r="X86" s="2625"/>
      <c r="Y86" s="2625"/>
      <c r="Z86" s="2625"/>
      <c r="AA86" s="2625"/>
      <c r="AB86" s="2625"/>
      <c r="AC86" s="2625"/>
      <c r="AD86" s="2625"/>
      <c r="AE86" s="2625"/>
      <c r="AF86" s="2625"/>
      <c r="AG86" s="2625"/>
      <c r="AH86" s="629"/>
      <c r="AI86" s="2625"/>
      <c r="AJ86" s="2625"/>
      <c r="AK86" s="2625"/>
      <c r="AL86" s="2625"/>
      <c r="AM86" s="2625"/>
      <c r="AN86" s="6012"/>
    </row>
    <row r="87" spans="1:40" s="5111" customFormat="1" hidden="1">
      <c r="A87" s="622">
        <v>4</v>
      </c>
      <c r="B87" s="5876" t="s">
        <v>1787</v>
      </c>
      <c r="C87" s="5120">
        <f t="shared" si="38"/>
        <v>0</v>
      </c>
      <c r="D87" s="330"/>
      <c r="E87" s="330"/>
      <c r="F87" s="330"/>
      <c r="G87" s="5126"/>
      <c r="H87" s="330"/>
      <c r="I87" s="5126"/>
      <c r="J87" s="330"/>
      <c r="K87" s="330"/>
      <c r="L87" s="330"/>
      <c r="M87" s="330"/>
      <c r="N87" s="330"/>
      <c r="O87" s="330"/>
      <c r="P87" s="5116">
        <f>SUM(R87:AC87)</f>
        <v>0</v>
      </c>
      <c r="Q87" s="5116"/>
      <c r="R87" s="5117"/>
      <c r="S87" s="330"/>
      <c r="T87" s="329"/>
      <c r="U87" s="5117">
        <f>U88</f>
        <v>0</v>
      </c>
      <c r="V87" s="5117">
        <f t="shared" ref="V87:AJ87" si="41">V88</f>
        <v>0</v>
      </c>
      <c r="W87" s="5117"/>
      <c r="X87" s="5117"/>
      <c r="Y87" s="5117"/>
      <c r="Z87" s="5117"/>
      <c r="AA87" s="5117"/>
      <c r="AB87" s="5117"/>
      <c r="AC87" s="5117"/>
      <c r="AD87" s="5117">
        <f t="shared" si="41"/>
        <v>0</v>
      </c>
      <c r="AE87" s="5117">
        <f t="shared" si="41"/>
        <v>0</v>
      </c>
      <c r="AF87" s="5117">
        <f t="shared" si="41"/>
        <v>0</v>
      </c>
      <c r="AG87" s="5117">
        <f t="shared" si="41"/>
        <v>0</v>
      </c>
      <c r="AH87" s="5117">
        <f t="shared" si="41"/>
        <v>0</v>
      </c>
      <c r="AI87" s="5117">
        <f t="shared" si="41"/>
        <v>0</v>
      </c>
      <c r="AJ87" s="5117">
        <f t="shared" si="41"/>
        <v>0</v>
      </c>
      <c r="AK87" s="5117"/>
      <c r="AL87" s="330"/>
      <c r="AM87" s="330"/>
      <c r="AN87" s="1659"/>
    </row>
    <row r="88" spans="1:40" s="624" customFormat="1" hidden="1">
      <c r="A88" s="625"/>
      <c r="B88" s="5877"/>
      <c r="C88" s="5120">
        <f t="shared" si="38"/>
        <v>0</v>
      </c>
      <c r="D88" s="2625"/>
      <c r="E88" s="2625"/>
      <c r="F88" s="2625"/>
      <c r="G88" s="2625"/>
      <c r="H88" s="2625"/>
      <c r="I88" s="2625"/>
      <c r="J88" s="2625"/>
      <c r="K88" s="2625"/>
      <c r="L88" s="2625"/>
      <c r="M88" s="2625"/>
      <c r="N88" s="2625"/>
      <c r="O88" s="2625"/>
      <c r="P88" s="629">
        <f t="shared" si="40"/>
        <v>0</v>
      </c>
      <c r="Q88" s="629"/>
      <c r="R88" s="629"/>
      <c r="S88" s="2625"/>
      <c r="T88" s="5122"/>
      <c r="U88" s="629"/>
      <c r="V88" s="629"/>
      <c r="W88" s="2625"/>
      <c r="X88" s="2625"/>
      <c r="Y88" s="2625"/>
      <c r="Z88" s="2625"/>
      <c r="AA88" s="2625"/>
      <c r="AB88" s="2625"/>
      <c r="AC88" s="2625"/>
      <c r="AD88" s="2625"/>
      <c r="AE88" s="2625"/>
      <c r="AF88" s="2625"/>
      <c r="AG88" s="2625"/>
      <c r="AH88" s="629">
        <f t="shared" ref="AH88:AH124" si="42">SUM(AI88:AJ88)</f>
        <v>0</v>
      </c>
      <c r="AI88" s="2625"/>
      <c r="AJ88" s="5122"/>
      <c r="AK88" s="5122"/>
      <c r="AL88" s="2625"/>
      <c r="AM88" s="2625"/>
      <c r="AN88" s="6012"/>
    </row>
    <row r="89" spans="1:40" s="4598" customFormat="1">
      <c r="A89" s="611">
        <v>4</v>
      </c>
      <c r="B89" s="5878" t="s">
        <v>1788</v>
      </c>
      <c r="C89" s="5128">
        <f t="shared" si="38"/>
        <v>0.25699999998323619</v>
      </c>
      <c r="D89" s="330"/>
      <c r="E89" s="330"/>
      <c r="F89" s="330"/>
      <c r="G89" s="5126"/>
      <c r="H89" s="330"/>
      <c r="I89" s="5126"/>
      <c r="J89" s="330"/>
      <c r="K89" s="330"/>
      <c r="L89" s="330"/>
      <c r="M89" s="330"/>
      <c r="N89" s="330"/>
      <c r="O89" s="330"/>
      <c r="P89" s="5117">
        <f>SUM(R89:AC89)</f>
        <v>0.25699999998323619</v>
      </c>
      <c r="Q89" s="5117"/>
      <c r="R89" s="5117"/>
      <c r="S89" s="330"/>
      <c r="T89" s="329"/>
      <c r="U89" s="5117">
        <f>U90</f>
        <v>0.25699999998323619</v>
      </c>
      <c r="V89" s="5117"/>
      <c r="W89" s="330"/>
      <c r="X89" s="330"/>
      <c r="Y89" s="330"/>
      <c r="Z89" s="330"/>
      <c r="AA89" s="330"/>
      <c r="AB89" s="330"/>
      <c r="AC89" s="330"/>
      <c r="AD89" s="330"/>
      <c r="AE89" s="330"/>
      <c r="AF89" s="330"/>
      <c r="AG89" s="330"/>
      <c r="AH89" s="5117">
        <f>+AI89+AJ89</f>
        <v>0</v>
      </c>
      <c r="AI89" s="330">
        <f>+AI90</f>
        <v>0</v>
      </c>
      <c r="AJ89" s="329">
        <f>+AJ90</f>
        <v>0</v>
      </c>
      <c r="AK89" s="329"/>
      <c r="AL89" s="330"/>
      <c r="AM89" s="330"/>
      <c r="AN89" s="1659"/>
    </row>
    <row r="90" spans="1:40" s="624" customFormat="1" ht="36">
      <c r="A90" s="625"/>
      <c r="B90" s="5874" t="s">
        <v>3215</v>
      </c>
      <c r="C90" s="5960">
        <f>D90+P90+AD90+AE90+AH90+AL90+AF90+AG90+AK90+AM90</f>
        <v>0.25699999998323619</v>
      </c>
      <c r="D90" s="2625"/>
      <c r="E90" s="2625"/>
      <c r="F90" s="2625"/>
      <c r="G90" s="2625"/>
      <c r="H90" s="2625"/>
      <c r="I90" s="2625"/>
      <c r="J90" s="2625"/>
      <c r="K90" s="2625"/>
      <c r="L90" s="2625"/>
      <c r="M90" s="2625"/>
      <c r="N90" s="2625"/>
      <c r="O90" s="2625"/>
      <c r="P90" s="629">
        <f>SUM(R90:AC90)</f>
        <v>0.25699999998323619</v>
      </c>
      <c r="Q90" s="629"/>
      <c r="R90" s="629"/>
      <c r="S90" s="2625"/>
      <c r="T90" s="5122"/>
      <c r="U90" s="629">
        <f>997261-U12-U44-U59-U113-U63</f>
        <v>0.25699999998323619</v>
      </c>
      <c r="V90" s="629"/>
      <c r="W90" s="2625"/>
      <c r="X90" s="2625"/>
      <c r="Y90" s="2625"/>
      <c r="Z90" s="2625"/>
      <c r="AA90" s="2625"/>
      <c r="AB90" s="2625"/>
      <c r="AC90" s="2625"/>
      <c r="AD90" s="2625"/>
      <c r="AE90" s="2625"/>
      <c r="AF90" s="2625"/>
      <c r="AG90" s="2625"/>
      <c r="AH90" s="629">
        <f>+AI90+AJ90</f>
        <v>0</v>
      </c>
      <c r="AI90" s="2625"/>
      <c r="AJ90" s="5122"/>
      <c r="AK90" s="5122"/>
      <c r="AL90" s="2625"/>
      <c r="AM90" s="2625"/>
      <c r="AN90" s="6012"/>
    </row>
    <row r="91" spans="1:40" s="380" customFormat="1">
      <c r="A91" s="611">
        <v>5</v>
      </c>
      <c r="B91" s="5878" t="s">
        <v>1789</v>
      </c>
      <c r="C91" s="5120">
        <f t="shared" si="38"/>
        <v>0</v>
      </c>
      <c r="D91" s="330"/>
      <c r="E91" s="330"/>
      <c r="F91" s="330"/>
      <c r="G91" s="5126"/>
      <c r="H91" s="330"/>
      <c r="I91" s="5126"/>
      <c r="J91" s="330"/>
      <c r="K91" s="330"/>
      <c r="L91" s="330"/>
      <c r="M91" s="330"/>
      <c r="N91" s="330"/>
      <c r="O91" s="330"/>
      <c r="P91" s="629">
        <f t="shared" si="40"/>
        <v>0</v>
      </c>
      <c r="Q91" s="629"/>
      <c r="R91" s="5117"/>
      <c r="S91" s="330"/>
      <c r="T91" s="329"/>
      <c r="U91" s="5117"/>
      <c r="V91" s="6014">
        <f>V92</f>
        <v>0</v>
      </c>
      <c r="W91" s="5117"/>
      <c r="X91" s="330"/>
      <c r="Y91" s="330"/>
      <c r="Z91" s="330"/>
      <c r="AA91" s="330"/>
      <c r="AB91" s="330"/>
      <c r="AC91" s="330"/>
      <c r="AD91" s="330"/>
      <c r="AE91" s="330"/>
      <c r="AF91" s="330"/>
      <c r="AG91" s="330"/>
      <c r="AH91" s="5117"/>
      <c r="AI91" s="330"/>
      <c r="AJ91" s="329"/>
      <c r="AK91" s="329"/>
      <c r="AL91" s="330"/>
      <c r="AM91" s="330"/>
      <c r="AN91" s="1659"/>
    </row>
    <row r="92" spans="1:40" s="617" customFormat="1" ht="36">
      <c r="A92" s="614" t="s">
        <v>99</v>
      </c>
      <c r="B92" s="5874" t="s">
        <v>3215</v>
      </c>
      <c r="C92" s="5120">
        <f>D92+P92+AD92+AE92+AH92+AL92+AF92+AG92+AK92+AM92</f>
        <v>0</v>
      </c>
      <c r="D92" s="2625"/>
      <c r="E92" s="2625"/>
      <c r="F92" s="2625"/>
      <c r="G92" s="2625"/>
      <c r="H92" s="2625"/>
      <c r="I92" s="2625"/>
      <c r="J92" s="2625"/>
      <c r="K92" s="2625"/>
      <c r="L92" s="2625"/>
      <c r="M92" s="2625"/>
      <c r="N92" s="2625"/>
      <c r="O92" s="2625"/>
      <c r="P92" s="629">
        <f>SUM(R92:AC92)</f>
        <v>0</v>
      </c>
      <c r="Q92" s="629"/>
      <c r="R92" s="629"/>
      <c r="S92" s="2625"/>
      <c r="T92" s="5122"/>
      <c r="U92" s="629"/>
      <c r="V92" s="6015">
        <f>55631-V12-V44-V59-V63-V113</f>
        <v>0</v>
      </c>
      <c r="W92" s="5122"/>
      <c r="X92" s="2625"/>
      <c r="Y92" s="2625"/>
      <c r="Z92" s="2625"/>
      <c r="AA92" s="2625"/>
      <c r="AB92" s="2625"/>
      <c r="AC92" s="2625"/>
      <c r="AD92" s="2625"/>
      <c r="AE92" s="2625"/>
      <c r="AF92" s="2625"/>
      <c r="AG92" s="2625"/>
      <c r="AH92" s="629"/>
      <c r="AI92" s="2625"/>
      <c r="AJ92" s="5122"/>
      <c r="AK92" s="5122"/>
      <c r="AL92" s="2625"/>
      <c r="AM92" s="2625"/>
      <c r="AN92" s="6012"/>
    </row>
    <row r="93" spans="1:40" s="624" customFormat="1">
      <c r="A93" s="622">
        <v>6</v>
      </c>
      <c r="B93" s="5876" t="s">
        <v>1790</v>
      </c>
      <c r="C93" s="5120">
        <f t="shared" si="38"/>
        <v>0</v>
      </c>
      <c r="D93" s="2625"/>
      <c r="E93" s="2625"/>
      <c r="F93" s="2625"/>
      <c r="G93" s="2625"/>
      <c r="H93" s="2625"/>
      <c r="I93" s="2625"/>
      <c r="J93" s="2625"/>
      <c r="K93" s="2625"/>
      <c r="L93" s="2625"/>
      <c r="M93" s="2625"/>
      <c r="N93" s="2625"/>
      <c r="O93" s="2625"/>
      <c r="P93" s="629"/>
      <c r="Q93" s="629"/>
      <c r="R93" s="629"/>
      <c r="S93" s="2625"/>
      <c r="T93" s="5122"/>
      <c r="U93" s="629"/>
      <c r="V93" s="629"/>
      <c r="W93" s="329">
        <f>W94</f>
        <v>0</v>
      </c>
      <c r="X93" s="330"/>
      <c r="Y93" s="2625"/>
      <c r="Z93" s="2625"/>
      <c r="AA93" s="2625"/>
      <c r="AB93" s="2625"/>
      <c r="AC93" s="2625"/>
      <c r="AD93" s="2625"/>
      <c r="AE93" s="2625"/>
      <c r="AF93" s="2625"/>
      <c r="AG93" s="2625"/>
      <c r="AH93" s="629"/>
      <c r="AI93" s="2625"/>
      <c r="AJ93" s="5122"/>
      <c r="AK93" s="5122"/>
      <c r="AL93" s="2625"/>
      <c r="AM93" s="2625"/>
      <c r="AN93" s="6012"/>
    </row>
    <row r="94" spans="1:40" s="624" customFormat="1" ht="36">
      <c r="A94" s="625" t="s">
        <v>99</v>
      </c>
      <c r="B94" s="5874" t="s">
        <v>3215</v>
      </c>
      <c r="C94" s="5960">
        <f>D94+P94+AD94+AE94+AH94+AL94+AF94+AG94+AK94+AM94</f>
        <v>0</v>
      </c>
      <c r="D94" s="2625"/>
      <c r="E94" s="2625"/>
      <c r="F94" s="2625"/>
      <c r="G94" s="2625"/>
      <c r="H94" s="2625"/>
      <c r="I94" s="2625"/>
      <c r="J94" s="2625"/>
      <c r="K94" s="2625"/>
      <c r="L94" s="2625"/>
      <c r="M94" s="2625"/>
      <c r="N94" s="2625"/>
      <c r="O94" s="2625"/>
      <c r="P94" s="629"/>
      <c r="Q94" s="629"/>
      <c r="R94" s="629"/>
      <c r="S94" s="2625"/>
      <c r="T94" s="5122"/>
      <c r="U94" s="629"/>
      <c r="V94" s="629"/>
      <c r="W94" s="5122">
        <f>32394-W12-W44-W59-W63-W113</f>
        <v>0</v>
      </c>
      <c r="X94" s="629"/>
      <c r="Y94" s="2625"/>
      <c r="Z94" s="2625"/>
      <c r="AA94" s="2625"/>
      <c r="AB94" s="2625"/>
      <c r="AC94" s="2625"/>
      <c r="AD94" s="2625"/>
      <c r="AE94" s="2625"/>
      <c r="AF94" s="2625"/>
      <c r="AG94" s="2625"/>
      <c r="AH94" s="629"/>
      <c r="AI94" s="2625"/>
      <c r="AJ94" s="5122"/>
      <c r="AK94" s="5122"/>
      <c r="AL94" s="2625"/>
      <c r="AM94" s="2625"/>
      <c r="AN94" s="6012"/>
    </row>
    <row r="95" spans="1:40" s="5111" customFormat="1">
      <c r="A95" s="622">
        <v>7</v>
      </c>
      <c r="B95" s="5876" t="s">
        <v>1791</v>
      </c>
      <c r="C95" s="5128">
        <f t="shared" si="38"/>
        <v>0</v>
      </c>
      <c r="D95" s="330"/>
      <c r="E95" s="330"/>
      <c r="F95" s="330"/>
      <c r="G95" s="5126"/>
      <c r="H95" s="330"/>
      <c r="I95" s="5126"/>
      <c r="J95" s="330"/>
      <c r="K95" s="330"/>
      <c r="L95" s="330"/>
      <c r="M95" s="330"/>
      <c r="N95" s="330"/>
      <c r="O95" s="330"/>
      <c r="P95" s="5117"/>
      <c r="Q95" s="5117"/>
      <c r="R95" s="5117"/>
      <c r="S95" s="330"/>
      <c r="T95" s="329"/>
      <c r="U95" s="5117"/>
      <c r="V95" s="5117"/>
      <c r="W95" s="329"/>
      <c r="X95" s="329">
        <f>X96</f>
        <v>0</v>
      </c>
      <c r="Y95" s="6016"/>
      <c r="Z95" s="330"/>
      <c r="AA95" s="330"/>
      <c r="AB95" s="330"/>
      <c r="AC95" s="330"/>
      <c r="AD95" s="330"/>
      <c r="AE95" s="330"/>
      <c r="AF95" s="330"/>
      <c r="AG95" s="330"/>
      <c r="AH95" s="5117"/>
      <c r="AI95" s="330"/>
      <c r="AJ95" s="329"/>
      <c r="AK95" s="329"/>
      <c r="AL95" s="330"/>
      <c r="AM95" s="330"/>
      <c r="AN95" s="1659"/>
    </row>
    <row r="96" spans="1:40" s="624" customFormat="1" ht="36">
      <c r="A96" s="625" t="s">
        <v>99</v>
      </c>
      <c r="B96" s="5874" t="s">
        <v>3215</v>
      </c>
      <c r="C96" s="5960">
        <f>D96+P96+AD96+AE96+AH96+AL96+AF96+AG96+AK96+AM96</f>
        <v>0</v>
      </c>
      <c r="D96" s="2625"/>
      <c r="E96" s="2625"/>
      <c r="F96" s="2625"/>
      <c r="G96" s="2625"/>
      <c r="H96" s="2625"/>
      <c r="I96" s="2625"/>
      <c r="J96" s="2625"/>
      <c r="K96" s="2625"/>
      <c r="L96" s="2625"/>
      <c r="M96" s="2625"/>
      <c r="N96" s="2625"/>
      <c r="O96" s="2625"/>
      <c r="P96" s="629"/>
      <c r="Q96" s="629"/>
      <c r="R96" s="629"/>
      <c r="S96" s="2625"/>
      <c r="T96" s="5122"/>
      <c r="U96" s="629"/>
      <c r="V96" s="629"/>
      <c r="W96" s="5122"/>
      <c r="X96" s="5122">
        <f>23615-X12-X44-X59-X63-X113</f>
        <v>0</v>
      </c>
      <c r="Y96" s="6017"/>
      <c r="Z96" s="2625"/>
      <c r="AA96" s="2625"/>
      <c r="AB96" s="2625"/>
      <c r="AC96" s="2625"/>
      <c r="AD96" s="2625"/>
      <c r="AE96" s="2625"/>
      <c r="AF96" s="2625"/>
      <c r="AG96" s="2625"/>
      <c r="AH96" s="629"/>
      <c r="AI96" s="2625"/>
      <c r="AJ96" s="5122"/>
      <c r="AK96" s="5122"/>
      <c r="AL96" s="2625"/>
      <c r="AM96" s="2625"/>
      <c r="AN96" s="6012"/>
    </row>
    <row r="97" spans="1:51" s="380" customFormat="1">
      <c r="A97" s="611">
        <v>8</v>
      </c>
      <c r="B97" s="5879" t="s">
        <v>1792</v>
      </c>
      <c r="C97" s="5120">
        <f t="shared" si="38"/>
        <v>9000</v>
      </c>
      <c r="D97" s="330"/>
      <c r="E97" s="330"/>
      <c r="F97" s="330"/>
      <c r="G97" s="5126"/>
      <c r="H97" s="330"/>
      <c r="I97" s="5126"/>
      <c r="J97" s="330"/>
      <c r="K97" s="330"/>
      <c r="L97" s="330"/>
      <c r="M97" s="330"/>
      <c r="N97" s="330"/>
      <c r="O97" s="330"/>
      <c r="P97" s="5117">
        <f t="shared" si="40"/>
        <v>9000</v>
      </c>
      <c r="Q97" s="5117"/>
      <c r="R97" s="5117"/>
      <c r="S97" s="330"/>
      <c r="T97" s="329"/>
      <c r="U97" s="5117"/>
      <c r="V97" s="5117"/>
      <c r="W97" s="329"/>
      <c r="X97" s="297"/>
      <c r="Y97" s="329">
        <f>Y99+Y98</f>
        <v>9000</v>
      </c>
      <c r="Z97" s="6010">
        <f>SUM(Z99:Z99)</f>
        <v>0</v>
      </c>
      <c r="AA97" s="330"/>
      <c r="AB97" s="330"/>
      <c r="AC97" s="330"/>
      <c r="AD97" s="330"/>
      <c r="AE97" s="330"/>
      <c r="AF97" s="330"/>
      <c r="AG97" s="330"/>
      <c r="AH97" s="5117"/>
      <c r="AI97" s="330"/>
      <c r="AJ97" s="329"/>
      <c r="AK97" s="329"/>
      <c r="AL97" s="330"/>
      <c r="AM97" s="330"/>
      <c r="AN97" s="1659"/>
    </row>
    <row r="98" spans="1:51" s="621" customFormat="1" ht="54">
      <c r="A98" s="620" t="s">
        <v>99</v>
      </c>
      <c r="B98" s="5895" t="s">
        <v>1844</v>
      </c>
      <c r="C98" s="5960"/>
      <c r="D98" s="5126"/>
      <c r="E98" s="5126"/>
      <c r="F98" s="5126"/>
      <c r="G98" s="5126"/>
      <c r="H98" s="5126"/>
      <c r="I98" s="5126"/>
      <c r="J98" s="5126"/>
      <c r="K98" s="5126"/>
      <c r="L98" s="5126"/>
      <c r="M98" s="5126"/>
      <c r="N98" s="5126"/>
      <c r="O98" s="5126"/>
      <c r="P98" s="5116"/>
      <c r="Q98" s="5116"/>
      <c r="R98" s="5116"/>
      <c r="S98" s="5126"/>
      <c r="T98" s="5125"/>
      <c r="U98" s="5116"/>
      <c r="V98" s="5116"/>
      <c r="W98" s="5125"/>
      <c r="X98" s="6018"/>
      <c r="Y98" s="5122">
        <f>8000+1000</f>
        <v>9000</v>
      </c>
      <c r="Z98" s="6019"/>
      <c r="AA98" s="5126"/>
      <c r="AB98" s="5126"/>
      <c r="AC98" s="5126"/>
      <c r="AD98" s="5126"/>
      <c r="AE98" s="5126"/>
      <c r="AF98" s="5126"/>
      <c r="AG98" s="5126"/>
      <c r="AH98" s="5116"/>
      <c r="AI98" s="5126"/>
      <c r="AJ98" s="5125"/>
      <c r="AK98" s="5125"/>
      <c r="AL98" s="5126"/>
      <c r="AM98" s="5126"/>
      <c r="AN98" s="6013"/>
    </row>
    <row r="99" spans="1:51" s="617" customFormat="1" ht="36">
      <c r="A99" s="614" t="s">
        <v>101</v>
      </c>
      <c r="B99" s="5874" t="s">
        <v>3215</v>
      </c>
      <c r="C99" s="5960">
        <f>D99+P99+AD99+AE99+AH99+AL99+AF99+AG99+AK99+AM99</f>
        <v>0</v>
      </c>
      <c r="D99" s="2625">
        <f t="shared" si="21"/>
        <v>0</v>
      </c>
      <c r="E99" s="2625"/>
      <c r="F99" s="2625"/>
      <c r="G99" s="2625"/>
      <c r="H99" s="2625"/>
      <c r="I99" s="2625"/>
      <c r="J99" s="2625"/>
      <c r="K99" s="2625"/>
      <c r="L99" s="2625"/>
      <c r="M99" s="2625"/>
      <c r="N99" s="2625"/>
      <c r="O99" s="2625"/>
      <c r="P99" s="629">
        <f>SUM(Q99:AC99)</f>
        <v>0</v>
      </c>
      <c r="Q99" s="629"/>
      <c r="R99" s="2625"/>
      <c r="S99" s="2625"/>
      <c r="T99" s="2625"/>
      <c r="U99" s="2625"/>
      <c r="V99" s="629"/>
      <c r="W99" s="2625"/>
      <c r="X99" s="6018"/>
      <c r="Y99" s="5122">
        <f>87389-Y12-Y44-Y59-Y63-Y113-Y98+1000</f>
        <v>0</v>
      </c>
      <c r="Z99" s="629"/>
      <c r="AA99" s="2625"/>
      <c r="AB99" s="2625"/>
      <c r="AC99" s="2625"/>
      <c r="AD99" s="2625"/>
      <c r="AE99" s="2625"/>
      <c r="AF99" s="2625"/>
      <c r="AG99" s="2625"/>
      <c r="AH99" s="629">
        <f t="shared" si="42"/>
        <v>0</v>
      </c>
      <c r="AI99" s="2625"/>
      <c r="AJ99" s="2625"/>
      <c r="AK99" s="2625"/>
      <c r="AL99" s="2625"/>
      <c r="AM99" s="2625"/>
      <c r="AN99" s="6012"/>
    </row>
    <row r="100" spans="1:51" s="380" customFormat="1">
      <c r="A100" s="611">
        <v>9</v>
      </c>
      <c r="B100" s="5875" t="s">
        <v>1793</v>
      </c>
      <c r="C100" s="5128">
        <f>D100+P100+AD100+AE100+AH100+AL100+AF100+AG100+AK100</f>
        <v>157472.49299999996</v>
      </c>
      <c r="D100" s="330">
        <f t="shared" si="21"/>
        <v>0</v>
      </c>
      <c r="E100" s="330"/>
      <c r="F100" s="330"/>
      <c r="G100" s="5126"/>
      <c r="H100" s="330"/>
      <c r="I100" s="5126"/>
      <c r="J100" s="330"/>
      <c r="K100" s="330"/>
      <c r="L100" s="330"/>
      <c r="M100" s="330"/>
      <c r="N100" s="330"/>
      <c r="O100" s="330"/>
      <c r="P100" s="5117">
        <f>SUM(Q100:AC100)</f>
        <v>157472.49299999996</v>
      </c>
      <c r="Q100" s="5117">
        <f>SUM(Q101:Q103)</f>
        <v>0</v>
      </c>
      <c r="R100" s="5117">
        <f t="shared" ref="R100:AB100" si="43">SUM(R101:R103)</f>
        <v>0</v>
      </c>
      <c r="S100" s="5117">
        <f t="shared" si="43"/>
        <v>0</v>
      </c>
      <c r="T100" s="5117">
        <f t="shared" si="43"/>
        <v>0</v>
      </c>
      <c r="U100" s="5117">
        <f t="shared" si="43"/>
        <v>0</v>
      </c>
      <c r="V100" s="5117">
        <f t="shared" si="43"/>
        <v>0</v>
      </c>
      <c r="W100" s="5117">
        <f t="shared" si="43"/>
        <v>0</v>
      </c>
      <c r="X100" s="5117"/>
      <c r="Y100" s="5117"/>
      <c r="Z100" s="5117">
        <f>SUM(Z101:Z105)+Z113</f>
        <v>157472.49299999996</v>
      </c>
      <c r="AA100" s="5117">
        <f t="shared" si="43"/>
        <v>0</v>
      </c>
      <c r="AB100" s="5117">
        <f t="shared" si="43"/>
        <v>0</v>
      </c>
      <c r="AC100" s="5117"/>
      <c r="AD100" s="330"/>
      <c r="AE100" s="330"/>
      <c r="AF100" s="330"/>
      <c r="AG100" s="330"/>
      <c r="AH100" s="5117">
        <f>SUM(AI100:AJ100)</f>
        <v>0</v>
      </c>
      <c r="AI100" s="330"/>
      <c r="AJ100" s="329">
        <f>+AJ101+AJ102+AJ103+AJ104</f>
        <v>0</v>
      </c>
      <c r="AK100" s="330"/>
      <c r="AL100" s="330"/>
      <c r="AM100" s="330"/>
      <c r="AN100" s="1659"/>
    </row>
    <row r="101" spans="1:51" s="621" customFormat="1" ht="36">
      <c r="A101" s="614" t="s">
        <v>99</v>
      </c>
      <c r="B101" s="5880" t="s">
        <v>1842</v>
      </c>
      <c r="C101" s="5120">
        <f>D101+P101+AD101+AE101+AH101+AL101+AF101+AG101+AK101+AM101</f>
        <v>53899.5</v>
      </c>
      <c r="D101" s="5126"/>
      <c r="E101" s="5126"/>
      <c r="F101" s="5126"/>
      <c r="G101" s="5126"/>
      <c r="H101" s="5126"/>
      <c r="I101" s="5126"/>
      <c r="J101" s="5126"/>
      <c r="K101" s="5126"/>
      <c r="L101" s="5126"/>
      <c r="M101" s="5126"/>
      <c r="N101" s="5126"/>
      <c r="O101" s="5126"/>
      <c r="P101" s="629">
        <f>SUM(Q101:AC101)</f>
        <v>53899.5</v>
      </c>
      <c r="Q101" s="5116"/>
      <c r="R101" s="5116"/>
      <c r="S101" s="5126"/>
      <c r="T101" s="5126"/>
      <c r="U101" s="5126"/>
      <c r="V101" s="5116"/>
      <c r="W101" s="5126"/>
      <c r="X101" s="5126"/>
      <c r="Y101" s="5126"/>
      <c r="Z101" s="6020">
        <f>+'Phụ lục số 6'!E25*1.5+42</f>
        <v>53899.5</v>
      </c>
      <c r="AA101" s="5116"/>
      <c r="AB101" s="5126"/>
      <c r="AC101" s="5126"/>
      <c r="AD101" s="5126"/>
      <c r="AE101" s="5126"/>
      <c r="AF101" s="5126"/>
      <c r="AG101" s="5126"/>
      <c r="AH101" s="5116"/>
      <c r="AI101" s="5126"/>
      <c r="AJ101" s="5126"/>
      <c r="AK101" s="5126"/>
      <c r="AL101" s="5126"/>
      <c r="AM101" s="5126"/>
      <c r="AN101" s="6013"/>
    </row>
    <row r="102" spans="1:51" s="621" customFormat="1" ht="54">
      <c r="A102" s="614" t="s">
        <v>101</v>
      </c>
      <c r="B102" s="5881" t="s">
        <v>1843</v>
      </c>
      <c r="C102" s="5120">
        <f t="shared" ref="C102:C112" si="44">D102+P102+AD102+AE102+AH102+AL102+AF102+AG102+AK102+AM102</f>
        <v>7000</v>
      </c>
      <c r="D102" s="5126"/>
      <c r="E102" s="5126"/>
      <c r="F102" s="5126"/>
      <c r="G102" s="5126"/>
      <c r="H102" s="5126"/>
      <c r="I102" s="5126"/>
      <c r="J102" s="5126"/>
      <c r="K102" s="5126"/>
      <c r="L102" s="5126"/>
      <c r="M102" s="5126"/>
      <c r="N102" s="5126"/>
      <c r="O102" s="5126"/>
      <c r="P102" s="629">
        <f>SUM(Q102:AC102)</f>
        <v>7000</v>
      </c>
      <c r="Q102" s="5116"/>
      <c r="R102" s="5116"/>
      <c r="S102" s="5126"/>
      <c r="T102" s="5126"/>
      <c r="U102" s="5126"/>
      <c r="V102" s="5116"/>
      <c r="W102" s="5126"/>
      <c r="X102" s="5126"/>
      <c r="Y102" s="5126"/>
      <c r="Z102" s="6021">
        <f>6400+600</f>
        <v>7000</v>
      </c>
      <c r="AA102" s="5116"/>
      <c r="AB102" s="5126"/>
      <c r="AC102" s="5126"/>
      <c r="AD102" s="5126"/>
      <c r="AE102" s="5126"/>
      <c r="AF102" s="5126"/>
      <c r="AG102" s="5126"/>
      <c r="AH102" s="5116"/>
      <c r="AI102" s="5126"/>
      <c r="AJ102" s="5126"/>
      <c r="AK102" s="5126"/>
      <c r="AL102" s="5126"/>
      <c r="AM102" s="5126"/>
      <c r="AN102" s="6013"/>
    </row>
    <row r="103" spans="1:51" s="621" customFormat="1">
      <c r="A103" s="614" t="s">
        <v>147</v>
      </c>
      <c r="B103" s="5880" t="s">
        <v>3216</v>
      </c>
      <c r="C103" s="5120">
        <f t="shared" si="44"/>
        <v>0</v>
      </c>
      <c r="D103" s="5126"/>
      <c r="E103" s="5126"/>
      <c r="F103" s="5126"/>
      <c r="G103" s="5126"/>
      <c r="H103" s="5126"/>
      <c r="I103" s="5126"/>
      <c r="J103" s="5126"/>
      <c r="K103" s="5126"/>
      <c r="L103" s="5126"/>
      <c r="M103" s="5126"/>
      <c r="N103" s="5126"/>
      <c r="O103" s="5126"/>
      <c r="P103" s="629">
        <f t="shared" ref="P103:P105" si="45">SUM(Q103:AC103)</f>
        <v>0</v>
      </c>
      <c r="Q103" s="5116"/>
      <c r="R103" s="5116"/>
      <c r="S103" s="5126"/>
      <c r="T103" s="5126"/>
      <c r="U103" s="5126"/>
      <c r="V103" s="5116"/>
      <c r="W103" s="5126"/>
      <c r="X103" s="5126"/>
      <c r="Y103" s="5126"/>
      <c r="Z103" s="6022">
        <f>70000-70000</f>
        <v>0</v>
      </c>
      <c r="AA103" s="5116"/>
      <c r="AB103" s="5126"/>
      <c r="AC103" s="5126"/>
      <c r="AD103" s="5126"/>
      <c r="AE103" s="5126"/>
      <c r="AF103" s="5126"/>
      <c r="AG103" s="5126"/>
      <c r="AH103" s="5116"/>
      <c r="AI103" s="5126"/>
      <c r="AJ103" s="5126"/>
      <c r="AK103" s="5126"/>
      <c r="AL103" s="5126"/>
      <c r="AM103" s="5126"/>
      <c r="AN103" s="6013"/>
    </row>
    <row r="104" spans="1:51" s="621" customFormat="1" ht="90">
      <c r="A104" s="620" t="s">
        <v>148</v>
      </c>
      <c r="B104" s="5882" t="s">
        <v>3224</v>
      </c>
      <c r="C104" s="5120">
        <f t="shared" si="44"/>
        <v>0</v>
      </c>
      <c r="D104" s="5126">
        <f t="shared" si="21"/>
        <v>0</v>
      </c>
      <c r="E104" s="5126"/>
      <c r="F104" s="5126"/>
      <c r="G104" s="5126"/>
      <c r="H104" s="5126"/>
      <c r="I104" s="5126"/>
      <c r="J104" s="5126"/>
      <c r="K104" s="5126"/>
      <c r="L104" s="5126"/>
      <c r="M104" s="5126"/>
      <c r="N104" s="5126"/>
      <c r="O104" s="5126"/>
      <c r="P104" s="5116">
        <f t="shared" si="45"/>
        <v>0</v>
      </c>
      <c r="Q104" s="5116"/>
      <c r="R104" s="5126"/>
      <c r="S104" s="5126"/>
      <c r="T104" s="5126"/>
      <c r="U104" s="5126"/>
      <c r="V104" s="5116"/>
      <c r="W104" s="5126"/>
      <c r="X104" s="5126"/>
      <c r="Y104" s="5126"/>
      <c r="Z104" s="5125">
        <f>12000-12000</f>
        <v>0</v>
      </c>
      <c r="AA104" s="5116"/>
      <c r="AB104" s="5126"/>
      <c r="AC104" s="5126"/>
      <c r="AD104" s="5126"/>
      <c r="AE104" s="5126"/>
      <c r="AF104" s="5126"/>
      <c r="AG104" s="5126"/>
      <c r="AH104" s="5116">
        <f t="shared" si="42"/>
        <v>0</v>
      </c>
      <c r="AI104" s="5126"/>
      <c r="AJ104" s="5125"/>
      <c r="AK104" s="5126"/>
      <c r="AL104" s="5126"/>
      <c r="AM104" s="5126"/>
      <c r="AN104" s="6013"/>
    </row>
    <row r="105" spans="1:51" s="617" customFormat="1" ht="36">
      <c r="A105" s="614" t="s">
        <v>149</v>
      </c>
      <c r="B105" s="5874" t="s">
        <v>3215</v>
      </c>
      <c r="C105" s="5120">
        <f t="shared" si="44"/>
        <v>80946.835146215482</v>
      </c>
      <c r="D105" s="2625"/>
      <c r="E105" s="2625"/>
      <c r="F105" s="2625"/>
      <c r="G105" s="2625"/>
      <c r="H105" s="2625"/>
      <c r="I105" s="2625"/>
      <c r="J105" s="2625"/>
      <c r="K105" s="2625"/>
      <c r="L105" s="2625"/>
      <c r="M105" s="2625"/>
      <c r="N105" s="2625"/>
      <c r="O105" s="2625"/>
      <c r="P105" s="629">
        <f t="shared" si="45"/>
        <v>80946.835146215482</v>
      </c>
      <c r="Q105" s="629"/>
      <c r="R105" s="2625"/>
      <c r="S105" s="2625"/>
      <c r="T105" s="2625"/>
      <c r="U105" s="2625"/>
      <c r="V105" s="629"/>
      <c r="W105" s="2625"/>
      <c r="X105" s="2625"/>
      <c r="Y105" s="2625"/>
      <c r="Z105" s="6008">
        <f>526931.593-Z12-Z44-Z59-Z63-Z113-Z101-Z102-Z103-Z104-70000-11412.41-62511.59-12000+10033+4373.9+11726-(1000)</f>
        <v>80946.835146215482</v>
      </c>
      <c r="AA105" s="629"/>
      <c r="AB105" s="2625"/>
      <c r="AC105" s="2625"/>
      <c r="AD105" s="2625"/>
      <c r="AE105" s="2625"/>
      <c r="AF105" s="2625"/>
      <c r="AG105" s="2625"/>
      <c r="AH105" s="629"/>
      <c r="AI105" s="2625"/>
      <c r="AJ105" s="5122"/>
      <c r="AK105" s="2625"/>
      <c r="AL105" s="2625"/>
      <c r="AM105" s="2625"/>
      <c r="AN105" s="6012"/>
    </row>
    <row r="106" spans="1:51" s="624" customFormat="1" ht="34.799999999999997">
      <c r="A106" s="622">
        <v>10</v>
      </c>
      <c r="B106" s="5886" t="s">
        <v>1794</v>
      </c>
      <c r="C106" s="5120">
        <f t="shared" ref="C106:C111" si="46">D106+P106+AD106+AE106+AH106+AL106+AF106+AG106+AK106</f>
        <v>13652.513398000039</v>
      </c>
      <c r="D106" s="2625"/>
      <c r="E106" s="2625"/>
      <c r="F106" s="2625"/>
      <c r="G106" s="2625"/>
      <c r="H106" s="2625"/>
      <c r="I106" s="2625"/>
      <c r="J106" s="2625"/>
      <c r="K106" s="2625"/>
      <c r="L106" s="2625"/>
      <c r="M106" s="2625"/>
      <c r="N106" s="2625"/>
      <c r="O106" s="2625"/>
      <c r="P106" s="5996">
        <f t="shared" si="40"/>
        <v>13652.513398000039</v>
      </c>
      <c r="Q106" s="5117"/>
      <c r="R106" s="2625"/>
      <c r="S106" s="2625"/>
      <c r="T106" s="2625"/>
      <c r="U106" s="2625"/>
      <c r="V106" s="629"/>
      <c r="W106" s="2625"/>
      <c r="X106" s="2625"/>
      <c r="Y106" s="2625"/>
      <c r="Z106" s="2625"/>
      <c r="AA106" s="5117">
        <f>AA107+AA113</f>
        <v>13652.513398000039</v>
      </c>
      <c r="AB106" s="6023"/>
      <c r="AC106" s="2625"/>
      <c r="AD106" s="2625"/>
      <c r="AE106" s="2625"/>
      <c r="AF106" s="2625"/>
      <c r="AG106" s="2625"/>
      <c r="AH106" s="629"/>
      <c r="AI106" s="2625"/>
      <c r="AJ106" s="2625"/>
      <c r="AK106" s="2625"/>
      <c r="AL106" s="2625"/>
      <c r="AM106" s="2625"/>
      <c r="AN106" s="6012"/>
    </row>
    <row r="107" spans="1:51" s="624" customFormat="1" ht="36">
      <c r="A107" s="625"/>
      <c r="B107" s="5874" t="s">
        <v>3215</v>
      </c>
      <c r="C107" s="5960">
        <f t="shared" si="44"/>
        <v>11443.445180987688</v>
      </c>
      <c r="D107" s="2625"/>
      <c r="E107" s="2625"/>
      <c r="F107" s="2625"/>
      <c r="G107" s="2625"/>
      <c r="H107" s="2625"/>
      <c r="I107" s="2625"/>
      <c r="J107" s="2625"/>
      <c r="K107" s="2625"/>
      <c r="L107" s="2625"/>
      <c r="M107" s="2625"/>
      <c r="N107" s="2625"/>
      <c r="O107" s="2625"/>
      <c r="P107" s="629">
        <f t="shared" si="40"/>
        <v>11443.445180987688</v>
      </c>
      <c r="Q107" s="629"/>
      <c r="R107" s="2625"/>
      <c r="S107" s="2625"/>
      <c r="T107" s="2625"/>
      <c r="U107" s="2625"/>
      <c r="V107" s="629"/>
      <c r="W107" s="2625"/>
      <c r="X107" s="2625"/>
      <c r="Y107" s="2625"/>
      <c r="Z107" s="2625"/>
      <c r="AA107" s="6024">
        <f>708771.5-AA12-AA44-AA59-AA63-AA113</f>
        <v>11443.445180987688</v>
      </c>
      <c r="AB107" s="5122"/>
      <c r="AC107" s="2625"/>
      <c r="AD107" s="2625"/>
      <c r="AE107" s="2625"/>
      <c r="AF107" s="2625"/>
      <c r="AG107" s="2625"/>
      <c r="AH107" s="629"/>
      <c r="AI107" s="2625"/>
      <c r="AJ107" s="2625"/>
      <c r="AK107" s="2625"/>
      <c r="AL107" s="2625"/>
      <c r="AM107" s="2625"/>
      <c r="AN107" s="6012"/>
      <c r="AQ107" s="624">
        <f>+AA107-4725435/1000</f>
        <v>6718.0101809876878</v>
      </c>
    </row>
    <row r="108" spans="1:51" s="380" customFormat="1">
      <c r="A108" s="611">
        <v>11</v>
      </c>
      <c r="B108" s="5878" t="s">
        <v>1795</v>
      </c>
      <c r="C108" s="5128">
        <f t="shared" si="46"/>
        <v>12060.100000000006</v>
      </c>
      <c r="D108" s="330">
        <f t="shared" si="21"/>
        <v>0</v>
      </c>
      <c r="E108" s="330"/>
      <c r="F108" s="330"/>
      <c r="G108" s="5126"/>
      <c r="H108" s="330"/>
      <c r="I108" s="5126"/>
      <c r="J108" s="330"/>
      <c r="K108" s="330"/>
      <c r="L108" s="330"/>
      <c r="M108" s="330"/>
      <c r="N108" s="330"/>
      <c r="O108" s="330"/>
      <c r="P108" s="5117">
        <f t="shared" si="40"/>
        <v>0.10000000000582077</v>
      </c>
      <c r="Q108" s="5117"/>
      <c r="R108" s="330"/>
      <c r="S108" s="330"/>
      <c r="T108" s="330"/>
      <c r="U108" s="330"/>
      <c r="V108" s="5117"/>
      <c r="W108" s="330"/>
      <c r="X108" s="330"/>
      <c r="Y108" s="330"/>
      <c r="Z108" s="330"/>
      <c r="AA108" s="330"/>
      <c r="AB108" s="6025">
        <f>SUM(AB109:AB110)</f>
        <v>0.10000000000582077</v>
      </c>
      <c r="AC108" s="5117">
        <f>AC110</f>
        <v>0</v>
      </c>
      <c r="AD108" s="330"/>
      <c r="AE108" s="330"/>
      <c r="AF108" s="330"/>
      <c r="AG108" s="330"/>
      <c r="AH108" s="6025">
        <f>SUM(AH109:AH110)</f>
        <v>12060</v>
      </c>
      <c r="AI108" s="6025">
        <f>SUM(AI109:AI110)</f>
        <v>0</v>
      </c>
      <c r="AJ108" s="6025">
        <f>SUM(AJ109:AJ110)</f>
        <v>12060</v>
      </c>
      <c r="AK108" s="330"/>
      <c r="AL108" s="330"/>
      <c r="AM108" s="330"/>
      <c r="AN108" s="1659"/>
    </row>
    <row r="109" spans="1:51" s="621" customFormat="1" ht="171" customHeight="1">
      <c r="A109" s="620"/>
      <c r="B109" s="5874" t="s">
        <v>3261</v>
      </c>
      <c r="C109" s="5960">
        <f t="shared" si="44"/>
        <v>12060</v>
      </c>
      <c r="D109" s="5126"/>
      <c r="E109" s="5126"/>
      <c r="F109" s="5126"/>
      <c r="G109" s="5126"/>
      <c r="H109" s="5126"/>
      <c r="I109" s="5126"/>
      <c r="J109" s="5126"/>
      <c r="K109" s="5126"/>
      <c r="L109" s="5126"/>
      <c r="M109" s="5126"/>
      <c r="N109" s="5126"/>
      <c r="O109" s="5126"/>
      <c r="P109" s="629">
        <f t="shared" si="40"/>
        <v>0</v>
      </c>
      <c r="Q109" s="5116"/>
      <c r="R109" s="5126"/>
      <c r="S109" s="5126"/>
      <c r="T109" s="5126"/>
      <c r="U109" s="5126"/>
      <c r="V109" s="5116"/>
      <c r="W109" s="5126"/>
      <c r="X109" s="5126"/>
      <c r="Y109" s="5126"/>
      <c r="Z109" s="5126"/>
      <c r="AA109" s="5126"/>
      <c r="AB109" s="5122"/>
      <c r="AC109" s="5116"/>
      <c r="AD109" s="5126"/>
      <c r="AE109" s="5126"/>
      <c r="AF109" s="5126"/>
      <c r="AG109" s="5126"/>
      <c r="AH109" s="629">
        <f>SUM(AI109:AJ109)</f>
        <v>12060</v>
      </c>
      <c r="AI109" s="2625"/>
      <c r="AJ109" s="5122">
        <f>+'Phụ lục số 6'!E32-AJ64-'Phụ lục số 8'!C21</f>
        <v>12060</v>
      </c>
      <c r="AK109" s="5126"/>
      <c r="AL109" s="5126"/>
      <c r="AM109" s="5126"/>
      <c r="AN109" s="6013"/>
      <c r="AQ109" s="5202">
        <f>284586-AJ90-677</f>
        <v>283909</v>
      </c>
      <c r="AR109" s="5202">
        <f>195837-AQ109</f>
        <v>-88072</v>
      </c>
      <c r="AT109" s="5202">
        <f>+AU109-AJ109</f>
        <v>183777</v>
      </c>
      <c r="AU109" s="621">
        <f>190053+12060-6276</f>
        <v>195837</v>
      </c>
      <c r="AW109" s="5203">
        <v>677</v>
      </c>
      <c r="AX109" s="621">
        <f>-6284-19960</f>
        <v>-26244</v>
      </c>
      <c r="AY109" s="621">
        <f>677-19960-6284</f>
        <v>-25567</v>
      </c>
    </row>
    <row r="110" spans="1:51" s="621" customFormat="1" ht="36">
      <c r="A110" s="620"/>
      <c r="B110" s="5874" t="s">
        <v>3215</v>
      </c>
      <c r="C110" s="5120">
        <f t="shared" si="44"/>
        <v>0.10000000000582077</v>
      </c>
      <c r="D110" s="5126">
        <f t="shared" si="21"/>
        <v>0</v>
      </c>
      <c r="E110" s="5126"/>
      <c r="F110" s="5126"/>
      <c r="G110" s="5126"/>
      <c r="H110" s="5126"/>
      <c r="I110" s="5126"/>
      <c r="J110" s="5126"/>
      <c r="K110" s="5126"/>
      <c r="L110" s="5126"/>
      <c r="M110" s="5126"/>
      <c r="N110" s="5126"/>
      <c r="O110" s="5126"/>
      <c r="P110" s="629">
        <f t="shared" si="40"/>
        <v>0.10000000000582077</v>
      </c>
      <c r="Q110" s="5116"/>
      <c r="R110" s="5126"/>
      <c r="S110" s="5126"/>
      <c r="T110" s="5126"/>
      <c r="U110" s="5126"/>
      <c r="V110" s="5116"/>
      <c r="W110" s="5126"/>
      <c r="X110" s="5126"/>
      <c r="Y110" s="5126"/>
      <c r="Z110" s="5126"/>
      <c r="AA110" s="5126"/>
      <c r="AB110" s="6011">
        <f>68073.1-AB12-AB44-AB59-AB63-AB109-AB113</f>
        <v>0.10000000000582077</v>
      </c>
      <c r="AC110" s="5116"/>
      <c r="AD110" s="5126"/>
      <c r="AE110" s="5126"/>
      <c r="AF110" s="5126"/>
      <c r="AG110" s="5126"/>
      <c r="AH110" s="5116">
        <f t="shared" si="42"/>
        <v>0</v>
      </c>
      <c r="AI110" s="5126"/>
      <c r="AJ110" s="329"/>
      <c r="AK110" s="5126"/>
      <c r="AL110" s="5126"/>
      <c r="AM110" s="5126"/>
      <c r="AN110" s="6013"/>
      <c r="AR110" s="5202">
        <f>+AJ109+AJ90</f>
        <v>12060</v>
      </c>
      <c r="AW110" s="5203">
        <v>114316</v>
      </c>
      <c r="AX110" s="621">
        <f>-11346-17969</f>
        <v>-29315</v>
      </c>
      <c r="AY110" s="5203">
        <f>59805+6154+39490+37503+634+45-11346-17969</f>
        <v>114316</v>
      </c>
    </row>
    <row r="111" spans="1:51" s="380" customFormat="1">
      <c r="A111" s="611">
        <v>12</v>
      </c>
      <c r="B111" s="5878" t="s">
        <v>721</v>
      </c>
      <c r="C111" s="5128">
        <f t="shared" si="46"/>
        <v>16054.8</v>
      </c>
      <c r="D111" s="330">
        <f t="shared" si="21"/>
        <v>0</v>
      </c>
      <c r="E111" s="330"/>
      <c r="F111" s="330"/>
      <c r="G111" s="5126"/>
      <c r="H111" s="330"/>
      <c r="I111" s="5126"/>
      <c r="J111" s="330"/>
      <c r="K111" s="330"/>
      <c r="L111" s="330"/>
      <c r="M111" s="330"/>
      <c r="N111" s="330"/>
      <c r="O111" s="330"/>
      <c r="P111" s="5117">
        <f t="shared" ref="P111" si="47">SUM(R111:AC111)</f>
        <v>16054.8</v>
      </c>
      <c r="Q111" s="5117"/>
      <c r="R111" s="330"/>
      <c r="S111" s="330"/>
      <c r="T111" s="330"/>
      <c r="U111" s="330"/>
      <c r="V111" s="5117"/>
      <c r="W111" s="330"/>
      <c r="X111" s="330"/>
      <c r="Y111" s="330"/>
      <c r="Z111" s="330"/>
      <c r="AA111" s="330"/>
      <c r="AB111" s="330"/>
      <c r="AC111" s="6026">
        <f>AC112+AC113</f>
        <v>16054.8</v>
      </c>
      <c r="AD111" s="330"/>
      <c r="AE111" s="330"/>
      <c r="AF111" s="330"/>
      <c r="AG111" s="330"/>
      <c r="AH111" s="5117">
        <f t="shared" si="42"/>
        <v>0</v>
      </c>
      <c r="AI111" s="330"/>
      <c r="AJ111" s="330"/>
      <c r="AK111" s="330"/>
      <c r="AL111" s="330"/>
      <c r="AM111" s="330"/>
      <c r="AN111" s="1659"/>
      <c r="AR111" s="380">
        <v>677</v>
      </c>
      <c r="AW111" s="3048">
        <v>195837</v>
      </c>
      <c r="AX111" s="380">
        <v>-6276</v>
      </c>
      <c r="AY111" s="380">
        <f>190053+12060-6276</f>
        <v>195837</v>
      </c>
    </row>
    <row r="112" spans="1:51" s="596" customFormat="1" ht="36">
      <c r="A112" s="611"/>
      <c r="B112" s="5874" t="s">
        <v>3215</v>
      </c>
      <c r="C112" s="5120">
        <f t="shared" si="44"/>
        <v>13427.738688122938</v>
      </c>
      <c r="D112" s="297"/>
      <c r="E112" s="297"/>
      <c r="F112" s="297"/>
      <c r="G112" s="2625"/>
      <c r="H112" s="297"/>
      <c r="I112" s="2625"/>
      <c r="J112" s="297"/>
      <c r="K112" s="297"/>
      <c r="L112" s="297"/>
      <c r="M112" s="297"/>
      <c r="N112" s="297"/>
      <c r="O112" s="297"/>
      <c r="P112" s="629">
        <f>SUM(Q112:AC112)</f>
        <v>13427.738688122938</v>
      </c>
      <c r="Q112" s="5996"/>
      <c r="R112" s="297"/>
      <c r="S112" s="297"/>
      <c r="T112" s="297"/>
      <c r="U112" s="297"/>
      <c r="V112" s="5996"/>
      <c r="W112" s="297"/>
      <c r="X112" s="297"/>
      <c r="Y112" s="297"/>
      <c r="Z112" s="297"/>
      <c r="AA112" s="297"/>
      <c r="AB112" s="297"/>
      <c r="AC112" s="6002">
        <f>22000-AC12-AC44-AC59-AC63-AC113</f>
        <v>13427.738688122938</v>
      </c>
      <c r="AD112" s="297"/>
      <c r="AE112" s="297"/>
      <c r="AF112" s="297"/>
      <c r="AG112" s="297"/>
      <c r="AH112" s="5996"/>
      <c r="AI112" s="297"/>
      <c r="AJ112" s="297"/>
      <c r="AK112" s="297"/>
      <c r="AL112" s="297"/>
      <c r="AM112" s="297"/>
      <c r="AN112" s="5997"/>
      <c r="AR112" s="597">
        <f>+AR111+AR110</f>
        <v>12737</v>
      </c>
      <c r="AW112" s="5204">
        <f>+AW111+AW110+AW109</f>
        <v>310830</v>
      </c>
      <c r="AY112" s="5205">
        <f>+AY111+AY110+AY109</f>
        <v>284586</v>
      </c>
    </row>
    <row r="113" spans="1:51" s="380" customFormat="1">
      <c r="A113" s="611">
        <v>13</v>
      </c>
      <c r="B113" s="4782" t="s">
        <v>722</v>
      </c>
      <c r="C113" s="5128">
        <f>D113+P113+AD113+AE113+AH113+AL113+AF113+AG113+AK113+AM113</f>
        <v>22901.75</v>
      </c>
      <c r="D113" s="330">
        <f>SUM(E113:J113)</f>
        <v>0</v>
      </c>
      <c r="E113" s="330"/>
      <c r="F113" s="330"/>
      <c r="G113" s="5126"/>
      <c r="H113" s="330"/>
      <c r="I113" s="5126"/>
      <c r="J113" s="330"/>
      <c r="K113" s="330"/>
      <c r="L113" s="330"/>
      <c r="M113" s="330"/>
      <c r="N113" s="330"/>
      <c r="O113" s="330"/>
      <c r="P113" s="5117">
        <f>SUM(Q113:AC113)</f>
        <v>22901.75</v>
      </c>
      <c r="Q113" s="5117">
        <v>2439.462617326099</v>
      </c>
      <c r="R113" s="6010"/>
      <c r="S113" s="6027">
        <f>+(2094+4188)-(2094+4188)</f>
        <v>0</v>
      </c>
      <c r="T113" s="6010"/>
      <c r="U113" s="6010"/>
      <c r="V113" s="6010"/>
      <c r="W113" s="6010"/>
      <c r="X113" s="6010"/>
      <c r="Y113" s="6010"/>
      <c r="Z113" s="6010">
        <v>15626.157853784489</v>
      </c>
      <c r="AA113" s="6010">
        <v>2209.0682170123514</v>
      </c>
      <c r="AB113" s="6010"/>
      <c r="AC113" s="6010">
        <v>2627.0613118770611</v>
      </c>
      <c r="AD113" s="330"/>
      <c r="AE113" s="330"/>
      <c r="AF113" s="330"/>
      <c r="AG113" s="330"/>
      <c r="AH113" s="5117">
        <f>SUM(AI113:AJ113)</f>
        <v>0</v>
      </c>
      <c r="AI113" s="330"/>
      <c r="AJ113" s="330"/>
      <c r="AK113" s="330"/>
      <c r="AL113" s="330"/>
      <c r="AM113" s="330"/>
      <c r="AN113" s="1659"/>
      <c r="AQ113" s="380">
        <f>+AC111*20%</f>
        <v>3210.96</v>
      </c>
      <c r="AY113" s="5206">
        <f>+AY112-AY110</f>
        <v>170270</v>
      </c>
    </row>
    <row r="114" spans="1:51" s="380" customFormat="1">
      <c r="A114" s="611" t="s">
        <v>37</v>
      </c>
      <c r="B114" s="5875" t="s">
        <v>757</v>
      </c>
      <c r="C114" s="5128">
        <f>D114+P114+AD114+AE114+AH114+AL114+AF114+AG114+AK114</f>
        <v>376890</v>
      </c>
      <c r="D114" s="5117">
        <f>SUM(E114:K114)</f>
        <v>376890</v>
      </c>
      <c r="E114" s="5117">
        <f>'Phụ lục số 2'!P11</f>
        <v>376890</v>
      </c>
      <c r="F114" s="5117"/>
      <c r="G114" s="5116"/>
      <c r="H114" s="5117"/>
      <c r="I114" s="5116"/>
      <c r="J114" s="5117"/>
      <c r="K114" s="5117"/>
      <c r="L114" s="5117"/>
      <c r="M114" s="5117"/>
      <c r="N114" s="5117"/>
      <c r="O114" s="5117"/>
      <c r="P114" s="330"/>
      <c r="Q114" s="330"/>
      <c r="R114" s="330"/>
      <c r="S114" s="330"/>
      <c r="T114" s="330"/>
      <c r="U114" s="330"/>
      <c r="V114" s="5117"/>
      <c r="W114" s="330"/>
      <c r="X114" s="330"/>
      <c r="Y114" s="330"/>
      <c r="Z114" s="330"/>
      <c r="AA114" s="330"/>
      <c r="AB114" s="330"/>
      <c r="AC114" s="330"/>
      <c r="AD114" s="5117"/>
      <c r="AE114" s="5117"/>
      <c r="AF114" s="5117"/>
      <c r="AG114" s="5117"/>
      <c r="AH114" s="5117">
        <f t="shared" si="42"/>
        <v>0</v>
      </c>
      <c r="AI114" s="330"/>
      <c r="AJ114" s="330"/>
      <c r="AK114" s="330"/>
      <c r="AL114" s="330"/>
      <c r="AM114" s="330"/>
      <c r="AN114" s="1659"/>
      <c r="AY114" s="5206">
        <f>+AY113-AW109</f>
        <v>169593</v>
      </c>
    </row>
    <row r="115" spans="1:51" s="380" customFormat="1" ht="52.2">
      <c r="A115" s="611" t="s">
        <v>44</v>
      </c>
      <c r="B115" s="5878" t="s">
        <v>758</v>
      </c>
      <c r="C115" s="5128">
        <f t="shared" ref="C115:C124" si="48">D115+P115+AD115+AE115+AH115+AL115+AF115+AG115+AK115</f>
        <v>506500</v>
      </c>
      <c r="D115" s="5117">
        <f>SUM(E115:F115)</f>
        <v>506500</v>
      </c>
      <c r="E115" s="5117"/>
      <c r="F115" s="5117">
        <f>'Phụ lục số 2'!P12</f>
        <v>506500</v>
      </c>
      <c r="G115" s="5116">
        <f>+'Phụ lục số 2'!P13</f>
        <v>160000</v>
      </c>
      <c r="H115" s="5117"/>
      <c r="I115" s="5116"/>
      <c r="J115" s="5117"/>
      <c r="K115" s="5117"/>
      <c r="L115" s="5117"/>
      <c r="M115" s="5117"/>
      <c r="N115" s="5117"/>
      <c r="O115" s="5117"/>
      <c r="P115" s="330"/>
      <c r="Q115" s="330"/>
      <c r="R115" s="330"/>
      <c r="S115" s="330"/>
      <c r="T115" s="330"/>
      <c r="U115" s="330"/>
      <c r="V115" s="5117"/>
      <c r="W115" s="330"/>
      <c r="X115" s="330"/>
      <c r="Y115" s="330"/>
      <c r="Z115" s="330"/>
      <c r="AA115" s="330"/>
      <c r="AB115" s="330"/>
      <c r="AC115" s="330"/>
      <c r="AD115" s="5117"/>
      <c r="AE115" s="5117"/>
      <c r="AF115" s="5117"/>
      <c r="AG115" s="5117"/>
      <c r="AH115" s="5117">
        <f t="shared" si="42"/>
        <v>0</v>
      </c>
      <c r="AI115" s="330"/>
      <c r="AJ115" s="330"/>
      <c r="AK115" s="330"/>
      <c r="AL115" s="330"/>
      <c r="AM115" s="330"/>
      <c r="AN115" s="1659"/>
      <c r="AQ115" s="2710">
        <f>+AA10-515458</f>
        <v>193313.5</v>
      </c>
    </row>
    <row r="116" spans="1:51" s="380" customFormat="1">
      <c r="A116" s="611" t="s">
        <v>46</v>
      </c>
      <c r="B116" s="5878" t="s">
        <v>728</v>
      </c>
      <c r="C116" s="5128">
        <f t="shared" si="48"/>
        <v>2100000</v>
      </c>
      <c r="D116" s="5117">
        <f>SUM(E116:H116)</f>
        <v>2100000</v>
      </c>
      <c r="E116" s="5117"/>
      <c r="F116" s="5117"/>
      <c r="G116" s="5116"/>
      <c r="H116" s="5117">
        <f>'Phụ lục số 2'!P14</f>
        <v>2100000</v>
      </c>
      <c r="I116" s="5116">
        <f>+'Phụ lục số 2'!P15</f>
        <v>100000</v>
      </c>
      <c r="J116" s="5117"/>
      <c r="K116" s="5117"/>
      <c r="L116" s="5117"/>
      <c r="M116" s="5117"/>
      <c r="N116" s="5117"/>
      <c r="O116" s="5117"/>
      <c r="P116" s="330"/>
      <c r="Q116" s="330"/>
      <c r="R116" s="330"/>
      <c r="S116" s="330"/>
      <c r="T116" s="330"/>
      <c r="U116" s="330"/>
      <c r="V116" s="5117"/>
      <c r="W116" s="330"/>
      <c r="X116" s="330"/>
      <c r="Y116" s="330"/>
      <c r="Z116" s="330"/>
      <c r="AA116" s="330"/>
      <c r="AB116" s="330"/>
      <c r="AC116" s="330"/>
      <c r="AD116" s="5117"/>
      <c r="AE116" s="5117"/>
      <c r="AF116" s="5117"/>
      <c r="AG116" s="5117"/>
      <c r="AH116" s="5117"/>
      <c r="AI116" s="330"/>
      <c r="AJ116" s="330"/>
      <c r="AK116" s="330"/>
      <c r="AL116" s="330"/>
      <c r="AM116" s="330"/>
      <c r="AN116" s="1659"/>
      <c r="AQ116" s="380">
        <f>+AQ115*10%</f>
        <v>19331.350000000002</v>
      </c>
    </row>
    <row r="117" spans="1:51" s="380" customFormat="1" ht="52.2">
      <c r="A117" s="611" t="s">
        <v>724</v>
      </c>
      <c r="B117" s="5878" t="s">
        <v>759</v>
      </c>
      <c r="C117" s="5128">
        <f t="shared" si="48"/>
        <v>0</v>
      </c>
      <c r="D117" s="5117">
        <f>SUM(E117:J117)</f>
        <v>0</v>
      </c>
      <c r="E117" s="5117"/>
      <c r="F117" s="5117"/>
      <c r="G117" s="5116"/>
      <c r="H117" s="5117"/>
      <c r="I117" s="5116"/>
      <c r="J117" s="5117">
        <f>'Phụ lục số 2'!P16</f>
        <v>0</v>
      </c>
      <c r="K117" s="5117"/>
      <c r="L117" s="5117"/>
      <c r="M117" s="5117"/>
      <c r="N117" s="5117"/>
      <c r="O117" s="5117"/>
      <c r="P117" s="330"/>
      <c r="Q117" s="330"/>
      <c r="R117" s="330"/>
      <c r="S117" s="330"/>
      <c r="T117" s="330"/>
      <c r="U117" s="330"/>
      <c r="V117" s="5117"/>
      <c r="W117" s="330"/>
      <c r="X117" s="330"/>
      <c r="Y117" s="330"/>
      <c r="Z117" s="330"/>
      <c r="AA117" s="330"/>
      <c r="AB117" s="330"/>
      <c r="AC117" s="330"/>
      <c r="AD117" s="5117"/>
      <c r="AE117" s="5117"/>
      <c r="AF117" s="5117"/>
      <c r="AG117" s="5117"/>
      <c r="AH117" s="5117">
        <f t="shared" si="42"/>
        <v>0</v>
      </c>
      <c r="AI117" s="330"/>
      <c r="AJ117" s="330"/>
      <c r="AK117" s="330"/>
      <c r="AL117" s="330"/>
      <c r="AM117" s="330"/>
      <c r="AN117" s="1659"/>
    </row>
    <row r="118" spans="1:51" s="380" customFormat="1">
      <c r="A118" s="611" t="s">
        <v>725</v>
      </c>
      <c r="B118" s="5878" t="s">
        <v>760</v>
      </c>
      <c r="C118" s="5128">
        <f t="shared" si="48"/>
        <v>0</v>
      </c>
      <c r="D118" s="5117">
        <f t="shared" ref="D118:D125" si="49">SUM(E118:K118)</f>
        <v>0</v>
      </c>
      <c r="E118" s="5117">
        <f>E143</f>
        <v>0</v>
      </c>
      <c r="F118" s="5117"/>
      <c r="G118" s="5116"/>
      <c r="H118" s="5117"/>
      <c r="I118" s="5116"/>
      <c r="J118" s="5117"/>
      <c r="K118" s="5117">
        <f>'Phụ lục số 2'!P17</f>
        <v>0</v>
      </c>
      <c r="L118" s="5117">
        <f>+'Phụ lục số 2'!P18</f>
        <v>0</v>
      </c>
      <c r="M118" s="5117">
        <f>+'Phụ lục số 2'!P19</f>
        <v>0</v>
      </c>
      <c r="N118" s="5117">
        <f>'Phụ lục số 2'!S17</f>
        <v>0</v>
      </c>
      <c r="O118" s="5117" t="e">
        <f>'Phụ lục số 2'!T17</f>
        <v>#DIV/0!</v>
      </c>
      <c r="P118" s="330"/>
      <c r="Q118" s="330"/>
      <c r="R118" s="330"/>
      <c r="S118" s="330"/>
      <c r="T118" s="330"/>
      <c r="U118" s="330"/>
      <c r="V118" s="5117"/>
      <c r="W118" s="330"/>
      <c r="X118" s="330"/>
      <c r="Y118" s="330"/>
      <c r="Z118" s="330"/>
      <c r="AA118" s="330"/>
      <c r="AB118" s="330"/>
      <c r="AC118" s="330"/>
      <c r="AD118" s="330"/>
      <c r="AE118" s="330"/>
      <c r="AF118" s="330"/>
      <c r="AG118" s="330"/>
      <c r="AH118" s="5117">
        <f t="shared" si="42"/>
        <v>0</v>
      </c>
      <c r="AI118" s="330"/>
      <c r="AJ118" s="330"/>
      <c r="AK118" s="330"/>
      <c r="AL118" s="330"/>
      <c r="AM118" s="330"/>
      <c r="AN118" s="1659"/>
    </row>
    <row r="119" spans="1:51" s="380" customFormat="1">
      <c r="A119" s="611" t="s">
        <v>726</v>
      </c>
      <c r="B119" s="890" t="s">
        <v>761</v>
      </c>
      <c r="C119" s="5128">
        <f t="shared" si="48"/>
        <v>3500</v>
      </c>
      <c r="D119" s="5117">
        <f t="shared" si="49"/>
        <v>0</v>
      </c>
      <c r="E119" s="5117"/>
      <c r="F119" s="5117"/>
      <c r="G119" s="5116"/>
      <c r="H119" s="5117"/>
      <c r="I119" s="5116"/>
      <c r="J119" s="5117"/>
      <c r="K119" s="5117"/>
      <c r="L119" s="5117"/>
      <c r="M119" s="5117"/>
      <c r="N119" s="5117"/>
      <c r="O119" s="5117"/>
      <c r="P119" s="330"/>
      <c r="Q119" s="330"/>
      <c r="R119" s="330"/>
      <c r="S119" s="330"/>
      <c r="T119" s="330"/>
      <c r="U119" s="330"/>
      <c r="V119" s="5117"/>
      <c r="W119" s="330"/>
      <c r="X119" s="330"/>
      <c r="Y119" s="330"/>
      <c r="Z119" s="330"/>
      <c r="AA119" s="330"/>
      <c r="AB119" s="330"/>
      <c r="AC119" s="330"/>
      <c r="AD119" s="6028">
        <f>3000+500</f>
        <v>3500</v>
      </c>
      <c r="AE119" s="330"/>
      <c r="AF119" s="330"/>
      <c r="AG119" s="330"/>
      <c r="AH119" s="5117">
        <f t="shared" si="42"/>
        <v>0</v>
      </c>
      <c r="AI119" s="330"/>
      <c r="AJ119" s="330"/>
      <c r="AK119" s="330"/>
      <c r="AL119" s="330"/>
      <c r="AM119" s="330"/>
      <c r="AN119" s="1659"/>
    </row>
    <row r="120" spans="1:51" s="380" customFormat="1">
      <c r="A120" s="611" t="s">
        <v>727</v>
      </c>
      <c r="B120" s="5878" t="s">
        <v>723</v>
      </c>
      <c r="C120" s="5128">
        <f t="shared" si="48"/>
        <v>2000</v>
      </c>
      <c r="D120" s="5117">
        <f t="shared" si="49"/>
        <v>0</v>
      </c>
      <c r="E120" s="5117"/>
      <c r="F120" s="5117"/>
      <c r="G120" s="5116"/>
      <c r="H120" s="5117"/>
      <c r="I120" s="5116"/>
      <c r="J120" s="5117"/>
      <c r="K120" s="5117"/>
      <c r="L120" s="5117"/>
      <c r="M120" s="5117"/>
      <c r="N120" s="5117"/>
      <c r="O120" s="5117"/>
      <c r="P120" s="330"/>
      <c r="Q120" s="330"/>
      <c r="R120" s="330"/>
      <c r="S120" s="330"/>
      <c r="T120" s="330"/>
      <c r="U120" s="330"/>
      <c r="V120" s="5117"/>
      <c r="W120" s="330"/>
      <c r="X120" s="330"/>
      <c r="Y120" s="330"/>
      <c r="Z120" s="330"/>
      <c r="AA120" s="330"/>
      <c r="AB120" s="330"/>
      <c r="AC120" s="330"/>
      <c r="AD120" s="330"/>
      <c r="AE120" s="6014">
        <f>1400+600</f>
        <v>2000</v>
      </c>
      <c r="AF120" s="330"/>
      <c r="AG120" s="5117"/>
      <c r="AH120" s="5117">
        <f t="shared" si="42"/>
        <v>0</v>
      </c>
      <c r="AI120" s="330"/>
      <c r="AJ120" s="330"/>
      <c r="AK120" s="330"/>
      <c r="AL120" s="330"/>
      <c r="AM120" s="330"/>
      <c r="AN120" s="1659"/>
    </row>
    <row r="121" spans="1:51" s="380" customFormat="1">
      <c r="A121" s="611" t="s">
        <v>729</v>
      </c>
      <c r="B121" s="5875" t="s">
        <v>762</v>
      </c>
      <c r="C121" s="5128">
        <f t="shared" si="48"/>
        <v>163959.4</v>
      </c>
      <c r="D121" s="5117">
        <f t="shared" si="49"/>
        <v>0</v>
      </c>
      <c r="E121" s="5117"/>
      <c r="F121" s="5117"/>
      <c r="G121" s="5116"/>
      <c r="H121" s="5117"/>
      <c r="I121" s="5116"/>
      <c r="J121" s="5117">
        <f>'[2]Phụ lục số 2'!AA13</f>
        <v>0</v>
      </c>
      <c r="K121" s="5117"/>
      <c r="L121" s="5117"/>
      <c r="M121" s="5117"/>
      <c r="N121" s="5117"/>
      <c r="O121" s="5117"/>
      <c r="P121" s="330"/>
      <c r="Q121" s="330"/>
      <c r="R121" s="330"/>
      <c r="S121" s="330"/>
      <c r="T121" s="330"/>
      <c r="U121" s="330"/>
      <c r="V121" s="5117"/>
      <c r="W121" s="330"/>
      <c r="X121" s="330"/>
      <c r="Y121" s="330"/>
      <c r="Z121" s="330"/>
      <c r="AA121" s="330"/>
      <c r="AB121" s="330"/>
      <c r="AC121" s="330"/>
      <c r="AD121" s="330"/>
      <c r="AE121" s="330"/>
      <c r="AF121" s="6028">
        <f>163959.4</f>
        <v>163959.4</v>
      </c>
      <c r="AG121" s="330"/>
      <c r="AH121" s="5117">
        <f t="shared" si="42"/>
        <v>0</v>
      </c>
      <c r="AI121" s="330"/>
      <c r="AJ121" s="330"/>
      <c r="AK121" s="330"/>
      <c r="AL121" s="330"/>
      <c r="AM121" s="330"/>
      <c r="AN121" s="1659"/>
    </row>
    <row r="122" spans="1:51" s="380" customFormat="1">
      <c r="A122" s="611" t="s">
        <v>3</v>
      </c>
      <c r="B122" s="5883" t="s">
        <v>763</v>
      </c>
      <c r="C122" s="5128">
        <f t="shared" si="48"/>
        <v>0</v>
      </c>
      <c r="D122" s="5117">
        <f t="shared" si="49"/>
        <v>0</v>
      </c>
      <c r="E122" s="5117"/>
      <c r="F122" s="5117"/>
      <c r="G122" s="5116"/>
      <c r="H122" s="5117"/>
      <c r="I122" s="5116"/>
      <c r="J122" s="5117"/>
      <c r="K122" s="5117"/>
      <c r="L122" s="5117"/>
      <c r="M122" s="5117"/>
      <c r="N122" s="5117"/>
      <c r="O122" s="5117"/>
      <c r="P122" s="330"/>
      <c r="Q122" s="330"/>
      <c r="R122" s="330"/>
      <c r="S122" s="330"/>
      <c r="T122" s="330"/>
      <c r="U122" s="330"/>
      <c r="V122" s="5117"/>
      <c r="W122" s="330"/>
      <c r="X122" s="330"/>
      <c r="Y122" s="330"/>
      <c r="Z122" s="330"/>
      <c r="AA122" s="330"/>
      <c r="AB122" s="330"/>
      <c r="AC122" s="330"/>
      <c r="AD122" s="330"/>
      <c r="AE122" s="330"/>
      <c r="AF122" s="330"/>
      <c r="AG122" s="6027"/>
      <c r="AH122" s="5117"/>
      <c r="AI122" s="330"/>
      <c r="AJ122" s="330"/>
      <c r="AK122" s="330"/>
      <c r="AL122" s="330"/>
      <c r="AM122" s="330"/>
      <c r="AN122" s="1659"/>
    </row>
    <row r="123" spans="1:51" s="380" customFormat="1" ht="34.799999999999997">
      <c r="A123" s="611" t="s">
        <v>730</v>
      </c>
      <c r="B123" s="5884" t="s">
        <v>764</v>
      </c>
      <c r="C123" s="5128">
        <f t="shared" si="48"/>
        <v>2530494</v>
      </c>
      <c r="D123" s="5117">
        <f t="shared" si="49"/>
        <v>0</v>
      </c>
      <c r="E123" s="5117"/>
      <c r="F123" s="5117"/>
      <c r="G123" s="5116"/>
      <c r="H123" s="5117"/>
      <c r="I123" s="5116"/>
      <c r="J123" s="5117"/>
      <c r="K123" s="5117"/>
      <c r="L123" s="5117"/>
      <c r="M123" s="5117"/>
      <c r="N123" s="5117"/>
      <c r="O123" s="5117"/>
      <c r="P123" s="330"/>
      <c r="Q123" s="330"/>
      <c r="R123" s="330"/>
      <c r="S123" s="330"/>
      <c r="T123" s="330"/>
      <c r="U123" s="330"/>
      <c r="V123" s="5117"/>
      <c r="W123" s="330"/>
      <c r="X123" s="330"/>
      <c r="Y123" s="330"/>
      <c r="Z123" s="330"/>
      <c r="AA123" s="330"/>
      <c r="AB123" s="330"/>
      <c r="AC123" s="330"/>
      <c r="AD123" s="330"/>
      <c r="AE123" s="330"/>
      <c r="AF123" s="330"/>
      <c r="AG123" s="330"/>
      <c r="AH123" s="6029">
        <f t="shared" si="42"/>
        <v>2530494</v>
      </c>
      <c r="AI123" s="5117">
        <f>'Phụ lục số 6'!D6</f>
        <v>2530494</v>
      </c>
      <c r="AJ123" s="330"/>
      <c r="AK123" s="330"/>
      <c r="AL123" s="330"/>
      <c r="AM123" s="330"/>
      <c r="AN123" s="1659"/>
    </row>
    <row r="124" spans="1:51" s="380" customFormat="1" ht="34.799999999999997">
      <c r="A124" s="611" t="s">
        <v>731</v>
      </c>
      <c r="B124" s="5878" t="s">
        <v>765</v>
      </c>
      <c r="C124" s="5128">
        <f t="shared" si="48"/>
        <v>0</v>
      </c>
      <c r="D124" s="5117">
        <f t="shared" si="49"/>
        <v>0</v>
      </c>
      <c r="E124" s="5117"/>
      <c r="F124" s="5117"/>
      <c r="G124" s="5116"/>
      <c r="H124" s="5117"/>
      <c r="I124" s="5116"/>
      <c r="J124" s="5117"/>
      <c r="K124" s="5117"/>
      <c r="L124" s="5117"/>
      <c r="M124" s="5117"/>
      <c r="N124" s="5117"/>
      <c r="O124" s="5117"/>
      <c r="P124" s="330"/>
      <c r="Q124" s="330"/>
      <c r="R124" s="330"/>
      <c r="S124" s="330"/>
      <c r="T124" s="330"/>
      <c r="U124" s="330"/>
      <c r="V124" s="5117"/>
      <c r="W124" s="330"/>
      <c r="X124" s="330"/>
      <c r="Y124" s="330"/>
      <c r="Z124" s="330"/>
      <c r="AA124" s="330"/>
      <c r="AB124" s="330"/>
      <c r="AC124" s="330"/>
      <c r="AD124" s="330"/>
      <c r="AE124" s="330"/>
      <c r="AF124" s="330"/>
      <c r="AG124" s="330"/>
      <c r="AH124" s="5117">
        <f t="shared" si="42"/>
        <v>0</v>
      </c>
      <c r="AI124" s="330"/>
      <c r="AJ124" s="330"/>
      <c r="AK124" s="330"/>
      <c r="AL124" s="330"/>
      <c r="AM124" s="330"/>
      <c r="AN124" s="1659"/>
    </row>
    <row r="125" spans="1:51" s="380" customFormat="1" ht="34.799999999999997">
      <c r="A125" s="611" t="s">
        <v>732</v>
      </c>
      <c r="B125" s="4782" t="s">
        <v>3249</v>
      </c>
      <c r="C125" s="5128">
        <f>D125+P125+AD125+AE125+AH125+AL125+AF125+AG125+AK125+AM125</f>
        <v>5553.7960000000003</v>
      </c>
      <c r="D125" s="5117">
        <f t="shared" si="49"/>
        <v>0</v>
      </c>
      <c r="E125" s="5117"/>
      <c r="F125" s="5117"/>
      <c r="G125" s="5116"/>
      <c r="H125" s="5117"/>
      <c r="I125" s="5116"/>
      <c r="J125" s="5117"/>
      <c r="K125" s="5117"/>
      <c r="L125" s="5117"/>
      <c r="M125" s="5117"/>
      <c r="N125" s="5117"/>
      <c r="O125" s="5117"/>
      <c r="P125" s="330"/>
      <c r="Q125" s="330"/>
      <c r="R125" s="330"/>
      <c r="S125" s="330"/>
      <c r="T125" s="330"/>
      <c r="U125" s="330"/>
      <c r="V125" s="5117"/>
      <c r="W125" s="330"/>
      <c r="X125" s="330"/>
      <c r="Y125" s="330"/>
      <c r="Z125" s="330"/>
      <c r="AA125" s="330"/>
      <c r="AB125" s="330"/>
      <c r="AC125" s="330"/>
      <c r="AD125" s="330"/>
      <c r="AE125" s="330"/>
      <c r="AF125" s="330"/>
      <c r="AG125" s="330"/>
      <c r="AH125" s="5117"/>
      <c r="AI125" s="330"/>
      <c r="AJ125" s="330"/>
      <c r="AK125" s="330"/>
      <c r="AL125" s="330"/>
      <c r="AM125" s="329">
        <f>+'Phụ lục số 1'!U56</f>
        <v>5553.7960000000003</v>
      </c>
      <c r="AN125" s="1657"/>
    </row>
    <row r="126" spans="1:51" s="380" customFormat="1">
      <c r="A126" s="5241" t="s">
        <v>3173</v>
      </c>
      <c r="B126" s="5885" t="s">
        <v>3174</v>
      </c>
      <c r="C126" s="5976"/>
      <c r="D126" s="6030"/>
      <c r="E126" s="6030"/>
      <c r="F126" s="6030"/>
      <c r="G126" s="6031"/>
      <c r="H126" s="6030"/>
      <c r="I126" s="6031"/>
      <c r="J126" s="6030"/>
      <c r="K126" s="6030"/>
      <c r="L126" s="6030"/>
      <c r="M126" s="6030"/>
      <c r="N126" s="6030"/>
      <c r="O126" s="6030"/>
      <c r="P126" s="5182"/>
      <c r="Q126" s="5182"/>
      <c r="R126" s="5182"/>
      <c r="S126" s="5182"/>
      <c r="T126" s="5182"/>
      <c r="U126" s="5182"/>
      <c r="V126" s="6030"/>
      <c r="W126" s="5182"/>
      <c r="X126" s="5182"/>
      <c r="Y126" s="5182"/>
      <c r="Z126" s="5182"/>
      <c r="AA126" s="5182"/>
      <c r="AB126" s="5182"/>
      <c r="AC126" s="5182"/>
      <c r="AD126" s="5182"/>
      <c r="AE126" s="5182"/>
      <c r="AF126" s="5182"/>
      <c r="AG126" s="5182"/>
      <c r="AH126" s="6030"/>
      <c r="AI126" s="5182"/>
      <c r="AJ126" s="5182"/>
      <c r="AK126" s="5182"/>
      <c r="AL126" s="5182"/>
      <c r="AM126" s="5181"/>
      <c r="AN126" s="5255">
        <v>186700</v>
      </c>
    </row>
    <row r="127" spans="1:51" s="380" customFormat="1" ht="18.600000000000001" thickBot="1">
      <c r="A127" s="632" t="s">
        <v>3248</v>
      </c>
      <c r="B127" s="5887" t="s">
        <v>733</v>
      </c>
      <c r="C127" s="5980">
        <f>D127+P127+AD127+AE127+AH127+AL127+AF127+AG127+AK127</f>
        <v>7078351.9069999997</v>
      </c>
      <c r="D127" s="6032">
        <f t="shared" ref="D127" si="50">SUM(E127:K127)</f>
        <v>0</v>
      </c>
      <c r="E127" s="6032"/>
      <c r="F127" s="6032"/>
      <c r="G127" s="6033"/>
      <c r="H127" s="6032"/>
      <c r="I127" s="6033"/>
      <c r="J127" s="6032"/>
      <c r="K127" s="6032"/>
      <c r="L127" s="6032"/>
      <c r="M127" s="6032"/>
      <c r="N127" s="6032"/>
      <c r="O127" s="6032"/>
      <c r="P127" s="5187"/>
      <c r="Q127" s="5187"/>
      <c r="R127" s="5187"/>
      <c r="S127" s="5187"/>
      <c r="T127" s="5187"/>
      <c r="U127" s="5187"/>
      <c r="V127" s="6032"/>
      <c r="W127" s="5187"/>
      <c r="X127" s="5187"/>
      <c r="Y127" s="5187"/>
      <c r="Z127" s="5187"/>
      <c r="AA127" s="5187"/>
      <c r="AB127" s="5187"/>
      <c r="AC127" s="5187"/>
      <c r="AD127" s="5187"/>
      <c r="AE127" s="5187"/>
      <c r="AF127" s="5187"/>
      <c r="AG127" s="5187"/>
      <c r="AH127" s="5187"/>
      <c r="AI127" s="5187"/>
      <c r="AJ127" s="5187"/>
      <c r="AK127" s="5187"/>
      <c r="AL127" s="6032">
        <f>'Phụ lục số 7'!E36</f>
        <v>7078351.9069999997</v>
      </c>
      <c r="AM127" s="5187"/>
      <c r="AN127" s="6034"/>
    </row>
    <row r="128" spans="1:51" ht="18.600000000000001" thickTop="1"/>
    <row r="129" spans="1:33" hidden="1">
      <c r="B129" s="386" t="s">
        <v>1796</v>
      </c>
      <c r="AF129" s="5137"/>
    </row>
    <row r="130" spans="1:33" hidden="1">
      <c r="A130" s="641" t="s">
        <v>1</v>
      </c>
      <c r="B130" s="386" t="s">
        <v>1802</v>
      </c>
    </row>
    <row r="131" spans="1:33" s="386" customFormat="1" hidden="1">
      <c r="A131" s="641">
        <v>1</v>
      </c>
      <c r="B131" s="386" t="s">
        <v>1798</v>
      </c>
      <c r="G131" s="4426"/>
      <c r="I131" s="4426"/>
      <c r="P131" s="656">
        <f t="shared" ref="P131:P133" si="51">SUM(Q131:AC131)</f>
        <v>35102</v>
      </c>
      <c r="Q131" s="685">
        <f>SUM(Q132:Q135)</f>
        <v>23226</v>
      </c>
      <c r="R131" s="685">
        <f>SUM(R132:R135)</f>
        <v>55</v>
      </c>
      <c r="U131" s="685">
        <f>SUM(U132:U135)</f>
        <v>3328</v>
      </c>
      <c r="Y131" s="685">
        <f>SUM(Y132:Y135)</f>
        <v>242</v>
      </c>
      <c r="Z131" s="685">
        <f>SUM(Z132:Z135)+8</f>
        <v>3278</v>
      </c>
      <c r="AA131" s="685">
        <f>SUM(AA132:AA135)</f>
        <v>4764</v>
      </c>
      <c r="AB131" s="685">
        <f>SUM(AB132:AB135)</f>
        <v>209</v>
      </c>
      <c r="AC131" s="685">
        <f>SUM(AC132:AC135)</f>
        <v>0</v>
      </c>
    </row>
    <row r="132" spans="1:33" s="380" customFormat="1" hidden="1">
      <c r="A132" s="382" t="s">
        <v>1797</v>
      </c>
      <c r="B132" s="2884" t="s">
        <v>1799</v>
      </c>
      <c r="C132" s="635"/>
      <c r="D132" s="635"/>
      <c r="E132" s="635"/>
      <c r="F132" s="635"/>
      <c r="G132" s="5401"/>
      <c r="H132" s="635"/>
      <c r="I132" s="5401"/>
      <c r="J132" s="635"/>
      <c r="K132" s="635"/>
      <c r="L132" s="635"/>
      <c r="M132" s="635"/>
      <c r="N132" s="635"/>
      <c r="O132" s="635"/>
      <c r="P132" s="656">
        <f t="shared" si="51"/>
        <v>20153</v>
      </c>
      <c r="Q132" s="635">
        <v>15770</v>
      </c>
      <c r="R132" s="635"/>
      <c r="S132" s="635"/>
      <c r="T132" s="635"/>
      <c r="U132" s="5113">
        <v>0</v>
      </c>
      <c r="V132" s="635"/>
      <c r="W132" s="635"/>
      <c r="X132" s="635"/>
      <c r="Y132" s="5113">
        <v>82</v>
      </c>
      <c r="Z132" s="5113">
        <v>2312</v>
      </c>
      <c r="AA132" s="635">
        <v>1989</v>
      </c>
      <c r="AB132" s="5113"/>
      <c r="AC132" s="635"/>
      <c r="AD132" s="635"/>
      <c r="AE132" s="635"/>
    </row>
    <row r="133" spans="1:33" s="617" customFormat="1" hidden="1">
      <c r="A133" s="636" t="s">
        <v>1797</v>
      </c>
      <c r="B133" s="2884" t="s">
        <v>1800</v>
      </c>
      <c r="C133" s="638"/>
      <c r="P133" s="656">
        <f t="shared" si="51"/>
        <v>13422</v>
      </c>
      <c r="Q133" s="617">
        <v>7456</v>
      </c>
      <c r="R133" s="2712">
        <v>55</v>
      </c>
      <c r="S133" s="639"/>
      <c r="T133" s="639"/>
      <c r="U133" s="2712">
        <v>1809</v>
      </c>
      <c r="V133" s="639"/>
      <c r="W133" s="639"/>
      <c r="X133" s="639"/>
      <c r="Y133" s="2712">
        <v>160</v>
      </c>
      <c r="Z133" s="2712">
        <f>958</f>
        <v>958</v>
      </c>
      <c r="AA133" s="2712">
        <v>2775</v>
      </c>
      <c r="AB133" s="2712">
        <v>209</v>
      </c>
      <c r="AC133" s="639"/>
      <c r="AD133" s="640"/>
      <c r="AE133" s="640"/>
    </row>
    <row r="134" spans="1:33" s="386" customFormat="1" hidden="1">
      <c r="A134" s="641" t="s">
        <v>1797</v>
      </c>
      <c r="B134" s="666" t="s">
        <v>1801</v>
      </c>
      <c r="C134" s="643"/>
      <c r="D134" s="644"/>
      <c r="E134" s="644"/>
      <c r="F134" s="642"/>
      <c r="G134" s="5402"/>
      <c r="H134" s="642"/>
      <c r="I134" s="5402"/>
      <c r="J134" s="642"/>
      <c r="K134" s="642"/>
      <c r="L134" s="642"/>
      <c r="M134" s="642"/>
      <c r="N134" s="642"/>
      <c r="O134" s="642"/>
      <c r="P134" s="656">
        <f>SUM(Q134:AC134)</f>
        <v>1519</v>
      </c>
      <c r="Q134" s="656"/>
      <c r="R134" s="644"/>
      <c r="S134" s="644"/>
      <c r="T134" s="644"/>
      <c r="U134" s="3872">
        <v>1519</v>
      </c>
      <c r="V134" s="644"/>
      <c r="W134" s="644"/>
      <c r="X134" s="644"/>
      <c r="Y134" s="3872"/>
      <c r="Z134" s="3872"/>
      <c r="AA134" s="644"/>
      <c r="AB134" s="3872"/>
      <c r="AC134" s="644"/>
      <c r="AD134" s="644"/>
      <c r="AE134" s="644"/>
    </row>
    <row r="135" spans="1:33" s="386" customFormat="1" hidden="1">
      <c r="A135" s="641" t="s">
        <v>1797</v>
      </c>
      <c r="B135" s="666" t="s">
        <v>1806</v>
      </c>
      <c r="C135" s="643"/>
      <c r="D135" s="644"/>
      <c r="E135" s="644"/>
      <c r="F135" s="642"/>
      <c r="G135" s="5402"/>
      <c r="H135" s="642"/>
      <c r="I135" s="5402"/>
      <c r="J135" s="642"/>
      <c r="K135" s="642"/>
      <c r="L135" s="642"/>
      <c r="M135" s="642"/>
      <c r="N135" s="642"/>
      <c r="O135" s="642"/>
      <c r="P135" s="656"/>
      <c r="Q135" s="656"/>
      <c r="R135" s="644"/>
      <c r="S135" s="644"/>
      <c r="T135" s="644"/>
      <c r="U135" s="644"/>
      <c r="V135" s="644"/>
      <c r="W135" s="644"/>
      <c r="X135" s="644"/>
      <c r="Y135" s="3872"/>
      <c r="Z135" s="3872"/>
      <c r="AA135" s="644"/>
      <c r="AB135" s="3872"/>
      <c r="AC135" s="644"/>
      <c r="AD135" s="644"/>
      <c r="AE135" s="644"/>
    </row>
    <row r="136" spans="1:33" s="386" customFormat="1" hidden="1">
      <c r="A136" s="641">
        <v>2</v>
      </c>
      <c r="B136" s="642" t="s">
        <v>3213</v>
      </c>
      <c r="C136" s="643"/>
      <c r="D136" s="644"/>
      <c r="E136" s="644"/>
      <c r="F136" s="642"/>
      <c r="G136" s="5402"/>
      <c r="H136" s="642"/>
      <c r="I136" s="5402"/>
      <c r="J136" s="642"/>
      <c r="K136" s="642"/>
      <c r="L136" s="642"/>
      <c r="M136" s="642"/>
      <c r="N136" s="642"/>
      <c r="O136" s="642"/>
      <c r="P136" s="656">
        <f>SUM(Q136:AC136)</f>
        <v>1250787</v>
      </c>
      <c r="Q136" s="656">
        <v>544400</v>
      </c>
      <c r="R136" s="644">
        <v>2415</v>
      </c>
      <c r="S136" s="644"/>
      <c r="T136" s="644"/>
      <c r="U136" s="644">
        <v>368810</v>
      </c>
      <c r="V136" s="644"/>
      <c r="W136" s="644"/>
      <c r="X136" s="644"/>
      <c r="Y136" s="644">
        <v>9235</v>
      </c>
      <c r="Z136" s="644">
        <v>45966</v>
      </c>
      <c r="AA136" s="644">
        <v>161404</v>
      </c>
      <c r="AB136" s="644">
        <v>11881</v>
      </c>
      <c r="AC136" s="644">
        <f>106676</f>
        <v>106676</v>
      </c>
      <c r="AD136" s="644"/>
      <c r="AE136" s="644"/>
    </row>
    <row r="137" spans="1:33" s="380" customFormat="1" ht="21" hidden="1">
      <c r="A137" s="382">
        <v>3</v>
      </c>
      <c r="B137" s="5139" t="s">
        <v>3212</v>
      </c>
      <c r="C137" s="635"/>
      <c r="D137" s="647"/>
      <c r="E137" s="648"/>
      <c r="F137" s="649"/>
      <c r="G137" s="5403"/>
      <c r="H137" s="649"/>
      <c r="I137" s="5403"/>
      <c r="J137" s="649"/>
      <c r="K137" s="649"/>
      <c r="L137" s="649"/>
      <c r="M137" s="649"/>
      <c r="N137" s="649"/>
      <c r="O137" s="649"/>
      <c r="P137" s="656">
        <f>SUM(Q137:AC137)</f>
        <v>368563</v>
      </c>
      <c r="Q137" s="2885">
        <v>161756</v>
      </c>
      <c r="R137" s="650">
        <v>502</v>
      </c>
      <c r="S137" s="650"/>
      <c r="T137" s="650"/>
      <c r="U137" s="651">
        <v>122784</v>
      </c>
      <c r="V137" s="652"/>
      <c r="W137" s="650"/>
      <c r="X137" s="650"/>
      <c r="Y137" s="650">
        <v>2246</v>
      </c>
      <c r="Z137" s="650">
        <v>10187</v>
      </c>
      <c r="AA137" s="652">
        <v>35906</v>
      </c>
      <c r="AB137" s="650">
        <v>2472</v>
      </c>
      <c r="AC137" s="652">
        <f>139386-AC136</f>
        <v>32710</v>
      </c>
      <c r="AD137" s="652"/>
      <c r="AE137" s="652"/>
      <c r="AG137" s="2886"/>
    </row>
    <row r="138" spans="1:33" s="386" customFormat="1" hidden="1">
      <c r="A138" s="641">
        <v>4</v>
      </c>
      <c r="B138" s="654" t="s">
        <v>3214</v>
      </c>
      <c r="C138" s="643"/>
      <c r="D138" s="644"/>
      <c r="E138" s="644"/>
      <c r="F138" s="644"/>
      <c r="G138" s="5404"/>
      <c r="H138" s="644"/>
      <c r="I138" s="5404"/>
      <c r="J138" s="642"/>
      <c r="K138" s="642"/>
      <c r="L138" s="642"/>
      <c r="M138" s="642"/>
      <c r="N138" s="642"/>
      <c r="O138" s="642"/>
      <c r="P138" s="656">
        <f>SUM(Q138:AC138)</f>
        <v>333461</v>
      </c>
      <c r="Q138" s="644">
        <f>+Q137-Q131</f>
        <v>138530</v>
      </c>
      <c r="R138" s="644">
        <f>+R137-R131</f>
        <v>447</v>
      </c>
      <c r="S138" s="644"/>
      <c r="T138" s="644"/>
      <c r="U138" s="644">
        <f>+U137-U131</f>
        <v>119456</v>
      </c>
      <c r="V138" s="644"/>
      <c r="W138" s="644"/>
      <c r="X138" s="644"/>
      <c r="Y138" s="644">
        <f>+Y137-Y131</f>
        <v>2004</v>
      </c>
      <c r="Z138" s="644">
        <f>+Z137-Z131</f>
        <v>6909</v>
      </c>
      <c r="AA138" s="644">
        <f>+AA137-AA131</f>
        <v>31142</v>
      </c>
      <c r="AB138" s="644">
        <f>+AB137-AB131</f>
        <v>2263</v>
      </c>
      <c r="AC138" s="644">
        <f>AC137-AC131</f>
        <v>32710</v>
      </c>
      <c r="AD138" s="644"/>
      <c r="AE138" s="644"/>
    </row>
    <row r="139" spans="1:33" s="386" customFormat="1" hidden="1">
      <c r="A139" s="641"/>
      <c r="B139" s="654"/>
      <c r="C139" s="643"/>
      <c r="D139" s="644"/>
      <c r="E139" s="644"/>
      <c r="F139" s="644"/>
      <c r="G139" s="5404"/>
      <c r="H139" s="644"/>
      <c r="I139" s="5404"/>
      <c r="J139" s="642"/>
      <c r="K139" s="642"/>
      <c r="L139" s="642"/>
      <c r="M139" s="642"/>
      <c r="N139" s="642"/>
      <c r="O139" s="642"/>
      <c r="P139" s="656"/>
      <c r="Q139" s="656"/>
      <c r="R139" s="644"/>
      <c r="S139" s="644"/>
      <c r="T139" s="644"/>
      <c r="U139" s="644"/>
      <c r="V139" s="644"/>
      <c r="W139" s="644"/>
      <c r="X139" s="644"/>
      <c r="Y139" s="644"/>
      <c r="Z139" s="644"/>
      <c r="AA139" s="644"/>
      <c r="AB139" s="644"/>
      <c r="AC139" s="644"/>
      <c r="AD139" s="644"/>
      <c r="AE139" s="644"/>
    </row>
    <row r="140" spans="1:33" s="386" customFormat="1" hidden="1">
      <c r="A140" s="641" t="s">
        <v>37</v>
      </c>
      <c r="B140" s="654" t="s">
        <v>1803</v>
      </c>
      <c r="C140" s="643"/>
      <c r="D140" s="644"/>
      <c r="E140" s="644"/>
      <c r="F140" s="644"/>
      <c r="G140" s="5404"/>
      <c r="H140" s="644"/>
      <c r="I140" s="5404"/>
      <c r="J140" s="642"/>
      <c r="K140" s="642"/>
      <c r="L140" s="642"/>
      <c r="M140" s="642"/>
      <c r="N140" s="642"/>
      <c r="O140" s="642"/>
      <c r="P140" s="5129">
        <f t="shared" ref="P140:P143" si="52">SUM(Q140:AC140)</f>
        <v>4150</v>
      </c>
      <c r="Q140" s="5130"/>
      <c r="R140" s="5131"/>
      <c r="S140" s="5131"/>
      <c r="T140" s="5131"/>
      <c r="U140" s="5131"/>
      <c r="V140" s="5131"/>
      <c r="W140" s="5131"/>
      <c r="X140" s="5131"/>
      <c r="Y140" s="5131"/>
      <c r="Z140" s="5131"/>
      <c r="AA140" s="5131">
        <f>+[33]Sheet1!$O$4</f>
        <v>4150</v>
      </c>
      <c r="AB140" s="5131"/>
      <c r="AC140" s="5131"/>
      <c r="AD140" s="644"/>
      <c r="AE140" s="644"/>
    </row>
    <row r="141" spans="1:33" s="386" customFormat="1" hidden="1">
      <c r="A141" s="641"/>
      <c r="B141" s="654"/>
      <c r="C141" s="643"/>
      <c r="D141" s="644"/>
      <c r="E141" s="644"/>
      <c r="F141" s="644"/>
      <c r="G141" s="5404"/>
      <c r="H141" s="644"/>
      <c r="I141" s="5404"/>
      <c r="J141" s="642"/>
      <c r="K141" s="642"/>
      <c r="L141" s="642"/>
      <c r="M141" s="642"/>
      <c r="N141" s="642"/>
      <c r="O141" s="642"/>
      <c r="P141" s="5129">
        <f t="shared" si="52"/>
        <v>0</v>
      </c>
      <c r="Q141" s="5130"/>
      <c r="R141" s="5131"/>
      <c r="S141" s="5131"/>
      <c r="T141" s="5131"/>
      <c r="U141" s="5131"/>
      <c r="V141" s="5131"/>
      <c r="W141" s="5131"/>
      <c r="X141" s="5131"/>
      <c r="Y141" s="5131"/>
      <c r="Z141" s="5131"/>
      <c r="AA141" s="5131"/>
      <c r="AB141" s="5131"/>
      <c r="AC141" s="5131"/>
      <c r="AD141" s="644"/>
      <c r="AE141" s="644"/>
    </row>
    <row r="142" spans="1:33" s="386" customFormat="1" hidden="1">
      <c r="A142" s="641" t="s">
        <v>44</v>
      </c>
      <c r="B142" s="654" t="s">
        <v>1804</v>
      </c>
      <c r="C142" s="643"/>
      <c r="D142" s="644" t="s">
        <v>117</v>
      </c>
      <c r="E142" s="644"/>
      <c r="F142" s="644"/>
      <c r="G142" s="5404"/>
      <c r="H142" s="644"/>
      <c r="I142" s="5404"/>
      <c r="J142" s="642"/>
      <c r="K142" s="642"/>
      <c r="L142" s="642"/>
      <c r="M142" s="642"/>
      <c r="N142" s="642"/>
      <c r="O142" s="642"/>
      <c r="P142" s="5129">
        <f t="shared" si="52"/>
        <v>69292</v>
      </c>
      <c r="Q142" s="5130"/>
      <c r="R142" s="5130"/>
      <c r="S142" s="5130"/>
      <c r="T142" s="5130"/>
      <c r="U142" s="5130"/>
      <c r="V142" s="5130"/>
      <c r="W142" s="5130"/>
      <c r="X142" s="5130"/>
      <c r="Y142" s="5130"/>
      <c r="Z142" s="5130"/>
      <c r="AA142" s="5130">
        <f>+[33]Sheet1!$P$4</f>
        <v>69292</v>
      </c>
      <c r="AB142" s="5130"/>
      <c r="AC142" s="5130"/>
      <c r="AD142" s="644"/>
      <c r="AE142" s="644"/>
    </row>
    <row r="143" spans="1:33" s="386" customFormat="1" hidden="1">
      <c r="A143" s="641"/>
      <c r="B143" s="654"/>
      <c r="C143" s="643"/>
      <c r="D143" s="644"/>
      <c r="E143" s="644"/>
      <c r="F143" s="644"/>
      <c r="G143" s="5404"/>
      <c r="H143" s="644"/>
      <c r="I143" s="5404"/>
      <c r="J143" s="642"/>
      <c r="K143" s="642"/>
      <c r="L143" s="642"/>
      <c r="M143" s="642"/>
      <c r="N143" s="642"/>
      <c r="O143" s="642"/>
      <c r="P143" s="5129">
        <f t="shared" si="52"/>
        <v>0</v>
      </c>
      <c r="Q143" s="5130"/>
      <c r="R143" s="5131"/>
      <c r="S143" s="5131"/>
      <c r="T143" s="5131"/>
      <c r="U143" s="5131"/>
      <c r="V143" s="5131"/>
      <c r="W143" s="5131"/>
      <c r="X143" s="5131"/>
      <c r="Y143" s="5131"/>
      <c r="Z143" s="5131"/>
      <c r="AA143" s="5131"/>
      <c r="AB143" s="5131"/>
      <c r="AC143" s="5131"/>
      <c r="AD143" s="644"/>
      <c r="AE143" s="644"/>
    </row>
    <row r="144" spans="1:33" s="380" customFormat="1" hidden="1">
      <c r="A144" s="382" t="s">
        <v>46</v>
      </c>
      <c r="B144" s="634" t="s">
        <v>1805</v>
      </c>
      <c r="C144" s="635"/>
      <c r="D144" s="647"/>
      <c r="E144" s="647"/>
      <c r="F144" s="647"/>
      <c r="G144" s="5406"/>
      <c r="H144" s="647"/>
      <c r="I144" s="5406"/>
      <c r="J144" s="649"/>
      <c r="K144" s="649"/>
      <c r="L144" s="649"/>
      <c r="M144" s="649"/>
      <c r="N144" s="649"/>
      <c r="O144" s="649"/>
      <c r="P144" s="5129">
        <f>SUM(Q144:AC144)</f>
        <v>263002.38899999997</v>
      </c>
      <c r="Q144" s="5132">
        <f>+[33]Sheet1!$H$4</f>
        <v>60051</v>
      </c>
      <c r="R144" s="5133">
        <f>+[33]Sheet1!$G$4</f>
        <v>1132.472</v>
      </c>
      <c r="S144" s="5133"/>
      <c r="T144" s="5133"/>
      <c r="U144" s="5133"/>
      <c r="V144" s="5133"/>
      <c r="W144" s="5133">
        <f>+[33]Sheet1!$K$4</f>
        <v>29448.800000000003</v>
      </c>
      <c r="X144" s="5133"/>
      <c r="Y144" s="5133">
        <f>+[33]Sheet1!$F$4</f>
        <v>36299.116999999998</v>
      </c>
      <c r="Z144" s="5133">
        <f>+[33]Sheet1!$E$4</f>
        <v>117981</v>
      </c>
      <c r="AA144" s="5133">
        <f>+[33]Sheet1!$N$4</f>
        <v>18090</v>
      </c>
      <c r="AB144" s="5133"/>
      <c r="AC144" s="5133"/>
      <c r="AD144" s="647"/>
      <c r="AE144" s="647"/>
    </row>
    <row r="145" spans="1:41" s="386" customFormat="1" hidden="1">
      <c r="A145" s="641"/>
      <c r="B145" s="654" t="s">
        <v>3217</v>
      </c>
      <c r="C145" s="643"/>
      <c r="D145" s="644"/>
      <c r="E145" s="644"/>
      <c r="F145" s="644"/>
      <c r="G145" s="5404"/>
      <c r="H145" s="644"/>
      <c r="I145" s="5404"/>
      <c r="J145" s="642"/>
      <c r="K145" s="642"/>
      <c r="L145" s="642"/>
      <c r="M145" s="642"/>
      <c r="N145" s="642"/>
      <c r="O145" s="642"/>
      <c r="P145" s="5130">
        <f t="shared" ref="P145:AC145" si="53">+P144+P142+P140</f>
        <v>336444.38899999997</v>
      </c>
      <c r="Q145" s="5130">
        <f t="shared" si="53"/>
        <v>60051</v>
      </c>
      <c r="R145" s="5130">
        <f t="shared" si="53"/>
        <v>1132.472</v>
      </c>
      <c r="S145" s="5130">
        <f t="shared" si="53"/>
        <v>0</v>
      </c>
      <c r="T145" s="5130">
        <f t="shared" si="53"/>
        <v>0</v>
      </c>
      <c r="U145" s="5130">
        <f t="shared" si="53"/>
        <v>0</v>
      </c>
      <c r="V145" s="5130">
        <f t="shared" si="53"/>
        <v>0</v>
      </c>
      <c r="W145" s="5130">
        <f t="shared" si="53"/>
        <v>29448.800000000003</v>
      </c>
      <c r="X145" s="5130">
        <f t="shared" si="53"/>
        <v>0</v>
      </c>
      <c r="Y145" s="5130">
        <f t="shared" si="53"/>
        <v>36299.116999999998</v>
      </c>
      <c r="Z145" s="5130">
        <f t="shared" si="53"/>
        <v>117981</v>
      </c>
      <c r="AA145" s="5130">
        <f t="shared" si="53"/>
        <v>91532</v>
      </c>
      <c r="AB145" s="5130">
        <f t="shared" si="53"/>
        <v>0</v>
      </c>
      <c r="AC145" s="5130">
        <f t="shared" si="53"/>
        <v>0</v>
      </c>
      <c r="AD145" s="644"/>
      <c r="AE145" s="644"/>
    </row>
    <row r="146" spans="1:41" s="386" customFormat="1" hidden="1">
      <c r="A146" s="641"/>
      <c r="B146" s="654"/>
      <c r="C146" s="643"/>
      <c r="D146" s="644"/>
      <c r="E146" s="644"/>
      <c r="F146" s="644"/>
      <c r="G146" s="5404"/>
      <c r="H146" s="644"/>
      <c r="I146" s="5404"/>
      <c r="J146" s="642"/>
      <c r="K146" s="642"/>
      <c r="L146" s="642"/>
      <c r="M146" s="642"/>
      <c r="N146" s="642"/>
      <c r="O146" s="642"/>
      <c r="P146" s="656"/>
      <c r="Q146" s="656"/>
      <c r="R146" s="644"/>
      <c r="S146" s="644"/>
      <c r="T146" s="644"/>
      <c r="U146" s="644"/>
      <c r="V146" s="644"/>
      <c r="W146" s="644"/>
      <c r="X146" s="644"/>
      <c r="Y146" s="644"/>
      <c r="Z146" s="644"/>
      <c r="AA146" s="644"/>
      <c r="AB146" s="644"/>
      <c r="AC146" s="644"/>
      <c r="AD146" s="644"/>
      <c r="AE146" s="644"/>
    </row>
    <row r="147" spans="1:41" s="386" customFormat="1" hidden="1">
      <c r="A147" s="641"/>
      <c r="B147" s="654"/>
      <c r="C147" s="643">
        <f>+D148+P148+AD148+AE148+AF148+AG148</f>
        <v>7138083.9620000003</v>
      </c>
      <c r="D147" s="644">
        <f>+D149+P149+AD149+AE149+AF149</f>
        <v>6881769.612663866</v>
      </c>
      <c r="E147" s="644"/>
      <c r="F147" s="644"/>
      <c r="G147" s="5404"/>
      <c r="H147" s="644"/>
      <c r="I147" s="5404"/>
      <c r="J147" s="642"/>
      <c r="K147" s="642"/>
      <c r="L147" s="642"/>
      <c r="M147" s="642"/>
      <c r="N147" s="642"/>
      <c r="O147" s="642"/>
      <c r="P147" s="656"/>
      <c r="Q147" s="656"/>
      <c r="R147" s="644"/>
      <c r="S147" s="644"/>
      <c r="T147" s="644"/>
      <c r="U147" s="644"/>
      <c r="V147" s="644"/>
      <c r="W147" s="644"/>
      <c r="X147" s="644"/>
      <c r="Y147" s="4779"/>
      <c r="Z147" s="644"/>
      <c r="AA147" s="644"/>
      <c r="AB147" s="644"/>
      <c r="AC147" s="644"/>
      <c r="AD147" s="644"/>
      <c r="AE147" s="644"/>
    </row>
    <row r="148" spans="1:41" s="386" customFormat="1" hidden="1">
      <c r="A148" s="641"/>
      <c r="B148" s="654" t="s">
        <v>3113</v>
      </c>
      <c r="C148" s="656">
        <f>D148+P148+AD148+AE148+AF148+AG148+AH148+AK148+AL148</f>
        <v>14210382.962000001</v>
      </c>
      <c r="D148" s="656">
        <f>SUM(E148:K148)</f>
        <v>3607240.162</v>
      </c>
      <c r="E148" s="656">
        <v>562186</v>
      </c>
      <c r="F148" s="656">
        <v>627000</v>
      </c>
      <c r="G148" s="5407"/>
      <c r="H148" s="656">
        <v>1950000</v>
      </c>
      <c r="I148" s="5407"/>
      <c r="J148" s="4760">
        <f>408054162000/1000000</f>
        <v>408054.16200000001</v>
      </c>
      <c r="K148" s="656">
        <v>60000</v>
      </c>
      <c r="L148" s="656"/>
      <c r="M148" s="656"/>
      <c r="N148" s="656"/>
      <c r="O148" s="656"/>
      <c r="P148" s="656">
        <f>SUM(Q148:AC148)</f>
        <v>3294440.4</v>
      </c>
      <c r="Q148" s="656">
        <v>956676</v>
      </c>
      <c r="R148" s="644">
        <v>31218</v>
      </c>
      <c r="S148" s="644">
        <f>83000+14327+51000</f>
        <v>148327</v>
      </c>
      <c r="T148" s="644"/>
      <c r="U148" s="644">
        <v>828538</v>
      </c>
      <c r="V148" s="644">
        <v>47888</v>
      </c>
      <c r="W148" s="644">
        <v>18073</v>
      </c>
      <c r="X148" s="644">
        <v>37202</v>
      </c>
      <c r="Y148" s="644">
        <v>67965</v>
      </c>
      <c r="Z148" s="644">
        <v>545710</v>
      </c>
      <c r="AA148" s="644">
        <v>515458</v>
      </c>
      <c r="AB148" s="655">
        <v>77385.399999999994</v>
      </c>
      <c r="AC148" s="644">
        <v>20000</v>
      </c>
      <c r="AD148" s="644">
        <v>3000</v>
      </c>
      <c r="AE148" s="644">
        <v>2000</v>
      </c>
      <c r="AF148" s="4759">
        <v>152264.4</v>
      </c>
      <c r="AG148" s="4758">
        <v>79139</v>
      </c>
      <c r="AH148" s="4758">
        <f>SUM(AI148:AJ148)</f>
        <v>1988976</v>
      </c>
      <c r="AI148" s="4758">
        <v>1814491</v>
      </c>
      <c r="AJ148" s="4758">
        <v>174485</v>
      </c>
      <c r="AK148" s="4758">
        <v>0</v>
      </c>
      <c r="AL148" s="4758">
        <v>5083323</v>
      </c>
    </row>
    <row r="149" spans="1:41" s="386" customFormat="1" hidden="1">
      <c r="A149" s="641"/>
      <c r="B149" s="654">
        <f>+'Phụ lục số 1'!U148</f>
        <v>1.1065995796775112</v>
      </c>
      <c r="C149" s="656">
        <f>D149+P149+AD149+AE149+AF149+AG149+AH149+AK149+AL149</f>
        <v>16742728.519663865</v>
      </c>
      <c r="D149" s="656">
        <f>SUM(E149:K149)</f>
        <v>3062114.7913005813</v>
      </c>
      <c r="E149" s="644">
        <f>+$B$149*E148</f>
        <v>622114.7913005813</v>
      </c>
      <c r="F149" s="644">
        <v>340000</v>
      </c>
      <c r="G149" s="5404"/>
      <c r="H149" s="644">
        <v>2000000</v>
      </c>
      <c r="I149" s="5404"/>
      <c r="J149" s="642"/>
      <c r="K149" s="4776">
        <v>100000</v>
      </c>
      <c r="L149" s="4776"/>
      <c r="M149" s="4776"/>
      <c r="N149" s="4776"/>
      <c r="O149" s="4776"/>
      <c r="P149" s="656">
        <f>SUM(Q149:AC149)</f>
        <v>3645626.1024250491</v>
      </c>
      <c r="Q149" s="656">
        <f>INT($B$149*Q148)</f>
        <v>1058657</v>
      </c>
      <c r="R149" s="656">
        <f>$B$149*R148</f>
        <v>34545.825678372545</v>
      </c>
      <c r="S149" s="656">
        <f>$B$149*S148</f>
        <v>164138.59585482621</v>
      </c>
      <c r="T149" s="656"/>
      <c r="U149" s="656">
        <f t="shared" ref="U149:AF149" si="54">$B$149*U148</f>
        <v>916859.80254684575</v>
      </c>
      <c r="V149" s="656">
        <f t="shared" si="54"/>
        <v>52992.840671596656</v>
      </c>
      <c r="W149" s="656">
        <f t="shared" si="54"/>
        <v>19999.57420351166</v>
      </c>
      <c r="X149" s="656">
        <f t="shared" si="54"/>
        <v>41167.717563162769</v>
      </c>
      <c r="Y149" s="656">
        <f t="shared" si="54"/>
        <v>75210.040432782043</v>
      </c>
      <c r="Z149" s="656">
        <f t="shared" si="54"/>
        <v>603882.45662581467</v>
      </c>
      <c r="AA149" s="656">
        <f t="shared" si="54"/>
        <v>570405.60614141054</v>
      </c>
      <c r="AB149" s="656">
        <f t="shared" si="54"/>
        <v>85634.651113176064</v>
      </c>
      <c r="AC149" s="656">
        <f t="shared" si="54"/>
        <v>22131.991593550225</v>
      </c>
      <c r="AD149" s="656">
        <f t="shared" si="54"/>
        <v>3319.7987390325338</v>
      </c>
      <c r="AE149" s="656">
        <f t="shared" si="54"/>
        <v>2213.1991593550224</v>
      </c>
      <c r="AF149" s="656">
        <f t="shared" si="54"/>
        <v>168495.72103984843</v>
      </c>
      <c r="AH149" s="4758">
        <f>SUM(AI149:AJ149)</f>
        <v>2782607</v>
      </c>
      <c r="AI149" s="685">
        <f>+AI10</f>
        <v>2530494</v>
      </c>
      <c r="AJ149" s="685">
        <f>+AJ10</f>
        <v>252113</v>
      </c>
      <c r="AL149" s="660">
        <f>+AL127</f>
        <v>7078351.9069999997</v>
      </c>
    </row>
    <row r="150" spans="1:41" s="386" customFormat="1" hidden="1">
      <c r="A150" s="641"/>
      <c r="B150" s="642"/>
      <c r="C150" s="643"/>
      <c r="D150" s="644"/>
      <c r="E150" s="644"/>
      <c r="F150" s="643"/>
      <c r="G150" s="5405"/>
      <c r="H150" s="643"/>
      <c r="I150" s="5405"/>
      <c r="J150" s="642"/>
      <c r="K150" s="642"/>
      <c r="L150" s="642"/>
      <c r="M150" s="642"/>
      <c r="N150" s="642"/>
      <c r="O150" s="642"/>
      <c r="P150" s="656">
        <f>+P149-P148</f>
        <v>351185.70242504915</v>
      </c>
      <c r="Q150" s="656">
        <f t="shared" ref="Q150:AC150" si="55">+Q149-Q148</f>
        <v>101981</v>
      </c>
      <c r="R150" s="656">
        <f t="shared" si="55"/>
        <v>3327.8256783725446</v>
      </c>
      <c r="S150" s="656">
        <f t="shared" si="55"/>
        <v>15811.595854826213</v>
      </c>
      <c r="T150" s="656"/>
      <c r="U150" s="656">
        <f t="shared" si="55"/>
        <v>88321.802546845749</v>
      </c>
      <c r="V150" s="656">
        <f t="shared" si="55"/>
        <v>5104.8406715966557</v>
      </c>
      <c r="W150" s="656">
        <f t="shared" si="55"/>
        <v>1926.57420351166</v>
      </c>
      <c r="X150" s="656">
        <f t="shared" si="55"/>
        <v>3965.7175631627688</v>
      </c>
      <c r="Y150" s="656">
        <f t="shared" si="55"/>
        <v>7245.0404327820434</v>
      </c>
      <c r="Z150" s="656">
        <f t="shared" si="55"/>
        <v>58172.456625814666</v>
      </c>
      <c r="AA150" s="656">
        <f t="shared" si="55"/>
        <v>54947.606141410535</v>
      </c>
      <c r="AB150" s="656">
        <f t="shared" si="55"/>
        <v>8249.2511131760693</v>
      </c>
      <c r="AC150" s="656">
        <f t="shared" si="55"/>
        <v>2131.9915935502249</v>
      </c>
      <c r="AD150" s="644"/>
      <c r="AE150" s="644"/>
    </row>
    <row r="151" spans="1:41" s="386" customFormat="1" hidden="1">
      <c r="A151" s="641"/>
      <c r="B151" s="4777">
        <v>0.1</v>
      </c>
      <c r="C151" s="643"/>
      <c r="D151" s="644"/>
      <c r="E151" s="644"/>
      <c r="F151" s="642"/>
      <c r="G151" s="5402"/>
      <c r="H151" s="642"/>
      <c r="I151" s="5402"/>
      <c r="J151" s="642"/>
      <c r="K151" s="642"/>
      <c r="L151" s="642"/>
      <c r="M151" s="642"/>
      <c r="N151" s="642"/>
      <c r="O151" s="642"/>
      <c r="P151" s="656">
        <f>SUM(Q151:AC151)</f>
        <v>35118.570242504909</v>
      </c>
      <c r="Q151" s="656">
        <f>+$B$151*Q150</f>
        <v>10198.1</v>
      </c>
      <c r="R151" s="656">
        <f t="shared" ref="R151:AC151" si="56">+$B$151*R150</f>
        <v>332.78256783725448</v>
      </c>
      <c r="S151" s="656">
        <f t="shared" si="56"/>
        <v>1581.1595854826214</v>
      </c>
      <c r="T151" s="656"/>
      <c r="U151" s="656">
        <f t="shared" si="56"/>
        <v>8832.1802546845756</v>
      </c>
      <c r="V151" s="656">
        <f t="shared" si="56"/>
        <v>510.48406715966559</v>
      </c>
      <c r="W151" s="656">
        <f t="shared" si="56"/>
        <v>192.65742035116602</v>
      </c>
      <c r="X151" s="656">
        <f t="shared" si="56"/>
        <v>396.57175631627689</v>
      </c>
      <c r="Y151" s="656">
        <f t="shared" si="56"/>
        <v>724.50404327820434</v>
      </c>
      <c r="Z151" s="656">
        <f t="shared" si="56"/>
        <v>5817.2456625814666</v>
      </c>
      <c r="AA151" s="656">
        <f t="shared" si="56"/>
        <v>5494.7606141410542</v>
      </c>
      <c r="AB151" s="656">
        <f t="shared" si="56"/>
        <v>824.92511131760693</v>
      </c>
      <c r="AC151" s="656">
        <f t="shared" si="56"/>
        <v>213.19915935502252</v>
      </c>
      <c r="AD151" s="644"/>
      <c r="AE151" s="644"/>
    </row>
    <row r="152" spans="1:41" s="386" customFormat="1" hidden="1">
      <c r="A152" s="641"/>
      <c r="B152" s="642"/>
      <c r="C152" s="643"/>
      <c r="D152" s="644"/>
      <c r="E152" s="655"/>
      <c r="F152" s="644"/>
      <c r="G152" s="5404"/>
      <c r="H152" s="642"/>
      <c r="I152" s="5402"/>
      <c r="J152" s="642"/>
      <c r="K152" s="642"/>
      <c r="L152" s="642"/>
      <c r="M152" s="642"/>
      <c r="N152" s="642"/>
      <c r="O152" s="642"/>
      <c r="P152" s="656"/>
      <c r="Q152" s="656"/>
      <c r="R152" s="644"/>
      <c r="S152" s="644"/>
      <c r="T152" s="644"/>
      <c r="U152" s="644"/>
      <c r="V152" s="644"/>
      <c r="W152" s="644"/>
      <c r="X152" s="644"/>
      <c r="Y152" s="644"/>
      <c r="Z152" s="644"/>
      <c r="AA152" s="644"/>
      <c r="AB152" s="644"/>
      <c r="AC152" s="644"/>
      <c r="AD152" s="644"/>
      <c r="AE152" s="644"/>
    </row>
    <row r="153" spans="1:41" s="386" customFormat="1" hidden="1">
      <c r="A153" s="641"/>
      <c r="B153" s="642"/>
      <c r="C153" s="643"/>
      <c r="D153" s="655"/>
      <c r="E153" s="655"/>
      <c r="F153" s="642"/>
      <c r="G153" s="5402"/>
      <c r="H153" s="642"/>
      <c r="I153" s="5402"/>
      <c r="J153" s="642"/>
      <c r="K153" s="642"/>
      <c r="L153" s="642"/>
      <c r="M153" s="642"/>
      <c r="N153" s="642"/>
      <c r="O153" s="642"/>
      <c r="P153" s="656">
        <f>+P148+P138</f>
        <v>3627901.4</v>
      </c>
      <c r="Q153" s="656">
        <f>+Q148+Q138</f>
        <v>1095206</v>
      </c>
      <c r="R153" s="656">
        <f t="shared" ref="R153:AC153" si="57">+R148+R138</f>
        <v>31665</v>
      </c>
      <c r="S153" s="656">
        <f t="shared" si="57"/>
        <v>148327</v>
      </c>
      <c r="T153" s="656">
        <f t="shared" si="57"/>
        <v>0</v>
      </c>
      <c r="U153" s="656">
        <f t="shared" si="57"/>
        <v>947994</v>
      </c>
      <c r="V153" s="656">
        <f t="shared" si="57"/>
        <v>47888</v>
      </c>
      <c r="W153" s="656">
        <f t="shared" si="57"/>
        <v>18073</v>
      </c>
      <c r="X153" s="656">
        <f t="shared" si="57"/>
        <v>37202</v>
      </c>
      <c r="Y153" s="656">
        <f t="shared" si="57"/>
        <v>69969</v>
      </c>
      <c r="Z153" s="656">
        <f t="shared" si="57"/>
        <v>552619</v>
      </c>
      <c r="AA153" s="656">
        <f t="shared" si="57"/>
        <v>546600</v>
      </c>
      <c r="AB153" s="656">
        <f t="shared" si="57"/>
        <v>79648.399999999994</v>
      </c>
      <c r="AC153" s="656">
        <f t="shared" si="57"/>
        <v>52710</v>
      </c>
      <c r="AD153" s="644"/>
      <c r="AE153" s="644"/>
    </row>
    <row r="154" spans="1:41" s="386" customFormat="1" hidden="1">
      <c r="A154" s="641"/>
      <c r="B154" s="642"/>
      <c r="C154" s="643"/>
      <c r="D154" s="655"/>
      <c r="E154" s="644"/>
      <c r="F154" s="642"/>
      <c r="G154" s="5402"/>
      <c r="H154" s="642"/>
      <c r="I154" s="5402"/>
      <c r="J154" s="642"/>
      <c r="K154" s="644"/>
      <c r="L154" s="644"/>
      <c r="M154" s="644"/>
      <c r="N154" s="644"/>
      <c r="O154" s="644"/>
      <c r="P154" s="656"/>
      <c r="Q154" s="656"/>
      <c r="R154" s="644"/>
      <c r="S154" s="644"/>
      <c r="T154" s="644"/>
      <c r="U154" s="644"/>
      <c r="V154" s="644"/>
      <c r="W154" s="644"/>
      <c r="X154" s="644"/>
      <c r="Y154" s="644"/>
      <c r="Z154" s="644"/>
      <c r="AA154" s="644"/>
      <c r="AB154" s="644"/>
      <c r="AC154" s="644"/>
      <c r="AD154" s="644"/>
      <c r="AE154" s="644"/>
      <c r="AO154" s="657"/>
    </row>
    <row r="155" spans="1:41" s="386" customFormat="1" hidden="1">
      <c r="A155" s="641"/>
      <c r="B155" s="642" t="s">
        <v>3177</v>
      </c>
      <c r="C155" s="643">
        <f>'Phụ lục số 1'!O59</f>
        <v>129700</v>
      </c>
      <c r="D155" s="655"/>
      <c r="E155" s="644"/>
      <c r="F155" s="642"/>
      <c r="G155" s="5402"/>
      <c r="H155" s="642"/>
      <c r="I155" s="5402"/>
      <c r="J155" s="642"/>
      <c r="K155" s="642"/>
      <c r="L155" s="642"/>
      <c r="M155" s="642"/>
      <c r="N155" s="642"/>
      <c r="O155" s="642"/>
      <c r="P155" s="656"/>
      <c r="Q155" s="656"/>
      <c r="R155" s="644"/>
      <c r="S155" s="644"/>
      <c r="T155" s="644"/>
      <c r="U155" s="644"/>
      <c r="V155" s="644"/>
      <c r="W155" s="644"/>
      <c r="X155" s="644"/>
      <c r="Y155" s="644"/>
      <c r="Z155" s="644"/>
      <c r="AA155" s="644"/>
      <c r="AB155" s="644"/>
      <c r="AC155" s="644"/>
      <c r="AD155" s="644"/>
      <c r="AE155" s="644"/>
      <c r="AO155" s="657"/>
    </row>
    <row r="156" spans="1:41" s="386" customFormat="1" hidden="1">
      <c r="A156" s="641"/>
      <c r="B156" s="642"/>
      <c r="C156" s="643"/>
      <c r="D156" s="644"/>
      <c r="E156" s="644"/>
      <c r="F156" s="642"/>
      <c r="G156" s="5402"/>
      <c r="H156" s="642"/>
      <c r="I156" s="5402"/>
      <c r="J156" s="642"/>
      <c r="K156" s="644"/>
      <c r="L156" s="644"/>
      <c r="M156" s="644"/>
      <c r="N156" s="644"/>
      <c r="O156" s="644"/>
      <c r="P156" s="656"/>
      <c r="Q156" s="656"/>
      <c r="R156" s="644"/>
      <c r="S156" s="644"/>
      <c r="T156" s="644"/>
      <c r="U156" s="644"/>
      <c r="V156" s="644"/>
      <c r="W156" s="644"/>
      <c r="X156" s="644"/>
      <c r="Y156" s="644"/>
      <c r="Z156" s="644"/>
      <c r="AA156" s="644"/>
      <c r="AB156" s="644"/>
      <c r="AC156" s="644"/>
      <c r="AD156" s="644"/>
      <c r="AE156" s="644"/>
      <c r="AO156" s="657"/>
    </row>
    <row r="157" spans="1:41" s="386" customFormat="1" hidden="1">
      <c r="A157" s="641"/>
      <c r="B157" s="642"/>
      <c r="C157" s="643"/>
      <c r="D157" s="644"/>
      <c r="E157" s="644"/>
      <c r="F157" s="644"/>
      <c r="G157" s="5404"/>
      <c r="H157" s="644"/>
      <c r="I157" s="5404"/>
      <c r="J157" s="644"/>
      <c r="K157" s="642"/>
      <c r="L157" s="642"/>
      <c r="M157" s="642"/>
      <c r="N157" s="642"/>
      <c r="O157" s="642"/>
      <c r="P157" s="656"/>
      <c r="Q157" s="656"/>
      <c r="R157" s="644"/>
      <c r="S157" s="644"/>
      <c r="T157" s="644"/>
      <c r="U157" s="644"/>
      <c r="V157" s="644"/>
      <c r="W157" s="644"/>
      <c r="X157" s="644"/>
      <c r="Y157" s="644"/>
      <c r="Z157" s="644"/>
      <c r="AA157" s="644"/>
      <c r="AB157" s="644"/>
      <c r="AC157" s="644"/>
      <c r="AD157" s="644"/>
      <c r="AE157" s="644"/>
      <c r="AO157" s="658"/>
    </row>
    <row r="158" spans="1:41" s="386" customFormat="1" hidden="1">
      <c r="A158" s="641"/>
      <c r="B158" s="642"/>
      <c r="C158" s="643"/>
      <c r="D158" s="644"/>
      <c r="E158" s="644"/>
      <c r="F158" s="642"/>
      <c r="G158" s="5402"/>
      <c r="H158" s="642"/>
      <c r="I158" s="5402"/>
      <c r="J158" s="642"/>
      <c r="K158" s="644"/>
      <c r="L158" s="644"/>
      <c r="M158" s="644"/>
      <c r="N158" s="644"/>
      <c r="O158" s="644"/>
      <c r="P158" s="656"/>
      <c r="Q158" s="656"/>
      <c r="R158" s="644"/>
      <c r="S158" s="644"/>
      <c r="T158" s="644"/>
      <c r="U158" s="644"/>
      <c r="V158" s="644"/>
      <c r="W158" s="644"/>
      <c r="X158" s="644"/>
      <c r="Y158" s="644"/>
      <c r="Z158" s="644"/>
      <c r="AA158" s="644"/>
      <c r="AB158" s="644"/>
      <c r="AC158" s="644"/>
      <c r="AD158" s="644"/>
      <c r="AE158" s="644"/>
    </row>
    <row r="159" spans="1:41" s="386" customFormat="1" hidden="1">
      <c r="A159" s="641"/>
      <c r="B159" s="642"/>
      <c r="C159" s="643"/>
      <c r="D159" s="644"/>
      <c r="E159" s="644"/>
      <c r="F159" s="644"/>
      <c r="G159" s="5404"/>
      <c r="H159" s="642"/>
      <c r="I159" s="5402"/>
      <c r="J159" s="642"/>
      <c r="K159" s="644"/>
      <c r="L159" s="644"/>
      <c r="M159" s="644"/>
      <c r="N159" s="644"/>
      <c r="O159" s="644"/>
      <c r="P159" s="2885"/>
      <c r="Q159" s="2885"/>
      <c r="R159" s="644"/>
      <c r="S159" s="644"/>
      <c r="T159" s="644"/>
      <c r="U159" s="644"/>
      <c r="V159" s="644"/>
      <c r="W159" s="644"/>
      <c r="X159" s="644"/>
      <c r="Y159" s="644"/>
      <c r="Z159" s="644"/>
      <c r="AA159" s="644"/>
      <c r="AB159" s="644"/>
      <c r="AC159" s="644"/>
      <c r="AD159" s="644"/>
      <c r="AE159" s="644"/>
      <c r="AF159" s="644"/>
      <c r="AG159" s="644"/>
    </row>
    <row r="160" spans="1:41" s="380" customFormat="1" hidden="1">
      <c r="A160" s="382"/>
      <c r="B160" s="634" t="s">
        <v>3176</v>
      </c>
      <c r="C160" s="635">
        <f>'Phụ lục số 1'!U59</f>
        <v>132300</v>
      </c>
      <c r="D160" s="647"/>
      <c r="E160" s="651"/>
      <c r="F160" s="649"/>
      <c r="G160" s="5403"/>
      <c r="H160" s="649"/>
      <c r="I160" s="5403"/>
      <c r="J160" s="649"/>
      <c r="K160" s="649"/>
      <c r="L160" s="649"/>
      <c r="M160" s="649"/>
      <c r="N160" s="649"/>
      <c r="O160" s="649"/>
      <c r="P160" s="2885"/>
      <c r="Q160" s="2885"/>
      <c r="R160" s="2885"/>
      <c r="S160" s="2885"/>
      <c r="T160" s="2885"/>
      <c r="U160" s="2885"/>
      <c r="V160" s="2885"/>
      <c r="W160" s="2885"/>
      <c r="X160" s="2885"/>
      <c r="Y160" s="2885"/>
      <c r="Z160" s="2885"/>
      <c r="AA160" s="2885"/>
      <c r="AB160" s="2885"/>
      <c r="AC160" s="2885"/>
      <c r="AD160" s="2885"/>
      <c r="AE160" s="2885"/>
      <c r="AF160" s="2885"/>
      <c r="AG160" s="2885"/>
    </row>
    <row r="161" spans="1:33" hidden="1">
      <c r="B161" s="666" t="s">
        <v>3179</v>
      </c>
      <c r="C161" s="4863">
        <v>500</v>
      </c>
      <c r="D161" s="2314"/>
      <c r="E161" s="2314"/>
      <c r="F161" s="4863"/>
      <c r="G161" s="5408"/>
      <c r="H161" s="2314"/>
      <c r="I161" s="5410"/>
      <c r="J161" s="666"/>
      <c r="K161" s="2314"/>
      <c r="L161" s="2314"/>
      <c r="M161" s="2314"/>
      <c r="N161" s="2314"/>
      <c r="O161" s="2314"/>
      <c r="P161" s="4864"/>
      <c r="Q161" s="4864"/>
      <c r="R161" s="4865"/>
      <c r="S161" s="4865"/>
      <c r="T161" s="4865"/>
      <c r="U161" s="4865"/>
      <c r="V161" s="4865"/>
      <c r="W161" s="4865"/>
      <c r="X161" s="4865"/>
      <c r="Y161" s="4865"/>
      <c r="Z161" s="4865"/>
      <c r="AA161" s="4865"/>
      <c r="AB161" s="4865"/>
      <c r="AC161" s="4865"/>
      <c r="AD161" s="4865"/>
      <c r="AE161" s="4865"/>
      <c r="AF161" s="4865"/>
      <c r="AG161" s="4865"/>
    </row>
    <row r="162" spans="1:33" hidden="1">
      <c r="B162" s="666" t="s">
        <v>3178</v>
      </c>
      <c r="C162" s="4863">
        <v>600</v>
      </c>
      <c r="D162" s="2314"/>
      <c r="E162" s="2314"/>
      <c r="F162" s="666"/>
      <c r="G162" s="5409"/>
      <c r="H162" s="666"/>
      <c r="I162" s="5409"/>
      <c r="J162" s="666"/>
      <c r="K162" s="666"/>
      <c r="L162" s="666"/>
      <c r="M162" s="666"/>
      <c r="N162" s="666"/>
      <c r="O162" s="666"/>
      <c r="P162" s="4864"/>
      <c r="Q162" s="4864"/>
      <c r="R162" s="4865"/>
      <c r="S162" s="4865"/>
      <c r="T162" s="4865"/>
      <c r="U162" s="4865"/>
      <c r="V162" s="4865"/>
      <c r="W162" s="4865"/>
      <c r="X162" s="4865"/>
      <c r="Y162" s="4865"/>
      <c r="Z162" s="4865"/>
      <c r="AA162" s="4865"/>
      <c r="AB162" s="4865"/>
      <c r="AC162" s="4865"/>
      <c r="AD162" s="2314"/>
      <c r="AE162" s="2314"/>
    </row>
    <row r="163" spans="1:33" s="386" customFormat="1" hidden="1">
      <c r="A163" s="641"/>
      <c r="B163" s="666" t="s">
        <v>3180</v>
      </c>
      <c r="C163" s="4863">
        <f>'Phụ lục số 10'!I20</f>
        <v>129670</v>
      </c>
      <c r="D163" s="644"/>
      <c r="E163" s="644"/>
      <c r="F163" s="644"/>
      <c r="G163" s="5404"/>
      <c r="H163" s="642"/>
      <c r="I163" s="5402"/>
      <c r="J163" s="642"/>
      <c r="K163" s="642"/>
      <c r="L163" s="642"/>
      <c r="M163" s="642"/>
      <c r="N163" s="642"/>
      <c r="O163" s="642"/>
      <c r="P163" s="656"/>
      <c r="Q163" s="656"/>
      <c r="R163" s="644"/>
      <c r="S163" s="644"/>
      <c r="T163" s="644"/>
      <c r="U163" s="644"/>
      <c r="V163" s="644"/>
      <c r="W163" s="644"/>
      <c r="X163" s="644"/>
      <c r="Y163" s="644"/>
      <c r="Z163" s="644"/>
      <c r="AA163" s="644">
        <f>+AA10*25%</f>
        <v>177192.875</v>
      </c>
      <c r="AB163" s="644"/>
      <c r="AC163" s="644"/>
      <c r="AD163" s="644"/>
      <c r="AE163" s="644"/>
      <c r="AF163" s="644"/>
      <c r="AG163" s="644"/>
    </row>
    <row r="164" spans="1:33" s="386" customFormat="1" hidden="1">
      <c r="A164" s="641"/>
      <c r="B164" s="642" t="s">
        <v>3185</v>
      </c>
      <c r="C164" s="643">
        <f>+C160-C161-C162-C163</f>
        <v>1530</v>
      </c>
      <c r="D164" s="644"/>
      <c r="E164" s="644"/>
      <c r="F164" s="642"/>
      <c r="G164" s="5402"/>
      <c r="H164" s="642"/>
      <c r="I164" s="5402"/>
      <c r="J164" s="642"/>
      <c r="K164" s="642"/>
      <c r="L164" s="642"/>
      <c r="M164" s="642"/>
      <c r="N164" s="642"/>
      <c r="O164" s="642"/>
      <c r="P164" s="656"/>
      <c r="Q164" s="656"/>
      <c r="R164" s="644"/>
      <c r="S164" s="644"/>
      <c r="T164" s="644"/>
      <c r="U164" s="644"/>
      <c r="V164" s="644"/>
      <c r="W164" s="644"/>
      <c r="X164" s="644"/>
      <c r="Y164" s="644"/>
      <c r="Z164" s="644"/>
      <c r="AA164" s="644"/>
      <c r="AB164" s="644"/>
      <c r="AC164" s="644"/>
      <c r="AD164" s="644"/>
      <c r="AE164" s="644"/>
    </row>
    <row r="165" spans="1:33" hidden="1">
      <c r="A165" s="641"/>
      <c r="B165" s="642"/>
      <c r="C165" s="659"/>
      <c r="D165" s="660"/>
      <c r="E165" s="660"/>
      <c r="P165" s="2885"/>
      <c r="Q165" s="2885"/>
      <c r="R165" s="664"/>
      <c r="S165" s="660"/>
      <c r="T165" s="660"/>
      <c r="U165" s="2887"/>
      <c r="V165" s="660"/>
      <c r="W165" s="660"/>
      <c r="X165" s="660"/>
      <c r="Y165" s="664"/>
      <c r="Z165" s="664"/>
      <c r="AA165" s="664">
        <f>+AA163*10%</f>
        <v>17719.287500000002</v>
      </c>
      <c r="AB165" s="664"/>
      <c r="AC165" s="660"/>
      <c r="AD165" s="660"/>
      <c r="AE165" s="660"/>
      <c r="AF165" s="660"/>
      <c r="AG165" s="660"/>
    </row>
    <row r="166" spans="1:33" hidden="1">
      <c r="B166" s="642" t="s">
        <v>3181</v>
      </c>
      <c r="C166" s="657">
        <f>+'Phụ lục số 1'!U60</f>
        <v>2116595</v>
      </c>
      <c r="D166" s="426">
        <v>2806245</v>
      </c>
      <c r="E166" s="660"/>
      <c r="P166" s="2885"/>
      <c r="Q166" s="2885"/>
      <c r="R166" s="426"/>
      <c r="S166" s="664"/>
      <c r="T166" s="660"/>
      <c r="U166" s="665"/>
      <c r="V166" s="664"/>
      <c r="W166" s="664"/>
      <c r="X166" s="664"/>
      <c r="Y166" s="664"/>
      <c r="Z166" s="665"/>
      <c r="AA166" s="664"/>
      <c r="AB166" s="664"/>
      <c r="AC166" s="660"/>
      <c r="AD166" s="426"/>
      <c r="AE166" s="426"/>
      <c r="AF166" s="426"/>
      <c r="AG166" s="426"/>
    </row>
    <row r="167" spans="1:33" hidden="1">
      <c r="B167" s="666" t="s">
        <v>3182</v>
      </c>
      <c r="C167" s="659">
        <f>+'Phụ lục số 7'!E38</f>
        <v>1681469</v>
      </c>
      <c r="E167" s="659"/>
      <c r="P167" s="656"/>
      <c r="Q167" s="656"/>
      <c r="R167" s="426"/>
      <c r="S167" s="426"/>
      <c r="T167" s="426"/>
      <c r="U167" s="426"/>
      <c r="V167" s="426"/>
      <c r="W167" s="426"/>
      <c r="X167" s="426"/>
      <c r="Y167" s="426"/>
      <c r="Z167" s="426"/>
      <c r="AA167" s="426"/>
      <c r="AB167" s="426"/>
      <c r="AC167" s="426"/>
    </row>
    <row r="168" spans="1:33" hidden="1">
      <c r="B168" s="666" t="s">
        <v>3183</v>
      </c>
      <c r="C168" s="659">
        <f>+P138-C169</f>
        <v>300751</v>
      </c>
      <c r="E168" s="660"/>
      <c r="P168" s="2885"/>
      <c r="Q168" s="2885"/>
      <c r="R168" s="426"/>
      <c r="S168" s="426"/>
      <c r="T168" s="426"/>
      <c r="U168" s="426"/>
      <c r="V168" s="426"/>
      <c r="W168" s="426"/>
      <c r="X168" s="426"/>
      <c r="Y168" s="426"/>
      <c r="Z168" s="426"/>
      <c r="AA168" s="426"/>
      <c r="AB168" s="426"/>
      <c r="AC168" s="426"/>
    </row>
    <row r="169" spans="1:33" hidden="1">
      <c r="B169" s="666" t="s">
        <v>3184</v>
      </c>
      <c r="C169" s="659">
        <f>+AC138</f>
        <v>32710</v>
      </c>
      <c r="E169" s="659"/>
      <c r="K169" s="426"/>
      <c r="L169" s="426"/>
      <c r="M169" s="426"/>
      <c r="N169" s="426"/>
      <c r="O169" s="426"/>
      <c r="P169" s="2885"/>
      <c r="Q169" s="2885"/>
      <c r="R169" s="660"/>
      <c r="S169" s="386"/>
      <c r="T169" s="660"/>
      <c r="U169" s="660"/>
      <c r="V169" s="386"/>
      <c r="W169" s="2888"/>
      <c r="X169" s="386"/>
      <c r="Y169" s="386"/>
      <c r="Z169" s="660"/>
      <c r="AA169" s="660"/>
      <c r="AB169" s="386"/>
      <c r="AC169" s="426"/>
    </row>
    <row r="170" spans="1:33" hidden="1">
      <c r="B170" s="666" t="s">
        <v>3256</v>
      </c>
      <c r="C170" s="659">
        <f>7242926/1000</f>
        <v>7242.9260000000004</v>
      </c>
      <c r="E170" s="660"/>
      <c r="P170" s="2889"/>
      <c r="Q170" s="2889"/>
    </row>
    <row r="171" spans="1:33" hidden="1">
      <c r="B171" s="666" t="s">
        <v>3257</v>
      </c>
      <c r="C171" s="659">
        <f>+'[34]chi tiet'!$AI$12</f>
        <v>86578</v>
      </c>
      <c r="E171" s="660"/>
      <c r="P171" s="2889"/>
      <c r="Q171" s="2889"/>
    </row>
    <row r="172" spans="1:33" hidden="1">
      <c r="B172" s="666" t="s">
        <v>3258</v>
      </c>
      <c r="C172" s="659">
        <v>453.6</v>
      </c>
      <c r="E172" s="660"/>
      <c r="P172" s="2889"/>
      <c r="Q172" s="2889"/>
    </row>
    <row r="173" spans="1:33" hidden="1">
      <c r="B173" s="666"/>
      <c r="C173" s="659"/>
      <c r="E173" s="660"/>
      <c r="P173" s="2889"/>
      <c r="Q173" s="2889"/>
    </row>
    <row r="174" spans="1:33" hidden="1">
      <c r="B174" s="666"/>
      <c r="C174" s="659"/>
      <c r="E174" s="660"/>
      <c r="P174" s="2889"/>
      <c r="Q174" s="2889"/>
    </row>
    <row r="175" spans="1:33" hidden="1">
      <c r="B175" s="642" t="s">
        <v>3185</v>
      </c>
      <c r="C175" s="657">
        <f>+C166-C167-C168-C169-C170-C171-C172</f>
        <v>7390.4739999999929</v>
      </c>
      <c r="P175" s="2889"/>
      <c r="Q175" s="2889"/>
      <c r="R175" s="426"/>
      <c r="S175" s="426"/>
      <c r="T175" s="426"/>
      <c r="U175" s="426"/>
      <c r="V175" s="426"/>
      <c r="W175" s="426"/>
      <c r="X175" s="426"/>
      <c r="Y175" s="426"/>
      <c r="Z175" s="426"/>
      <c r="AA175" s="426"/>
      <c r="AB175" s="426"/>
      <c r="AC175" s="426"/>
    </row>
    <row r="176" spans="1:33" hidden="1">
      <c r="B176" s="666"/>
      <c r="C176" s="659"/>
      <c r="E176" s="426"/>
      <c r="P176" s="426"/>
      <c r="Q176" s="426"/>
      <c r="R176" s="426"/>
      <c r="S176" s="426"/>
      <c r="T176" s="426"/>
      <c r="U176" s="426"/>
      <c r="V176" s="426"/>
      <c r="W176" s="426"/>
      <c r="X176" s="426"/>
      <c r="Y176" s="426"/>
      <c r="Z176" s="426"/>
      <c r="AA176" s="426"/>
      <c r="AB176" s="426"/>
      <c r="AC176" s="426"/>
    </row>
    <row r="177" spans="2:30" hidden="1">
      <c r="B177" s="666"/>
      <c r="C177" s="659">
        <v>288446</v>
      </c>
      <c r="E177" s="426"/>
      <c r="P177" s="660"/>
      <c r="Q177" s="660"/>
      <c r="R177" s="660"/>
      <c r="S177" s="660"/>
      <c r="T177" s="660"/>
      <c r="U177" s="660"/>
      <c r="V177" s="660"/>
      <c r="W177" s="660"/>
      <c r="X177" s="660"/>
      <c r="Y177" s="660"/>
      <c r="Z177" s="660"/>
      <c r="AA177" s="660"/>
      <c r="AB177" s="660"/>
      <c r="AC177" s="660"/>
    </row>
    <row r="178" spans="2:30" hidden="1">
      <c r="B178" s="666"/>
      <c r="C178" s="659">
        <f>+C171</f>
        <v>86578</v>
      </c>
      <c r="E178" s="660"/>
      <c r="P178" s="426"/>
      <c r="Q178" s="426"/>
      <c r="R178" s="426"/>
      <c r="S178" s="426"/>
      <c r="T178" s="426"/>
      <c r="U178" s="426"/>
      <c r="V178" s="426"/>
      <c r="W178" s="426"/>
      <c r="X178" s="426"/>
      <c r="Y178" s="426"/>
      <c r="Z178" s="426"/>
      <c r="AA178" s="426"/>
      <c r="AB178" s="426"/>
      <c r="AC178" s="426"/>
    </row>
    <row r="179" spans="2:30" hidden="1">
      <c r="B179" s="666"/>
      <c r="C179" s="659">
        <f>+C170</f>
        <v>7242.9260000000004</v>
      </c>
    </row>
    <row r="180" spans="2:30" hidden="1">
      <c r="B180" s="666"/>
      <c r="C180" s="659">
        <v>173000</v>
      </c>
      <c r="P180" s="2889"/>
      <c r="Q180" s="2889"/>
      <c r="R180" s="2889"/>
      <c r="S180" s="2889"/>
      <c r="T180" s="2889"/>
      <c r="U180" s="2889"/>
      <c r="V180" s="2889"/>
      <c r="W180" s="2889"/>
      <c r="X180" s="2889"/>
      <c r="Y180" s="2889"/>
      <c r="Z180" s="2889"/>
      <c r="AA180" s="2889"/>
      <c r="AB180" s="2889"/>
      <c r="AC180" s="2889"/>
    </row>
    <row r="181" spans="2:30" hidden="1">
      <c r="B181" s="666"/>
      <c r="C181" s="659">
        <f>+C177-C178-C179-C180</f>
        <v>21625.073999999993</v>
      </c>
      <c r="P181" s="426"/>
      <c r="Q181" s="426"/>
    </row>
    <row r="182" spans="2:30" hidden="1">
      <c r="B182" s="666"/>
      <c r="C182" s="659"/>
      <c r="P182" s="2889"/>
      <c r="Q182" s="2889"/>
      <c r="R182" s="2889"/>
    </row>
    <row r="183" spans="2:30" hidden="1">
      <c r="B183" s="666"/>
      <c r="P183" s="2889"/>
      <c r="Q183" s="2889"/>
      <c r="R183" s="2889"/>
    </row>
    <row r="184" spans="2:30" hidden="1">
      <c r="B184" s="666"/>
      <c r="C184" s="426"/>
      <c r="P184" s="426"/>
      <c r="Q184" s="426"/>
      <c r="R184" s="2889"/>
      <c r="S184" s="426"/>
      <c r="T184" s="426"/>
      <c r="U184" s="426"/>
      <c r="V184" s="426"/>
      <c r="W184" s="426"/>
      <c r="X184" s="426"/>
      <c r="Y184" s="426"/>
      <c r="Z184" s="426"/>
      <c r="AA184" s="426"/>
      <c r="AB184" s="426"/>
      <c r="AC184" s="426"/>
      <c r="AD184" s="426"/>
    </row>
    <row r="185" spans="2:30" hidden="1">
      <c r="P185" s="426"/>
      <c r="Q185" s="426"/>
      <c r="R185" s="2889"/>
      <c r="S185" s="426"/>
      <c r="T185" s="426"/>
      <c r="U185" s="426"/>
      <c r="V185" s="426"/>
      <c r="W185" s="426"/>
      <c r="X185" s="426"/>
      <c r="Y185" s="426"/>
      <c r="Z185" s="426"/>
      <c r="AA185" s="426"/>
      <c r="AB185" s="426"/>
      <c r="AC185" s="426"/>
    </row>
    <row r="186" spans="2:30" hidden="1">
      <c r="P186" s="426"/>
      <c r="Q186" s="426"/>
      <c r="R186" s="2889"/>
      <c r="S186" s="426"/>
      <c r="T186" s="426"/>
      <c r="U186" s="426"/>
      <c r="V186" s="426"/>
      <c r="W186" s="426"/>
      <c r="X186" s="426"/>
      <c r="Y186" s="426"/>
      <c r="Z186" s="426"/>
      <c r="AA186" s="426"/>
      <c r="AB186" s="426"/>
      <c r="AC186" s="426"/>
    </row>
    <row r="187" spans="2:30" hidden="1">
      <c r="R187" s="2889"/>
    </row>
    <row r="188" spans="2:30" hidden="1">
      <c r="R188" s="426"/>
    </row>
    <row r="189" spans="2:30" hidden="1">
      <c r="R189" s="426"/>
    </row>
    <row r="190" spans="2:30" hidden="1"/>
    <row r="191" spans="2:30" hidden="1"/>
    <row r="192" spans="2:30" hidden="1">
      <c r="C192" s="426">
        <f>+C10</f>
        <v>16699594.196</v>
      </c>
      <c r="P192" s="692">
        <f>+C10*1000</f>
        <v>16699594196</v>
      </c>
    </row>
    <row r="193" spans="3:40" hidden="1">
      <c r="C193" s="692">
        <f>P193+AM193+AL193+AJ193++AI193+AF193+AE193+AD193</f>
        <v>13716204196</v>
      </c>
      <c r="P193" s="692">
        <f>SUM(Q193:AC193)</f>
        <v>3680232093</v>
      </c>
      <c r="Q193" s="692">
        <f>+Q10*1000</f>
        <v>1106650000</v>
      </c>
      <c r="R193" s="692">
        <f t="shared" ref="R193:AN193" si="58">+R10*1000</f>
        <v>31307000</v>
      </c>
      <c r="S193" s="692">
        <f t="shared" si="58"/>
        <v>150000000</v>
      </c>
      <c r="T193" s="692">
        <f t="shared" si="58"/>
        <v>0</v>
      </c>
      <c r="U193" s="692">
        <f t="shared" si="58"/>
        <v>997261000</v>
      </c>
      <c r="V193" s="692">
        <f t="shared" si="58"/>
        <v>55631000</v>
      </c>
      <c r="W193" s="692">
        <f t="shared" si="58"/>
        <v>32394000</v>
      </c>
      <c r="X193" s="692">
        <f t="shared" si="58"/>
        <v>23615000</v>
      </c>
      <c r="Y193" s="692">
        <f t="shared" si="58"/>
        <v>88389000</v>
      </c>
      <c r="Z193" s="692">
        <f t="shared" si="58"/>
        <v>396140492.99999994</v>
      </c>
      <c r="AA193" s="5211">
        <f t="shared" si="58"/>
        <v>708771500</v>
      </c>
      <c r="AB193" s="692">
        <f t="shared" si="58"/>
        <v>68073100</v>
      </c>
      <c r="AC193" s="692">
        <f t="shared" si="58"/>
        <v>22000000</v>
      </c>
      <c r="AD193" s="692">
        <f t="shared" si="58"/>
        <v>3500000</v>
      </c>
      <c r="AE193" s="692">
        <f t="shared" si="58"/>
        <v>2000000</v>
      </c>
      <c r="AF193" s="692">
        <f t="shared" si="58"/>
        <v>163959400</v>
      </c>
      <c r="AG193" s="692">
        <f t="shared" si="58"/>
        <v>0</v>
      </c>
      <c r="AH193" s="692">
        <f t="shared" si="58"/>
        <v>2782607000</v>
      </c>
      <c r="AI193" s="692">
        <f t="shared" si="58"/>
        <v>2530494000</v>
      </c>
      <c r="AJ193" s="692">
        <f t="shared" si="58"/>
        <v>252113000</v>
      </c>
      <c r="AK193" s="692">
        <f t="shared" si="58"/>
        <v>0</v>
      </c>
      <c r="AL193" s="692">
        <f>+AL10*1000</f>
        <v>7078351907</v>
      </c>
      <c r="AM193" s="692">
        <f t="shared" si="58"/>
        <v>5553796</v>
      </c>
      <c r="AN193" s="692">
        <f t="shared" si="58"/>
        <v>186700000</v>
      </c>
    </row>
    <row r="194" spans="3:40" hidden="1">
      <c r="C194" s="692">
        <f>C192*1000</f>
        <v>16699594196</v>
      </c>
      <c r="P194" s="692">
        <f>+P193</f>
        <v>3680232093</v>
      </c>
    </row>
    <row r="195" spans="3:40" hidden="1">
      <c r="C195" s="692">
        <f>+'Phụ lục số 1'!U96*1000</f>
        <v>16699594196.000002</v>
      </c>
      <c r="P195" s="692">
        <f>+(AI10+AJ10)*1000</f>
        <v>2782607000</v>
      </c>
      <c r="R195" s="667"/>
    </row>
    <row r="196" spans="3:40" hidden="1">
      <c r="C196" s="667">
        <f>+C194-C195</f>
        <v>0</v>
      </c>
      <c r="P196" s="692">
        <f>+C199</f>
        <v>2983390000</v>
      </c>
    </row>
    <row r="197" spans="3:40" hidden="1">
      <c r="C197" s="2314">
        <f>+C193-C192</f>
        <v>13699504601.804001</v>
      </c>
      <c r="P197" s="667">
        <f>+AD10*1000</f>
        <v>3500000</v>
      </c>
    </row>
    <row r="198" spans="3:40" hidden="1">
      <c r="P198" s="667">
        <f>+AE10*1000</f>
        <v>2000000</v>
      </c>
    </row>
    <row r="199" spans="3:40" hidden="1">
      <c r="C199" s="2314">
        <f>+D10*1000</f>
        <v>2983390000</v>
      </c>
      <c r="P199" s="692">
        <f>+AF10*1000</f>
        <v>163959400</v>
      </c>
    </row>
    <row r="200" spans="3:40" hidden="1">
      <c r="C200" s="2314">
        <f>+C199+C197</f>
        <v>16682894601.804001</v>
      </c>
      <c r="P200" s="692">
        <f>+P192-P194-P195-P196-P197-P198-P199</f>
        <v>7083905703</v>
      </c>
    </row>
    <row r="201" spans="3:40" hidden="1">
      <c r="C201" s="2314">
        <f>+C200-C192</f>
        <v>16666195007.608002</v>
      </c>
      <c r="P201" s="692">
        <f>+C127*1000</f>
        <v>7078351907</v>
      </c>
    </row>
    <row r="202" spans="3:40" hidden="1">
      <c r="O202" s="667">
        <f>+AM10*1000</f>
        <v>5553796</v>
      </c>
      <c r="P202" s="667">
        <f>+P200-P201</f>
        <v>5553796</v>
      </c>
      <c r="R202" s="667"/>
      <c r="S202" s="5445">
        <f>SUM(S203:S206)</f>
        <v>22901</v>
      </c>
      <c r="U202" s="5445">
        <f>+U203+U204+U205+U206</f>
        <v>30667.258661407923</v>
      </c>
      <c r="Z202" s="381">
        <f>3950-1814</f>
        <v>2136</v>
      </c>
    </row>
    <row r="203" spans="3:40" hidden="1">
      <c r="C203" s="426">
        <f>+Q82</f>
        <v>12636.937382673808</v>
      </c>
      <c r="P203" s="5112">
        <v>11726.399999999907</v>
      </c>
      <c r="Q203" s="2634">
        <f>+C203/$C$207</f>
        <v>0.10668137296184239</v>
      </c>
      <c r="R203" s="2634">
        <f>+C203/$R$207</f>
        <v>5.5178915946046951E-2</v>
      </c>
      <c r="S203" s="5445">
        <f>+ROUND(Q203*$U$207,0)</f>
        <v>2443</v>
      </c>
      <c r="U203" s="5444">
        <f>+C203*R203</f>
        <v>697.29250565401662</v>
      </c>
      <c r="V203" s="5446">
        <v>2289.9561590929575</v>
      </c>
      <c r="AB203" s="667">
        <f>+Q80</f>
        <v>15076.399999999907</v>
      </c>
      <c r="AC203" s="2634">
        <f>+AB203/$AB$207</f>
        <v>0.10665500338944814</v>
      </c>
      <c r="AD203" s="667">
        <f>+AD204+AD205</f>
        <v>92643</v>
      </c>
      <c r="AH203" s="729">
        <f>+AB203/AH207</f>
        <v>6.5830777124018497E-2</v>
      </c>
      <c r="AI203" s="5444">
        <f>(AC203*$AI$207)</f>
        <v>2442.5862238742939</v>
      </c>
      <c r="AJ203" s="5894">
        <f>+AI203+AI204</f>
        <v>18088.752569958902</v>
      </c>
    </row>
    <row r="204" spans="3:40" hidden="1">
      <c r="C204" s="667">
        <f>+Z105</f>
        <v>80946.835146215482</v>
      </c>
      <c r="P204" s="5112">
        <v>76610.400000000023</v>
      </c>
      <c r="Q204" s="2634">
        <f t="shared" ref="Q204:Q206" si="59">+C204/$C$207</f>
        <v>0.68335540873646594</v>
      </c>
      <c r="R204" s="2634">
        <f t="shared" ref="R204:R206" si="60">+C204/$R$207</f>
        <v>0.35345261888814383</v>
      </c>
      <c r="S204" s="5445">
        <f t="shared" ref="S204:S205" si="61">+ROUND(Q204*$U$207,0)</f>
        <v>15650</v>
      </c>
      <c r="U204" s="5444">
        <f>+C204*R204</f>
        <v>28610.870873136708</v>
      </c>
      <c r="V204" s="5446">
        <v>14960.640719280987</v>
      </c>
      <c r="W204" s="386">
        <v>17384</v>
      </c>
      <c r="Y204" s="381" t="s">
        <v>3236</v>
      </c>
      <c r="Z204" s="667">
        <f>+'[35]Định mức chi TX 2022'!$G$164</f>
        <v>195279</v>
      </c>
      <c r="AA204" s="381">
        <f>+'Phụ lục số 8.1'!F15</f>
        <v>169098</v>
      </c>
      <c r="AB204" s="426">
        <f>+Z105+Z113</f>
        <v>96572.992999999973</v>
      </c>
      <c r="AC204" s="2634">
        <f t="shared" ref="AC204:AC206" si="62">+AB204/$AB$207</f>
        <v>0.68318649649413732</v>
      </c>
      <c r="AD204" s="667">
        <f>+Z204-AA204</f>
        <v>26181</v>
      </c>
      <c r="AE204" s="667">
        <f>+AD204-Z38</f>
        <v>0</v>
      </c>
      <c r="AH204" s="729">
        <f>+AB204/AH207</f>
        <v>0.42168390188522697</v>
      </c>
      <c r="AI204" s="5444">
        <f t="shared" ref="AI204:AI206" si="63">(AC204*$AI$207)</f>
        <v>15646.166346084608</v>
      </c>
    </row>
    <row r="205" spans="3:40" hidden="1">
      <c r="C205" s="426">
        <f>+AA107</f>
        <v>11443.445180987688</v>
      </c>
      <c r="P205" s="5112">
        <v>12702.606398000033</v>
      </c>
      <c r="Q205" s="2634">
        <f t="shared" si="59"/>
        <v>9.6605878968361245E-2</v>
      </c>
      <c r="R205" s="2634">
        <f t="shared" si="60"/>
        <v>4.9967557854695331E-2</v>
      </c>
      <c r="S205" s="5445">
        <f t="shared" si="61"/>
        <v>2212</v>
      </c>
      <c r="U205" s="5444">
        <f>+C205*R205</f>
        <v>571.80100913803676</v>
      </c>
      <c r="V205" s="5446">
        <v>2480.5918063202703</v>
      </c>
      <c r="W205" s="386">
        <v>2422</v>
      </c>
      <c r="Y205" s="381" t="s">
        <v>3237</v>
      </c>
      <c r="Z205" s="381">
        <f>+'[35]Định mức chi TX 2022'!$G$163</f>
        <v>215162</v>
      </c>
      <c r="AA205" s="381">
        <f>+'Phụ lục số 8.1'!F14</f>
        <v>148700</v>
      </c>
      <c r="AB205" s="426">
        <f>+AA107+AA113</f>
        <v>13652.513398000039</v>
      </c>
      <c r="AC205" s="2634">
        <f t="shared" si="62"/>
        <v>9.6581999863242507E-2</v>
      </c>
      <c r="AD205" s="667">
        <f>+Z205-AA205</f>
        <v>66462</v>
      </c>
      <c r="AE205" s="5199">
        <f>+'Phụ lục số 8.1'!H70</f>
        <v>62511.59</v>
      </c>
      <c r="AF205" s="667">
        <f>+AD205-AE205</f>
        <v>3950.4100000000035</v>
      </c>
      <c r="AH205" s="729">
        <f>+AB205/AH207</f>
        <v>5.9613406826989374E-2</v>
      </c>
      <c r="AI205" s="5444">
        <f t="shared" si="63"/>
        <v>2211.8968153680139</v>
      </c>
    </row>
    <row r="206" spans="3:40" hidden="1">
      <c r="C206" s="426">
        <f>+'Phụ lục số 5'!AC112</f>
        <v>13427.738688122938</v>
      </c>
      <c r="P206" s="5112">
        <v>16235.8</v>
      </c>
      <c r="Q206" s="2634">
        <f t="shared" si="59"/>
        <v>0.11335733933333043</v>
      </c>
      <c r="R206" s="2634">
        <f t="shared" si="60"/>
        <v>5.8631932879028625E-2</v>
      </c>
      <c r="S206" s="5445">
        <f>+ROUND(Q206*$U$207,0)</f>
        <v>2596</v>
      </c>
      <c r="U206" s="5444">
        <f>+C206*R206</f>
        <v>787.29427347915998</v>
      </c>
      <c r="V206" s="5446">
        <v>3170.5613153057834</v>
      </c>
      <c r="W206" s="386">
        <v>3096</v>
      </c>
      <c r="AB206" s="426">
        <f>+AC112+AC113</f>
        <v>16054.8</v>
      </c>
      <c r="AC206" s="2634">
        <f t="shared" si="62"/>
        <v>0.11357650025317201</v>
      </c>
      <c r="AE206" s="5199">
        <f>+AD205-AE205</f>
        <v>3950.4100000000035</v>
      </c>
      <c r="AH206" s="729">
        <f>+AB206/AH207</f>
        <v>7.0102939731679886E-2</v>
      </c>
      <c r="AI206" s="5444">
        <f t="shared" si="63"/>
        <v>2601.100614673082</v>
      </c>
    </row>
    <row r="207" spans="3:40" hidden="1">
      <c r="C207" s="660">
        <f>SUM(C203:C206)</f>
        <v>118454.95639799992</v>
      </c>
      <c r="P207" s="5444">
        <v>117275.20639799997</v>
      </c>
      <c r="Q207" s="5443">
        <f>SUM(Q203:Q206)</f>
        <v>1</v>
      </c>
      <c r="R207" s="685">
        <f>+'Phụ lục số 1'!T117</f>
        <v>229017.5</v>
      </c>
      <c r="S207" s="5443">
        <f>+U207/C207</f>
        <v>0.19333720340963875</v>
      </c>
      <c r="U207" s="5444">
        <f>+R207*10%</f>
        <v>22901.75</v>
      </c>
      <c r="AB207" s="685">
        <f>SUM(AB203:AB206)</f>
        <v>141356.70639799992</v>
      </c>
      <c r="AC207" s="5443">
        <f>SUM(AC203:AC206)</f>
        <v>0.99999999999999989</v>
      </c>
      <c r="AH207" s="685">
        <f>+R207</f>
        <v>229017.5</v>
      </c>
      <c r="AI207" s="5445">
        <f>+U207</f>
        <v>22901.75</v>
      </c>
    </row>
    <row r="208" spans="3:40" hidden="1">
      <c r="U208" s="5445">
        <f>+U202-U207</f>
        <v>7765.5086614079228</v>
      </c>
    </row>
    <row r="209" spans="23:34" hidden="1">
      <c r="AH209" s="660">
        <f>+AC112+AA107+Z105</f>
        <v>105818.01901532611</v>
      </c>
    </row>
    <row r="210" spans="23:34" hidden="1">
      <c r="AH210" s="381">
        <f>+AH209*10%</f>
        <v>10581.801901532612</v>
      </c>
    </row>
    <row r="211" spans="23:34" hidden="1"/>
    <row r="212" spans="23:34" hidden="1"/>
    <row r="213" spans="23:34" hidden="1"/>
    <row r="214" spans="23:34" hidden="1">
      <c r="W214" s="381" t="s">
        <v>117</v>
      </c>
    </row>
    <row r="215" spans="23:34" hidden="1"/>
    <row r="216" spans="23:34" hidden="1"/>
    <row r="217" spans="23:34" hidden="1"/>
    <row r="218" spans="23:34" hidden="1"/>
    <row r="219" spans="23:34" hidden="1"/>
    <row r="220" spans="23:34" hidden="1"/>
    <row r="221" spans="23:34" hidden="1"/>
    <row r="222" spans="23:34" hidden="1"/>
    <row r="223" spans="23:34" hidden="1"/>
    <row r="224" spans="23:3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mergeCells count="33">
    <mergeCell ref="A1:AL1"/>
    <mergeCell ref="A2:AJ2"/>
    <mergeCell ref="AH4:AJ4"/>
    <mergeCell ref="A5:A9"/>
    <mergeCell ref="B5:B9"/>
    <mergeCell ref="C5:AJ5"/>
    <mergeCell ref="AL5:AL9"/>
    <mergeCell ref="C6:C9"/>
    <mergeCell ref="P6:AC6"/>
    <mergeCell ref="AK6:AK9"/>
    <mergeCell ref="D7:D9"/>
    <mergeCell ref="P7:P9"/>
    <mergeCell ref="AD6:AD9"/>
    <mergeCell ref="AI8:AI9"/>
    <mergeCell ref="D6:O6"/>
    <mergeCell ref="E8:E9"/>
    <mergeCell ref="AM5:AM9"/>
    <mergeCell ref="AG6:AG9"/>
    <mergeCell ref="AN5:AN9"/>
    <mergeCell ref="Q7:AC8"/>
    <mergeCell ref="AE6:AE9"/>
    <mergeCell ref="AF6:AF9"/>
    <mergeCell ref="AI6:AJ7"/>
    <mergeCell ref="AH6:AH9"/>
    <mergeCell ref="AJ8:AJ9"/>
    <mergeCell ref="H8:H9"/>
    <mergeCell ref="J8:J9"/>
    <mergeCell ref="K8:K9"/>
    <mergeCell ref="L8:O8"/>
    <mergeCell ref="E7:O7"/>
    <mergeCell ref="F8:F9"/>
    <mergeCell ref="G8:G9"/>
    <mergeCell ref="I8:I9"/>
  </mergeCells>
  <hyperlinks>
    <hyperlink ref="A5:A9" location="'Danh mục file'!A1" display="Số TT"/>
    <hyperlink ref="B102" r:id="rId1"/>
    <hyperlink ref="Q144" r:id="rId2" display="Dutoan2025-Chochutruong-21-10-2024-Anh Duy gửi  ngay 21-10-2024.xlsx"/>
  </hyperlinks>
  <printOptions horizontalCentered="1"/>
  <pageMargins left="0" right="0" top="0.39370078740157483" bottom="0.39370078740157483" header="0" footer="0"/>
  <pageSetup paperSize="8" scale="55" orientation="landscape" r:id="rId3"/>
  <headerFooter>
    <oddHeader>&amp;R&amp;"Times New Roman,Regular"&amp;12&amp;A</oddHeader>
    <oddFooter>&amp;C&amp;"Times New Roman,Regular"&amp;10&amp;P/&amp;N</oddFooter>
  </headerFooter>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5"/>
  </sheetPr>
  <dimension ref="A1:T95"/>
  <sheetViews>
    <sheetView workbookViewId="0">
      <selection activeCell="A6" sqref="A6:A9"/>
    </sheetView>
  </sheetViews>
  <sheetFormatPr defaultRowHeight="15.6"/>
  <cols>
    <col min="1" max="1" width="5.33203125" style="1119" customWidth="1"/>
    <col min="2" max="2" width="54.5546875" style="1118" customWidth="1"/>
    <col min="3" max="14" width="9.6640625" style="1118" customWidth="1"/>
    <col min="15" max="15" width="14.6640625" style="1118" hidden="1" customWidth="1"/>
    <col min="16" max="16" width="12.88671875" style="1118" hidden="1" customWidth="1"/>
    <col min="17" max="17" width="9.109375" style="1118"/>
    <col min="18" max="18" width="13.6640625" style="1118" hidden="1" customWidth="1"/>
    <col min="19" max="19" width="22" style="1118" hidden="1" customWidth="1"/>
    <col min="20" max="20" width="20.6640625" style="1118" customWidth="1"/>
    <col min="21" max="263" width="9.109375" style="1118"/>
    <col min="264" max="264" width="5.33203125" style="1118" customWidth="1"/>
    <col min="265" max="265" width="63.88671875" style="1118" customWidth="1"/>
    <col min="266" max="266" width="13.44140625" style="1118" customWidth="1"/>
    <col min="267" max="270" width="11.6640625" style="1118" customWidth="1"/>
    <col min="271" max="271" width="10.6640625" style="1118" customWidth="1"/>
    <col min="272" max="272" width="11" style="1118" customWidth="1"/>
    <col min="273" max="519" width="9.109375" style="1118"/>
    <col min="520" max="520" width="5.33203125" style="1118" customWidth="1"/>
    <col min="521" max="521" width="63.88671875" style="1118" customWidth="1"/>
    <col min="522" max="522" width="13.44140625" style="1118" customWidth="1"/>
    <col min="523" max="526" width="11.6640625" style="1118" customWidth="1"/>
    <col min="527" max="527" width="10.6640625" style="1118" customWidth="1"/>
    <col min="528" max="528" width="11" style="1118" customWidth="1"/>
    <col min="529" max="775" width="9.109375" style="1118"/>
    <col min="776" max="776" width="5.33203125" style="1118" customWidth="1"/>
    <col min="777" max="777" width="63.88671875" style="1118" customWidth="1"/>
    <col min="778" max="778" width="13.44140625" style="1118" customWidth="1"/>
    <col min="779" max="782" width="11.6640625" style="1118" customWidth="1"/>
    <col min="783" max="783" width="10.6640625" style="1118" customWidth="1"/>
    <col min="784" max="784" width="11" style="1118" customWidth="1"/>
    <col min="785" max="1031" width="9.109375" style="1118"/>
    <col min="1032" max="1032" width="5.33203125" style="1118" customWidth="1"/>
    <col min="1033" max="1033" width="63.88671875" style="1118" customWidth="1"/>
    <col min="1034" max="1034" width="13.44140625" style="1118" customWidth="1"/>
    <col min="1035" max="1038" width="11.6640625" style="1118" customWidth="1"/>
    <col min="1039" max="1039" width="10.6640625" style="1118" customWidth="1"/>
    <col min="1040" max="1040" width="11" style="1118" customWidth="1"/>
    <col min="1041" max="1287" width="9.109375" style="1118"/>
    <col min="1288" max="1288" width="5.33203125" style="1118" customWidth="1"/>
    <col min="1289" max="1289" width="63.88671875" style="1118" customWidth="1"/>
    <col min="1290" max="1290" width="13.44140625" style="1118" customWidth="1"/>
    <col min="1291" max="1294" width="11.6640625" style="1118" customWidth="1"/>
    <col min="1295" max="1295" width="10.6640625" style="1118" customWidth="1"/>
    <col min="1296" max="1296" width="11" style="1118" customWidth="1"/>
    <col min="1297" max="1543" width="9.109375" style="1118"/>
    <col min="1544" max="1544" width="5.33203125" style="1118" customWidth="1"/>
    <col min="1545" max="1545" width="63.88671875" style="1118" customWidth="1"/>
    <col min="1546" max="1546" width="13.44140625" style="1118" customWidth="1"/>
    <col min="1547" max="1550" width="11.6640625" style="1118" customWidth="1"/>
    <col min="1551" max="1551" width="10.6640625" style="1118" customWidth="1"/>
    <col min="1552" max="1552" width="11" style="1118" customWidth="1"/>
    <col min="1553" max="1799" width="9.109375" style="1118"/>
    <col min="1800" max="1800" width="5.33203125" style="1118" customWidth="1"/>
    <col min="1801" max="1801" width="63.88671875" style="1118" customWidth="1"/>
    <col min="1802" max="1802" width="13.44140625" style="1118" customWidth="1"/>
    <col min="1803" max="1806" width="11.6640625" style="1118" customWidth="1"/>
    <col min="1807" max="1807" width="10.6640625" style="1118" customWidth="1"/>
    <col min="1808" max="1808" width="11" style="1118" customWidth="1"/>
    <col min="1809" max="2055" width="9.109375" style="1118"/>
    <col min="2056" max="2056" width="5.33203125" style="1118" customWidth="1"/>
    <col min="2057" max="2057" width="63.88671875" style="1118" customWidth="1"/>
    <col min="2058" max="2058" width="13.44140625" style="1118" customWidth="1"/>
    <col min="2059" max="2062" width="11.6640625" style="1118" customWidth="1"/>
    <col min="2063" max="2063" width="10.6640625" style="1118" customWidth="1"/>
    <col min="2064" max="2064" width="11" style="1118" customWidth="1"/>
    <col min="2065" max="2311" width="9.109375" style="1118"/>
    <col min="2312" max="2312" width="5.33203125" style="1118" customWidth="1"/>
    <col min="2313" max="2313" width="63.88671875" style="1118" customWidth="1"/>
    <col min="2314" max="2314" width="13.44140625" style="1118" customWidth="1"/>
    <col min="2315" max="2318" width="11.6640625" style="1118" customWidth="1"/>
    <col min="2319" max="2319" width="10.6640625" style="1118" customWidth="1"/>
    <col min="2320" max="2320" width="11" style="1118" customWidth="1"/>
    <col min="2321" max="2567" width="9.109375" style="1118"/>
    <col min="2568" max="2568" width="5.33203125" style="1118" customWidth="1"/>
    <col min="2569" max="2569" width="63.88671875" style="1118" customWidth="1"/>
    <col min="2570" max="2570" width="13.44140625" style="1118" customWidth="1"/>
    <col min="2571" max="2574" width="11.6640625" style="1118" customWidth="1"/>
    <col min="2575" max="2575" width="10.6640625" style="1118" customWidth="1"/>
    <col min="2576" max="2576" width="11" style="1118" customWidth="1"/>
    <col min="2577" max="2823" width="9.109375" style="1118"/>
    <col min="2824" max="2824" width="5.33203125" style="1118" customWidth="1"/>
    <col min="2825" max="2825" width="63.88671875" style="1118" customWidth="1"/>
    <col min="2826" max="2826" width="13.44140625" style="1118" customWidth="1"/>
    <col min="2827" max="2830" width="11.6640625" style="1118" customWidth="1"/>
    <col min="2831" max="2831" width="10.6640625" style="1118" customWidth="1"/>
    <col min="2832" max="2832" width="11" style="1118" customWidth="1"/>
    <col min="2833" max="3079" width="9.109375" style="1118"/>
    <col min="3080" max="3080" width="5.33203125" style="1118" customWidth="1"/>
    <col min="3081" max="3081" width="63.88671875" style="1118" customWidth="1"/>
    <col min="3082" max="3082" width="13.44140625" style="1118" customWidth="1"/>
    <col min="3083" max="3086" width="11.6640625" style="1118" customWidth="1"/>
    <col min="3087" max="3087" width="10.6640625" style="1118" customWidth="1"/>
    <col min="3088" max="3088" width="11" style="1118" customWidth="1"/>
    <col min="3089" max="3335" width="9.109375" style="1118"/>
    <col min="3336" max="3336" width="5.33203125" style="1118" customWidth="1"/>
    <col min="3337" max="3337" width="63.88671875" style="1118" customWidth="1"/>
    <col min="3338" max="3338" width="13.44140625" style="1118" customWidth="1"/>
    <col min="3339" max="3342" width="11.6640625" style="1118" customWidth="1"/>
    <col min="3343" max="3343" width="10.6640625" style="1118" customWidth="1"/>
    <col min="3344" max="3344" width="11" style="1118" customWidth="1"/>
    <col min="3345" max="3591" width="9.109375" style="1118"/>
    <col min="3592" max="3592" width="5.33203125" style="1118" customWidth="1"/>
    <col min="3593" max="3593" width="63.88671875" style="1118" customWidth="1"/>
    <col min="3594" max="3594" width="13.44140625" style="1118" customWidth="1"/>
    <col min="3595" max="3598" width="11.6640625" style="1118" customWidth="1"/>
    <col min="3599" max="3599" width="10.6640625" style="1118" customWidth="1"/>
    <col min="3600" max="3600" width="11" style="1118" customWidth="1"/>
    <col min="3601" max="3847" width="9.109375" style="1118"/>
    <col min="3848" max="3848" width="5.33203125" style="1118" customWidth="1"/>
    <col min="3849" max="3849" width="63.88671875" style="1118" customWidth="1"/>
    <col min="3850" max="3850" width="13.44140625" style="1118" customWidth="1"/>
    <col min="3851" max="3854" width="11.6640625" style="1118" customWidth="1"/>
    <col min="3855" max="3855" width="10.6640625" style="1118" customWidth="1"/>
    <col min="3856" max="3856" width="11" style="1118" customWidth="1"/>
    <col min="3857" max="4103" width="9.109375" style="1118"/>
    <col min="4104" max="4104" width="5.33203125" style="1118" customWidth="1"/>
    <col min="4105" max="4105" width="63.88671875" style="1118" customWidth="1"/>
    <col min="4106" max="4106" width="13.44140625" style="1118" customWidth="1"/>
    <col min="4107" max="4110" width="11.6640625" style="1118" customWidth="1"/>
    <col min="4111" max="4111" width="10.6640625" style="1118" customWidth="1"/>
    <col min="4112" max="4112" width="11" style="1118" customWidth="1"/>
    <col min="4113" max="4359" width="9.109375" style="1118"/>
    <col min="4360" max="4360" width="5.33203125" style="1118" customWidth="1"/>
    <col min="4361" max="4361" width="63.88671875" style="1118" customWidth="1"/>
    <col min="4362" max="4362" width="13.44140625" style="1118" customWidth="1"/>
    <col min="4363" max="4366" width="11.6640625" style="1118" customWidth="1"/>
    <col min="4367" max="4367" width="10.6640625" style="1118" customWidth="1"/>
    <col min="4368" max="4368" width="11" style="1118" customWidth="1"/>
    <col min="4369" max="4615" width="9.109375" style="1118"/>
    <col min="4616" max="4616" width="5.33203125" style="1118" customWidth="1"/>
    <col min="4617" max="4617" width="63.88671875" style="1118" customWidth="1"/>
    <col min="4618" max="4618" width="13.44140625" style="1118" customWidth="1"/>
    <col min="4619" max="4622" width="11.6640625" style="1118" customWidth="1"/>
    <col min="4623" max="4623" width="10.6640625" style="1118" customWidth="1"/>
    <col min="4624" max="4624" width="11" style="1118" customWidth="1"/>
    <col min="4625" max="4871" width="9.109375" style="1118"/>
    <col min="4872" max="4872" width="5.33203125" style="1118" customWidth="1"/>
    <col min="4873" max="4873" width="63.88671875" style="1118" customWidth="1"/>
    <col min="4874" max="4874" width="13.44140625" style="1118" customWidth="1"/>
    <col min="4875" max="4878" width="11.6640625" style="1118" customWidth="1"/>
    <col min="4879" max="4879" width="10.6640625" style="1118" customWidth="1"/>
    <col min="4880" max="4880" width="11" style="1118" customWidth="1"/>
    <col min="4881" max="5127" width="9.109375" style="1118"/>
    <col min="5128" max="5128" width="5.33203125" style="1118" customWidth="1"/>
    <col min="5129" max="5129" width="63.88671875" style="1118" customWidth="1"/>
    <col min="5130" max="5130" width="13.44140625" style="1118" customWidth="1"/>
    <col min="5131" max="5134" width="11.6640625" style="1118" customWidth="1"/>
    <col min="5135" max="5135" width="10.6640625" style="1118" customWidth="1"/>
    <col min="5136" max="5136" width="11" style="1118" customWidth="1"/>
    <col min="5137" max="5383" width="9.109375" style="1118"/>
    <col min="5384" max="5384" width="5.33203125" style="1118" customWidth="1"/>
    <col min="5385" max="5385" width="63.88671875" style="1118" customWidth="1"/>
    <col min="5386" max="5386" width="13.44140625" style="1118" customWidth="1"/>
    <col min="5387" max="5390" width="11.6640625" style="1118" customWidth="1"/>
    <col min="5391" max="5391" width="10.6640625" style="1118" customWidth="1"/>
    <col min="5392" max="5392" width="11" style="1118" customWidth="1"/>
    <col min="5393" max="5639" width="9.109375" style="1118"/>
    <col min="5640" max="5640" width="5.33203125" style="1118" customWidth="1"/>
    <col min="5641" max="5641" width="63.88671875" style="1118" customWidth="1"/>
    <col min="5642" max="5642" width="13.44140625" style="1118" customWidth="1"/>
    <col min="5643" max="5646" width="11.6640625" style="1118" customWidth="1"/>
    <col min="5647" max="5647" width="10.6640625" style="1118" customWidth="1"/>
    <col min="5648" max="5648" width="11" style="1118" customWidth="1"/>
    <col min="5649" max="5895" width="9.109375" style="1118"/>
    <col min="5896" max="5896" width="5.33203125" style="1118" customWidth="1"/>
    <col min="5897" max="5897" width="63.88671875" style="1118" customWidth="1"/>
    <col min="5898" max="5898" width="13.44140625" style="1118" customWidth="1"/>
    <col min="5899" max="5902" width="11.6640625" style="1118" customWidth="1"/>
    <col min="5903" max="5903" width="10.6640625" style="1118" customWidth="1"/>
    <col min="5904" max="5904" width="11" style="1118" customWidth="1"/>
    <col min="5905" max="6151" width="9.109375" style="1118"/>
    <col min="6152" max="6152" width="5.33203125" style="1118" customWidth="1"/>
    <col min="6153" max="6153" width="63.88671875" style="1118" customWidth="1"/>
    <col min="6154" max="6154" width="13.44140625" style="1118" customWidth="1"/>
    <col min="6155" max="6158" width="11.6640625" style="1118" customWidth="1"/>
    <col min="6159" max="6159" width="10.6640625" style="1118" customWidth="1"/>
    <col min="6160" max="6160" width="11" style="1118" customWidth="1"/>
    <col min="6161" max="6407" width="9.109375" style="1118"/>
    <col min="6408" max="6408" width="5.33203125" style="1118" customWidth="1"/>
    <col min="6409" max="6409" width="63.88671875" style="1118" customWidth="1"/>
    <col min="6410" max="6410" width="13.44140625" style="1118" customWidth="1"/>
    <col min="6411" max="6414" width="11.6640625" style="1118" customWidth="1"/>
    <col min="6415" max="6415" width="10.6640625" style="1118" customWidth="1"/>
    <col min="6416" max="6416" width="11" style="1118" customWidth="1"/>
    <col min="6417" max="6663" width="9.109375" style="1118"/>
    <col min="6664" max="6664" width="5.33203125" style="1118" customWidth="1"/>
    <col min="6665" max="6665" width="63.88671875" style="1118" customWidth="1"/>
    <col min="6666" max="6666" width="13.44140625" style="1118" customWidth="1"/>
    <col min="6667" max="6670" width="11.6640625" style="1118" customWidth="1"/>
    <col min="6671" max="6671" width="10.6640625" style="1118" customWidth="1"/>
    <col min="6672" max="6672" width="11" style="1118" customWidth="1"/>
    <col min="6673" max="6919" width="9.109375" style="1118"/>
    <col min="6920" max="6920" width="5.33203125" style="1118" customWidth="1"/>
    <col min="6921" max="6921" width="63.88671875" style="1118" customWidth="1"/>
    <col min="6922" max="6922" width="13.44140625" style="1118" customWidth="1"/>
    <col min="6923" max="6926" width="11.6640625" style="1118" customWidth="1"/>
    <col min="6927" max="6927" width="10.6640625" style="1118" customWidth="1"/>
    <col min="6928" max="6928" width="11" style="1118" customWidth="1"/>
    <col min="6929" max="7175" width="9.109375" style="1118"/>
    <col min="7176" max="7176" width="5.33203125" style="1118" customWidth="1"/>
    <col min="7177" max="7177" width="63.88671875" style="1118" customWidth="1"/>
    <col min="7178" max="7178" width="13.44140625" style="1118" customWidth="1"/>
    <col min="7179" max="7182" width="11.6640625" style="1118" customWidth="1"/>
    <col min="7183" max="7183" width="10.6640625" style="1118" customWidth="1"/>
    <col min="7184" max="7184" width="11" style="1118" customWidth="1"/>
    <col min="7185" max="7431" width="9.109375" style="1118"/>
    <col min="7432" max="7432" width="5.33203125" style="1118" customWidth="1"/>
    <col min="7433" max="7433" width="63.88671875" style="1118" customWidth="1"/>
    <col min="7434" max="7434" width="13.44140625" style="1118" customWidth="1"/>
    <col min="7435" max="7438" width="11.6640625" style="1118" customWidth="1"/>
    <col min="7439" max="7439" width="10.6640625" style="1118" customWidth="1"/>
    <col min="7440" max="7440" width="11" style="1118" customWidth="1"/>
    <col min="7441" max="7687" width="9.109375" style="1118"/>
    <col min="7688" max="7688" width="5.33203125" style="1118" customWidth="1"/>
    <col min="7689" max="7689" width="63.88671875" style="1118" customWidth="1"/>
    <col min="7690" max="7690" width="13.44140625" style="1118" customWidth="1"/>
    <col min="7691" max="7694" width="11.6640625" style="1118" customWidth="1"/>
    <col min="7695" max="7695" width="10.6640625" style="1118" customWidth="1"/>
    <col min="7696" max="7696" width="11" style="1118" customWidth="1"/>
    <col min="7697" max="7943" width="9.109375" style="1118"/>
    <col min="7944" max="7944" width="5.33203125" style="1118" customWidth="1"/>
    <col min="7945" max="7945" width="63.88671875" style="1118" customWidth="1"/>
    <col min="7946" max="7946" width="13.44140625" style="1118" customWidth="1"/>
    <col min="7947" max="7950" width="11.6640625" style="1118" customWidth="1"/>
    <col min="7951" max="7951" width="10.6640625" style="1118" customWidth="1"/>
    <col min="7952" max="7952" width="11" style="1118" customWidth="1"/>
    <col min="7953" max="8199" width="9.109375" style="1118"/>
    <col min="8200" max="8200" width="5.33203125" style="1118" customWidth="1"/>
    <col min="8201" max="8201" width="63.88671875" style="1118" customWidth="1"/>
    <col min="8202" max="8202" width="13.44140625" style="1118" customWidth="1"/>
    <col min="8203" max="8206" width="11.6640625" style="1118" customWidth="1"/>
    <col min="8207" max="8207" width="10.6640625" style="1118" customWidth="1"/>
    <col min="8208" max="8208" width="11" style="1118" customWidth="1"/>
    <col min="8209" max="8455" width="9.109375" style="1118"/>
    <col min="8456" max="8456" width="5.33203125" style="1118" customWidth="1"/>
    <col min="8457" max="8457" width="63.88671875" style="1118" customWidth="1"/>
    <col min="8458" max="8458" width="13.44140625" style="1118" customWidth="1"/>
    <col min="8459" max="8462" width="11.6640625" style="1118" customWidth="1"/>
    <col min="8463" max="8463" width="10.6640625" style="1118" customWidth="1"/>
    <col min="8464" max="8464" width="11" style="1118" customWidth="1"/>
    <col min="8465" max="8711" width="9.109375" style="1118"/>
    <col min="8712" max="8712" width="5.33203125" style="1118" customWidth="1"/>
    <col min="8713" max="8713" width="63.88671875" style="1118" customWidth="1"/>
    <col min="8714" max="8714" width="13.44140625" style="1118" customWidth="1"/>
    <col min="8715" max="8718" width="11.6640625" style="1118" customWidth="1"/>
    <col min="8719" max="8719" width="10.6640625" style="1118" customWidth="1"/>
    <col min="8720" max="8720" width="11" style="1118" customWidth="1"/>
    <col min="8721" max="8967" width="9.109375" style="1118"/>
    <col min="8968" max="8968" width="5.33203125" style="1118" customWidth="1"/>
    <col min="8969" max="8969" width="63.88671875" style="1118" customWidth="1"/>
    <col min="8970" max="8970" width="13.44140625" style="1118" customWidth="1"/>
    <col min="8971" max="8974" width="11.6640625" style="1118" customWidth="1"/>
    <col min="8975" max="8975" width="10.6640625" style="1118" customWidth="1"/>
    <col min="8976" max="8976" width="11" style="1118" customWidth="1"/>
    <col min="8977" max="9223" width="9.109375" style="1118"/>
    <col min="9224" max="9224" width="5.33203125" style="1118" customWidth="1"/>
    <col min="9225" max="9225" width="63.88671875" style="1118" customWidth="1"/>
    <col min="9226" max="9226" width="13.44140625" style="1118" customWidth="1"/>
    <col min="9227" max="9230" width="11.6640625" style="1118" customWidth="1"/>
    <col min="9231" max="9231" width="10.6640625" style="1118" customWidth="1"/>
    <col min="9232" max="9232" width="11" style="1118" customWidth="1"/>
    <col min="9233" max="9479" width="9.109375" style="1118"/>
    <col min="9480" max="9480" width="5.33203125" style="1118" customWidth="1"/>
    <col min="9481" max="9481" width="63.88671875" style="1118" customWidth="1"/>
    <col min="9482" max="9482" width="13.44140625" style="1118" customWidth="1"/>
    <col min="9483" max="9486" width="11.6640625" style="1118" customWidth="1"/>
    <col min="9487" max="9487" width="10.6640625" style="1118" customWidth="1"/>
    <col min="9488" max="9488" width="11" style="1118" customWidth="1"/>
    <col min="9489" max="9735" width="9.109375" style="1118"/>
    <col min="9736" max="9736" width="5.33203125" style="1118" customWidth="1"/>
    <col min="9737" max="9737" width="63.88671875" style="1118" customWidth="1"/>
    <col min="9738" max="9738" width="13.44140625" style="1118" customWidth="1"/>
    <col min="9739" max="9742" width="11.6640625" style="1118" customWidth="1"/>
    <col min="9743" max="9743" width="10.6640625" style="1118" customWidth="1"/>
    <col min="9744" max="9744" width="11" style="1118" customWidth="1"/>
    <col min="9745" max="9991" width="9.109375" style="1118"/>
    <col min="9992" max="9992" width="5.33203125" style="1118" customWidth="1"/>
    <col min="9993" max="9993" width="63.88671875" style="1118" customWidth="1"/>
    <col min="9994" max="9994" width="13.44140625" style="1118" customWidth="1"/>
    <col min="9995" max="9998" width="11.6640625" style="1118" customWidth="1"/>
    <col min="9999" max="9999" width="10.6640625" style="1118" customWidth="1"/>
    <col min="10000" max="10000" width="11" style="1118" customWidth="1"/>
    <col min="10001" max="10247" width="9.109375" style="1118"/>
    <col min="10248" max="10248" width="5.33203125" style="1118" customWidth="1"/>
    <col min="10249" max="10249" width="63.88671875" style="1118" customWidth="1"/>
    <col min="10250" max="10250" width="13.44140625" style="1118" customWidth="1"/>
    <col min="10251" max="10254" width="11.6640625" style="1118" customWidth="1"/>
    <col min="10255" max="10255" width="10.6640625" style="1118" customWidth="1"/>
    <col min="10256" max="10256" width="11" style="1118" customWidth="1"/>
    <col min="10257" max="10503" width="9.109375" style="1118"/>
    <col min="10504" max="10504" width="5.33203125" style="1118" customWidth="1"/>
    <col min="10505" max="10505" width="63.88671875" style="1118" customWidth="1"/>
    <col min="10506" max="10506" width="13.44140625" style="1118" customWidth="1"/>
    <col min="10507" max="10510" width="11.6640625" style="1118" customWidth="1"/>
    <col min="10511" max="10511" width="10.6640625" style="1118" customWidth="1"/>
    <col min="10512" max="10512" width="11" style="1118" customWidth="1"/>
    <col min="10513" max="10759" width="9.109375" style="1118"/>
    <col min="10760" max="10760" width="5.33203125" style="1118" customWidth="1"/>
    <col min="10761" max="10761" width="63.88671875" style="1118" customWidth="1"/>
    <col min="10762" max="10762" width="13.44140625" style="1118" customWidth="1"/>
    <col min="10763" max="10766" width="11.6640625" style="1118" customWidth="1"/>
    <col min="10767" max="10767" width="10.6640625" style="1118" customWidth="1"/>
    <col min="10768" max="10768" width="11" style="1118" customWidth="1"/>
    <col min="10769" max="11015" width="9.109375" style="1118"/>
    <col min="11016" max="11016" width="5.33203125" style="1118" customWidth="1"/>
    <col min="11017" max="11017" width="63.88671875" style="1118" customWidth="1"/>
    <col min="11018" max="11018" width="13.44140625" style="1118" customWidth="1"/>
    <col min="11019" max="11022" width="11.6640625" style="1118" customWidth="1"/>
    <col min="11023" max="11023" width="10.6640625" style="1118" customWidth="1"/>
    <col min="11024" max="11024" width="11" style="1118" customWidth="1"/>
    <col min="11025" max="11271" width="9.109375" style="1118"/>
    <col min="11272" max="11272" width="5.33203125" style="1118" customWidth="1"/>
    <col min="11273" max="11273" width="63.88671875" style="1118" customWidth="1"/>
    <col min="11274" max="11274" width="13.44140625" style="1118" customWidth="1"/>
    <col min="11275" max="11278" width="11.6640625" style="1118" customWidth="1"/>
    <col min="11279" max="11279" width="10.6640625" style="1118" customWidth="1"/>
    <col min="11280" max="11280" width="11" style="1118" customWidth="1"/>
    <col min="11281" max="11527" width="9.109375" style="1118"/>
    <col min="11528" max="11528" width="5.33203125" style="1118" customWidth="1"/>
    <col min="11529" max="11529" width="63.88671875" style="1118" customWidth="1"/>
    <col min="11530" max="11530" width="13.44140625" style="1118" customWidth="1"/>
    <col min="11531" max="11534" width="11.6640625" style="1118" customWidth="1"/>
    <col min="11535" max="11535" width="10.6640625" style="1118" customWidth="1"/>
    <col min="11536" max="11536" width="11" style="1118" customWidth="1"/>
    <col min="11537" max="11783" width="9.109375" style="1118"/>
    <col min="11784" max="11784" width="5.33203125" style="1118" customWidth="1"/>
    <col min="11785" max="11785" width="63.88671875" style="1118" customWidth="1"/>
    <col min="11786" max="11786" width="13.44140625" style="1118" customWidth="1"/>
    <col min="11787" max="11790" width="11.6640625" style="1118" customWidth="1"/>
    <col min="11791" max="11791" width="10.6640625" style="1118" customWidth="1"/>
    <col min="11792" max="11792" width="11" style="1118" customWidth="1"/>
    <col min="11793" max="12039" width="9.109375" style="1118"/>
    <col min="12040" max="12040" width="5.33203125" style="1118" customWidth="1"/>
    <col min="12041" max="12041" width="63.88671875" style="1118" customWidth="1"/>
    <col min="12042" max="12042" width="13.44140625" style="1118" customWidth="1"/>
    <col min="12043" max="12046" width="11.6640625" style="1118" customWidth="1"/>
    <col min="12047" max="12047" width="10.6640625" style="1118" customWidth="1"/>
    <col min="12048" max="12048" width="11" style="1118" customWidth="1"/>
    <col min="12049" max="12295" width="9.109375" style="1118"/>
    <col min="12296" max="12296" width="5.33203125" style="1118" customWidth="1"/>
    <col min="12297" max="12297" width="63.88671875" style="1118" customWidth="1"/>
    <col min="12298" max="12298" width="13.44140625" style="1118" customWidth="1"/>
    <col min="12299" max="12302" width="11.6640625" style="1118" customWidth="1"/>
    <col min="12303" max="12303" width="10.6640625" style="1118" customWidth="1"/>
    <col min="12304" max="12304" width="11" style="1118" customWidth="1"/>
    <col min="12305" max="12551" width="9.109375" style="1118"/>
    <col min="12552" max="12552" width="5.33203125" style="1118" customWidth="1"/>
    <col min="12553" max="12553" width="63.88671875" style="1118" customWidth="1"/>
    <col min="12554" max="12554" width="13.44140625" style="1118" customWidth="1"/>
    <col min="12555" max="12558" width="11.6640625" style="1118" customWidth="1"/>
    <col min="12559" max="12559" width="10.6640625" style="1118" customWidth="1"/>
    <col min="12560" max="12560" width="11" style="1118" customWidth="1"/>
    <col min="12561" max="12807" width="9.109375" style="1118"/>
    <col min="12808" max="12808" width="5.33203125" style="1118" customWidth="1"/>
    <col min="12809" max="12809" width="63.88671875" style="1118" customWidth="1"/>
    <col min="12810" max="12810" width="13.44140625" style="1118" customWidth="1"/>
    <col min="12811" max="12814" width="11.6640625" style="1118" customWidth="1"/>
    <col min="12815" max="12815" width="10.6640625" style="1118" customWidth="1"/>
    <col min="12816" max="12816" width="11" style="1118" customWidth="1"/>
    <col min="12817" max="13063" width="9.109375" style="1118"/>
    <col min="13064" max="13064" width="5.33203125" style="1118" customWidth="1"/>
    <col min="13065" max="13065" width="63.88671875" style="1118" customWidth="1"/>
    <col min="13066" max="13066" width="13.44140625" style="1118" customWidth="1"/>
    <col min="13067" max="13070" width="11.6640625" style="1118" customWidth="1"/>
    <col min="13071" max="13071" width="10.6640625" style="1118" customWidth="1"/>
    <col min="13072" max="13072" width="11" style="1118" customWidth="1"/>
    <col min="13073" max="13319" width="9.109375" style="1118"/>
    <col min="13320" max="13320" width="5.33203125" style="1118" customWidth="1"/>
    <col min="13321" max="13321" width="63.88671875" style="1118" customWidth="1"/>
    <col min="13322" max="13322" width="13.44140625" style="1118" customWidth="1"/>
    <col min="13323" max="13326" width="11.6640625" style="1118" customWidth="1"/>
    <col min="13327" max="13327" width="10.6640625" style="1118" customWidth="1"/>
    <col min="13328" max="13328" width="11" style="1118" customWidth="1"/>
    <col min="13329" max="13575" width="9.109375" style="1118"/>
    <col min="13576" max="13576" width="5.33203125" style="1118" customWidth="1"/>
    <col min="13577" max="13577" width="63.88671875" style="1118" customWidth="1"/>
    <col min="13578" max="13578" width="13.44140625" style="1118" customWidth="1"/>
    <col min="13579" max="13582" width="11.6640625" style="1118" customWidth="1"/>
    <col min="13583" max="13583" width="10.6640625" style="1118" customWidth="1"/>
    <col min="13584" max="13584" width="11" style="1118" customWidth="1"/>
    <col min="13585" max="13831" width="9.109375" style="1118"/>
    <col min="13832" max="13832" width="5.33203125" style="1118" customWidth="1"/>
    <col min="13833" max="13833" width="63.88671875" style="1118" customWidth="1"/>
    <col min="13834" max="13834" width="13.44140625" style="1118" customWidth="1"/>
    <col min="13835" max="13838" width="11.6640625" style="1118" customWidth="1"/>
    <col min="13839" max="13839" width="10.6640625" style="1118" customWidth="1"/>
    <col min="13840" max="13840" width="11" style="1118" customWidth="1"/>
    <col min="13841" max="14087" width="9.109375" style="1118"/>
    <col min="14088" max="14088" width="5.33203125" style="1118" customWidth="1"/>
    <col min="14089" max="14089" width="63.88671875" style="1118" customWidth="1"/>
    <col min="14090" max="14090" width="13.44140625" style="1118" customWidth="1"/>
    <col min="14091" max="14094" width="11.6640625" style="1118" customWidth="1"/>
    <col min="14095" max="14095" width="10.6640625" style="1118" customWidth="1"/>
    <col min="14096" max="14096" width="11" style="1118" customWidth="1"/>
    <col min="14097" max="14343" width="9.109375" style="1118"/>
    <col min="14344" max="14344" width="5.33203125" style="1118" customWidth="1"/>
    <col min="14345" max="14345" width="63.88671875" style="1118" customWidth="1"/>
    <col min="14346" max="14346" width="13.44140625" style="1118" customWidth="1"/>
    <col min="14347" max="14350" width="11.6640625" style="1118" customWidth="1"/>
    <col min="14351" max="14351" width="10.6640625" style="1118" customWidth="1"/>
    <col min="14352" max="14352" width="11" style="1118" customWidth="1"/>
    <col min="14353" max="14599" width="9.109375" style="1118"/>
    <col min="14600" max="14600" width="5.33203125" style="1118" customWidth="1"/>
    <col min="14601" max="14601" width="63.88671875" style="1118" customWidth="1"/>
    <col min="14602" max="14602" width="13.44140625" style="1118" customWidth="1"/>
    <col min="14603" max="14606" width="11.6640625" style="1118" customWidth="1"/>
    <col min="14607" max="14607" width="10.6640625" style="1118" customWidth="1"/>
    <col min="14608" max="14608" width="11" style="1118" customWidth="1"/>
    <col min="14609" max="14855" width="9.109375" style="1118"/>
    <col min="14856" max="14856" width="5.33203125" style="1118" customWidth="1"/>
    <col min="14857" max="14857" width="63.88671875" style="1118" customWidth="1"/>
    <col min="14858" max="14858" width="13.44140625" style="1118" customWidth="1"/>
    <col min="14859" max="14862" width="11.6640625" style="1118" customWidth="1"/>
    <col min="14863" max="14863" width="10.6640625" style="1118" customWidth="1"/>
    <col min="14864" max="14864" width="11" style="1118" customWidth="1"/>
    <col min="14865" max="15111" width="9.109375" style="1118"/>
    <col min="15112" max="15112" width="5.33203125" style="1118" customWidth="1"/>
    <col min="15113" max="15113" width="63.88671875" style="1118" customWidth="1"/>
    <col min="15114" max="15114" width="13.44140625" style="1118" customWidth="1"/>
    <col min="15115" max="15118" width="11.6640625" style="1118" customWidth="1"/>
    <col min="15119" max="15119" width="10.6640625" style="1118" customWidth="1"/>
    <col min="15120" max="15120" width="11" style="1118" customWidth="1"/>
    <col min="15121" max="15367" width="9.109375" style="1118"/>
    <col min="15368" max="15368" width="5.33203125" style="1118" customWidth="1"/>
    <col min="15369" max="15369" width="63.88671875" style="1118" customWidth="1"/>
    <col min="15370" max="15370" width="13.44140625" style="1118" customWidth="1"/>
    <col min="15371" max="15374" width="11.6640625" style="1118" customWidth="1"/>
    <col min="15375" max="15375" width="10.6640625" style="1118" customWidth="1"/>
    <col min="15376" max="15376" width="11" style="1118" customWidth="1"/>
    <col min="15377" max="15623" width="9.109375" style="1118"/>
    <col min="15624" max="15624" width="5.33203125" style="1118" customWidth="1"/>
    <col min="15625" max="15625" width="63.88671875" style="1118" customWidth="1"/>
    <col min="15626" max="15626" width="13.44140625" style="1118" customWidth="1"/>
    <col min="15627" max="15630" width="11.6640625" style="1118" customWidth="1"/>
    <col min="15631" max="15631" width="10.6640625" style="1118" customWidth="1"/>
    <col min="15632" max="15632" width="11" style="1118" customWidth="1"/>
    <col min="15633" max="15879" width="9.109375" style="1118"/>
    <col min="15880" max="15880" width="5.33203125" style="1118" customWidth="1"/>
    <col min="15881" max="15881" width="63.88671875" style="1118" customWidth="1"/>
    <col min="15882" max="15882" width="13.44140625" style="1118" customWidth="1"/>
    <col min="15883" max="15886" width="11.6640625" style="1118" customWidth="1"/>
    <col min="15887" max="15887" width="10.6640625" style="1118" customWidth="1"/>
    <col min="15888" max="15888" width="11" style="1118" customWidth="1"/>
    <col min="15889" max="16135" width="9.109375" style="1118"/>
    <col min="16136" max="16136" width="5.33203125" style="1118" customWidth="1"/>
    <col min="16137" max="16137" width="63.88671875" style="1118" customWidth="1"/>
    <col min="16138" max="16138" width="13.44140625" style="1118" customWidth="1"/>
    <col min="16139" max="16142" width="11.6640625" style="1118" customWidth="1"/>
    <col min="16143" max="16143" width="10.6640625" style="1118" customWidth="1"/>
    <col min="16144" max="16144" width="11" style="1118" customWidth="1"/>
    <col min="16145" max="16384" width="9.109375" style="1118"/>
  </cols>
  <sheetData>
    <row r="1" spans="1:16">
      <c r="A1" s="6130" t="str">
        <f>'[4]01'!A1:B1</f>
        <v>ỦY BAN NHÂN DÂN TỈNH ĐỒNG THÁP</v>
      </c>
      <c r="B1" s="6130"/>
      <c r="C1" s="1117"/>
      <c r="H1" s="6120"/>
      <c r="I1" s="6120"/>
      <c r="J1" s="1117"/>
      <c r="M1" s="6131"/>
      <c r="N1" s="6131"/>
      <c r="O1" s="6120" t="s">
        <v>1119</v>
      </c>
      <c r="P1" s="6120"/>
    </row>
    <row r="2" spans="1:16">
      <c r="A2" s="1186"/>
      <c r="B2" s="1186"/>
      <c r="C2" s="1117"/>
      <c r="H2" s="1187"/>
      <c r="I2" s="1187"/>
      <c r="J2" s="1117"/>
      <c r="M2" s="1188"/>
      <c r="N2" s="1188"/>
      <c r="O2" s="1187"/>
      <c r="P2" s="1187"/>
    </row>
    <row r="3" spans="1:16">
      <c r="A3" s="6120" t="s">
        <v>1120</v>
      </c>
      <c r="B3" s="6120"/>
      <c r="C3" s="6120"/>
      <c r="D3" s="6120"/>
      <c r="E3" s="6120"/>
      <c r="F3" s="6120"/>
      <c r="G3" s="6120"/>
      <c r="H3" s="6120"/>
      <c r="I3" s="6120"/>
      <c r="J3" s="6120"/>
      <c r="K3" s="6120"/>
      <c r="L3" s="6120"/>
      <c r="M3" s="6120"/>
      <c r="N3" s="6120"/>
      <c r="O3" s="6120"/>
      <c r="P3" s="6120"/>
    </row>
    <row r="4" spans="1:16">
      <c r="A4" s="6120"/>
      <c r="B4" s="6120"/>
      <c r="C4" s="6120"/>
      <c r="D4" s="6120"/>
      <c r="E4" s="6120"/>
      <c r="F4" s="6120"/>
      <c r="G4" s="6120"/>
      <c r="H4" s="6120"/>
      <c r="I4" s="6120"/>
      <c r="J4" s="6120"/>
      <c r="K4" s="6120"/>
      <c r="L4" s="6120"/>
      <c r="M4" s="6120"/>
      <c r="N4" s="6120"/>
      <c r="O4" s="1187"/>
      <c r="P4" s="1187"/>
    </row>
    <row r="5" spans="1:16">
      <c r="H5" s="6125"/>
      <c r="I5" s="6125"/>
      <c r="M5" s="6126" t="s">
        <v>1121</v>
      </c>
      <c r="N5" s="6126"/>
      <c r="O5" s="6125" t="s">
        <v>1121</v>
      </c>
      <c r="P5" s="6125"/>
    </row>
    <row r="6" spans="1:16">
      <c r="A6" s="6117" t="s">
        <v>247</v>
      </c>
      <c r="B6" s="6114" t="s">
        <v>1123</v>
      </c>
      <c r="C6" s="6122" t="s">
        <v>985</v>
      </c>
      <c r="D6" s="6122"/>
      <c r="E6" s="6122"/>
      <c r="F6" s="6122"/>
      <c r="G6" s="6122"/>
      <c r="H6" s="6122"/>
      <c r="I6" s="6122"/>
      <c r="J6" s="6123" t="s">
        <v>1122</v>
      </c>
      <c r="K6" s="6123"/>
      <c r="L6" s="6123"/>
      <c r="M6" s="6123"/>
      <c r="N6" s="6123"/>
      <c r="O6" s="6123"/>
      <c r="P6" s="6123"/>
    </row>
    <row r="7" spans="1:16" ht="15.75" customHeight="1">
      <c r="A7" s="6118"/>
      <c r="B7" s="6115"/>
      <c r="C7" s="6124" t="s">
        <v>1124</v>
      </c>
      <c r="D7" s="6129" t="s">
        <v>1157</v>
      </c>
      <c r="E7" s="6129"/>
      <c r="F7" s="6129" t="s">
        <v>1158</v>
      </c>
      <c r="G7" s="6129"/>
      <c r="H7" s="6124" t="s">
        <v>996</v>
      </c>
      <c r="I7" s="6124" t="s">
        <v>1125</v>
      </c>
      <c r="J7" s="6124" t="s">
        <v>1124</v>
      </c>
      <c r="K7" s="6124" t="s">
        <v>1126</v>
      </c>
      <c r="L7" s="6124"/>
      <c r="M7" s="6124" t="s">
        <v>1127</v>
      </c>
      <c r="N7" s="6124"/>
      <c r="O7" s="6124" t="s">
        <v>1128</v>
      </c>
      <c r="P7" s="6124" t="s">
        <v>1125</v>
      </c>
    </row>
    <row r="8" spans="1:16" ht="31.5" customHeight="1">
      <c r="A8" s="6118"/>
      <c r="B8" s="6115"/>
      <c r="C8" s="6124"/>
      <c r="D8" s="6129"/>
      <c r="E8" s="6129"/>
      <c r="F8" s="6129"/>
      <c r="G8" s="6129"/>
      <c r="H8" s="6124"/>
      <c r="I8" s="6124"/>
      <c r="J8" s="6124"/>
      <c r="K8" s="6124"/>
      <c r="L8" s="6124"/>
      <c r="M8" s="6124"/>
      <c r="N8" s="6124"/>
      <c r="O8" s="6124"/>
      <c r="P8" s="6124"/>
    </row>
    <row r="9" spans="1:16" ht="82.5" customHeight="1">
      <c r="A9" s="6119"/>
      <c r="B9" s="6116"/>
      <c r="C9" s="6124"/>
      <c r="D9" s="1120" t="s">
        <v>987</v>
      </c>
      <c r="E9" s="1120" t="s">
        <v>1129</v>
      </c>
      <c r="F9" s="1120" t="s">
        <v>987</v>
      </c>
      <c r="G9" s="1120" t="s">
        <v>1129</v>
      </c>
      <c r="H9" s="6124"/>
      <c r="I9" s="6124"/>
      <c r="J9" s="6124"/>
      <c r="K9" s="1120" t="s">
        <v>987</v>
      </c>
      <c r="L9" s="1120" t="s">
        <v>1129</v>
      </c>
      <c r="M9" s="1120" t="s">
        <v>987</v>
      </c>
      <c r="N9" s="1120" t="s">
        <v>1129</v>
      </c>
      <c r="O9" s="6124"/>
      <c r="P9" s="6124"/>
    </row>
    <row r="10" spans="1:16">
      <c r="A10" s="1121">
        <v>1</v>
      </c>
      <c r="B10" s="1122">
        <f>A10+1</f>
        <v>2</v>
      </c>
      <c r="C10" s="1122" t="s">
        <v>1130</v>
      </c>
      <c r="D10" s="1122">
        <v>4</v>
      </c>
      <c r="E10" s="1122">
        <v>5</v>
      </c>
      <c r="F10" s="1122">
        <v>6</v>
      </c>
      <c r="G10" s="1122">
        <v>7</v>
      </c>
      <c r="H10" s="1122">
        <v>8</v>
      </c>
      <c r="I10" s="1122" t="s">
        <v>1131</v>
      </c>
      <c r="J10" s="1122" t="s">
        <v>1132</v>
      </c>
      <c r="K10" s="1122">
        <v>11</v>
      </c>
      <c r="L10" s="1122">
        <v>12</v>
      </c>
      <c r="M10" s="1122">
        <v>13</v>
      </c>
      <c r="N10" s="1122">
        <v>14</v>
      </c>
      <c r="O10" s="1122">
        <v>8</v>
      </c>
      <c r="P10" s="1122" t="s">
        <v>1131</v>
      </c>
    </row>
    <row r="11" spans="1:16">
      <c r="A11" s="1123"/>
      <c r="B11" s="1124" t="s">
        <v>1008</v>
      </c>
      <c r="C11" s="2090"/>
      <c r="D11" s="2091"/>
      <c r="E11" s="2091"/>
      <c r="F11" s="2091"/>
      <c r="G11" s="2091"/>
      <c r="H11" s="2091"/>
      <c r="I11" s="2091"/>
      <c r="J11" s="2090"/>
      <c r="K11" s="2091"/>
      <c r="L11" s="2091"/>
      <c r="M11" s="2091"/>
      <c r="N11" s="2091"/>
      <c r="O11" s="1126"/>
      <c r="P11" s="1126"/>
    </row>
    <row r="12" spans="1:16" ht="31.2">
      <c r="A12" s="1123"/>
      <c r="B12" s="1127" t="s">
        <v>1133</v>
      </c>
      <c r="C12" s="2200">
        <f t="shared" ref="C12:N12" si="0">SUM(C13,C29)</f>
        <v>38959.235499999988</v>
      </c>
      <c r="D12" s="2200">
        <f t="shared" si="0"/>
        <v>17615</v>
      </c>
      <c r="E12" s="2200">
        <f t="shared" si="0"/>
        <v>20265.07569444444</v>
      </c>
      <c r="F12" s="2200">
        <f t="shared" si="0"/>
        <v>19918</v>
      </c>
      <c r="G12" s="2200">
        <f t="shared" si="0"/>
        <v>18694.159805555555</v>
      </c>
      <c r="H12" s="2200">
        <f t="shared" si="0"/>
        <v>0</v>
      </c>
      <c r="I12" s="2200">
        <f t="shared" si="0"/>
        <v>38959.235499999988</v>
      </c>
      <c r="J12" s="2200">
        <f t="shared" si="0"/>
        <v>44703.611249999994</v>
      </c>
      <c r="K12" s="2200">
        <f t="shared" si="0"/>
        <v>19909</v>
      </c>
      <c r="L12" s="2200">
        <f t="shared" si="0"/>
        <v>23503.504861111105</v>
      </c>
      <c r="M12" s="2200">
        <f t="shared" si="0"/>
        <v>20464</v>
      </c>
      <c r="N12" s="2200">
        <f t="shared" si="0"/>
        <v>21200.106388888889</v>
      </c>
      <c r="O12" s="1125" t="e">
        <f t="shared" ref="O12:P12" si="1">SUM(O13,O29)</f>
        <v>#REF!</v>
      </c>
      <c r="P12" s="1125" t="e">
        <f t="shared" si="1"/>
        <v>#REF!</v>
      </c>
    </row>
    <row r="13" spans="1:16" s="1132" customFormat="1">
      <c r="A13" s="1128" t="s">
        <v>1</v>
      </c>
      <c r="B13" s="1129" t="s">
        <v>1018</v>
      </c>
      <c r="C13" s="2201">
        <f t="shared" ref="C13:N13" si="2">SUM(C14,C16)</f>
        <v>8490.4499999999989</v>
      </c>
      <c r="D13" s="2201">
        <f t="shared" si="2"/>
        <v>5604</v>
      </c>
      <c r="E13" s="2201">
        <f t="shared" si="2"/>
        <v>4347.1499999999996</v>
      </c>
      <c r="F13" s="2201">
        <f>SUM(F14,F16)</f>
        <v>6848</v>
      </c>
      <c r="G13" s="2201">
        <f t="shared" si="2"/>
        <v>4143.3</v>
      </c>
      <c r="H13" s="2201">
        <f t="shared" si="2"/>
        <v>0</v>
      </c>
      <c r="I13" s="2201">
        <f t="shared" si="2"/>
        <v>8490.4499999999989</v>
      </c>
      <c r="J13" s="2201">
        <f t="shared" si="2"/>
        <v>9068.4</v>
      </c>
      <c r="K13" s="2201">
        <f t="shared" si="2"/>
        <v>6552</v>
      </c>
      <c r="L13" s="2201">
        <f t="shared" si="2"/>
        <v>4914</v>
      </c>
      <c r="M13" s="2201">
        <f t="shared" si="2"/>
        <v>6924</v>
      </c>
      <c r="N13" s="2201">
        <f t="shared" si="2"/>
        <v>4154.3999999999996</v>
      </c>
      <c r="O13" s="1131" t="e">
        <f t="shared" ref="O13:P13" si="3">SUM(O14,O16)</f>
        <v>#REF!</v>
      </c>
      <c r="P13" s="1131" t="e">
        <f t="shared" si="3"/>
        <v>#REF!</v>
      </c>
    </row>
    <row r="14" spans="1:16" s="1132" customFormat="1" ht="16.8">
      <c r="A14" s="1128">
        <v>1</v>
      </c>
      <c r="B14" s="1129" t="s">
        <v>249</v>
      </c>
      <c r="C14" s="2202">
        <f>SUM(C15)</f>
        <v>568.79999999999995</v>
      </c>
      <c r="D14" s="2202">
        <f t="shared" ref="D14:N14" si="4">SUM(D15)</f>
        <v>416</v>
      </c>
      <c r="E14" s="2202">
        <f t="shared" si="4"/>
        <v>312</v>
      </c>
      <c r="F14" s="2202">
        <f t="shared" si="4"/>
        <v>428</v>
      </c>
      <c r="G14" s="2202">
        <f t="shared" si="4"/>
        <v>256.8</v>
      </c>
      <c r="H14" s="2202">
        <f t="shared" si="4"/>
        <v>0</v>
      </c>
      <c r="I14" s="2202">
        <f t="shared" si="4"/>
        <v>568.79999999999995</v>
      </c>
      <c r="J14" s="2202">
        <f t="shared" si="4"/>
        <v>591</v>
      </c>
      <c r="K14" s="2202">
        <f t="shared" si="4"/>
        <v>432</v>
      </c>
      <c r="L14" s="2202">
        <f t="shared" si="4"/>
        <v>324</v>
      </c>
      <c r="M14" s="2202">
        <f t="shared" si="4"/>
        <v>445</v>
      </c>
      <c r="N14" s="2202">
        <f t="shared" si="4"/>
        <v>267</v>
      </c>
      <c r="O14" s="1133" t="e">
        <f>SUM(O15,#REF!,#REF!)</f>
        <v>#REF!</v>
      </c>
      <c r="P14" s="1133" t="e">
        <f>SUM(P15,#REF!,#REF!)</f>
        <v>#REF!</v>
      </c>
    </row>
    <row r="15" spans="1:16" s="1132" customFormat="1" ht="16.8">
      <c r="A15" s="1134"/>
      <c r="B15" s="1135" t="s">
        <v>667</v>
      </c>
      <c r="C15" s="2203">
        <f>E15+G15</f>
        <v>568.79999999999995</v>
      </c>
      <c r="D15" s="2203">
        <v>416</v>
      </c>
      <c r="E15" s="2203">
        <f>D15*0.15*5</f>
        <v>312</v>
      </c>
      <c r="F15" s="2203">
        <v>428</v>
      </c>
      <c r="G15" s="2203">
        <f>F15*0.15*4</f>
        <v>256.8</v>
      </c>
      <c r="H15" s="2204"/>
      <c r="I15" s="2204">
        <f>C15-H15</f>
        <v>568.79999999999995</v>
      </c>
      <c r="J15" s="2204">
        <f>L15+N15</f>
        <v>591</v>
      </c>
      <c r="K15" s="2203">
        <v>432</v>
      </c>
      <c r="L15" s="2203">
        <v>324</v>
      </c>
      <c r="M15" s="2203">
        <v>445</v>
      </c>
      <c r="N15" s="2203">
        <v>267</v>
      </c>
      <c r="O15" s="1137"/>
      <c r="P15" s="1138">
        <f>J15-O15</f>
        <v>591</v>
      </c>
    </row>
    <row r="16" spans="1:16" s="1139" customFormat="1">
      <c r="A16" s="1128">
        <v>2</v>
      </c>
      <c r="B16" s="1129" t="s">
        <v>1134</v>
      </c>
      <c r="C16" s="2201">
        <f>SUM(C17,C18,C19,C20,C21,C22,C23,C24,C25,C26,C27,C28)</f>
        <v>7921.65</v>
      </c>
      <c r="D16" s="2201">
        <f>SUM(D17,D18,D19,D20,D21,D22,D23,D24,D25,D26,D27,D28)</f>
        <v>5188</v>
      </c>
      <c r="E16" s="2201">
        <f t="shared" ref="E16:N16" si="5">SUM(E17,E18,E19,E20,E21,E22,E23,E24,E25,E26,E27,E28)</f>
        <v>4035.15</v>
      </c>
      <c r="F16" s="2201">
        <f t="shared" si="5"/>
        <v>6420</v>
      </c>
      <c r="G16" s="2201">
        <f t="shared" si="5"/>
        <v>3886.5000000000005</v>
      </c>
      <c r="H16" s="2201">
        <f t="shared" si="5"/>
        <v>0</v>
      </c>
      <c r="I16" s="2205">
        <f>SUM(I17,I18,I19,I20,I21,I22,I23,I24,I25,I26,I27,I28)</f>
        <v>7921.65</v>
      </c>
      <c r="J16" s="2201">
        <f t="shared" si="5"/>
        <v>8477.4</v>
      </c>
      <c r="K16" s="2201">
        <f>SUM(K17,K18,K19,K20,K21,K22,K23,K24,K25,K26,K27,K28)</f>
        <v>6120</v>
      </c>
      <c r="L16" s="2201">
        <f t="shared" si="5"/>
        <v>4590</v>
      </c>
      <c r="M16" s="2201">
        <f t="shared" si="5"/>
        <v>6479</v>
      </c>
      <c r="N16" s="2201">
        <f t="shared" si="5"/>
        <v>3887.4</v>
      </c>
      <c r="O16" s="1131">
        <f t="shared" ref="O16:P16" si="6">SUM(O17,O18,O19,O20,O21,O22,O23,O24,O25,O26,O27,O28)</f>
        <v>0</v>
      </c>
      <c r="P16" s="1131">
        <f t="shared" si="6"/>
        <v>8477.4</v>
      </c>
    </row>
    <row r="17" spans="1:20" s="1132" customFormat="1" ht="16.8">
      <c r="A17" s="1134"/>
      <c r="B17" s="1135" t="s">
        <v>1135</v>
      </c>
      <c r="C17" s="2204">
        <f>E17+G17</f>
        <v>799.2</v>
      </c>
      <c r="D17" s="2204">
        <v>592</v>
      </c>
      <c r="E17" s="2203">
        <f>D17*0.15*5</f>
        <v>444</v>
      </c>
      <c r="F17" s="2204">
        <v>592</v>
      </c>
      <c r="G17" s="2203">
        <f>F17*0.15*4</f>
        <v>355.2</v>
      </c>
      <c r="H17" s="2204"/>
      <c r="I17" s="2206">
        <f>C17-H17</f>
        <v>799.2</v>
      </c>
      <c r="J17" s="2204">
        <f>L17+N17</f>
        <v>734.4</v>
      </c>
      <c r="K17" s="2204">
        <v>544</v>
      </c>
      <c r="L17" s="2203">
        <f t="shared" ref="L17:L26" si="7">K17*0.15*5</f>
        <v>408</v>
      </c>
      <c r="M17" s="2204">
        <v>544</v>
      </c>
      <c r="N17" s="2203">
        <f t="shared" ref="N17:N28" si="8">M17*0.15*4</f>
        <v>326.39999999999998</v>
      </c>
      <c r="O17" s="1137"/>
      <c r="P17" s="1138">
        <f>J17-O17</f>
        <v>734.4</v>
      </c>
    </row>
    <row r="18" spans="1:20" s="1132" customFormat="1" ht="16.8">
      <c r="A18" s="1134"/>
      <c r="B18" s="1135" t="s">
        <v>1136</v>
      </c>
      <c r="C18" s="2204">
        <f>E18+G18</f>
        <v>555.44999999999993</v>
      </c>
      <c r="D18" s="2203">
        <v>263</v>
      </c>
      <c r="E18" s="2203">
        <v>379.04999999999995</v>
      </c>
      <c r="F18" s="2203">
        <v>294</v>
      </c>
      <c r="G18" s="2203">
        <v>176.4</v>
      </c>
      <c r="H18" s="2204"/>
      <c r="I18" s="2206">
        <f>C18-H18</f>
        <v>555.44999999999993</v>
      </c>
      <c r="J18" s="2204">
        <f t="shared" ref="J18:J28" si="9">L18+N18</f>
        <v>430.65</v>
      </c>
      <c r="K18" s="2204">
        <v>319</v>
      </c>
      <c r="L18" s="2203">
        <f t="shared" si="7"/>
        <v>239.25</v>
      </c>
      <c r="M18" s="2204">
        <v>319</v>
      </c>
      <c r="N18" s="2203">
        <f t="shared" si="8"/>
        <v>191.4</v>
      </c>
      <c r="O18" s="1137"/>
      <c r="P18" s="1138">
        <f t="shared" ref="P18:P29" si="10">J18-O18</f>
        <v>430.65</v>
      </c>
    </row>
    <row r="19" spans="1:20" s="1132" customFormat="1" ht="16.8">
      <c r="A19" s="1134"/>
      <c r="B19" s="1135" t="s">
        <v>1137</v>
      </c>
      <c r="C19" s="2204">
        <f t="shared" ref="C19:C28" si="11">E19+G19</f>
        <v>857.40000000000009</v>
      </c>
      <c r="D19" s="2204">
        <v>407</v>
      </c>
      <c r="E19" s="2203">
        <v>303.45</v>
      </c>
      <c r="F19" s="2204">
        <v>930</v>
      </c>
      <c r="G19" s="2203">
        <v>553.95000000000005</v>
      </c>
      <c r="H19" s="2204"/>
      <c r="I19" s="2206">
        <f t="shared" ref="I19:I28" si="12">C19-H19</f>
        <v>857.40000000000009</v>
      </c>
      <c r="J19" s="2204">
        <f t="shared" si="9"/>
        <v>1272.1499999999999</v>
      </c>
      <c r="K19" s="2204">
        <v>877</v>
      </c>
      <c r="L19" s="2203">
        <f t="shared" si="7"/>
        <v>657.74999999999989</v>
      </c>
      <c r="M19" s="2204">
        <v>1024</v>
      </c>
      <c r="N19" s="2203">
        <f t="shared" si="8"/>
        <v>614.4</v>
      </c>
      <c r="O19" s="1137"/>
      <c r="P19" s="1138">
        <f t="shared" si="10"/>
        <v>1272.1499999999999</v>
      </c>
    </row>
    <row r="20" spans="1:20" s="1132" customFormat="1" ht="16.8">
      <c r="A20" s="1134"/>
      <c r="B20" s="1135" t="s">
        <v>1138</v>
      </c>
      <c r="C20" s="2207">
        <f t="shared" si="11"/>
        <v>607.5</v>
      </c>
      <c r="D20" s="2203">
        <v>450</v>
      </c>
      <c r="E20" s="2203">
        <f>D20*0.15*5</f>
        <v>337.5</v>
      </c>
      <c r="F20" s="2203">
        <v>450</v>
      </c>
      <c r="G20" s="2203">
        <f>F20*0.15*4</f>
        <v>270</v>
      </c>
      <c r="H20" s="2203"/>
      <c r="I20" s="2206">
        <f t="shared" si="12"/>
        <v>607.5</v>
      </c>
      <c r="J20" s="2207">
        <f>L20+N20</f>
        <v>600.75</v>
      </c>
      <c r="K20" s="2203">
        <v>445</v>
      </c>
      <c r="L20" s="2203">
        <f t="shared" si="7"/>
        <v>333.75</v>
      </c>
      <c r="M20" s="2203">
        <v>445</v>
      </c>
      <c r="N20" s="2203">
        <f t="shared" si="8"/>
        <v>267</v>
      </c>
      <c r="O20" s="1137"/>
      <c r="P20" s="1138">
        <f t="shared" si="10"/>
        <v>600.75</v>
      </c>
    </row>
    <row r="21" spans="1:20" s="1132" customFormat="1" ht="16.8">
      <c r="A21" s="1134"/>
      <c r="B21" s="1135" t="s">
        <v>1139</v>
      </c>
      <c r="C21" s="2204">
        <f t="shared" si="11"/>
        <v>713.7</v>
      </c>
      <c r="D21" s="2204">
        <v>450</v>
      </c>
      <c r="E21" s="2203">
        <f>D21*0.15*5</f>
        <v>337.5</v>
      </c>
      <c r="F21" s="2204">
        <v>627</v>
      </c>
      <c r="G21" s="2203">
        <f>F21*0.15*4</f>
        <v>376.2</v>
      </c>
      <c r="H21" s="2204"/>
      <c r="I21" s="2206">
        <f t="shared" si="12"/>
        <v>713.7</v>
      </c>
      <c r="J21" s="2204">
        <f t="shared" si="9"/>
        <v>810.75</v>
      </c>
      <c r="K21" s="2204">
        <v>569</v>
      </c>
      <c r="L21" s="2208">
        <f t="shared" si="7"/>
        <v>426.75</v>
      </c>
      <c r="M21" s="2209">
        <v>640</v>
      </c>
      <c r="N21" s="2208">
        <f t="shared" si="8"/>
        <v>384</v>
      </c>
      <c r="O21" s="1137"/>
      <c r="P21" s="1138">
        <f t="shared" si="10"/>
        <v>810.75</v>
      </c>
    </row>
    <row r="22" spans="1:20" s="1132" customFormat="1" ht="16.8">
      <c r="A22" s="1134"/>
      <c r="B22" s="1135" t="s">
        <v>1140</v>
      </c>
      <c r="C22" s="2204">
        <f t="shared" si="11"/>
        <v>336.45</v>
      </c>
      <c r="D22" s="2204">
        <v>244</v>
      </c>
      <c r="E22" s="2203">
        <f>((243*5*150000)+(1*4*150000))/1000000</f>
        <v>182.85</v>
      </c>
      <c r="F22" s="2204">
        <v>256</v>
      </c>
      <c r="G22" s="2203">
        <f>F22*0.15*4</f>
        <v>153.6</v>
      </c>
      <c r="H22" s="2204"/>
      <c r="I22" s="2206">
        <f>C22-H22</f>
        <v>336.45</v>
      </c>
      <c r="J22" s="2204">
        <f t="shared" si="9"/>
        <v>352.79999999999995</v>
      </c>
      <c r="K22" s="2204">
        <v>256</v>
      </c>
      <c r="L22" s="2204">
        <f t="shared" si="7"/>
        <v>192</v>
      </c>
      <c r="M22" s="2204">
        <v>268</v>
      </c>
      <c r="N22" s="2204">
        <f t="shared" si="8"/>
        <v>160.79999999999998</v>
      </c>
      <c r="O22" s="1137"/>
      <c r="P22" s="1138">
        <f t="shared" si="10"/>
        <v>352.79999999999995</v>
      </c>
    </row>
    <row r="23" spans="1:20" s="1132" customFormat="1" ht="16.8">
      <c r="A23" s="1134"/>
      <c r="B23" s="1135" t="s">
        <v>1141</v>
      </c>
      <c r="C23" s="2204">
        <f t="shared" si="11"/>
        <v>856.05</v>
      </c>
      <c r="D23" s="2204">
        <v>535</v>
      </c>
      <c r="E23" s="2203">
        <f>D23*0.15*5</f>
        <v>401.25</v>
      </c>
      <c r="F23" s="2204">
        <v>758</v>
      </c>
      <c r="G23" s="2203">
        <f>F23*0.15*4</f>
        <v>454.8</v>
      </c>
      <c r="H23" s="2204"/>
      <c r="I23" s="2206">
        <f t="shared" si="12"/>
        <v>856.05</v>
      </c>
      <c r="J23" s="2204">
        <f>L23+N23</f>
        <v>810</v>
      </c>
      <c r="K23" s="2204">
        <v>600</v>
      </c>
      <c r="L23" s="2204">
        <f t="shared" si="7"/>
        <v>450</v>
      </c>
      <c r="M23" s="2204">
        <v>600</v>
      </c>
      <c r="N23" s="2204">
        <f t="shared" si="8"/>
        <v>360</v>
      </c>
      <c r="O23" s="1137"/>
      <c r="P23" s="1138">
        <f t="shared" si="10"/>
        <v>810</v>
      </c>
    </row>
    <row r="24" spans="1:20" s="1132" customFormat="1" ht="16.8">
      <c r="A24" s="1134"/>
      <c r="B24" s="1135" t="s">
        <v>1142</v>
      </c>
      <c r="C24" s="2204">
        <f t="shared" si="11"/>
        <v>690.15</v>
      </c>
      <c r="D24" s="2204">
        <v>473</v>
      </c>
      <c r="E24" s="2204">
        <f>D24*0.15*5</f>
        <v>354.75</v>
      </c>
      <c r="F24" s="2204">
        <v>559</v>
      </c>
      <c r="G24" s="2204">
        <f>F24*0.15*4</f>
        <v>335.4</v>
      </c>
      <c r="H24" s="2204"/>
      <c r="I24" s="2206">
        <f t="shared" si="12"/>
        <v>690.15</v>
      </c>
      <c r="J24" s="2204">
        <f t="shared" si="9"/>
        <v>795.3</v>
      </c>
      <c r="K24" s="2204">
        <v>582</v>
      </c>
      <c r="L24" s="2204">
        <f t="shared" si="7"/>
        <v>436.5</v>
      </c>
      <c r="M24" s="2204">
        <v>598</v>
      </c>
      <c r="N24" s="2203">
        <f t="shared" si="8"/>
        <v>358.8</v>
      </c>
      <c r="O24" s="1137"/>
      <c r="P24" s="1138">
        <f>J24-O24</f>
        <v>795.3</v>
      </c>
    </row>
    <row r="25" spans="1:20" s="1132" customFormat="1" ht="16.8">
      <c r="A25" s="1134"/>
      <c r="B25" s="1135" t="s">
        <v>1143</v>
      </c>
      <c r="C25" s="2204">
        <f t="shared" si="11"/>
        <v>515.70000000000005</v>
      </c>
      <c r="D25" s="2204">
        <v>383</v>
      </c>
      <c r="E25" s="2204">
        <v>285.89999999999998</v>
      </c>
      <c r="F25" s="2204">
        <v>383</v>
      </c>
      <c r="G25" s="2204">
        <v>229.8</v>
      </c>
      <c r="H25" s="2204"/>
      <c r="I25" s="2206">
        <f t="shared" si="12"/>
        <v>515.70000000000005</v>
      </c>
      <c r="J25" s="2204">
        <f t="shared" si="9"/>
        <v>518.25</v>
      </c>
      <c r="K25" s="2204">
        <v>383</v>
      </c>
      <c r="L25" s="2204">
        <f t="shared" si="7"/>
        <v>287.25</v>
      </c>
      <c r="M25" s="2204">
        <v>385</v>
      </c>
      <c r="N25" s="2203">
        <f t="shared" si="8"/>
        <v>231</v>
      </c>
      <c r="O25" s="1137"/>
      <c r="P25" s="1138">
        <f t="shared" si="10"/>
        <v>518.25</v>
      </c>
    </row>
    <row r="26" spans="1:20" s="1132" customFormat="1" ht="16.8">
      <c r="A26" s="1134"/>
      <c r="B26" s="1135" t="s">
        <v>1144</v>
      </c>
      <c r="C26" s="2204">
        <f t="shared" si="11"/>
        <v>1189.8</v>
      </c>
      <c r="D26" s="2204">
        <v>844</v>
      </c>
      <c r="E26" s="2204">
        <v>633</v>
      </c>
      <c r="F26" s="2204">
        <v>928</v>
      </c>
      <c r="G26" s="2204">
        <v>556.79999999999995</v>
      </c>
      <c r="H26" s="2204"/>
      <c r="I26" s="2206">
        <f t="shared" si="12"/>
        <v>1189.8</v>
      </c>
      <c r="J26" s="2204">
        <f t="shared" si="9"/>
        <v>1251</v>
      </c>
      <c r="K26" s="2204">
        <v>880</v>
      </c>
      <c r="L26" s="2204">
        <f t="shared" si="7"/>
        <v>660</v>
      </c>
      <c r="M26" s="2204">
        <v>985</v>
      </c>
      <c r="N26" s="2203">
        <f t="shared" si="8"/>
        <v>591</v>
      </c>
      <c r="O26" s="1137"/>
      <c r="P26" s="1138">
        <f t="shared" si="10"/>
        <v>1251</v>
      </c>
    </row>
    <row r="27" spans="1:20" s="1132" customFormat="1" ht="16.8">
      <c r="A27" s="1134"/>
      <c r="B27" s="1135" t="s">
        <v>1145</v>
      </c>
      <c r="C27" s="2204">
        <f t="shared" si="11"/>
        <v>428.4</v>
      </c>
      <c r="D27" s="2204">
        <v>276</v>
      </c>
      <c r="E27" s="2204">
        <f>D27*0.15*5</f>
        <v>207</v>
      </c>
      <c r="F27" s="2204">
        <v>369</v>
      </c>
      <c r="G27" s="2204">
        <f>F27*4*0.15</f>
        <v>221.4</v>
      </c>
      <c r="H27" s="2204"/>
      <c r="I27" s="2206">
        <f t="shared" si="12"/>
        <v>428.4</v>
      </c>
      <c r="J27" s="2204">
        <f t="shared" si="9"/>
        <v>501.75</v>
      </c>
      <c r="K27" s="2204">
        <v>369</v>
      </c>
      <c r="L27" s="2204">
        <f>K27*5*0.15</f>
        <v>276.75</v>
      </c>
      <c r="M27" s="2204">
        <v>375</v>
      </c>
      <c r="N27" s="2204">
        <f t="shared" si="8"/>
        <v>225</v>
      </c>
      <c r="O27" s="1137"/>
      <c r="P27" s="1138">
        <f t="shared" si="10"/>
        <v>501.75</v>
      </c>
    </row>
    <row r="28" spans="1:20" s="1132" customFormat="1" ht="16.8">
      <c r="A28" s="1134"/>
      <c r="B28" s="1135" t="s">
        <v>1146</v>
      </c>
      <c r="C28" s="2204">
        <f t="shared" si="11"/>
        <v>371.84999999999997</v>
      </c>
      <c r="D28" s="2204">
        <v>271</v>
      </c>
      <c r="E28" s="2204">
        <v>168.89999999999998</v>
      </c>
      <c r="F28" s="2204">
        <v>274</v>
      </c>
      <c r="G28" s="2204">
        <v>202.95</v>
      </c>
      <c r="H28" s="2204"/>
      <c r="I28" s="2206">
        <f t="shared" si="12"/>
        <v>371.84999999999997</v>
      </c>
      <c r="J28" s="2204">
        <f t="shared" si="9"/>
        <v>399.6</v>
      </c>
      <c r="K28" s="2204">
        <v>296</v>
      </c>
      <c r="L28" s="2204">
        <f>K28*5*0.15</f>
        <v>222</v>
      </c>
      <c r="M28" s="2204">
        <v>296</v>
      </c>
      <c r="N28" s="2204">
        <f t="shared" si="8"/>
        <v>177.6</v>
      </c>
      <c r="O28" s="1137"/>
      <c r="P28" s="1138">
        <f t="shared" si="10"/>
        <v>399.6</v>
      </c>
    </row>
    <row r="29" spans="1:20" s="1139" customFormat="1">
      <c r="A29" s="1128" t="s">
        <v>37</v>
      </c>
      <c r="B29" s="1141" t="s">
        <v>1147</v>
      </c>
      <c r="C29" s="2201">
        <f t="shared" ref="C29:N29" si="13">SUM(C30,C58)</f>
        <v>30468.785499999991</v>
      </c>
      <c r="D29" s="2201">
        <f t="shared" si="13"/>
        <v>12011</v>
      </c>
      <c r="E29" s="2201">
        <f t="shared" si="13"/>
        <v>15917.925694444441</v>
      </c>
      <c r="F29" s="2201">
        <f t="shared" si="13"/>
        <v>13070</v>
      </c>
      <c r="G29" s="2201">
        <f t="shared" si="13"/>
        <v>14550.859805555556</v>
      </c>
      <c r="H29" s="2201">
        <f t="shared" si="13"/>
        <v>0</v>
      </c>
      <c r="I29" s="2201">
        <f t="shared" si="13"/>
        <v>30468.785499999991</v>
      </c>
      <c r="J29" s="2201">
        <f t="shared" si="13"/>
        <v>35635.211249999993</v>
      </c>
      <c r="K29" s="2201">
        <f t="shared" si="13"/>
        <v>13357</v>
      </c>
      <c r="L29" s="2201">
        <f t="shared" si="13"/>
        <v>18589.504861111105</v>
      </c>
      <c r="M29" s="2201">
        <f t="shared" si="13"/>
        <v>13540</v>
      </c>
      <c r="N29" s="2201">
        <f t="shared" si="13"/>
        <v>17045.706388888888</v>
      </c>
      <c r="O29" s="1142"/>
      <c r="P29" s="1138">
        <f t="shared" si="10"/>
        <v>35635.211249999993</v>
      </c>
    </row>
    <row r="30" spans="1:20" s="1139" customFormat="1">
      <c r="A30" s="1128" t="s">
        <v>3</v>
      </c>
      <c r="B30" s="1129" t="s">
        <v>1148</v>
      </c>
      <c r="C30" s="2201">
        <f>SUM(C31,C36,C49)</f>
        <v>19210.322999999993</v>
      </c>
      <c r="D30" s="2201">
        <f t="shared" ref="D30:N30" si="14">SUM(D31,D36,D49)</f>
        <v>6106</v>
      </c>
      <c r="E30" s="2201">
        <f t="shared" si="14"/>
        <v>10243.79969444444</v>
      </c>
      <c r="F30" s="2201">
        <f t="shared" si="14"/>
        <v>6696</v>
      </c>
      <c r="G30" s="2201">
        <f t="shared" si="14"/>
        <v>8966.5233055555564</v>
      </c>
      <c r="H30" s="2201">
        <f t="shared" si="14"/>
        <v>0</v>
      </c>
      <c r="I30" s="2201">
        <f t="shared" si="14"/>
        <v>19210.322999999993</v>
      </c>
      <c r="J30" s="2201">
        <f t="shared" si="14"/>
        <v>21771.761249999992</v>
      </c>
      <c r="K30" s="2201">
        <f t="shared" si="14"/>
        <v>7347</v>
      </c>
      <c r="L30" s="2201">
        <f t="shared" si="14"/>
        <v>11618.317361111105</v>
      </c>
      <c r="M30" s="2201">
        <f t="shared" si="14"/>
        <v>7406</v>
      </c>
      <c r="N30" s="2201">
        <f t="shared" si="14"/>
        <v>10153.443888888889</v>
      </c>
      <c r="O30" s="1130" t="e">
        <f t="shared" ref="O30:P30" si="15">SUM(O31,O36,O49)</f>
        <v>#REF!</v>
      </c>
      <c r="P30" s="1130" t="e">
        <f t="shared" si="15"/>
        <v>#REF!</v>
      </c>
    </row>
    <row r="31" spans="1:20" s="1132" customFormat="1" ht="16.8">
      <c r="A31" s="1128">
        <v>1</v>
      </c>
      <c r="B31" s="1129" t="s">
        <v>249</v>
      </c>
      <c r="C31" s="2202">
        <f>SUM(C32,C34,C35,C33)</f>
        <v>16855.727499999994</v>
      </c>
      <c r="D31" s="2202">
        <f t="shared" ref="D31:N31" si="16">SUM(D32,D34,D35,D33)</f>
        <v>3655</v>
      </c>
      <c r="E31" s="2202">
        <f t="shared" si="16"/>
        <v>9011.2881944444398</v>
      </c>
      <c r="F31" s="2202">
        <f t="shared" si="16"/>
        <v>3693</v>
      </c>
      <c r="G31" s="2202">
        <f t="shared" si="16"/>
        <v>7844.4393055555556</v>
      </c>
      <c r="H31" s="2202">
        <f t="shared" si="16"/>
        <v>0</v>
      </c>
      <c r="I31" s="2202">
        <f t="shared" si="16"/>
        <v>16855.727499999994</v>
      </c>
      <c r="J31" s="2202">
        <f t="shared" si="16"/>
        <v>19146.126249999994</v>
      </c>
      <c r="K31" s="2202">
        <f t="shared" si="16"/>
        <v>4132</v>
      </c>
      <c r="L31" s="2202">
        <f t="shared" si="16"/>
        <v>10243.942361111105</v>
      </c>
      <c r="M31" s="2202">
        <f t="shared" si="16"/>
        <v>4164</v>
      </c>
      <c r="N31" s="2202">
        <f t="shared" si="16"/>
        <v>8902.1838888888888</v>
      </c>
      <c r="O31" s="1133">
        <f t="shared" ref="O31:P31" si="17">SUM(O32,O34,O35)</f>
        <v>0</v>
      </c>
      <c r="P31" s="1133">
        <f t="shared" si="17"/>
        <v>7319.5550000000012</v>
      </c>
    </row>
    <row r="32" spans="1:20" s="1132" customFormat="1" ht="16.8">
      <c r="A32" s="1134"/>
      <c r="B32" s="1135" t="s">
        <v>667</v>
      </c>
      <c r="C32" s="2209">
        <f>E32+G32</f>
        <v>299.065</v>
      </c>
      <c r="D32" s="2209">
        <v>541</v>
      </c>
      <c r="E32" s="2209">
        <f>(2*5*0.09)+(238*0.08*5)+(34*5*0.08)+(59*5*0.035)+(208*5*0.04)</f>
        <v>161.625</v>
      </c>
      <c r="F32" s="2209">
        <v>579</v>
      </c>
      <c r="G32" s="2209">
        <f>(245*4*0.08)+(4*4*0.09)+(38*0.08*4)+(64*4*0.035)+(228*4*0.04)</f>
        <v>137.44</v>
      </c>
      <c r="H32" s="2209"/>
      <c r="I32" s="2209">
        <f>C32-H32</f>
        <v>299.065</v>
      </c>
      <c r="J32" s="2209">
        <f t="shared" ref="J32:J35" si="18">L32+N32</f>
        <v>318.45499999999998</v>
      </c>
      <c r="K32" s="2209">
        <v>580</v>
      </c>
      <c r="L32" s="2209">
        <f>(255*5*0.08)+(4*5*0.09)+(34*5*0.08)+(69*5*0.035)+(218*5*0.04)</f>
        <v>173.07499999999999</v>
      </c>
      <c r="M32" s="2209">
        <v>612</v>
      </c>
      <c r="N32" s="2209">
        <f>(265*4*0.08)+(6*4*0.09)+(34*4*0.08)+(79*4*0.035)+(228*4*0.04)</f>
        <v>145.38</v>
      </c>
      <c r="O32" s="1137"/>
      <c r="P32" s="1138">
        <f t="shared" ref="P32:P34" si="19">J32-O32</f>
        <v>318.45499999999998</v>
      </c>
      <c r="T32" s="1143"/>
    </row>
    <row r="33" spans="1:20" s="1132" customFormat="1" ht="16.8">
      <c r="A33" s="1134"/>
      <c r="B33" s="1135" t="s">
        <v>672</v>
      </c>
      <c r="C33" s="2209">
        <f>E33+G33</f>
        <v>10283.974999999995</v>
      </c>
      <c r="D33" s="2209">
        <v>1945</v>
      </c>
      <c r="E33" s="2209">
        <v>5713.3194444444398</v>
      </c>
      <c r="F33" s="2209">
        <v>1945</v>
      </c>
      <c r="G33" s="2209">
        <v>4570.6555555555551</v>
      </c>
      <c r="H33" s="2209"/>
      <c r="I33" s="2209">
        <f t="shared" ref="I33:I34" si="20">C33-H33</f>
        <v>10283.974999999995</v>
      </c>
      <c r="J33" s="2210">
        <f>L33+N33</f>
        <v>11826.571249999994</v>
      </c>
      <c r="K33" s="2211">
        <v>2237</v>
      </c>
      <c r="L33" s="2209">
        <f>E33*115%</f>
        <v>6570.3173611111051</v>
      </c>
      <c r="M33" s="2211">
        <v>2237</v>
      </c>
      <c r="N33" s="2209">
        <f>G33*115%</f>
        <v>5256.2538888888876</v>
      </c>
      <c r="O33" s="1137"/>
      <c r="P33" s="1138"/>
      <c r="S33" s="1144"/>
      <c r="T33" s="1145"/>
    </row>
    <row r="34" spans="1:20" s="1132" customFormat="1" ht="16.8">
      <c r="A34" s="1134"/>
      <c r="B34" s="1135" t="s">
        <v>1149</v>
      </c>
      <c r="C34" s="2209">
        <f>E34+G34</f>
        <v>6202.6875000000009</v>
      </c>
      <c r="D34" s="2209">
        <v>1164</v>
      </c>
      <c r="E34" s="2209">
        <f>(15*0.849*5)+(1149*0.52875*5)</f>
        <v>3101.3437500000005</v>
      </c>
      <c r="F34" s="2209">
        <v>1164</v>
      </c>
      <c r="G34" s="2209">
        <f>(15*0.849*5)+(1149*0.52875*5)</f>
        <v>3101.3437500000005</v>
      </c>
      <c r="H34" s="2209"/>
      <c r="I34" s="2209">
        <f t="shared" si="20"/>
        <v>6202.6875000000009</v>
      </c>
      <c r="J34" s="2210">
        <f t="shared" si="18"/>
        <v>7001.1000000000013</v>
      </c>
      <c r="K34" s="2209">
        <v>1315</v>
      </c>
      <c r="L34" s="2209">
        <f>(15*0.849*5)+(1300*0.52875*5)</f>
        <v>3500.5500000000006</v>
      </c>
      <c r="M34" s="2209">
        <v>1315</v>
      </c>
      <c r="N34" s="2209">
        <f>(15*0.849*5)+(1300*0.52875*5)</f>
        <v>3500.5500000000006</v>
      </c>
      <c r="O34" s="1137"/>
      <c r="P34" s="1138">
        <f t="shared" si="19"/>
        <v>7001.1000000000013</v>
      </c>
    </row>
    <row r="35" spans="1:20" s="1132" customFormat="1" ht="16.8">
      <c r="A35" s="1134"/>
      <c r="B35" s="1135" t="s">
        <v>1150</v>
      </c>
      <c r="C35" s="2209">
        <f>E35+G35</f>
        <v>70</v>
      </c>
      <c r="D35" s="2208">
        <v>5</v>
      </c>
      <c r="E35" s="2209">
        <f>(D35*1.4*5)</f>
        <v>35</v>
      </c>
      <c r="F35" s="2208">
        <v>5</v>
      </c>
      <c r="G35" s="2209">
        <f>(F35*1.4*5)</f>
        <v>35</v>
      </c>
      <c r="H35" s="2208"/>
      <c r="I35" s="2209">
        <f>C35-H35</f>
        <v>70</v>
      </c>
      <c r="J35" s="2210">
        <f t="shared" si="18"/>
        <v>0</v>
      </c>
      <c r="K35" s="2208">
        <v>0</v>
      </c>
      <c r="L35" s="2208">
        <v>0</v>
      </c>
      <c r="M35" s="2208">
        <v>0</v>
      </c>
      <c r="N35" s="2208">
        <v>0</v>
      </c>
      <c r="O35" s="1137"/>
      <c r="P35" s="1137"/>
      <c r="S35" s="1146"/>
    </row>
    <row r="36" spans="1:20" s="1139" customFormat="1">
      <c r="A36" s="1128">
        <v>2</v>
      </c>
      <c r="B36" s="1129" t="s">
        <v>1151</v>
      </c>
      <c r="C36" s="2201">
        <f>SUM(C37,C38,C39,C40,C41,C42,C43,C44,C45,C46,C47,C48)</f>
        <v>1078.3275000000001</v>
      </c>
      <c r="D36" s="2201">
        <f t="shared" ref="D36:N36" si="21">SUM(D37,D38,D39,D40,D41,D42,D43,D44,D45,D46,D47,D48)</f>
        <v>2331</v>
      </c>
      <c r="E36" s="2201">
        <f t="shared" si="21"/>
        <v>594.37750000000005</v>
      </c>
      <c r="F36" s="2201">
        <f t="shared" si="21"/>
        <v>2883</v>
      </c>
      <c r="G36" s="2201">
        <f t="shared" si="21"/>
        <v>483.9500000000001</v>
      </c>
      <c r="H36" s="2201">
        <f t="shared" si="21"/>
        <v>0</v>
      </c>
      <c r="I36" s="2201">
        <f t="shared" si="21"/>
        <v>1078.3275000000001</v>
      </c>
      <c r="J36" s="2201">
        <f t="shared" si="21"/>
        <v>1165.635</v>
      </c>
      <c r="K36" s="2201">
        <f t="shared" si="21"/>
        <v>3052</v>
      </c>
      <c r="L36" s="2201">
        <f t="shared" si="21"/>
        <v>644.375</v>
      </c>
      <c r="M36" s="2201">
        <f t="shared" si="21"/>
        <v>3079</v>
      </c>
      <c r="N36" s="2201">
        <f t="shared" si="21"/>
        <v>521.26</v>
      </c>
      <c r="O36" s="1131">
        <f t="shared" ref="O36:P36" si="22">SUM(O37,O38,O39,O40,O41,O42,O43,O44,O45,O46,O47,O48)</f>
        <v>0</v>
      </c>
      <c r="P36" s="1131">
        <f t="shared" si="22"/>
        <v>1165.635</v>
      </c>
      <c r="R36" s="1147">
        <f t="shared" ref="R36:S51" si="23">I36+I78</f>
        <v>1652.0264999999999</v>
      </c>
      <c r="S36" s="1148">
        <f t="shared" si="23"/>
        <v>1779.2674999999999</v>
      </c>
    </row>
    <row r="37" spans="1:20" s="1153" customFormat="1" ht="16.8">
      <c r="A37" s="1149"/>
      <c r="B37" s="1150" t="s">
        <v>1135</v>
      </c>
      <c r="C37" s="2212">
        <f>E37+G37</f>
        <v>111.64500000000001</v>
      </c>
      <c r="D37" s="2212">
        <f>314</f>
        <v>314</v>
      </c>
      <c r="E37" s="2212">
        <f>(13*5*0.07)+(32*5*0.065)+(269*5*0.035)</f>
        <v>62.025000000000006</v>
      </c>
      <c r="F37" s="2212">
        <f>314</f>
        <v>314</v>
      </c>
      <c r="G37" s="2212">
        <f>(13*4*0.07)+(32*4*0.065)+(269*4*0.035)</f>
        <v>49.620000000000005</v>
      </c>
      <c r="H37" s="2212"/>
      <c r="I37" s="2212">
        <f>C37-H37</f>
        <v>111.64500000000001</v>
      </c>
      <c r="J37" s="2212">
        <f t="shared" ref="J37:J48" si="24">L37+N37</f>
        <v>109.94500000000001</v>
      </c>
      <c r="K37" s="2212">
        <f>309</f>
        <v>309</v>
      </c>
      <c r="L37" s="2212">
        <f>(10*5*0.07)+(30*5*0.065)+(269*5*0.035)</f>
        <v>60.325000000000003</v>
      </c>
      <c r="M37" s="2212">
        <f>314</f>
        <v>314</v>
      </c>
      <c r="N37" s="2212">
        <f>(13*4*0.07)+(32*4*0.065)+(269*4*0.035)</f>
        <v>49.620000000000005</v>
      </c>
      <c r="O37" s="1151"/>
      <c r="P37" s="1152">
        <f t="shared" ref="P37:P48" si="25">J37-O37</f>
        <v>109.94500000000001</v>
      </c>
      <c r="R37" s="1154">
        <f t="shared" si="23"/>
        <v>164.09250000000003</v>
      </c>
      <c r="S37" s="1155">
        <f t="shared" si="23"/>
        <v>160.88</v>
      </c>
    </row>
    <row r="38" spans="1:20" s="1153" customFormat="1" ht="16.8">
      <c r="A38" s="1149"/>
      <c r="B38" s="1150" t="s">
        <v>1136</v>
      </c>
      <c r="C38" s="2212">
        <f>E38+G38</f>
        <v>115.715</v>
      </c>
      <c r="D38" s="2212">
        <f>133</f>
        <v>133</v>
      </c>
      <c r="E38" s="2212">
        <f>(26*5*0.07)+(87*5*0.065)+(20*5*0.035)+(32*4*0.07)+(112*4*0.065)+(29*4*0.035)</f>
        <v>83.015000000000001</v>
      </c>
      <c r="F38" s="2212">
        <f>133</f>
        <v>133</v>
      </c>
      <c r="G38" s="2212">
        <f>(26*4*0.07)+(87*4*0.065)+(20*4*0.035)</f>
        <v>32.700000000000003</v>
      </c>
      <c r="H38" s="2212"/>
      <c r="I38" s="2212">
        <f>C38-H38</f>
        <v>115.715</v>
      </c>
      <c r="J38" s="2212">
        <f t="shared" si="24"/>
        <v>95.535000000000011</v>
      </c>
      <c r="K38" s="2212">
        <f>173</f>
        <v>173</v>
      </c>
      <c r="L38" s="2212">
        <f>(54*5*0.07)+(89*5*0.065)+(30*5*0.035)</f>
        <v>53.075000000000003</v>
      </c>
      <c r="M38" s="2212">
        <f>173</f>
        <v>173</v>
      </c>
      <c r="N38" s="2212">
        <f>(54*4*0.07)+(89*4*0.065)+(30*4*0.035)</f>
        <v>42.460000000000008</v>
      </c>
      <c r="O38" s="1151"/>
      <c r="P38" s="1152">
        <f t="shared" si="25"/>
        <v>95.535000000000011</v>
      </c>
      <c r="R38" s="1154">
        <f t="shared" si="23"/>
        <v>184.97750000000002</v>
      </c>
      <c r="S38" s="1155">
        <f t="shared" si="23"/>
        <v>158.24250000000001</v>
      </c>
    </row>
    <row r="39" spans="1:20" s="1153" customFormat="1" ht="16.8">
      <c r="A39" s="1149"/>
      <c r="B39" s="1150" t="s">
        <v>1137</v>
      </c>
      <c r="C39" s="2212">
        <f t="shared" ref="C39:C47" si="26">E39+G39</f>
        <v>124.82</v>
      </c>
      <c r="D39" s="2212">
        <v>252</v>
      </c>
      <c r="E39" s="2212">
        <f>(12*5*0.07)+(56*5*0.065)+(184*5*0.035)</f>
        <v>54.6</v>
      </c>
      <c r="F39" s="2212">
        <v>416</v>
      </c>
      <c r="G39" s="2212">
        <f>(17*4*0.07)+(80*4*0.065)+(319*0.035*4)</f>
        <v>70.22</v>
      </c>
      <c r="H39" s="2212"/>
      <c r="I39" s="2212">
        <f t="shared" ref="I39:I48" si="27">C39-H39</f>
        <v>124.82</v>
      </c>
      <c r="J39" s="2212">
        <f t="shared" si="24"/>
        <v>169.755</v>
      </c>
      <c r="K39" s="2212">
        <v>439</v>
      </c>
      <c r="L39" s="2212">
        <f>(14*5*0.07)+(80*5*0.065)+(345*5*0.035)</f>
        <v>91.275000000000006</v>
      </c>
      <c r="M39" s="2212">
        <v>475</v>
      </c>
      <c r="N39" s="2212">
        <f>(17*4*0.07)+(80*4*0.065)+(378*4*0.035)</f>
        <v>78.48</v>
      </c>
      <c r="O39" s="1151"/>
      <c r="P39" s="1152">
        <f t="shared" si="25"/>
        <v>169.755</v>
      </c>
      <c r="R39" s="1154">
        <f t="shared" si="23"/>
        <v>165.63499999999999</v>
      </c>
      <c r="S39" s="1155">
        <f t="shared" si="23"/>
        <v>227.3125</v>
      </c>
    </row>
    <row r="40" spans="1:20" s="1153" customFormat="1">
      <c r="A40" s="1149"/>
      <c r="B40" s="1150" t="s">
        <v>1138</v>
      </c>
      <c r="C40" s="2213">
        <f t="shared" si="26"/>
        <v>77.474999999999994</v>
      </c>
      <c r="D40" s="2214">
        <f>180</f>
        <v>180</v>
      </c>
      <c r="E40" s="2214">
        <f>(11*5*0.07)+(33*5*0.065)+(136*5*0.035)</f>
        <v>38.375</v>
      </c>
      <c r="F40" s="2214">
        <f>240</f>
        <v>240</v>
      </c>
      <c r="G40" s="2214">
        <f>(11*4*0.07)+(33*4*0.065)+(196*4*0.035)</f>
        <v>39.1</v>
      </c>
      <c r="H40" s="2214"/>
      <c r="I40" s="2214">
        <f t="shared" si="27"/>
        <v>77.474999999999994</v>
      </c>
      <c r="J40" s="2213">
        <f t="shared" si="24"/>
        <v>98.685000000000002</v>
      </c>
      <c r="K40" s="2214">
        <f>274</f>
        <v>274</v>
      </c>
      <c r="L40" s="2214">
        <f>(11*5*0.07)+(33*5*0.065)+(230*5*0.035)</f>
        <v>54.825000000000003</v>
      </c>
      <c r="M40" s="2214">
        <f>274</f>
        <v>274</v>
      </c>
      <c r="N40" s="2214">
        <f>(11*4*0.07)+(33*4*0.065)+(230*4*0.035)</f>
        <v>43.86</v>
      </c>
      <c r="O40" s="1151"/>
      <c r="P40" s="1152">
        <f t="shared" si="25"/>
        <v>98.685000000000002</v>
      </c>
      <c r="R40" s="1154">
        <f t="shared" si="23"/>
        <v>110.46250000000001</v>
      </c>
      <c r="S40" s="1155">
        <f t="shared" si="23"/>
        <v>137.58750000000001</v>
      </c>
    </row>
    <row r="41" spans="1:20" s="1153" customFormat="1" ht="16.8">
      <c r="A41" s="1149"/>
      <c r="B41" s="1150" t="s">
        <v>1139</v>
      </c>
      <c r="C41" s="2215">
        <f t="shared" si="26"/>
        <v>89.41500000000002</v>
      </c>
      <c r="D41" s="2215">
        <v>125</v>
      </c>
      <c r="E41" s="2215">
        <f>(2*5*0.07)+(17*5*0.065)+(106*5*0.035)+(2*4*0.07)+(17*4*0.065)+(106*4*0.035)</f>
        <v>44.595000000000006</v>
      </c>
      <c r="F41" s="2215">
        <v>284</v>
      </c>
      <c r="G41" s="2215">
        <f>(19*4*0.07)+(20*4*0.065)+(245*4*0.035)</f>
        <v>44.820000000000007</v>
      </c>
      <c r="H41" s="2215"/>
      <c r="I41" s="2215">
        <f t="shared" si="27"/>
        <v>89.41500000000002</v>
      </c>
      <c r="J41" s="2215">
        <f t="shared" si="24"/>
        <v>102.56</v>
      </c>
      <c r="K41" s="2215">
        <v>285</v>
      </c>
      <c r="L41" s="2214">
        <f>(19*5*0.07)+(20*5*0.065)+(246*5*0.035)</f>
        <v>56.2</v>
      </c>
      <c r="M41" s="2215">
        <v>295</v>
      </c>
      <c r="N41" s="2214">
        <f>(19*4*0.07)+(20*4*0.065)+(256*4*0.035)</f>
        <v>46.36</v>
      </c>
      <c r="O41" s="1151"/>
      <c r="P41" s="1152">
        <f t="shared" si="25"/>
        <v>102.56</v>
      </c>
      <c r="R41" s="1154">
        <f t="shared" si="23"/>
        <v>140.60500000000002</v>
      </c>
      <c r="S41" s="1155">
        <f t="shared" si="23"/>
        <v>159.13</v>
      </c>
    </row>
    <row r="42" spans="1:20" s="1153" customFormat="1" ht="16.8">
      <c r="A42" s="1149"/>
      <c r="B42" s="1150" t="s">
        <v>1140</v>
      </c>
      <c r="C42" s="2212">
        <f t="shared" si="26"/>
        <v>0</v>
      </c>
      <c r="D42" s="2212"/>
      <c r="E42" s="2212"/>
      <c r="F42" s="2212"/>
      <c r="G42" s="2212"/>
      <c r="H42" s="2212"/>
      <c r="I42" s="2212">
        <f t="shared" si="27"/>
        <v>0</v>
      </c>
      <c r="J42" s="2212"/>
      <c r="K42" s="2212"/>
      <c r="L42" s="2212"/>
      <c r="M42" s="2212"/>
      <c r="N42" s="2212"/>
      <c r="O42" s="1151"/>
      <c r="P42" s="1152">
        <f t="shared" si="25"/>
        <v>0</v>
      </c>
      <c r="R42" s="1154">
        <f t="shared" si="23"/>
        <v>0</v>
      </c>
      <c r="S42" s="1155">
        <f t="shared" si="23"/>
        <v>0</v>
      </c>
    </row>
    <row r="43" spans="1:20" s="1153" customFormat="1" ht="16.8">
      <c r="A43" s="1149"/>
      <c r="B43" s="1150" t="s">
        <v>1141</v>
      </c>
      <c r="C43" s="2212">
        <f t="shared" si="26"/>
        <v>119.45</v>
      </c>
      <c r="D43" s="2212">
        <v>292</v>
      </c>
      <c r="E43" s="2216">
        <v>60.86</v>
      </c>
      <c r="F43" s="2212">
        <v>368</v>
      </c>
      <c r="G43" s="2212">
        <f>(6*4*0.07)+(49*4*0.065)+(303*4*0.035)+(10*5*0.035)</f>
        <v>58.59</v>
      </c>
      <c r="H43" s="2212"/>
      <c r="I43" s="2212">
        <f t="shared" si="27"/>
        <v>119.45</v>
      </c>
      <c r="J43" s="2212">
        <f t="shared" si="24"/>
        <v>138.965</v>
      </c>
      <c r="K43" s="2212">
        <v>381</v>
      </c>
      <c r="L43" s="2212">
        <f>(6*5*0.07)+(46*5*0.065)+(329*5*0.035)</f>
        <v>74.625</v>
      </c>
      <c r="M43" s="2212">
        <v>409</v>
      </c>
      <c r="N43" s="2212">
        <f>(6*4*0.07)+(52*4*0.065)+(351*4*0.035)</f>
        <v>64.34</v>
      </c>
      <c r="O43" s="1151"/>
      <c r="P43" s="1152">
        <f t="shared" si="25"/>
        <v>138.965</v>
      </c>
      <c r="R43" s="1154">
        <f t="shared" si="23"/>
        <v>212.86250000000001</v>
      </c>
      <c r="S43" s="1155">
        <f t="shared" si="23"/>
        <v>240.16250000000002</v>
      </c>
    </row>
    <row r="44" spans="1:20" s="1153" customFormat="1" ht="16.8">
      <c r="A44" s="1149"/>
      <c r="B44" s="1150" t="s">
        <v>1142</v>
      </c>
      <c r="C44" s="2212">
        <f t="shared" si="26"/>
        <v>122.8425</v>
      </c>
      <c r="D44" s="2212">
        <f>248</f>
        <v>248</v>
      </c>
      <c r="E44" s="2212">
        <f>79.1025</f>
        <v>79.102500000000006</v>
      </c>
      <c r="F44" s="2212">
        <f>268</f>
        <v>268</v>
      </c>
      <c r="G44" s="2212">
        <f>(5*4*0.07)+(46*4*0.065)+(217*4*0.035)</f>
        <v>43.74</v>
      </c>
      <c r="H44" s="2212"/>
      <c r="I44" s="2212">
        <f t="shared" si="27"/>
        <v>122.8425</v>
      </c>
      <c r="J44" s="2212">
        <f t="shared" si="24"/>
        <v>103.16000000000001</v>
      </c>
      <c r="K44" s="2212">
        <f>280</f>
        <v>280</v>
      </c>
      <c r="L44" s="2212">
        <f>(4*5*0.07)+(46*5*0.065)+(230*5*0.035)</f>
        <v>56.600000000000009</v>
      </c>
      <c r="M44" s="2212">
        <f>289</f>
        <v>289</v>
      </c>
      <c r="N44" s="2212">
        <f>(5*4*0.07)+(45*4*0.065)+(239*4*0.035)</f>
        <v>46.56</v>
      </c>
      <c r="O44" s="1151"/>
      <c r="P44" s="1152">
        <f t="shared" si="25"/>
        <v>103.16000000000001</v>
      </c>
      <c r="R44" s="1154">
        <f t="shared" si="23"/>
        <v>178.48650000000001</v>
      </c>
      <c r="S44" s="1155">
        <f t="shared" si="23"/>
        <v>157.88500000000002</v>
      </c>
    </row>
    <row r="45" spans="1:20" s="1153" customFormat="1" ht="16.8">
      <c r="A45" s="1149"/>
      <c r="B45" s="1150" t="s">
        <v>1143</v>
      </c>
      <c r="C45" s="2212">
        <f t="shared" si="26"/>
        <v>72.344999999999999</v>
      </c>
      <c r="D45" s="2212">
        <f>169</f>
        <v>169</v>
      </c>
      <c r="E45" s="2212">
        <f>(30*5*0.07)+(139*5*0.035)</f>
        <v>34.825000000000003</v>
      </c>
      <c r="F45" s="2212">
        <f>226</f>
        <v>226</v>
      </c>
      <c r="G45" s="2212">
        <f>(42*4*0.07)+(184*4*0.035)</f>
        <v>37.520000000000003</v>
      </c>
      <c r="H45" s="2212"/>
      <c r="I45" s="2212">
        <f t="shared" si="27"/>
        <v>72.344999999999999</v>
      </c>
      <c r="J45" s="2212">
        <f t="shared" si="24"/>
        <v>84.594999999999999</v>
      </c>
      <c r="K45" s="2212">
        <f>221</f>
        <v>221</v>
      </c>
      <c r="L45" s="2212">
        <f>(40*5*0.07)+(181*5*0.035)</f>
        <v>45.675000000000004</v>
      </c>
      <c r="M45" s="2212">
        <f>233</f>
        <v>233</v>
      </c>
      <c r="N45" s="2212">
        <f>(45*4*0.07)+(188*4*0.035)</f>
        <v>38.92</v>
      </c>
      <c r="O45" s="1151"/>
      <c r="P45" s="1152">
        <f t="shared" si="25"/>
        <v>84.594999999999999</v>
      </c>
      <c r="R45" s="1154">
        <f t="shared" si="23"/>
        <v>118.3875</v>
      </c>
      <c r="S45" s="1155">
        <f t="shared" si="23"/>
        <v>136.22</v>
      </c>
    </row>
    <row r="46" spans="1:20" s="1153" customFormat="1" ht="16.8">
      <c r="A46" s="1149"/>
      <c r="B46" s="1150" t="s">
        <v>1144</v>
      </c>
      <c r="C46" s="2215">
        <f t="shared" si="26"/>
        <v>106.29000000000002</v>
      </c>
      <c r="D46" s="2215">
        <v>319</v>
      </c>
      <c r="E46" s="2215">
        <f>(1*5*0.07)+(45*5*0.065)+(273*5*0.035)</f>
        <v>62.750000000000007</v>
      </c>
      <c r="F46" s="2215">
        <v>311</v>
      </c>
      <c r="G46" s="2215">
        <f>(311*4*0.035)</f>
        <v>43.540000000000006</v>
      </c>
      <c r="H46" s="2215"/>
      <c r="I46" s="2215">
        <f t="shared" si="27"/>
        <v>106.29000000000002</v>
      </c>
      <c r="J46" s="2215">
        <f t="shared" si="24"/>
        <v>115.4</v>
      </c>
      <c r="K46" s="2215">
        <v>357</v>
      </c>
      <c r="L46" s="2215">
        <f>(1*5*0.07)+(45*5*0.065)+(311*5*0.035)</f>
        <v>69.400000000000006</v>
      </c>
      <c r="M46" s="2215">
        <v>290</v>
      </c>
      <c r="N46" s="2215">
        <f>(45*4*0.065)+(245*4*0.035)</f>
        <v>46.000000000000007</v>
      </c>
      <c r="O46" s="1151"/>
      <c r="P46" s="1152">
        <f t="shared" si="25"/>
        <v>115.4</v>
      </c>
      <c r="R46" s="1156">
        <f t="shared" si="23"/>
        <v>155.35000000000002</v>
      </c>
      <c r="S46" s="1155">
        <f t="shared" si="23"/>
        <v>168.91750000000002</v>
      </c>
    </row>
    <row r="47" spans="1:20" s="1153" customFormat="1" ht="16.8">
      <c r="A47" s="1149"/>
      <c r="B47" s="1150" t="s">
        <v>1145</v>
      </c>
      <c r="C47" s="2213">
        <f t="shared" si="26"/>
        <v>92.360000000000014</v>
      </c>
      <c r="D47" s="2213">
        <v>172</v>
      </c>
      <c r="E47" s="2213">
        <f>(8*5*0.07)+(118*5*0.065)+(46*5*0.035)</f>
        <v>49.2</v>
      </c>
      <c r="F47" s="2213">
        <v>187</v>
      </c>
      <c r="G47" s="2213">
        <f>(9*4*0.07)+(131*0.065*4)+(47*4*0.035)</f>
        <v>43.160000000000004</v>
      </c>
      <c r="H47" s="2212"/>
      <c r="I47" s="2213">
        <f t="shared" si="27"/>
        <v>92.360000000000014</v>
      </c>
      <c r="J47" s="2213">
        <f t="shared" si="24"/>
        <v>95.87</v>
      </c>
      <c r="K47" s="2213">
        <v>187</v>
      </c>
      <c r="L47" s="2213">
        <f>(9*5*0.07)+(131*5*0.065)+(47*5*0.035)</f>
        <v>53.95</v>
      </c>
      <c r="M47" s="2213">
        <v>181</v>
      </c>
      <c r="N47" s="2213">
        <f>(7*4*0.07)+(130*4*0.065)+(44*0.035*4)</f>
        <v>41.92</v>
      </c>
      <c r="O47" s="1151"/>
      <c r="P47" s="1152">
        <f t="shared" si="25"/>
        <v>95.87</v>
      </c>
      <c r="R47" s="1154">
        <f t="shared" si="23"/>
        <v>149.51750000000001</v>
      </c>
      <c r="S47" s="1155">
        <f t="shared" si="23"/>
        <v>151.88499999999999</v>
      </c>
    </row>
    <row r="48" spans="1:20" s="1153" customFormat="1" ht="16.8">
      <c r="A48" s="1149"/>
      <c r="B48" s="1150" t="s">
        <v>1146</v>
      </c>
      <c r="C48" s="2212">
        <f>E48+G48</f>
        <v>45.970000000000006</v>
      </c>
      <c r="D48" s="2212">
        <f>127</f>
        <v>127</v>
      </c>
      <c r="E48" s="2213">
        <f>(1*5*0.07)+(18*5*0.065)+(107*5*0.035)+(1*3*0.035)</f>
        <v>25.03</v>
      </c>
      <c r="F48" s="2212">
        <f>136</f>
        <v>136</v>
      </c>
      <c r="G48" s="2213">
        <f>(17*4*0.065)+(116*4*0.035)+(2*3*0.035)+(1*2*0.035)</f>
        <v>20.940000000000005</v>
      </c>
      <c r="H48" s="2212"/>
      <c r="I48" s="2212">
        <f t="shared" si="27"/>
        <v>45.970000000000006</v>
      </c>
      <c r="J48" s="2212">
        <f t="shared" si="24"/>
        <v>51.165000000000006</v>
      </c>
      <c r="K48" s="2212">
        <f>146</f>
        <v>146</v>
      </c>
      <c r="L48" s="2213">
        <f>(1*5*0.07)+(18*5*0.065)+(127*5*0.035)</f>
        <v>28.425000000000001</v>
      </c>
      <c r="M48" s="2212">
        <f>146</f>
        <v>146</v>
      </c>
      <c r="N48" s="2213">
        <f>(1*4*0.07)+(18*4*0.065)+(127*4*0.035)</f>
        <v>22.740000000000002</v>
      </c>
      <c r="O48" s="1151"/>
      <c r="P48" s="1152">
        <f t="shared" si="25"/>
        <v>51.165000000000006</v>
      </c>
      <c r="R48" s="1157">
        <f t="shared" si="23"/>
        <v>71.650000000000006</v>
      </c>
      <c r="S48" s="1155">
        <f t="shared" si="23"/>
        <v>81.045000000000016</v>
      </c>
    </row>
    <row r="49" spans="1:19" s="1161" customFormat="1">
      <c r="A49" s="1158">
        <v>3</v>
      </c>
      <c r="B49" s="1159" t="s">
        <v>1152</v>
      </c>
      <c r="C49" s="2217">
        <f>SUM(C50,C51,C52,C53,C54,C55,C56,C57)</f>
        <v>1276.268</v>
      </c>
      <c r="D49" s="2217">
        <f t="shared" ref="D49:I49" si="28">SUM(D50,D51,D52,D53,D54,D55,D56,D57)</f>
        <v>120</v>
      </c>
      <c r="E49" s="2217">
        <f t="shared" si="28"/>
        <v>638.13400000000001</v>
      </c>
      <c r="F49" s="2217">
        <f t="shared" si="28"/>
        <v>120</v>
      </c>
      <c r="G49" s="2217">
        <f t="shared" si="28"/>
        <v>638.13400000000001</v>
      </c>
      <c r="H49" s="2217">
        <f t="shared" si="28"/>
        <v>0</v>
      </c>
      <c r="I49" s="2217">
        <f t="shared" si="28"/>
        <v>1276.268</v>
      </c>
      <c r="J49" s="2217">
        <f>SUM(J50,J51,J52,J53,J54,J55,J56,J57)</f>
        <v>1460</v>
      </c>
      <c r="K49" s="2217">
        <f t="shared" ref="K49:N49" si="29">SUM(K50,K51,K52,K53,K54,K55,K56,K57)</f>
        <v>163</v>
      </c>
      <c r="L49" s="2217">
        <f t="shared" si="29"/>
        <v>730</v>
      </c>
      <c r="M49" s="2217">
        <f t="shared" si="29"/>
        <v>163</v>
      </c>
      <c r="N49" s="2217">
        <f t="shared" si="29"/>
        <v>730</v>
      </c>
      <c r="O49" s="1160" t="e">
        <f>SUM(O50,O51,#REF!,O52,O53,O54,#REF!,O55,O56,#REF!,#REF!,O57)</f>
        <v>#REF!</v>
      </c>
      <c r="P49" s="1160" t="e">
        <f>SUM(P50,P51,#REF!,P52,P53,P54,#REF!,P55,P56,#REF!,#REF!,P57)</f>
        <v>#REF!</v>
      </c>
      <c r="R49" s="1162">
        <f t="shared" si="23"/>
        <v>1276.268</v>
      </c>
      <c r="S49" s="1163">
        <f t="shared" si="23"/>
        <v>1460</v>
      </c>
    </row>
    <row r="50" spans="1:19" s="1153" customFormat="1" ht="16.8">
      <c r="A50" s="1149"/>
      <c r="B50" s="1150" t="s">
        <v>1135</v>
      </c>
      <c r="C50" s="2212">
        <f>E50+G50</f>
        <v>63.64</v>
      </c>
      <c r="D50" s="2212">
        <v>9</v>
      </c>
      <c r="E50" s="2212">
        <f>63.64/2</f>
        <v>31.82</v>
      </c>
      <c r="F50" s="2212">
        <v>9</v>
      </c>
      <c r="G50" s="2212">
        <f>63.64/2</f>
        <v>31.82</v>
      </c>
      <c r="H50" s="2212"/>
      <c r="I50" s="2212">
        <f>C50-H50</f>
        <v>63.64</v>
      </c>
      <c r="J50" s="2212">
        <f t="shared" ref="J50:J57" si="30">L50+N50</f>
        <v>70</v>
      </c>
      <c r="K50" s="2212">
        <v>10</v>
      </c>
      <c r="L50" s="2212">
        <v>35</v>
      </c>
      <c r="M50" s="2212">
        <v>10</v>
      </c>
      <c r="N50" s="2212">
        <v>35</v>
      </c>
      <c r="O50" s="1151"/>
      <c r="P50" s="1152">
        <f t="shared" ref="P50:P57" si="31">J50-O50</f>
        <v>70</v>
      </c>
      <c r="R50" s="1154">
        <f t="shared" si="23"/>
        <v>63.64</v>
      </c>
      <c r="S50" s="1155">
        <f t="shared" si="23"/>
        <v>70</v>
      </c>
    </row>
    <row r="51" spans="1:19" s="1153" customFormat="1" ht="16.8">
      <c r="A51" s="1149"/>
      <c r="B51" s="1150" t="s">
        <v>1136</v>
      </c>
      <c r="C51" s="2212">
        <f>E51+G51</f>
        <v>60</v>
      </c>
      <c r="D51" s="2212">
        <v>6</v>
      </c>
      <c r="E51" s="2212">
        <f>60/2</f>
        <v>30</v>
      </c>
      <c r="F51" s="2212">
        <v>6</v>
      </c>
      <c r="G51" s="2212">
        <f>60/2</f>
        <v>30</v>
      </c>
      <c r="H51" s="2212"/>
      <c r="I51" s="2212">
        <f>C51-H51</f>
        <v>60</v>
      </c>
      <c r="J51" s="2212">
        <f t="shared" si="30"/>
        <v>60</v>
      </c>
      <c r="K51" s="2212">
        <v>12</v>
      </c>
      <c r="L51" s="2212">
        <f>60/2</f>
        <v>30</v>
      </c>
      <c r="M51" s="2212">
        <v>12</v>
      </c>
      <c r="N51" s="2212">
        <f>60/2</f>
        <v>30</v>
      </c>
      <c r="O51" s="1151"/>
      <c r="P51" s="1152">
        <f t="shared" si="31"/>
        <v>60</v>
      </c>
      <c r="R51" s="1154">
        <f t="shared" si="23"/>
        <v>60</v>
      </c>
      <c r="S51" s="1155">
        <f t="shared" si="23"/>
        <v>60</v>
      </c>
    </row>
    <row r="52" spans="1:19" s="1153" customFormat="1">
      <c r="A52" s="1149"/>
      <c r="B52" s="1150" t="s">
        <v>1138</v>
      </c>
      <c r="C52" s="2213">
        <f t="shared" ref="C52:C56" si="32">E52+G52</f>
        <v>200</v>
      </c>
      <c r="D52" s="2214">
        <v>20</v>
      </c>
      <c r="E52" s="2214">
        <f>200/2</f>
        <v>100</v>
      </c>
      <c r="F52" s="2214">
        <v>20</v>
      </c>
      <c r="G52" s="2214">
        <f>200/2</f>
        <v>100</v>
      </c>
      <c r="H52" s="2214"/>
      <c r="I52" s="2214">
        <f t="shared" ref="I52:I57" si="33">C52-H52</f>
        <v>200</v>
      </c>
      <c r="J52" s="2213">
        <f t="shared" si="30"/>
        <v>235</v>
      </c>
      <c r="K52" s="2214">
        <v>45</v>
      </c>
      <c r="L52" s="2214">
        <f>235/2</f>
        <v>117.5</v>
      </c>
      <c r="M52" s="2214">
        <v>45</v>
      </c>
      <c r="N52" s="2214">
        <f>235/2</f>
        <v>117.5</v>
      </c>
      <c r="O52" s="1151"/>
      <c r="P52" s="1152">
        <f t="shared" si="31"/>
        <v>235</v>
      </c>
      <c r="R52" s="1154">
        <f t="shared" ref="R52:S54" si="34">I52+I95</f>
        <v>200</v>
      </c>
      <c r="S52" s="1155">
        <f t="shared" si="34"/>
        <v>235</v>
      </c>
    </row>
    <row r="53" spans="1:19" s="1153" customFormat="1" ht="16.8">
      <c r="A53" s="1149"/>
      <c r="B53" s="1150" t="s">
        <v>1139</v>
      </c>
      <c r="C53" s="2215">
        <f t="shared" si="32"/>
        <v>109.69</v>
      </c>
      <c r="D53" s="2215">
        <v>8</v>
      </c>
      <c r="E53" s="2218">
        <v>54.844999999999999</v>
      </c>
      <c r="F53" s="2215">
        <v>8</v>
      </c>
      <c r="G53" s="2218">
        <v>54.844999999999999</v>
      </c>
      <c r="H53" s="2215"/>
      <c r="I53" s="2215">
        <f t="shared" si="33"/>
        <v>109.69</v>
      </c>
      <c r="J53" s="2215">
        <f t="shared" si="30"/>
        <v>166</v>
      </c>
      <c r="K53" s="2215">
        <v>10</v>
      </c>
      <c r="L53" s="2214">
        <f>166/2</f>
        <v>83</v>
      </c>
      <c r="M53" s="2215">
        <v>10</v>
      </c>
      <c r="N53" s="2214">
        <f>166/2</f>
        <v>83</v>
      </c>
      <c r="O53" s="1151"/>
      <c r="P53" s="1152">
        <f t="shared" si="31"/>
        <v>166</v>
      </c>
      <c r="R53" s="1154">
        <f t="shared" si="34"/>
        <v>109.69</v>
      </c>
      <c r="S53" s="1155">
        <f t="shared" si="34"/>
        <v>166</v>
      </c>
    </row>
    <row r="54" spans="1:19" s="1153" customFormat="1" ht="16.8">
      <c r="A54" s="1149"/>
      <c r="B54" s="1150" t="s">
        <v>1140</v>
      </c>
      <c r="C54" s="2212">
        <f t="shared" si="32"/>
        <v>232.4</v>
      </c>
      <c r="D54" s="2212">
        <v>10</v>
      </c>
      <c r="E54" s="2212">
        <f>232.4/2</f>
        <v>116.2</v>
      </c>
      <c r="F54" s="2212">
        <v>10</v>
      </c>
      <c r="G54" s="2212">
        <f>232.4/2</f>
        <v>116.2</v>
      </c>
      <c r="H54" s="2212"/>
      <c r="I54" s="2212">
        <f t="shared" si="33"/>
        <v>232.4</v>
      </c>
      <c r="J54" s="2215">
        <f t="shared" si="30"/>
        <v>238</v>
      </c>
      <c r="K54" s="2212">
        <v>10</v>
      </c>
      <c r="L54" s="2212">
        <f>238/2</f>
        <v>119</v>
      </c>
      <c r="M54" s="2212">
        <v>10</v>
      </c>
      <c r="N54" s="2212">
        <f>238/2</f>
        <v>119</v>
      </c>
      <c r="O54" s="1151"/>
      <c r="P54" s="1152">
        <f t="shared" si="31"/>
        <v>238</v>
      </c>
      <c r="R54" s="1154">
        <f t="shared" si="34"/>
        <v>232.4</v>
      </c>
      <c r="S54" s="1155">
        <f t="shared" si="34"/>
        <v>238</v>
      </c>
    </row>
    <row r="55" spans="1:19" s="1153" customFormat="1" ht="16.8">
      <c r="A55" s="1149"/>
      <c r="B55" s="1150" t="s">
        <v>1142</v>
      </c>
      <c r="C55" s="2212">
        <f t="shared" si="32"/>
        <v>180</v>
      </c>
      <c r="D55" s="2212">
        <v>11</v>
      </c>
      <c r="E55" s="2212">
        <f>180/2</f>
        <v>90</v>
      </c>
      <c r="F55" s="2212">
        <v>11</v>
      </c>
      <c r="G55" s="2212">
        <f>180/2</f>
        <v>90</v>
      </c>
      <c r="H55" s="2212"/>
      <c r="I55" s="2212">
        <f t="shared" si="33"/>
        <v>180</v>
      </c>
      <c r="J55" s="2212">
        <f t="shared" si="30"/>
        <v>196</v>
      </c>
      <c r="K55" s="2212">
        <v>11</v>
      </c>
      <c r="L55" s="2212">
        <f>196/2</f>
        <v>98</v>
      </c>
      <c r="M55" s="2212">
        <v>11</v>
      </c>
      <c r="N55" s="2212">
        <f>196/2</f>
        <v>98</v>
      </c>
      <c r="O55" s="1151"/>
      <c r="P55" s="1152">
        <f t="shared" si="31"/>
        <v>196</v>
      </c>
      <c r="R55" s="1154">
        <f>I55+I99</f>
        <v>180</v>
      </c>
      <c r="S55" s="1155">
        <f>J55+J99</f>
        <v>196</v>
      </c>
    </row>
    <row r="56" spans="1:19" s="1153" customFormat="1" ht="16.8">
      <c r="A56" s="1149"/>
      <c r="B56" s="1150" t="s">
        <v>1143</v>
      </c>
      <c r="C56" s="2212">
        <f t="shared" si="32"/>
        <v>165</v>
      </c>
      <c r="D56" s="2212">
        <v>35</v>
      </c>
      <c r="E56" s="2212">
        <f>165/2</f>
        <v>82.5</v>
      </c>
      <c r="F56" s="2212">
        <v>35</v>
      </c>
      <c r="G56" s="2212">
        <f>165/2</f>
        <v>82.5</v>
      </c>
      <c r="H56" s="2212"/>
      <c r="I56" s="2212">
        <f t="shared" si="33"/>
        <v>165</v>
      </c>
      <c r="J56" s="2212">
        <f t="shared" si="30"/>
        <v>195</v>
      </c>
      <c r="K56" s="2212">
        <v>45</v>
      </c>
      <c r="L56" s="2212">
        <f>195/2</f>
        <v>97.5</v>
      </c>
      <c r="M56" s="2212">
        <v>45</v>
      </c>
      <c r="N56" s="2212">
        <f>195/2</f>
        <v>97.5</v>
      </c>
      <c r="O56" s="1151"/>
      <c r="P56" s="1152">
        <f t="shared" si="31"/>
        <v>195</v>
      </c>
      <c r="R56" s="1154">
        <f>I56+I100</f>
        <v>165</v>
      </c>
      <c r="S56" s="1155">
        <f>J56+J100</f>
        <v>195</v>
      </c>
    </row>
    <row r="57" spans="1:19" s="1153" customFormat="1" ht="16.8">
      <c r="A57" s="1149"/>
      <c r="B57" s="1150" t="s">
        <v>1146</v>
      </c>
      <c r="C57" s="2212">
        <f>E57+G57</f>
        <v>265.53800000000001</v>
      </c>
      <c r="D57" s="2212">
        <v>21</v>
      </c>
      <c r="E57" s="2213">
        <f>265.538/2</f>
        <v>132.76900000000001</v>
      </c>
      <c r="F57" s="2212">
        <v>21</v>
      </c>
      <c r="G57" s="2213">
        <f>265.538/2</f>
        <v>132.76900000000001</v>
      </c>
      <c r="H57" s="2212"/>
      <c r="I57" s="2212">
        <f t="shared" si="33"/>
        <v>265.53800000000001</v>
      </c>
      <c r="J57" s="2212">
        <f t="shared" si="30"/>
        <v>300</v>
      </c>
      <c r="K57" s="2212">
        <v>20</v>
      </c>
      <c r="L57" s="2213">
        <v>150</v>
      </c>
      <c r="M57" s="2212">
        <v>20</v>
      </c>
      <c r="N57" s="2213">
        <v>150</v>
      </c>
      <c r="O57" s="1151"/>
      <c r="P57" s="1152">
        <f t="shared" si="31"/>
        <v>300</v>
      </c>
      <c r="R57" s="1157">
        <f>I57+I103</f>
        <v>265.53800000000001</v>
      </c>
      <c r="S57" s="1155">
        <f>J57+J103</f>
        <v>300</v>
      </c>
    </row>
    <row r="58" spans="1:19" s="1168" customFormat="1">
      <c r="A58" s="1164" t="s">
        <v>33</v>
      </c>
      <c r="B58" s="1165" t="s">
        <v>1153</v>
      </c>
      <c r="C58" s="2219">
        <f t="shared" ref="C58:N58" si="35">SUM(C59,C73)</f>
        <v>11258.4625</v>
      </c>
      <c r="D58" s="2220">
        <f t="shared" si="35"/>
        <v>5905</v>
      </c>
      <c r="E58" s="2220">
        <f t="shared" si="35"/>
        <v>5674.1260000000002</v>
      </c>
      <c r="F58" s="2220">
        <f t="shared" si="35"/>
        <v>6374</v>
      </c>
      <c r="G58" s="2220">
        <f t="shared" si="35"/>
        <v>5584.3364999999994</v>
      </c>
      <c r="H58" s="2220">
        <f t="shared" si="35"/>
        <v>0</v>
      </c>
      <c r="I58" s="2220">
        <f t="shared" si="35"/>
        <v>11258.4625</v>
      </c>
      <c r="J58" s="2220">
        <f t="shared" si="35"/>
        <v>13863.449999999999</v>
      </c>
      <c r="K58" s="2220">
        <f t="shared" si="35"/>
        <v>6010</v>
      </c>
      <c r="L58" s="2220">
        <f t="shared" si="35"/>
        <v>6971.1874999999991</v>
      </c>
      <c r="M58" s="2220">
        <f t="shared" si="35"/>
        <v>6134</v>
      </c>
      <c r="N58" s="2220">
        <f t="shared" si="35"/>
        <v>6892.2624999999998</v>
      </c>
      <c r="O58" s="1167" t="e">
        <f t="shared" ref="O58:P58" si="36">SUM(O59,O73)</f>
        <v>#REF!</v>
      </c>
      <c r="P58" s="1167" t="e">
        <f t="shared" si="36"/>
        <v>#REF!</v>
      </c>
      <c r="R58" s="1169"/>
    </row>
    <row r="59" spans="1:19" s="1168" customFormat="1">
      <c r="A59" s="1164" t="s">
        <v>683</v>
      </c>
      <c r="B59" s="1165" t="s">
        <v>1154</v>
      </c>
      <c r="C59" s="2221">
        <f t="shared" ref="C59:N59" si="37">SUM(C60,C64)</f>
        <v>8304.7759999999998</v>
      </c>
      <c r="D59" s="2220">
        <f t="shared" si="37"/>
        <v>2112</v>
      </c>
      <c r="E59" s="2220">
        <f t="shared" si="37"/>
        <v>4155.0394999999999</v>
      </c>
      <c r="F59" s="2220">
        <f t="shared" si="37"/>
        <v>2112</v>
      </c>
      <c r="G59" s="2220">
        <f t="shared" si="37"/>
        <v>4149.7365</v>
      </c>
      <c r="H59" s="2220">
        <f t="shared" si="37"/>
        <v>0</v>
      </c>
      <c r="I59" s="2220">
        <f t="shared" si="37"/>
        <v>8304.7759999999998</v>
      </c>
      <c r="J59" s="2220">
        <f t="shared" si="37"/>
        <v>13035.824999999999</v>
      </c>
      <c r="K59" s="2220">
        <f t="shared" si="37"/>
        <v>2017</v>
      </c>
      <c r="L59" s="2220">
        <f t="shared" si="37"/>
        <v>6517.9124999999995</v>
      </c>
      <c r="M59" s="2220">
        <f t="shared" si="37"/>
        <v>2017</v>
      </c>
      <c r="N59" s="2220">
        <f t="shared" si="37"/>
        <v>6517.9124999999995</v>
      </c>
      <c r="O59" s="1167" t="e">
        <f>SUM(#REF!,O61,O62,O63)</f>
        <v>#REF!</v>
      </c>
      <c r="P59" s="1167" t="e">
        <f>SUM(#REF!,P61,P62,P63)</f>
        <v>#REF!</v>
      </c>
    </row>
    <row r="60" spans="1:19" s="1173" customFormat="1" ht="16.8">
      <c r="A60" s="1170">
        <v>1</v>
      </c>
      <c r="B60" s="1171" t="s">
        <v>1155</v>
      </c>
      <c r="C60" s="2222">
        <f>SUM(C61,C62,C63)</f>
        <v>7623.1349999999993</v>
      </c>
      <c r="D60" s="2222">
        <f t="shared" ref="D60:N60" si="38">SUM(D61,D62,D63)</f>
        <v>2037</v>
      </c>
      <c r="E60" s="2222">
        <f t="shared" si="38"/>
        <v>3811.5674999999997</v>
      </c>
      <c r="F60" s="2222">
        <f t="shared" si="38"/>
        <v>2037</v>
      </c>
      <c r="G60" s="2222">
        <f t="shared" si="38"/>
        <v>3811.5674999999997</v>
      </c>
      <c r="H60" s="2222">
        <f t="shared" si="38"/>
        <v>0</v>
      </c>
      <c r="I60" s="2222">
        <f t="shared" si="38"/>
        <v>7623.1349999999993</v>
      </c>
      <c r="J60" s="2222">
        <f t="shared" si="38"/>
        <v>12281.824999999999</v>
      </c>
      <c r="K60" s="2222">
        <f t="shared" si="38"/>
        <v>1906</v>
      </c>
      <c r="L60" s="2222">
        <f t="shared" si="38"/>
        <v>6140.9124999999995</v>
      </c>
      <c r="M60" s="2222">
        <f t="shared" si="38"/>
        <v>1906</v>
      </c>
      <c r="N60" s="2222">
        <f t="shared" si="38"/>
        <v>6140.9124999999995</v>
      </c>
      <c r="O60" s="1172">
        <f t="shared" ref="O60:P60" si="39">SUM(O61,O62,O63)</f>
        <v>0</v>
      </c>
      <c r="P60" s="1172">
        <f t="shared" si="39"/>
        <v>12281.824999999999</v>
      </c>
    </row>
    <row r="61" spans="1:19" s="1153" customFormat="1" ht="16.8">
      <c r="A61" s="1149"/>
      <c r="B61" s="1150" t="s">
        <v>672</v>
      </c>
      <c r="C61" s="2212">
        <f>E61+G61</f>
        <v>474</v>
      </c>
      <c r="D61" s="2214">
        <v>627</v>
      </c>
      <c r="E61" s="2214">
        <v>237</v>
      </c>
      <c r="F61" s="2214">
        <v>627</v>
      </c>
      <c r="G61" s="2214">
        <v>237</v>
      </c>
      <c r="H61" s="2214"/>
      <c r="I61" s="2212">
        <f>C61-H61</f>
        <v>474</v>
      </c>
      <c r="J61" s="2223">
        <f t="shared" ref="J61:J63" si="40">L61+N61</f>
        <v>545.09999999999991</v>
      </c>
      <c r="K61" s="2214">
        <v>103</v>
      </c>
      <c r="L61" s="2214">
        <f>E61*115%</f>
        <v>272.54999999999995</v>
      </c>
      <c r="M61" s="2214">
        <v>103</v>
      </c>
      <c r="N61" s="2214">
        <f>G61*115%</f>
        <v>272.54999999999995</v>
      </c>
      <c r="O61" s="1151"/>
      <c r="P61" s="1152">
        <f t="shared" ref="P61:P76" si="41">J61-O61</f>
        <v>545.09999999999991</v>
      </c>
    </row>
    <row r="62" spans="1:19" s="1153" customFormat="1" ht="16.8">
      <c r="A62" s="1149"/>
      <c r="B62" s="1150" t="s">
        <v>1149</v>
      </c>
      <c r="C62" s="2212">
        <f t="shared" ref="C62:C72" si="42">E62+G62</f>
        <v>4775.5749999999998</v>
      </c>
      <c r="D62" s="2214">
        <v>941</v>
      </c>
      <c r="E62" s="2214">
        <f>D62*0.725*5*70%</f>
        <v>2387.7874999999999</v>
      </c>
      <c r="F62" s="2214">
        <v>941</v>
      </c>
      <c r="G62" s="2214">
        <f>F62*0.725*5*70%</f>
        <v>2387.7874999999999</v>
      </c>
      <c r="H62" s="2214"/>
      <c r="I62" s="2212">
        <f t="shared" ref="I62:I72" si="43">C62-H62</f>
        <v>4775.5749999999998</v>
      </c>
      <c r="J62" s="2223">
        <f t="shared" si="40"/>
        <v>6815.7249999999995</v>
      </c>
      <c r="K62" s="2214">
        <v>1343</v>
      </c>
      <c r="L62" s="2214">
        <f>K62*0.725*5*70%</f>
        <v>3407.8624999999997</v>
      </c>
      <c r="M62" s="2214">
        <v>1343</v>
      </c>
      <c r="N62" s="2214">
        <f>M62*0.725*5*70%</f>
        <v>3407.8624999999997</v>
      </c>
      <c r="O62" s="1151"/>
      <c r="P62" s="1152">
        <f t="shared" si="41"/>
        <v>6815.7249999999995</v>
      </c>
    </row>
    <row r="63" spans="1:19" s="1153" customFormat="1" ht="16.8">
      <c r="A63" s="1149"/>
      <c r="B63" s="1150" t="s">
        <v>1150</v>
      </c>
      <c r="C63" s="2212">
        <f>E63+G63</f>
        <v>2373.5599999999995</v>
      </c>
      <c r="D63" s="2214">
        <f>20+423+11+13+2</f>
        <v>469</v>
      </c>
      <c r="E63" s="2214">
        <f>(20*1.4*70%*5)+(423*70%*0.7*5)+(24*70%*0.535*5)+(2*70%*1.07*5)</f>
        <v>1186.7799999999997</v>
      </c>
      <c r="F63" s="2214">
        <f>20+423+11+13+2</f>
        <v>469</v>
      </c>
      <c r="G63" s="2214">
        <f>(20*1.4*70%*5)+(423*70%*0.7*5)+(24*70%*0.535*5)+(2*70%*1.07*5)</f>
        <v>1186.7799999999997</v>
      </c>
      <c r="H63" s="2214"/>
      <c r="I63" s="2212">
        <f>C63-H63</f>
        <v>2373.5599999999995</v>
      </c>
      <c r="J63" s="2223">
        <f t="shared" si="40"/>
        <v>4921</v>
      </c>
      <c r="K63" s="2214">
        <v>460</v>
      </c>
      <c r="L63" s="2214">
        <f>(15*70%*5*1.18)+(445*70%*5*1.54)</f>
        <v>2460.5</v>
      </c>
      <c r="M63" s="2214">
        <v>460</v>
      </c>
      <c r="N63" s="2214">
        <f>(15*70%*5*1.18)+(445*70%*5*1.54)</f>
        <v>2460.5</v>
      </c>
      <c r="O63" s="1151"/>
      <c r="P63" s="1152">
        <f t="shared" si="41"/>
        <v>4921</v>
      </c>
    </row>
    <row r="64" spans="1:19" s="1153" customFormat="1">
      <c r="A64" s="1170">
        <v>2</v>
      </c>
      <c r="B64" s="1171" t="s">
        <v>1134</v>
      </c>
      <c r="C64" s="2224">
        <f>SUM(C67,C65,C70,C72,C66,C71,C69,C68)</f>
        <v>681.64099999999996</v>
      </c>
      <c r="D64" s="2224">
        <f t="shared" ref="D64:N64" si="44">SUM(D67,D65,D70,D72,D66,D71,D69,D68)</f>
        <v>75</v>
      </c>
      <c r="E64" s="2224">
        <f t="shared" si="44"/>
        <v>343.47199999999998</v>
      </c>
      <c r="F64" s="2224">
        <f t="shared" si="44"/>
        <v>75</v>
      </c>
      <c r="G64" s="2224">
        <f t="shared" si="44"/>
        <v>338.16899999999998</v>
      </c>
      <c r="H64" s="2224">
        <f t="shared" si="44"/>
        <v>0</v>
      </c>
      <c r="I64" s="2224">
        <f t="shared" si="44"/>
        <v>681.64099999999996</v>
      </c>
      <c r="J64" s="2224">
        <f t="shared" si="44"/>
        <v>754</v>
      </c>
      <c r="K64" s="2224">
        <f>SUM(K67,K65,K70,K72,K66,K71,K69,K68)</f>
        <v>111</v>
      </c>
      <c r="L64" s="2224">
        <f t="shared" si="44"/>
        <v>377</v>
      </c>
      <c r="M64" s="2224">
        <f t="shared" si="44"/>
        <v>111</v>
      </c>
      <c r="N64" s="2224">
        <f t="shared" si="44"/>
        <v>377</v>
      </c>
      <c r="O64" s="1174">
        <f t="shared" ref="O64:P64" si="45">SUM(O67,O65,O70,O72,O66,O71)</f>
        <v>0</v>
      </c>
      <c r="P64" s="1174">
        <f t="shared" si="45"/>
        <v>0</v>
      </c>
    </row>
    <row r="65" spans="1:16" s="1153" customFormat="1" ht="16.8">
      <c r="A65" s="1149"/>
      <c r="B65" s="1150" t="s">
        <v>1135</v>
      </c>
      <c r="C65" s="2213">
        <f t="shared" si="42"/>
        <v>125.303</v>
      </c>
      <c r="D65" s="2213">
        <v>10</v>
      </c>
      <c r="E65" s="2213">
        <f>65303/1000</f>
        <v>65.302999999999997</v>
      </c>
      <c r="F65" s="2213">
        <v>10</v>
      </c>
      <c r="G65" s="2213">
        <v>60</v>
      </c>
      <c r="H65" s="2213"/>
      <c r="I65" s="2212">
        <f t="shared" si="43"/>
        <v>125.303</v>
      </c>
      <c r="J65" s="2213">
        <f t="shared" ref="J65:J72" si="46">L65+N65</f>
        <v>130</v>
      </c>
      <c r="K65" s="2213">
        <v>20</v>
      </c>
      <c r="L65" s="2213">
        <f>65</f>
        <v>65</v>
      </c>
      <c r="M65" s="2213">
        <v>20</v>
      </c>
      <c r="N65" s="2213">
        <v>65</v>
      </c>
      <c r="O65" s="1175"/>
      <c r="P65" s="1175"/>
    </row>
    <row r="66" spans="1:16" s="1153" customFormat="1" ht="16.8">
      <c r="A66" s="1149"/>
      <c r="B66" s="1150" t="s">
        <v>1136</v>
      </c>
      <c r="C66" s="2213">
        <f>E66+G66</f>
        <v>13.999999999999998</v>
      </c>
      <c r="D66" s="2213">
        <v>4</v>
      </c>
      <c r="E66" s="2213">
        <f>(2*0.3*5*70%)+(2*0.7*5*70%)</f>
        <v>6.9999999999999991</v>
      </c>
      <c r="F66" s="2213">
        <v>4</v>
      </c>
      <c r="G66" s="2213">
        <f>(2*0.3*5*70%)+(2*0.7*5*70%)</f>
        <v>6.9999999999999991</v>
      </c>
      <c r="H66" s="2213"/>
      <c r="I66" s="2212">
        <f t="shared" si="43"/>
        <v>13.999999999999998</v>
      </c>
      <c r="J66" s="2213">
        <f t="shared" si="46"/>
        <v>14</v>
      </c>
      <c r="K66" s="2213">
        <v>4</v>
      </c>
      <c r="L66" s="2213">
        <v>7</v>
      </c>
      <c r="M66" s="2213">
        <v>4</v>
      </c>
      <c r="N66" s="2213">
        <v>7</v>
      </c>
      <c r="O66" s="1175"/>
      <c r="P66" s="1175"/>
    </row>
    <row r="67" spans="1:16" s="1153" customFormat="1" ht="16.8">
      <c r="A67" s="1149"/>
      <c r="B67" s="1150" t="s">
        <v>1138</v>
      </c>
      <c r="C67" s="2213">
        <f t="shared" si="42"/>
        <v>40</v>
      </c>
      <c r="D67" s="2214">
        <v>15</v>
      </c>
      <c r="E67" s="2214">
        <v>20</v>
      </c>
      <c r="F67" s="2214">
        <v>15</v>
      </c>
      <c r="G67" s="2214">
        <v>20</v>
      </c>
      <c r="H67" s="2214"/>
      <c r="I67" s="2212">
        <f t="shared" si="43"/>
        <v>40</v>
      </c>
      <c r="J67" s="2213">
        <f t="shared" si="46"/>
        <v>55</v>
      </c>
      <c r="K67" s="2225">
        <v>30</v>
      </c>
      <c r="L67" s="2214">
        <v>27.5</v>
      </c>
      <c r="M67" s="2225">
        <v>30</v>
      </c>
      <c r="N67" s="2214">
        <v>27.5</v>
      </c>
      <c r="O67" s="1151"/>
      <c r="P67" s="1152"/>
    </row>
    <row r="68" spans="1:16" s="1153" customFormat="1" ht="16.8">
      <c r="A68" s="1149"/>
      <c r="B68" s="1150" t="s">
        <v>1139</v>
      </c>
      <c r="C68" s="2213">
        <f t="shared" si="42"/>
        <v>34.72</v>
      </c>
      <c r="D68" s="2214">
        <v>3</v>
      </c>
      <c r="E68" s="2225">
        <v>17.36</v>
      </c>
      <c r="F68" s="2214">
        <v>3</v>
      </c>
      <c r="G68" s="2225">
        <v>17.36</v>
      </c>
      <c r="H68" s="2214"/>
      <c r="I68" s="2212">
        <f t="shared" si="43"/>
        <v>34.72</v>
      </c>
      <c r="J68" s="2213">
        <f t="shared" si="46"/>
        <v>58</v>
      </c>
      <c r="K68" s="2214">
        <v>5</v>
      </c>
      <c r="L68" s="2214">
        <f>58/2</f>
        <v>29</v>
      </c>
      <c r="M68" s="2214">
        <v>5</v>
      </c>
      <c r="N68" s="2214">
        <f>58/2</f>
        <v>29</v>
      </c>
      <c r="O68" s="1151"/>
      <c r="P68" s="1152"/>
    </row>
    <row r="69" spans="1:16" s="1153" customFormat="1" ht="16.8">
      <c r="A69" s="1149"/>
      <c r="B69" s="1150" t="s">
        <v>1140</v>
      </c>
      <c r="C69" s="2213">
        <f t="shared" si="42"/>
        <v>162.67999999999998</v>
      </c>
      <c r="D69" s="2214">
        <v>10</v>
      </c>
      <c r="E69" s="2214">
        <v>81.339999999999989</v>
      </c>
      <c r="F69" s="2214">
        <v>10</v>
      </c>
      <c r="G69" s="2214">
        <v>81.339999999999989</v>
      </c>
      <c r="H69" s="2214"/>
      <c r="I69" s="2212">
        <f t="shared" si="43"/>
        <v>162.67999999999998</v>
      </c>
      <c r="J69" s="2213">
        <f t="shared" si="46"/>
        <v>166.59999999999997</v>
      </c>
      <c r="K69" s="2214">
        <v>10</v>
      </c>
      <c r="L69" s="2214">
        <v>83.299999999999983</v>
      </c>
      <c r="M69" s="2214">
        <v>10</v>
      </c>
      <c r="N69" s="2214">
        <v>83.299999999999983</v>
      </c>
      <c r="O69" s="1151"/>
      <c r="P69" s="1152"/>
    </row>
    <row r="70" spans="1:16" s="1153" customFormat="1" ht="16.8">
      <c r="A70" s="1149"/>
      <c r="B70" s="1150" t="s">
        <v>1142</v>
      </c>
      <c r="C70" s="2213">
        <f t="shared" si="42"/>
        <v>140</v>
      </c>
      <c r="D70" s="2214">
        <v>12</v>
      </c>
      <c r="E70" s="2214">
        <f>(8*5*1.5*70%)+(4*5*2*70%)</f>
        <v>70</v>
      </c>
      <c r="F70" s="2214">
        <v>12</v>
      </c>
      <c r="G70" s="2214">
        <f>(8*5*1.5*70%)+(4*5*2*70%)</f>
        <v>70</v>
      </c>
      <c r="H70" s="2214"/>
      <c r="I70" s="2212">
        <f t="shared" si="43"/>
        <v>140</v>
      </c>
      <c r="J70" s="2213">
        <f t="shared" si="46"/>
        <v>134.4</v>
      </c>
      <c r="K70" s="2214">
        <v>12</v>
      </c>
      <c r="L70" s="2214">
        <f>(8*5*70%*1.5)+(4*70%*5*1.8)</f>
        <v>67.2</v>
      </c>
      <c r="M70" s="2214">
        <v>12</v>
      </c>
      <c r="N70" s="2214">
        <f>(8*5*70%*1.5)+(4*70%*5*1.8)</f>
        <v>67.2</v>
      </c>
      <c r="O70" s="1151"/>
      <c r="P70" s="1152"/>
    </row>
    <row r="71" spans="1:16" s="1153" customFormat="1" ht="16.8">
      <c r="A71" s="1149"/>
      <c r="B71" s="1150" t="s">
        <v>1143</v>
      </c>
      <c r="C71" s="2213">
        <f t="shared" si="42"/>
        <v>49</v>
      </c>
      <c r="D71" s="2214">
        <v>10</v>
      </c>
      <c r="E71" s="2214">
        <f>(10*0.7*5*70%)</f>
        <v>24.5</v>
      </c>
      <c r="F71" s="2214">
        <v>10</v>
      </c>
      <c r="G71" s="2214">
        <f>(10*0.7*5*70%)</f>
        <v>24.5</v>
      </c>
      <c r="H71" s="2214"/>
      <c r="I71" s="2212">
        <f t="shared" si="43"/>
        <v>49</v>
      </c>
      <c r="J71" s="2213">
        <f t="shared" si="46"/>
        <v>49</v>
      </c>
      <c r="K71" s="2214">
        <v>10</v>
      </c>
      <c r="L71" s="2214">
        <f>(10*0.7*5*70%)</f>
        <v>24.5</v>
      </c>
      <c r="M71" s="2214">
        <v>10</v>
      </c>
      <c r="N71" s="2214">
        <f>(10*0.7*5*70%)</f>
        <v>24.5</v>
      </c>
      <c r="O71" s="1151"/>
      <c r="P71" s="1152"/>
    </row>
    <row r="72" spans="1:16" s="1153" customFormat="1" ht="16.8">
      <c r="A72" s="1149"/>
      <c r="B72" s="1150" t="s">
        <v>1146</v>
      </c>
      <c r="C72" s="2213">
        <f t="shared" si="42"/>
        <v>115.938</v>
      </c>
      <c r="D72" s="2214">
        <v>11</v>
      </c>
      <c r="E72" s="2214">
        <v>57.969000000000001</v>
      </c>
      <c r="F72" s="2214">
        <v>11</v>
      </c>
      <c r="G72" s="2214">
        <v>57.969000000000001</v>
      </c>
      <c r="H72" s="2214"/>
      <c r="I72" s="2212">
        <f t="shared" si="43"/>
        <v>115.938</v>
      </c>
      <c r="J72" s="2213">
        <f t="shared" si="46"/>
        <v>147</v>
      </c>
      <c r="K72" s="2214">
        <v>20</v>
      </c>
      <c r="L72" s="2214">
        <f>(20*5*70%*1.05)</f>
        <v>73.5</v>
      </c>
      <c r="M72" s="2214">
        <v>20</v>
      </c>
      <c r="N72" s="2214">
        <f>(20*5*70%*1.05)</f>
        <v>73.5</v>
      </c>
      <c r="O72" s="1151"/>
      <c r="P72" s="1152"/>
    </row>
    <row r="73" spans="1:16" s="1168" customFormat="1">
      <c r="A73" s="1164" t="s">
        <v>690</v>
      </c>
      <c r="B73" s="1165" t="s">
        <v>1156</v>
      </c>
      <c r="C73" s="2220">
        <f>SUM(C74,C78)</f>
        <v>2953.6865000000003</v>
      </c>
      <c r="D73" s="2220">
        <f t="shared" ref="D73:N73" si="47">SUM(D74,D78)</f>
        <v>3793</v>
      </c>
      <c r="E73" s="2220">
        <f t="shared" si="47"/>
        <v>1519.0865000000001</v>
      </c>
      <c r="F73" s="2220">
        <f t="shared" si="47"/>
        <v>4262</v>
      </c>
      <c r="G73" s="2220">
        <f t="shared" si="47"/>
        <v>1434.6</v>
      </c>
      <c r="H73" s="2220">
        <f t="shared" si="47"/>
        <v>0</v>
      </c>
      <c r="I73" s="2220">
        <f t="shared" si="47"/>
        <v>2953.6865000000003</v>
      </c>
      <c r="J73" s="2220">
        <f t="shared" si="47"/>
        <v>827.625</v>
      </c>
      <c r="K73" s="2220">
        <f t="shared" si="47"/>
        <v>3993</v>
      </c>
      <c r="L73" s="2220">
        <f t="shared" si="47"/>
        <v>453.27499999999998</v>
      </c>
      <c r="M73" s="2220">
        <f t="shared" si="47"/>
        <v>4117</v>
      </c>
      <c r="N73" s="2220">
        <f t="shared" si="47"/>
        <v>374.35</v>
      </c>
      <c r="O73" s="1167">
        <f t="shared" ref="O73:P73" si="48">SUM(O74,O78)</f>
        <v>0</v>
      </c>
      <c r="P73" s="1167">
        <f t="shared" si="48"/>
        <v>827.625</v>
      </c>
    </row>
    <row r="74" spans="1:16" s="1176" customFormat="1">
      <c r="A74" s="1158">
        <v>1</v>
      </c>
      <c r="B74" s="1159" t="s">
        <v>1155</v>
      </c>
      <c r="C74" s="2219">
        <f>SUM(C75,C76,C77)</f>
        <v>2379.9875000000002</v>
      </c>
      <c r="D74" s="2220">
        <f t="shared" ref="D74:N74" si="49">SUM(D75,D76,D77)</f>
        <v>1180</v>
      </c>
      <c r="E74" s="2220">
        <f t="shared" si="49"/>
        <v>1199.1875</v>
      </c>
      <c r="F74" s="2220">
        <f t="shared" si="49"/>
        <v>1214</v>
      </c>
      <c r="G74" s="2220">
        <f t="shared" si="49"/>
        <v>1180.8</v>
      </c>
      <c r="H74" s="2220">
        <f t="shared" si="49"/>
        <v>0</v>
      </c>
      <c r="I74" s="2220">
        <f t="shared" si="49"/>
        <v>2379.9875000000002</v>
      </c>
      <c r="J74" s="2220">
        <f t="shared" si="49"/>
        <v>213.99250000000001</v>
      </c>
      <c r="K74" s="2220">
        <f t="shared" si="49"/>
        <v>797</v>
      </c>
      <c r="L74" s="2220">
        <f t="shared" si="49"/>
        <v>116.96249999999999</v>
      </c>
      <c r="M74" s="2220">
        <f t="shared" si="49"/>
        <v>829</v>
      </c>
      <c r="N74" s="2220">
        <f t="shared" si="49"/>
        <v>97.03</v>
      </c>
      <c r="O74" s="1160">
        <f t="shared" ref="O74:P74" si="50">SUM(O75,O76,O77)</f>
        <v>0</v>
      </c>
      <c r="P74" s="1160">
        <f t="shared" si="50"/>
        <v>213.99250000000001</v>
      </c>
    </row>
    <row r="75" spans="1:16" s="1153" customFormat="1" ht="16.8">
      <c r="A75" s="1149"/>
      <c r="B75" s="1150" t="s">
        <v>667</v>
      </c>
      <c r="C75" s="2214">
        <f>E75+G75</f>
        <v>199.48750000000001</v>
      </c>
      <c r="D75" s="2214">
        <v>735</v>
      </c>
      <c r="E75" s="2214">
        <f>(305*50%*5*0.08)+(11*50%*5*0.09)+(45*5*50%*0.08)+(75*50%*5*0.035)+(299*50%*5*0.04)</f>
        <v>108.9375</v>
      </c>
      <c r="F75" s="2214">
        <v>769</v>
      </c>
      <c r="G75" s="2214">
        <f>(310*50%*4*0.08)+(11*4*0.09*50%)+(49*4*50%*0.08)+(79*50%*4*0.035)+(320*4*50%*0.04)</f>
        <v>90.550000000000011</v>
      </c>
      <c r="H75" s="2214"/>
      <c r="I75" s="2214">
        <f>C75-H75</f>
        <v>199.48750000000001</v>
      </c>
      <c r="J75" s="2212">
        <f t="shared" ref="J75:J76" si="51">L75+N75</f>
        <v>213.99250000000001</v>
      </c>
      <c r="K75" s="2212">
        <v>797</v>
      </c>
      <c r="L75" s="2212">
        <f>(320*5*50%*0.08)+(15*50%*5*0.09)+(45*5*50%*0.08)+(89*5*50%*0.035)+(328*50%*5*0.04)</f>
        <v>116.96249999999999</v>
      </c>
      <c r="M75" s="2212">
        <v>829</v>
      </c>
      <c r="N75" s="2212">
        <f>(330*4*50%*0.08)+(17*4*50%*0.09)+(45*4*50%*0.08)+(99*4*50%*0.035)+(338*4*50%*0.04)</f>
        <v>97.03</v>
      </c>
      <c r="O75" s="1151"/>
      <c r="P75" s="1152">
        <f t="shared" si="41"/>
        <v>213.99250000000001</v>
      </c>
    </row>
    <row r="76" spans="1:16" s="1153" customFormat="1" ht="16.8">
      <c r="A76" s="1149"/>
      <c r="B76" s="1150" t="s">
        <v>1150</v>
      </c>
      <c r="C76" s="2212">
        <f>E76+G76</f>
        <v>2180.5</v>
      </c>
      <c r="D76" s="2212">
        <v>445</v>
      </c>
      <c r="E76" s="2212">
        <f>D76*5*50%*0.98</f>
        <v>1090.25</v>
      </c>
      <c r="F76" s="2212">
        <v>445</v>
      </c>
      <c r="G76" s="2212">
        <f>F76*5*50%*0.98</f>
        <v>1090.25</v>
      </c>
      <c r="H76" s="2212"/>
      <c r="I76" s="2212">
        <f>C76-H76</f>
        <v>2180.5</v>
      </c>
      <c r="J76" s="2212">
        <f t="shared" si="51"/>
        <v>0</v>
      </c>
      <c r="K76" s="2212"/>
      <c r="L76" s="2212"/>
      <c r="M76" s="2212"/>
      <c r="N76" s="2212"/>
      <c r="O76" s="1151"/>
      <c r="P76" s="1152">
        <f t="shared" si="41"/>
        <v>0</v>
      </c>
    </row>
    <row r="77" spans="1:16" s="1176" customFormat="1" hidden="1">
      <c r="A77" s="1177"/>
      <c r="B77" s="1178"/>
      <c r="C77" s="2226"/>
      <c r="D77" s="2227"/>
      <c r="E77" s="2227"/>
      <c r="F77" s="2227"/>
      <c r="G77" s="2227"/>
      <c r="H77" s="2227"/>
      <c r="I77" s="2227"/>
      <c r="J77" s="2226"/>
      <c r="K77" s="2227"/>
      <c r="L77" s="2227"/>
      <c r="M77" s="2227"/>
      <c r="N77" s="2227"/>
      <c r="O77" s="1179"/>
      <c r="P77" s="1179"/>
    </row>
    <row r="78" spans="1:16" s="1161" customFormat="1">
      <c r="A78" s="1158">
        <v>2</v>
      </c>
      <c r="B78" s="1159" t="s">
        <v>1134</v>
      </c>
      <c r="C78" s="2228">
        <f>SUM(C79,C80,C81,C82,C83,C84,C85,C86,C87,C88,C89,C90)</f>
        <v>573.69899999999996</v>
      </c>
      <c r="D78" s="2217">
        <f t="shared" ref="D78:N78" si="52">SUM(D79,D80,D81,D82,D83,D84,D85,D86,D87,D88,D89,D90)</f>
        <v>2613</v>
      </c>
      <c r="E78" s="2217">
        <f t="shared" si="52"/>
        <v>319.89900000000011</v>
      </c>
      <c r="F78" s="2217">
        <f t="shared" si="52"/>
        <v>3048</v>
      </c>
      <c r="G78" s="2217">
        <f t="shared" si="52"/>
        <v>253.80000000000004</v>
      </c>
      <c r="H78" s="2217">
        <f t="shared" si="52"/>
        <v>0</v>
      </c>
      <c r="I78" s="2217">
        <f t="shared" si="52"/>
        <v>573.69899999999996</v>
      </c>
      <c r="J78" s="2217">
        <f t="shared" si="52"/>
        <v>613.63250000000005</v>
      </c>
      <c r="K78" s="2217">
        <f t="shared" si="52"/>
        <v>3196</v>
      </c>
      <c r="L78" s="2217">
        <f t="shared" si="52"/>
        <v>336.3125</v>
      </c>
      <c r="M78" s="2217">
        <f t="shared" si="52"/>
        <v>3288</v>
      </c>
      <c r="N78" s="2217">
        <f t="shared" si="52"/>
        <v>277.32000000000005</v>
      </c>
      <c r="O78" s="1160">
        <f t="shared" ref="O78:P78" si="53">SUM(O79,O80,O81,O82,O83,O84,O85,O86,O87,O88,O89,O90)</f>
        <v>0</v>
      </c>
      <c r="P78" s="1160">
        <f t="shared" si="53"/>
        <v>613.63250000000005</v>
      </c>
    </row>
    <row r="79" spans="1:16" s="1153" customFormat="1" ht="16.8">
      <c r="A79" s="1149"/>
      <c r="B79" s="1150" t="s">
        <v>1135</v>
      </c>
      <c r="C79" s="2212">
        <f>E79+G79</f>
        <v>52.447500000000005</v>
      </c>
      <c r="D79" s="2212">
        <v>297</v>
      </c>
      <c r="E79" s="2212">
        <f>(6*5*50%*0.07)+(35*5*50%*0.065)+(256*5*50%*0.035)</f>
        <v>29.137500000000003</v>
      </c>
      <c r="F79" s="2212">
        <v>297</v>
      </c>
      <c r="G79" s="2212">
        <f>(6*4*50%*0.07)+(35*4*50%*0.065)+(256*4*50%*0.035)</f>
        <v>23.310000000000002</v>
      </c>
      <c r="H79" s="2212"/>
      <c r="I79" s="2212">
        <f>C79-H79</f>
        <v>52.447500000000005</v>
      </c>
      <c r="J79" s="2212">
        <f t="shared" ref="J79:J89" si="54">L79+N79</f>
        <v>50.935000000000002</v>
      </c>
      <c r="K79" s="2212">
        <v>288</v>
      </c>
      <c r="L79" s="2212">
        <f>(2*5*50%*0.07)+(30*5*50%*0.065)+(256*5*50%*0.035)</f>
        <v>27.625</v>
      </c>
      <c r="M79" s="2212">
        <v>297</v>
      </c>
      <c r="N79" s="2212">
        <f>(6*4*50%*0.07)+(35*4*50%*0.065)+(256*4*50%*0.035)</f>
        <v>23.310000000000002</v>
      </c>
      <c r="O79" s="1151"/>
      <c r="P79" s="1152">
        <f t="shared" ref="P79:P90" si="55">J79-O79</f>
        <v>50.935000000000002</v>
      </c>
    </row>
    <row r="80" spans="1:16" s="1153" customFormat="1" ht="16.8">
      <c r="A80" s="1149"/>
      <c r="B80" s="1150" t="s">
        <v>1136</v>
      </c>
      <c r="C80" s="2212">
        <f>E80+G80</f>
        <v>69.262500000000003</v>
      </c>
      <c r="D80" s="2212">
        <v>164</v>
      </c>
      <c r="E80" s="2212">
        <f>(37*5*50%*0.07)+(109*5*50%*0.065)+(18*5*50%*0.035)+(35*4*50%*0.07)+(126*4*50%*0.065)+(23*4*50%*0.035)</f>
        <v>48.652500000000003</v>
      </c>
      <c r="F80" s="2212">
        <v>164</v>
      </c>
      <c r="G80" s="2212">
        <f>(37*4*50%*0.07)+(109*4*50%*0.065)+(18*4*50%*0.035)</f>
        <v>20.610000000000003</v>
      </c>
      <c r="H80" s="2212"/>
      <c r="I80" s="2212">
        <f>C80-H80</f>
        <v>69.262500000000003</v>
      </c>
      <c r="J80" s="2212">
        <f t="shared" si="54"/>
        <v>62.70750000000001</v>
      </c>
      <c r="K80" s="2212">
        <v>220</v>
      </c>
      <c r="L80" s="2212">
        <f>(65*5*50%*0.07)+(132*5*50%*0.065)+(23*5*50%*0.035)</f>
        <v>34.837500000000006</v>
      </c>
      <c r="M80" s="2212">
        <v>220</v>
      </c>
      <c r="N80" s="2212">
        <f>(65*4*50%*0.07)+(132*4*50%*0.065)+(23*4*50%*0.035)</f>
        <v>27.87</v>
      </c>
      <c r="O80" s="1151"/>
      <c r="P80" s="1152">
        <f t="shared" si="55"/>
        <v>62.70750000000001</v>
      </c>
    </row>
    <row r="81" spans="1:17" s="1153" customFormat="1" ht="16.8">
      <c r="A81" s="1149"/>
      <c r="B81" s="1150" t="s">
        <v>1137</v>
      </c>
      <c r="C81" s="2215">
        <f t="shared" ref="C81:C90" si="56">E81+G81</f>
        <v>40.815000000000005</v>
      </c>
      <c r="D81" s="2215">
        <v>167</v>
      </c>
      <c r="E81" s="2215">
        <f>(5*5*0.07*50%)+(29*5*0.065*50%)+(133*5*0.035*50%)</f>
        <v>17.225000000000001</v>
      </c>
      <c r="F81" s="2215">
        <v>301</v>
      </c>
      <c r="G81" s="2215">
        <f>(6*4*0.07*50%)+(35*50%*0.065*4)+(260*50%*4*0.035)</f>
        <v>23.590000000000003</v>
      </c>
      <c r="H81" s="2215"/>
      <c r="I81" s="2215">
        <f t="shared" ref="I81:I90" si="57">C81-H81</f>
        <v>40.815000000000005</v>
      </c>
      <c r="J81" s="2215">
        <f t="shared" si="54"/>
        <v>57.557500000000005</v>
      </c>
      <c r="K81" s="2215">
        <v>305</v>
      </c>
      <c r="L81" s="2212">
        <f>(6*5*50%*0.07)+(35*5*50%*0.065)+(264*5*50%*0.035)</f>
        <v>29.837500000000002</v>
      </c>
      <c r="M81" s="2215">
        <v>360</v>
      </c>
      <c r="N81" s="2212">
        <f>(6*4*50%*0.07)+(35*4*50%*0.065)+(319*4*50%*0.035)</f>
        <v>27.720000000000002</v>
      </c>
      <c r="O81" s="1151"/>
      <c r="P81" s="1152">
        <f t="shared" si="55"/>
        <v>57.557500000000005</v>
      </c>
    </row>
    <row r="82" spans="1:17" s="1153" customFormat="1">
      <c r="A82" s="1149"/>
      <c r="B82" s="1150" t="s">
        <v>1138</v>
      </c>
      <c r="C82" s="2213">
        <f t="shared" si="56"/>
        <v>32.987500000000004</v>
      </c>
      <c r="D82" s="2214">
        <f>162</f>
        <v>162</v>
      </c>
      <c r="E82" s="2214">
        <v>17.587500000000002</v>
      </c>
      <c r="F82" s="2214">
        <v>181</v>
      </c>
      <c r="G82" s="2214">
        <f>(9*50%*4*0.07)+(35*4*50%*0.065)+(137*4*50%*0.035)</f>
        <v>15.400000000000002</v>
      </c>
      <c r="H82" s="2214"/>
      <c r="I82" s="2214">
        <f t="shared" si="57"/>
        <v>32.987500000000004</v>
      </c>
      <c r="J82" s="2213">
        <f t="shared" si="54"/>
        <v>38.902500000000003</v>
      </c>
      <c r="K82" s="2214">
        <v>208</v>
      </c>
      <c r="L82" s="2214">
        <f>(9*5*50%*0.07)+(35*5*50%*0.065)+(164*5*50%*0.035)</f>
        <v>21.612500000000001</v>
      </c>
      <c r="M82" s="2214">
        <v>208</v>
      </c>
      <c r="N82" s="2214">
        <f>(9*4*50%*0.07)+(35*4*50%*0.065)+(164*4*50%*0.035)</f>
        <v>17.29</v>
      </c>
      <c r="O82" s="1151"/>
      <c r="P82" s="1152">
        <f t="shared" si="55"/>
        <v>38.902500000000003</v>
      </c>
    </row>
    <row r="83" spans="1:17" s="1153" customFormat="1" ht="16.8">
      <c r="A83" s="1149"/>
      <c r="B83" s="1150" t="s">
        <v>1139</v>
      </c>
      <c r="C83" s="2215">
        <f t="shared" si="56"/>
        <v>51.19</v>
      </c>
      <c r="D83" s="2215">
        <v>150</v>
      </c>
      <c r="E83" s="2215">
        <f>(2*5*50%*0.07)+(14*50%*5*0.065)+(134*5*0.035*50%)+(2*4*50%*0.07)+(14*50%*4*0.065)+(134*4*0.035*50%)</f>
        <v>25.83</v>
      </c>
      <c r="F83" s="2215">
        <v>324</v>
      </c>
      <c r="G83" s="2214">
        <f>(4*50%*4*0.07)+(40*4*50%*0.065)+(280*4*50%*0.035)</f>
        <v>25.36</v>
      </c>
      <c r="H83" s="2215"/>
      <c r="I83" s="2215">
        <f t="shared" si="57"/>
        <v>51.19</v>
      </c>
      <c r="J83" s="2215">
        <f t="shared" si="54"/>
        <v>56.570000000000007</v>
      </c>
      <c r="K83" s="2215">
        <v>308</v>
      </c>
      <c r="L83" s="2214">
        <f>(4*5*50%*0.07)+(40*5*50%*0.065)+(264*5*50%*0.035)</f>
        <v>30.3</v>
      </c>
      <c r="M83" s="2215">
        <v>337</v>
      </c>
      <c r="N83" s="2214">
        <f>(4*4*50%*0.07)+(40*4*50%*0.065)+(293*4*50%*0.035)</f>
        <v>26.270000000000003</v>
      </c>
      <c r="O83" s="1151"/>
      <c r="P83" s="1152">
        <f t="shared" si="55"/>
        <v>56.570000000000007</v>
      </c>
    </row>
    <row r="84" spans="1:17" s="1153" customFormat="1" ht="16.8">
      <c r="A84" s="1149"/>
      <c r="B84" s="1150" t="s">
        <v>1140</v>
      </c>
      <c r="C84" s="2212">
        <f t="shared" si="56"/>
        <v>0</v>
      </c>
      <c r="D84" s="2212"/>
      <c r="E84" s="2212"/>
      <c r="F84" s="2212"/>
      <c r="G84" s="2212"/>
      <c r="H84" s="2212"/>
      <c r="I84" s="2212">
        <f t="shared" si="57"/>
        <v>0</v>
      </c>
      <c r="J84" s="2212">
        <f t="shared" si="54"/>
        <v>0</v>
      </c>
      <c r="K84" s="2212"/>
      <c r="L84" s="2212"/>
      <c r="M84" s="2212"/>
      <c r="N84" s="2212"/>
      <c r="O84" s="1151"/>
      <c r="P84" s="1152">
        <f t="shared" si="55"/>
        <v>0</v>
      </c>
    </row>
    <row r="85" spans="1:17" s="1153" customFormat="1" ht="16.8">
      <c r="A85" s="1149"/>
      <c r="B85" s="1150" t="s">
        <v>1141</v>
      </c>
      <c r="C85" s="2212">
        <f t="shared" si="56"/>
        <v>93.412500000000009</v>
      </c>
      <c r="D85" s="2212">
        <v>494</v>
      </c>
      <c r="E85" s="2216">
        <v>48.212500000000006</v>
      </c>
      <c r="F85" s="2212">
        <v>581</v>
      </c>
      <c r="G85" s="2214">
        <f>(10*50%*4*0.07)+(58*4*50%*0.065)+(493*4*50%*0.035)+(20*5*50%*0.035)</f>
        <v>45.2</v>
      </c>
      <c r="H85" s="2212"/>
      <c r="I85" s="2212">
        <f t="shared" si="57"/>
        <v>93.412500000000009</v>
      </c>
      <c r="J85" s="2212">
        <f t="shared" si="54"/>
        <v>101.19750000000001</v>
      </c>
      <c r="K85" s="2212">
        <v>575</v>
      </c>
      <c r="L85" s="2214">
        <f>(10*5*50%*0.07)+(52*5*50%*0.065)+(513*5*50%*0.035)</f>
        <v>55.087500000000006</v>
      </c>
      <c r="M85" s="2212">
        <v>599</v>
      </c>
      <c r="N85" s="2214">
        <f>(10*4*50%*0.07)+(58*4*50%*0.065)+(531*4*50%*0.035)</f>
        <v>46.11</v>
      </c>
      <c r="O85" s="1151"/>
      <c r="P85" s="1152">
        <f t="shared" si="55"/>
        <v>101.19750000000001</v>
      </c>
    </row>
    <row r="86" spans="1:17" s="1153" customFormat="1" ht="16.8">
      <c r="A86" s="1149"/>
      <c r="B86" s="1150" t="s">
        <v>1142</v>
      </c>
      <c r="C86" s="2212">
        <f t="shared" si="56"/>
        <v>55.644000000000005</v>
      </c>
      <c r="D86" s="2212">
        <v>301</v>
      </c>
      <c r="E86" s="2212">
        <v>33.103999999999999</v>
      </c>
      <c r="F86" s="2212">
        <v>293</v>
      </c>
      <c r="G86" s="2212">
        <f>(5*4*50%*0.07)+(28*4*50%*0.065)+(260*4*50%*0.035)</f>
        <v>22.540000000000003</v>
      </c>
      <c r="H86" s="2212"/>
      <c r="I86" s="2212">
        <f t="shared" si="57"/>
        <v>55.644000000000005</v>
      </c>
      <c r="J86" s="2212">
        <f t="shared" si="54"/>
        <v>54.725000000000001</v>
      </c>
      <c r="K86" s="2212">
        <v>305</v>
      </c>
      <c r="L86" s="2212">
        <f>(5*5*50%*0.07)+(28*5*50%*0.065)+(272*5*50%*0.035)</f>
        <v>29.225000000000001</v>
      </c>
      <c r="M86" s="2212">
        <v>324</v>
      </c>
      <c r="N86" s="2212">
        <f>(6*4*50%*0.07)+(40*4*50%*0.065)+(278*4*50%*0.035)</f>
        <v>25.5</v>
      </c>
      <c r="O86" s="1151"/>
      <c r="P86" s="1152">
        <f t="shared" si="55"/>
        <v>54.725000000000001</v>
      </c>
    </row>
    <row r="87" spans="1:17" s="1153" customFormat="1" ht="16.8">
      <c r="A87" s="1149"/>
      <c r="B87" s="1150" t="s">
        <v>1143</v>
      </c>
      <c r="C87" s="2212">
        <f t="shared" si="56"/>
        <v>46.042500000000004</v>
      </c>
      <c r="D87" s="2212">
        <v>235</v>
      </c>
      <c r="E87" s="2212">
        <f>(32*5*50%*0.07)+(203*5*50%*0.035)</f>
        <v>23.362500000000004</v>
      </c>
      <c r="F87" s="2212">
        <v>282</v>
      </c>
      <c r="G87" s="2212">
        <f>(42*4*50%*0.07)+(240*4*50%*0.035)</f>
        <v>22.68</v>
      </c>
      <c r="H87" s="2212"/>
      <c r="I87" s="2212">
        <f t="shared" si="57"/>
        <v>46.042500000000004</v>
      </c>
      <c r="J87" s="2212">
        <f t="shared" si="54"/>
        <v>51.625000000000007</v>
      </c>
      <c r="K87" s="2212">
        <v>276</v>
      </c>
      <c r="L87" s="2212">
        <f>(42*5*50%*0.07)+(234*5*50%*0.035)</f>
        <v>27.825000000000003</v>
      </c>
      <c r="M87" s="2212">
        <v>293</v>
      </c>
      <c r="N87" s="2212">
        <f>(47*4*50%*0.07)+(246*4*50%*0.035)</f>
        <v>23.800000000000004</v>
      </c>
      <c r="O87" s="1151"/>
      <c r="P87" s="1152">
        <f t="shared" si="55"/>
        <v>51.625000000000007</v>
      </c>
    </row>
    <row r="88" spans="1:17" s="1153" customFormat="1" ht="16.8">
      <c r="A88" s="1149"/>
      <c r="B88" s="1150" t="s">
        <v>1144</v>
      </c>
      <c r="C88" s="2212">
        <f t="shared" si="56"/>
        <v>49.06</v>
      </c>
      <c r="D88" s="2212">
        <v>289</v>
      </c>
      <c r="E88" s="2212">
        <f>(2*50%*5*0.07)+(45*5*50%*0.065)+(242*5*50%*0.035)+2.5125</f>
        <v>31.349999999999998</v>
      </c>
      <c r="F88" s="2212">
        <v>253</v>
      </c>
      <c r="G88" s="2212">
        <f>(253*4*0.035*50%)</f>
        <v>17.71</v>
      </c>
      <c r="H88" s="2212"/>
      <c r="I88" s="2212">
        <f t="shared" si="57"/>
        <v>49.06</v>
      </c>
      <c r="J88" s="2212">
        <f t="shared" si="54"/>
        <v>53.517499999999998</v>
      </c>
      <c r="K88" s="2212">
        <v>329</v>
      </c>
      <c r="L88" s="2212">
        <f>(2*5*50%*0.07)+(45*5*50%*0.065)+(282*5*50%*0.035)</f>
        <v>32.337499999999999</v>
      </c>
      <c r="M88" s="2212">
        <v>264</v>
      </c>
      <c r="N88" s="2212">
        <f>(45*4*50%*0.065)+(219*4*50%*0.035)</f>
        <v>21.180000000000003</v>
      </c>
      <c r="O88" s="1151"/>
      <c r="P88" s="1152">
        <f t="shared" si="55"/>
        <v>53.517499999999998</v>
      </c>
    </row>
    <row r="89" spans="1:17" s="1153" customFormat="1" ht="16.8">
      <c r="A89" s="1149"/>
      <c r="B89" s="1150" t="s">
        <v>1145</v>
      </c>
      <c r="C89" s="2212">
        <f t="shared" si="56"/>
        <v>57.157500000000006</v>
      </c>
      <c r="D89" s="2212">
        <v>220</v>
      </c>
      <c r="E89" s="2212">
        <f>(9*5*50%*0.07)+(164*5*50%*0.065)+(47*5*50%*0.035)</f>
        <v>32.337500000000006</v>
      </c>
      <c r="F89" s="2212">
        <v>209</v>
      </c>
      <c r="G89" s="2212">
        <f>(11*4*50%*0.07)+(157*4*50%*0.065)+(41*4*50%*0.035)</f>
        <v>24.82</v>
      </c>
      <c r="H89" s="2212"/>
      <c r="I89" s="2212">
        <f t="shared" si="57"/>
        <v>57.157500000000006</v>
      </c>
      <c r="J89" s="2212">
        <f t="shared" si="54"/>
        <v>56.015000000000001</v>
      </c>
      <c r="K89" s="2212">
        <v>209</v>
      </c>
      <c r="L89" s="2212">
        <f>(11*5*50%*0.07)+(157*5*50%*0.065)+(41*5*50%*0.035)</f>
        <v>31.024999999999999</v>
      </c>
      <c r="M89" s="2212">
        <v>213</v>
      </c>
      <c r="N89" s="2212">
        <f>(6*4*50%*0.07)+(161*4*50%*0.065)+(46*4*50%*0.035)</f>
        <v>24.99</v>
      </c>
      <c r="O89" s="1151"/>
      <c r="P89" s="1152">
        <f t="shared" si="55"/>
        <v>56.015000000000001</v>
      </c>
    </row>
    <row r="90" spans="1:17" s="1153" customFormat="1" ht="16.8">
      <c r="A90" s="1180"/>
      <c r="B90" s="1181" t="s">
        <v>1146</v>
      </c>
      <c r="C90" s="2229">
        <f t="shared" si="56"/>
        <v>25.680000000000003</v>
      </c>
      <c r="D90" s="2229">
        <v>134</v>
      </c>
      <c r="E90" s="2229">
        <f>(2*5*50%*0.07)+(16*5*50%*0.065)+(116*5*50%*0.035)</f>
        <v>13.100000000000001</v>
      </c>
      <c r="F90" s="2229">
        <v>163</v>
      </c>
      <c r="G90" s="2229">
        <f>(3*4*50%*0.07)+(16*4*50%*0.065)+(144*4*50%*0.035)</f>
        <v>12.580000000000002</v>
      </c>
      <c r="H90" s="2229"/>
      <c r="I90" s="2229">
        <f t="shared" si="57"/>
        <v>25.680000000000003</v>
      </c>
      <c r="J90" s="2229">
        <f>L90+N90</f>
        <v>29.880000000000003</v>
      </c>
      <c r="K90" s="2229">
        <v>173</v>
      </c>
      <c r="L90" s="2229">
        <f>(3*5*50%*0.07)+(16*5*50%*0.065)+(154*5*50%*0.035)</f>
        <v>16.600000000000001</v>
      </c>
      <c r="M90" s="2229">
        <v>173</v>
      </c>
      <c r="N90" s="2229">
        <f>(3*4*50%*0.07)+(16*4*50%*0.065)+(154*4*50%*0.035)</f>
        <v>13.280000000000001</v>
      </c>
      <c r="O90" s="1182"/>
      <c r="P90" s="1183">
        <f t="shared" si="55"/>
        <v>29.880000000000003</v>
      </c>
    </row>
    <row r="91" spans="1:17">
      <c r="A91" s="1184"/>
      <c r="B91" s="1185"/>
      <c r="C91" s="2230"/>
      <c r="D91" s="2231"/>
      <c r="E91" s="2231"/>
      <c r="F91" s="2231"/>
      <c r="G91" s="2231"/>
      <c r="H91" s="2231"/>
      <c r="I91" s="2231"/>
      <c r="J91" s="2230"/>
      <c r="K91" s="2231"/>
      <c r="L91" s="2231"/>
      <c r="M91" s="2231"/>
      <c r="N91" s="2231"/>
    </row>
    <row r="92" spans="1:17" ht="18">
      <c r="B92" s="1185"/>
      <c r="C92" s="1185"/>
      <c r="E92" s="6128"/>
      <c r="F92" s="6128"/>
      <c r="G92" s="6128"/>
      <c r="H92" s="6128"/>
      <c r="I92" s="6128"/>
      <c r="J92" s="1185"/>
      <c r="L92" s="6128"/>
      <c r="M92" s="6128"/>
      <c r="N92" s="6128"/>
      <c r="O92" s="6128"/>
      <c r="P92" s="6128"/>
      <c r="Q92" s="1116"/>
    </row>
    <row r="93" spans="1:17" ht="17.399999999999999">
      <c r="B93" s="1185"/>
      <c r="C93" s="1185"/>
      <c r="E93" s="6121"/>
      <c r="F93" s="6121"/>
      <c r="G93" s="6121"/>
      <c r="H93" s="6121"/>
      <c r="I93" s="6121"/>
      <c r="J93" s="1185"/>
      <c r="L93" s="6121"/>
      <c r="M93" s="6121"/>
      <c r="N93" s="6121"/>
      <c r="O93" s="6121"/>
      <c r="P93" s="6121"/>
      <c r="Q93" s="1090"/>
    </row>
    <row r="94" spans="1:17" ht="17.399999999999999">
      <c r="E94" s="6121"/>
      <c r="F94" s="6121"/>
      <c r="G94" s="6121"/>
      <c r="H94" s="6121"/>
      <c r="I94" s="6121"/>
      <c r="L94" s="6121"/>
      <c r="M94" s="6121"/>
      <c r="N94" s="6121"/>
      <c r="O94" s="6121"/>
      <c r="P94" s="6121"/>
      <c r="Q94" s="1090"/>
    </row>
    <row r="95" spans="1:17" ht="18">
      <c r="E95" s="6127"/>
      <c r="F95" s="6127"/>
      <c r="G95" s="6127"/>
      <c r="H95" s="6127"/>
      <c r="I95" s="6127"/>
      <c r="L95" s="6127"/>
      <c r="M95" s="6127"/>
      <c r="N95" s="6127"/>
      <c r="O95" s="6127"/>
      <c r="P95" s="6127"/>
      <c r="Q95" s="1091"/>
    </row>
  </sheetData>
  <mergeCells count="31">
    <mergeCell ref="A1:B1"/>
    <mergeCell ref="H1:I1"/>
    <mergeCell ref="M1:N1"/>
    <mergeCell ref="O1:P1"/>
    <mergeCell ref="A3:P3"/>
    <mergeCell ref="E94:I94"/>
    <mergeCell ref="L94:P94"/>
    <mergeCell ref="E95:I95"/>
    <mergeCell ref="L95:P95"/>
    <mergeCell ref="K7:L8"/>
    <mergeCell ref="M7:N8"/>
    <mergeCell ref="O7:O9"/>
    <mergeCell ref="P7:P9"/>
    <mergeCell ref="E92:I92"/>
    <mergeCell ref="L92:P92"/>
    <mergeCell ref="D7:E8"/>
    <mergeCell ref="F7:G8"/>
    <mergeCell ref="H7:H9"/>
    <mergeCell ref="I7:I9"/>
    <mergeCell ref="J7:J9"/>
    <mergeCell ref="B6:B9"/>
    <mergeCell ref="A6:A9"/>
    <mergeCell ref="A4:N4"/>
    <mergeCell ref="E93:I93"/>
    <mergeCell ref="L93:P93"/>
    <mergeCell ref="C6:I6"/>
    <mergeCell ref="J6:P6"/>
    <mergeCell ref="C7:C9"/>
    <mergeCell ref="H5:I5"/>
    <mergeCell ref="M5:N5"/>
    <mergeCell ref="O5:P5"/>
  </mergeCells>
  <hyperlinks>
    <hyperlink ref="A6:A9" location="'Danh mục file'!A1" display="STT"/>
  </hyperlinks>
  <printOptions horizontalCentered="1"/>
  <pageMargins left="0" right="0" top="0.39370078740157483" bottom="0.39370078740157483" header="0" footer="0"/>
  <pageSetup paperSize="9" scale="80" orientation="landscape" r:id="rId1"/>
  <headerFooter>
    <oddHeader>&amp;R&amp;A</oddHeader>
    <oddFooter>&amp;C&amp;P/&amp;N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I50"/>
  <sheetViews>
    <sheetView workbookViewId="0">
      <selection activeCell="AG36" sqref="AG36"/>
    </sheetView>
  </sheetViews>
  <sheetFormatPr defaultColWidth="10.33203125" defaultRowHeight="18"/>
  <cols>
    <col min="1" max="1" width="6.5546875" style="381" bestFit="1" customWidth="1"/>
    <col min="2" max="2" width="84.44140625" style="381" customWidth="1"/>
    <col min="3" max="5" width="14.5546875" style="381" customWidth="1"/>
    <col min="6" max="6" width="13.88671875" style="381" hidden="1" customWidth="1"/>
    <col min="7" max="7" width="16.44140625" style="381" hidden="1" customWidth="1"/>
    <col min="8" max="8" width="15.33203125" style="381" hidden="1" customWidth="1"/>
    <col min="9" max="9" width="22.109375" style="381" hidden="1" customWidth="1"/>
    <col min="10" max="16384" width="10.33203125" style="381"/>
  </cols>
  <sheetData>
    <row r="1" spans="1:7" ht="45.75" customHeight="1">
      <c r="A1" s="6109" t="s">
        <v>1777</v>
      </c>
      <c r="B1" s="6497"/>
      <c r="C1" s="6497"/>
      <c r="D1" s="6497"/>
      <c r="E1" s="6497"/>
    </row>
    <row r="2" spans="1:7">
      <c r="A2" s="6512" t="str">
        <f>+'Phụ lục số 5'!A2:AJ2</f>
        <v>(Kèm theo Báo cáo số     462/BC-UBND ngày 22 tháng 11 năm 2024 của Ủy ban nhân dân tỉnh Đồng Tháp)</v>
      </c>
      <c r="B2" s="6498"/>
      <c r="C2" s="6498"/>
      <c r="D2" s="6498"/>
      <c r="E2" s="6498"/>
    </row>
    <row r="3" spans="1:7" ht="18.600000000000001" thickBot="1">
      <c r="E3" s="2565" t="s">
        <v>638</v>
      </c>
    </row>
    <row r="4" spans="1:7" s="431" customFormat="1" thickTop="1">
      <c r="A4" s="6567" t="s">
        <v>247</v>
      </c>
      <c r="B4" s="6519" t="s">
        <v>1123</v>
      </c>
      <c r="C4" s="6519" t="s">
        <v>1455</v>
      </c>
      <c r="D4" s="6519" t="s">
        <v>998</v>
      </c>
      <c r="E4" s="6576"/>
    </row>
    <row r="5" spans="1:7" s="431" customFormat="1" ht="34.799999999999997">
      <c r="A5" s="6568"/>
      <c r="B5" s="6044"/>
      <c r="C5" s="6044"/>
      <c r="D5" s="2566" t="s">
        <v>649</v>
      </c>
      <c r="E5" s="2567" t="s">
        <v>1622</v>
      </c>
    </row>
    <row r="6" spans="1:7">
      <c r="A6" s="2568"/>
      <c r="B6" s="2569" t="s">
        <v>1623</v>
      </c>
      <c r="C6" s="2570">
        <f>SUM(D6:E6)</f>
        <v>3036992</v>
      </c>
      <c r="D6" s="2570">
        <f>D7</f>
        <v>2530494</v>
      </c>
      <c r="E6" s="2571">
        <f>E7</f>
        <v>506498</v>
      </c>
      <c r="G6" s="2312">
        <f>D6-D18-D8</f>
        <v>2399255</v>
      </c>
    </row>
    <row r="7" spans="1:7">
      <c r="A7" s="2572" t="s">
        <v>3</v>
      </c>
      <c r="B7" s="2573" t="s">
        <v>1624</v>
      </c>
      <c r="C7" s="2574">
        <f>C11+C8</f>
        <v>3036992</v>
      </c>
      <c r="D7" s="2574">
        <f>D11+D8</f>
        <v>2530494</v>
      </c>
      <c r="E7" s="2575">
        <f>E11+E8</f>
        <v>506498</v>
      </c>
      <c r="G7" s="2312">
        <v>1681570</v>
      </c>
    </row>
    <row r="8" spans="1:7" s="2576" customFormat="1">
      <c r="A8" s="2572">
        <v>1</v>
      </c>
      <c r="B8" s="2573" t="s">
        <v>1625</v>
      </c>
      <c r="C8" s="2574">
        <f>D8+E8</f>
        <v>0</v>
      </c>
      <c r="D8" s="2574"/>
      <c r="E8" s="2575"/>
      <c r="G8" s="2577">
        <f>G6-G7</f>
        <v>717685</v>
      </c>
    </row>
    <row r="9" spans="1:7" hidden="1">
      <c r="A9" s="2572"/>
      <c r="B9" s="2578" t="s">
        <v>234</v>
      </c>
      <c r="C9" s="2574"/>
      <c r="D9" s="2574"/>
      <c r="E9" s="2575"/>
    </row>
    <row r="10" spans="1:7" ht="36" hidden="1">
      <c r="A10" s="2579"/>
      <c r="B10" s="2580" t="s">
        <v>1626</v>
      </c>
      <c r="C10" s="2574"/>
      <c r="D10" s="2574"/>
      <c r="E10" s="2575"/>
    </row>
    <row r="11" spans="1:7" s="2576" customFormat="1">
      <c r="A11" s="2581">
        <v>2</v>
      </c>
      <c r="B11" s="2573" t="s">
        <v>1627</v>
      </c>
      <c r="C11" s="2717">
        <f>C12+C18+C28</f>
        <v>3036992</v>
      </c>
      <c r="D11" s="2717">
        <f>D12+D18+D28</f>
        <v>2530494</v>
      </c>
      <c r="E11" s="2726">
        <f>E12+E18+E28</f>
        <v>506498</v>
      </c>
      <c r="F11" s="2577">
        <f>D11-D18</f>
        <v>2399255</v>
      </c>
    </row>
    <row r="12" spans="1:7" s="588" customFormat="1" ht="17.399999999999999">
      <c r="A12" s="2581" t="s">
        <v>204</v>
      </c>
      <c r="B12" s="2573" t="s">
        <v>1628</v>
      </c>
      <c r="C12" s="2717">
        <f>SUM(D12:E12)</f>
        <v>2399255</v>
      </c>
      <c r="D12" s="2717">
        <f>D14+D16+D17</f>
        <v>2399255</v>
      </c>
      <c r="E12" s="2726"/>
    </row>
    <row r="13" spans="1:7">
      <c r="A13" s="2582"/>
      <c r="B13" s="2583" t="s">
        <v>234</v>
      </c>
      <c r="C13" s="4768"/>
      <c r="D13" s="4768"/>
      <c r="E13" s="4769"/>
    </row>
    <row r="14" spans="1:7" ht="36" hidden="1">
      <c r="A14" s="2582" t="s">
        <v>1629</v>
      </c>
      <c r="B14" s="2583" t="s">
        <v>1630</v>
      </c>
      <c r="C14" s="4770">
        <f>D14+E14</f>
        <v>1504695</v>
      </c>
      <c r="D14" s="4770">
        <v>1504695</v>
      </c>
      <c r="E14" s="4771"/>
    </row>
    <row r="15" spans="1:7" ht="36" hidden="1">
      <c r="A15" s="2579"/>
      <c r="B15" s="2580" t="s">
        <v>1631</v>
      </c>
      <c r="C15" s="4772">
        <f t="shared" ref="C15:C17" si="0">D15+E15</f>
        <v>0</v>
      </c>
      <c r="D15" s="4773"/>
      <c r="E15" s="4771"/>
    </row>
    <row r="16" spans="1:7" hidden="1">
      <c r="A16" s="2582" t="s">
        <v>1632</v>
      </c>
      <c r="B16" s="2583" t="s">
        <v>1633</v>
      </c>
      <c r="C16" s="4770">
        <f t="shared" si="0"/>
        <v>894560</v>
      </c>
      <c r="D16" s="4770">
        <v>894560</v>
      </c>
      <c r="E16" s="4774"/>
    </row>
    <row r="17" spans="1:9" s="2576" customFormat="1" ht="36" hidden="1" customHeight="1">
      <c r="A17" s="2582" t="s">
        <v>1634</v>
      </c>
      <c r="B17" s="2583" t="s">
        <v>1635</v>
      </c>
      <c r="C17" s="2584">
        <f t="shared" si="0"/>
        <v>0</v>
      </c>
      <c r="D17" s="2584"/>
      <c r="E17" s="2585"/>
    </row>
    <row r="18" spans="1:9" ht="36" customHeight="1">
      <c r="A18" s="2581" t="s">
        <v>206</v>
      </c>
      <c r="B18" s="2573" t="s">
        <v>1636</v>
      </c>
      <c r="C18" s="2574">
        <f>C19+C25+C26</f>
        <v>167144</v>
      </c>
      <c r="D18" s="2574">
        <f>D19+D25+D26</f>
        <v>131239</v>
      </c>
      <c r="E18" s="2575">
        <f>E19+E25+E26</f>
        <v>35905</v>
      </c>
      <c r="G18" s="2587">
        <f>D18*1.2</f>
        <v>157486.79999999999</v>
      </c>
      <c r="I18" s="381">
        <f>D18*10%</f>
        <v>13123.900000000001</v>
      </c>
    </row>
    <row r="19" spans="1:9" s="47" customFormat="1" ht="36" customHeight="1">
      <c r="A19" s="2588" t="s">
        <v>1637</v>
      </c>
      <c r="B19" s="2589" t="s">
        <v>1638</v>
      </c>
      <c r="C19" s="2590">
        <f>SUM(D19:E19)</f>
        <v>3464</v>
      </c>
      <c r="D19" s="2590">
        <f>SUM(D20:D24)+3464</f>
        <v>3464</v>
      </c>
      <c r="E19" s="2591">
        <f>SUM(E20:E24)</f>
        <v>0</v>
      </c>
      <c r="G19" s="2592">
        <f>E19*10%</f>
        <v>0</v>
      </c>
      <c r="H19" s="2592">
        <f>D19*10%</f>
        <v>346.40000000000003</v>
      </c>
    </row>
    <row r="20" spans="1:9" s="47" customFormat="1" ht="36" hidden="1" customHeight="1">
      <c r="A20" s="2588" t="s">
        <v>99</v>
      </c>
      <c r="B20" s="2589" t="s">
        <v>1639</v>
      </c>
      <c r="C20" s="2590">
        <f>SUM(D20:E20)</f>
        <v>0</v>
      </c>
      <c r="D20" s="2590"/>
      <c r="E20" s="2591"/>
      <c r="G20" s="2592"/>
      <c r="H20" s="2592"/>
    </row>
    <row r="21" spans="1:9" s="47" customFormat="1" ht="36" hidden="1" customHeight="1">
      <c r="A21" s="2588" t="s">
        <v>101</v>
      </c>
      <c r="B21" s="2589" t="s">
        <v>1640</v>
      </c>
      <c r="C21" s="2590">
        <f t="shared" ref="C21:C26" si="1">SUM(D21:E21)</f>
        <v>0</v>
      </c>
      <c r="D21" s="2590"/>
      <c r="E21" s="2591">
        <v>0</v>
      </c>
      <c r="G21" s="2592"/>
      <c r="H21" s="2592"/>
    </row>
    <row r="22" spans="1:9" s="47" customFormat="1" ht="36" hidden="1" customHeight="1">
      <c r="A22" s="2588" t="s">
        <v>147</v>
      </c>
      <c r="B22" s="2589" t="s">
        <v>1641</v>
      </c>
      <c r="C22" s="2590">
        <f t="shared" si="1"/>
        <v>0</v>
      </c>
      <c r="D22" s="2590"/>
      <c r="E22" s="2591">
        <v>0</v>
      </c>
      <c r="G22" s="2592"/>
      <c r="H22" s="2592"/>
    </row>
    <row r="23" spans="1:9" s="47" customFormat="1" ht="36" hidden="1" customHeight="1">
      <c r="A23" s="2588" t="s">
        <v>148</v>
      </c>
      <c r="B23" s="2589" t="s">
        <v>1642</v>
      </c>
      <c r="C23" s="2590">
        <f t="shared" si="1"/>
        <v>0</v>
      </c>
      <c r="D23" s="2593"/>
      <c r="E23" s="2594">
        <v>0</v>
      </c>
      <c r="G23" s="2592"/>
      <c r="H23" s="2592"/>
    </row>
    <row r="24" spans="1:9" s="1649" customFormat="1" ht="36" hidden="1" customHeight="1">
      <c r="A24" s="2588" t="s">
        <v>149</v>
      </c>
      <c r="B24" s="2589" t="s">
        <v>1643</v>
      </c>
      <c r="C24" s="2590">
        <f t="shared" si="1"/>
        <v>0</v>
      </c>
      <c r="D24" s="2595"/>
      <c r="E24" s="2596">
        <v>0</v>
      </c>
      <c r="G24" s="2597"/>
      <c r="H24" s="2597"/>
    </row>
    <row r="25" spans="1:9" s="47" customFormat="1" ht="36" customHeight="1">
      <c r="A25" s="2588" t="s">
        <v>1644</v>
      </c>
      <c r="B25" s="2589" t="s">
        <v>1645</v>
      </c>
      <c r="C25" s="2590">
        <f t="shared" si="1"/>
        <v>163680</v>
      </c>
      <c r="D25" s="2593">
        <v>127775</v>
      </c>
      <c r="E25" s="2594">
        <v>35905</v>
      </c>
      <c r="F25" s="2598"/>
      <c r="G25" s="2592">
        <f>E25*1.5</f>
        <v>53857.5</v>
      </c>
      <c r="H25" s="2592">
        <f>D25*2</f>
        <v>255550</v>
      </c>
    </row>
    <row r="26" spans="1:9" ht="36" customHeight="1">
      <c r="A26" s="2582" t="s">
        <v>1646</v>
      </c>
      <c r="B26" s="2583" t="s">
        <v>1647</v>
      </c>
      <c r="C26" s="2584">
        <f t="shared" si="1"/>
        <v>0</v>
      </c>
      <c r="D26" s="2599">
        <v>0</v>
      </c>
      <c r="E26" s="2600">
        <v>0</v>
      </c>
      <c r="G26" s="2312">
        <f>G25+G19</f>
        <v>53857.5</v>
      </c>
      <c r="H26" s="2312">
        <f>H25+H19</f>
        <v>255896.4</v>
      </c>
      <c r="I26" s="426">
        <f>H26+G26</f>
        <v>309753.90000000002</v>
      </c>
    </row>
    <row r="27" spans="1:9" s="873" customFormat="1" ht="36" hidden="1" customHeight="1">
      <c r="A27" s="2601"/>
      <c r="B27" s="2580"/>
      <c r="C27" s="2602">
        <f>SUM(D27:E27)</f>
        <v>0</v>
      </c>
      <c r="D27" s="2602"/>
      <c r="E27" s="2603"/>
    </row>
    <row r="28" spans="1:9" s="596" customFormat="1" ht="36" customHeight="1">
      <c r="A28" s="2572" t="s">
        <v>33</v>
      </c>
      <c r="B28" s="2573" t="s">
        <v>3115</v>
      </c>
      <c r="C28" s="4762">
        <f t="shared" ref="C28:D28" si="2">SUM(C29:C37)</f>
        <v>470593</v>
      </c>
      <c r="D28" s="4762">
        <f t="shared" si="2"/>
        <v>0</v>
      </c>
      <c r="E28" s="4761">
        <f>SUM(E29:E37)</f>
        <v>470593</v>
      </c>
    </row>
    <row r="29" spans="1:9" s="596" customFormat="1" ht="36" customHeight="1">
      <c r="A29" s="2604">
        <v>1</v>
      </c>
      <c r="B29" s="2583" t="s">
        <v>3114</v>
      </c>
      <c r="C29" s="2605">
        <f t="shared" ref="C29:C37" si="3">SUM(D29:E29)</f>
        <v>500</v>
      </c>
      <c r="D29" s="2574"/>
      <c r="E29" s="2586">
        <v>500</v>
      </c>
    </row>
    <row r="30" spans="1:9" s="596" customFormat="1" ht="36" customHeight="1">
      <c r="A30" s="2604">
        <v>2</v>
      </c>
      <c r="B30" s="2583" t="s">
        <v>3116</v>
      </c>
      <c r="C30" s="2605">
        <f t="shared" si="3"/>
        <v>160</v>
      </c>
      <c r="D30" s="2574"/>
      <c r="E30" s="2586">
        <v>160</v>
      </c>
    </row>
    <row r="31" spans="1:9" s="380" customFormat="1" ht="36" customHeight="1">
      <c r="A31" s="2604">
        <v>3</v>
      </c>
      <c r="B31" s="2583" t="s">
        <v>1648</v>
      </c>
      <c r="C31" s="2605">
        <f t="shared" si="3"/>
        <v>11626</v>
      </c>
      <c r="D31" s="2605"/>
      <c r="E31" s="2606">
        <v>11626</v>
      </c>
    </row>
    <row r="32" spans="1:9" s="596" customFormat="1" ht="36" customHeight="1">
      <c r="A32" s="2604">
        <v>4</v>
      </c>
      <c r="B32" s="2583" t="s">
        <v>3117</v>
      </c>
      <c r="C32" s="2605">
        <f t="shared" si="3"/>
        <v>284586</v>
      </c>
      <c r="D32" s="2605"/>
      <c r="E32" s="2606">
        <v>284586</v>
      </c>
    </row>
    <row r="33" spans="1:9" s="2607" customFormat="1" ht="36" customHeight="1">
      <c r="A33" s="2604">
        <v>5</v>
      </c>
      <c r="B33" s="2583" t="s">
        <v>3209</v>
      </c>
      <c r="C33" s="2605">
        <f t="shared" si="3"/>
        <v>96890</v>
      </c>
      <c r="D33" s="2605"/>
      <c r="E33" s="2606">
        <v>96890</v>
      </c>
    </row>
    <row r="34" spans="1:9" s="596" customFormat="1" ht="36" customHeight="1">
      <c r="A34" s="2604">
        <v>2</v>
      </c>
      <c r="B34" s="2583" t="s">
        <v>1649</v>
      </c>
      <c r="C34" s="2605">
        <f t="shared" si="3"/>
        <v>2060</v>
      </c>
      <c r="D34" s="2605"/>
      <c r="E34" s="2606">
        <v>2060</v>
      </c>
    </row>
    <row r="35" spans="1:9" s="596" customFormat="1" ht="36" customHeight="1">
      <c r="A35" s="2604">
        <v>3</v>
      </c>
      <c r="B35" s="2583" t="s">
        <v>1650</v>
      </c>
      <c r="C35" s="2605">
        <f t="shared" si="3"/>
        <v>3320</v>
      </c>
      <c r="D35" s="2605"/>
      <c r="E35" s="2606">
        <v>3320</v>
      </c>
    </row>
    <row r="36" spans="1:9" s="596" customFormat="1" ht="36" customHeight="1">
      <c r="A36" s="2604">
        <v>4</v>
      </c>
      <c r="B36" s="2583" t="s">
        <v>1651</v>
      </c>
      <c r="C36" s="609">
        <f t="shared" si="3"/>
        <v>12797</v>
      </c>
      <c r="D36" s="609"/>
      <c r="E36" s="2608">
        <v>12797</v>
      </c>
      <c r="I36" s="2587">
        <f>42392489257</f>
        <v>42392489257</v>
      </c>
    </row>
    <row r="37" spans="1:9" s="596" customFormat="1" ht="36" customHeight="1" thickBot="1">
      <c r="A37" s="2609">
        <v>5</v>
      </c>
      <c r="B37" s="2610" t="s">
        <v>1652</v>
      </c>
      <c r="C37" s="2611">
        <f t="shared" si="3"/>
        <v>58654</v>
      </c>
      <c r="D37" s="2611"/>
      <c r="E37" s="2612">
        <v>58654</v>
      </c>
      <c r="I37" s="2587">
        <f>I36*21%</f>
        <v>8902422743.9699993</v>
      </c>
    </row>
    <row r="38" spans="1:9" ht="18.600000000000001" thickTop="1">
      <c r="C38" s="2307"/>
      <c r="I38" s="426">
        <f>I36*16.8%</f>
        <v>7121938195.1760006</v>
      </c>
    </row>
    <row r="39" spans="1:9">
      <c r="B39" s="381" t="s">
        <v>1717</v>
      </c>
      <c r="I39" s="426">
        <f>I36*15%</f>
        <v>6358873388.5500002</v>
      </c>
    </row>
    <row r="40" spans="1:9">
      <c r="H40" s="667"/>
    </row>
    <row r="42" spans="1:9">
      <c r="E42" s="667"/>
    </row>
    <row r="47" spans="1:9" hidden="1"/>
    <row r="48" spans="1:9">
      <c r="D48" s="381" t="s">
        <v>3244</v>
      </c>
      <c r="E48" s="667">
        <f>+E32</f>
        <v>284586</v>
      </c>
    </row>
    <row r="49" spans="4:5">
      <c r="D49" s="381" t="s">
        <v>3245</v>
      </c>
      <c r="E49" s="381">
        <v>114316</v>
      </c>
    </row>
    <row r="50" spans="4:5">
      <c r="E50" s="667">
        <f>+E48-E49</f>
        <v>170270</v>
      </c>
    </row>
  </sheetData>
  <mergeCells count="6">
    <mergeCell ref="A1:E1"/>
    <mergeCell ref="A2:E2"/>
    <mergeCell ref="A4:A5"/>
    <mergeCell ref="B4:B5"/>
    <mergeCell ref="C4:C5"/>
    <mergeCell ref="D4:E4"/>
  </mergeCells>
  <hyperlinks>
    <hyperlink ref="A4:A5" location="'Danh mục file'!A1" display="STT"/>
  </hyperlinks>
  <printOptions horizontalCentered="1"/>
  <pageMargins left="0" right="0" top="0.39370078740157483" bottom="0.19685039370078741"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AO53"/>
  <sheetViews>
    <sheetView workbookViewId="0">
      <pane xSplit="4" ySplit="8" topLeftCell="E9" activePane="bottomRight" state="frozen"/>
      <selection activeCell="AG36" sqref="AG36"/>
      <selection pane="topRight" activeCell="AG36" sqref="AG36"/>
      <selection pane="bottomLeft" activeCell="AG36" sqref="AG36"/>
      <selection pane="bottomRight" activeCell="AG36" sqref="AG36"/>
    </sheetView>
  </sheetViews>
  <sheetFormatPr defaultColWidth="12.109375" defaultRowHeight="18"/>
  <cols>
    <col min="1" max="1" width="5.6640625" style="684" customWidth="1"/>
    <col min="2" max="2" width="45.6640625" style="667" customWidth="1"/>
    <col min="3" max="23" width="8.88671875" style="667" customWidth="1"/>
    <col min="24" max="41" width="10.33203125" style="667" customWidth="1"/>
    <col min="42" max="16384" width="12.109375" style="667"/>
  </cols>
  <sheetData>
    <row r="1" spans="1:41">
      <c r="B1" s="685"/>
      <c r="C1" s="6335" t="s">
        <v>1845</v>
      </c>
      <c r="D1" s="6335"/>
      <c r="E1" s="6335"/>
      <c r="F1" s="6335"/>
      <c r="G1" s="6335"/>
      <c r="H1" s="6335"/>
      <c r="I1" s="6335"/>
      <c r="J1" s="6335"/>
      <c r="K1" s="6335"/>
      <c r="L1" s="6335"/>
      <c r="M1" s="6335"/>
      <c r="N1" s="6335"/>
      <c r="O1" s="6335"/>
      <c r="P1" s="6335"/>
      <c r="Q1" s="6335"/>
      <c r="R1" s="6335"/>
      <c r="S1" s="6335"/>
      <c r="T1" s="6335"/>
      <c r="U1" s="6335"/>
      <c r="V1" s="6335"/>
      <c r="W1" s="6335"/>
      <c r="X1" s="6335" t="str">
        <f>+C1</f>
        <v>DỰ TOÁN THU NSNN NĂM 2025 TRÊN ĐỊA BÀN HUYỆN, THÀNH PHỐ</v>
      </c>
      <c r="Y1" s="6335"/>
      <c r="Z1" s="6335"/>
      <c r="AA1" s="6335"/>
      <c r="AB1" s="6335"/>
      <c r="AC1" s="6335"/>
      <c r="AD1" s="6335"/>
      <c r="AE1" s="6335"/>
      <c r="AF1" s="6335"/>
      <c r="AG1" s="6335"/>
      <c r="AH1" s="6335"/>
      <c r="AI1" s="6335"/>
      <c r="AJ1" s="6335"/>
      <c r="AK1" s="6335"/>
      <c r="AL1" s="6335"/>
      <c r="AM1" s="6335"/>
      <c r="AN1" s="6335"/>
      <c r="AO1" s="6335"/>
    </row>
    <row r="2" spans="1:41">
      <c r="A2" s="688"/>
      <c r="B2" s="688"/>
      <c r="C2" s="6325" t="s">
        <v>3278</v>
      </c>
      <c r="D2" s="6325"/>
      <c r="E2" s="6325"/>
      <c r="F2" s="6325"/>
      <c r="G2" s="6325"/>
      <c r="H2" s="6325"/>
      <c r="I2" s="6325"/>
      <c r="J2" s="6325"/>
      <c r="K2" s="6325"/>
      <c r="L2" s="6325"/>
      <c r="M2" s="6325"/>
      <c r="N2" s="6325"/>
      <c r="O2" s="6325"/>
      <c r="P2" s="6325"/>
      <c r="Q2" s="6325"/>
      <c r="R2" s="6325"/>
      <c r="S2" s="6325"/>
      <c r="T2" s="6325"/>
      <c r="U2" s="6325"/>
      <c r="V2" s="6325"/>
      <c r="W2" s="6325"/>
      <c r="X2" s="6325" t="str">
        <f>+C2</f>
        <v>(Kèm theo Báo cáo số   462 /BC-UBND ngày   22   tháng 11 năm 2024 của Ủy ban nhân dân tỉnh Đồng Tháp)</v>
      </c>
      <c r="Y2" s="6325"/>
      <c r="Z2" s="6325"/>
      <c r="AA2" s="6325"/>
      <c r="AB2" s="6325"/>
      <c r="AC2" s="6325"/>
      <c r="AD2" s="6325"/>
      <c r="AE2" s="6325"/>
      <c r="AF2" s="6325"/>
      <c r="AG2" s="6325"/>
      <c r="AH2" s="6325"/>
      <c r="AI2" s="6325"/>
      <c r="AJ2" s="6325"/>
      <c r="AK2" s="6325"/>
      <c r="AL2" s="6325"/>
      <c r="AM2" s="6325"/>
      <c r="AN2" s="6325"/>
      <c r="AO2" s="6325"/>
    </row>
    <row r="3" spans="1:41">
      <c r="D3" s="689"/>
      <c r="E3" s="689"/>
      <c r="F3" s="435"/>
      <c r="T3" s="685"/>
    </row>
    <row r="4" spans="1:41" ht="18.600000000000001" thickBot="1">
      <c r="D4" s="689"/>
      <c r="E4" s="689"/>
      <c r="F4" s="435"/>
      <c r="T4" s="685"/>
      <c r="U4" s="6305" t="s">
        <v>246</v>
      </c>
      <c r="V4" s="6305"/>
      <c r="W4" s="6305"/>
      <c r="AL4" s="685"/>
      <c r="AM4" s="6335" t="s">
        <v>246</v>
      </c>
      <c r="AN4" s="6335"/>
      <c r="AO4" s="6335"/>
    </row>
    <row r="5" spans="1:41" ht="24.75" customHeight="1" thickTop="1">
      <c r="A5" s="6627" t="s">
        <v>247</v>
      </c>
      <c r="B5" s="6629" t="s">
        <v>767</v>
      </c>
      <c r="C5" s="6631" t="s">
        <v>651</v>
      </c>
      <c r="D5" s="6631"/>
      <c r="E5" s="6631"/>
      <c r="F5" s="6625" t="s">
        <v>768</v>
      </c>
      <c r="G5" s="6625"/>
      <c r="H5" s="6625"/>
      <c r="I5" s="6625" t="s">
        <v>769</v>
      </c>
      <c r="J5" s="6625"/>
      <c r="K5" s="6625"/>
      <c r="L5" s="6625" t="s">
        <v>770</v>
      </c>
      <c r="M5" s="6625"/>
      <c r="N5" s="6625"/>
      <c r="O5" s="6625" t="s">
        <v>771</v>
      </c>
      <c r="P5" s="6625"/>
      <c r="Q5" s="6625"/>
      <c r="R5" s="6625" t="s">
        <v>772</v>
      </c>
      <c r="S5" s="6625"/>
      <c r="T5" s="6625"/>
      <c r="U5" s="6625" t="s">
        <v>773</v>
      </c>
      <c r="V5" s="6625"/>
      <c r="W5" s="6625"/>
      <c r="X5" s="6625" t="s">
        <v>774</v>
      </c>
      <c r="Y5" s="6625"/>
      <c r="Z5" s="6625"/>
      <c r="AA5" s="6625" t="s">
        <v>775</v>
      </c>
      <c r="AB5" s="6625"/>
      <c r="AC5" s="6625"/>
      <c r="AD5" s="6625" t="s">
        <v>776</v>
      </c>
      <c r="AE5" s="6625"/>
      <c r="AF5" s="6625"/>
      <c r="AG5" s="6625" t="s">
        <v>777</v>
      </c>
      <c r="AH5" s="6625"/>
      <c r="AI5" s="6625"/>
      <c r="AJ5" s="6625" t="s">
        <v>778</v>
      </c>
      <c r="AK5" s="6625"/>
      <c r="AL5" s="6625"/>
      <c r="AM5" s="6625" t="s">
        <v>779</v>
      </c>
      <c r="AN5" s="6625"/>
      <c r="AO5" s="6626"/>
    </row>
    <row r="6" spans="1:41" s="692" customFormat="1" ht="27.75" customHeight="1">
      <c r="A6" s="6628"/>
      <c r="B6" s="6630"/>
      <c r="C6" s="691" t="s">
        <v>780</v>
      </c>
      <c r="D6" s="691" t="s">
        <v>781</v>
      </c>
      <c r="E6" s="691" t="s">
        <v>782</v>
      </c>
      <c r="F6" s="691" t="s">
        <v>780</v>
      </c>
      <c r="G6" s="691" t="s">
        <v>781</v>
      </c>
      <c r="H6" s="691" t="s">
        <v>782</v>
      </c>
      <c r="I6" s="691" t="s">
        <v>780</v>
      </c>
      <c r="J6" s="691" t="s">
        <v>781</v>
      </c>
      <c r="K6" s="691" t="s">
        <v>782</v>
      </c>
      <c r="L6" s="691" t="s">
        <v>780</v>
      </c>
      <c r="M6" s="691" t="s">
        <v>781</v>
      </c>
      <c r="N6" s="691" t="s">
        <v>782</v>
      </c>
      <c r="O6" s="691" t="s">
        <v>780</v>
      </c>
      <c r="P6" s="691" t="s">
        <v>781</v>
      </c>
      <c r="Q6" s="691" t="s">
        <v>782</v>
      </c>
      <c r="R6" s="691" t="s">
        <v>780</v>
      </c>
      <c r="S6" s="691" t="s">
        <v>781</v>
      </c>
      <c r="T6" s="691" t="s">
        <v>782</v>
      </c>
      <c r="U6" s="691" t="s">
        <v>780</v>
      </c>
      <c r="V6" s="691" t="s">
        <v>781</v>
      </c>
      <c r="W6" s="691" t="s">
        <v>782</v>
      </c>
      <c r="X6" s="691" t="s">
        <v>780</v>
      </c>
      <c r="Y6" s="691" t="s">
        <v>781</v>
      </c>
      <c r="Z6" s="691" t="s">
        <v>782</v>
      </c>
      <c r="AA6" s="691" t="s">
        <v>780</v>
      </c>
      <c r="AB6" s="691" t="s">
        <v>781</v>
      </c>
      <c r="AC6" s="691" t="s">
        <v>782</v>
      </c>
      <c r="AD6" s="691" t="s">
        <v>780</v>
      </c>
      <c r="AE6" s="691" t="s">
        <v>781</v>
      </c>
      <c r="AF6" s="691" t="s">
        <v>782</v>
      </c>
      <c r="AG6" s="691" t="s">
        <v>780</v>
      </c>
      <c r="AH6" s="691" t="s">
        <v>781</v>
      </c>
      <c r="AI6" s="691" t="s">
        <v>782</v>
      </c>
      <c r="AJ6" s="691" t="s">
        <v>780</v>
      </c>
      <c r="AK6" s="691" t="s">
        <v>781</v>
      </c>
      <c r="AL6" s="691" t="s">
        <v>782</v>
      </c>
      <c r="AM6" s="691" t="s">
        <v>780</v>
      </c>
      <c r="AN6" s="691" t="s">
        <v>781</v>
      </c>
      <c r="AO6" s="5932" t="s">
        <v>782</v>
      </c>
    </row>
    <row r="7" spans="1:41" s="696" customFormat="1">
      <c r="A7" s="5023" t="s">
        <v>3</v>
      </c>
      <c r="B7" s="694" t="s">
        <v>783</v>
      </c>
      <c r="C7" s="695">
        <f>SUM(C9,C15,C18,C19,C20,C21,C25,C28,C31,C35)</f>
        <v>4493400</v>
      </c>
      <c r="D7" s="695"/>
      <c r="E7" s="695">
        <f>SUM(E9,E15,E18,E19,E20,E21,E25,E28,E31,E35)</f>
        <v>3732300</v>
      </c>
      <c r="F7" s="695">
        <f>SUM(F9,F15,F18,F19,F20,F21,F25,F28,F31,F35)</f>
        <v>156150</v>
      </c>
      <c r="G7" s="695"/>
      <c r="H7" s="695">
        <f>SUM(H9,H15,H18,H19,H20,H21,H25,H28,H31,H35)</f>
        <v>134750</v>
      </c>
      <c r="I7" s="695">
        <f>SUM(I9,I15,I18,I19,I20,I21,I25,I28,I31,I35)</f>
        <v>392350</v>
      </c>
      <c r="J7" s="695"/>
      <c r="K7" s="695">
        <f>SUM(K9,K15,K18,K19,K20,K21,K25,K28,K31,K35)</f>
        <v>353410</v>
      </c>
      <c r="L7" s="695">
        <f>SUM(L9,L15,L18,L19,L20,L21,L25,L28,L31,L35)</f>
        <v>104800</v>
      </c>
      <c r="M7" s="695"/>
      <c r="N7" s="695">
        <f>SUM(N9,N15,N18,N19,N20,N21,N25,N28,N31,N35)</f>
        <v>98950</v>
      </c>
      <c r="O7" s="695">
        <f>SUM(O9,O15,O18,O19,O20,O21,O25,O28,O31,O35)</f>
        <v>155200</v>
      </c>
      <c r="P7" s="695"/>
      <c r="Q7" s="695">
        <f>SUM(Q9,Q15,Q18,Q19,Q20,Q21,Q25,Q28,Q31,Q35)</f>
        <v>137300</v>
      </c>
      <c r="R7" s="695">
        <f>SUM(R9,R15,R18,R19,R20,R21,R25,R28,R31,R35)</f>
        <v>196200</v>
      </c>
      <c r="S7" s="695"/>
      <c r="T7" s="695">
        <f>SUM(T9,T15,T18,T19,T20,T21,T25,T28,T31,T35)</f>
        <v>180900</v>
      </c>
      <c r="U7" s="695">
        <f>SUM(U9,U15,U18,U19,U20,U21,U25,U28,U31,U35)</f>
        <v>1501500</v>
      </c>
      <c r="V7" s="695"/>
      <c r="W7" s="695">
        <f>SUM(W9,W15,W18,W19,W20,W21,W25,W28,W31,W35)</f>
        <v>1200500</v>
      </c>
      <c r="X7" s="695">
        <f>SUM(X9,X15,X18,X19,X20,X21,X25,X28,X31,X35)</f>
        <v>266950</v>
      </c>
      <c r="Y7" s="695"/>
      <c r="Z7" s="695">
        <f>SUM(Z9,Z15,Z18,Z19,Z20,Z21,Z25,Z28,Z31,Z35)</f>
        <v>243800</v>
      </c>
      <c r="AA7" s="695">
        <f>SUM(AA9,AA15,AA18,AA19,AA20,AA21,AA25,AA28,AA31,AA35)</f>
        <v>278300</v>
      </c>
      <c r="AB7" s="695"/>
      <c r="AC7" s="695">
        <f>SUM(AC9,AC15,AC18,AC19,AC20,AC21,AC25,AC28,AC31,AC35)</f>
        <v>258700</v>
      </c>
      <c r="AD7" s="695">
        <f>SUM(AD9,AD15,AD18,AD19,AD20,AD21,AD25,AD28,AD31,AD35)</f>
        <v>276200</v>
      </c>
      <c r="AE7" s="695"/>
      <c r="AF7" s="695">
        <f>SUM(AF9,AF15,AF18,AF19,AF20,AF21,AF25,AF28,AF31,AF35)</f>
        <v>256900</v>
      </c>
      <c r="AG7" s="695">
        <f>SUM(AG9,AG15,AG18,AG19,AG20,AG21,AG25,AG28,AG31,AG35)</f>
        <v>221700</v>
      </c>
      <c r="AH7" s="695"/>
      <c r="AI7" s="695">
        <f>SUM(AI9,AI15,AI18,AI19,AI20,AI21,AI25,AI28,AI31,AI35)</f>
        <v>207080</v>
      </c>
      <c r="AJ7" s="695">
        <f>SUM(AJ9,AJ15,AJ18,AJ19,AJ20,AJ21,AJ25,AJ28,AJ31,AJ35)</f>
        <v>707000</v>
      </c>
      <c r="AK7" s="695"/>
      <c r="AL7" s="695">
        <f>SUM(AL9,AL15,AL18,AL19,AL20,AL21,AL25,AL28,AL31,AL35)</f>
        <v>439400</v>
      </c>
      <c r="AM7" s="695">
        <f>SUM(AM9,AM15,AM18,AM19,AM20,AM21,AM25,AM28,AM31,AM35)</f>
        <v>237050</v>
      </c>
      <c r="AN7" s="695"/>
      <c r="AO7" s="5933">
        <f>SUM(AO9,AO15,AO18,AO19,AO20,AO21,AO25,AO28,AO31,AO35)</f>
        <v>220610</v>
      </c>
    </row>
    <row r="8" spans="1:41" s="699" customFormat="1">
      <c r="A8" s="5025"/>
      <c r="B8" s="697" t="s">
        <v>784</v>
      </c>
      <c r="C8" s="698">
        <f>C7-C28</f>
        <v>2893400</v>
      </c>
      <c r="D8" s="698">
        <f t="shared" ref="D8:AO8" si="0">D7-D28</f>
        <v>0</v>
      </c>
      <c r="E8" s="698">
        <f t="shared" si="0"/>
        <v>2638800</v>
      </c>
      <c r="F8" s="698">
        <f t="shared" si="0"/>
        <v>96150</v>
      </c>
      <c r="G8" s="698">
        <f t="shared" si="0"/>
        <v>0</v>
      </c>
      <c r="H8" s="698">
        <f t="shared" si="0"/>
        <v>80750</v>
      </c>
      <c r="I8" s="698">
        <f t="shared" si="0"/>
        <v>102350</v>
      </c>
      <c r="J8" s="698">
        <f t="shared" si="0"/>
        <v>0</v>
      </c>
      <c r="K8" s="698">
        <f t="shared" si="0"/>
        <v>92410</v>
      </c>
      <c r="L8" s="698">
        <f t="shared" si="0"/>
        <v>74800</v>
      </c>
      <c r="M8" s="698">
        <f t="shared" si="0"/>
        <v>0</v>
      </c>
      <c r="N8" s="698">
        <f t="shared" si="0"/>
        <v>71950</v>
      </c>
      <c r="O8" s="698">
        <f t="shared" si="0"/>
        <v>95200</v>
      </c>
      <c r="P8" s="698">
        <f t="shared" si="0"/>
        <v>0</v>
      </c>
      <c r="Q8" s="698">
        <f t="shared" si="0"/>
        <v>83300</v>
      </c>
      <c r="R8" s="698">
        <f t="shared" si="0"/>
        <v>146200</v>
      </c>
      <c r="S8" s="698">
        <f t="shared" si="0"/>
        <v>0</v>
      </c>
      <c r="T8" s="698">
        <f t="shared" si="0"/>
        <v>135900</v>
      </c>
      <c r="U8" s="698">
        <f t="shared" si="0"/>
        <v>1191500</v>
      </c>
      <c r="V8" s="698">
        <f t="shared" si="0"/>
        <v>0</v>
      </c>
      <c r="W8" s="698">
        <f t="shared" si="0"/>
        <v>1056500</v>
      </c>
      <c r="X8" s="698">
        <f t="shared" si="0"/>
        <v>191950</v>
      </c>
      <c r="Y8" s="698">
        <f t="shared" si="0"/>
        <v>0</v>
      </c>
      <c r="Z8" s="698">
        <f t="shared" si="0"/>
        <v>176300</v>
      </c>
      <c r="AA8" s="698">
        <f t="shared" si="0"/>
        <v>178300</v>
      </c>
      <c r="AB8" s="698">
        <f t="shared" si="0"/>
        <v>0</v>
      </c>
      <c r="AC8" s="698">
        <f t="shared" si="0"/>
        <v>168700</v>
      </c>
      <c r="AD8" s="698">
        <f t="shared" si="0"/>
        <v>216200</v>
      </c>
      <c r="AE8" s="698">
        <f t="shared" si="0"/>
        <v>0</v>
      </c>
      <c r="AF8" s="698">
        <f t="shared" si="0"/>
        <v>202900</v>
      </c>
      <c r="AG8" s="698">
        <f t="shared" si="0"/>
        <v>151700</v>
      </c>
      <c r="AH8" s="698">
        <f t="shared" si="0"/>
        <v>0</v>
      </c>
      <c r="AI8" s="698">
        <f t="shared" si="0"/>
        <v>144080</v>
      </c>
      <c r="AJ8" s="698">
        <f t="shared" si="0"/>
        <v>312000</v>
      </c>
      <c r="AK8" s="698">
        <f t="shared" si="0"/>
        <v>0</v>
      </c>
      <c r="AL8" s="698">
        <f t="shared" si="0"/>
        <v>295400</v>
      </c>
      <c r="AM8" s="698">
        <f t="shared" si="0"/>
        <v>137050</v>
      </c>
      <c r="AN8" s="698">
        <f t="shared" si="0"/>
        <v>0</v>
      </c>
      <c r="AO8" s="5934">
        <f t="shared" si="0"/>
        <v>130610</v>
      </c>
    </row>
    <row r="9" spans="1:41" s="696" customFormat="1">
      <c r="A9" s="5027">
        <v>1</v>
      </c>
      <c r="B9" s="701" t="s">
        <v>785</v>
      </c>
      <c r="C9" s="702">
        <f>SUM(F9,L9,O9,R9,U9,X9,AA9,AD9,AG9,AJ9,AM9,I9)</f>
        <v>1550000</v>
      </c>
      <c r="D9" s="702"/>
      <c r="E9" s="702">
        <f>SUM(H9,N9,Q9,T9,W9,Z9,AC9,AF9,AI9,AL9,AO9,K9)</f>
        <v>1477000</v>
      </c>
      <c r="F9" s="702">
        <f>SUM(F10:F14)</f>
        <v>31500</v>
      </c>
      <c r="G9" s="702"/>
      <c r="H9" s="702">
        <f>SUM(H10:H14)</f>
        <v>21600</v>
      </c>
      <c r="I9" s="702">
        <f>SUM(I10:I14)</f>
        <v>35000</v>
      </c>
      <c r="J9" s="702"/>
      <c r="K9" s="702">
        <f>SUM(K10:K14)</f>
        <v>34660</v>
      </c>
      <c r="L9" s="702">
        <f>SUM(L10:L14)</f>
        <v>32000</v>
      </c>
      <c r="M9" s="702"/>
      <c r="N9" s="702">
        <f>SUM(N10:N14)</f>
        <v>31900</v>
      </c>
      <c r="O9" s="702">
        <f>SUM(O10:O14)</f>
        <v>30500</v>
      </c>
      <c r="P9" s="702"/>
      <c r="Q9" s="702">
        <f>SUM(Q10:Q14)</f>
        <v>29800</v>
      </c>
      <c r="R9" s="702">
        <f>SUM(R10:R14)</f>
        <v>67000</v>
      </c>
      <c r="S9" s="702"/>
      <c r="T9" s="702">
        <f>SUM(T10:T14)</f>
        <v>66600</v>
      </c>
      <c r="U9" s="702">
        <f>SUM(U10:U14)</f>
        <v>780000</v>
      </c>
      <c r="V9" s="702"/>
      <c r="W9" s="702">
        <f>SUM(W10:W14)</f>
        <v>728200</v>
      </c>
      <c r="X9" s="702">
        <f>SUM(X10:X14)</f>
        <v>80000</v>
      </c>
      <c r="Y9" s="702"/>
      <c r="Z9" s="702">
        <f>SUM(Z10:Z14)</f>
        <v>77200</v>
      </c>
      <c r="AA9" s="702">
        <f>SUM(AA10:AA14)</f>
        <v>83000</v>
      </c>
      <c r="AB9" s="702"/>
      <c r="AC9" s="702">
        <f>SUM(AC10:AC14)</f>
        <v>82150</v>
      </c>
      <c r="AD9" s="702">
        <f>SUM(AD10:AD14)</f>
        <v>117000</v>
      </c>
      <c r="AE9" s="702"/>
      <c r="AF9" s="702">
        <f>SUM(AF10:AF14)</f>
        <v>113700</v>
      </c>
      <c r="AG9" s="702">
        <f>SUM(AG10:AG14)</f>
        <v>65000</v>
      </c>
      <c r="AH9" s="702"/>
      <c r="AI9" s="702">
        <f>SUM(AI10:AI14)</f>
        <v>63380</v>
      </c>
      <c r="AJ9" s="702">
        <f>SUM(AJ10:AJ14)</f>
        <v>163000</v>
      </c>
      <c r="AK9" s="702"/>
      <c r="AL9" s="702">
        <f>SUM(AL10:AL14)</f>
        <v>162100</v>
      </c>
      <c r="AM9" s="702">
        <f>SUM(AM10:AM14)</f>
        <v>66000</v>
      </c>
      <c r="AN9" s="702"/>
      <c r="AO9" s="5935">
        <f>SUM(AO10:AO14)</f>
        <v>65710</v>
      </c>
    </row>
    <row r="10" spans="1:41">
      <c r="A10" s="5029" t="s">
        <v>29</v>
      </c>
      <c r="B10" s="704" t="s">
        <v>786</v>
      </c>
      <c r="C10" s="705">
        <f>SUM(F10,L10,O10,R10,U10,X10,AA10,AD10,AG10,AJ10,AM10,I10)</f>
        <v>757000</v>
      </c>
      <c r="D10" s="705">
        <f t="shared" ref="D10:D20" si="1">IF(E10=0,"",E10/C10*100)</f>
        <v>100</v>
      </c>
      <c r="E10" s="705">
        <f t="shared" ref="E10:E20" si="2">SUM(H10,N10,Q10,T10,W10,Z10,AC10,AF10,AI10,AL10,AO10,K10)</f>
        <v>757000</v>
      </c>
      <c r="F10" s="5097">
        <f>+'Phụ lục số 7.1'!U12</f>
        <v>17000</v>
      </c>
      <c r="G10" s="706">
        <v>100</v>
      </c>
      <c r="H10" s="705">
        <f t="shared" ref="H10:H34" si="3">F10*G10/100</f>
        <v>17000</v>
      </c>
      <c r="I10" s="705">
        <f>+'Phụ lục số 7.1'!AG12</f>
        <v>23660</v>
      </c>
      <c r="J10" s="705">
        <v>100</v>
      </c>
      <c r="K10" s="705">
        <f t="shared" ref="K10:K20" si="4">I10*J10/100</f>
        <v>23660</v>
      </c>
      <c r="L10" s="705">
        <f>+'Phụ lục số 7.1'!AS12</f>
        <v>30500</v>
      </c>
      <c r="M10" s="705">
        <v>100</v>
      </c>
      <c r="N10" s="705">
        <f t="shared" ref="N10:N20" si="5">L10*M10/100</f>
        <v>30500</v>
      </c>
      <c r="O10" s="705">
        <f>+'Phụ lục số 7.1'!BE12</f>
        <v>21800</v>
      </c>
      <c r="P10" s="705">
        <v>100</v>
      </c>
      <c r="Q10" s="705">
        <f t="shared" ref="Q10:Q20" si="6">O10*P10/100</f>
        <v>21800</v>
      </c>
      <c r="R10" s="705">
        <f>+'Phụ lục số 7.1'!BQ12</f>
        <v>19700</v>
      </c>
      <c r="S10" s="705">
        <v>100</v>
      </c>
      <c r="T10" s="705">
        <f t="shared" ref="T10:T20" si="7">R10*S10/100</f>
        <v>19700</v>
      </c>
      <c r="U10" s="705">
        <f>+'Phụ lục số 7.1'!CC12</f>
        <v>306200</v>
      </c>
      <c r="V10" s="705">
        <v>100</v>
      </c>
      <c r="W10" s="705">
        <f t="shared" ref="W10:W20" si="8">U10*V10/100</f>
        <v>306200</v>
      </c>
      <c r="X10" s="705">
        <f>+'Phụ lục số 7.1'!CO12</f>
        <v>49200</v>
      </c>
      <c r="Y10" s="705">
        <v>100</v>
      </c>
      <c r="Z10" s="705">
        <f t="shared" ref="Z10:Z20" si="9">X10*Y10/100</f>
        <v>49200</v>
      </c>
      <c r="AA10" s="705">
        <f>+'Phụ lục số 7.1'!DA12</f>
        <v>68650</v>
      </c>
      <c r="AB10" s="705">
        <v>100</v>
      </c>
      <c r="AC10" s="705">
        <f t="shared" ref="AC10:AC20" si="10">AA10*AB10/100</f>
        <v>68650</v>
      </c>
      <c r="AD10" s="705">
        <f>+'Phụ lục số 7.1'!DM12</f>
        <v>37700</v>
      </c>
      <c r="AE10" s="705">
        <v>100</v>
      </c>
      <c r="AF10" s="705">
        <f t="shared" ref="AF10:AF20" si="11">AD10*AE10/100</f>
        <v>37700</v>
      </c>
      <c r="AG10" s="705">
        <f>+'Phụ lục số 7.1'!DY12</f>
        <v>35980</v>
      </c>
      <c r="AH10" s="705">
        <v>100</v>
      </c>
      <c r="AI10" s="705">
        <f t="shared" ref="AI10:AI20" si="12">AG10*AH10/100</f>
        <v>35980</v>
      </c>
      <c r="AJ10" s="705">
        <f>+'Phụ lục số 7.1'!EK12</f>
        <v>94600</v>
      </c>
      <c r="AK10" s="705">
        <v>100</v>
      </c>
      <c r="AL10" s="705">
        <f t="shared" ref="AL10:AL20" si="13">AJ10*AK10/100</f>
        <v>94600</v>
      </c>
      <c r="AM10" s="705">
        <f>+'Phụ lục số 7.1'!EW12</f>
        <v>52010</v>
      </c>
      <c r="AN10" s="705">
        <v>100</v>
      </c>
      <c r="AO10" s="5936">
        <f t="shared" ref="AO10:AO20" si="14">AM10*AN10/100</f>
        <v>52010</v>
      </c>
    </row>
    <row r="11" spans="1:41">
      <c r="A11" s="5029" t="s">
        <v>29</v>
      </c>
      <c r="B11" s="704" t="s">
        <v>787</v>
      </c>
      <c r="C11" s="705">
        <f t="shared" ref="C11:C20" si="15">SUM(F11,L11,O11,R11,U11,X11,AA11,AD11,AG11,AJ11,AM11,I11)</f>
        <v>720000</v>
      </c>
      <c r="D11" s="705">
        <f t="shared" si="1"/>
        <v>100</v>
      </c>
      <c r="E11" s="705">
        <f t="shared" si="2"/>
        <v>720000</v>
      </c>
      <c r="F11" s="5097">
        <f>+'Phụ lục số 7.1'!U13</f>
        <v>4600</v>
      </c>
      <c r="G11" s="706">
        <v>100</v>
      </c>
      <c r="H11" s="705">
        <f>F11*G11/100</f>
        <v>4600</v>
      </c>
      <c r="I11" s="705">
        <f>+'Phụ lục số 7.1'!AG13</f>
        <v>11000</v>
      </c>
      <c r="J11" s="705">
        <v>100</v>
      </c>
      <c r="K11" s="705">
        <f t="shared" si="4"/>
        <v>11000</v>
      </c>
      <c r="L11" s="705">
        <f>+'Phụ lục số 7.1'!AS13</f>
        <v>1400</v>
      </c>
      <c r="M11" s="705">
        <v>100</v>
      </c>
      <c r="N11" s="705">
        <f t="shared" si="5"/>
        <v>1400</v>
      </c>
      <c r="O11" s="705">
        <f>+'Phụ lục số 7.1'!BE13</f>
        <v>8000</v>
      </c>
      <c r="P11" s="705">
        <v>100</v>
      </c>
      <c r="Q11" s="705">
        <f t="shared" si="6"/>
        <v>8000</v>
      </c>
      <c r="R11" s="705">
        <f>+'Phụ lục số 7.1'!BQ13</f>
        <v>46900</v>
      </c>
      <c r="S11" s="705">
        <v>100</v>
      </c>
      <c r="T11" s="705">
        <f t="shared" si="7"/>
        <v>46900</v>
      </c>
      <c r="U11" s="705">
        <f>+'Phụ lục số 7.1'!CC13</f>
        <v>422000</v>
      </c>
      <c r="V11" s="705">
        <v>100</v>
      </c>
      <c r="W11" s="705">
        <f t="shared" si="8"/>
        <v>422000</v>
      </c>
      <c r="X11" s="705">
        <f>+'Phụ lục số 7.1'!CO13</f>
        <v>28000</v>
      </c>
      <c r="Y11" s="705">
        <v>100</v>
      </c>
      <c r="Z11" s="705">
        <f t="shared" si="9"/>
        <v>28000</v>
      </c>
      <c r="AA11" s="705">
        <f>+'Phụ lục số 7.1'!DA13</f>
        <v>13500</v>
      </c>
      <c r="AB11" s="705">
        <v>100</v>
      </c>
      <c r="AC11" s="705">
        <f t="shared" si="10"/>
        <v>13500</v>
      </c>
      <c r="AD11" s="705">
        <f>+'Phụ lục số 7.1'!DM13</f>
        <v>76000</v>
      </c>
      <c r="AE11" s="705">
        <v>100</v>
      </c>
      <c r="AF11" s="705">
        <f t="shared" si="11"/>
        <v>76000</v>
      </c>
      <c r="AG11" s="705">
        <f>+'Phụ lục số 7.1'!DY13</f>
        <v>27400</v>
      </c>
      <c r="AH11" s="705">
        <v>100</v>
      </c>
      <c r="AI11" s="705">
        <f t="shared" si="12"/>
        <v>27400</v>
      </c>
      <c r="AJ11" s="705">
        <f>+'Phụ lục số 7.1'!EK13</f>
        <v>67500</v>
      </c>
      <c r="AK11" s="705">
        <v>100</v>
      </c>
      <c r="AL11" s="705">
        <f t="shared" si="13"/>
        <v>67500</v>
      </c>
      <c r="AM11" s="705">
        <f>+'Phụ lục số 7.1'!EW13</f>
        <v>13700</v>
      </c>
      <c r="AN11" s="705">
        <v>100</v>
      </c>
      <c r="AO11" s="5936">
        <f t="shared" si="14"/>
        <v>13700</v>
      </c>
    </row>
    <row r="12" spans="1:41">
      <c r="A12" s="5029" t="s">
        <v>29</v>
      </c>
      <c r="B12" s="704" t="s">
        <v>788</v>
      </c>
      <c r="C12" s="705">
        <f t="shared" si="15"/>
        <v>28650</v>
      </c>
      <c r="D12" s="705" t="str">
        <f t="shared" si="1"/>
        <v/>
      </c>
      <c r="E12" s="705">
        <f t="shared" si="2"/>
        <v>0</v>
      </c>
      <c r="F12" s="5097">
        <f>+'Phụ lục số 7.1'!U14</f>
        <v>0</v>
      </c>
      <c r="G12" s="706">
        <v>0</v>
      </c>
      <c r="H12" s="705">
        <f t="shared" si="3"/>
        <v>0</v>
      </c>
      <c r="I12" s="705">
        <f>+'Phụ lục số 7.1'!AG14</f>
        <v>300</v>
      </c>
      <c r="J12" s="705">
        <v>0</v>
      </c>
      <c r="K12" s="705">
        <f t="shared" si="4"/>
        <v>0</v>
      </c>
      <c r="L12" s="705">
        <f>+'Phụ lục số 7.1'!AS14</f>
        <v>50</v>
      </c>
      <c r="M12" s="705">
        <v>0</v>
      </c>
      <c r="N12" s="705">
        <f t="shared" si="5"/>
        <v>0</v>
      </c>
      <c r="O12" s="705">
        <f>+'Phụ lục số 7.1'!BE14</f>
        <v>200</v>
      </c>
      <c r="P12" s="705">
        <v>0</v>
      </c>
      <c r="Q12" s="705">
        <f t="shared" si="6"/>
        <v>0</v>
      </c>
      <c r="R12" s="705">
        <f>+'Phụ lục số 7.1'!BQ14</f>
        <v>100</v>
      </c>
      <c r="S12" s="705">
        <v>0</v>
      </c>
      <c r="T12" s="705">
        <f t="shared" si="7"/>
        <v>0</v>
      </c>
      <c r="U12" s="705">
        <f>+'Phụ lục số 7.1'!CC14</f>
        <v>26600</v>
      </c>
      <c r="V12" s="705">
        <v>0</v>
      </c>
      <c r="W12" s="705">
        <f t="shared" si="8"/>
        <v>0</v>
      </c>
      <c r="X12" s="705">
        <f>+'Phụ lục số 7.1'!CO14</f>
        <v>200</v>
      </c>
      <c r="Y12" s="705">
        <v>0</v>
      </c>
      <c r="Z12" s="705">
        <f t="shared" si="9"/>
        <v>0</v>
      </c>
      <c r="AA12" s="705">
        <f>+'Phụ lục số 7.1'!DA14</f>
        <v>300</v>
      </c>
      <c r="AB12" s="705">
        <v>0</v>
      </c>
      <c r="AC12" s="705">
        <f t="shared" si="10"/>
        <v>0</v>
      </c>
      <c r="AD12" s="705">
        <f>+'Phụ lục số 7.1'!DM14</f>
        <v>100</v>
      </c>
      <c r="AE12" s="705">
        <v>0</v>
      </c>
      <c r="AF12" s="705">
        <f t="shared" si="11"/>
        <v>0</v>
      </c>
      <c r="AG12" s="705">
        <f>+'Phụ lục số 7.1'!DY14</f>
        <v>200</v>
      </c>
      <c r="AH12" s="705">
        <v>0</v>
      </c>
      <c r="AI12" s="705">
        <f t="shared" si="12"/>
        <v>0</v>
      </c>
      <c r="AJ12" s="705">
        <f>+'Phụ lục số 7.1'!EK14</f>
        <v>500</v>
      </c>
      <c r="AK12" s="705">
        <v>0</v>
      </c>
      <c r="AL12" s="705">
        <f t="shared" si="13"/>
        <v>0</v>
      </c>
      <c r="AM12" s="705">
        <f>+'Phụ lục số 7.1'!EW14</f>
        <v>100</v>
      </c>
      <c r="AN12" s="705">
        <v>0</v>
      </c>
      <c r="AO12" s="5936">
        <f t="shared" si="14"/>
        <v>0</v>
      </c>
    </row>
    <row r="13" spans="1:41">
      <c r="A13" s="5029" t="s">
        <v>29</v>
      </c>
      <c r="B13" s="704" t="s">
        <v>10</v>
      </c>
      <c r="C13" s="705">
        <f t="shared" si="15"/>
        <v>44350</v>
      </c>
      <c r="D13" s="705" t="str">
        <f t="shared" si="1"/>
        <v/>
      </c>
      <c r="E13" s="705">
        <f t="shared" si="2"/>
        <v>0</v>
      </c>
      <c r="F13" s="5097">
        <f>+'Phụ lục số 7.1'!U15</f>
        <v>9900</v>
      </c>
      <c r="G13" s="706">
        <v>0</v>
      </c>
      <c r="H13" s="705">
        <f t="shared" si="3"/>
        <v>0</v>
      </c>
      <c r="I13" s="705">
        <f>+'Phụ lục số 7.1'!AG15</f>
        <v>40</v>
      </c>
      <c r="J13" s="705">
        <v>0</v>
      </c>
      <c r="K13" s="705">
        <f t="shared" si="4"/>
        <v>0</v>
      </c>
      <c r="L13" s="705">
        <f>+'Phụ lục số 7.1'!AS15</f>
        <v>50</v>
      </c>
      <c r="M13" s="705">
        <v>0</v>
      </c>
      <c r="N13" s="705">
        <f t="shared" si="5"/>
        <v>0</v>
      </c>
      <c r="O13" s="705">
        <f>+'Phụ lục số 7.1'!BE15</f>
        <v>500</v>
      </c>
      <c r="P13" s="705">
        <v>0</v>
      </c>
      <c r="Q13" s="705">
        <f t="shared" si="6"/>
        <v>0</v>
      </c>
      <c r="R13" s="705">
        <f>+'Phụ lục số 7.1'!BQ15</f>
        <v>300</v>
      </c>
      <c r="S13" s="705">
        <v>0</v>
      </c>
      <c r="T13" s="705">
        <f t="shared" si="7"/>
        <v>0</v>
      </c>
      <c r="U13" s="705">
        <f>+'Phụ lục số 7.1'!CC15</f>
        <v>25200</v>
      </c>
      <c r="V13" s="705">
        <v>0</v>
      </c>
      <c r="W13" s="705">
        <f t="shared" si="8"/>
        <v>0</v>
      </c>
      <c r="X13" s="705">
        <f>+'Phụ lục số 7.1'!CO15</f>
        <v>2600</v>
      </c>
      <c r="Y13" s="705">
        <v>0</v>
      </c>
      <c r="Z13" s="705">
        <f t="shared" si="9"/>
        <v>0</v>
      </c>
      <c r="AA13" s="705">
        <f>+'Phụ lục số 7.1'!DA15</f>
        <v>550</v>
      </c>
      <c r="AB13" s="705">
        <v>0</v>
      </c>
      <c r="AC13" s="705">
        <f t="shared" si="10"/>
        <v>0</v>
      </c>
      <c r="AD13" s="705">
        <f>+'Phụ lục số 7.1'!DM15</f>
        <v>3200</v>
      </c>
      <c r="AE13" s="705">
        <v>0</v>
      </c>
      <c r="AF13" s="705">
        <f t="shared" si="11"/>
        <v>0</v>
      </c>
      <c r="AG13" s="705">
        <f>+'Phụ lục số 7.1'!DY15</f>
        <v>1420</v>
      </c>
      <c r="AH13" s="705">
        <v>0</v>
      </c>
      <c r="AI13" s="705">
        <f t="shared" si="12"/>
        <v>0</v>
      </c>
      <c r="AJ13" s="705">
        <f>+'Phụ lục số 7.1'!EK15</f>
        <v>400</v>
      </c>
      <c r="AK13" s="705">
        <v>0</v>
      </c>
      <c r="AL13" s="705">
        <f t="shared" si="13"/>
        <v>0</v>
      </c>
      <c r="AM13" s="705">
        <f>+'Phụ lục số 7.1'!EW15</f>
        <v>190</v>
      </c>
      <c r="AN13" s="705">
        <v>0</v>
      </c>
      <c r="AO13" s="5936">
        <f t="shared" si="14"/>
        <v>0</v>
      </c>
    </row>
    <row r="14" spans="1:41" hidden="1">
      <c r="A14" s="5029" t="s">
        <v>29</v>
      </c>
      <c r="B14" s="704" t="s">
        <v>789</v>
      </c>
      <c r="C14" s="705">
        <f t="shared" si="15"/>
        <v>0</v>
      </c>
      <c r="D14" s="705"/>
      <c r="E14" s="705">
        <f t="shared" si="2"/>
        <v>0</v>
      </c>
      <c r="F14" s="4767">
        <f>+'Phụ lục số 7.1'!U16</f>
        <v>0</v>
      </c>
      <c r="G14" s="706"/>
      <c r="H14" s="705">
        <f t="shared" si="3"/>
        <v>0</v>
      </c>
      <c r="I14" s="705">
        <f>+'Phụ lục số 7.1'!AG16</f>
        <v>0</v>
      </c>
      <c r="J14" s="705"/>
      <c r="K14" s="705">
        <f>I14*J14/100</f>
        <v>0</v>
      </c>
      <c r="L14" s="705">
        <f>+'Phụ lục số 7.1'!AS16</f>
        <v>0</v>
      </c>
      <c r="M14" s="705"/>
      <c r="N14" s="705">
        <f t="shared" si="5"/>
        <v>0</v>
      </c>
      <c r="O14" s="705">
        <f>+'Phụ lục số 7.1'!BE16</f>
        <v>0</v>
      </c>
      <c r="P14" s="705"/>
      <c r="Q14" s="705">
        <f t="shared" si="6"/>
        <v>0</v>
      </c>
      <c r="R14" s="705">
        <f>+'Phụ lục số 7.1'!BQ16</f>
        <v>0</v>
      </c>
      <c r="S14" s="705"/>
      <c r="T14" s="705">
        <f t="shared" si="7"/>
        <v>0</v>
      </c>
      <c r="U14" s="705">
        <f>+'Phụ lục số 7.1'!CC16</f>
        <v>0</v>
      </c>
      <c r="V14" s="705"/>
      <c r="W14" s="705">
        <f t="shared" si="8"/>
        <v>0</v>
      </c>
      <c r="X14" s="705">
        <f>+'Phụ lục số 7.1'!CO16</f>
        <v>0</v>
      </c>
      <c r="Y14" s="705"/>
      <c r="Z14" s="705">
        <f t="shared" si="9"/>
        <v>0</v>
      </c>
      <c r="AA14" s="705">
        <f>+'Phụ lục số 7.1'!DA16</f>
        <v>0</v>
      </c>
      <c r="AB14" s="705"/>
      <c r="AC14" s="705">
        <f t="shared" si="10"/>
        <v>0</v>
      </c>
      <c r="AD14" s="705">
        <f>+'Phụ lục số 7.1'!DM16</f>
        <v>0</v>
      </c>
      <c r="AE14" s="705"/>
      <c r="AF14" s="705">
        <f t="shared" si="11"/>
        <v>0</v>
      </c>
      <c r="AG14" s="705">
        <f>+'Phụ lục số 7.1'!DY16</f>
        <v>0</v>
      </c>
      <c r="AH14" s="705"/>
      <c r="AI14" s="705">
        <f t="shared" si="12"/>
        <v>0</v>
      </c>
      <c r="AJ14" s="705">
        <f>+'Phụ lục số 7.1'!EK16</f>
        <v>0</v>
      </c>
      <c r="AK14" s="705"/>
      <c r="AL14" s="705">
        <f t="shared" si="13"/>
        <v>0</v>
      </c>
      <c r="AM14" s="705">
        <f>+'Phụ lục số 7.1'!EW16</f>
        <v>0</v>
      </c>
      <c r="AN14" s="705"/>
      <c r="AO14" s="5936">
        <f t="shared" si="14"/>
        <v>0</v>
      </c>
    </row>
    <row r="15" spans="1:41" s="708" customFormat="1">
      <c r="A15" s="5027">
        <v>2</v>
      </c>
      <c r="B15" s="701" t="s">
        <v>20</v>
      </c>
      <c r="C15" s="702">
        <f>SUM(C16:C17)</f>
        <v>353000</v>
      </c>
      <c r="D15" s="705">
        <f>IF(E15=0,"",E15/C15*100)</f>
        <v>100</v>
      </c>
      <c r="E15" s="702">
        <f>SUM(E16:E17)</f>
        <v>353000</v>
      </c>
      <c r="F15" s="702">
        <f>SUM(F16:F17)</f>
        <v>11000</v>
      </c>
      <c r="G15" s="707">
        <v>100</v>
      </c>
      <c r="H15" s="702">
        <f>SUM(H16:H17)</f>
        <v>11000</v>
      </c>
      <c r="I15" s="702">
        <f>SUM(I16:I17)</f>
        <v>21000</v>
      </c>
      <c r="J15" s="702">
        <v>100</v>
      </c>
      <c r="K15" s="702">
        <f>SUM(K16:K17)</f>
        <v>21000</v>
      </c>
      <c r="L15" s="702">
        <f>SUM(L16:L17)</f>
        <v>15000</v>
      </c>
      <c r="M15" s="702">
        <v>100</v>
      </c>
      <c r="N15" s="702">
        <f>SUM(N16:N17)</f>
        <v>15000</v>
      </c>
      <c r="O15" s="702">
        <f>SUM(O16:O17)</f>
        <v>18000</v>
      </c>
      <c r="P15" s="702">
        <v>100</v>
      </c>
      <c r="Q15" s="702">
        <f>SUM(Q16:Q17)</f>
        <v>18000</v>
      </c>
      <c r="R15" s="702">
        <f>SUM(R16:R17)</f>
        <v>17000</v>
      </c>
      <c r="S15" s="702">
        <v>100</v>
      </c>
      <c r="T15" s="702">
        <f>SUM(T16:T17)</f>
        <v>17000</v>
      </c>
      <c r="U15" s="702">
        <f>SUM(U16:U17)</f>
        <v>80000</v>
      </c>
      <c r="V15" s="702">
        <v>100</v>
      </c>
      <c r="W15" s="702">
        <f>SUM(W16:W17)</f>
        <v>80000</v>
      </c>
      <c r="X15" s="702">
        <f>SUM(X16:X17)</f>
        <v>32000</v>
      </c>
      <c r="Y15" s="702">
        <v>100</v>
      </c>
      <c r="Z15" s="702">
        <f>SUM(Z16:Z17)</f>
        <v>32000</v>
      </c>
      <c r="AA15" s="702">
        <f>SUM(AA16:AA17)</f>
        <v>32000</v>
      </c>
      <c r="AB15" s="702">
        <v>100</v>
      </c>
      <c r="AC15" s="702">
        <f>SUM(AC16:AC17)</f>
        <v>32000</v>
      </c>
      <c r="AD15" s="702">
        <f>SUM(AD16:AD17)</f>
        <v>27000</v>
      </c>
      <c r="AE15" s="702">
        <v>100</v>
      </c>
      <c r="AF15" s="702">
        <f>SUM(AF16:AF17)</f>
        <v>27000</v>
      </c>
      <c r="AG15" s="702">
        <f>SUM(AG16:AG17)</f>
        <v>28000</v>
      </c>
      <c r="AH15" s="702">
        <v>100</v>
      </c>
      <c r="AI15" s="702">
        <f>SUM(AI16:AI17)</f>
        <v>28000</v>
      </c>
      <c r="AJ15" s="702">
        <f>SUM(AJ16:AJ17)</f>
        <v>50000</v>
      </c>
      <c r="AK15" s="702">
        <v>100</v>
      </c>
      <c r="AL15" s="702">
        <f>SUM(AL16:AL17)</f>
        <v>50000</v>
      </c>
      <c r="AM15" s="702">
        <f>SUM(AM16:AM17)</f>
        <v>22000</v>
      </c>
      <c r="AN15" s="702">
        <v>100</v>
      </c>
      <c r="AO15" s="5935">
        <f>SUM(AO16:AO17)</f>
        <v>22000</v>
      </c>
    </row>
    <row r="16" spans="1:41" s="708" customFormat="1" hidden="1">
      <c r="A16" s="5031" t="s">
        <v>29</v>
      </c>
      <c r="B16" s="43" t="s">
        <v>790</v>
      </c>
      <c r="C16" s="705">
        <f>SUM(F16,L16,O16,R16,U16,X16,AA16,AD16,AG16,AJ16,AM16,I16)</f>
        <v>0</v>
      </c>
      <c r="D16" s="705" t="str">
        <f>IF(E16=0,"",E16/C16*100)</f>
        <v/>
      </c>
      <c r="E16" s="705">
        <f t="shared" si="2"/>
        <v>0</v>
      </c>
      <c r="F16" s="710">
        <f>+'Phụ lục số 7.1'!U18</f>
        <v>0</v>
      </c>
      <c r="G16" s="707"/>
      <c r="H16" s="702"/>
      <c r="I16" s="705">
        <f>+'Phụ lục số 7.1'!AG18</f>
        <v>0</v>
      </c>
      <c r="J16" s="702"/>
      <c r="K16" s="702"/>
      <c r="L16" s="705">
        <f>+'Phụ lục số 7.1'!AS18</f>
        <v>0</v>
      </c>
      <c r="M16" s="702"/>
      <c r="N16" s="702"/>
      <c r="O16" s="705">
        <f>+'Phụ lục số 7.1'!BE18</f>
        <v>0</v>
      </c>
      <c r="P16" s="702"/>
      <c r="Q16" s="702"/>
      <c r="R16" s="705">
        <f>+'Phụ lục số 7.1'!BQ18</f>
        <v>0</v>
      </c>
      <c r="S16" s="702"/>
      <c r="T16" s="702"/>
      <c r="U16" s="705">
        <f>+'Phụ lục số 7.1'!CC18</f>
        <v>0</v>
      </c>
      <c r="V16" s="702"/>
      <c r="W16" s="702"/>
      <c r="X16" s="705">
        <f>+'Phụ lục số 7.1'!CO18</f>
        <v>0</v>
      </c>
      <c r="Y16" s="702"/>
      <c r="Z16" s="702"/>
      <c r="AA16" s="705">
        <f>+'Phụ lục số 7.1'!DA18</f>
        <v>0</v>
      </c>
      <c r="AB16" s="702"/>
      <c r="AC16" s="702"/>
      <c r="AD16" s="705">
        <f>+'Phụ lục số 7.1'!DM18</f>
        <v>0</v>
      </c>
      <c r="AE16" s="702"/>
      <c r="AF16" s="702"/>
      <c r="AG16" s="705">
        <f>+'Phụ lục số 7.1'!DY18</f>
        <v>0</v>
      </c>
      <c r="AH16" s="702"/>
      <c r="AI16" s="702"/>
      <c r="AJ16" s="705">
        <f>+'Phụ lục số 7.1'!EK18</f>
        <v>0</v>
      </c>
      <c r="AK16" s="702"/>
      <c r="AL16" s="702"/>
      <c r="AM16" s="705">
        <f>+'Phụ lục số 7.1'!EW18</f>
        <v>0</v>
      </c>
      <c r="AN16" s="702"/>
      <c r="AO16" s="5935"/>
    </row>
    <row r="17" spans="1:41" s="714" customFormat="1" hidden="1">
      <c r="A17" s="5033" t="s">
        <v>29</v>
      </c>
      <c r="B17" s="711" t="s">
        <v>791</v>
      </c>
      <c r="C17" s="705">
        <f>SUM(F17,L17,O17,R17,U17,X17,AA17,AD17,AG17,AJ17,AM17,I17)</f>
        <v>353000</v>
      </c>
      <c r="D17" s="705">
        <f>IF(E17=0,"",E17/C17*100)</f>
        <v>100</v>
      </c>
      <c r="E17" s="705">
        <f t="shared" si="2"/>
        <v>353000</v>
      </c>
      <c r="F17" s="705">
        <f>+'Phụ lục số 7.1'!U19</f>
        <v>11000</v>
      </c>
      <c r="G17" s="712">
        <v>100</v>
      </c>
      <c r="H17" s="713">
        <f>F17/G17*100</f>
        <v>11000</v>
      </c>
      <c r="I17" s="705">
        <f>+'Phụ lục số 7.1'!AG19</f>
        <v>21000</v>
      </c>
      <c r="J17" s="713">
        <v>100</v>
      </c>
      <c r="K17" s="713">
        <f>I17/J17*100</f>
        <v>21000</v>
      </c>
      <c r="L17" s="705">
        <f>+'Phụ lục số 7.1'!AS19</f>
        <v>15000</v>
      </c>
      <c r="M17" s="713">
        <v>100</v>
      </c>
      <c r="N17" s="713">
        <f>L17/M17*100</f>
        <v>15000</v>
      </c>
      <c r="O17" s="705">
        <f>+'Phụ lục số 7.1'!BE19</f>
        <v>18000</v>
      </c>
      <c r="P17" s="713">
        <v>100</v>
      </c>
      <c r="Q17" s="713">
        <f>O17/P17*100</f>
        <v>18000</v>
      </c>
      <c r="R17" s="705">
        <f>+'Phụ lục số 7.1'!BQ19</f>
        <v>17000</v>
      </c>
      <c r="S17" s="713">
        <v>100</v>
      </c>
      <c r="T17" s="713">
        <f>R17/S17*100</f>
        <v>17000</v>
      </c>
      <c r="U17" s="705">
        <f>+'Phụ lục số 7.1'!CC19</f>
        <v>80000</v>
      </c>
      <c r="V17" s="713">
        <v>100</v>
      </c>
      <c r="W17" s="713">
        <f>U17/V17*100</f>
        <v>80000</v>
      </c>
      <c r="X17" s="705">
        <f>+'Phụ lục số 7.1'!CO19</f>
        <v>32000</v>
      </c>
      <c r="Y17" s="713">
        <v>100</v>
      </c>
      <c r="Z17" s="713">
        <f>X17/Y17*100</f>
        <v>32000</v>
      </c>
      <c r="AA17" s="705">
        <f>+'Phụ lục số 7.1'!DA19</f>
        <v>32000</v>
      </c>
      <c r="AB17" s="713">
        <v>100</v>
      </c>
      <c r="AC17" s="713">
        <f>AA17/AB17*100</f>
        <v>32000</v>
      </c>
      <c r="AD17" s="705">
        <f>+'Phụ lục số 7.1'!DM19</f>
        <v>27000</v>
      </c>
      <c r="AE17" s="713">
        <v>100</v>
      </c>
      <c r="AF17" s="713">
        <f>AD17/AE17*100</f>
        <v>27000</v>
      </c>
      <c r="AG17" s="705">
        <f>+'Phụ lục số 7.1'!DY19</f>
        <v>28000</v>
      </c>
      <c r="AH17" s="713">
        <v>100</v>
      </c>
      <c r="AI17" s="713">
        <f>AG17/AH17*100</f>
        <v>28000</v>
      </c>
      <c r="AJ17" s="705">
        <f>+'Phụ lục số 7.1'!EK19</f>
        <v>50000</v>
      </c>
      <c r="AK17" s="713">
        <v>100</v>
      </c>
      <c r="AL17" s="713">
        <f>AJ17/AK17*100</f>
        <v>50000</v>
      </c>
      <c r="AM17" s="705">
        <f>+'Phụ lục số 7.1'!EW19</f>
        <v>22000</v>
      </c>
      <c r="AN17" s="713">
        <v>100</v>
      </c>
      <c r="AO17" s="5937">
        <f>AM17/AN17*100</f>
        <v>22000</v>
      </c>
    </row>
    <row r="18" spans="1:41" s="696" customFormat="1">
      <c r="A18" s="5027">
        <v>3</v>
      </c>
      <c r="B18" s="701" t="s">
        <v>17</v>
      </c>
      <c r="C18" s="702">
        <f t="shared" si="15"/>
        <v>330000</v>
      </c>
      <c r="D18" s="705">
        <f t="shared" si="1"/>
        <v>100</v>
      </c>
      <c r="E18" s="702">
        <f t="shared" si="2"/>
        <v>330000</v>
      </c>
      <c r="F18" s="702">
        <f>+'Phụ lục số 7.1'!U20</f>
        <v>15000</v>
      </c>
      <c r="G18" s="707">
        <v>100</v>
      </c>
      <c r="H18" s="702">
        <f t="shared" si="3"/>
        <v>15000</v>
      </c>
      <c r="I18" s="702">
        <f>+'Phụ lục số 7.1'!AG20</f>
        <v>20000</v>
      </c>
      <c r="J18" s="702">
        <v>100</v>
      </c>
      <c r="K18" s="702">
        <f t="shared" si="4"/>
        <v>20000</v>
      </c>
      <c r="L18" s="702">
        <f>+'Phụ lục số 7.1'!AS20</f>
        <v>13000</v>
      </c>
      <c r="M18" s="702">
        <v>100</v>
      </c>
      <c r="N18" s="702">
        <f t="shared" si="5"/>
        <v>13000</v>
      </c>
      <c r="O18" s="702">
        <f>+'Phụ lục số 7.1'!BE20</f>
        <v>18000</v>
      </c>
      <c r="P18" s="702">
        <v>100</v>
      </c>
      <c r="Q18" s="702">
        <f t="shared" si="6"/>
        <v>18000</v>
      </c>
      <c r="R18" s="702">
        <f>+'Phụ lục số 7.1'!BQ20</f>
        <v>20000</v>
      </c>
      <c r="S18" s="702">
        <v>100</v>
      </c>
      <c r="T18" s="702">
        <f t="shared" si="7"/>
        <v>20000</v>
      </c>
      <c r="U18" s="702">
        <f>+'Phụ lục số 7.1'!CC20</f>
        <v>75000</v>
      </c>
      <c r="V18" s="702">
        <v>100</v>
      </c>
      <c r="W18" s="702">
        <f t="shared" si="8"/>
        <v>75000</v>
      </c>
      <c r="X18" s="702">
        <f>+'Phụ lục số 7.1'!CO20</f>
        <v>37000</v>
      </c>
      <c r="Y18" s="702">
        <v>100</v>
      </c>
      <c r="Z18" s="702">
        <f t="shared" si="9"/>
        <v>37000</v>
      </c>
      <c r="AA18" s="702">
        <f>+'Phụ lục số 7.1'!DA20</f>
        <v>27500</v>
      </c>
      <c r="AB18" s="702">
        <v>100</v>
      </c>
      <c r="AC18" s="702">
        <f t="shared" si="10"/>
        <v>27500</v>
      </c>
      <c r="AD18" s="702">
        <f>+'Phụ lục số 7.1'!DM20</f>
        <v>26000</v>
      </c>
      <c r="AE18" s="702">
        <v>100</v>
      </c>
      <c r="AF18" s="702">
        <f t="shared" si="11"/>
        <v>26000</v>
      </c>
      <c r="AG18" s="702">
        <f>+'Phụ lục số 7.1'!DY20</f>
        <v>26500</v>
      </c>
      <c r="AH18" s="702">
        <v>100</v>
      </c>
      <c r="AI18" s="702">
        <f t="shared" si="12"/>
        <v>26500</v>
      </c>
      <c r="AJ18" s="702">
        <f>+'Phụ lục số 7.1'!EK20</f>
        <v>30000</v>
      </c>
      <c r="AK18" s="702">
        <v>100</v>
      </c>
      <c r="AL18" s="702">
        <f t="shared" si="13"/>
        <v>30000</v>
      </c>
      <c r="AM18" s="702">
        <f>+'Phụ lục số 7.1'!EW20</f>
        <v>22000</v>
      </c>
      <c r="AN18" s="702">
        <v>100</v>
      </c>
      <c r="AO18" s="5935">
        <f t="shared" si="14"/>
        <v>22000</v>
      </c>
    </row>
    <row r="19" spans="1:41" s="696" customFormat="1">
      <c r="A19" s="5027">
        <v>4</v>
      </c>
      <c r="B19" s="701" t="s">
        <v>792</v>
      </c>
      <c r="C19" s="702">
        <f t="shared" si="15"/>
        <v>0</v>
      </c>
      <c r="D19" s="705" t="str">
        <f t="shared" si="1"/>
        <v/>
      </c>
      <c r="E19" s="702">
        <f t="shared" si="2"/>
        <v>0</v>
      </c>
      <c r="F19" s="702">
        <f>+'Phụ lục số 7.1'!U21</f>
        <v>0</v>
      </c>
      <c r="G19" s="707">
        <v>100</v>
      </c>
      <c r="H19" s="702">
        <f t="shared" si="3"/>
        <v>0</v>
      </c>
      <c r="I19" s="702">
        <f>+'Phụ lục số 7.1'!AG21</f>
        <v>0</v>
      </c>
      <c r="J19" s="702">
        <v>100</v>
      </c>
      <c r="K19" s="702">
        <f t="shared" si="4"/>
        <v>0</v>
      </c>
      <c r="L19" s="702">
        <f>+'Phụ lục số 7.1'!AS21</f>
        <v>0</v>
      </c>
      <c r="M19" s="702">
        <v>100</v>
      </c>
      <c r="N19" s="702">
        <f t="shared" si="5"/>
        <v>0</v>
      </c>
      <c r="O19" s="702">
        <f>+'Phụ lục số 7.1'!BE21</f>
        <v>0</v>
      </c>
      <c r="P19" s="702">
        <v>100</v>
      </c>
      <c r="Q19" s="702">
        <f t="shared" si="6"/>
        <v>0</v>
      </c>
      <c r="R19" s="702">
        <f>+'Phụ lục số 7.1'!BQ21</f>
        <v>0</v>
      </c>
      <c r="S19" s="702">
        <v>100</v>
      </c>
      <c r="T19" s="702">
        <f t="shared" si="7"/>
        <v>0</v>
      </c>
      <c r="U19" s="702">
        <f>+'Phụ lục số 7.1'!CC21</f>
        <v>0</v>
      </c>
      <c r="V19" s="702">
        <v>100</v>
      </c>
      <c r="W19" s="702">
        <f t="shared" si="8"/>
        <v>0</v>
      </c>
      <c r="X19" s="702">
        <f>+'Phụ lục số 7.1'!CO21</f>
        <v>0</v>
      </c>
      <c r="Y19" s="702">
        <v>100</v>
      </c>
      <c r="Z19" s="702">
        <f t="shared" si="9"/>
        <v>0</v>
      </c>
      <c r="AA19" s="702">
        <f>+'Phụ lục số 7.1'!DA21</f>
        <v>0</v>
      </c>
      <c r="AB19" s="702">
        <v>100</v>
      </c>
      <c r="AC19" s="702">
        <f t="shared" si="10"/>
        <v>0</v>
      </c>
      <c r="AD19" s="702">
        <f>+'Phụ lục số 7.1'!DM21</f>
        <v>0</v>
      </c>
      <c r="AE19" s="702">
        <v>100</v>
      </c>
      <c r="AF19" s="702">
        <f t="shared" si="11"/>
        <v>0</v>
      </c>
      <c r="AG19" s="702">
        <f>+'Phụ lục số 7.1'!DY21</f>
        <v>0</v>
      </c>
      <c r="AH19" s="702">
        <v>100</v>
      </c>
      <c r="AI19" s="702">
        <f t="shared" si="12"/>
        <v>0</v>
      </c>
      <c r="AJ19" s="702">
        <f>+'Phụ lục số 7.1'!EK21</f>
        <v>0</v>
      </c>
      <c r="AK19" s="702">
        <v>100</v>
      </c>
      <c r="AL19" s="702">
        <f t="shared" si="13"/>
        <v>0</v>
      </c>
      <c r="AM19" s="702">
        <f>+'Phụ lục số 7.1'!EW21</f>
        <v>0</v>
      </c>
      <c r="AN19" s="702">
        <v>100</v>
      </c>
      <c r="AO19" s="5935">
        <f t="shared" si="14"/>
        <v>0</v>
      </c>
    </row>
    <row r="20" spans="1:41" s="696" customFormat="1">
      <c r="A20" s="5027">
        <v>4</v>
      </c>
      <c r="B20" s="701" t="s">
        <v>97</v>
      </c>
      <c r="C20" s="702">
        <f t="shared" si="15"/>
        <v>17000</v>
      </c>
      <c r="D20" s="705">
        <f t="shared" si="1"/>
        <v>100</v>
      </c>
      <c r="E20" s="702">
        <f t="shared" si="2"/>
        <v>17000</v>
      </c>
      <c r="F20" s="702">
        <f>+'Phụ lục số 7.1'!U22</f>
        <v>0</v>
      </c>
      <c r="G20" s="707">
        <v>100</v>
      </c>
      <c r="H20" s="702">
        <f t="shared" si="3"/>
        <v>0</v>
      </c>
      <c r="I20" s="702">
        <f>+'Phụ lục số 7.1'!AG22</f>
        <v>250</v>
      </c>
      <c r="J20" s="702">
        <v>100</v>
      </c>
      <c r="K20" s="702">
        <f t="shared" si="4"/>
        <v>250</v>
      </c>
      <c r="L20" s="702">
        <f>+'Phụ lục số 7.1'!AS22</f>
        <v>300</v>
      </c>
      <c r="M20" s="702">
        <v>100</v>
      </c>
      <c r="N20" s="702">
        <f t="shared" si="5"/>
        <v>300</v>
      </c>
      <c r="O20" s="702">
        <f>+'Phụ lục số 7.1'!BE22</f>
        <v>200</v>
      </c>
      <c r="P20" s="702">
        <v>100</v>
      </c>
      <c r="Q20" s="702">
        <f t="shared" si="6"/>
        <v>200</v>
      </c>
      <c r="R20" s="702">
        <f>+'Phụ lục số 7.1'!BQ22</f>
        <v>1200</v>
      </c>
      <c r="S20" s="702">
        <v>100</v>
      </c>
      <c r="T20" s="702">
        <f t="shared" si="7"/>
        <v>1200</v>
      </c>
      <c r="U20" s="702">
        <f>+'Phụ lục số 7.1'!CC22</f>
        <v>4300</v>
      </c>
      <c r="V20" s="702">
        <v>100</v>
      </c>
      <c r="W20" s="702">
        <f t="shared" si="8"/>
        <v>4300</v>
      </c>
      <c r="X20" s="702">
        <f>+'Phụ lục số 7.1'!CO22</f>
        <v>2250</v>
      </c>
      <c r="Y20" s="702">
        <v>100</v>
      </c>
      <c r="Z20" s="702">
        <f t="shared" si="9"/>
        <v>2250</v>
      </c>
      <c r="AA20" s="702">
        <f>+'Phụ lục số 7.1'!DA22</f>
        <v>2500</v>
      </c>
      <c r="AB20" s="702">
        <v>100</v>
      </c>
      <c r="AC20" s="702">
        <f t="shared" si="10"/>
        <v>2500</v>
      </c>
      <c r="AD20" s="702">
        <f>+'Phụ lục số 7.1'!DM22</f>
        <v>800</v>
      </c>
      <c r="AE20" s="702">
        <v>100</v>
      </c>
      <c r="AF20" s="702">
        <f t="shared" si="11"/>
        <v>800</v>
      </c>
      <c r="AG20" s="702">
        <f>+'Phụ lục số 7.1'!DY22</f>
        <v>1200</v>
      </c>
      <c r="AH20" s="702">
        <v>100</v>
      </c>
      <c r="AI20" s="702">
        <f t="shared" si="12"/>
        <v>1200</v>
      </c>
      <c r="AJ20" s="702">
        <f>+'Phụ lục số 7.1'!EK22</f>
        <v>3000</v>
      </c>
      <c r="AK20" s="702">
        <v>100</v>
      </c>
      <c r="AL20" s="702">
        <f t="shared" si="13"/>
        <v>3000</v>
      </c>
      <c r="AM20" s="702">
        <f>+'Phụ lục số 7.1'!EW22</f>
        <v>1000</v>
      </c>
      <c r="AN20" s="702">
        <v>100</v>
      </c>
      <c r="AO20" s="5935">
        <f t="shared" si="14"/>
        <v>1000</v>
      </c>
    </row>
    <row r="21" spans="1:41" s="696" customFormat="1">
      <c r="A21" s="5027">
        <v>5</v>
      </c>
      <c r="B21" s="701" t="s">
        <v>793</v>
      </c>
      <c r="C21" s="702">
        <f>SUM(C22:C24)</f>
        <v>110400</v>
      </c>
      <c r="D21" s="702"/>
      <c r="E21" s="702">
        <f>SUM(E22:E24)</f>
        <v>72400</v>
      </c>
      <c r="F21" s="702">
        <f>SUM(F22:F24)</f>
        <v>7500</v>
      </c>
      <c r="G21" s="707"/>
      <c r="H21" s="702">
        <f>SUM(H22:H24)</f>
        <v>4200</v>
      </c>
      <c r="I21" s="702">
        <f>SUM(I22:I24)</f>
        <v>6000</v>
      </c>
      <c r="J21" s="702"/>
      <c r="K21" s="702">
        <f>SUM(K22:K24)</f>
        <v>3000</v>
      </c>
      <c r="L21" s="702">
        <f>SUM(L22:L24)</f>
        <v>3500</v>
      </c>
      <c r="M21" s="702"/>
      <c r="N21" s="702">
        <f>SUM(N22:N24)</f>
        <v>1850</v>
      </c>
      <c r="O21" s="702">
        <f>SUM(O22:O24)</f>
        <v>4500</v>
      </c>
      <c r="P21" s="702"/>
      <c r="Q21" s="702">
        <f>SUM(Q22:Q24)</f>
        <v>2500</v>
      </c>
      <c r="R21" s="702">
        <f>SUM(R22:R24)</f>
        <v>6000</v>
      </c>
      <c r="S21" s="702"/>
      <c r="T21" s="702">
        <f>SUM(T22:T24)</f>
        <v>3600</v>
      </c>
      <c r="U21" s="702">
        <f>SUM(U22:U24)</f>
        <v>17000</v>
      </c>
      <c r="V21" s="702"/>
      <c r="W21" s="702">
        <f>SUM(W22:W24)</f>
        <v>12800</v>
      </c>
      <c r="X21" s="702">
        <f>SUM(X22:X24)</f>
        <v>10000</v>
      </c>
      <c r="Y21" s="702"/>
      <c r="Z21" s="702">
        <f>SUM(Z22:Z24)</f>
        <v>7600</v>
      </c>
      <c r="AA21" s="702">
        <f>SUM(AA22:AA24)</f>
        <v>10000</v>
      </c>
      <c r="AB21" s="702"/>
      <c r="AC21" s="702">
        <f>SUM(AC22:AC24)</f>
        <v>7000</v>
      </c>
      <c r="AD21" s="702">
        <f>SUM(AD22:AD24)</f>
        <v>15400</v>
      </c>
      <c r="AE21" s="702"/>
      <c r="AF21" s="702">
        <f>SUM(AF22:AF24)</f>
        <v>10900</v>
      </c>
      <c r="AG21" s="702">
        <f>SUM(AG22:AG24)</f>
        <v>8000</v>
      </c>
      <c r="AH21" s="702"/>
      <c r="AI21" s="702">
        <f>SUM(AI22:AI24)</f>
        <v>5200</v>
      </c>
      <c r="AJ21" s="702">
        <f>SUM(AJ22:AJ24)</f>
        <v>15500</v>
      </c>
      <c r="AK21" s="702"/>
      <c r="AL21" s="702">
        <f>SUM(AL22:AL24)</f>
        <v>9500</v>
      </c>
      <c r="AM21" s="702">
        <f>SUM(AM22:AM24)</f>
        <v>7000</v>
      </c>
      <c r="AN21" s="702"/>
      <c r="AO21" s="5935">
        <f>SUM(AO22:AO24)</f>
        <v>4250</v>
      </c>
    </row>
    <row r="22" spans="1:41" hidden="1">
      <c r="A22" s="5034" t="s">
        <v>29</v>
      </c>
      <c r="B22" s="43" t="s">
        <v>794</v>
      </c>
      <c r="C22" s="705">
        <f>SUM(F22,L22,O22,R22,U22,X22,AA22,AD22,AG22,AJ22,AM22,I22)</f>
        <v>34800</v>
      </c>
      <c r="D22" s="705"/>
      <c r="E22" s="705">
        <f>SUM(H22,N22,Q22,T22,W22,Z22,AC22,AF22,AI22,AL22,AO22,K22)</f>
        <v>0</v>
      </c>
      <c r="F22" s="705">
        <f>+'Phụ lục số 7.1'!U24</f>
        <v>2500</v>
      </c>
      <c r="G22" s="706">
        <v>0</v>
      </c>
      <c r="H22" s="705">
        <f t="shared" si="3"/>
        <v>0</v>
      </c>
      <c r="I22" s="705">
        <f>+'Phụ lục số 7.1'!AG24</f>
        <v>3000</v>
      </c>
      <c r="J22" s="705">
        <v>0</v>
      </c>
      <c r="K22" s="705">
        <f>I22*J22/100</f>
        <v>0</v>
      </c>
      <c r="L22" s="705">
        <f>+'Phụ lục số 7.1'!AS24</f>
        <v>1500</v>
      </c>
      <c r="M22" s="705">
        <v>0</v>
      </c>
      <c r="N22" s="705">
        <f>L22*M22/100</f>
        <v>0</v>
      </c>
      <c r="O22" s="705">
        <f>+'Phụ lục số 7.1'!BE24</f>
        <v>2000</v>
      </c>
      <c r="P22" s="705">
        <v>0</v>
      </c>
      <c r="Q22" s="705">
        <f>O22*P22/100</f>
        <v>0</v>
      </c>
      <c r="R22" s="705">
        <f>+'Phụ lục số 7.1'!BQ24</f>
        <v>2200</v>
      </c>
      <c r="S22" s="705">
        <v>0</v>
      </c>
      <c r="T22" s="705">
        <f>R22*S22/100</f>
        <v>0</v>
      </c>
      <c r="U22" s="705">
        <f>+'Phụ lục số 7.1'!CC24</f>
        <v>4200</v>
      </c>
      <c r="V22" s="705">
        <v>0</v>
      </c>
      <c r="W22" s="705">
        <f>U22*V22/100</f>
        <v>0</v>
      </c>
      <c r="X22" s="705">
        <f>+'Phụ lục số 7.1'!CO24</f>
        <v>2400</v>
      </c>
      <c r="Y22" s="705">
        <v>0</v>
      </c>
      <c r="Z22" s="705">
        <f>X22*Y22/100</f>
        <v>0</v>
      </c>
      <c r="AA22" s="705">
        <f>+'Phụ lục số 7.1'!DA24</f>
        <v>3000</v>
      </c>
      <c r="AB22" s="705">
        <v>0</v>
      </c>
      <c r="AC22" s="705">
        <f>AA22*AB22/100</f>
        <v>0</v>
      </c>
      <c r="AD22" s="705">
        <f>+'Phụ lục số 7.1'!DM24</f>
        <v>4500</v>
      </c>
      <c r="AE22" s="705">
        <v>0</v>
      </c>
      <c r="AF22" s="705">
        <f>AD22*AE22/100</f>
        <v>0</v>
      </c>
      <c r="AG22" s="705">
        <f>+'Phụ lục số 7.1'!DY24</f>
        <v>2500</v>
      </c>
      <c r="AH22" s="705">
        <v>0</v>
      </c>
      <c r="AI22" s="705">
        <f>AG22*AH22/100</f>
        <v>0</v>
      </c>
      <c r="AJ22" s="705">
        <f>+'Phụ lục số 7.1'!EK24</f>
        <v>4500</v>
      </c>
      <c r="AK22" s="705">
        <v>0</v>
      </c>
      <c r="AL22" s="705">
        <f>AJ22*AK22/100</f>
        <v>0</v>
      </c>
      <c r="AM22" s="705">
        <f>+'Phụ lục số 7.1'!EW24</f>
        <v>2500</v>
      </c>
      <c r="AN22" s="705">
        <v>0</v>
      </c>
      <c r="AO22" s="5936">
        <f>AM22*AN22/100</f>
        <v>0</v>
      </c>
    </row>
    <row r="23" spans="1:41" hidden="1">
      <c r="A23" s="5034" t="s">
        <v>29</v>
      </c>
      <c r="B23" s="43" t="s">
        <v>795</v>
      </c>
      <c r="C23" s="705">
        <f>SUM(F23,L23,O23,R23,U23,X23,AA23,AD23,AG23,AJ23,AM23,I23)</f>
        <v>3200</v>
      </c>
      <c r="D23" s="705"/>
      <c r="E23" s="705">
        <f>SUM(H23,N23,Q23,T23,W23,Z23,AC23,AF23,AI23,AL23,AO23,K23)</f>
        <v>0</v>
      </c>
      <c r="F23" s="705">
        <f>+'Phụ lục số 7.1'!U25</f>
        <v>800</v>
      </c>
      <c r="G23" s="706">
        <v>0</v>
      </c>
      <c r="H23" s="705">
        <f t="shared" si="3"/>
        <v>0</v>
      </c>
      <c r="I23" s="705">
        <f>+'Phụ lục số 7.1'!AG25</f>
        <v>0</v>
      </c>
      <c r="J23" s="705">
        <v>0</v>
      </c>
      <c r="K23" s="705">
        <f>I23*J23/100</f>
        <v>0</v>
      </c>
      <c r="L23" s="705">
        <f>+'Phụ lục số 7.1'!AS25</f>
        <v>150</v>
      </c>
      <c r="M23" s="705">
        <v>0</v>
      </c>
      <c r="N23" s="705">
        <f>L23*M23/100</f>
        <v>0</v>
      </c>
      <c r="O23" s="705">
        <f>+'Phụ lục số 7.1'!BE25</f>
        <v>0</v>
      </c>
      <c r="P23" s="705">
        <v>0</v>
      </c>
      <c r="Q23" s="705">
        <f>O23*P23/100</f>
        <v>0</v>
      </c>
      <c r="R23" s="705">
        <f>+'Phụ lục số 7.1'!BQ25</f>
        <v>200</v>
      </c>
      <c r="S23" s="705">
        <v>0</v>
      </c>
      <c r="T23" s="705">
        <f>R23*S23/100</f>
        <v>0</v>
      </c>
      <c r="U23" s="705">
        <f>+'Phụ lục số 7.1'!CC25</f>
        <v>0</v>
      </c>
      <c r="V23" s="705">
        <v>0</v>
      </c>
      <c r="W23" s="705">
        <f>U23*V23/100</f>
        <v>0</v>
      </c>
      <c r="X23" s="705">
        <f>+'Phụ lục số 7.1'!CO25</f>
        <v>0</v>
      </c>
      <c r="Y23" s="705">
        <v>0</v>
      </c>
      <c r="Z23" s="705">
        <f>X23*Y23/100</f>
        <v>0</v>
      </c>
      <c r="AA23" s="705">
        <f>+'Phụ lục số 7.1'!DA25</f>
        <v>0</v>
      </c>
      <c r="AB23" s="705">
        <v>0</v>
      </c>
      <c r="AC23" s="705">
        <f>AA23*AB23/100</f>
        <v>0</v>
      </c>
      <c r="AD23" s="705">
        <f>+'Phụ lục số 7.1'!DM25</f>
        <v>0</v>
      </c>
      <c r="AE23" s="705">
        <v>0</v>
      </c>
      <c r="AF23" s="705">
        <f>AD23*AE23/100</f>
        <v>0</v>
      </c>
      <c r="AG23" s="705">
        <f>+'Phụ lục số 7.1'!DY25</f>
        <v>300</v>
      </c>
      <c r="AH23" s="705">
        <v>0</v>
      </c>
      <c r="AI23" s="705">
        <f>AG23*AH23/100</f>
        <v>0</v>
      </c>
      <c r="AJ23" s="705">
        <f>+'Phụ lục số 7.1'!EK25</f>
        <v>1500.0000000000002</v>
      </c>
      <c r="AK23" s="705">
        <v>0</v>
      </c>
      <c r="AL23" s="705">
        <f>AJ23*AK23/100</f>
        <v>0</v>
      </c>
      <c r="AM23" s="705">
        <f>+'Phụ lục số 7.1'!EW25</f>
        <v>250</v>
      </c>
      <c r="AN23" s="705">
        <v>0</v>
      </c>
      <c r="AO23" s="5936">
        <f>AM23*AN23/100</f>
        <v>0</v>
      </c>
    </row>
    <row r="24" spans="1:41" hidden="1">
      <c r="A24" s="5034" t="s">
        <v>29</v>
      </c>
      <c r="B24" s="43" t="s">
        <v>796</v>
      </c>
      <c r="C24" s="705">
        <f>SUM(F24,L24,O24,R24,U24,X24,AA24,AD24,AG24,AJ24,AM24,I24)</f>
        <v>72400</v>
      </c>
      <c r="D24" s="705"/>
      <c r="E24" s="705">
        <f>SUM(H24,N24,Q24,T24,W24,Z24,AC24,AF24,AI24,AL24,AO24,K24)</f>
        <v>72400</v>
      </c>
      <c r="F24" s="705">
        <f>+'Phụ lục số 7.1'!U26</f>
        <v>4200</v>
      </c>
      <c r="G24" s="706">
        <v>100</v>
      </c>
      <c r="H24" s="705">
        <f>F24*G24/100</f>
        <v>4200</v>
      </c>
      <c r="I24" s="705">
        <f>+'Phụ lục số 7.1'!AG26</f>
        <v>3000</v>
      </c>
      <c r="J24" s="705">
        <v>100</v>
      </c>
      <c r="K24" s="705">
        <f>I24*J24/100</f>
        <v>3000</v>
      </c>
      <c r="L24" s="705">
        <f>+'Phụ lục số 7.1'!AS26</f>
        <v>1850</v>
      </c>
      <c r="M24" s="705">
        <v>100</v>
      </c>
      <c r="N24" s="705">
        <f>L24*M24/100</f>
        <v>1850</v>
      </c>
      <c r="O24" s="705">
        <f>+'Phụ lục số 7.1'!BE26</f>
        <v>2500</v>
      </c>
      <c r="P24" s="705">
        <v>100</v>
      </c>
      <c r="Q24" s="705">
        <f>O24*P24/100</f>
        <v>2500</v>
      </c>
      <c r="R24" s="705">
        <f>+'Phụ lục số 7.1'!BQ26</f>
        <v>3600</v>
      </c>
      <c r="S24" s="705">
        <v>100</v>
      </c>
      <c r="T24" s="705">
        <f>R24*S24/100</f>
        <v>3600</v>
      </c>
      <c r="U24" s="705">
        <f>+'Phụ lục số 7.1'!CC26</f>
        <v>12800</v>
      </c>
      <c r="V24" s="705">
        <v>100</v>
      </c>
      <c r="W24" s="705">
        <f>U24*V24/100</f>
        <v>12800</v>
      </c>
      <c r="X24" s="705">
        <f>+'Phụ lục số 7.1'!CO26</f>
        <v>7600</v>
      </c>
      <c r="Y24" s="705">
        <v>100</v>
      </c>
      <c r="Z24" s="705">
        <f>X24*Y24/100</f>
        <v>7600</v>
      </c>
      <c r="AA24" s="705">
        <f>+'Phụ lục số 7.1'!DA26</f>
        <v>7000</v>
      </c>
      <c r="AB24" s="705">
        <v>100</v>
      </c>
      <c r="AC24" s="705">
        <f>AA24*AB24/100</f>
        <v>7000</v>
      </c>
      <c r="AD24" s="705">
        <f>+'Phụ lục số 7.1'!DM26</f>
        <v>10900</v>
      </c>
      <c r="AE24" s="705">
        <v>100</v>
      </c>
      <c r="AF24" s="705">
        <f>AD24*AE24/100</f>
        <v>10900</v>
      </c>
      <c r="AG24" s="705">
        <f>+'Phụ lục số 7.1'!DY26</f>
        <v>5200</v>
      </c>
      <c r="AH24" s="705">
        <v>100</v>
      </c>
      <c r="AI24" s="705">
        <f>AG24*AH24/100</f>
        <v>5200</v>
      </c>
      <c r="AJ24" s="705">
        <f>+'Phụ lục số 7.1'!EK26</f>
        <v>9500</v>
      </c>
      <c r="AK24" s="705">
        <v>100</v>
      </c>
      <c r="AL24" s="705">
        <f>AJ24*AK24/100</f>
        <v>9500</v>
      </c>
      <c r="AM24" s="705">
        <f>+'Phụ lục số 7.1'!EW26</f>
        <v>4250</v>
      </c>
      <c r="AN24" s="705">
        <v>100</v>
      </c>
      <c r="AO24" s="5936">
        <f>AM24*AN24/100</f>
        <v>4250</v>
      </c>
    </row>
    <row r="25" spans="1:41" s="696" customFormat="1">
      <c r="A25" s="5027">
        <v>6</v>
      </c>
      <c r="B25" s="701" t="s">
        <v>24</v>
      </c>
      <c r="C25" s="702">
        <f>SUM(C26:C27)</f>
        <v>201000</v>
      </c>
      <c r="D25" s="702"/>
      <c r="E25" s="702">
        <f>SUM(E26:E27)</f>
        <v>180900</v>
      </c>
      <c r="F25" s="702">
        <f>SUM(F26:F27)</f>
        <v>2000</v>
      </c>
      <c r="G25" s="707"/>
      <c r="H25" s="702">
        <f>SUM(H26:H27)</f>
        <v>1800</v>
      </c>
      <c r="I25" s="702">
        <f>SUM(I26:I27)</f>
        <v>6000</v>
      </c>
      <c r="J25" s="702"/>
      <c r="K25" s="702">
        <f>SUM(K26:K27)</f>
        <v>5400</v>
      </c>
      <c r="L25" s="702">
        <f>SUM(L26:L27)</f>
        <v>1000</v>
      </c>
      <c r="M25" s="702"/>
      <c r="N25" s="702">
        <f>SUM(N26:N27)</f>
        <v>900</v>
      </c>
      <c r="O25" s="702">
        <f>SUM(O26:O27)</f>
        <v>2000</v>
      </c>
      <c r="P25" s="702"/>
      <c r="Q25" s="702">
        <f>SUM(Q26:Q27)</f>
        <v>1800</v>
      </c>
      <c r="R25" s="702">
        <f>SUM(R26:R27)</f>
        <v>10000</v>
      </c>
      <c r="S25" s="702"/>
      <c r="T25" s="702">
        <f>SUM(T26:T27)</f>
        <v>9000</v>
      </c>
      <c r="U25" s="702">
        <f>SUM(U26:U27)</f>
        <v>145000</v>
      </c>
      <c r="V25" s="702"/>
      <c r="W25" s="702">
        <f>SUM(W26:W27)</f>
        <v>130500</v>
      </c>
      <c r="X25" s="702">
        <f>SUM(X26:X27)</f>
        <v>4500</v>
      </c>
      <c r="Y25" s="702"/>
      <c r="Z25" s="702">
        <f>SUM(Z26:Z27)</f>
        <v>4050</v>
      </c>
      <c r="AA25" s="702">
        <f>SUM(AA26:AA27)</f>
        <v>2500</v>
      </c>
      <c r="AB25" s="702"/>
      <c r="AC25" s="702">
        <f>SUM(AC26:AC27)</f>
        <v>2250</v>
      </c>
      <c r="AD25" s="702">
        <f>SUM(AD26:AD27)</f>
        <v>5000</v>
      </c>
      <c r="AE25" s="702"/>
      <c r="AF25" s="702">
        <f>SUM(AF26:AF27)</f>
        <v>4500</v>
      </c>
      <c r="AG25" s="702">
        <f>SUM(AG26:AG27)</f>
        <v>2000</v>
      </c>
      <c r="AH25" s="702"/>
      <c r="AI25" s="702">
        <f>SUM(AI26:AI27)</f>
        <v>1800</v>
      </c>
      <c r="AJ25" s="702">
        <f>SUM(AJ26:AJ27)</f>
        <v>17000</v>
      </c>
      <c r="AK25" s="702"/>
      <c r="AL25" s="702">
        <f>SUM(AL26:AL27)</f>
        <v>15300</v>
      </c>
      <c r="AM25" s="702">
        <f>SUM(AM26:AM27)</f>
        <v>4000</v>
      </c>
      <c r="AN25" s="702"/>
      <c r="AO25" s="5935">
        <f>SUM(AO26:AO27)</f>
        <v>3600</v>
      </c>
    </row>
    <row r="26" spans="1:41" s="679" customFormat="1" hidden="1">
      <c r="A26" s="5938" t="s">
        <v>29</v>
      </c>
      <c r="B26" s="1929" t="s">
        <v>790</v>
      </c>
      <c r="C26" s="5097">
        <f>SUM(F26,L26,O26,R26,U26,X26,AA26,AD26,AG26,AJ26,AM26,I26)</f>
        <v>0</v>
      </c>
      <c r="D26" s="5097" t="str">
        <f>IF(E26=0,"",E26/C26*100)</f>
        <v/>
      </c>
      <c r="E26" s="5097">
        <f>SUM(H26,N26,Q26,T26,W26,Z26,AC26,AF26,AI26,AL26,AO26,K26)</f>
        <v>0</v>
      </c>
      <c r="F26" s="5097">
        <f>+'Phụ lục số 7.1'!U28</f>
        <v>0</v>
      </c>
      <c r="G26" s="5098">
        <v>0</v>
      </c>
      <c r="H26" s="5097">
        <f t="shared" si="3"/>
        <v>0</v>
      </c>
      <c r="I26" s="5097">
        <f>+'Phụ lục số 7.1'!AG28</f>
        <v>0</v>
      </c>
      <c r="J26" s="5097">
        <v>0</v>
      </c>
      <c r="K26" s="5097">
        <f>I26*J26/100</f>
        <v>0</v>
      </c>
      <c r="L26" s="5097">
        <f>+'Phụ lục số 7.1'!AS28</f>
        <v>0</v>
      </c>
      <c r="M26" s="5097">
        <v>0</v>
      </c>
      <c r="N26" s="5097">
        <f>L26*M26/100</f>
        <v>0</v>
      </c>
      <c r="O26" s="5097">
        <f>+'Phụ lục số 7.1'!BE28</f>
        <v>0</v>
      </c>
      <c r="P26" s="5097">
        <v>0</v>
      </c>
      <c r="Q26" s="5097">
        <f>O26*P26/100</f>
        <v>0</v>
      </c>
      <c r="R26" s="5097">
        <f>+'Phụ lục số 7.1'!BQ28</f>
        <v>0</v>
      </c>
      <c r="S26" s="5097"/>
      <c r="T26" s="5097"/>
      <c r="U26" s="5097">
        <f>+'Phụ lục số 7.1'!CC28</f>
        <v>0</v>
      </c>
      <c r="V26" s="5097"/>
      <c r="W26" s="5097"/>
      <c r="X26" s="5097">
        <f>+'Phụ lục số 7.1'!CO28</f>
        <v>0</v>
      </c>
      <c r="Y26" s="5097"/>
      <c r="Z26" s="5097"/>
      <c r="AA26" s="5097">
        <f>+'Phụ lục số 7.1'!DA28</f>
        <v>0</v>
      </c>
      <c r="AB26" s="5097"/>
      <c r="AC26" s="5097"/>
      <c r="AD26" s="5097">
        <f>+'Phụ lục số 7.1'!DM28</f>
        <v>0</v>
      </c>
      <c r="AE26" s="5097">
        <v>0</v>
      </c>
      <c r="AF26" s="5097">
        <f>AD26*AE26/100</f>
        <v>0</v>
      </c>
      <c r="AG26" s="5097">
        <f>+'Phụ lục số 7.1'!DY28</f>
        <v>0</v>
      </c>
      <c r="AH26" s="5097">
        <v>0</v>
      </c>
      <c r="AI26" s="5097">
        <f>AG26*AH26/100</f>
        <v>0</v>
      </c>
      <c r="AJ26" s="5097">
        <f>+'Phụ lục số 7.1'!EK28</f>
        <v>0</v>
      </c>
      <c r="AK26" s="5097">
        <v>0</v>
      </c>
      <c r="AL26" s="5097">
        <f>AJ26*AK26/100</f>
        <v>0</v>
      </c>
      <c r="AM26" s="5097">
        <f>+'Phụ lục số 7.1'!EW28</f>
        <v>0</v>
      </c>
      <c r="AN26" s="5097">
        <v>0</v>
      </c>
      <c r="AO26" s="5939">
        <f>AM26*AN26/100</f>
        <v>0</v>
      </c>
    </row>
    <row r="27" spans="1:41" s="679" customFormat="1" hidden="1">
      <c r="A27" s="5938" t="s">
        <v>29</v>
      </c>
      <c r="B27" s="1929" t="s">
        <v>791</v>
      </c>
      <c r="C27" s="5097">
        <f>SUM(F27,L27,O27,R27,U27,X27,AA27,AD27,AG27,AJ27,AM27,I27)</f>
        <v>201000</v>
      </c>
      <c r="D27" s="5097">
        <f>IF(E27=0,"",E27/C27*100)</f>
        <v>90</v>
      </c>
      <c r="E27" s="5097">
        <f>SUM(H27,N27,Q27,T27,W27,Z27,AC27,AF27,AI27,AL27,AO27,K27)</f>
        <v>180900</v>
      </c>
      <c r="F27" s="5097">
        <f>+'Phụ lục số 7.1'!U29</f>
        <v>2000</v>
      </c>
      <c r="G27" s="5098">
        <v>90</v>
      </c>
      <c r="H27" s="5097">
        <f>F27*G27/100</f>
        <v>1800</v>
      </c>
      <c r="I27" s="5097">
        <f>+'Phụ lục số 7.1'!AG29</f>
        <v>6000</v>
      </c>
      <c r="J27" s="5099">
        <f>G27</f>
        <v>90</v>
      </c>
      <c r="K27" s="5097">
        <f>I27*J27/100</f>
        <v>5400</v>
      </c>
      <c r="L27" s="5097">
        <f>+'Phụ lục số 7.1'!AS29</f>
        <v>1000</v>
      </c>
      <c r="M27" s="5100">
        <f>J27</f>
        <v>90</v>
      </c>
      <c r="N27" s="5097">
        <f>L27*M27/100</f>
        <v>900</v>
      </c>
      <c r="O27" s="5097">
        <f>+'Phụ lục số 7.1'!BE29</f>
        <v>2000</v>
      </c>
      <c r="P27" s="5100">
        <f>M27</f>
        <v>90</v>
      </c>
      <c r="Q27" s="5097">
        <f>O27*P27/100</f>
        <v>1800</v>
      </c>
      <c r="R27" s="5097">
        <f>+'Phụ lục số 7.1'!BQ29</f>
        <v>10000</v>
      </c>
      <c r="S27" s="5100">
        <f>P27</f>
        <v>90</v>
      </c>
      <c r="T27" s="5097">
        <f>R27*S27/100</f>
        <v>9000</v>
      </c>
      <c r="U27" s="5097">
        <f>+'Phụ lục số 7.1'!CC29</f>
        <v>145000</v>
      </c>
      <c r="V27" s="5100">
        <f>S27</f>
        <v>90</v>
      </c>
      <c r="W27" s="5097">
        <f>U27*V27/100</f>
        <v>130500</v>
      </c>
      <c r="X27" s="5097">
        <f>+'Phụ lục số 7.1'!CO29</f>
        <v>4500</v>
      </c>
      <c r="Y27" s="5100">
        <f>V27</f>
        <v>90</v>
      </c>
      <c r="Z27" s="5097">
        <f>X27*Y27/100</f>
        <v>4050</v>
      </c>
      <c r="AA27" s="5097">
        <f>+'Phụ lục số 7.1'!DA29</f>
        <v>2500</v>
      </c>
      <c r="AB27" s="5100">
        <f>Y27</f>
        <v>90</v>
      </c>
      <c r="AC27" s="5097">
        <f>AA27*AB27/100</f>
        <v>2250</v>
      </c>
      <c r="AD27" s="5097">
        <f>+'Phụ lục số 7.1'!DM29</f>
        <v>5000</v>
      </c>
      <c r="AE27" s="5100">
        <f>AB27</f>
        <v>90</v>
      </c>
      <c r="AF27" s="5097">
        <f>AD27*AE27/100</f>
        <v>4500</v>
      </c>
      <c r="AG27" s="5097">
        <f>+'Phụ lục số 7.1'!DY29</f>
        <v>2000</v>
      </c>
      <c r="AH27" s="5100">
        <f>AE27</f>
        <v>90</v>
      </c>
      <c r="AI27" s="5097">
        <f>AG27*AH27/100</f>
        <v>1800</v>
      </c>
      <c r="AJ27" s="5097">
        <f>+'Phụ lục số 7.1'!EK29</f>
        <v>17000</v>
      </c>
      <c r="AK27" s="5100">
        <f>AH27</f>
        <v>90</v>
      </c>
      <c r="AL27" s="5097">
        <f>AJ27*AK27/100</f>
        <v>15300</v>
      </c>
      <c r="AM27" s="5097">
        <f>+'Phụ lục số 7.1'!EW29</f>
        <v>4000</v>
      </c>
      <c r="AN27" s="5100">
        <f>AK27</f>
        <v>90</v>
      </c>
      <c r="AO27" s="5939">
        <f>AM27*AN27/100</f>
        <v>3600</v>
      </c>
    </row>
    <row r="28" spans="1:41" s="5102" customFormat="1">
      <c r="A28" s="5940">
        <v>7</v>
      </c>
      <c r="B28" s="2741" t="s">
        <v>797</v>
      </c>
      <c r="C28" s="4832">
        <f>SUM(C29:C30)</f>
        <v>1600000</v>
      </c>
      <c r="D28" s="4832"/>
      <c r="E28" s="4832">
        <f>SUM(E29:E30)</f>
        <v>1093500</v>
      </c>
      <c r="F28" s="4832">
        <f>SUM(F29:F30)</f>
        <v>60000</v>
      </c>
      <c r="G28" s="5101"/>
      <c r="H28" s="4832">
        <f>SUM(H29:H30)</f>
        <v>54000</v>
      </c>
      <c r="I28" s="4832">
        <f>SUM(I29:I30)</f>
        <v>290000</v>
      </c>
      <c r="J28" s="4832"/>
      <c r="K28" s="4832">
        <f>SUM(K29:K30)</f>
        <v>261000</v>
      </c>
      <c r="L28" s="4832">
        <f>SUM(L29:L30)</f>
        <v>30000</v>
      </c>
      <c r="M28" s="4832"/>
      <c r="N28" s="4832">
        <f>SUM(N29:N30)</f>
        <v>27000</v>
      </c>
      <c r="O28" s="4832">
        <f>SUM(O29:O30)</f>
        <v>60000</v>
      </c>
      <c r="P28" s="4832"/>
      <c r="Q28" s="4832">
        <f>SUM(Q29:Q30)</f>
        <v>54000</v>
      </c>
      <c r="R28" s="4832">
        <f>SUM(R29:R30)</f>
        <v>50000</v>
      </c>
      <c r="S28" s="4832"/>
      <c r="T28" s="4832">
        <f>SUM(T29:T30)</f>
        <v>45000</v>
      </c>
      <c r="U28" s="4832">
        <f>SUM(U29:U30)</f>
        <v>310000</v>
      </c>
      <c r="V28" s="4832"/>
      <c r="W28" s="4832">
        <f>SUM(W29:W30)</f>
        <v>144000</v>
      </c>
      <c r="X28" s="4832">
        <f>SUM(X29:X30)</f>
        <v>75000</v>
      </c>
      <c r="Y28" s="4832"/>
      <c r="Z28" s="4832">
        <f>SUM(Z29:Z30)</f>
        <v>67500</v>
      </c>
      <c r="AA28" s="4832">
        <f>SUM(AA29:AA30)</f>
        <v>100000</v>
      </c>
      <c r="AB28" s="4832"/>
      <c r="AC28" s="4832">
        <f>SUM(AC29:AC30)</f>
        <v>90000</v>
      </c>
      <c r="AD28" s="4832">
        <f>SUM(AD29:AD30)</f>
        <v>60000</v>
      </c>
      <c r="AE28" s="4832"/>
      <c r="AF28" s="4832">
        <f>SUM(AF29:AF30)</f>
        <v>54000</v>
      </c>
      <c r="AG28" s="4832">
        <f>SUM(AG29:AG30)</f>
        <v>70000</v>
      </c>
      <c r="AH28" s="4832"/>
      <c r="AI28" s="4832">
        <f>SUM(AI29:AI30)</f>
        <v>63000</v>
      </c>
      <c r="AJ28" s="4832">
        <f>SUM(AJ29:AJ30)</f>
        <v>395000</v>
      </c>
      <c r="AK28" s="4832"/>
      <c r="AL28" s="4832">
        <f>SUM(AL29:AL30)</f>
        <v>144000</v>
      </c>
      <c r="AM28" s="4832">
        <f>SUM(AM29:AM30)</f>
        <v>100000</v>
      </c>
      <c r="AN28" s="4832"/>
      <c r="AO28" s="5941">
        <f>SUM(AO29:AO30)</f>
        <v>90000</v>
      </c>
    </row>
    <row r="29" spans="1:41" s="679" customFormat="1" hidden="1">
      <c r="A29" s="5938" t="s">
        <v>29</v>
      </c>
      <c r="B29" s="1929" t="s">
        <v>790</v>
      </c>
      <c r="C29" s="5097">
        <f>SUM(F29,L29,O29,R29,U29,X29,AA29,AD29,AG29,AJ29,AM29,I29)</f>
        <v>385000</v>
      </c>
      <c r="D29" s="5097" t="str">
        <f t="shared" ref="D29:D34" si="16">IF(E29=0,"",E29/C29*100)</f>
        <v/>
      </c>
      <c r="E29" s="5097">
        <f>SUM(H29,N29,Q29,T29,W29,Z29,AC29,AF29,AI29,AL29,AO29,K29)</f>
        <v>0</v>
      </c>
      <c r="F29" s="5097">
        <f>+'Phụ lục số 7.1'!U31</f>
        <v>0</v>
      </c>
      <c r="G29" s="5098">
        <v>0</v>
      </c>
      <c r="H29" s="5097">
        <f t="shared" si="3"/>
        <v>0</v>
      </c>
      <c r="I29" s="5097">
        <f>+'Phụ lục số 7.1'!AG31</f>
        <v>0</v>
      </c>
      <c r="J29" s="5097">
        <v>0</v>
      </c>
      <c r="K29" s="5097">
        <f>I29*J29/100</f>
        <v>0</v>
      </c>
      <c r="L29" s="5097">
        <f>+'Phụ lục số 7.1'!AS31</f>
        <v>0</v>
      </c>
      <c r="M29" s="5097">
        <v>0</v>
      </c>
      <c r="N29" s="5097">
        <f>L29*M29/100</f>
        <v>0</v>
      </c>
      <c r="O29" s="5097">
        <f>+'Phụ lục số 7.1'!BE31</f>
        <v>0</v>
      </c>
      <c r="P29" s="5097">
        <v>0</v>
      </c>
      <c r="Q29" s="5097">
        <f>O29*P29/100</f>
        <v>0</v>
      </c>
      <c r="R29" s="5097">
        <f>+'Phụ lục số 7.1'!BQ31</f>
        <v>0</v>
      </c>
      <c r="S29" s="5097">
        <v>0</v>
      </c>
      <c r="T29" s="5097">
        <f>R29*S29/100</f>
        <v>0</v>
      </c>
      <c r="U29" s="5097">
        <f>+'Phụ lục số 7.1'!CC31</f>
        <v>150000</v>
      </c>
      <c r="V29" s="5097">
        <v>0</v>
      </c>
      <c r="W29" s="5097">
        <f>U29*V29/100</f>
        <v>0</v>
      </c>
      <c r="X29" s="5097">
        <f>+'Phụ lục số 7.1'!CO31</f>
        <v>0</v>
      </c>
      <c r="Y29" s="5097">
        <v>0</v>
      </c>
      <c r="Z29" s="5097">
        <f>X29*Y29/100</f>
        <v>0</v>
      </c>
      <c r="AA29" s="5097">
        <f>+'Phụ lục số 7.1'!DA31</f>
        <v>0</v>
      </c>
      <c r="AB29" s="5097">
        <v>0</v>
      </c>
      <c r="AC29" s="5097">
        <f>AA29*AB29/100</f>
        <v>0</v>
      </c>
      <c r="AD29" s="5097">
        <f>+'Phụ lục số 7.1'!DM31</f>
        <v>0</v>
      </c>
      <c r="AE29" s="5097">
        <v>0</v>
      </c>
      <c r="AF29" s="5097">
        <f>AD29*AE29/100</f>
        <v>0</v>
      </c>
      <c r="AG29" s="5097">
        <f>+'Phụ lục số 7.1'!DY31</f>
        <v>0</v>
      </c>
      <c r="AH29" s="5097">
        <v>0</v>
      </c>
      <c r="AI29" s="5097">
        <f>AG29*AH29/100</f>
        <v>0</v>
      </c>
      <c r="AJ29" s="5097">
        <f>+'Phụ lục số 7.1'!EK31</f>
        <v>235000</v>
      </c>
      <c r="AK29" s="5097">
        <v>0</v>
      </c>
      <c r="AL29" s="5097">
        <f>AJ29*AK29/100</f>
        <v>0</v>
      </c>
      <c r="AM29" s="5097">
        <f>+'Phụ lục số 7.1'!EW31</f>
        <v>0</v>
      </c>
      <c r="AN29" s="5097">
        <v>0</v>
      </c>
      <c r="AO29" s="5939">
        <f>AM29*AN29/100</f>
        <v>0</v>
      </c>
    </row>
    <row r="30" spans="1:41" s="679" customFormat="1" hidden="1">
      <c r="A30" s="5938" t="s">
        <v>29</v>
      </c>
      <c r="B30" s="1929" t="s">
        <v>791</v>
      </c>
      <c r="C30" s="5097">
        <f>SUM(F30,L30,O30,R30,U30,X30,AA30,AD30,AG30,AJ30,AM30,I30)</f>
        <v>1215000</v>
      </c>
      <c r="D30" s="5097">
        <f t="shared" si="16"/>
        <v>90</v>
      </c>
      <c r="E30" s="5097">
        <f>SUM(H30,N30,Q30,T30,W30,Z30,AC30,AF30,AI30,AL30,AO30,K30)</f>
        <v>1093500</v>
      </c>
      <c r="F30" s="5097">
        <f>+'Phụ lục số 7.1'!U32</f>
        <v>60000</v>
      </c>
      <c r="G30" s="5098">
        <v>90</v>
      </c>
      <c r="H30" s="5097">
        <f>F30*G30/100</f>
        <v>54000</v>
      </c>
      <c r="I30" s="5097">
        <f>+'Phụ lục số 7.1'!AG32</f>
        <v>290000</v>
      </c>
      <c r="J30" s="5099">
        <f>G30</f>
        <v>90</v>
      </c>
      <c r="K30" s="5097">
        <f>I30*J30/100</f>
        <v>261000</v>
      </c>
      <c r="L30" s="5097">
        <f>+'Phụ lục số 7.1'!AS32</f>
        <v>30000</v>
      </c>
      <c r="M30" s="5100">
        <f>J30</f>
        <v>90</v>
      </c>
      <c r="N30" s="5097">
        <f>L30*M30/100</f>
        <v>27000</v>
      </c>
      <c r="O30" s="5097">
        <f>+'Phụ lục số 7.1'!BE32</f>
        <v>60000</v>
      </c>
      <c r="P30" s="5100">
        <f>M30</f>
        <v>90</v>
      </c>
      <c r="Q30" s="5097">
        <f>O30*P30/100</f>
        <v>54000</v>
      </c>
      <c r="R30" s="5097">
        <f>+'Phụ lục số 7.1'!BQ32</f>
        <v>50000</v>
      </c>
      <c r="S30" s="5100">
        <f>P30</f>
        <v>90</v>
      </c>
      <c r="T30" s="5097">
        <f>R30*S30/100</f>
        <v>45000</v>
      </c>
      <c r="U30" s="5097">
        <f>+'Phụ lục số 7.1'!CC32</f>
        <v>160000</v>
      </c>
      <c r="V30" s="5100">
        <f>S30</f>
        <v>90</v>
      </c>
      <c r="W30" s="5097">
        <f>U30*V30/100</f>
        <v>144000</v>
      </c>
      <c r="X30" s="5097">
        <f>+'Phụ lục số 7.1'!CO32</f>
        <v>75000</v>
      </c>
      <c r="Y30" s="5100">
        <f>V30</f>
        <v>90</v>
      </c>
      <c r="Z30" s="5097">
        <f>X30*Y30/100</f>
        <v>67500</v>
      </c>
      <c r="AA30" s="5097">
        <f>+'Phụ lục số 7.1'!DA32</f>
        <v>100000</v>
      </c>
      <c r="AB30" s="5100">
        <f>Y30</f>
        <v>90</v>
      </c>
      <c r="AC30" s="5097">
        <f>AA30*AB30/100</f>
        <v>90000</v>
      </c>
      <c r="AD30" s="5097">
        <f>+'Phụ lục số 7.1'!DM32</f>
        <v>60000</v>
      </c>
      <c r="AE30" s="5100">
        <f>AB30</f>
        <v>90</v>
      </c>
      <c r="AF30" s="5097">
        <f>AD30*AE30/100</f>
        <v>54000</v>
      </c>
      <c r="AG30" s="5097">
        <f>+'Phụ lục số 7.1'!DY32</f>
        <v>70000</v>
      </c>
      <c r="AH30" s="5100">
        <f>AE30</f>
        <v>90</v>
      </c>
      <c r="AI30" s="5097">
        <f>AG30*AH30/100</f>
        <v>63000</v>
      </c>
      <c r="AJ30" s="5097">
        <f>+'Phụ lục số 7.1'!EK32</f>
        <v>160000</v>
      </c>
      <c r="AK30" s="5100">
        <f>AH30</f>
        <v>90</v>
      </c>
      <c r="AL30" s="5097">
        <f>AJ30*AK30/100</f>
        <v>144000</v>
      </c>
      <c r="AM30" s="5097">
        <f>+'Phụ lục số 7.1'!EW32</f>
        <v>100000</v>
      </c>
      <c r="AN30" s="5100">
        <f>AK30</f>
        <v>90</v>
      </c>
      <c r="AO30" s="5939">
        <f>AM30*AN30/100</f>
        <v>90000</v>
      </c>
    </row>
    <row r="31" spans="1:41" s="696" customFormat="1">
      <c r="A31" s="5027">
        <v>8</v>
      </c>
      <c r="B31" s="701" t="s">
        <v>798</v>
      </c>
      <c r="C31" s="702">
        <f>SUM(C32:C34)</f>
        <v>330000</v>
      </c>
      <c r="D31" s="702"/>
      <c r="E31" s="702">
        <f>SUM(E32:E34)</f>
        <v>206500</v>
      </c>
      <c r="F31" s="702">
        <f>SUM(F32:F34)</f>
        <v>29000</v>
      </c>
      <c r="G31" s="702"/>
      <c r="H31" s="702">
        <f>SUM(H32:H34)</f>
        <v>27000</v>
      </c>
      <c r="I31" s="702">
        <f>SUM(I32:I34)</f>
        <v>14000</v>
      </c>
      <c r="J31" s="702"/>
      <c r="K31" s="702">
        <f>SUM(K32:K34)</f>
        <v>8000</v>
      </c>
      <c r="L31" s="702">
        <f>SUM(L32:L34)</f>
        <v>10000</v>
      </c>
      <c r="M31" s="702"/>
      <c r="N31" s="702">
        <f>SUM(N32:N34)</f>
        <v>9000</v>
      </c>
      <c r="O31" s="702">
        <f>SUM(O32:O34)</f>
        <v>22000</v>
      </c>
      <c r="P31" s="702"/>
      <c r="Q31" s="702">
        <f>SUM(Q32:Q34)</f>
        <v>13000</v>
      </c>
      <c r="R31" s="702">
        <f>SUM(R32:R34)</f>
        <v>25000</v>
      </c>
      <c r="S31" s="702"/>
      <c r="T31" s="702">
        <f>SUM(T32:T34)</f>
        <v>18500</v>
      </c>
      <c r="U31" s="702">
        <f>SUM(U32:U34)</f>
        <v>90000</v>
      </c>
      <c r="V31" s="702"/>
      <c r="W31" s="702">
        <f>SUM(W32:W34)</f>
        <v>25499.999999999989</v>
      </c>
      <c r="X31" s="702">
        <f>SUM(X32:X34)</f>
        <v>26000</v>
      </c>
      <c r="Y31" s="702"/>
      <c r="Z31" s="702">
        <f>SUM(Z32:Z34)</f>
        <v>16000</v>
      </c>
      <c r="AA31" s="702">
        <f>SUM(AA32:AA34)</f>
        <v>20000</v>
      </c>
      <c r="AB31" s="702"/>
      <c r="AC31" s="702">
        <f>SUM(AC32:AC34)</f>
        <v>14500</v>
      </c>
      <c r="AD31" s="702">
        <f>SUM(AD32:AD34)</f>
        <v>25000</v>
      </c>
      <c r="AE31" s="702"/>
      <c r="AF31" s="702">
        <f>SUM(AF32:AF34)</f>
        <v>20000</v>
      </c>
      <c r="AG31" s="702">
        <f>SUM(AG32:AG34)</f>
        <v>21000</v>
      </c>
      <c r="AH31" s="702"/>
      <c r="AI31" s="702">
        <f>SUM(AI32:AI34)</f>
        <v>18000</v>
      </c>
      <c r="AJ31" s="702">
        <f>SUM(AJ32:AJ34)</f>
        <v>33000</v>
      </c>
      <c r="AK31" s="702"/>
      <c r="AL31" s="702">
        <f>SUM(AL32:AL34)</f>
        <v>25000</v>
      </c>
      <c r="AM31" s="702">
        <f>SUM(AM32:AM34)</f>
        <v>15000</v>
      </c>
      <c r="AN31" s="702"/>
      <c r="AO31" s="5935">
        <f>SUM(AO32:AO34)</f>
        <v>12000</v>
      </c>
    </row>
    <row r="32" spans="1:41" hidden="1">
      <c r="A32" s="5034" t="s">
        <v>29</v>
      </c>
      <c r="B32" s="43" t="s">
        <v>799</v>
      </c>
      <c r="C32" s="705">
        <f>SUM(F32,L32,O32,R32,U32,X32,AA32,AD32,AG32,AJ32,AM32,I32)</f>
        <v>89000</v>
      </c>
      <c r="D32" s="705" t="str">
        <f t="shared" si="16"/>
        <v/>
      </c>
      <c r="E32" s="705">
        <f t="shared" ref="E32:E37" si="17">SUM(H32,N32,Q32,T32,W32,Z32,AC32,AF32,AI32,AL32,AO32,K32)</f>
        <v>0</v>
      </c>
      <c r="F32" s="705">
        <f>+'Phụ lục số 7.1'!U34</f>
        <v>2000</v>
      </c>
      <c r="G32" s="705">
        <v>0</v>
      </c>
      <c r="H32" s="705">
        <f t="shared" si="3"/>
        <v>0</v>
      </c>
      <c r="I32" s="705">
        <f>+'Phụ lục số 7.1'!AG34</f>
        <v>3000</v>
      </c>
      <c r="J32" s="705">
        <v>0</v>
      </c>
      <c r="K32" s="705">
        <f>I32*J32/100</f>
        <v>0</v>
      </c>
      <c r="L32" s="705">
        <f>+'Phụ lục số 7.1'!AS34</f>
        <v>500</v>
      </c>
      <c r="M32" s="705">
        <v>0</v>
      </c>
      <c r="N32" s="705">
        <f>L32*M32/100</f>
        <v>0</v>
      </c>
      <c r="O32" s="705">
        <f>+'Phụ lục số 7.1'!BE34</f>
        <v>4000</v>
      </c>
      <c r="P32" s="705">
        <v>0</v>
      </c>
      <c r="Q32" s="705">
        <f>O32*P32/100</f>
        <v>0</v>
      </c>
      <c r="R32" s="705">
        <f>+'Phụ lục số 7.1'!BQ34</f>
        <v>3500</v>
      </c>
      <c r="S32" s="705">
        <v>0</v>
      </c>
      <c r="T32" s="705">
        <f>R32*S32/100</f>
        <v>0</v>
      </c>
      <c r="U32" s="705">
        <f>+'Phụ lục số 7.1'!CC34</f>
        <v>55000.000000000007</v>
      </c>
      <c r="V32" s="705">
        <v>0</v>
      </c>
      <c r="W32" s="705">
        <f>U32*V32/100</f>
        <v>0</v>
      </c>
      <c r="X32" s="705">
        <f>+'Phụ lục số 7.1'!CO34</f>
        <v>5500</v>
      </c>
      <c r="Y32" s="705">
        <v>0</v>
      </c>
      <c r="Z32" s="705">
        <f>X32*Y32/100</f>
        <v>0</v>
      </c>
      <c r="AA32" s="705">
        <f>+'Phụ lục số 7.1'!DA34</f>
        <v>4000</v>
      </c>
      <c r="AB32" s="705">
        <v>0</v>
      </c>
      <c r="AC32" s="705">
        <f>AA32*AB32/100</f>
        <v>0</v>
      </c>
      <c r="AD32" s="705">
        <f>+'Phụ lục số 7.1'!DM34</f>
        <v>3000</v>
      </c>
      <c r="AE32" s="705">
        <v>0</v>
      </c>
      <c r="AF32" s="705">
        <f>AD32*AE32/100</f>
        <v>0</v>
      </c>
      <c r="AG32" s="705">
        <f>+'Phụ lục số 7.1'!DY34</f>
        <v>1500</v>
      </c>
      <c r="AH32" s="705">
        <v>0</v>
      </c>
      <c r="AI32" s="705">
        <f>AG32*AH32/100</f>
        <v>0</v>
      </c>
      <c r="AJ32" s="705">
        <f>+'Phụ lục số 7.1'!EK34</f>
        <v>5000</v>
      </c>
      <c r="AK32" s="705">
        <v>0</v>
      </c>
      <c r="AL32" s="705">
        <f>AJ32*AK32/100</f>
        <v>0</v>
      </c>
      <c r="AM32" s="705">
        <f>+'Phụ lục số 7.1'!EW34</f>
        <v>2000</v>
      </c>
      <c r="AN32" s="705">
        <v>0</v>
      </c>
      <c r="AO32" s="5936">
        <f>AM32*AN32/100</f>
        <v>0</v>
      </c>
    </row>
    <row r="33" spans="1:41" hidden="1">
      <c r="A33" s="5034" t="s">
        <v>29</v>
      </c>
      <c r="B33" s="43" t="s">
        <v>800</v>
      </c>
      <c r="C33" s="705">
        <f t="shared" ref="C33:C37" si="18">SUM(F33,L33,O33,R33,U33,X33,AA33,AD33,AG33,AJ33,AM33,I33)</f>
        <v>34500</v>
      </c>
      <c r="D33" s="705" t="str">
        <f t="shared" si="16"/>
        <v/>
      </c>
      <c r="E33" s="705">
        <f t="shared" si="17"/>
        <v>0</v>
      </c>
      <c r="F33" s="705">
        <f>+'Phụ lục số 7.1'!U35</f>
        <v>0</v>
      </c>
      <c r="G33" s="705">
        <v>0</v>
      </c>
      <c r="H33" s="705">
        <f t="shared" si="3"/>
        <v>0</v>
      </c>
      <c r="I33" s="705">
        <f>+'Phụ lục số 7.1'!AG35</f>
        <v>3000</v>
      </c>
      <c r="J33" s="705">
        <v>0</v>
      </c>
      <c r="K33" s="705">
        <f>I33*J33/100</f>
        <v>0</v>
      </c>
      <c r="L33" s="705">
        <f>+'Phụ lục số 7.1'!AS35</f>
        <v>500</v>
      </c>
      <c r="M33" s="705">
        <v>0</v>
      </c>
      <c r="N33" s="705">
        <f>L33*M33/100</f>
        <v>0</v>
      </c>
      <c r="O33" s="705">
        <f>+'Phụ lục số 7.1'!BE35</f>
        <v>5000</v>
      </c>
      <c r="P33" s="705">
        <v>0</v>
      </c>
      <c r="Q33" s="705">
        <f>O33*P33/100</f>
        <v>0</v>
      </c>
      <c r="R33" s="705">
        <f>+'Phụ lục số 7.1'!BQ35</f>
        <v>3000</v>
      </c>
      <c r="S33" s="705">
        <v>0</v>
      </c>
      <c r="T33" s="705">
        <f>R33*S33/100</f>
        <v>0</v>
      </c>
      <c r="U33" s="705">
        <f>+'Phụ lục số 7.1'!CC35</f>
        <v>9500</v>
      </c>
      <c r="V33" s="705">
        <v>0</v>
      </c>
      <c r="W33" s="705">
        <f>U33*V33/100</f>
        <v>0</v>
      </c>
      <c r="X33" s="705">
        <f>+'Phụ lục số 7.1'!CO35</f>
        <v>4500</v>
      </c>
      <c r="Y33" s="705">
        <v>0</v>
      </c>
      <c r="Z33" s="705">
        <f>X33*Y33/100</f>
        <v>0</v>
      </c>
      <c r="AA33" s="705">
        <f>+'Phụ lục số 7.1'!DA35</f>
        <v>1500</v>
      </c>
      <c r="AB33" s="705">
        <v>0</v>
      </c>
      <c r="AC33" s="705">
        <f>AA33*AB33/100</f>
        <v>0</v>
      </c>
      <c r="AD33" s="705">
        <f>+'Phụ lục số 7.1'!DM35</f>
        <v>2000</v>
      </c>
      <c r="AE33" s="705">
        <v>0</v>
      </c>
      <c r="AF33" s="705">
        <f>AD33*AE33/100</f>
        <v>0</v>
      </c>
      <c r="AG33" s="705">
        <f>+'Phụ lục số 7.1'!DY35</f>
        <v>1500</v>
      </c>
      <c r="AH33" s="705">
        <v>0</v>
      </c>
      <c r="AI33" s="705">
        <f>AG33*AH33/100</f>
        <v>0</v>
      </c>
      <c r="AJ33" s="705">
        <f>+'Phụ lục số 7.1'!EK35</f>
        <v>3000</v>
      </c>
      <c r="AK33" s="705">
        <v>0</v>
      </c>
      <c r="AL33" s="705">
        <f>AJ33*AK33/100</f>
        <v>0</v>
      </c>
      <c r="AM33" s="705">
        <f>+'Phụ lục số 7.1'!EW35</f>
        <v>1000</v>
      </c>
      <c r="AN33" s="705">
        <v>0</v>
      </c>
      <c r="AO33" s="5936">
        <f>AM33*AN33/100</f>
        <v>0</v>
      </c>
    </row>
    <row r="34" spans="1:41" hidden="1">
      <c r="A34" s="5034" t="s">
        <v>29</v>
      </c>
      <c r="B34" s="43" t="s">
        <v>801</v>
      </c>
      <c r="C34" s="705">
        <f t="shared" si="18"/>
        <v>206500</v>
      </c>
      <c r="D34" s="705">
        <f t="shared" si="16"/>
        <v>100</v>
      </c>
      <c r="E34" s="705">
        <f t="shared" si="17"/>
        <v>206500</v>
      </c>
      <c r="F34" s="705">
        <f>+'Phụ lục số 7.1'!U36</f>
        <v>27000</v>
      </c>
      <c r="G34" s="705">
        <v>100</v>
      </c>
      <c r="H34" s="705">
        <f t="shared" si="3"/>
        <v>27000</v>
      </c>
      <c r="I34" s="705">
        <f>+'Phụ lục số 7.1'!AG36</f>
        <v>8000</v>
      </c>
      <c r="J34" s="705">
        <v>100</v>
      </c>
      <c r="K34" s="705">
        <f>I34*J34/100</f>
        <v>8000</v>
      </c>
      <c r="L34" s="705">
        <f>+'Phụ lục số 7.1'!AS36</f>
        <v>9000</v>
      </c>
      <c r="M34" s="705">
        <v>100</v>
      </c>
      <c r="N34" s="705">
        <f>L34*M34/100</f>
        <v>9000</v>
      </c>
      <c r="O34" s="705">
        <f>+'Phụ lục số 7.1'!BE36</f>
        <v>13000</v>
      </c>
      <c r="P34" s="705">
        <v>100</v>
      </c>
      <c r="Q34" s="705">
        <f>O34*P34/100</f>
        <v>13000</v>
      </c>
      <c r="R34" s="705">
        <f>+'Phụ lục số 7.1'!BQ36</f>
        <v>18500</v>
      </c>
      <c r="S34" s="705">
        <v>100</v>
      </c>
      <c r="T34" s="705">
        <f>R34*S34/100</f>
        <v>18500</v>
      </c>
      <c r="U34" s="705">
        <f>+'Phụ lục số 7.1'!CC36</f>
        <v>25499.999999999993</v>
      </c>
      <c r="V34" s="705">
        <v>100</v>
      </c>
      <c r="W34" s="705">
        <f>U34*V34/100</f>
        <v>25499.999999999989</v>
      </c>
      <c r="X34" s="705">
        <f>+'Phụ lục số 7.1'!CO36</f>
        <v>16000</v>
      </c>
      <c r="Y34" s="705">
        <v>100</v>
      </c>
      <c r="Z34" s="705">
        <f>X34*Y34/100</f>
        <v>16000</v>
      </c>
      <c r="AA34" s="705">
        <f>+'Phụ lục số 7.1'!DA36</f>
        <v>14500</v>
      </c>
      <c r="AB34" s="705">
        <v>100</v>
      </c>
      <c r="AC34" s="705">
        <f>AA34*AB34/100</f>
        <v>14500</v>
      </c>
      <c r="AD34" s="705">
        <f>+'Phụ lục số 7.1'!DM36</f>
        <v>20000</v>
      </c>
      <c r="AE34" s="705">
        <v>100</v>
      </c>
      <c r="AF34" s="705">
        <f>AD34*AE34/100</f>
        <v>20000</v>
      </c>
      <c r="AG34" s="705">
        <f>+'Phụ lục số 7.1'!DY36</f>
        <v>18000</v>
      </c>
      <c r="AH34" s="705">
        <v>100</v>
      </c>
      <c r="AI34" s="705">
        <f>AG34*AH34/100</f>
        <v>18000</v>
      </c>
      <c r="AJ34" s="705">
        <f>+'Phụ lục số 7.1'!EK36</f>
        <v>25000</v>
      </c>
      <c r="AK34" s="705">
        <v>100</v>
      </c>
      <c r="AL34" s="705">
        <f>AJ34*AK34/100</f>
        <v>25000</v>
      </c>
      <c r="AM34" s="705">
        <f>+'Phụ lục số 7.1'!EW36</f>
        <v>12000</v>
      </c>
      <c r="AN34" s="705">
        <v>100</v>
      </c>
      <c r="AO34" s="5936">
        <f>AM34*AN34/100</f>
        <v>12000</v>
      </c>
    </row>
    <row r="35" spans="1:41" s="5104" customFormat="1">
      <c r="A35" s="5940">
        <v>9</v>
      </c>
      <c r="B35" s="2741" t="s">
        <v>31</v>
      </c>
      <c r="C35" s="4832">
        <f t="shared" si="18"/>
        <v>2000</v>
      </c>
      <c r="D35" s="5097">
        <f>IF(E35=0,"",E35/C35*100)</f>
        <v>100</v>
      </c>
      <c r="E35" s="4832">
        <f t="shared" si="17"/>
        <v>2000</v>
      </c>
      <c r="F35" s="5103">
        <f>+'Phụ lục số 7.1'!U37</f>
        <v>150</v>
      </c>
      <c r="G35" s="4832">
        <v>100</v>
      </c>
      <c r="H35" s="4832">
        <f>F35*G35/100</f>
        <v>150</v>
      </c>
      <c r="I35" s="5103">
        <f>+'Phụ lục số 7.1'!AG37</f>
        <v>100</v>
      </c>
      <c r="J35" s="4832">
        <v>100</v>
      </c>
      <c r="K35" s="4832">
        <f>I35*J35/100</f>
        <v>100</v>
      </c>
      <c r="L35" s="5097">
        <f>+'Phụ lục số 7.1'!AS37</f>
        <v>0</v>
      </c>
      <c r="M35" s="4832">
        <v>100</v>
      </c>
      <c r="N35" s="4832">
        <f>L35*M35/100</f>
        <v>0</v>
      </c>
      <c r="O35" s="4832">
        <f>+'Phụ lục số 7.1'!BE37</f>
        <v>0</v>
      </c>
      <c r="P35" s="4832">
        <v>100</v>
      </c>
      <c r="Q35" s="4832">
        <f>O35*P35/100</f>
        <v>0</v>
      </c>
      <c r="R35" s="4832">
        <f>+'Phụ lục số 7.1'!BQ37</f>
        <v>0</v>
      </c>
      <c r="S35" s="4832">
        <v>100</v>
      </c>
      <c r="T35" s="4832">
        <f>R35*S35/100</f>
        <v>0</v>
      </c>
      <c r="U35" s="4832">
        <f>+'Phụ lục số 7.1'!CC37</f>
        <v>200</v>
      </c>
      <c r="V35" s="4832">
        <v>100</v>
      </c>
      <c r="W35" s="4832">
        <f>U35*V35/100</f>
        <v>200</v>
      </c>
      <c r="X35" s="4832">
        <f>+'Phụ lục số 7.1'!CO37</f>
        <v>200</v>
      </c>
      <c r="Y35" s="4832">
        <v>100</v>
      </c>
      <c r="Z35" s="4832">
        <f>X35*Y35/100</f>
        <v>200</v>
      </c>
      <c r="AA35" s="4832">
        <f>+'Phụ lục số 7.1'!DA37</f>
        <v>800</v>
      </c>
      <c r="AB35" s="4832">
        <v>100</v>
      </c>
      <c r="AC35" s="4832">
        <f>AA35*AB35/100</f>
        <v>800</v>
      </c>
      <c r="AD35" s="4832">
        <f>+'Phụ lục số 7.1'!DM37</f>
        <v>0</v>
      </c>
      <c r="AE35" s="4832">
        <v>100</v>
      </c>
      <c r="AF35" s="4832">
        <f>AD35*AE35/100</f>
        <v>0</v>
      </c>
      <c r="AG35" s="4832">
        <f>+'Phụ lục số 7.1'!DY37</f>
        <v>0</v>
      </c>
      <c r="AH35" s="4832">
        <v>100</v>
      </c>
      <c r="AI35" s="4832">
        <f>AG35*AH35/100</f>
        <v>0</v>
      </c>
      <c r="AJ35" s="4832">
        <f>+'Phụ lục số 7.1'!EK37</f>
        <v>500</v>
      </c>
      <c r="AK35" s="4832">
        <v>100</v>
      </c>
      <c r="AL35" s="4832">
        <f>AJ35*AK35/100</f>
        <v>500</v>
      </c>
      <c r="AM35" s="4832">
        <f>+'Phụ lục số 7.1'!EW37</f>
        <v>50</v>
      </c>
      <c r="AN35" s="4832">
        <v>100</v>
      </c>
      <c r="AO35" s="5941">
        <f>AM35*AN35/100</f>
        <v>50</v>
      </c>
    </row>
    <row r="36" spans="1:41" s="5102" customFormat="1">
      <c r="A36" s="5940" t="s">
        <v>33</v>
      </c>
      <c r="B36" s="2741" t="s">
        <v>802</v>
      </c>
      <c r="C36" s="4832">
        <f t="shared" si="18"/>
        <v>7078351.9069999997</v>
      </c>
      <c r="D36" s="5097"/>
      <c r="E36" s="4832">
        <f t="shared" si="17"/>
        <v>7078351.9069999997</v>
      </c>
      <c r="F36" s="4832">
        <f>F37+F39+F38</f>
        <v>620300.99</v>
      </c>
      <c r="G36" s="4832"/>
      <c r="H36" s="4832">
        <f>F36</f>
        <v>620300.99</v>
      </c>
      <c r="I36" s="4832">
        <f>I37+I39+I38</f>
        <v>414420.174</v>
      </c>
      <c r="J36" s="4832"/>
      <c r="K36" s="4832">
        <f>I36</f>
        <v>414420.174</v>
      </c>
      <c r="L36" s="4832">
        <f>L37+L39+L38</f>
        <v>578186.21900000004</v>
      </c>
      <c r="M36" s="4832"/>
      <c r="N36" s="4832">
        <f t="shared" ref="N36:N40" si="19">L36</f>
        <v>578186.21900000004</v>
      </c>
      <c r="O36" s="4832">
        <f>O37+O39+O38</f>
        <v>624717.45200000005</v>
      </c>
      <c r="P36" s="4832"/>
      <c r="Q36" s="4832">
        <f t="shared" ref="Q36:Q40" si="20">O36</f>
        <v>624717.45200000005</v>
      </c>
      <c r="R36" s="4832">
        <f>R37+R39+R38</f>
        <v>751634.22600000002</v>
      </c>
      <c r="S36" s="4832"/>
      <c r="T36" s="4832">
        <f t="shared" ref="T36:T40" si="21">R36</f>
        <v>751634.22600000002</v>
      </c>
      <c r="U36" s="4832">
        <f>U37+U39+U38</f>
        <v>96559.929000000004</v>
      </c>
      <c r="V36" s="4832"/>
      <c r="W36" s="4832">
        <f t="shared" ref="W36:W40" si="22">U36</f>
        <v>96559.929000000004</v>
      </c>
      <c r="X36" s="4832">
        <f>X37+X39+X38</f>
        <v>904084.62100000004</v>
      </c>
      <c r="Y36" s="4832"/>
      <c r="Z36" s="4832">
        <f t="shared" ref="Z36:Z40" si="23">X36</f>
        <v>904084.62100000004</v>
      </c>
      <c r="AA36" s="4832">
        <f>AA37+AA39+AA38</f>
        <v>736843.87899999996</v>
      </c>
      <c r="AB36" s="4832"/>
      <c r="AC36" s="4832">
        <f t="shared" ref="AC36:AC40" si="24">AA36</f>
        <v>736843.87899999996</v>
      </c>
      <c r="AD36" s="4832">
        <f>AD37+AD39+AD38</f>
        <v>750709.82700000005</v>
      </c>
      <c r="AE36" s="4832"/>
      <c r="AF36" s="4832">
        <f t="shared" ref="AF36:AF40" si="25">AD36</f>
        <v>750709.82700000005</v>
      </c>
      <c r="AG36" s="4832">
        <f>AG37+AG39+AG38</f>
        <v>668080.38300000003</v>
      </c>
      <c r="AH36" s="4832"/>
      <c r="AI36" s="4832">
        <f t="shared" ref="AI36:AI40" si="26">AG36</f>
        <v>668080.38300000003</v>
      </c>
      <c r="AJ36" s="4832">
        <f>AJ37+AJ39+AJ38</f>
        <v>304362.73499999999</v>
      </c>
      <c r="AK36" s="4832"/>
      <c r="AL36" s="4832">
        <f t="shared" ref="AL36:AL40" si="27">AJ36</f>
        <v>304362.73499999999</v>
      </c>
      <c r="AM36" s="4832">
        <f>AM37+AM39+AM38</f>
        <v>628451.47200000007</v>
      </c>
      <c r="AN36" s="4832"/>
      <c r="AO36" s="5941">
        <f t="shared" ref="AO36:AO40" si="28">AM36</f>
        <v>628451.47200000007</v>
      </c>
    </row>
    <row r="37" spans="1:41" s="2750" customFormat="1">
      <c r="A37" s="1926">
        <v>1</v>
      </c>
      <c r="B37" s="46" t="s">
        <v>803</v>
      </c>
      <c r="C37" s="4851">
        <f t="shared" si="18"/>
        <v>4430923</v>
      </c>
      <c r="D37" s="4851"/>
      <c r="E37" s="4851">
        <f t="shared" si="17"/>
        <v>4430923</v>
      </c>
      <c r="F37" s="4851">
        <f>'[2]Phụ lục 6.1 Chi'!N11</f>
        <v>413967</v>
      </c>
      <c r="G37" s="4851"/>
      <c r="H37" s="4851">
        <f>F37</f>
        <v>413967</v>
      </c>
      <c r="I37" s="4851">
        <f>'[2]Phụ lục 6.1 Chi'!V11</f>
        <v>225665</v>
      </c>
      <c r="J37" s="4851"/>
      <c r="K37" s="4851">
        <f t="shared" ref="K37" si="29">I37</f>
        <v>225665</v>
      </c>
      <c r="L37" s="4851">
        <f>'[2]Phụ lục 6.1 Chi'!AD11</f>
        <v>391207</v>
      </c>
      <c r="M37" s="4851"/>
      <c r="N37" s="4851">
        <f t="shared" si="19"/>
        <v>391207</v>
      </c>
      <c r="O37" s="4851">
        <f>'[2]Phụ lục 6.1 Chi'!AL11</f>
        <v>388772</v>
      </c>
      <c r="P37" s="4851"/>
      <c r="Q37" s="4851">
        <f t="shared" si="20"/>
        <v>388772</v>
      </c>
      <c r="R37" s="4851">
        <f>'[2]Phụ lục 6.1 Chi'!AT11</f>
        <v>449761</v>
      </c>
      <c r="S37" s="4851"/>
      <c r="T37" s="4851">
        <f t="shared" si="21"/>
        <v>449761</v>
      </c>
      <c r="U37" s="4851">
        <f>'[2]Phụ lục 6.1 Chi'!BB11</f>
        <v>37354</v>
      </c>
      <c r="V37" s="4851"/>
      <c r="W37" s="4851">
        <f t="shared" si="22"/>
        <v>37354</v>
      </c>
      <c r="X37" s="4851">
        <f>'[2]Phụ lục 6.1 Chi'!BJ11</f>
        <v>566422</v>
      </c>
      <c r="Y37" s="4851"/>
      <c r="Z37" s="4851">
        <f t="shared" si="23"/>
        <v>566422</v>
      </c>
      <c r="AA37" s="4851">
        <f>'[2]Phụ lục 6.1 Chi'!BR11</f>
        <v>441700</v>
      </c>
      <c r="AB37" s="4851"/>
      <c r="AC37" s="4851">
        <f t="shared" si="24"/>
        <v>441700</v>
      </c>
      <c r="AD37" s="4851">
        <f>'[2]Phụ lục 6.1 Chi'!BZ11</f>
        <v>470689</v>
      </c>
      <c r="AE37" s="4851"/>
      <c r="AF37" s="4851">
        <f t="shared" si="25"/>
        <v>470689</v>
      </c>
      <c r="AG37" s="4851">
        <f>'[2]Phụ lục 6.1 Chi'!CH11</f>
        <v>440874</v>
      </c>
      <c r="AH37" s="4851"/>
      <c r="AI37" s="4851">
        <f t="shared" si="26"/>
        <v>440874</v>
      </c>
      <c r="AJ37" s="4851">
        <f>'[2]Phụ lục 6.1 Chi'!CP11</f>
        <v>224584</v>
      </c>
      <c r="AK37" s="4851"/>
      <c r="AL37" s="4851">
        <f t="shared" si="27"/>
        <v>224584</v>
      </c>
      <c r="AM37" s="4851">
        <f>'[2]Phụ lục 6.1 Chi'!CX11</f>
        <v>379928</v>
      </c>
      <c r="AN37" s="4851"/>
      <c r="AO37" s="5942">
        <f t="shared" si="28"/>
        <v>379928</v>
      </c>
    </row>
    <row r="38" spans="1:41" s="2750" customFormat="1" ht="42" customHeight="1">
      <c r="A38" s="1926">
        <v>2</v>
      </c>
      <c r="B38" s="1927" t="s">
        <v>3136</v>
      </c>
      <c r="C38" s="4851">
        <f>SUM(F38,L38,O38,R38,U38,X38,AA38,AD38,AG38,AJ38,AM38,I38)</f>
        <v>1681469</v>
      </c>
      <c r="D38" s="4851"/>
      <c r="E38" s="4851">
        <f>SUM(H38,N38,Q38,T38,W38,Z38,AC38,AF38,AI38,AL38,AO38,K38)</f>
        <v>1681469</v>
      </c>
      <c r="F38" s="4851">
        <f>'Phụ lục số 8.1'!P12</f>
        <v>146571</v>
      </c>
      <c r="G38" s="4851"/>
      <c r="H38" s="4851">
        <f>+F38</f>
        <v>146571</v>
      </c>
      <c r="I38" s="4851">
        <f>'Phụ lục số 8.1'!X12</f>
        <v>141419</v>
      </c>
      <c r="J38" s="4851"/>
      <c r="K38" s="4851">
        <f>+I38</f>
        <v>141419</v>
      </c>
      <c r="L38" s="4851">
        <f>'Phụ lục số 8.1'!AF12</f>
        <v>114393</v>
      </c>
      <c r="M38" s="4851"/>
      <c r="N38" s="4851">
        <f>+L38</f>
        <v>114393</v>
      </c>
      <c r="O38" s="4851">
        <f>'Phụ lục số 8.1'!AN12</f>
        <v>152060</v>
      </c>
      <c r="P38" s="4851"/>
      <c r="Q38" s="4851">
        <f>+O38</f>
        <v>152060</v>
      </c>
      <c r="R38" s="4851">
        <f>'Phụ lục số 8.1'!AV12</f>
        <v>204980</v>
      </c>
      <c r="S38" s="4851"/>
      <c r="T38" s="4851">
        <f>+R38</f>
        <v>204980</v>
      </c>
      <c r="U38" s="4851">
        <f>'Phụ lục số 8.1'!BD12</f>
        <v>0</v>
      </c>
      <c r="V38" s="4851"/>
      <c r="W38" s="4851">
        <f>+U38</f>
        <v>0</v>
      </c>
      <c r="X38" s="4851">
        <f>'Phụ lục số 8.1'!BL12</f>
        <v>199350</v>
      </c>
      <c r="Y38" s="4851"/>
      <c r="Z38" s="4851">
        <f>+X38</f>
        <v>199350</v>
      </c>
      <c r="AA38" s="4851">
        <f>'Phụ lục số 8.1'!BT12</f>
        <v>179744</v>
      </c>
      <c r="AB38" s="4851"/>
      <c r="AC38" s="4851">
        <f>+AA38</f>
        <v>179744</v>
      </c>
      <c r="AD38" s="4851">
        <f>'Phụ lục số 8.1'!CB12</f>
        <v>201862</v>
      </c>
      <c r="AE38" s="4851"/>
      <c r="AF38" s="4851">
        <f>+AD38</f>
        <v>201862</v>
      </c>
      <c r="AG38" s="4851">
        <f>'Phụ lục số 8.1'!CJ12</f>
        <v>175043</v>
      </c>
      <c r="AH38" s="4851"/>
      <c r="AI38" s="4851">
        <f>+AG38</f>
        <v>175043</v>
      </c>
      <c r="AJ38" s="4851">
        <f>'Phụ lục số 8.1'!CR12</f>
        <v>0</v>
      </c>
      <c r="AK38" s="4851"/>
      <c r="AL38" s="4851">
        <f>+AJ38</f>
        <v>0</v>
      </c>
      <c r="AM38" s="4851">
        <f>'Phụ lục số 8.1'!CZ12</f>
        <v>166047</v>
      </c>
      <c r="AN38" s="4851"/>
      <c r="AO38" s="5942">
        <f>+AM38</f>
        <v>166047</v>
      </c>
    </row>
    <row r="39" spans="1:41" s="2750" customFormat="1">
      <c r="A39" s="1926">
        <v>3</v>
      </c>
      <c r="B39" s="46" t="s">
        <v>804</v>
      </c>
      <c r="C39" s="4851">
        <f>SUM(F39,L39,O39,R39,U39,X39,AA39,AD39,AG39,AJ39,AM39,I39)</f>
        <v>965959.90700000001</v>
      </c>
      <c r="D39" s="4851"/>
      <c r="E39" s="4851">
        <f>SUM(H39,N39,Q39,T39,W39,Z39,AC39,AF39,AI39,AL39,AO39,K39)</f>
        <v>965959.90700000001</v>
      </c>
      <c r="F39" s="4851">
        <f>'Phụ lục số 8.1'!P13</f>
        <v>59762.99</v>
      </c>
      <c r="G39" s="4851"/>
      <c r="H39" s="4851">
        <f>F39</f>
        <v>59762.99</v>
      </c>
      <c r="I39" s="4851">
        <f>'Phụ lục số 8.1'!X13</f>
        <v>47336.173999999999</v>
      </c>
      <c r="J39" s="4851"/>
      <c r="K39" s="4851">
        <f>I39</f>
        <v>47336.173999999999</v>
      </c>
      <c r="L39" s="4851">
        <f>'Phụ lục số 8.1'!AF13</f>
        <v>72586.218999999997</v>
      </c>
      <c r="M39" s="4851"/>
      <c r="N39" s="4851">
        <f>L39</f>
        <v>72586.218999999997</v>
      </c>
      <c r="O39" s="4851">
        <f>'Phụ lục số 8.1'!AN13</f>
        <v>83885.45199999999</v>
      </c>
      <c r="P39" s="4851"/>
      <c r="Q39" s="4851">
        <f>O39</f>
        <v>83885.45199999999</v>
      </c>
      <c r="R39" s="4851">
        <f>'Phụ lục số 8.1'!AV13</f>
        <v>96893.225999999995</v>
      </c>
      <c r="S39" s="4851"/>
      <c r="T39" s="4851">
        <f>R39</f>
        <v>96893.225999999995</v>
      </c>
      <c r="U39" s="4851">
        <f>'Phụ lục số 8.1'!BD13</f>
        <v>59205.928999999996</v>
      </c>
      <c r="V39" s="4851"/>
      <c r="W39" s="4851">
        <f>U39</f>
        <v>59205.928999999996</v>
      </c>
      <c r="X39" s="4851">
        <f>'Phụ lục số 8.1'!BL13</f>
        <v>138312.62099999998</v>
      </c>
      <c r="Y39" s="4851"/>
      <c r="Z39" s="4851">
        <f>X39</f>
        <v>138312.62099999998</v>
      </c>
      <c r="AA39" s="4851">
        <f>'Phụ lục số 8.1'!BT13</f>
        <v>115399.87899999999</v>
      </c>
      <c r="AB39" s="4851"/>
      <c r="AC39" s="4851">
        <f>AA39</f>
        <v>115399.87899999999</v>
      </c>
      <c r="AD39" s="4851">
        <f>'Phụ lục số 8.1'!CB13</f>
        <v>78158.827000000005</v>
      </c>
      <c r="AE39" s="4851"/>
      <c r="AF39" s="4851">
        <f>AD39</f>
        <v>78158.827000000005</v>
      </c>
      <c r="AG39" s="4851">
        <f>'Phụ lục số 8.1'!CJ13</f>
        <v>52163.383000000002</v>
      </c>
      <c r="AH39" s="4851"/>
      <c r="AI39" s="4851">
        <f>AG39</f>
        <v>52163.383000000002</v>
      </c>
      <c r="AJ39" s="4851">
        <f>'Phụ lục số 8.1'!CR13</f>
        <v>79778.735000000001</v>
      </c>
      <c r="AK39" s="4851"/>
      <c r="AL39" s="4851">
        <f>AJ39</f>
        <v>79778.735000000001</v>
      </c>
      <c r="AM39" s="4851">
        <f>'Phụ lục số 8.1'!CZ13</f>
        <v>82476.472000000009</v>
      </c>
      <c r="AN39" s="4851"/>
      <c r="AO39" s="5942">
        <f>AM39</f>
        <v>82476.472000000009</v>
      </c>
    </row>
    <row r="40" spans="1:41" s="5104" customFormat="1" ht="17.399999999999999">
      <c r="A40" s="5940" t="s">
        <v>182</v>
      </c>
      <c r="B40" s="2741" t="s">
        <v>808</v>
      </c>
      <c r="C40" s="4832">
        <f>SUM(F40,L40,O40,R40,U40,X40,AA40,AD40,AG40,AJ40,AM40,I40)</f>
        <v>941000</v>
      </c>
      <c r="D40" s="4832"/>
      <c r="E40" s="4832">
        <f>SUM(H40,N40,Q40,T40,W40,Z40,AC40,AF40,AI40,AL40,AO40,K40)</f>
        <v>941000</v>
      </c>
      <c r="F40" s="4832">
        <f>+'Phụ lục số 8.1'!P23</f>
        <v>45493</v>
      </c>
      <c r="G40" s="4832"/>
      <c r="H40" s="4832">
        <f t="shared" ref="H40" si="30">F40</f>
        <v>45493</v>
      </c>
      <c r="I40" s="4832">
        <f>+'Phụ lục số 8.1'!X23</f>
        <v>0</v>
      </c>
      <c r="J40" s="4832"/>
      <c r="K40" s="4832">
        <f>I40</f>
        <v>0</v>
      </c>
      <c r="L40" s="4832">
        <f>+'Phụ lục số 8.1'!AF23</f>
        <v>36240</v>
      </c>
      <c r="M40" s="4832"/>
      <c r="N40" s="4832">
        <f t="shared" si="19"/>
        <v>36240</v>
      </c>
      <c r="O40" s="4832">
        <f>+'Phụ lục số 8.1'!AN23</f>
        <v>16410</v>
      </c>
      <c r="P40" s="4832"/>
      <c r="Q40" s="4832">
        <f t="shared" si="20"/>
        <v>16410</v>
      </c>
      <c r="R40" s="4832">
        <f>+'Phụ lục số 8.1'!AV23</f>
        <v>17902</v>
      </c>
      <c r="S40" s="4832"/>
      <c r="T40" s="4832">
        <f t="shared" si="21"/>
        <v>17902</v>
      </c>
      <c r="U40" s="4832">
        <f>+'Phụ lục số 8.1'!BD23</f>
        <v>517247</v>
      </c>
      <c r="V40" s="4832"/>
      <c r="W40" s="4832">
        <f t="shared" si="22"/>
        <v>517247</v>
      </c>
      <c r="X40" s="4832">
        <f>+'Phụ lục số 8.1'!BL23</f>
        <v>45892</v>
      </c>
      <c r="Y40" s="4832"/>
      <c r="Z40" s="4832">
        <f t="shared" si="23"/>
        <v>45892</v>
      </c>
      <c r="AA40" s="4832">
        <f>+'Phụ lục số 8.1'!BT23</f>
        <v>20039</v>
      </c>
      <c r="AB40" s="4832"/>
      <c r="AC40" s="4832">
        <f t="shared" si="24"/>
        <v>20039</v>
      </c>
      <c r="AD40" s="4832">
        <f>+'Phụ lục số 8.1'!CB23</f>
        <v>0</v>
      </c>
      <c r="AE40" s="4832"/>
      <c r="AF40" s="4832">
        <f t="shared" si="25"/>
        <v>0</v>
      </c>
      <c r="AG40" s="4832">
        <f>+'Phụ lục số 8.1'!CJ23</f>
        <v>16209</v>
      </c>
      <c r="AH40" s="4832"/>
      <c r="AI40" s="4832">
        <f t="shared" si="26"/>
        <v>16209</v>
      </c>
      <c r="AJ40" s="4832">
        <f>+'Phụ lục số 8.1'!CR23</f>
        <v>203111</v>
      </c>
      <c r="AK40" s="4832"/>
      <c r="AL40" s="4832">
        <f t="shared" si="27"/>
        <v>203111</v>
      </c>
      <c r="AM40" s="4832">
        <f>+'Phụ lục số 8.1'!CZ23</f>
        <v>22457</v>
      </c>
      <c r="AN40" s="4832"/>
      <c r="AO40" s="5941">
        <f t="shared" si="28"/>
        <v>22457</v>
      </c>
    </row>
    <row r="41" spans="1:41" s="679" customFormat="1" ht="18.600000000000001" thickBot="1">
      <c r="A41" s="5943"/>
      <c r="B41" s="5944" t="s">
        <v>809</v>
      </c>
      <c r="C41" s="5945"/>
      <c r="D41" s="5945"/>
      <c r="E41" s="5945">
        <f>SUM(H41,N41,Q41,T41,W41,Z41,AC41,AF41,AI41,AL41,AO41,K41)</f>
        <v>11751651.907</v>
      </c>
      <c r="F41" s="5945"/>
      <c r="G41" s="5945"/>
      <c r="H41" s="5945">
        <f>SUM(H7,H36,H40)</f>
        <v>800543.99</v>
      </c>
      <c r="I41" s="5945"/>
      <c r="J41" s="5945"/>
      <c r="K41" s="5945">
        <f>SUM(K7,K36,K40)</f>
        <v>767830.174</v>
      </c>
      <c r="L41" s="5945"/>
      <c r="M41" s="5945"/>
      <c r="N41" s="5945">
        <f>SUM(N7,N36,N40)</f>
        <v>713376.21900000004</v>
      </c>
      <c r="O41" s="5945"/>
      <c r="P41" s="5945"/>
      <c r="Q41" s="5945">
        <f>SUM(Q7,Q36,Q40)</f>
        <v>778427.45200000005</v>
      </c>
      <c r="R41" s="5945"/>
      <c r="S41" s="5945"/>
      <c r="T41" s="5945">
        <f>SUM(T7,T36,T40)</f>
        <v>950436.22600000002</v>
      </c>
      <c r="U41" s="5945"/>
      <c r="V41" s="5945"/>
      <c r="W41" s="5945">
        <f>SUM(W7,W36,W40)</f>
        <v>1814306.929</v>
      </c>
      <c r="X41" s="5945"/>
      <c r="Y41" s="5945"/>
      <c r="Z41" s="5945">
        <f>SUM(Z7,Z36,Z40)</f>
        <v>1193776.621</v>
      </c>
      <c r="AA41" s="5945"/>
      <c r="AB41" s="5945"/>
      <c r="AC41" s="5945">
        <f>SUM(AC7,AC36,AC40)</f>
        <v>1015582.879</v>
      </c>
      <c r="AD41" s="5945"/>
      <c r="AE41" s="5945"/>
      <c r="AF41" s="5945">
        <f>SUM(AF7,AF36,AF40)</f>
        <v>1007609.827</v>
      </c>
      <c r="AG41" s="5945"/>
      <c r="AH41" s="5945"/>
      <c r="AI41" s="5945">
        <f>SUM(AI7,AI36,AI40)</f>
        <v>891369.38300000003</v>
      </c>
      <c r="AJ41" s="5945"/>
      <c r="AK41" s="5945"/>
      <c r="AL41" s="5945">
        <f>SUM(AL7,AL36,AL40)</f>
        <v>946873.73499999999</v>
      </c>
      <c r="AM41" s="5945"/>
      <c r="AN41" s="5945"/>
      <c r="AO41" s="5946">
        <f>SUM(AO7,AO36,AO40)</f>
        <v>871518.47200000007</v>
      </c>
    </row>
    <row r="42" spans="1:41" hidden="1">
      <c r="E42" s="716">
        <f>E7/C7</f>
        <v>0.8306182400854587</v>
      </c>
      <c r="H42" s="716">
        <f>H7/F7</f>
        <v>0.86295228946525782</v>
      </c>
      <c r="K42" s="716">
        <f>K7/I7</f>
        <v>0.90075187969924808</v>
      </c>
      <c r="N42" s="716">
        <f>N7/L7</f>
        <v>0.94417938931297707</v>
      </c>
      <c r="Q42" s="716">
        <f>Q7/O7</f>
        <v>0.88466494845360821</v>
      </c>
      <c r="T42" s="716">
        <f>T7/R7</f>
        <v>0.92201834862385323</v>
      </c>
      <c r="W42" s="716">
        <f>W7/U7</f>
        <v>0.79953379953379955</v>
      </c>
      <c r="Z42" s="716">
        <f>Z7/X7</f>
        <v>0.91327964038209397</v>
      </c>
      <c r="AC42" s="716">
        <f>AC7/AA7</f>
        <v>0.92957240388070428</v>
      </c>
      <c r="AF42" s="716">
        <f>AF7/AD7</f>
        <v>0.93012309920347569</v>
      </c>
      <c r="AI42" s="716">
        <f>AI7/AG7</f>
        <v>0.93405502931889939</v>
      </c>
      <c r="AL42" s="716">
        <f>AL7/AJ7</f>
        <v>0.62149929278642146</v>
      </c>
      <c r="AO42" s="716">
        <f>AO7/AM7</f>
        <v>0.93064754271250794</v>
      </c>
    </row>
    <row r="43" spans="1:41" ht="18.600000000000001" thickTop="1"/>
    <row r="46" spans="1:41">
      <c r="E46" s="692">
        <f>+'Phụ lục số 8'!C5</f>
        <v>11751651.907000002</v>
      </c>
      <c r="H46" s="692">
        <f>+H41*1000000</f>
        <v>800543990000</v>
      </c>
      <c r="K46" s="692">
        <f>+K41*1000000</f>
        <v>767830174000</v>
      </c>
      <c r="N46" s="692">
        <f>+N41*1000000</f>
        <v>713376219000</v>
      </c>
      <c r="Q46" s="692">
        <f>+Q41*1000000</f>
        <v>778427452000</v>
      </c>
      <c r="T46" s="692">
        <f>+T41*1000000</f>
        <v>950436226000</v>
      </c>
      <c r="W46" s="692">
        <f>+W41*1000000</f>
        <v>1814306929000</v>
      </c>
      <c r="X46" s="692">
        <f>+X41*1000000</f>
        <v>0</v>
      </c>
      <c r="Z46" s="692">
        <f>+Z41*1000000</f>
        <v>1193776621000</v>
      </c>
      <c r="AC46" s="692">
        <f>+AC41*1000000</f>
        <v>1015582879000</v>
      </c>
      <c r="AF46" s="692">
        <f>+AF41*1000000</f>
        <v>1007609827000</v>
      </c>
      <c r="AI46" s="692">
        <f>+AI41*1000000</f>
        <v>891369383000</v>
      </c>
      <c r="AL46" s="692">
        <f>+AL41*1000000</f>
        <v>946873735000</v>
      </c>
      <c r="AO46" s="692">
        <f>+AO41*1000000</f>
        <v>871518472000.00012</v>
      </c>
    </row>
    <row r="47" spans="1:41">
      <c r="E47" s="692">
        <f>+E41-E46</f>
        <v>0</v>
      </c>
    </row>
    <row r="49" spans="2:5">
      <c r="E49" s="692"/>
    </row>
    <row r="50" spans="2:5">
      <c r="B50" s="667">
        <f>+E41*1000</f>
        <v>11751651907</v>
      </c>
    </row>
    <row r="51" spans="2:5">
      <c r="B51" s="667">
        <f>+'Phụ lục số 8'!C5*1000</f>
        <v>11751651907.000002</v>
      </c>
    </row>
    <row r="52" spans="2:5">
      <c r="B52" s="667">
        <f>+'Phụ lục số 7'!E36*1000</f>
        <v>7078351907</v>
      </c>
    </row>
    <row r="53" spans="2:5">
      <c r="B53" s="667">
        <f>+E38*1000</f>
        <v>1681469000</v>
      </c>
    </row>
  </sheetData>
  <mergeCells count="21">
    <mergeCell ref="C1:W1"/>
    <mergeCell ref="C2:W2"/>
    <mergeCell ref="X1:AO1"/>
    <mergeCell ref="X2:AO2"/>
    <mergeCell ref="A5:A6"/>
    <mergeCell ref="B5:B6"/>
    <mergeCell ref="C5:E5"/>
    <mergeCell ref="F5:H5"/>
    <mergeCell ref="I5:K5"/>
    <mergeCell ref="AD5:AF5"/>
    <mergeCell ref="AG5:AI5"/>
    <mergeCell ref="U4:W4"/>
    <mergeCell ref="AM4:AO4"/>
    <mergeCell ref="L5:N5"/>
    <mergeCell ref="O5:Q5"/>
    <mergeCell ref="AJ5:AL5"/>
    <mergeCell ref="AM5:AO5"/>
    <mergeCell ref="R5:T5"/>
    <mergeCell ref="U5:W5"/>
    <mergeCell ref="X5:Z5"/>
    <mergeCell ref="AA5:AC5"/>
  </mergeCells>
  <hyperlinks>
    <hyperlink ref="A5:A6"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FF0000"/>
  </sheetPr>
  <dimension ref="A1:FF88"/>
  <sheetViews>
    <sheetView zoomScale="60" zoomScaleNormal="60" workbookViewId="0">
      <pane xSplit="14" ySplit="8" topLeftCell="AF35" activePane="bottomRight" state="frozen"/>
      <selection activeCell="B40" sqref="B40"/>
      <selection pane="topRight" activeCell="B40" sqref="B40"/>
      <selection pane="bottomLeft" activeCell="B40" sqref="B40"/>
      <selection pane="bottomRight" activeCell="AH32" sqref="AH32"/>
    </sheetView>
  </sheetViews>
  <sheetFormatPr defaultRowHeight="18"/>
  <cols>
    <col min="1" max="1" width="5.44140625" style="583" customWidth="1"/>
    <col min="2" max="2" width="86.109375" style="381" customWidth="1"/>
    <col min="3" max="4" width="10" style="381" customWidth="1"/>
    <col min="5" max="6" width="10" style="381" hidden="1" customWidth="1"/>
    <col min="7" max="10" width="10" style="381" customWidth="1"/>
    <col min="11" max="16" width="10" style="666" customWidth="1"/>
    <col min="17" max="18" width="10" style="666" hidden="1" customWidth="1"/>
    <col min="19" max="26" width="10" style="666" customWidth="1"/>
    <col min="27" max="28" width="10" style="381" customWidth="1"/>
    <col min="29" max="30" width="10" style="381" hidden="1" customWidth="1"/>
    <col min="31" max="34" width="10" style="381" customWidth="1"/>
    <col min="35" max="38" width="10" style="666" customWidth="1"/>
    <col min="39" max="40" width="10" style="381" customWidth="1"/>
    <col min="41" max="42" width="10" style="381" hidden="1" customWidth="1"/>
    <col min="43" max="52" width="10" style="381" customWidth="1"/>
    <col min="53" max="54" width="10" style="381" hidden="1" customWidth="1"/>
    <col min="55" max="64" width="10" style="381" customWidth="1"/>
    <col min="65" max="66" width="10" style="381" hidden="1" customWidth="1"/>
    <col min="67" max="76" width="10" style="381" customWidth="1"/>
    <col min="77" max="78" width="10" style="381" hidden="1" customWidth="1"/>
    <col min="79" max="88" width="10" style="381" customWidth="1"/>
    <col min="89" max="90" width="10" style="381" hidden="1" customWidth="1"/>
    <col min="91" max="100" width="10" style="381" customWidth="1"/>
    <col min="101" max="102" width="10" style="381" hidden="1" customWidth="1"/>
    <col min="103" max="112" width="10" style="381" customWidth="1"/>
    <col min="113" max="114" width="10" style="381" hidden="1" customWidth="1"/>
    <col min="115" max="124" width="10" style="381" customWidth="1"/>
    <col min="125" max="126" width="10" style="381" hidden="1" customWidth="1"/>
    <col min="127" max="136" width="10" style="381" customWidth="1"/>
    <col min="137" max="138" width="10" style="381" hidden="1" customWidth="1"/>
    <col min="139" max="142" width="10" style="381" customWidth="1"/>
    <col min="143" max="143" width="11.44140625" style="381" customWidth="1"/>
    <col min="144" max="148" width="10" style="381" customWidth="1"/>
    <col min="149" max="150" width="10" style="381" hidden="1" customWidth="1"/>
    <col min="151" max="158" width="10" style="381" customWidth="1"/>
    <col min="159" max="160" width="8.6640625" style="381" customWidth="1"/>
    <col min="161" max="161" width="10.6640625" style="381" customWidth="1"/>
    <col min="162" max="162" width="9.109375" style="381" customWidth="1"/>
    <col min="163" max="257" width="9.109375" style="381"/>
    <col min="258" max="258" width="5.109375" style="381" bestFit="1" customWidth="1"/>
    <col min="259" max="259" width="79" style="381" customWidth="1"/>
    <col min="260" max="260" width="10.5546875" style="381" customWidth="1"/>
    <col min="261" max="261" width="9.88671875" style="381" customWidth="1"/>
    <col min="262" max="262" width="10.6640625" style="381" customWidth="1"/>
    <col min="263" max="263" width="11.6640625" style="381" customWidth="1"/>
    <col min="264" max="264" width="12.109375" style="381" customWidth="1"/>
    <col min="265" max="265" width="11.44140625" style="381" customWidth="1"/>
    <col min="266" max="267" width="9.6640625" style="381" customWidth="1"/>
    <col min="268" max="268" width="8.5546875" style="381" customWidth="1"/>
    <col min="269" max="269" width="8.109375" style="381" customWidth="1"/>
    <col min="270" max="270" width="9.33203125" style="381" customWidth="1"/>
    <col min="271" max="272" width="8.5546875" style="381" customWidth="1"/>
    <col min="273" max="273" width="9.88671875" style="381" customWidth="1"/>
    <col min="274" max="276" width="8.5546875" style="381" customWidth="1"/>
    <col min="277" max="277" width="9.5546875" style="381" customWidth="1"/>
    <col min="278" max="278" width="8.5546875" style="381" customWidth="1"/>
    <col min="279" max="279" width="9.44140625" style="381" customWidth="1"/>
    <col min="280" max="282" width="8.5546875" style="381" customWidth="1"/>
    <col min="283" max="283" width="9.44140625" style="381" customWidth="1"/>
    <col min="284" max="284" width="9.33203125" style="381" customWidth="1"/>
    <col min="285" max="285" width="9.44140625" style="381" customWidth="1"/>
    <col min="286" max="286" width="10" style="381" customWidth="1"/>
    <col min="287" max="287" width="8.109375" style="381" customWidth="1"/>
    <col min="288" max="288" width="10.88671875" style="381" customWidth="1"/>
    <col min="289" max="289" width="9.88671875" style="381" customWidth="1"/>
    <col min="290" max="290" width="10.109375" style="381" customWidth="1"/>
    <col min="291" max="291" width="9.33203125" style="381" customWidth="1"/>
    <col min="292" max="294" width="8.6640625" style="381" customWidth="1"/>
    <col min="295" max="295" width="7.44140625" style="381" customWidth="1"/>
    <col min="296" max="304" width="9.6640625" style="381" customWidth="1"/>
    <col min="305" max="305" width="8.5546875" style="381" customWidth="1"/>
    <col min="306" max="306" width="8.33203125" style="381" customWidth="1"/>
    <col min="307" max="307" width="9.6640625" style="381" customWidth="1"/>
    <col min="308" max="308" width="10.6640625" style="381" customWidth="1"/>
    <col min="309" max="311" width="9.6640625" style="381" customWidth="1"/>
    <col min="312" max="312" width="10.5546875" style="381" customWidth="1"/>
    <col min="313" max="315" width="9.6640625" style="381" customWidth="1"/>
    <col min="316" max="316" width="9" style="381" customWidth="1"/>
    <col min="317" max="317" width="9.6640625" style="381" customWidth="1"/>
    <col min="318" max="318" width="8.44140625" style="381" customWidth="1"/>
    <col min="319" max="319" width="8.6640625" style="381" customWidth="1"/>
    <col min="320" max="320" width="11.33203125" style="381" customWidth="1"/>
    <col min="321" max="321" width="9.44140625" style="381" customWidth="1"/>
    <col min="322" max="324" width="10.109375" style="381" customWidth="1"/>
    <col min="325" max="325" width="10" style="381" customWidth="1"/>
    <col min="326" max="326" width="9.109375" style="381" customWidth="1"/>
    <col min="327" max="327" width="9.44140625" style="381" customWidth="1"/>
    <col min="328" max="328" width="8.44140625" style="381" customWidth="1"/>
    <col min="329" max="329" width="10.109375" style="381" customWidth="1"/>
    <col min="330" max="330" width="8.44140625" style="381" customWidth="1"/>
    <col min="331" max="331" width="7.5546875" style="381" customWidth="1"/>
    <col min="332" max="332" width="10.88671875" style="381" customWidth="1"/>
    <col min="333" max="333" width="9.109375" style="381" customWidth="1"/>
    <col min="334" max="334" width="9.5546875" style="381" customWidth="1"/>
    <col min="335" max="335" width="9.6640625" style="381" customWidth="1"/>
    <col min="336" max="336" width="9.109375" style="381" customWidth="1"/>
    <col min="337" max="337" width="9" style="381" customWidth="1"/>
    <col min="338" max="338" width="9.109375" style="381" customWidth="1"/>
    <col min="339" max="339" width="9.6640625" style="381" customWidth="1"/>
    <col min="340" max="342" width="9.33203125" style="381" customWidth="1"/>
    <col min="343" max="343" width="9.109375" style="381" customWidth="1"/>
    <col min="344" max="347" width="10" style="381" customWidth="1"/>
    <col min="348" max="348" width="8.6640625" style="381" customWidth="1"/>
    <col min="349" max="350" width="10" style="381" customWidth="1"/>
    <col min="351" max="351" width="8.88671875" style="381" customWidth="1"/>
    <col min="352" max="354" width="9.109375" style="381" customWidth="1"/>
    <col min="355" max="355" width="9" style="381" customWidth="1"/>
    <col min="356" max="357" width="10" style="381" customWidth="1"/>
    <col min="358" max="358" width="9.5546875" style="381" customWidth="1"/>
    <col min="359" max="359" width="9.109375" style="381" customWidth="1"/>
    <col min="360" max="360" width="9" style="381" customWidth="1"/>
    <col min="361" max="363" width="9.44140625" style="381" customWidth="1"/>
    <col min="364" max="366" width="9.33203125" style="381" customWidth="1"/>
    <col min="367" max="367" width="9" style="381" customWidth="1"/>
    <col min="368" max="368" width="10.109375" style="381" customWidth="1"/>
    <col min="369" max="369" width="9.5546875" style="381" customWidth="1"/>
    <col min="370" max="370" width="9.44140625" style="381" customWidth="1"/>
    <col min="371" max="371" width="10.109375" style="381" customWidth="1"/>
    <col min="372" max="372" width="9.33203125" style="381" customWidth="1"/>
    <col min="373" max="373" width="9.44140625" style="381" customWidth="1"/>
    <col min="374" max="374" width="10.109375" style="381" customWidth="1"/>
    <col min="375" max="375" width="9.109375" style="381" customWidth="1"/>
    <col min="376" max="378" width="9" style="381" customWidth="1"/>
    <col min="379" max="379" width="8.88671875" style="381" customWidth="1"/>
    <col min="380" max="383" width="10.109375" style="381" customWidth="1"/>
    <col min="384" max="384" width="10" style="381" customWidth="1"/>
    <col min="385" max="385" width="9.88671875" style="381" customWidth="1"/>
    <col min="386" max="387" width="9.44140625" style="381" customWidth="1"/>
    <col min="388" max="388" width="8.6640625" style="381" customWidth="1"/>
    <col min="389" max="389" width="9.109375" style="381" customWidth="1"/>
    <col min="390" max="390" width="8.109375" style="381" customWidth="1"/>
    <col min="391" max="391" width="8.6640625" style="381" customWidth="1"/>
    <col min="392" max="392" width="10.109375" style="381" customWidth="1"/>
    <col min="393" max="393" width="9.33203125" style="381" customWidth="1"/>
    <col min="394" max="398" width="10.109375" style="381" customWidth="1"/>
    <col min="399" max="399" width="9.109375" style="381" customWidth="1"/>
    <col min="400" max="400" width="8.88671875" style="381" customWidth="1"/>
    <col min="401" max="401" width="9" style="381" customWidth="1"/>
    <col min="402" max="402" width="8.44140625" style="381" customWidth="1"/>
    <col min="403" max="403" width="9" style="381" customWidth="1"/>
    <col min="404" max="410" width="10.109375" style="381" customWidth="1"/>
    <col min="411" max="411" width="8.5546875" style="381" customWidth="1"/>
    <col min="412" max="412" width="8.33203125" style="381" customWidth="1"/>
    <col min="413" max="413" width="9.5546875" style="381" customWidth="1"/>
    <col min="414" max="414" width="8.33203125" style="381" customWidth="1"/>
    <col min="415" max="415" width="8.6640625" style="381" customWidth="1"/>
    <col min="416" max="513" width="9.109375" style="381"/>
    <col min="514" max="514" width="5.109375" style="381" bestFit="1" customWidth="1"/>
    <col min="515" max="515" width="79" style="381" customWidth="1"/>
    <col min="516" max="516" width="10.5546875" style="381" customWidth="1"/>
    <col min="517" max="517" width="9.88671875" style="381" customWidth="1"/>
    <col min="518" max="518" width="10.6640625" style="381" customWidth="1"/>
    <col min="519" max="519" width="11.6640625" style="381" customWidth="1"/>
    <col min="520" max="520" width="12.109375" style="381" customWidth="1"/>
    <col min="521" max="521" width="11.44140625" style="381" customWidth="1"/>
    <col min="522" max="523" width="9.6640625" style="381" customWidth="1"/>
    <col min="524" max="524" width="8.5546875" style="381" customWidth="1"/>
    <col min="525" max="525" width="8.109375" style="381" customWidth="1"/>
    <col min="526" max="526" width="9.33203125" style="381" customWidth="1"/>
    <col min="527" max="528" width="8.5546875" style="381" customWidth="1"/>
    <col min="529" max="529" width="9.88671875" style="381" customWidth="1"/>
    <col min="530" max="532" width="8.5546875" style="381" customWidth="1"/>
    <col min="533" max="533" width="9.5546875" style="381" customWidth="1"/>
    <col min="534" max="534" width="8.5546875" style="381" customWidth="1"/>
    <col min="535" max="535" width="9.44140625" style="381" customWidth="1"/>
    <col min="536" max="538" width="8.5546875" style="381" customWidth="1"/>
    <col min="539" max="539" width="9.44140625" style="381" customWidth="1"/>
    <col min="540" max="540" width="9.33203125" style="381" customWidth="1"/>
    <col min="541" max="541" width="9.44140625" style="381" customWidth="1"/>
    <col min="542" max="542" width="10" style="381" customWidth="1"/>
    <col min="543" max="543" width="8.109375" style="381" customWidth="1"/>
    <col min="544" max="544" width="10.88671875" style="381" customWidth="1"/>
    <col min="545" max="545" width="9.88671875" style="381" customWidth="1"/>
    <col min="546" max="546" width="10.109375" style="381" customWidth="1"/>
    <col min="547" max="547" width="9.33203125" style="381" customWidth="1"/>
    <col min="548" max="550" width="8.6640625" style="381" customWidth="1"/>
    <col min="551" max="551" width="7.44140625" style="381" customWidth="1"/>
    <col min="552" max="560" width="9.6640625" style="381" customWidth="1"/>
    <col min="561" max="561" width="8.5546875" style="381" customWidth="1"/>
    <col min="562" max="562" width="8.33203125" style="381" customWidth="1"/>
    <col min="563" max="563" width="9.6640625" style="381" customWidth="1"/>
    <col min="564" max="564" width="10.6640625" style="381" customWidth="1"/>
    <col min="565" max="567" width="9.6640625" style="381" customWidth="1"/>
    <col min="568" max="568" width="10.5546875" style="381" customWidth="1"/>
    <col min="569" max="571" width="9.6640625" style="381" customWidth="1"/>
    <col min="572" max="572" width="9" style="381" customWidth="1"/>
    <col min="573" max="573" width="9.6640625" style="381" customWidth="1"/>
    <col min="574" max="574" width="8.44140625" style="381" customWidth="1"/>
    <col min="575" max="575" width="8.6640625" style="381" customWidth="1"/>
    <col min="576" max="576" width="11.33203125" style="381" customWidth="1"/>
    <col min="577" max="577" width="9.44140625" style="381" customWidth="1"/>
    <col min="578" max="580" width="10.109375" style="381" customWidth="1"/>
    <col min="581" max="581" width="10" style="381" customWidth="1"/>
    <col min="582" max="582" width="9.109375" style="381" customWidth="1"/>
    <col min="583" max="583" width="9.44140625" style="381" customWidth="1"/>
    <col min="584" max="584" width="8.44140625" style="381" customWidth="1"/>
    <col min="585" max="585" width="10.109375" style="381" customWidth="1"/>
    <col min="586" max="586" width="8.44140625" style="381" customWidth="1"/>
    <col min="587" max="587" width="7.5546875" style="381" customWidth="1"/>
    <col min="588" max="588" width="10.88671875" style="381" customWidth="1"/>
    <col min="589" max="589" width="9.109375" style="381" customWidth="1"/>
    <col min="590" max="590" width="9.5546875" style="381" customWidth="1"/>
    <col min="591" max="591" width="9.6640625" style="381" customWidth="1"/>
    <col min="592" max="592" width="9.109375" style="381" customWidth="1"/>
    <col min="593" max="593" width="9" style="381" customWidth="1"/>
    <col min="594" max="594" width="9.109375" style="381" customWidth="1"/>
    <col min="595" max="595" width="9.6640625" style="381" customWidth="1"/>
    <col min="596" max="598" width="9.33203125" style="381" customWidth="1"/>
    <col min="599" max="599" width="9.109375" style="381" customWidth="1"/>
    <col min="600" max="603" width="10" style="381" customWidth="1"/>
    <col min="604" max="604" width="8.6640625" style="381" customWidth="1"/>
    <col min="605" max="606" width="10" style="381" customWidth="1"/>
    <col min="607" max="607" width="8.88671875" style="381" customWidth="1"/>
    <col min="608" max="610" width="9.109375" style="381" customWidth="1"/>
    <col min="611" max="611" width="9" style="381" customWidth="1"/>
    <col min="612" max="613" width="10" style="381" customWidth="1"/>
    <col min="614" max="614" width="9.5546875" style="381" customWidth="1"/>
    <col min="615" max="615" width="9.109375" style="381" customWidth="1"/>
    <col min="616" max="616" width="9" style="381" customWidth="1"/>
    <col min="617" max="619" width="9.44140625" style="381" customWidth="1"/>
    <col min="620" max="622" width="9.33203125" style="381" customWidth="1"/>
    <col min="623" max="623" width="9" style="381" customWidth="1"/>
    <col min="624" max="624" width="10.109375" style="381" customWidth="1"/>
    <col min="625" max="625" width="9.5546875" style="381" customWidth="1"/>
    <col min="626" max="626" width="9.44140625" style="381" customWidth="1"/>
    <col min="627" max="627" width="10.109375" style="381" customWidth="1"/>
    <col min="628" max="628" width="9.33203125" style="381" customWidth="1"/>
    <col min="629" max="629" width="9.44140625" style="381" customWidth="1"/>
    <col min="630" max="630" width="10.109375" style="381" customWidth="1"/>
    <col min="631" max="631" width="9.109375" style="381" customWidth="1"/>
    <col min="632" max="634" width="9" style="381" customWidth="1"/>
    <col min="635" max="635" width="8.88671875" style="381" customWidth="1"/>
    <col min="636" max="639" width="10.109375" style="381" customWidth="1"/>
    <col min="640" max="640" width="10" style="381" customWidth="1"/>
    <col min="641" max="641" width="9.88671875" style="381" customWidth="1"/>
    <col min="642" max="643" width="9.44140625" style="381" customWidth="1"/>
    <col min="644" max="644" width="8.6640625" style="381" customWidth="1"/>
    <col min="645" max="645" width="9.109375" style="381" customWidth="1"/>
    <col min="646" max="646" width="8.109375" style="381" customWidth="1"/>
    <col min="647" max="647" width="8.6640625" style="381" customWidth="1"/>
    <col min="648" max="648" width="10.109375" style="381" customWidth="1"/>
    <col min="649" max="649" width="9.33203125" style="381" customWidth="1"/>
    <col min="650" max="654" width="10.109375" style="381" customWidth="1"/>
    <col min="655" max="655" width="9.109375" style="381" customWidth="1"/>
    <col min="656" max="656" width="8.88671875" style="381" customWidth="1"/>
    <col min="657" max="657" width="9" style="381" customWidth="1"/>
    <col min="658" max="658" width="8.44140625" style="381" customWidth="1"/>
    <col min="659" max="659" width="9" style="381" customWidth="1"/>
    <col min="660" max="666" width="10.109375" style="381" customWidth="1"/>
    <col min="667" max="667" width="8.5546875" style="381" customWidth="1"/>
    <col min="668" max="668" width="8.33203125" style="381" customWidth="1"/>
    <col min="669" max="669" width="9.5546875" style="381" customWidth="1"/>
    <col min="670" max="670" width="8.33203125" style="381" customWidth="1"/>
    <col min="671" max="671" width="8.6640625" style="381" customWidth="1"/>
    <col min="672" max="769" width="9.109375" style="381"/>
    <col min="770" max="770" width="5.109375" style="381" bestFit="1" customWidth="1"/>
    <col min="771" max="771" width="79" style="381" customWidth="1"/>
    <col min="772" max="772" width="10.5546875" style="381" customWidth="1"/>
    <col min="773" max="773" width="9.88671875" style="381" customWidth="1"/>
    <col min="774" max="774" width="10.6640625" style="381" customWidth="1"/>
    <col min="775" max="775" width="11.6640625" style="381" customWidth="1"/>
    <col min="776" max="776" width="12.109375" style="381" customWidth="1"/>
    <col min="777" max="777" width="11.44140625" style="381" customWidth="1"/>
    <col min="778" max="779" width="9.6640625" style="381" customWidth="1"/>
    <col min="780" max="780" width="8.5546875" style="381" customWidth="1"/>
    <col min="781" max="781" width="8.109375" style="381" customWidth="1"/>
    <col min="782" max="782" width="9.33203125" style="381" customWidth="1"/>
    <col min="783" max="784" width="8.5546875" style="381" customWidth="1"/>
    <col min="785" max="785" width="9.88671875" style="381" customWidth="1"/>
    <col min="786" max="788" width="8.5546875" style="381" customWidth="1"/>
    <col min="789" max="789" width="9.5546875" style="381" customWidth="1"/>
    <col min="790" max="790" width="8.5546875" style="381" customWidth="1"/>
    <col min="791" max="791" width="9.44140625" style="381" customWidth="1"/>
    <col min="792" max="794" width="8.5546875" style="381" customWidth="1"/>
    <col min="795" max="795" width="9.44140625" style="381" customWidth="1"/>
    <col min="796" max="796" width="9.33203125" style="381" customWidth="1"/>
    <col min="797" max="797" width="9.44140625" style="381" customWidth="1"/>
    <col min="798" max="798" width="10" style="381" customWidth="1"/>
    <col min="799" max="799" width="8.109375" style="381" customWidth="1"/>
    <col min="800" max="800" width="10.88671875" style="381" customWidth="1"/>
    <col min="801" max="801" width="9.88671875" style="381" customWidth="1"/>
    <col min="802" max="802" width="10.109375" style="381" customWidth="1"/>
    <col min="803" max="803" width="9.33203125" style="381" customWidth="1"/>
    <col min="804" max="806" width="8.6640625" style="381" customWidth="1"/>
    <col min="807" max="807" width="7.44140625" style="381" customWidth="1"/>
    <col min="808" max="816" width="9.6640625" style="381" customWidth="1"/>
    <col min="817" max="817" width="8.5546875" style="381" customWidth="1"/>
    <col min="818" max="818" width="8.33203125" style="381" customWidth="1"/>
    <col min="819" max="819" width="9.6640625" style="381" customWidth="1"/>
    <col min="820" max="820" width="10.6640625" style="381" customWidth="1"/>
    <col min="821" max="823" width="9.6640625" style="381" customWidth="1"/>
    <col min="824" max="824" width="10.5546875" style="381" customWidth="1"/>
    <col min="825" max="827" width="9.6640625" style="381" customWidth="1"/>
    <col min="828" max="828" width="9" style="381" customWidth="1"/>
    <col min="829" max="829" width="9.6640625" style="381" customWidth="1"/>
    <col min="830" max="830" width="8.44140625" style="381" customWidth="1"/>
    <col min="831" max="831" width="8.6640625" style="381" customWidth="1"/>
    <col min="832" max="832" width="11.33203125" style="381" customWidth="1"/>
    <col min="833" max="833" width="9.44140625" style="381" customWidth="1"/>
    <col min="834" max="836" width="10.109375" style="381" customWidth="1"/>
    <col min="837" max="837" width="10" style="381" customWidth="1"/>
    <col min="838" max="838" width="9.109375" style="381" customWidth="1"/>
    <col min="839" max="839" width="9.44140625" style="381" customWidth="1"/>
    <col min="840" max="840" width="8.44140625" style="381" customWidth="1"/>
    <col min="841" max="841" width="10.109375" style="381" customWidth="1"/>
    <col min="842" max="842" width="8.44140625" style="381" customWidth="1"/>
    <col min="843" max="843" width="7.5546875" style="381" customWidth="1"/>
    <col min="844" max="844" width="10.88671875" style="381" customWidth="1"/>
    <col min="845" max="845" width="9.109375" style="381" customWidth="1"/>
    <col min="846" max="846" width="9.5546875" style="381" customWidth="1"/>
    <col min="847" max="847" width="9.6640625" style="381" customWidth="1"/>
    <col min="848" max="848" width="9.109375" style="381" customWidth="1"/>
    <col min="849" max="849" width="9" style="381" customWidth="1"/>
    <col min="850" max="850" width="9.109375" style="381" customWidth="1"/>
    <col min="851" max="851" width="9.6640625" style="381" customWidth="1"/>
    <col min="852" max="854" width="9.33203125" style="381" customWidth="1"/>
    <col min="855" max="855" width="9.109375" style="381" customWidth="1"/>
    <col min="856" max="859" width="10" style="381" customWidth="1"/>
    <col min="860" max="860" width="8.6640625" style="381" customWidth="1"/>
    <col min="861" max="862" width="10" style="381" customWidth="1"/>
    <col min="863" max="863" width="8.88671875" style="381" customWidth="1"/>
    <col min="864" max="866" width="9.109375" style="381" customWidth="1"/>
    <col min="867" max="867" width="9" style="381" customWidth="1"/>
    <col min="868" max="869" width="10" style="381" customWidth="1"/>
    <col min="870" max="870" width="9.5546875" style="381" customWidth="1"/>
    <col min="871" max="871" width="9.109375" style="381" customWidth="1"/>
    <col min="872" max="872" width="9" style="381" customWidth="1"/>
    <col min="873" max="875" width="9.44140625" style="381" customWidth="1"/>
    <col min="876" max="878" width="9.33203125" style="381" customWidth="1"/>
    <col min="879" max="879" width="9" style="381" customWidth="1"/>
    <col min="880" max="880" width="10.109375" style="381" customWidth="1"/>
    <col min="881" max="881" width="9.5546875" style="381" customWidth="1"/>
    <col min="882" max="882" width="9.44140625" style="381" customWidth="1"/>
    <col min="883" max="883" width="10.109375" style="381" customWidth="1"/>
    <col min="884" max="884" width="9.33203125" style="381" customWidth="1"/>
    <col min="885" max="885" width="9.44140625" style="381" customWidth="1"/>
    <col min="886" max="886" width="10.109375" style="381" customWidth="1"/>
    <col min="887" max="887" width="9.109375" style="381" customWidth="1"/>
    <col min="888" max="890" width="9" style="381" customWidth="1"/>
    <col min="891" max="891" width="8.88671875" style="381" customWidth="1"/>
    <col min="892" max="895" width="10.109375" style="381" customWidth="1"/>
    <col min="896" max="896" width="10" style="381" customWidth="1"/>
    <col min="897" max="897" width="9.88671875" style="381" customWidth="1"/>
    <col min="898" max="899" width="9.44140625" style="381" customWidth="1"/>
    <col min="900" max="900" width="8.6640625" style="381" customWidth="1"/>
    <col min="901" max="901" width="9.109375" style="381" customWidth="1"/>
    <col min="902" max="902" width="8.109375" style="381" customWidth="1"/>
    <col min="903" max="903" width="8.6640625" style="381" customWidth="1"/>
    <col min="904" max="904" width="10.109375" style="381" customWidth="1"/>
    <col min="905" max="905" width="9.33203125" style="381" customWidth="1"/>
    <col min="906" max="910" width="10.109375" style="381" customWidth="1"/>
    <col min="911" max="911" width="9.109375" style="381" customWidth="1"/>
    <col min="912" max="912" width="8.88671875" style="381" customWidth="1"/>
    <col min="913" max="913" width="9" style="381" customWidth="1"/>
    <col min="914" max="914" width="8.44140625" style="381" customWidth="1"/>
    <col min="915" max="915" width="9" style="381" customWidth="1"/>
    <col min="916" max="922" width="10.109375" style="381" customWidth="1"/>
    <col min="923" max="923" width="8.5546875" style="381" customWidth="1"/>
    <col min="924" max="924" width="8.33203125" style="381" customWidth="1"/>
    <col min="925" max="925" width="9.5546875" style="381" customWidth="1"/>
    <col min="926" max="926" width="8.33203125" style="381" customWidth="1"/>
    <col min="927" max="927" width="8.6640625" style="381" customWidth="1"/>
    <col min="928" max="1025" width="9.109375" style="381"/>
    <col min="1026" max="1026" width="5.109375" style="381" bestFit="1" customWidth="1"/>
    <col min="1027" max="1027" width="79" style="381" customWidth="1"/>
    <col min="1028" max="1028" width="10.5546875" style="381" customWidth="1"/>
    <col min="1029" max="1029" width="9.88671875" style="381" customWidth="1"/>
    <col min="1030" max="1030" width="10.6640625" style="381" customWidth="1"/>
    <col min="1031" max="1031" width="11.6640625" style="381" customWidth="1"/>
    <col min="1032" max="1032" width="12.109375" style="381" customWidth="1"/>
    <col min="1033" max="1033" width="11.44140625" style="381" customWidth="1"/>
    <col min="1034" max="1035" width="9.6640625" style="381" customWidth="1"/>
    <col min="1036" max="1036" width="8.5546875" style="381" customWidth="1"/>
    <col min="1037" max="1037" width="8.109375" style="381" customWidth="1"/>
    <col min="1038" max="1038" width="9.33203125" style="381" customWidth="1"/>
    <col min="1039" max="1040" width="8.5546875" style="381" customWidth="1"/>
    <col min="1041" max="1041" width="9.88671875" style="381" customWidth="1"/>
    <col min="1042" max="1044" width="8.5546875" style="381" customWidth="1"/>
    <col min="1045" max="1045" width="9.5546875" style="381" customWidth="1"/>
    <col min="1046" max="1046" width="8.5546875" style="381" customWidth="1"/>
    <col min="1047" max="1047" width="9.44140625" style="381" customWidth="1"/>
    <col min="1048" max="1050" width="8.5546875" style="381" customWidth="1"/>
    <col min="1051" max="1051" width="9.44140625" style="381" customWidth="1"/>
    <col min="1052" max="1052" width="9.33203125" style="381" customWidth="1"/>
    <col min="1053" max="1053" width="9.44140625" style="381" customWidth="1"/>
    <col min="1054" max="1054" width="10" style="381" customWidth="1"/>
    <col min="1055" max="1055" width="8.109375" style="381" customWidth="1"/>
    <col min="1056" max="1056" width="10.88671875" style="381" customWidth="1"/>
    <col min="1057" max="1057" width="9.88671875" style="381" customWidth="1"/>
    <col min="1058" max="1058" width="10.109375" style="381" customWidth="1"/>
    <col min="1059" max="1059" width="9.33203125" style="381" customWidth="1"/>
    <col min="1060" max="1062" width="8.6640625" style="381" customWidth="1"/>
    <col min="1063" max="1063" width="7.44140625" style="381" customWidth="1"/>
    <col min="1064" max="1072" width="9.6640625" style="381" customWidth="1"/>
    <col min="1073" max="1073" width="8.5546875" style="381" customWidth="1"/>
    <col min="1074" max="1074" width="8.33203125" style="381" customWidth="1"/>
    <col min="1075" max="1075" width="9.6640625" style="381" customWidth="1"/>
    <col min="1076" max="1076" width="10.6640625" style="381" customWidth="1"/>
    <col min="1077" max="1079" width="9.6640625" style="381" customWidth="1"/>
    <col min="1080" max="1080" width="10.5546875" style="381" customWidth="1"/>
    <col min="1081" max="1083" width="9.6640625" style="381" customWidth="1"/>
    <col min="1084" max="1084" width="9" style="381" customWidth="1"/>
    <col min="1085" max="1085" width="9.6640625" style="381" customWidth="1"/>
    <col min="1086" max="1086" width="8.44140625" style="381" customWidth="1"/>
    <col min="1087" max="1087" width="8.6640625" style="381" customWidth="1"/>
    <col min="1088" max="1088" width="11.33203125" style="381" customWidth="1"/>
    <col min="1089" max="1089" width="9.44140625" style="381" customWidth="1"/>
    <col min="1090" max="1092" width="10.109375" style="381" customWidth="1"/>
    <col min="1093" max="1093" width="10" style="381" customWidth="1"/>
    <col min="1094" max="1094" width="9.109375" style="381" customWidth="1"/>
    <col min="1095" max="1095" width="9.44140625" style="381" customWidth="1"/>
    <col min="1096" max="1096" width="8.44140625" style="381" customWidth="1"/>
    <col min="1097" max="1097" width="10.109375" style="381" customWidth="1"/>
    <col min="1098" max="1098" width="8.44140625" style="381" customWidth="1"/>
    <col min="1099" max="1099" width="7.5546875" style="381" customWidth="1"/>
    <col min="1100" max="1100" width="10.88671875" style="381" customWidth="1"/>
    <col min="1101" max="1101" width="9.109375" style="381" customWidth="1"/>
    <col min="1102" max="1102" width="9.5546875" style="381" customWidth="1"/>
    <col min="1103" max="1103" width="9.6640625" style="381" customWidth="1"/>
    <col min="1104" max="1104" width="9.109375" style="381" customWidth="1"/>
    <col min="1105" max="1105" width="9" style="381" customWidth="1"/>
    <col min="1106" max="1106" width="9.109375" style="381" customWidth="1"/>
    <col min="1107" max="1107" width="9.6640625" style="381" customWidth="1"/>
    <col min="1108" max="1110" width="9.33203125" style="381" customWidth="1"/>
    <col min="1111" max="1111" width="9.109375" style="381" customWidth="1"/>
    <col min="1112" max="1115" width="10" style="381" customWidth="1"/>
    <col min="1116" max="1116" width="8.6640625" style="381" customWidth="1"/>
    <col min="1117" max="1118" width="10" style="381" customWidth="1"/>
    <col min="1119" max="1119" width="8.88671875" style="381" customWidth="1"/>
    <col min="1120" max="1122" width="9.109375" style="381" customWidth="1"/>
    <col min="1123" max="1123" width="9" style="381" customWidth="1"/>
    <col min="1124" max="1125" width="10" style="381" customWidth="1"/>
    <col min="1126" max="1126" width="9.5546875" style="381" customWidth="1"/>
    <col min="1127" max="1127" width="9.109375" style="381" customWidth="1"/>
    <col min="1128" max="1128" width="9" style="381" customWidth="1"/>
    <col min="1129" max="1131" width="9.44140625" style="381" customWidth="1"/>
    <col min="1132" max="1134" width="9.33203125" style="381" customWidth="1"/>
    <col min="1135" max="1135" width="9" style="381" customWidth="1"/>
    <col min="1136" max="1136" width="10.109375" style="381" customWidth="1"/>
    <col min="1137" max="1137" width="9.5546875" style="381" customWidth="1"/>
    <col min="1138" max="1138" width="9.44140625" style="381" customWidth="1"/>
    <col min="1139" max="1139" width="10.109375" style="381" customWidth="1"/>
    <col min="1140" max="1140" width="9.33203125" style="381" customWidth="1"/>
    <col min="1141" max="1141" width="9.44140625" style="381" customWidth="1"/>
    <col min="1142" max="1142" width="10.109375" style="381" customWidth="1"/>
    <col min="1143" max="1143" width="9.109375" style="381" customWidth="1"/>
    <col min="1144" max="1146" width="9" style="381" customWidth="1"/>
    <col min="1147" max="1147" width="8.88671875" style="381" customWidth="1"/>
    <col min="1148" max="1151" width="10.109375" style="381" customWidth="1"/>
    <col min="1152" max="1152" width="10" style="381" customWidth="1"/>
    <col min="1153" max="1153" width="9.88671875" style="381" customWidth="1"/>
    <col min="1154" max="1155" width="9.44140625" style="381" customWidth="1"/>
    <col min="1156" max="1156" width="8.6640625" style="381" customWidth="1"/>
    <col min="1157" max="1157" width="9.109375" style="381" customWidth="1"/>
    <col min="1158" max="1158" width="8.109375" style="381" customWidth="1"/>
    <col min="1159" max="1159" width="8.6640625" style="381" customWidth="1"/>
    <col min="1160" max="1160" width="10.109375" style="381" customWidth="1"/>
    <col min="1161" max="1161" width="9.33203125" style="381" customWidth="1"/>
    <col min="1162" max="1166" width="10.109375" style="381" customWidth="1"/>
    <col min="1167" max="1167" width="9.109375" style="381" customWidth="1"/>
    <col min="1168" max="1168" width="8.88671875" style="381" customWidth="1"/>
    <col min="1169" max="1169" width="9" style="381" customWidth="1"/>
    <col min="1170" max="1170" width="8.44140625" style="381" customWidth="1"/>
    <col min="1171" max="1171" width="9" style="381" customWidth="1"/>
    <col min="1172" max="1178" width="10.109375" style="381" customWidth="1"/>
    <col min="1179" max="1179" width="8.5546875" style="381" customWidth="1"/>
    <col min="1180" max="1180" width="8.33203125" style="381" customWidth="1"/>
    <col min="1181" max="1181" width="9.5546875" style="381" customWidth="1"/>
    <col min="1182" max="1182" width="8.33203125" style="381" customWidth="1"/>
    <col min="1183" max="1183" width="8.6640625" style="381" customWidth="1"/>
    <col min="1184" max="1281" width="9.109375" style="381"/>
    <col min="1282" max="1282" width="5.109375" style="381" bestFit="1" customWidth="1"/>
    <col min="1283" max="1283" width="79" style="381" customWidth="1"/>
    <col min="1284" max="1284" width="10.5546875" style="381" customWidth="1"/>
    <col min="1285" max="1285" width="9.88671875" style="381" customWidth="1"/>
    <col min="1286" max="1286" width="10.6640625" style="381" customWidth="1"/>
    <col min="1287" max="1287" width="11.6640625" style="381" customWidth="1"/>
    <col min="1288" max="1288" width="12.109375" style="381" customWidth="1"/>
    <col min="1289" max="1289" width="11.44140625" style="381" customWidth="1"/>
    <col min="1290" max="1291" width="9.6640625" style="381" customWidth="1"/>
    <col min="1292" max="1292" width="8.5546875" style="381" customWidth="1"/>
    <col min="1293" max="1293" width="8.109375" style="381" customWidth="1"/>
    <col min="1294" max="1294" width="9.33203125" style="381" customWidth="1"/>
    <col min="1295" max="1296" width="8.5546875" style="381" customWidth="1"/>
    <col min="1297" max="1297" width="9.88671875" style="381" customWidth="1"/>
    <col min="1298" max="1300" width="8.5546875" style="381" customWidth="1"/>
    <col min="1301" max="1301" width="9.5546875" style="381" customWidth="1"/>
    <col min="1302" max="1302" width="8.5546875" style="381" customWidth="1"/>
    <col min="1303" max="1303" width="9.44140625" style="381" customWidth="1"/>
    <col min="1304" max="1306" width="8.5546875" style="381" customWidth="1"/>
    <col min="1307" max="1307" width="9.44140625" style="381" customWidth="1"/>
    <col min="1308" max="1308" width="9.33203125" style="381" customWidth="1"/>
    <col min="1309" max="1309" width="9.44140625" style="381" customWidth="1"/>
    <col min="1310" max="1310" width="10" style="381" customWidth="1"/>
    <col min="1311" max="1311" width="8.109375" style="381" customWidth="1"/>
    <col min="1312" max="1312" width="10.88671875" style="381" customWidth="1"/>
    <col min="1313" max="1313" width="9.88671875" style="381" customWidth="1"/>
    <col min="1314" max="1314" width="10.109375" style="381" customWidth="1"/>
    <col min="1315" max="1315" width="9.33203125" style="381" customWidth="1"/>
    <col min="1316" max="1318" width="8.6640625" style="381" customWidth="1"/>
    <col min="1319" max="1319" width="7.44140625" style="381" customWidth="1"/>
    <col min="1320" max="1328" width="9.6640625" style="381" customWidth="1"/>
    <col min="1329" max="1329" width="8.5546875" style="381" customWidth="1"/>
    <col min="1330" max="1330" width="8.33203125" style="381" customWidth="1"/>
    <col min="1331" max="1331" width="9.6640625" style="381" customWidth="1"/>
    <col min="1332" max="1332" width="10.6640625" style="381" customWidth="1"/>
    <col min="1333" max="1335" width="9.6640625" style="381" customWidth="1"/>
    <col min="1336" max="1336" width="10.5546875" style="381" customWidth="1"/>
    <col min="1337" max="1339" width="9.6640625" style="381" customWidth="1"/>
    <col min="1340" max="1340" width="9" style="381" customWidth="1"/>
    <col min="1341" max="1341" width="9.6640625" style="381" customWidth="1"/>
    <col min="1342" max="1342" width="8.44140625" style="381" customWidth="1"/>
    <col min="1343" max="1343" width="8.6640625" style="381" customWidth="1"/>
    <col min="1344" max="1344" width="11.33203125" style="381" customWidth="1"/>
    <col min="1345" max="1345" width="9.44140625" style="381" customWidth="1"/>
    <col min="1346" max="1348" width="10.109375" style="381" customWidth="1"/>
    <col min="1349" max="1349" width="10" style="381" customWidth="1"/>
    <col min="1350" max="1350" width="9.109375" style="381" customWidth="1"/>
    <col min="1351" max="1351" width="9.44140625" style="381" customWidth="1"/>
    <col min="1352" max="1352" width="8.44140625" style="381" customWidth="1"/>
    <col min="1353" max="1353" width="10.109375" style="381" customWidth="1"/>
    <col min="1354" max="1354" width="8.44140625" style="381" customWidth="1"/>
    <col min="1355" max="1355" width="7.5546875" style="381" customWidth="1"/>
    <col min="1356" max="1356" width="10.88671875" style="381" customWidth="1"/>
    <col min="1357" max="1357" width="9.109375" style="381" customWidth="1"/>
    <col min="1358" max="1358" width="9.5546875" style="381" customWidth="1"/>
    <col min="1359" max="1359" width="9.6640625" style="381" customWidth="1"/>
    <col min="1360" max="1360" width="9.109375" style="381" customWidth="1"/>
    <col min="1361" max="1361" width="9" style="381" customWidth="1"/>
    <col min="1362" max="1362" width="9.109375" style="381" customWidth="1"/>
    <col min="1363" max="1363" width="9.6640625" style="381" customWidth="1"/>
    <col min="1364" max="1366" width="9.33203125" style="381" customWidth="1"/>
    <col min="1367" max="1367" width="9.109375" style="381" customWidth="1"/>
    <col min="1368" max="1371" width="10" style="381" customWidth="1"/>
    <col min="1372" max="1372" width="8.6640625" style="381" customWidth="1"/>
    <col min="1373" max="1374" width="10" style="381" customWidth="1"/>
    <col min="1375" max="1375" width="8.88671875" style="381" customWidth="1"/>
    <col min="1376" max="1378" width="9.109375" style="381" customWidth="1"/>
    <col min="1379" max="1379" width="9" style="381" customWidth="1"/>
    <col min="1380" max="1381" width="10" style="381" customWidth="1"/>
    <col min="1382" max="1382" width="9.5546875" style="381" customWidth="1"/>
    <col min="1383" max="1383" width="9.109375" style="381" customWidth="1"/>
    <col min="1384" max="1384" width="9" style="381" customWidth="1"/>
    <col min="1385" max="1387" width="9.44140625" style="381" customWidth="1"/>
    <col min="1388" max="1390" width="9.33203125" style="381" customWidth="1"/>
    <col min="1391" max="1391" width="9" style="381" customWidth="1"/>
    <col min="1392" max="1392" width="10.109375" style="381" customWidth="1"/>
    <col min="1393" max="1393" width="9.5546875" style="381" customWidth="1"/>
    <col min="1394" max="1394" width="9.44140625" style="381" customWidth="1"/>
    <col min="1395" max="1395" width="10.109375" style="381" customWidth="1"/>
    <col min="1396" max="1396" width="9.33203125" style="381" customWidth="1"/>
    <col min="1397" max="1397" width="9.44140625" style="381" customWidth="1"/>
    <col min="1398" max="1398" width="10.109375" style="381" customWidth="1"/>
    <col min="1399" max="1399" width="9.109375" style="381" customWidth="1"/>
    <col min="1400" max="1402" width="9" style="381" customWidth="1"/>
    <col min="1403" max="1403" width="8.88671875" style="381" customWidth="1"/>
    <col min="1404" max="1407" width="10.109375" style="381" customWidth="1"/>
    <col min="1408" max="1408" width="10" style="381" customWidth="1"/>
    <col min="1409" max="1409" width="9.88671875" style="381" customWidth="1"/>
    <col min="1410" max="1411" width="9.44140625" style="381" customWidth="1"/>
    <col min="1412" max="1412" width="8.6640625" style="381" customWidth="1"/>
    <col min="1413" max="1413" width="9.109375" style="381" customWidth="1"/>
    <col min="1414" max="1414" width="8.109375" style="381" customWidth="1"/>
    <col min="1415" max="1415" width="8.6640625" style="381" customWidth="1"/>
    <col min="1416" max="1416" width="10.109375" style="381" customWidth="1"/>
    <col min="1417" max="1417" width="9.33203125" style="381" customWidth="1"/>
    <col min="1418" max="1422" width="10.109375" style="381" customWidth="1"/>
    <col min="1423" max="1423" width="9.109375" style="381" customWidth="1"/>
    <col min="1424" max="1424" width="8.88671875" style="381" customWidth="1"/>
    <col min="1425" max="1425" width="9" style="381" customWidth="1"/>
    <col min="1426" max="1426" width="8.44140625" style="381" customWidth="1"/>
    <col min="1427" max="1427" width="9" style="381" customWidth="1"/>
    <col min="1428" max="1434" width="10.109375" style="381" customWidth="1"/>
    <col min="1435" max="1435" width="8.5546875" style="381" customWidth="1"/>
    <col min="1436" max="1436" width="8.33203125" style="381" customWidth="1"/>
    <col min="1437" max="1437" width="9.5546875" style="381" customWidth="1"/>
    <col min="1438" max="1438" width="8.33203125" style="381" customWidth="1"/>
    <col min="1439" max="1439" width="8.6640625" style="381" customWidth="1"/>
    <col min="1440" max="1537" width="9.109375" style="381"/>
    <col min="1538" max="1538" width="5.109375" style="381" bestFit="1" customWidth="1"/>
    <col min="1539" max="1539" width="79" style="381" customWidth="1"/>
    <col min="1540" max="1540" width="10.5546875" style="381" customWidth="1"/>
    <col min="1541" max="1541" width="9.88671875" style="381" customWidth="1"/>
    <col min="1542" max="1542" width="10.6640625" style="381" customWidth="1"/>
    <col min="1543" max="1543" width="11.6640625" style="381" customWidth="1"/>
    <col min="1544" max="1544" width="12.109375" style="381" customWidth="1"/>
    <col min="1545" max="1545" width="11.44140625" style="381" customWidth="1"/>
    <col min="1546" max="1547" width="9.6640625" style="381" customWidth="1"/>
    <col min="1548" max="1548" width="8.5546875" style="381" customWidth="1"/>
    <col min="1549" max="1549" width="8.109375" style="381" customWidth="1"/>
    <col min="1550" max="1550" width="9.33203125" style="381" customWidth="1"/>
    <col min="1551" max="1552" width="8.5546875" style="381" customWidth="1"/>
    <col min="1553" max="1553" width="9.88671875" style="381" customWidth="1"/>
    <col min="1554" max="1556" width="8.5546875" style="381" customWidth="1"/>
    <col min="1557" max="1557" width="9.5546875" style="381" customWidth="1"/>
    <col min="1558" max="1558" width="8.5546875" style="381" customWidth="1"/>
    <col min="1559" max="1559" width="9.44140625" style="381" customWidth="1"/>
    <col min="1560" max="1562" width="8.5546875" style="381" customWidth="1"/>
    <col min="1563" max="1563" width="9.44140625" style="381" customWidth="1"/>
    <col min="1564" max="1564" width="9.33203125" style="381" customWidth="1"/>
    <col min="1565" max="1565" width="9.44140625" style="381" customWidth="1"/>
    <col min="1566" max="1566" width="10" style="381" customWidth="1"/>
    <col min="1567" max="1567" width="8.109375" style="381" customWidth="1"/>
    <col min="1568" max="1568" width="10.88671875" style="381" customWidth="1"/>
    <col min="1569" max="1569" width="9.88671875" style="381" customWidth="1"/>
    <col min="1570" max="1570" width="10.109375" style="381" customWidth="1"/>
    <col min="1571" max="1571" width="9.33203125" style="381" customWidth="1"/>
    <col min="1572" max="1574" width="8.6640625" style="381" customWidth="1"/>
    <col min="1575" max="1575" width="7.44140625" style="381" customWidth="1"/>
    <col min="1576" max="1584" width="9.6640625" style="381" customWidth="1"/>
    <col min="1585" max="1585" width="8.5546875" style="381" customWidth="1"/>
    <col min="1586" max="1586" width="8.33203125" style="381" customWidth="1"/>
    <col min="1587" max="1587" width="9.6640625" style="381" customWidth="1"/>
    <col min="1588" max="1588" width="10.6640625" style="381" customWidth="1"/>
    <col min="1589" max="1591" width="9.6640625" style="381" customWidth="1"/>
    <col min="1592" max="1592" width="10.5546875" style="381" customWidth="1"/>
    <col min="1593" max="1595" width="9.6640625" style="381" customWidth="1"/>
    <col min="1596" max="1596" width="9" style="381" customWidth="1"/>
    <col min="1597" max="1597" width="9.6640625" style="381" customWidth="1"/>
    <col min="1598" max="1598" width="8.44140625" style="381" customWidth="1"/>
    <col min="1599" max="1599" width="8.6640625" style="381" customWidth="1"/>
    <col min="1600" max="1600" width="11.33203125" style="381" customWidth="1"/>
    <col min="1601" max="1601" width="9.44140625" style="381" customWidth="1"/>
    <col min="1602" max="1604" width="10.109375" style="381" customWidth="1"/>
    <col min="1605" max="1605" width="10" style="381" customWidth="1"/>
    <col min="1606" max="1606" width="9.109375" style="381" customWidth="1"/>
    <col min="1607" max="1607" width="9.44140625" style="381" customWidth="1"/>
    <col min="1608" max="1608" width="8.44140625" style="381" customWidth="1"/>
    <col min="1609" max="1609" width="10.109375" style="381" customWidth="1"/>
    <col min="1610" max="1610" width="8.44140625" style="381" customWidth="1"/>
    <col min="1611" max="1611" width="7.5546875" style="381" customWidth="1"/>
    <col min="1612" max="1612" width="10.88671875" style="381" customWidth="1"/>
    <col min="1613" max="1613" width="9.109375" style="381" customWidth="1"/>
    <col min="1614" max="1614" width="9.5546875" style="381" customWidth="1"/>
    <col min="1615" max="1615" width="9.6640625" style="381" customWidth="1"/>
    <col min="1616" max="1616" width="9.109375" style="381" customWidth="1"/>
    <col min="1617" max="1617" width="9" style="381" customWidth="1"/>
    <col min="1618" max="1618" width="9.109375" style="381" customWidth="1"/>
    <col min="1619" max="1619" width="9.6640625" style="381" customWidth="1"/>
    <col min="1620" max="1622" width="9.33203125" style="381" customWidth="1"/>
    <col min="1623" max="1623" width="9.109375" style="381" customWidth="1"/>
    <col min="1624" max="1627" width="10" style="381" customWidth="1"/>
    <col min="1628" max="1628" width="8.6640625" style="381" customWidth="1"/>
    <col min="1629" max="1630" width="10" style="381" customWidth="1"/>
    <col min="1631" max="1631" width="8.88671875" style="381" customWidth="1"/>
    <col min="1632" max="1634" width="9.109375" style="381" customWidth="1"/>
    <col min="1635" max="1635" width="9" style="381" customWidth="1"/>
    <col min="1636" max="1637" width="10" style="381" customWidth="1"/>
    <col min="1638" max="1638" width="9.5546875" style="381" customWidth="1"/>
    <col min="1639" max="1639" width="9.109375" style="381" customWidth="1"/>
    <col min="1640" max="1640" width="9" style="381" customWidth="1"/>
    <col min="1641" max="1643" width="9.44140625" style="381" customWidth="1"/>
    <col min="1644" max="1646" width="9.33203125" style="381" customWidth="1"/>
    <col min="1647" max="1647" width="9" style="381" customWidth="1"/>
    <col min="1648" max="1648" width="10.109375" style="381" customWidth="1"/>
    <col min="1649" max="1649" width="9.5546875" style="381" customWidth="1"/>
    <col min="1650" max="1650" width="9.44140625" style="381" customWidth="1"/>
    <col min="1651" max="1651" width="10.109375" style="381" customWidth="1"/>
    <col min="1652" max="1652" width="9.33203125" style="381" customWidth="1"/>
    <col min="1653" max="1653" width="9.44140625" style="381" customWidth="1"/>
    <col min="1654" max="1654" width="10.109375" style="381" customWidth="1"/>
    <col min="1655" max="1655" width="9.109375" style="381" customWidth="1"/>
    <col min="1656" max="1658" width="9" style="381" customWidth="1"/>
    <col min="1659" max="1659" width="8.88671875" style="381" customWidth="1"/>
    <col min="1660" max="1663" width="10.109375" style="381" customWidth="1"/>
    <col min="1664" max="1664" width="10" style="381" customWidth="1"/>
    <col min="1665" max="1665" width="9.88671875" style="381" customWidth="1"/>
    <col min="1666" max="1667" width="9.44140625" style="381" customWidth="1"/>
    <col min="1668" max="1668" width="8.6640625" style="381" customWidth="1"/>
    <col min="1669" max="1669" width="9.109375" style="381" customWidth="1"/>
    <col min="1670" max="1670" width="8.109375" style="381" customWidth="1"/>
    <col min="1671" max="1671" width="8.6640625" style="381" customWidth="1"/>
    <col min="1672" max="1672" width="10.109375" style="381" customWidth="1"/>
    <col min="1673" max="1673" width="9.33203125" style="381" customWidth="1"/>
    <col min="1674" max="1678" width="10.109375" style="381" customWidth="1"/>
    <col min="1679" max="1679" width="9.109375" style="381" customWidth="1"/>
    <col min="1680" max="1680" width="8.88671875" style="381" customWidth="1"/>
    <col min="1681" max="1681" width="9" style="381" customWidth="1"/>
    <col min="1682" max="1682" width="8.44140625" style="381" customWidth="1"/>
    <col min="1683" max="1683" width="9" style="381" customWidth="1"/>
    <col min="1684" max="1690" width="10.109375" style="381" customWidth="1"/>
    <col min="1691" max="1691" width="8.5546875" style="381" customWidth="1"/>
    <col min="1692" max="1692" width="8.33203125" style="381" customWidth="1"/>
    <col min="1693" max="1693" width="9.5546875" style="381" customWidth="1"/>
    <col min="1694" max="1694" width="8.33203125" style="381" customWidth="1"/>
    <col min="1695" max="1695" width="8.6640625" style="381" customWidth="1"/>
    <col min="1696" max="1793" width="9.109375" style="381"/>
    <col min="1794" max="1794" width="5.109375" style="381" bestFit="1" customWidth="1"/>
    <col min="1795" max="1795" width="79" style="381" customWidth="1"/>
    <col min="1796" max="1796" width="10.5546875" style="381" customWidth="1"/>
    <col min="1797" max="1797" width="9.88671875" style="381" customWidth="1"/>
    <col min="1798" max="1798" width="10.6640625" style="381" customWidth="1"/>
    <col min="1799" max="1799" width="11.6640625" style="381" customWidth="1"/>
    <col min="1800" max="1800" width="12.109375" style="381" customWidth="1"/>
    <col min="1801" max="1801" width="11.44140625" style="381" customWidth="1"/>
    <col min="1802" max="1803" width="9.6640625" style="381" customWidth="1"/>
    <col min="1804" max="1804" width="8.5546875" style="381" customWidth="1"/>
    <col min="1805" max="1805" width="8.109375" style="381" customWidth="1"/>
    <col min="1806" max="1806" width="9.33203125" style="381" customWidth="1"/>
    <col min="1807" max="1808" width="8.5546875" style="381" customWidth="1"/>
    <col min="1809" max="1809" width="9.88671875" style="381" customWidth="1"/>
    <col min="1810" max="1812" width="8.5546875" style="381" customWidth="1"/>
    <col min="1813" max="1813" width="9.5546875" style="381" customWidth="1"/>
    <col min="1814" max="1814" width="8.5546875" style="381" customWidth="1"/>
    <col min="1815" max="1815" width="9.44140625" style="381" customWidth="1"/>
    <col min="1816" max="1818" width="8.5546875" style="381" customWidth="1"/>
    <col min="1819" max="1819" width="9.44140625" style="381" customWidth="1"/>
    <col min="1820" max="1820" width="9.33203125" style="381" customWidth="1"/>
    <col min="1821" max="1821" width="9.44140625" style="381" customWidth="1"/>
    <col min="1822" max="1822" width="10" style="381" customWidth="1"/>
    <col min="1823" max="1823" width="8.109375" style="381" customWidth="1"/>
    <col min="1824" max="1824" width="10.88671875" style="381" customWidth="1"/>
    <col min="1825" max="1825" width="9.88671875" style="381" customWidth="1"/>
    <col min="1826" max="1826" width="10.109375" style="381" customWidth="1"/>
    <col min="1827" max="1827" width="9.33203125" style="381" customWidth="1"/>
    <col min="1828" max="1830" width="8.6640625" style="381" customWidth="1"/>
    <col min="1831" max="1831" width="7.44140625" style="381" customWidth="1"/>
    <col min="1832" max="1840" width="9.6640625" style="381" customWidth="1"/>
    <col min="1841" max="1841" width="8.5546875" style="381" customWidth="1"/>
    <col min="1842" max="1842" width="8.33203125" style="381" customWidth="1"/>
    <col min="1843" max="1843" width="9.6640625" style="381" customWidth="1"/>
    <col min="1844" max="1844" width="10.6640625" style="381" customWidth="1"/>
    <col min="1845" max="1847" width="9.6640625" style="381" customWidth="1"/>
    <col min="1848" max="1848" width="10.5546875" style="381" customWidth="1"/>
    <col min="1849" max="1851" width="9.6640625" style="381" customWidth="1"/>
    <col min="1852" max="1852" width="9" style="381" customWidth="1"/>
    <col min="1853" max="1853" width="9.6640625" style="381" customWidth="1"/>
    <col min="1854" max="1854" width="8.44140625" style="381" customWidth="1"/>
    <col min="1855" max="1855" width="8.6640625" style="381" customWidth="1"/>
    <col min="1856" max="1856" width="11.33203125" style="381" customWidth="1"/>
    <col min="1857" max="1857" width="9.44140625" style="381" customWidth="1"/>
    <col min="1858" max="1860" width="10.109375" style="381" customWidth="1"/>
    <col min="1861" max="1861" width="10" style="381" customWidth="1"/>
    <col min="1862" max="1862" width="9.109375" style="381" customWidth="1"/>
    <col min="1863" max="1863" width="9.44140625" style="381" customWidth="1"/>
    <col min="1864" max="1864" width="8.44140625" style="381" customWidth="1"/>
    <col min="1865" max="1865" width="10.109375" style="381" customWidth="1"/>
    <col min="1866" max="1866" width="8.44140625" style="381" customWidth="1"/>
    <col min="1867" max="1867" width="7.5546875" style="381" customWidth="1"/>
    <col min="1868" max="1868" width="10.88671875" style="381" customWidth="1"/>
    <col min="1869" max="1869" width="9.109375" style="381" customWidth="1"/>
    <col min="1870" max="1870" width="9.5546875" style="381" customWidth="1"/>
    <col min="1871" max="1871" width="9.6640625" style="381" customWidth="1"/>
    <col min="1872" max="1872" width="9.109375" style="381" customWidth="1"/>
    <col min="1873" max="1873" width="9" style="381" customWidth="1"/>
    <col min="1874" max="1874" width="9.109375" style="381" customWidth="1"/>
    <col min="1875" max="1875" width="9.6640625" style="381" customWidth="1"/>
    <col min="1876" max="1878" width="9.33203125" style="381" customWidth="1"/>
    <col min="1879" max="1879" width="9.109375" style="381" customWidth="1"/>
    <col min="1880" max="1883" width="10" style="381" customWidth="1"/>
    <col min="1884" max="1884" width="8.6640625" style="381" customWidth="1"/>
    <col min="1885" max="1886" width="10" style="381" customWidth="1"/>
    <col min="1887" max="1887" width="8.88671875" style="381" customWidth="1"/>
    <col min="1888" max="1890" width="9.109375" style="381" customWidth="1"/>
    <col min="1891" max="1891" width="9" style="381" customWidth="1"/>
    <col min="1892" max="1893" width="10" style="381" customWidth="1"/>
    <col min="1894" max="1894" width="9.5546875" style="381" customWidth="1"/>
    <col min="1895" max="1895" width="9.109375" style="381" customWidth="1"/>
    <col min="1896" max="1896" width="9" style="381" customWidth="1"/>
    <col min="1897" max="1899" width="9.44140625" style="381" customWidth="1"/>
    <col min="1900" max="1902" width="9.33203125" style="381" customWidth="1"/>
    <col min="1903" max="1903" width="9" style="381" customWidth="1"/>
    <col min="1904" max="1904" width="10.109375" style="381" customWidth="1"/>
    <col min="1905" max="1905" width="9.5546875" style="381" customWidth="1"/>
    <col min="1906" max="1906" width="9.44140625" style="381" customWidth="1"/>
    <col min="1907" max="1907" width="10.109375" style="381" customWidth="1"/>
    <col min="1908" max="1908" width="9.33203125" style="381" customWidth="1"/>
    <col min="1909" max="1909" width="9.44140625" style="381" customWidth="1"/>
    <col min="1910" max="1910" width="10.109375" style="381" customWidth="1"/>
    <col min="1911" max="1911" width="9.109375" style="381" customWidth="1"/>
    <col min="1912" max="1914" width="9" style="381" customWidth="1"/>
    <col min="1915" max="1915" width="8.88671875" style="381" customWidth="1"/>
    <col min="1916" max="1919" width="10.109375" style="381" customWidth="1"/>
    <col min="1920" max="1920" width="10" style="381" customWidth="1"/>
    <col min="1921" max="1921" width="9.88671875" style="381" customWidth="1"/>
    <col min="1922" max="1923" width="9.44140625" style="381" customWidth="1"/>
    <col min="1924" max="1924" width="8.6640625" style="381" customWidth="1"/>
    <col min="1925" max="1925" width="9.109375" style="381" customWidth="1"/>
    <col min="1926" max="1926" width="8.109375" style="381" customWidth="1"/>
    <col min="1927" max="1927" width="8.6640625" style="381" customWidth="1"/>
    <col min="1928" max="1928" width="10.109375" style="381" customWidth="1"/>
    <col min="1929" max="1929" width="9.33203125" style="381" customWidth="1"/>
    <col min="1930" max="1934" width="10.109375" style="381" customWidth="1"/>
    <col min="1935" max="1935" width="9.109375" style="381" customWidth="1"/>
    <col min="1936" max="1936" width="8.88671875" style="381" customWidth="1"/>
    <col min="1937" max="1937" width="9" style="381" customWidth="1"/>
    <col min="1938" max="1938" width="8.44140625" style="381" customWidth="1"/>
    <col min="1939" max="1939" width="9" style="381" customWidth="1"/>
    <col min="1940" max="1946" width="10.109375" style="381" customWidth="1"/>
    <col min="1947" max="1947" width="8.5546875" style="381" customWidth="1"/>
    <col min="1948" max="1948" width="8.33203125" style="381" customWidth="1"/>
    <col min="1949" max="1949" width="9.5546875" style="381" customWidth="1"/>
    <col min="1950" max="1950" width="8.33203125" style="381" customWidth="1"/>
    <col min="1951" max="1951" width="8.6640625" style="381" customWidth="1"/>
    <col min="1952" max="2049" width="9.109375" style="381"/>
    <col min="2050" max="2050" width="5.109375" style="381" bestFit="1" customWidth="1"/>
    <col min="2051" max="2051" width="79" style="381" customWidth="1"/>
    <col min="2052" max="2052" width="10.5546875" style="381" customWidth="1"/>
    <col min="2053" max="2053" width="9.88671875" style="381" customWidth="1"/>
    <col min="2054" max="2054" width="10.6640625" style="381" customWidth="1"/>
    <col min="2055" max="2055" width="11.6640625" style="381" customWidth="1"/>
    <col min="2056" max="2056" width="12.109375" style="381" customWidth="1"/>
    <col min="2057" max="2057" width="11.44140625" style="381" customWidth="1"/>
    <col min="2058" max="2059" width="9.6640625" style="381" customWidth="1"/>
    <col min="2060" max="2060" width="8.5546875" style="381" customWidth="1"/>
    <col min="2061" max="2061" width="8.109375" style="381" customWidth="1"/>
    <col min="2062" max="2062" width="9.33203125" style="381" customWidth="1"/>
    <col min="2063" max="2064" width="8.5546875" style="381" customWidth="1"/>
    <col min="2065" max="2065" width="9.88671875" style="381" customWidth="1"/>
    <col min="2066" max="2068" width="8.5546875" style="381" customWidth="1"/>
    <col min="2069" max="2069" width="9.5546875" style="381" customWidth="1"/>
    <col min="2070" max="2070" width="8.5546875" style="381" customWidth="1"/>
    <col min="2071" max="2071" width="9.44140625" style="381" customWidth="1"/>
    <col min="2072" max="2074" width="8.5546875" style="381" customWidth="1"/>
    <col min="2075" max="2075" width="9.44140625" style="381" customWidth="1"/>
    <col min="2076" max="2076" width="9.33203125" style="381" customWidth="1"/>
    <col min="2077" max="2077" width="9.44140625" style="381" customWidth="1"/>
    <col min="2078" max="2078" width="10" style="381" customWidth="1"/>
    <col min="2079" max="2079" width="8.109375" style="381" customWidth="1"/>
    <col min="2080" max="2080" width="10.88671875" style="381" customWidth="1"/>
    <col min="2081" max="2081" width="9.88671875" style="381" customWidth="1"/>
    <col min="2082" max="2082" width="10.109375" style="381" customWidth="1"/>
    <col min="2083" max="2083" width="9.33203125" style="381" customWidth="1"/>
    <col min="2084" max="2086" width="8.6640625" style="381" customWidth="1"/>
    <col min="2087" max="2087" width="7.44140625" style="381" customWidth="1"/>
    <col min="2088" max="2096" width="9.6640625" style="381" customWidth="1"/>
    <col min="2097" max="2097" width="8.5546875" style="381" customWidth="1"/>
    <col min="2098" max="2098" width="8.33203125" style="381" customWidth="1"/>
    <col min="2099" max="2099" width="9.6640625" style="381" customWidth="1"/>
    <col min="2100" max="2100" width="10.6640625" style="381" customWidth="1"/>
    <col min="2101" max="2103" width="9.6640625" style="381" customWidth="1"/>
    <col min="2104" max="2104" width="10.5546875" style="381" customWidth="1"/>
    <col min="2105" max="2107" width="9.6640625" style="381" customWidth="1"/>
    <col min="2108" max="2108" width="9" style="381" customWidth="1"/>
    <col min="2109" max="2109" width="9.6640625" style="381" customWidth="1"/>
    <col min="2110" max="2110" width="8.44140625" style="381" customWidth="1"/>
    <col min="2111" max="2111" width="8.6640625" style="381" customWidth="1"/>
    <col min="2112" max="2112" width="11.33203125" style="381" customWidth="1"/>
    <col min="2113" max="2113" width="9.44140625" style="381" customWidth="1"/>
    <col min="2114" max="2116" width="10.109375" style="381" customWidth="1"/>
    <col min="2117" max="2117" width="10" style="381" customWidth="1"/>
    <col min="2118" max="2118" width="9.109375" style="381" customWidth="1"/>
    <col min="2119" max="2119" width="9.44140625" style="381" customWidth="1"/>
    <col min="2120" max="2120" width="8.44140625" style="381" customWidth="1"/>
    <col min="2121" max="2121" width="10.109375" style="381" customWidth="1"/>
    <col min="2122" max="2122" width="8.44140625" style="381" customWidth="1"/>
    <col min="2123" max="2123" width="7.5546875" style="381" customWidth="1"/>
    <col min="2124" max="2124" width="10.88671875" style="381" customWidth="1"/>
    <col min="2125" max="2125" width="9.109375" style="381" customWidth="1"/>
    <col min="2126" max="2126" width="9.5546875" style="381" customWidth="1"/>
    <col min="2127" max="2127" width="9.6640625" style="381" customWidth="1"/>
    <col min="2128" max="2128" width="9.109375" style="381" customWidth="1"/>
    <col min="2129" max="2129" width="9" style="381" customWidth="1"/>
    <col min="2130" max="2130" width="9.109375" style="381" customWidth="1"/>
    <col min="2131" max="2131" width="9.6640625" style="381" customWidth="1"/>
    <col min="2132" max="2134" width="9.33203125" style="381" customWidth="1"/>
    <col min="2135" max="2135" width="9.109375" style="381" customWidth="1"/>
    <col min="2136" max="2139" width="10" style="381" customWidth="1"/>
    <col min="2140" max="2140" width="8.6640625" style="381" customWidth="1"/>
    <col min="2141" max="2142" width="10" style="381" customWidth="1"/>
    <col min="2143" max="2143" width="8.88671875" style="381" customWidth="1"/>
    <col min="2144" max="2146" width="9.109375" style="381" customWidth="1"/>
    <col min="2147" max="2147" width="9" style="381" customWidth="1"/>
    <col min="2148" max="2149" width="10" style="381" customWidth="1"/>
    <col min="2150" max="2150" width="9.5546875" style="381" customWidth="1"/>
    <col min="2151" max="2151" width="9.109375" style="381" customWidth="1"/>
    <col min="2152" max="2152" width="9" style="381" customWidth="1"/>
    <col min="2153" max="2155" width="9.44140625" style="381" customWidth="1"/>
    <col min="2156" max="2158" width="9.33203125" style="381" customWidth="1"/>
    <col min="2159" max="2159" width="9" style="381" customWidth="1"/>
    <col min="2160" max="2160" width="10.109375" style="381" customWidth="1"/>
    <col min="2161" max="2161" width="9.5546875" style="381" customWidth="1"/>
    <col min="2162" max="2162" width="9.44140625" style="381" customWidth="1"/>
    <col min="2163" max="2163" width="10.109375" style="381" customWidth="1"/>
    <col min="2164" max="2164" width="9.33203125" style="381" customWidth="1"/>
    <col min="2165" max="2165" width="9.44140625" style="381" customWidth="1"/>
    <col min="2166" max="2166" width="10.109375" style="381" customWidth="1"/>
    <col min="2167" max="2167" width="9.109375" style="381" customWidth="1"/>
    <col min="2168" max="2170" width="9" style="381" customWidth="1"/>
    <col min="2171" max="2171" width="8.88671875" style="381" customWidth="1"/>
    <col min="2172" max="2175" width="10.109375" style="381" customWidth="1"/>
    <col min="2176" max="2176" width="10" style="381" customWidth="1"/>
    <col min="2177" max="2177" width="9.88671875" style="381" customWidth="1"/>
    <col min="2178" max="2179" width="9.44140625" style="381" customWidth="1"/>
    <col min="2180" max="2180" width="8.6640625" style="381" customWidth="1"/>
    <col min="2181" max="2181" width="9.109375" style="381" customWidth="1"/>
    <col min="2182" max="2182" width="8.109375" style="381" customWidth="1"/>
    <col min="2183" max="2183" width="8.6640625" style="381" customWidth="1"/>
    <col min="2184" max="2184" width="10.109375" style="381" customWidth="1"/>
    <col min="2185" max="2185" width="9.33203125" style="381" customWidth="1"/>
    <col min="2186" max="2190" width="10.109375" style="381" customWidth="1"/>
    <col min="2191" max="2191" width="9.109375" style="381" customWidth="1"/>
    <col min="2192" max="2192" width="8.88671875" style="381" customWidth="1"/>
    <col min="2193" max="2193" width="9" style="381" customWidth="1"/>
    <col min="2194" max="2194" width="8.44140625" style="381" customWidth="1"/>
    <col min="2195" max="2195" width="9" style="381" customWidth="1"/>
    <col min="2196" max="2202" width="10.109375" style="381" customWidth="1"/>
    <col min="2203" max="2203" width="8.5546875" style="381" customWidth="1"/>
    <col min="2204" max="2204" width="8.33203125" style="381" customWidth="1"/>
    <col min="2205" max="2205" width="9.5546875" style="381" customWidth="1"/>
    <col min="2206" max="2206" width="8.33203125" style="381" customWidth="1"/>
    <col min="2207" max="2207" width="8.6640625" style="381" customWidth="1"/>
    <col min="2208" max="2305" width="9.109375" style="381"/>
    <col min="2306" max="2306" width="5.109375" style="381" bestFit="1" customWidth="1"/>
    <col min="2307" max="2307" width="79" style="381" customWidth="1"/>
    <col min="2308" max="2308" width="10.5546875" style="381" customWidth="1"/>
    <col min="2309" max="2309" width="9.88671875" style="381" customWidth="1"/>
    <col min="2310" max="2310" width="10.6640625" style="381" customWidth="1"/>
    <col min="2311" max="2311" width="11.6640625" style="381" customWidth="1"/>
    <col min="2312" max="2312" width="12.109375" style="381" customWidth="1"/>
    <col min="2313" max="2313" width="11.44140625" style="381" customWidth="1"/>
    <col min="2314" max="2315" width="9.6640625" style="381" customWidth="1"/>
    <col min="2316" max="2316" width="8.5546875" style="381" customWidth="1"/>
    <col min="2317" max="2317" width="8.109375" style="381" customWidth="1"/>
    <col min="2318" max="2318" width="9.33203125" style="381" customWidth="1"/>
    <col min="2319" max="2320" width="8.5546875" style="381" customWidth="1"/>
    <col min="2321" max="2321" width="9.88671875" style="381" customWidth="1"/>
    <col min="2322" max="2324" width="8.5546875" style="381" customWidth="1"/>
    <col min="2325" max="2325" width="9.5546875" style="381" customWidth="1"/>
    <col min="2326" max="2326" width="8.5546875" style="381" customWidth="1"/>
    <col min="2327" max="2327" width="9.44140625" style="381" customWidth="1"/>
    <col min="2328" max="2330" width="8.5546875" style="381" customWidth="1"/>
    <col min="2331" max="2331" width="9.44140625" style="381" customWidth="1"/>
    <col min="2332" max="2332" width="9.33203125" style="381" customWidth="1"/>
    <col min="2333" max="2333" width="9.44140625" style="381" customWidth="1"/>
    <col min="2334" max="2334" width="10" style="381" customWidth="1"/>
    <col min="2335" max="2335" width="8.109375" style="381" customWidth="1"/>
    <col min="2336" max="2336" width="10.88671875" style="381" customWidth="1"/>
    <col min="2337" max="2337" width="9.88671875" style="381" customWidth="1"/>
    <col min="2338" max="2338" width="10.109375" style="381" customWidth="1"/>
    <col min="2339" max="2339" width="9.33203125" style="381" customWidth="1"/>
    <col min="2340" max="2342" width="8.6640625" style="381" customWidth="1"/>
    <col min="2343" max="2343" width="7.44140625" style="381" customWidth="1"/>
    <col min="2344" max="2352" width="9.6640625" style="381" customWidth="1"/>
    <col min="2353" max="2353" width="8.5546875" style="381" customWidth="1"/>
    <col min="2354" max="2354" width="8.33203125" style="381" customWidth="1"/>
    <col min="2355" max="2355" width="9.6640625" style="381" customWidth="1"/>
    <col min="2356" max="2356" width="10.6640625" style="381" customWidth="1"/>
    <col min="2357" max="2359" width="9.6640625" style="381" customWidth="1"/>
    <col min="2360" max="2360" width="10.5546875" style="381" customWidth="1"/>
    <col min="2361" max="2363" width="9.6640625" style="381" customWidth="1"/>
    <col min="2364" max="2364" width="9" style="381" customWidth="1"/>
    <col min="2365" max="2365" width="9.6640625" style="381" customWidth="1"/>
    <col min="2366" max="2366" width="8.44140625" style="381" customWidth="1"/>
    <col min="2367" max="2367" width="8.6640625" style="381" customWidth="1"/>
    <col min="2368" max="2368" width="11.33203125" style="381" customWidth="1"/>
    <col min="2369" max="2369" width="9.44140625" style="381" customWidth="1"/>
    <col min="2370" max="2372" width="10.109375" style="381" customWidth="1"/>
    <col min="2373" max="2373" width="10" style="381" customWidth="1"/>
    <col min="2374" max="2374" width="9.109375" style="381" customWidth="1"/>
    <col min="2375" max="2375" width="9.44140625" style="381" customWidth="1"/>
    <col min="2376" max="2376" width="8.44140625" style="381" customWidth="1"/>
    <col min="2377" max="2377" width="10.109375" style="381" customWidth="1"/>
    <col min="2378" max="2378" width="8.44140625" style="381" customWidth="1"/>
    <col min="2379" max="2379" width="7.5546875" style="381" customWidth="1"/>
    <col min="2380" max="2380" width="10.88671875" style="381" customWidth="1"/>
    <col min="2381" max="2381" width="9.109375" style="381" customWidth="1"/>
    <col min="2382" max="2382" width="9.5546875" style="381" customWidth="1"/>
    <col min="2383" max="2383" width="9.6640625" style="381" customWidth="1"/>
    <col min="2384" max="2384" width="9.109375" style="381" customWidth="1"/>
    <col min="2385" max="2385" width="9" style="381" customWidth="1"/>
    <col min="2386" max="2386" width="9.109375" style="381" customWidth="1"/>
    <col min="2387" max="2387" width="9.6640625" style="381" customWidth="1"/>
    <col min="2388" max="2390" width="9.33203125" style="381" customWidth="1"/>
    <col min="2391" max="2391" width="9.109375" style="381" customWidth="1"/>
    <col min="2392" max="2395" width="10" style="381" customWidth="1"/>
    <col min="2396" max="2396" width="8.6640625" style="381" customWidth="1"/>
    <col min="2397" max="2398" width="10" style="381" customWidth="1"/>
    <col min="2399" max="2399" width="8.88671875" style="381" customWidth="1"/>
    <col min="2400" max="2402" width="9.109375" style="381" customWidth="1"/>
    <col min="2403" max="2403" width="9" style="381" customWidth="1"/>
    <col min="2404" max="2405" width="10" style="381" customWidth="1"/>
    <col min="2406" max="2406" width="9.5546875" style="381" customWidth="1"/>
    <col min="2407" max="2407" width="9.109375" style="381" customWidth="1"/>
    <col min="2408" max="2408" width="9" style="381" customWidth="1"/>
    <col min="2409" max="2411" width="9.44140625" style="381" customWidth="1"/>
    <col min="2412" max="2414" width="9.33203125" style="381" customWidth="1"/>
    <col min="2415" max="2415" width="9" style="381" customWidth="1"/>
    <col min="2416" max="2416" width="10.109375" style="381" customWidth="1"/>
    <col min="2417" max="2417" width="9.5546875" style="381" customWidth="1"/>
    <col min="2418" max="2418" width="9.44140625" style="381" customWidth="1"/>
    <col min="2419" max="2419" width="10.109375" style="381" customWidth="1"/>
    <col min="2420" max="2420" width="9.33203125" style="381" customWidth="1"/>
    <col min="2421" max="2421" width="9.44140625" style="381" customWidth="1"/>
    <col min="2422" max="2422" width="10.109375" style="381" customWidth="1"/>
    <col min="2423" max="2423" width="9.109375" style="381" customWidth="1"/>
    <col min="2424" max="2426" width="9" style="381" customWidth="1"/>
    <col min="2427" max="2427" width="8.88671875" style="381" customWidth="1"/>
    <col min="2428" max="2431" width="10.109375" style="381" customWidth="1"/>
    <col min="2432" max="2432" width="10" style="381" customWidth="1"/>
    <col min="2433" max="2433" width="9.88671875" style="381" customWidth="1"/>
    <col min="2434" max="2435" width="9.44140625" style="381" customWidth="1"/>
    <col min="2436" max="2436" width="8.6640625" style="381" customWidth="1"/>
    <col min="2437" max="2437" width="9.109375" style="381" customWidth="1"/>
    <col min="2438" max="2438" width="8.109375" style="381" customWidth="1"/>
    <col min="2439" max="2439" width="8.6640625" style="381" customWidth="1"/>
    <col min="2440" max="2440" width="10.109375" style="381" customWidth="1"/>
    <col min="2441" max="2441" width="9.33203125" style="381" customWidth="1"/>
    <col min="2442" max="2446" width="10.109375" style="381" customWidth="1"/>
    <col min="2447" max="2447" width="9.109375" style="381" customWidth="1"/>
    <col min="2448" max="2448" width="8.88671875" style="381" customWidth="1"/>
    <col min="2449" max="2449" width="9" style="381" customWidth="1"/>
    <col min="2450" max="2450" width="8.44140625" style="381" customWidth="1"/>
    <col min="2451" max="2451" width="9" style="381" customWidth="1"/>
    <col min="2452" max="2458" width="10.109375" style="381" customWidth="1"/>
    <col min="2459" max="2459" width="8.5546875" style="381" customWidth="1"/>
    <col min="2460" max="2460" width="8.33203125" style="381" customWidth="1"/>
    <col min="2461" max="2461" width="9.5546875" style="381" customWidth="1"/>
    <col min="2462" max="2462" width="8.33203125" style="381" customWidth="1"/>
    <col min="2463" max="2463" width="8.6640625" style="381" customWidth="1"/>
    <col min="2464" max="2561" width="9.109375" style="381"/>
    <col min="2562" max="2562" width="5.109375" style="381" bestFit="1" customWidth="1"/>
    <col min="2563" max="2563" width="79" style="381" customWidth="1"/>
    <col min="2564" max="2564" width="10.5546875" style="381" customWidth="1"/>
    <col min="2565" max="2565" width="9.88671875" style="381" customWidth="1"/>
    <col min="2566" max="2566" width="10.6640625" style="381" customWidth="1"/>
    <col min="2567" max="2567" width="11.6640625" style="381" customWidth="1"/>
    <col min="2568" max="2568" width="12.109375" style="381" customWidth="1"/>
    <col min="2569" max="2569" width="11.44140625" style="381" customWidth="1"/>
    <col min="2570" max="2571" width="9.6640625" style="381" customWidth="1"/>
    <col min="2572" max="2572" width="8.5546875" style="381" customWidth="1"/>
    <col min="2573" max="2573" width="8.109375" style="381" customWidth="1"/>
    <col min="2574" max="2574" width="9.33203125" style="381" customWidth="1"/>
    <col min="2575" max="2576" width="8.5546875" style="381" customWidth="1"/>
    <col min="2577" max="2577" width="9.88671875" style="381" customWidth="1"/>
    <col min="2578" max="2580" width="8.5546875" style="381" customWidth="1"/>
    <col min="2581" max="2581" width="9.5546875" style="381" customWidth="1"/>
    <col min="2582" max="2582" width="8.5546875" style="381" customWidth="1"/>
    <col min="2583" max="2583" width="9.44140625" style="381" customWidth="1"/>
    <col min="2584" max="2586" width="8.5546875" style="381" customWidth="1"/>
    <col min="2587" max="2587" width="9.44140625" style="381" customWidth="1"/>
    <col min="2588" max="2588" width="9.33203125" style="381" customWidth="1"/>
    <col min="2589" max="2589" width="9.44140625" style="381" customWidth="1"/>
    <col min="2590" max="2590" width="10" style="381" customWidth="1"/>
    <col min="2591" max="2591" width="8.109375" style="381" customWidth="1"/>
    <col min="2592" max="2592" width="10.88671875" style="381" customWidth="1"/>
    <col min="2593" max="2593" width="9.88671875" style="381" customWidth="1"/>
    <col min="2594" max="2594" width="10.109375" style="381" customWidth="1"/>
    <col min="2595" max="2595" width="9.33203125" style="381" customWidth="1"/>
    <col min="2596" max="2598" width="8.6640625" style="381" customWidth="1"/>
    <col min="2599" max="2599" width="7.44140625" style="381" customWidth="1"/>
    <col min="2600" max="2608" width="9.6640625" style="381" customWidth="1"/>
    <col min="2609" max="2609" width="8.5546875" style="381" customWidth="1"/>
    <col min="2610" max="2610" width="8.33203125" style="381" customWidth="1"/>
    <col min="2611" max="2611" width="9.6640625" style="381" customWidth="1"/>
    <col min="2612" max="2612" width="10.6640625" style="381" customWidth="1"/>
    <col min="2613" max="2615" width="9.6640625" style="381" customWidth="1"/>
    <col min="2616" max="2616" width="10.5546875" style="381" customWidth="1"/>
    <col min="2617" max="2619" width="9.6640625" style="381" customWidth="1"/>
    <col min="2620" max="2620" width="9" style="381" customWidth="1"/>
    <col min="2621" max="2621" width="9.6640625" style="381" customWidth="1"/>
    <col min="2622" max="2622" width="8.44140625" style="381" customWidth="1"/>
    <col min="2623" max="2623" width="8.6640625" style="381" customWidth="1"/>
    <col min="2624" max="2624" width="11.33203125" style="381" customWidth="1"/>
    <col min="2625" max="2625" width="9.44140625" style="381" customWidth="1"/>
    <col min="2626" max="2628" width="10.109375" style="381" customWidth="1"/>
    <col min="2629" max="2629" width="10" style="381" customWidth="1"/>
    <col min="2630" max="2630" width="9.109375" style="381" customWidth="1"/>
    <col min="2631" max="2631" width="9.44140625" style="381" customWidth="1"/>
    <col min="2632" max="2632" width="8.44140625" style="381" customWidth="1"/>
    <col min="2633" max="2633" width="10.109375" style="381" customWidth="1"/>
    <col min="2634" max="2634" width="8.44140625" style="381" customWidth="1"/>
    <col min="2635" max="2635" width="7.5546875" style="381" customWidth="1"/>
    <col min="2636" max="2636" width="10.88671875" style="381" customWidth="1"/>
    <col min="2637" max="2637" width="9.109375" style="381" customWidth="1"/>
    <col min="2638" max="2638" width="9.5546875" style="381" customWidth="1"/>
    <col min="2639" max="2639" width="9.6640625" style="381" customWidth="1"/>
    <col min="2640" max="2640" width="9.109375" style="381" customWidth="1"/>
    <col min="2641" max="2641" width="9" style="381" customWidth="1"/>
    <col min="2642" max="2642" width="9.109375" style="381" customWidth="1"/>
    <col min="2643" max="2643" width="9.6640625" style="381" customWidth="1"/>
    <col min="2644" max="2646" width="9.33203125" style="381" customWidth="1"/>
    <col min="2647" max="2647" width="9.109375" style="381" customWidth="1"/>
    <col min="2648" max="2651" width="10" style="381" customWidth="1"/>
    <col min="2652" max="2652" width="8.6640625" style="381" customWidth="1"/>
    <col min="2653" max="2654" width="10" style="381" customWidth="1"/>
    <col min="2655" max="2655" width="8.88671875" style="381" customWidth="1"/>
    <col min="2656" max="2658" width="9.109375" style="381" customWidth="1"/>
    <col min="2659" max="2659" width="9" style="381" customWidth="1"/>
    <col min="2660" max="2661" width="10" style="381" customWidth="1"/>
    <col min="2662" max="2662" width="9.5546875" style="381" customWidth="1"/>
    <col min="2663" max="2663" width="9.109375" style="381" customWidth="1"/>
    <col min="2664" max="2664" width="9" style="381" customWidth="1"/>
    <col min="2665" max="2667" width="9.44140625" style="381" customWidth="1"/>
    <col min="2668" max="2670" width="9.33203125" style="381" customWidth="1"/>
    <col min="2671" max="2671" width="9" style="381" customWidth="1"/>
    <col min="2672" max="2672" width="10.109375" style="381" customWidth="1"/>
    <col min="2673" max="2673" width="9.5546875" style="381" customWidth="1"/>
    <col min="2674" max="2674" width="9.44140625" style="381" customWidth="1"/>
    <col min="2675" max="2675" width="10.109375" style="381" customWidth="1"/>
    <col min="2676" max="2676" width="9.33203125" style="381" customWidth="1"/>
    <col min="2677" max="2677" width="9.44140625" style="381" customWidth="1"/>
    <col min="2678" max="2678" width="10.109375" style="381" customWidth="1"/>
    <col min="2679" max="2679" width="9.109375" style="381" customWidth="1"/>
    <col min="2680" max="2682" width="9" style="381" customWidth="1"/>
    <col min="2683" max="2683" width="8.88671875" style="381" customWidth="1"/>
    <col min="2684" max="2687" width="10.109375" style="381" customWidth="1"/>
    <col min="2688" max="2688" width="10" style="381" customWidth="1"/>
    <col min="2689" max="2689" width="9.88671875" style="381" customWidth="1"/>
    <col min="2690" max="2691" width="9.44140625" style="381" customWidth="1"/>
    <col min="2692" max="2692" width="8.6640625" style="381" customWidth="1"/>
    <col min="2693" max="2693" width="9.109375" style="381" customWidth="1"/>
    <col min="2694" max="2694" width="8.109375" style="381" customWidth="1"/>
    <col min="2695" max="2695" width="8.6640625" style="381" customWidth="1"/>
    <col min="2696" max="2696" width="10.109375" style="381" customWidth="1"/>
    <col min="2697" max="2697" width="9.33203125" style="381" customWidth="1"/>
    <col min="2698" max="2702" width="10.109375" style="381" customWidth="1"/>
    <col min="2703" max="2703" width="9.109375" style="381" customWidth="1"/>
    <col min="2704" max="2704" width="8.88671875" style="381" customWidth="1"/>
    <col min="2705" max="2705" width="9" style="381" customWidth="1"/>
    <col min="2706" max="2706" width="8.44140625" style="381" customWidth="1"/>
    <col min="2707" max="2707" width="9" style="381" customWidth="1"/>
    <col min="2708" max="2714" width="10.109375" style="381" customWidth="1"/>
    <col min="2715" max="2715" width="8.5546875" style="381" customWidth="1"/>
    <col min="2716" max="2716" width="8.33203125" style="381" customWidth="1"/>
    <col min="2717" max="2717" width="9.5546875" style="381" customWidth="1"/>
    <col min="2718" max="2718" width="8.33203125" style="381" customWidth="1"/>
    <col min="2719" max="2719" width="8.6640625" style="381" customWidth="1"/>
    <col min="2720" max="2817" width="9.109375" style="381"/>
    <col min="2818" max="2818" width="5.109375" style="381" bestFit="1" customWidth="1"/>
    <col min="2819" max="2819" width="79" style="381" customWidth="1"/>
    <col min="2820" max="2820" width="10.5546875" style="381" customWidth="1"/>
    <col min="2821" max="2821" width="9.88671875" style="381" customWidth="1"/>
    <col min="2822" max="2822" width="10.6640625" style="381" customWidth="1"/>
    <col min="2823" max="2823" width="11.6640625" style="381" customWidth="1"/>
    <col min="2824" max="2824" width="12.109375" style="381" customWidth="1"/>
    <col min="2825" max="2825" width="11.44140625" style="381" customWidth="1"/>
    <col min="2826" max="2827" width="9.6640625" style="381" customWidth="1"/>
    <col min="2828" max="2828" width="8.5546875" style="381" customWidth="1"/>
    <col min="2829" max="2829" width="8.109375" style="381" customWidth="1"/>
    <col min="2830" max="2830" width="9.33203125" style="381" customWidth="1"/>
    <col min="2831" max="2832" width="8.5546875" style="381" customWidth="1"/>
    <col min="2833" max="2833" width="9.88671875" style="381" customWidth="1"/>
    <col min="2834" max="2836" width="8.5546875" style="381" customWidth="1"/>
    <col min="2837" max="2837" width="9.5546875" style="381" customWidth="1"/>
    <col min="2838" max="2838" width="8.5546875" style="381" customWidth="1"/>
    <col min="2839" max="2839" width="9.44140625" style="381" customWidth="1"/>
    <col min="2840" max="2842" width="8.5546875" style="381" customWidth="1"/>
    <col min="2843" max="2843" width="9.44140625" style="381" customWidth="1"/>
    <col min="2844" max="2844" width="9.33203125" style="381" customWidth="1"/>
    <col min="2845" max="2845" width="9.44140625" style="381" customWidth="1"/>
    <col min="2846" max="2846" width="10" style="381" customWidth="1"/>
    <col min="2847" max="2847" width="8.109375" style="381" customWidth="1"/>
    <col min="2848" max="2848" width="10.88671875" style="381" customWidth="1"/>
    <col min="2849" max="2849" width="9.88671875" style="381" customWidth="1"/>
    <col min="2850" max="2850" width="10.109375" style="381" customWidth="1"/>
    <col min="2851" max="2851" width="9.33203125" style="381" customWidth="1"/>
    <col min="2852" max="2854" width="8.6640625" style="381" customWidth="1"/>
    <col min="2855" max="2855" width="7.44140625" style="381" customWidth="1"/>
    <col min="2856" max="2864" width="9.6640625" style="381" customWidth="1"/>
    <col min="2865" max="2865" width="8.5546875" style="381" customWidth="1"/>
    <col min="2866" max="2866" width="8.33203125" style="381" customWidth="1"/>
    <col min="2867" max="2867" width="9.6640625" style="381" customWidth="1"/>
    <col min="2868" max="2868" width="10.6640625" style="381" customWidth="1"/>
    <col min="2869" max="2871" width="9.6640625" style="381" customWidth="1"/>
    <col min="2872" max="2872" width="10.5546875" style="381" customWidth="1"/>
    <col min="2873" max="2875" width="9.6640625" style="381" customWidth="1"/>
    <col min="2876" max="2876" width="9" style="381" customWidth="1"/>
    <col min="2877" max="2877" width="9.6640625" style="381" customWidth="1"/>
    <col min="2878" max="2878" width="8.44140625" style="381" customWidth="1"/>
    <col min="2879" max="2879" width="8.6640625" style="381" customWidth="1"/>
    <col min="2880" max="2880" width="11.33203125" style="381" customWidth="1"/>
    <col min="2881" max="2881" width="9.44140625" style="381" customWidth="1"/>
    <col min="2882" max="2884" width="10.109375" style="381" customWidth="1"/>
    <col min="2885" max="2885" width="10" style="381" customWidth="1"/>
    <col min="2886" max="2886" width="9.109375" style="381" customWidth="1"/>
    <col min="2887" max="2887" width="9.44140625" style="381" customWidth="1"/>
    <col min="2888" max="2888" width="8.44140625" style="381" customWidth="1"/>
    <col min="2889" max="2889" width="10.109375" style="381" customWidth="1"/>
    <col min="2890" max="2890" width="8.44140625" style="381" customWidth="1"/>
    <col min="2891" max="2891" width="7.5546875" style="381" customWidth="1"/>
    <col min="2892" max="2892" width="10.88671875" style="381" customWidth="1"/>
    <col min="2893" max="2893" width="9.109375" style="381" customWidth="1"/>
    <col min="2894" max="2894" width="9.5546875" style="381" customWidth="1"/>
    <col min="2895" max="2895" width="9.6640625" style="381" customWidth="1"/>
    <col min="2896" max="2896" width="9.109375" style="381" customWidth="1"/>
    <col min="2897" max="2897" width="9" style="381" customWidth="1"/>
    <col min="2898" max="2898" width="9.109375" style="381" customWidth="1"/>
    <col min="2899" max="2899" width="9.6640625" style="381" customWidth="1"/>
    <col min="2900" max="2902" width="9.33203125" style="381" customWidth="1"/>
    <col min="2903" max="2903" width="9.109375" style="381" customWidth="1"/>
    <col min="2904" max="2907" width="10" style="381" customWidth="1"/>
    <col min="2908" max="2908" width="8.6640625" style="381" customWidth="1"/>
    <col min="2909" max="2910" width="10" style="381" customWidth="1"/>
    <col min="2911" max="2911" width="8.88671875" style="381" customWidth="1"/>
    <col min="2912" max="2914" width="9.109375" style="381" customWidth="1"/>
    <col min="2915" max="2915" width="9" style="381" customWidth="1"/>
    <col min="2916" max="2917" width="10" style="381" customWidth="1"/>
    <col min="2918" max="2918" width="9.5546875" style="381" customWidth="1"/>
    <col min="2919" max="2919" width="9.109375" style="381" customWidth="1"/>
    <col min="2920" max="2920" width="9" style="381" customWidth="1"/>
    <col min="2921" max="2923" width="9.44140625" style="381" customWidth="1"/>
    <col min="2924" max="2926" width="9.33203125" style="381" customWidth="1"/>
    <col min="2927" max="2927" width="9" style="381" customWidth="1"/>
    <col min="2928" max="2928" width="10.109375" style="381" customWidth="1"/>
    <col min="2929" max="2929" width="9.5546875" style="381" customWidth="1"/>
    <col min="2930" max="2930" width="9.44140625" style="381" customWidth="1"/>
    <col min="2931" max="2931" width="10.109375" style="381" customWidth="1"/>
    <col min="2932" max="2932" width="9.33203125" style="381" customWidth="1"/>
    <col min="2933" max="2933" width="9.44140625" style="381" customWidth="1"/>
    <col min="2934" max="2934" width="10.109375" style="381" customWidth="1"/>
    <col min="2935" max="2935" width="9.109375" style="381" customWidth="1"/>
    <col min="2936" max="2938" width="9" style="381" customWidth="1"/>
    <col min="2939" max="2939" width="8.88671875" style="381" customWidth="1"/>
    <col min="2940" max="2943" width="10.109375" style="381" customWidth="1"/>
    <col min="2944" max="2944" width="10" style="381" customWidth="1"/>
    <col min="2945" max="2945" width="9.88671875" style="381" customWidth="1"/>
    <col min="2946" max="2947" width="9.44140625" style="381" customWidth="1"/>
    <col min="2948" max="2948" width="8.6640625" style="381" customWidth="1"/>
    <col min="2949" max="2949" width="9.109375" style="381" customWidth="1"/>
    <col min="2950" max="2950" width="8.109375" style="381" customWidth="1"/>
    <col min="2951" max="2951" width="8.6640625" style="381" customWidth="1"/>
    <col min="2952" max="2952" width="10.109375" style="381" customWidth="1"/>
    <col min="2953" max="2953" width="9.33203125" style="381" customWidth="1"/>
    <col min="2954" max="2958" width="10.109375" style="381" customWidth="1"/>
    <col min="2959" max="2959" width="9.109375" style="381" customWidth="1"/>
    <col min="2960" max="2960" width="8.88671875" style="381" customWidth="1"/>
    <col min="2961" max="2961" width="9" style="381" customWidth="1"/>
    <col min="2962" max="2962" width="8.44140625" style="381" customWidth="1"/>
    <col min="2963" max="2963" width="9" style="381" customWidth="1"/>
    <col min="2964" max="2970" width="10.109375" style="381" customWidth="1"/>
    <col min="2971" max="2971" width="8.5546875" style="381" customWidth="1"/>
    <col min="2972" max="2972" width="8.33203125" style="381" customWidth="1"/>
    <col min="2973" max="2973" width="9.5546875" style="381" customWidth="1"/>
    <col min="2974" max="2974" width="8.33203125" style="381" customWidth="1"/>
    <col min="2975" max="2975" width="8.6640625" style="381" customWidth="1"/>
    <col min="2976" max="3073" width="9.109375" style="381"/>
    <col min="3074" max="3074" width="5.109375" style="381" bestFit="1" customWidth="1"/>
    <col min="3075" max="3075" width="79" style="381" customWidth="1"/>
    <col min="3076" max="3076" width="10.5546875" style="381" customWidth="1"/>
    <col min="3077" max="3077" width="9.88671875" style="381" customWidth="1"/>
    <col min="3078" max="3078" width="10.6640625" style="381" customWidth="1"/>
    <col min="3079" max="3079" width="11.6640625" style="381" customWidth="1"/>
    <col min="3080" max="3080" width="12.109375" style="381" customWidth="1"/>
    <col min="3081" max="3081" width="11.44140625" style="381" customWidth="1"/>
    <col min="3082" max="3083" width="9.6640625" style="381" customWidth="1"/>
    <col min="3084" max="3084" width="8.5546875" style="381" customWidth="1"/>
    <col min="3085" max="3085" width="8.109375" style="381" customWidth="1"/>
    <col min="3086" max="3086" width="9.33203125" style="381" customWidth="1"/>
    <col min="3087" max="3088" width="8.5546875" style="381" customWidth="1"/>
    <col min="3089" max="3089" width="9.88671875" style="381" customWidth="1"/>
    <col min="3090" max="3092" width="8.5546875" style="381" customWidth="1"/>
    <col min="3093" max="3093" width="9.5546875" style="381" customWidth="1"/>
    <col min="3094" max="3094" width="8.5546875" style="381" customWidth="1"/>
    <col min="3095" max="3095" width="9.44140625" style="381" customWidth="1"/>
    <col min="3096" max="3098" width="8.5546875" style="381" customWidth="1"/>
    <col min="3099" max="3099" width="9.44140625" style="381" customWidth="1"/>
    <col min="3100" max="3100" width="9.33203125" style="381" customWidth="1"/>
    <col min="3101" max="3101" width="9.44140625" style="381" customWidth="1"/>
    <col min="3102" max="3102" width="10" style="381" customWidth="1"/>
    <col min="3103" max="3103" width="8.109375" style="381" customWidth="1"/>
    <col min="3104" max="3104" width="10.88671875" style="381" customWidth="1"/>
    <col min="3105" max="3105" width="9.88671875" style="381" customWidth="1"/>
    <col min="3106" max="3106" width="10.109375" style="381" customWidth="1"/>
    <col min="3107" max="3107" width="9.33203125" style="381" customWidth="1"/>
    <col min="3108" max="3110" width="8.6640625" style="381" customWidth="1"/>
    <col min="3111" max="3111" width="7.44140625" style="381" customWidth="1"/>
    <col min="3112" max="3120" width="9.6640625" style="381" customWidth="1"/>
    <col min="3121" max="3121" width="8.5546875" style="381" customWidth="1"/>
    <col min="3122" max="3122" width="8.33203125" style="381" customWidth="1"/>
    <col min="3123" max="3123" width="9.6640625" style="381" customWidth="1"/>
    <col min="3124" max="3124" width="10.6640625" style="381" customWidth="1"/>
    <col min="3125" max="3127" width="9.6640625" style="381" customWidth="1"/>
    <col min="3128" max="3128" width="10.5546875" style="381" customWidth="1"/>
    <col min="3129" max="3131" width="9.6640625" style="381" customWidth="1"/>
    <col min="3132" max="3132" width="9" style="381" customWidth="1"/>
    <col min="3133" max="3133" width="9.6640625" style="381" customWidth="1"/>
    <col min="3134" max="3134" width="8.44140625" style="381" customWidth="1"/>
    <col min="3135" max="3135" width="8.6640625" style="381" customWidth="1"/>
    <col min="3136" max="3136" width="11.33203125" style="381" customWidth="1"/>
    <col min="3137" max="3137" width="9.44140625" style="381" customWidth="1"/>
    <col min="3138" max="3140" width="10.109375" style="381" customWidth="1"/>
    <col min="3141" max="3141" width="10" style="381" customWidth="1"/>
    <col min="3142" max="3142" width="9.109375" style="381" customWidth="1"/>
    <col min="3143" max="3143" width="9.44140625" style="381" customWidth="1"/>
    <col min="3144" max="3144" width="8.44140625" style="381" customWidth="1"/>
    <col min="3145" max="3145" width="10.109375" style="381" customWidth="1"/>
    <col min="3146" max="3146" width="8.44140625" style="381" customWidth="1"/>
    <col min="3147" max="3147" width="7.5546875" style="381" customWidth="1"/>
    <col min="3148" max="3148" width="10.88671875" style="381" customWidth="1"/>
    <col min="3149" max="3149" width="9.109375" style="381" customWidth="1"/>
    <col min="3150" max="3150" width="9.5546875" style="381" customWidth="1"/>
    <col min="3151" max="3151" width="9.6640625" style="381" customWidth="1"/>
    <col min="3152" max="3152" width="9.109375" style="381" customWidth="1"/>
    <col min="3153" max="3153" width="9" style="381" customWidth="1"/>
    <col min="3154" max="3154" width="9.109375" style="381" customWidth="1"/>
    <col min="3155" max="3155" width="9.6640625" style="381" customWidth="1"/>
    <col min="3156" max="3158" width="9.33203125" style="381" customWidth="1"/>
    <col min="3159" max="3159" width="9.109375" style="381" customWidth="1"/>
    <col min="3160" max="3163" width="10" style="381" customWidth="1"/>
    <col min="3164" max="3164" width="8.6640625" style="381" customWidth="1"/>
    <col min="3165" max="3166" width="10" style="381" customWidth="1"/>
    <col min="3167" max="3167" width="8.88671875" style="381" customWidth="1"/>
    <col min="3168" max="3170" width="9.109375" style="381" customWidth="1"/>
    <col min="3171" max="3171" width="9" style="381" customWidth="1"/>
    <col min="3172" max="3173" width="10" style="381" customWidth="1"/>
    <col min="3174" max="3174" width="9.5546875" style="381" customWidth="1"/>
    <col min="3175" max="3175" width="9.109375" style="381" customWidth="1"/>
    <col min="3176" max="3176" width="9" style="381" customWidth="1"/>
    <col min="3177" max="3179" width="9.44140625" style="381" customWidth="1"/>
    <col min="3180" max="3182" width="9.33203125" style="381" customWidth="1"/>
    <col min="3183" max="3183" width="9" style="381" customWidth="1"/>
    <col min="3184" max="3184" width="10.109375" style="381" customWidth="1"/>
    <col min="3185" max="3185" width="9.5546875" style="381" customWidth="1"/>
    <col min="3186" max="3186" width="9.44140625" style="381" customWidth="1"/>
    <col min="3187" max="3187" width="10.109375" style="381" customWidth="1"/>
    <col min="3188" max="3188" width="9.33203125" style="381" customWidth="1"/>
    <col min="3189" max="3189" width="9.44140625" style="381" customWidth="1"/>
    <col min="3190" max="3190" width="10.109375" style="381" customWidth="1"/>
    <col min="3191" max="3191" width="9.109375" style="381" customWidth="1"/>
    <col min="3192" max="3194" width="9" style="381" customWidth="1"/>
    <col min="3195" max="3195" width="8.88671875" style="381" customWidth="1"/>
    <col min="3196" max="3199" width="10.109375" style="381" customWidth="1"/>
    <col min="3200" max="3200" width="10" style="381" customWidth="1"/>
    <col min="3201" max="3201" width="9.88671875" style="381" customWidth="1"/>
    <col min="3202" max="3203" width="9.44140625" style="381" customWidth="1"/>
    <col min="3204" max="3204" width="8.6640625" style="381" customWidth="1"/>
    <col min="3205" max="3205" width="9.109375" style="381" customWidth="1"/>
    <col min="3206" max="3206" width="8.109375" style="381" customWidth="1"/>
    <col min="3207" max="3207" width="8.6640625" style="381" customWidth="1"/>
    <col min="3208" max="3208" width="10.109375" style="381" customWidth="1"/>
    <col min="3209" max="3209" width="9.33203125" style="381" customWidth="1"/>
    <col min="3210" max="3214" width="10.109375" style="381" customWidth="1"/>
    <col min="3215" max="3215" width="9.109375" style="381" customWidth="1"/>
    <col min="3216" max="3216" width="8.88671875" style="381" customWidth="1"/>
    <col min="3217" max="3217" width="9" style="381" customWidth="1"/>
    <col min="3218" max="3218" width="8.44140625" style="381" customWidth="1"/>
    <col min="3219" max="3219" width="9" style="381" customWidth="1"/>
    <col min="3220" max="3226" width="10.109375" style="381" customWidth="1"/>
    <col min="3227" max="3227" width="8.5546875" style="381" customWidth="1"/>
    <col min="3228" max="3228" width="8.33203125" style="381" customWidth="1"/>
    <col min="3229" max="3229" width="9.5546875" style="381" customWidth="1"/>
    <col min="3230" max="3230" width="8.33203125" style="381" customWidth="1"/>
    <col min="3231" max="3231" width="8.6640625" style="381" customWidth="1"/>
    <col min="3232" max="3329" width="9.109375" style="381"/>
    <col min="3330" max="3330" width="5.109375" style="381" bestFit="1" customWidth="1"/>
    <col min="3331" max="3331" width="79" style="381" customWidth="1"/>
    <col min="3332" max="3332" width="10.5546875" style="381" customWidth="1"/>
    <col min="3333" max="3333" width="9.88671875" style="381" customWidth="1"/>
    <col min="3334" max="3334" width="10.6640625" style="381" customWidth="1"/>
    <col min="3335" max="3335" width="11.6640625" style="381" customWidth="1"/>
    <col min="3336" max="3336" width="12.109375" style="381" customWidth="1"/>
    <col min="3337" max="3337" width="11.44140625" style="381" customWidth="1"/>
    <col min="3338" max="3339" width="9.6640625" style="381" customWidth="1"/>
    <col min="3340" max="3340" width="8.5546875" style="381" customWidth="1"/>
    <col min="3341" max="3341" width="8.109375" style="381" customWidth="1"/>
    <col min="3342" max="3342" width="9.33203125" style="381" customWidth="1"/>
    <col min="3343" max="3344" width="8.5546875" style="381" customWidth="1"/>
    <col min="3345" max="3345" width="9.88671875" style="381" customWidth="1"/>
    <col min="3346" max="3348" width="8.5546875" style="381" customWidth="1"/>
    <col min="3349" max="3349" width="9.5546875" style="381" customWidth="1"/>
    <col min="3350" max="3350" width="8.5546875" style="381" customWidth="1"/>
    <col min="3351" max="3351" width="9.44140625" style="381" customWidth="1"/>
    <col min="3352" max="3354" width="8.5546875" style="381" customWidth="1"/>
    <col min="3355" max="3355" width="9.44140625" style="381" customWidth="1"/>
    <col min="3356" max="3356" width="9.33203125" style="381" customWidth="1"/>
    <col min="3357" max="3357" width="9.44140625" style="381" customWidth="1"/>
    <col min="3358" max="3358" width="10" style="381" customWidth="1"/>
    <col min="3359" max="3359" width="8.109375" style="381" customWidth="1"/>
    <col min="3360" max="3360" width="10.88671875" style="381" customWidth="1"/>
    <col min="3361" max="3361" width="9.88671875" style="381" customWidth="1"/>
    <col min="3362" max="3362" width="10.109375" style="381" customWidth="1"/>
    <col min="3363" max="3363" width="9.33203125" style="381" customWidth="1"/>
    <col min="3364" max="3366" width="8.6640625" style="381" customWidth="1"/>
    <col min="3367" max="3367" width="7.44140625" style="381" customWidth="1"/>
    <col min="3368" max="3376" width="9.6640625" style="381" customWidth="1"/>
    <col min="3377" max="3377" width="8.5546875" style="381" customWidth="1"/>
    <col min="3378" max="3378" width="8.33203125" style="381" customWidth="1"/>
    <col min="3379" max="3379" width="9.6640625" style="381" customWidth="1"/>
    <col min="3380" max="3380" width="10.6640625" style="381" customWidth="1"/>
    <col min="3381" max="3383" width="9.6640625" style="381" customWidth="1"/>
    <col min="3384" max="3384" width="10.5546875" style="381" customWidth="1"/>
    <col min="3385" max="3387" width="9.6640625" style="381" customWidth="1"/>
    <col min="3388" max="3388" width="9" style="381" customWidth="1"/>
    <col min="3389" max="3389" width="9.6640625" style="381" customWidth="1"/>
    <col min="3390" max="3390" width="8.44140625" style="381" customWidth="1"/>
    <col min="3391" max="3391" width="8.6640625" style="381" customWidth="1"/>
    <col min="3392" max="3392" width="11.33203125" style="381" customWidth="1"/>
    <col min="3393" max="3393" width="9.44140625" style="381" customWidth="1"/>
    <col min="3394" max="3396" width="10.109375" style="381" customWidth="1"/>
    <col min="3397" max="3397" width="10" style="381" customWidth="1"/>
    <col min="3398" max="3398" width="9.109375" style="381" customWidth="1"/>
    <col min="3399" max="3399" width="9.44140625" style="381" customWidth="1"/>
    <col min="3400" max="3400" width="8.44140625" style="381" customWidth="1"/>
    <col min="3401" max="3401" width="10.109375" style="381" customWidth="1"/>
    <col min="3402" max="3402" width="8.44140625" style="381" customWidth="1"/>
    <col min="3403" max="3403" width="7.5546875" style="381" customWidth="1"/>
    <col min="3404" max="3404" width="10.88671875" style="381" customWidth="1"/>
    <col min="3405" max="3405" width="9.109375" style="381" customWidth="1"/>
    <col min="3406" max="3406" width="9.5546875" style="381" customWidth="1"/>
    <col min="3407" max="3407" width="9.6640625" style="381" customWidth="1"/>
    <col min="3408" max="3408" width="9.109375" style="381" customWidth="1"/>
    <col min="3409" max="3409" width="9" style="381" customWidth="1"/>
    <col min="3410" max="3410" width="9.109375" style="381" customWidth="1"/>
    <col min="3411" max="3411" width="9.6640625" style="381" customWidth="1"/>
    <col min="3412" max="3414" width="9.33203125" style="381" customWidth="1"/>
    <col min="3415" max="3415" width="9.109375" style="381" customWidth="1"/>
    <col min="3416" max="3419" width="10" style="381" customWidth="1"/>
    <col min="3420" max="3420" width="8.6640625" style="381" customWidth="1"/>
    <col min="3421" max="3422" width="10" style="381" customWidth="1"/>
    <col min="3423" max="3423" width="8.88671875" style="381" customWidth="1"/>
    <col min="3424" max="3426" width="9.109375" style="381" customWidth="1"/>
    <col min="3427" max="3427" width="9" style="381" customWidth="1"/>
    <col min="3428" max="3429" width="10" style="381" customWidth="1"/>
    <col min="3430" max="3430" width="9.5546875" style="381" customWidth="1"/>
    <col min="3431" max="3431" width="9.109375" style="381" customWidth="1"/>
    <col min="3432" max="3432" width="9" style="381" customWidth="1"/>
    <col min="3433" max="3435" width="9.44140625" style="381" customWidth="1"/>
    <col min="3436" max="3438" width="9.33203125" style="381" customWidth="1"/>
    <col min="3439" max="3439" width="9" style="381" customWidth="1"/>
    <col min="3440" max="3440" width="10.109375" style="381" customWidth="1"/>
    <col min="3441" max="3441" width="9.5546875" style="381" customWidth="1"/>
    <col min="3442" max="3442" width="9.44140625" style="381" customWidth="1"/>
    <col min="3443" max="3443" width="10.109375" style="381" customWidth="1"/>
    <col min="3444" max="3444" width="9.33203125" style="381" customWidth="1"/>
    <col min="3445" max="3445" width="9.44140625" style="381" customWidth="1"/>
    <col min="3446" max="3446" width="10.109375" style="381" customWidth="1"/>
    <col min="3447" max="3447" width="9.109375" style="381" customWidth="1"/>
    <col min="3448" max="3450" width="9" style="381" customWidth="1"/>
    <col min="3451" max="3451" width="8.88671875" style="381" customWidth="1"/>
    <col min="3452" max="3455" width="10.109375" style="381" customWidth="1"/>
    <col min="3456" max="3456" width="10" style="381" customWidth="1"/>
    <col min="3457" max="3457" width="9.88671875" style="381" customWidth="1"/>
    <col min="3458" max="3459" width="9.44140625" style="381" customWidth="1"/>
    <col min="3460" max="3460" width="8.6640625" style="381" customWidth="1"/>
    <col min="3461" max="3461" width="9.109375" style="381" customWidth="1"/>
    <col min="3462" max="3462" width="8.109375" style="381" customWidth="1"/>
    <col min="3463" max="3463" width="8.6640625" style="381" customWidth="1"/>
    <col min="3464" max="3464" width="10.109375" style="381" customWidth="1"/>
    <col min="3465" max="3465" width="9.33203125" style="381" customWidth="1"/>
    <col min="3466" max="3470" width="10.109375" style="381" customWidth="1"/>
    <col min="3471" max="3471" width="9.109375" style="381" customWidth="1"/>
    <col min="3472" max="3472" width="8.88671875" style="381" customWidth="1"/>
    <col min="3473" max="3473" width="9" style="381" customWidth="1"/>
    <col min="3474" max="3474" width="8.44140625" style="381" customWidth="1"/>
    <col min="3475" max="3475" width="9" style="381" customWidth="1"/>
    <col min="3476" max="3482" width="10.109375" style="381" customWidth="1"/>
    <col min="3483" max="3483" width="8.5546875" style="381" customWidth="1"/>
    <col min="3484" max="3484" width="8.33203125" style="381" customWidth="1"/>
    <col min="3485" max="3485" width="9.5546875" style="381" customWidth="1"/>
    <col min="3486" max="3486" width="8.33203125" style="381" customWidth="1"/>
    <col min="3487" max="3487" width="8.6640625" style="381" customWidth="1"/>
    <col min="3488" max="3585" width="9.109375" style="381"/>
    <col min="3586" max="3586" width="5.109375" style="381" bestFit="1" customWidth="1"/>
    <col min="3587" max="3587" width="79" style="381" customWidth="1"/>
    <col min="3588" max="3588" width="10.5546875" style="381" customWidth="1"/>
    <col min="3589" max="3589" width="9.88671875" style="381" customWidth="1"/>
    <col min="3590" max="3590" width="10.6640625" style="381" customWidth="1"/>
    <col min="3591" max="3591" width="11.6640625" style="381" customWidth="1"/>
    <col min="3592" max="3592" width="12.109375" style="381" customWidth="1"/>
    <col min="3593" max="3593" width="11.44140625" style="381" customWidth="1"/>
    <col min="3594" max="3595" width="9.6640625" style="381" customWidth="1"/>
    <col min="3596" max="3596" width="8.5546875" style="381" customWidth="1"/>
    <col min="3597" max="3597" width="8.109375" style="381" customWidth="1"/>
    <col min="3598" max="3598" width="9.33203125" style="381" customWidth="1"/>
    <col min="3599" max="3600" width="8.5546875" style="381" customWidth="1"/>
    <col min="3601" max="3601" width="9.88671875" style="381" customWidth="1"/>
    <col min="3602" max="3604" width="8.5546875" style="381" customWidth="1"/>
    <col min="3605" max="3605" width="9.5546875" style="381" customWidth="1"/>
    <col min="3606" max="3606" width="8.5546875" style="381" customWidth="1"/>
    <col min="3607" max="3607" width="9.44140625" style="381" customWidth="1"/>
    <col min="3608" max="3610" width="8.5546875" style="381" customWidth="1"/>
    <col min="3611" max="3611" width="9.44140625" style="381" customWidth="1"/>
    <col min="3612" max="3612" width="9.33203125" style="381" customWidth="1"/>
    <col min="3613" max="3613" width="9.44140625" style="381" customWidth="1"/>
    <col min="3614" max="3614" width="10" style="381" customWidth="1"/>
    <col min="3615" max="3615" width="8.109375" style="381" customWidth="1"/>
    <col min="3616" max="3616" width="10.88671875" style="381" customWidth="1"/>
    <col min="3617" max="3617" width="9.88671875" style="381" customWidth="1"/>
    <col min="3618" max="3618" width="10.109375" style="381" customWidth="1"/>
    <col min="3619" max="3619" width="9.33203125" style="381" customWidth="1"/>
    <col min="3620" max="3622" width="8.6640625" style="381" customWidth="1"/>
    <col min="3623" max="3623" width="7.44140625" style="381" customWidth="1"/>
    <col min="3624" max="3632" width="9.6640625" style="381" customWidth="1"/>
    <col min="3633" max="3633" width="8.5546875" style="381" customWidth="1"/>
    <col min="3634" max="3634" width="8.33203125" style="381" customWidth="1"/>
    <col min="3635" max="3635" width="9.6640625" style="381" customWidth="1"/>
    <col min="3636" max="3636" width="10.6640625" style="381" customWidth="1"/>
    <col min="3637" max="3639" width="9.6640625" style="381" customWidth="1"/>
    <col min="3640" max="3640" width="10.5546875" style="381" customWidth="1"/>
    <col min="3641" max="3643" width="9.6640625" style="381" customWidth="1"/>
    <col min="3644" max="3644" width="9" style="381" customWidth="1"/>
    <col min="3645" max="3645" width="9.6640625" style="381" customWidth="1"/>
    <col min="3646" max="3646" width="8.44140625" style="381" customWidth="1"/>
    <col min="3647" max="3647" width="8.6640625" style="381" customWidth="1"/>
    <col min="3648" max="3648" width="11.33203125" style="381" customWidth="1"/>
    <col min="3649" max="3649" width="9.44140625" style="381" customWidth="1"/>
    <col min="3650" max="3652" width="10.109375" style="381" customWidth="1"/>
    <col min="3653" max="3653" width="10" style="381" customWidth="1"/>
    <col min="3654" max="3654" width="9.109375" style="381" customWidth="1"/>
    <col min="3655" max="3655" width="9.44140625" style="381" customWidth="1"/>
    <col min="3656" max="3656" width="8.44140625" style="381" customWidth="1"/>
    <col min="3657" max="3657" width="10.109375" style="381" customWidth="1"/>
    <col min="3658" max="3658" width="8.44140625" style="381" customWidth="1"/>
    <col min="3659" max="3659" width="7.5546875" style="381" customWidth="1"/>
    <col min="3660" max="3660" width="10.88671875" style="381" customWidth="1"/>
    <col min="3661" max="3661" width="9.109375" style="381" customWidth="1"/>
    <col min="3662" max="3662" width="9.5546875" style="381" customWidth="1"/>
    <col min="3663" max="3663" width="9.6640625" style="381" customWidth="1"/>
    <col min="3664" max="3664" width="9.109375" style="381" customWidth="1"/>
    <col min="3665" max="3665" width="9" style="381" customWidth="1"/>
    <col min="3666" max="3666" width="9.109375" style="381" customWidth="1"/>
    <col min="3667" max="3667" width="9.6640625" style="381" customWidth="1"/>
    <col min="3668" max="3670" width="9.33203125" style="381" customWidth="1"/>
    <col min="3671" max="3671" width="9.109375" style="381" customWidth="1"/>
    <col min="3672" max="3675" width="10" style="381" customWidth="1"/>
    <col min="3676" max="3676" width="8.6640625" style="381" customWidth="1"/>
    <col min="3677" max="3678" width="10" style="381" customWidth="1"/>
    <col min="3679" max="3679" width="8.88671875" style="381" customWidth="1"/>
    <col min="3680" max="3682" width="9.109375" style="381" customWidth="1"/>
    <col min="3683" max="3683" width="9" style="381" customWidth="1"/>
    <col min="3684" max="3685" width="10" style="381" customWidth="1"/>
    <col min="3686" max="3686" width="9.5546875" style="381" customWidth="1"/>
    <col min="3687" max="3687" width="9.109375" style="381" customWidth="1"/>
    <col min="3688" max="3688" width="9" style="381" customWidth="1"/>
    <col min="3689" max="3691" width="9.44140625" style="381" customWidth="1"/>
    <col min="3692" max="3694" width="9.33203125" style="381" customWidth="1"/>
    <col min="3695" max="3695" width="9" style="381" customWidth="1"/>
    <col min="3696" max="3696" width="10.109375" style="381" customWidth="1"/>
    <col min="3697" max="3697" width="9.5546875" style="381" customWidth="1"/>
    <col min="3698" max="3698" width="9.44140625" style="381" customWidth="1"/>
    <col min="3699" max="3699" width="10.109375" style="381" customWidth="1"/>
    <col min="3700" max="3700" width="9.33203125" style="381" customWidth="1"/>
    <col min="3701" max="3701" width="9.44140625" style="381" customWidth="1"/>
    <col min="3702" max="3702" width="10.109375" style="381" customWidth="1"/>
    <col min="3703" max="3703" width="9.109375" style="381" customWidth="1"/>
    <col min="3704" max="3706" width="9" style="381" customWidth="1"/>
    <col min="3707" max="3707" width="8.88671875" style="381" customWidth="1"/>
    <col min="3708" max="3711" width="10.109375" style="381" customWidth="1"/>
    <col min="3712" max="3712" width="10" style="381" customWidth="1"/>
    <col min="3713" max="3713" width="9.88671875" style="381" customWidth="1"/>
    <col min="3714" max="3715" width="9.44140625" style="381" customWidth="1"/>
    <col min="3716" max="3716" width="8.6640625" style="381" customWidth="1"/>
    <col min="3717" max="3717" width="9.109375" style="381" customWidth="1"/>
    <col min="3718" max="3718" width="8.109375" style="381" customWidth="1"/>
    <col min="3719" max="3719" width="8.6640625" style="381" customWidth="1"/>
    <col min="3720" max="3720" width="10.109375" style="381" customWidth="1"/>
    <col min="3721" max="3721" width="9.33203125" style="381" customWidth="1"/>
    <col min="3722" max="3726" width="10.109375" style="381" customWidth="1"/>
    <col min="3727" max="3727" width="9.109375" style="381" customWidth="1"/>
    <col min="3728" max="3728" width="8.88671875" style="381" customWidth="1"/>
    <col min="3729" max="3729" width="9" style="381" customWidth="1"/>
    <col min="3730" max="3730" width="8.44140625" style="381" customWidth="1"/>
    <col min="3731" max="3731" width="9" style="381" customWidth="1"/>
    <col min="3732" max="3738" width="10.109375" style="381" customWidth="1"/>
    <col min="3739" max="3739" width="8.5546875" style="381" customWidth="1"/>
    <col min="3740" max="3740" width="8.33203125" style="381" customWidth="1"/>
    <col min="3741" max="3741" width="9.5546875" style="381" customWidth="1"/>
    <col min="3742" max="3742" width="8.33203125" style="381" customWidth="1"/>
    <col min="3743" max="3743" width="8.6640625" style="381" customWidth="1"/>
    <col min="3744" max="3841" width="9.109375" style="381"/>
    <col min="3842" max="3842" width="5.109375" style="381" bestFit="1" customWidth="1"/>
    <col min="3843" max="3843" width="79" style="381" customWidth="1"/>
    <col min="3844" max="3844" width="10.5546875" style="381" customWidth="1"/>
    <col min="3845" max="3845" width="9.88671875" style="381" customWidth="1"/>
    <col min="3846" max="3846" width="10.6640625" style="381" customWidth="1"/>
    <col min="3847" max="3847" width="11.6640625" style="381" customWidth="1"/>
    <col min="3848" max="3848" width="12.109375" style="381" customWidth="1"/>
    <col min="3849" max="3849" width="11.44140625" style="381" customWidth="1"/>
    <col min="3850" max="3851" width="9.6640625" style="381" customWidth="1"/>
    <col min="3852" max="3852" width="8.5546875" style="381" customWidth="1"/>
    <col min="3853" max="3853" width="8.109375" style="381" customWidth="1"/>
    <col min="3854" max="3854" width="9.33203125" style="381" customWidth="1"/>
    <col min="3855" max="3856" width="8.5546875" style="381" customWidth="1"/>
    <col min="3857" max="3857" width="9.88671875" style="381" customWidth="1"/>
    <col min="3858" max="3860" width="8.5546875" style="381" customWidth="1"/>
    <col min="3861" max="3861" width="9.5546875" style="381" customWidth="1"/>
    <col min="3862" max="3862" width="8.5546875" style="381" customWidth="1"/>
    <col min="3863" max="3863" width="9.44140625" style="381" customWidth="1"/>
    <col min="3864" max="3866" width="8.5546875" style="381" customWidth="1"/>
    <col min="3867" max="3867" width="9.44140625" style="381" customWidth="1"/>
    <col min="3868" max="3868" width="9.33203125" style="381" customWidth="1"/>
    <col min="3869" max="3869" width="9.44140625" style="381" customWidth="1"/>
    <col min="3870" max="3870" width="10" style="381" customWidth="1"/>
    <col min="3871" max="3871" width="8.109375" style="381" customWidth="1"/>
    <col min="3872" max="3872" width="10.88671875" style="381" customWidth="1"/>
    <col min="3873" max="3873" width="9.88671875" style="381" customWidth="1"/>
    <col min="3874" max="3874" width="10.109375" style="381" customWidth="1"/>
    <col min="3875" max="3875" width="9.33203125" style="381" customWidth="1"/>
    <col min="3876" max="3878" width="8.6640625" style="381" customWidth="1"/>
    <col min="3879" max="3879" width="7.44140625" style="381" customWidth="1"/>
    <col min="3880" max="3888" width="9.6640625" style="381" customWidth="1"/>
    <col min="3889" max="3889" width="8.5546875" style="381" customWidth="1"/>
    <col min="3890" max="3890" width="8.33203125" style="381" customWidth="1"/>
    <col min="3891" max="3891" width="9.6640625" style="381" customWidth="1"/>
    <col min="3892" max="3892" width="10.6640625" style="381" customWidth="1"/>
    <col min="3893" max="3895" width="9.6640625" style="381" customWidth="1"/>
    <col min="3896" max="3896" width="10.5546875" style="381" customWidth="1"/>
    <col min="3897" max="3899" width="9.6640625" style="381" customWidth="1"/>
    <col min="3900" max="3900" width="9" style="381" customWidth="1"/>
    <col min="3901" max="3901" width="9.6640625" style="381" customWidth="1"/>
    <col min="3902" max="3902" width="8.44140625" style="381" customWidth="1"/>
    <col min="3903" max="3903" width="8.6640625" style="381" customWidth="1"/>
    <col min="3904" max="3904" width="11.33203125" style="381" customWidth="1"/>
    <col min="3905" max="3905" width="9.44140625" style="381" customWidth="1"/>
    <col min="3906" max="3908" width="10.109375" style="381" customWidth="1"/>
    <col min="3909" max="3909" width="10" style="381" customWidth="1"/>
    <col min="3910" max="3910" width="9.109375" style="381" customWidth="1"/>
    <col min="3911" max="3911" width="9.44140625" style="381" customWidth="1"/>
    <col min="3912" max="3912" width="8.44140625" style="381" customWidth="1"/>
    <col min="3913" max="3913" width="10.109375" style="381" customWidth="1"/>
    <col min="3914" max="3914" width="8.44140625" style="381" customWidth="1"/>
    <col min="3915" max="3915" width="7.5546875" style="381" customWidth="1"/>
    <col min="3916" max="3916" width="10.88671875" style="381" customWidth="1"/>
    <col min="3917" max="3917" width="9.109375" style="381" customWidth="1"/>
    <col min="3918" max="3918" width="9.5546875" style="381" customWidth="1"/>
    <col min="3919" max="3919" width="9.6640625" style="381" customWidth="1"/>
    <col min="3920" max="3920" width="9.109375" style="381" customWidth="1"/>
    <col min="3921" max="3921" width="9" style="381" customWidth="1"/>
    <col min="3922" max="3922" width="9.109375" style="381" customWidth="1"/>
    <col min="3923" max="3923" width="9.6640625" style="381" customWidth="1"/>
    <col min="3924" max="3926" width="9.33203125" style="381" customWidth="1"/>
    <col min="3927" max="3927" width="9.109375" style="381" customWidth="1"/>
    <col min="3928" max="3931" width="10" style="381" customWidth="1"/>
    <col min="3932" max="3932" width="8.6640625" style="381" customWidth="1"/>
    <col min="3933" max="3934" width="10" style="381" customWidth="1"/>
    <col min="3935" max="3935" width="8.88671875" style="381" customWidth="1"/>
    <col min="3936" max="3938" width="9.109375" style="381" customWidth="1"/>
    <col min="3939" max="3939" width="9" style="381" customWidth="1"/>
    <col min="3940" max="3941" width="10" style="381" customWidth="1"/>
    <col min="3942" max="3942" width="9.5546875" style="381" customWidth="1"/>
    <col min="3943" max="3943" width="9.109375" style="381" customWidth="1"/>
    <col min="3944" max="3944" width="9" style="381" customWidth="1"/>
    <col min="3945" max="3947" width="9.44140625" style="381" customWidth="1"/>
    <col min="3948" max="3950" width="9.33203125" style="381" customWidth="1"/>
    <col min="3951" max="3951" width="9" style="381" customWidth="1"/>
    <col min="3952" max="3952" width="10.109375" style="381" customWidth="1"/>
    <col min="3953" max="3953" width="9.5546875" style="381" customWidth="1"/>
    <col min="3954" max="3954" width="9.44140625" style="381" customWidth="1"/>
    <col min="3955" max="3955" width="10.109375" style="381" customWidth="1"/>
    <col min="3956" max="3956" width="9.33203125" style="381" customWidth="1"/>
    <col min="3957" max="3957" width="9.44140625" style="381" customWidth="1"/>
    <col min="3958" max="3958" width="10.109375" style="381" customWidth="1"/>
    <col min="3959" max="3959" width="9.109375" style="381" customWidth="1"/>
    <col min="3960" max="3962" width="9" style="381" customWidth="1"/>
    <col min="3963" max="3963" width="8.88671875" style="381" customWidth="1"/>
    <col min="3964" max="3967" width="10.109375" style="381" customWidth="1"/>
    <col min="3968" max="3968" width="10" style="381" customWidth="1"/>
    <col min="3969" max="3969" width="9.88671875" style="381" customWidth="1"/>
    <col min="3970" max="3971" width="9.44140625" style="381" customWidth="1"/>
    <col min="3972" max="3972" width="8.6640625" style="381" customWidth="1"/>
    <col min="3973" max="3973" width="9.109375" style="381" customWidth="1"/>
    <col min="3974" max="3974" width="8.109375" style="381" customWidth="1"/>
    <col min="3975" max="3975" width="8.6640625" style="381" customWidth="1"/>
    <col min="3976" max="3976" width="10.109375" style="381" customWidth="1"/>
    <col min="3977" max="3977" width="9.33203125" style="381" customWidth="1"/>
    <col min="3978" max="3982" width="10.109375" style="381" customWidth="1"/>
    <col min="3983" max="3983" width="9.109375" style="381" customWidth="1"/>
    <col min="3984" max="3984" width="8.88671875" style="381" customWidth="1"/>
    <col min="3985" max="3985" width="9" style="381" customWidth="1"/>
    <col min="3986" max="3986" width="8.44140625" style="381" customWidth="1"/>
    <col min="3987" max="3987" width="9" style="381" customWidth="1"/>
    <col min="3988" max="3994" width="10.109375" style="381" customWidth="1"/>
    <col min="3995" max="3995" width="8.5546875" style="381" customWidth="1"/>
    <col min="3996" max="3996" width="8.33203125" style="381" customWidth="1"/>
    <col min="3997" max="3997" width="9.5546875" style="381" customWidth="1"/>
    <col min="3998" max="3998" width="8.33203125" style="381" customWidth="1"/>
    <col min="3999" max="3999" width="8.6640625" style="381" customWidth="1"/>
    <col min="4000" max="4097" width="9.109375" style="381"/>
    <col min="4098" max="4098" width="5.109375" style="381" bestFit="1" customWidth="1"/>
    <col min="4099" max="4099" width="79" style="381" customWidth="1"/>
    <col min="4100" max="4100" width="10.5546875" style="381" customWidth="1"/>
    <col min="4101" max="4101" width="9.88671875" style="381" customWidth="1"/>
    <col min="4102" max="4102" width="10.6640625" style="381" customWidth="1"/>
    <col min="4103" max="4103" width="11.6640625" style="381" customWidth="1"/>
    <col min="4104" max="4104" width="12.109375" style="381" customWidth="1"/>
    <col min="4105" max="4105" width="11.44140625" style="381" customWidth="1"/>
    <col min="4106" max="4107" width="9.6640625" style="381" customWidth="1"/>
    <col min="4108" max="4108" width="8.5546875" style="381" customWidth="1"/>
    <col min="4109" max="4109" width="8.109375" style="381" customWidth="1"/>
    <col min="4110" max="4110" width="9.33203125" style="381" customWidth="1"/>
    <col min="4111" max="4112" width="8.5546875" style="381" customWidth="1"/>
    <col min="4113" max="4113" width="9.88671875" style="381" customWidth="1"/>
    <col min="4114" max="4116" width="8.5546875" style="381" customWidth="1"/>
    <col min="4117" max="4117" width="9.5546875" style="381" customWidth="1"/>
    <col min="4118" max="4118" width="8.5546875" style="381" customWidth="1"/>
    <col min="4119" max="4119" width="9.44140625" style="381" customWidth="1"/>
    <col min="4120" max="4122" width="8.5546875" style="381" customWidth="1"/>
    <col min="4123" max="4123" width="9.44140625" style="381" customWidth="1"/>
    <col min="4124" max="4124" width="9.33203125" style="381" customWidth="1"/>
    <col min="4125" max="4125" width="9.44140625" style="381" customWidth="1"/>
    <col min="4126" max="4126" width="10" style="381" customWidth="1"/>
    <col min="4127" max="4127" width="8.109375" style="381" customWidth="1"/>
    <col min="4128" max="4128" width="10.88671875" style="381" customWidth="1"/>
    <col min="4129" max="4129" width="9.88671875" style="381" customWidth="1"/>
    <col min="4130" max="4130" width="10.109375" style="381" customWidth="1"/>
    <col min="4131" max="4131" width="9.33203125" style="381" customWidth="1"/>
    <col min="4132" max="4134" width="8.6640625" style="381" customWidth="1"/>
    <col min="4135" max="4135" width="7.44140625" style="381" customWidth="1"/>
    <col min="4136" max="4144" width="9.6640625" style="381" customWidth="1"/>
    <col min="4145" max="4145" width="8.5546875" style="381" customWidth="1"/>
    <col min="4146" max="4146" width="8.33203125" style="381" customWidth="1"/>
    <col min="4147" max="4147" width="9.6640625" style="381" customWidth="1"/>
    <col min="4148" max="4148" width="10.6640625" style="381" customWidth="1"/>
    <col min="4149" max="4151" width="9.6640625" style="381" customWidth="1"/>
    <col min="4152" max="4152" width="10.5546875" style="381" customWidth="1"/>
    <col min="4153" max="4155" width="9.6640625" style="381" customWidth="1"/>
    <col min="4156" max="4156" width="9" style="381" customWidth="1"/>
    <col min="4157" max="4157" width="9.6640625" style="381" customWidth="1"/>
    <col min="4158" max="4158" width="8.44140625" style="381" customWidth="1"/>
    <col min="4159" max="4159" width="8.6640625" style="381" customWidth="1"/>
    <col min="4160" max="4160" width="11.33203125" style="381" customWidth="1"/>
    <col min="4161" max="4161" width="9.44140625" style="381" customWidth="1"/>
    <col min="4162" max="4164" width="10.109375" style="381" customWidth="1"/>
    <col min="4165" max="4165" width="10" style="381" customWidth="1"/>
    <col min="4166" max="4166" width="9.109375" style="381" customWidth="1"/>
    <col min="4167" max="4167" width="9.44140625" style="381" customWidth="1"/>
    <col min="4168" max="4168" width="8.44140625" style="381" customWidth="1"/>
    <col min="4169" max="4169" width="10.109375" style="381" customWidth="1"/>
    <col min="4170" max="4170" width="8.44140625" style="381" customWidth="1"/>
    <col min="4171" max="4171" width="7.5546875" style="381" customWidth="1"/>
    <col min="4172" max="4172" width="10.88671875" style="381" customWidth="1"/>
    <col min="4173" max="4173" width="9.109375" style="381" customWidth="1"/>
    <col min="4174" max="4174" width="9.5546875" style="381" customWidth="1"/>
    <col min="4175" max="4175" width="9.6640625" style="381" customWidth="1"/>
    <col min="4176" max="4176" width="9.109375" style="381" customWidth="1"/>
    <col min="4177" max="4177" width="9" style="381" customWidth="1"/>
    <col min="4178" max="4178" width="9.109375" style="381" customWidth="1"/>
    <col min="4179" max="4179" width="9.6640625" style="381" customWidth="1"/>
    <col min="4180" max="4182" width="9.33203125" style="381" customWidth="1"/>
    <col min="4183" max="4183" width="9.109375" style="381" customWidth="1"/>
    <col min="4184" max="4187" width="10" style="381" customWidth="1"/>
    <col min="4188" max="4188" width="8.6640625" style="381" customWidth="1"/>
    <col min="4189" max="4190" width="10" style="381" customWidth="1"/>
    <col min="4191" max="4191" width="8.88671875" style="381" customWidth="1"/>
    <col min="4192" max="4194" width="9.109375" style="381" customWidth="1"/>
    <col min="4195" max="4195" width="9" style="381" customWidth="1"/>
    <col min="4196" max="4197" width="10" style="381" customWidth="1"/>
    <col min="4198" max="4198" width="9.5546875" style="381" customWidth="1"/>
    <col min="4199" max="4199" width="9.109375" style="381" customWidth="1"/>
    <col min="4200" max="4200" width="9" style="381" customWidth="1"/>
    <col min="4201" max="4203" width="9.44140625" style="381" customWidth="1"/>
    <col min="4204" max="4206" width="9.33203125" style="381" customWidth="1"/>
    <col min="4207" max="4207" width="9" style="381" customWidth="1"/>
    <col min="4208" max="4208" width="10.109375" style="381" customWidth="1"/>
    <col min="4209" max="4209" width="9.5546875" style="381" customWidth="1"/>
    <col min="4210" max="4210" width="9.44140625" style="381" customWidth="1"/>
    <col min="4211" max="4211" width="10.109375" style="381" customWidth="1"/>
    <col min="4212" max="4212" width="9.33203125" style="381" customWidth="1"/>
    <col min="4213" max="4213" width="9.44140625" style="381" customWidth="1"/>
    <col min="4214" max="4214" width="10.109375" style="381" customWidth="1"/>
    <col min="4215" max="4215" width="9.109375" style="381" customWidth="1"/>
    <col min="4216" max="4218" width="9" style="381" customWidth="1"/>
    <col min="4219" max="4219" width="8.88671875" style="381" customWidth="1"/>
    <col min="4220" max="4223" width="10.109375" style="381" customWidth="1"/>
    <col min="4224" max="4224" width="10" style="381" customWidth="1"/>
    <col min="4225" max="4225" width="9.88671875" style="381" customWidth="1"/>
    <col min="4226" max="4227" width="9.44140625" style="381" customWidth="1"/>
    <col min="4228" max="4228" width="8.6640625" style="381" customWidth="1"/>
    <col min="4229" max="4229" width="9.109375" style="381" customWidth="1"/>
    <col min="4230" max="4230" width="8.109375" style="381" customWidth="1"/>
    <col min="4231" max="4231" width="8.6640625" style="381" customWidth="1"/>
    <col min="4232" max="4232" width="10.109375" style="381" customWidth="1"/>
    <col min="4233" max="4233" width="9.33203125" style="381" customWidth="1"/>
    <col min="4234" max="4238" width="10.109375" style="381" customWidth="1"/>
    <col min="4239" max="4239" width="9.109375" style="381" customWidth="1"/>
    <col min="4240" max="4240" width="8.88671875" style="381" customWidth="1"/>
    <col min="4241" max="4241" width="9" style="381" customWidth="1"/>
    <col min="4242" max="4242" width="8.44140625" style="381" customWidth="1"/>
    <col min="4243" max="4243" width="9" style="381" customWidth="1"/>
    <col min="4244" max="4250" width="10.109375" style="381" customWidth="1"/>
    <col min="4251" max="4251" width="8.5546875" style="381" customWidth="1"/>
    <col min="4252" max="4252" width="8.33203125" style="381" customWidth="1"/>
    <col min="4253" max="4253" width="9.5546875" style="381" customWidth="1"/>
    <col min="4254" max="4254" width="8.33203125" style="381" customWidth="1"/>
    <col min="4255" max="4255" width="8.6640625" style="381" customWidth="1"/>
    <col min="4256" max="4353" width="9.109375" style="381"/>
    <col min="4354" max="4354" width="5.109375" style="381" bestFit="1" customWidth="1"/>
    <col min="4355" max="4355" width="79" style="381" customWidth="1"/>
    <col min="4356" max="4356" width="10.5546875" style="381" customWidth="1"/>
    <col min="4357" max="4357" width="9.88671875" style="381" customWidth="1"/>
    <col min="4358" max="4358" width="10.6640625" style="381" customWidth="1"/>
    <col min="4359" max="4359" width="11.6640625" style="381" customWidth="1"/>
    <col min="4360" max="4360" width="12.109375" style="381" customWidth="1"/>
    <col min="4361" max="4361" width="11.44140625" style="381" customWidth="1"/>
    <col min="4362" max="4363" width="9.6640625" style="381" customWidth="1"/>
    <col min="4364" max="4364" width="8.5546875" style="381" customWidth="1"/>
    <col min="4365" max="4365" width="8.109375" style="381" customWidth="1"/>
    <col min="4366" max="4366" width="9.33203125" style="381" customWidth="1"/>
    <col min="4367" max="4368" width="8.5546875" style="381" customWidth="1"/>
    <col min="4369" max="4369" width="9.88671875" style="381" customWidth="1"/>
    <col min="4370" max="4372" width="8.5546875" style="381" customWidth="1"/>
    <col min="4373" max="4373" width="9.5546875" style="381" customWidth="1"/>
    <col min="4374" max="4374" width="8.5546875" style="381" customWidth="1"/>
    <col min="4375" max="4375" width="9.44140625" style="381" customWidth="1"/>
    <col min="4376" max="4378" width="8.5546875" style="381" customWidth="1"/>
    <col min="4379" max="4379" width="9.44140625" style="381" customWidth="1"/>
    <col min="4380" max="4380" width="9.33203125" style="381" customWidth="1"/>
    <col min="4381" max="4381" width="9.44140625" style="381" customWidth="1"/>
    <col min="4382" max="4382" width="10" style="381" customWidth="1"/>
    <col min="4383" max="4383" width="8.109375" style="381" customWidth="1"/>
    <col min="4384" max="4384" width="10.88671875" style="381" customWidth="1"/>
    <col min="4385" max="4385" width="9.88671875" style="381" customWidth="1"/>
    <col min="4386" max="4386" width="10.109375" style="381" customWidth="1"/>
    <col min="4387" max="4387" width="9.33203125" style="381" customWidth="1"/>
    <col min="4388" max="4390" width="8.6640625" style="381" customWidth="1"/>
    <col min="4391" max="4391" width="7.44140625" style="381" customWidth="1"/>
    <col min="4392" max="4400" width="9.6640625" style="381" customWidth="1"/>
    <col min="4401" max="4401" width="8.5546875" style="381" customWidth="1"/>
    <col min="4402" max="4402" width="8.33203125" style="381" customWidth="1"/>
    <col min="4403" max="4403" width="9.6640625" style="381" customWidth="1"/>
    <col min="4404" max="4404" width="10.6640625" style="381" customWidth="1"/>
    <col min="4405" max="4407" width="9.6640625" style="381" customWidth="1"/>
    <col min="4408" max="4408" width="10.5546875" style="381" customWidth="1"/>
    <col min="4409" max="4411" width="9.6640625" style="381" customWidth="1"/>
    <col min="4412" max="4412" width="9" style="381" customWidth="1"/>
    <col min="4413" max="4413" width="9.6640625" style="381" customWidth="1"/>
    <col min="4414" max="4414" width="8.44140625" style="381" customWidth="1"/>
    <col min="4415" max="4415" width="8.6640625" style="381" customWidth="1"/>
    <col min="4416" max="4416" width="11.33203125" style="381" customWidth="1"/>
    <col min="4417" max="4417" width="9.44140625" style="381" customWidth="1"/>
    <col min="4418" max="4420" width="10.109375" style="381" customWidth="1"/>
    <col min="4421" max="4421" width="10" style="381" customWidth="1"/>
    <col min="4422" max="4422" width="9.109375" style="381" customWidth="1"/>
    <col min="4423" max="4423" width="9.44140625" style="381" customWidth="1"/>
    <col min="4424" max="4424" width="8.44140625" style="381" customWidth="1"/>
    <col min="4425" max="4425" width="10.109375" style="381" customWidth="1"/>
    <col min="4426" max="4426" width="8.44140625" style="381" customWidth="1"/>
    <col min="4427" max="4427" width="7.5546875" style="381" customWidth="1"/>
    <col min="4428" max="4428" width="10.88671875" style="381" customWidth="1"/>
    <col min="4429" max="4429" width="9.109375" style="381" customWidth="1"/>
    <col min="4430" max="4430" width="9.5546875" style="381" customWidth="1"/>
    <col min="4431" max="4431" width="9.6640625" style="381" customWidth="1"/>
    <col min="4432" max="4432" width="9.109375" style="381" customWidth="1"/>
    <col min="4433" max="4433" width="9" style="381" customWidth="1"/>
    <col min="4434" max="4434" width="9.109375" style="381" customWidth="1"/>
    <col min="4435" max="4435" width="9.6640625" style="381" customWidth="1"/>
    <col min="4436" max="4438" width="9.33203125" style="381" customWidth="1"/>
    <col min="4439" max="4439" width="9.109375" style="381" customWidth="1"/>
    <col min="4440" max="4443" width="10" style="381" customWidth="1"/>
    <col min="4444" max="4444" width="8.6640625" style="381" customWidth="1"/>
    <col min="4445" max="4446" width="10" style="381" customWidth="1"/>
    <col min="4447" max="4447" width="8.88671875" style="381" customWidth="1"/>
    <col min="4448" max="4450" width="9.109375" style="381" customWidth="1"/>
    <col min="4451" max="4451" width="9" style="381" customWidth="1"/>
    <col min="4452" max="4453" width="10" style="381" customWidth="1"/>
    <col min="4454" max="4454" width="9.5546875" style="381" customWidth="1"/>
    <col min="4455" max="4455" width="9.109375" style="381" customWidth="1"/>
    <col min="4456" max="4456" width="9" style="381" customWidth="1"/>
    <col min="4457" max="4459" width="9.44140625" style="381" customWidth="1"/>
    <col min="4460" max="4462" width="9.33203125" style="381" customWidth="1"/>
    <col min="4463" max="4463" width="9" style="381" customWidth="1"/>
    <col min="4464" max="4464" width="10.109375" style="381" customWidth="1"/>
    <col min="4465" max="4465" width="9.5546875" style="381" customWidth="1"/>
    <col min="4466" max="4466" width="9.44140625" style="381" customWidth="1"/>
    <col min="4467" max="4467" width="10.109375" style="381" customWidth="1"/>
    <col min="4468" max="4468" width="9.33203125" style="381" customWidth="1"/>
    <col min="4469" max="4469" width="9.44140625" style="381" customWidth="1"/>
    <col min="4470" max="4470" width="10.109375" style="381" customWidth="1"/>
    <col min="4471" max="4471" width="9.109375" style="381" customWidth="1"/>
    <col min="4472" max="4474" width="9" style="381" customWidth="1"/>
    <col min="4475" max="4475" width="8.88671875" style="381" customWidth="1"/>
    <col min="4476" max="4479" width="10.109375" style="381" customWidth="1"/>
    <col min="4480" max="4480" width="10" style="381" customWidth="1"/>
    <col min="4481" max="4481" width="9.88671875" style="381" customWidth="1"/>
    <col min="4482" max="4483" width="9.44140625" style="381" customWidth="1"/>
    <col min="4484" max="4484" width="8.6640625" style="381" customWidth="1"/>
    <col min="4485" max="4485" width="9.109375" style="381" customWidth="1"/>
    <col min="4486" max="4486" width="8.109375" style="381" customWidth="1"/>
    <col min="4487" max="4487" width="8.6640625" style="381" customWidth="1"/>
    <col min="4488" max="4488" width="10.109375" style="381" customWidth="1"/>
    <col min="4489" max="4489" width="9.33203125" style="381" customWidth="1"/>
    <col min="4490" max="4494" width="10.109375" style="381" customWidth="1"/>
    <col min="4495" max="4495" width="9.109375" style="381" customWidth="1"/>
    <col min="4496" max="4496" width="8.88671875" style="381" customWidth="1"/>
    <col min="4497" max="4497" width="9" style="381" customWidth="1"/>
    <col min="4498" max="4498" width="8.44140625" style="381" customWidth="1"/>
    <col min="4499" max="4499" width="9" style="381" customWidth="1"/>
    <col min="4500" max="4506" width="10.109375" style="381" customWidth="1"/>
    <col min="4507" max="4507" width="8.5546875" style="381" customWidth="1"/>
    <col min="4508" max="4508" width="8.33203125" style="381" customWidth="1"/>
    <col min="4509" max="4509" width="9.5546875" style="381" customWidth="1"/>
    <col min="4510" max="4510" width="8.33203125" style="381" customWidth="1"/>
    <col min="4511" max="4511" width="8.6640625" style="381" customWidth="1"/>
    <col min="4512" max="4609" width="9.109375" style="381"/>
    <col min="4610" max="4610" width="5.109375" style="381" bestFit="1" customWidth="1"/>
    <col min="4611" max="4611" width="79" style="381" customWidth="1"/>
    <col min="4612" max="4612" width="10.5546875" style="381" customWidth="1"/>
    <col min="4613" max="4613" width="9.88671875" style="381" customWidth="1"/>
    <col min="4614" max="4614" width="10.6640625" style="381" customWidth="1"/>
    <col min="4615" max="4615" width="11.6640625" style="381" customWidth="1"/>
    <col min="4616" max="4616" width="12.109375" style="381" customWidth="1"/>
    <col min="4617" max="4617" width="11.44140625" style="381" customWidth="1"/>
    <col min="4618" max="4619" width="9.6640625" style="381" customWidth="1"/>
    <col min="4620" max="4620" width="8.5546875" style="381" customWidth="1"/>
    <col min="4621" max="4621" width="8.109375" style="381" customWidth="1"/>
    <col min="4622" max="4622" width="9.33203125" style="381" customWidth="1"/>
    <col min="4623" max="4624" width="8.5546875" style="381" customWidth="1"/>
    <col min="4625" max="4625" width="9.88671875" style="381" customWidth="1"/>
    <col min="4626" max="4628" width="8.5546875" style="381" customWidth="1"/>
    <col min="4629" max="4629" width="9.5546875" style="381" customWidth="1"/>
    <col min="4630" max="4630" width="8.5546875" style="381" customWidth="1"/>
    <col min="4631" max="4631" width="9.44140625" style="381" customWidth="1"/>
    <col min="4632" max="4634" width="8.5546875" style="381" customWidth="1"/>
    <col min="4635" max="4635" width="9.44140625" style="381" customWidth="1"/>
    <col min="4636" max="4636" width="9.33203125" style="381" customWidth="1"/>
    <col min="4637" max="4637" width="9.44140625" style="381" customWidth="1"/>
    <col min="4638" max="4638" width="10" style="381" customWidth="1"/>
    <col min="4639" max="4639" width="8.109375" style="381" customWidth="1"/>
    <col min="4640" max="4640" width="10.88671875" style="381" customWidth="1"/>
    <col min="4641" max="4641" width="9.88671875" style="381" customWidth="1"/>
    <col min="4642" max="4642" width="10.109375" style="381" customWidth="1"/>
    <col min="4643" max="4643" width="9.33203125" style="381" customWidth="1"/>
    <col min="4644" max="4646" width="8.6640625" style="381" customWidth="1"/>
    <col min="4647" max="4647" width="7.44140625" style="381" customWidth="1"/>
    <col min="4648" max="4656" width="9.6640625" style="381" customWidth="1"/>
    <col min="4657" max="4657" width="8.5546875" style="381" customWidth="1"/>
    <col min="4658" max="4658" width="8.33203125" style="381" customWidth="1"/>
    <col min="4659" max="4659" width="9.6640625" style="381" customWidth="1"/>
    <col min="4660" max="4660" width="10.6640625" style="381" customWidth="1"/>
    <col min="4661" max="4663" width="9.6640625" style="381" customWidth="1"/>
    <col min="4664" max="4664" width="10.5546875" style="381" customWidth="1"/>
    <col min="4665" max="4667" width="9.6640625" style="381" customWidth="1"/>
    <col min="4668" max="4668" width="9" style="381" customWidth="1"/>
    <col min="4669" max="4669" width="9.6640625" style="381" customWidth="1"/>
    <col min="4670" max="4670" width="8.44140625" style="381" customWidth="1"/>
    <col min="4671" max="4671" width="8.6640625" style="381" customWidth="1"/>
    <col min="4672" max="4672" width="11.33203125" style="381" customWidth="1"/>
    <col min="4673" max="4673" width="9.44140625" style="381" customWidth="1"/>
    <col min="4674" max="4676" width="10.109375" style="381" customWidth="1"/>
    <col min="4677" max="4677" width="10" style="381" customWidth="1"/>
    <col min="4678" max="4678" width="9.109375" style="381" customWidth="1"/>
    <col min="4679" max="4679" width="9.44140625" style="381" customWidth="1"/>
    <col min="4680" max="4680" width="8.44140625" style="381" customWidth="1"/>
    <col min="4681" max="4681" width="10.109375" style="381" customWidth="1"/>
    <col min="4682" max="4682" width="8.44140625" style="381" customWidth="1"/>
    <col min="4683" max="4683" width="7.5546875" style="381" customWidth="1"/>
    <col min="4684" max="4684" width="10.88671875" style="381" customWidth="1"/>
    <col min="4685" max="4685" width="9.109375" style="381" customWidth="1"/>
    <col min="4686" max="4686" width="9.5546875" style="381" customWidth="1"/>
    <col min="4687" max="4687" width="9.6640625" style="381" customWidth="1"/>
    <col min="4688" max="4688" width="9.109375" style="381" customWidth="1"/>
    <col min="4689" max="4689" width="9" style="381" customWidth="1"/>
    <col min="4690" max="4690" width="9.109375" style="381" customWidth="1"/>
    <col min="4691" max="4691" width="9.6640625" style="381" customWidth="1"/>
    <col min="4692" max="4694" width="9.33203125" style="381" customWidth="1"/>
    <col min="4695" max="4695" width="9.109375" style="381" customWidth="1"/>
    <col min="4696" max="4699" width="10" style="381" customWidth="1"/>
    <col min="4700" max="4700" width="8.6640625" style="381" customWidth="1"/>
    <col min="4701" max="4702" width="10" style="381" customWidth="1"/>
    <col min="4703" max="4703" width="8.88671875" style="381" customWidth="1"/>
    <col min="4704" max="4706" width="9.109375" style="381" customWidth="1"/>
    <col min="4707" max="4707" width="9" style="381" customWidth="1"/>
    <col min="4708" max="4709" width="10" style="381" customWidth="1"/>
    <col min="4710" max="4710" width="9.5546875" style="381" customWidth="1"/>
    <col min="4711" max="4711" width="9.109375" style="381" customWidth="1"/>
    <col min="4712" max="4712" width="9" style="381" customWidth="1"/>
    <col min="4713" max="4715" width="9.44140625" style="381" customWidth="1"/>
    <col min="4716" max="4718" width="9.33203125" style="381" customWidth="1"/>
    <col min="4719" max="4719" width="9" style="381" customWidth="1"/>
    <col min="4720" max="4720" width="10.109375" style="381" customWidth="1"/>
    <col min="4721" max="4721" width="9.5546875" style="381" customWidth="1"/>
    <col min="4722" max="4722" width="9.44140625" style="381" customWidth="1"/>
    <col min="4723" max="4723" width="10.109375" style="381" customWidth="1"/>
    <col min="4724" max="4724" width="9.33203125" style="381" customWidth="1"/>
    <col min="4725" max="4725" width="9.44140625" style="381" customWidth="1"/>
    <col min="4726" max="4726" width="10.109375" style="381" customWidth="1"/>
    <col min="4727" max="4727" width="9.109375" style="381" customWidth="1"/>
    <col min="4728" max="4730" width="9" style="381" customWidth="1"/>
    <col min="4731" max="4731" width="8.88671875" style="381" customWidth="1"/>
    <col min="4732" max="4735" width="10.109375" style="381" customWidth="1"/>
    <col min="4736" max="4736" width="10" style="381" customWidth="1"/>
    <col min="4737" max="4737" width="9.88671875" style="381" customWidth="1"/>
    <col min="4738" max="4739" width="9.44140625" style="381" customWidth="1"/>
    <col min="4740" max="4740" width="8.6640625" style="381" customWidth="1"/>
    <col min="4741" max="4741" width="9.109375" style="381" customWidth="1"/>
    <col min="4742" max="4742" width="8.109375" style="381" customWidth="1"/>
    <col min="4743" max="4743" width="8.6640625" style="381" customWidth="1"/>
    <col min="4744" max="4744" width="10.109375" style="381" customWidth="1"/>
    <col min="4745" max="4745" width="9.33203125" style="381" customWidth="1"/>
    <col min="4746" max="4750" width="10.109375" style="381" customWidth="1"/>
    <col min="4751" max="4751" width="9.109375" style="381" customWidth="1"/>
    <col min="4752" max="4752" width="8.88671875" style="381" customWidth="1"/>
    <col min="4753" max="4753" width="9" style="381" customWidth="1"/>
    <col min="4754" max="4754" width="8.44140625" style="381" customWidth="1"/>
    <col min="4755" max="4755" width="9" style="381" customWidth="1"/>
    <col min="4756" max="4762" width="10.109375" style="381" customWidth="1"/>
    <col min="4763" max="4763" width="8.5546875" style="381" customWidth="1"/>
    <col min="4764" max="4764" width="8.33203125" style="381" customWidth="1"/>
    <col min="4765" max="4765" width="9.5546875" style="381" customWidth="1"/>
    <col min="4766" max="4766" width="8.33203125" style="381" customWidth="1"/>
    <col min="4767" max="4767" width="8.6640625" style="381" customWidth="1"/>
    <col min="4768" max="4865" width="9.109375" style="381"/>
    <col min="4866" max="4866" width="5.109375" style="381" bestFit="1" customWidth="1"/>
    <col min="4867" max="4867" width="79" style="381" customWidth="1"/>
    <col min="4868" max="4868" width="10.5546875" style="381" customWidth="1"/>
    <col min="4869" max="4869" width="9.88671875" style="381" customWidth="1"/>
    <col min="4870" max="4870" width="10.6640625" style="381" customWidth="1"/>
    <col min="4871" max="4871" width="11.6640625" style="381" customWidth="1"/>
    <col min="4872" max="4872" width="12.109375" style="381" customWidth="1"/>
    <col min="4873" max="4873" width="11.44140625" style="381" customWidth="1"/>
    <col min="4874" max="4875" width="9.6640625" style="381" customWidth="1"/>
    <col min="4876" max="4876" width="8.5546875" style="381" customWidth="1"/>
    <col min="4877" max="4877" width="8.109375" style="381" customWidth="1"/>
    <col min="4878" max="4878" width="9.33203125" style="381" customWidth="1"/>
    <col min="4879" max="4880" width="8.5546875" style="381" customWidth="1"/>
    <col min="4881" max="4881" width="9.88671875" style="381" customWidth="1"/>
    <col min="4882" max="4884" width="8.5546875" style="381" customWidth="1"/>
    <col min="4885" max="4885" width="9.5546875" style="381" customWidth="1"/>
    <col min="4886" max="4886" width="8.5546875" style="381" customWidth="1"/>
    <col min="4887" max="4887" width="9.44140625" style="381" customWidth="1"/>
    <col min="4888" max="4890" width="8.5546875" style="381" customWidth="1"/>
    <col min="4891" max="4891" width="9.44140625" style="381" customWidth="1"/>
    <col min="4892" max="4892" width="9.33203125" style="381" customWidth="1"/>
    <col min="4893" max="4893" width="9.44140625" style="381" customWidth="1"/>
    <col min="4894" max="4894" width="10" style="381" customWidth="1"/>
    <col min="4895" max="4895" width="8.109375" style="381" customWidth="1"/>
    <col min="4896" max="4896" width="10.88671875" style="381" customWidth="1"/>
    <col min="4897" max="4897" width="9.88671875" style="381" customWidth="1"/>
    <col min="4898" max="4898" width="10.109375" style="381" customWidth="1"/>
    <col min="4899" max="4899" width="9.33203125" style="381" customWidth="1"/>
    <col min="4900" max="4902" width="8.6640625" style="381" customWidth="1"/>
    <col min="4903" max="4903" width="7.44140625" style="381" customWidth="1"/>
    <col min="4904" max="4912" width="9.6640625" style="381" customWidth="1"/>
    <col min="4913" max="4913" width="8.5546875" style="381" customWidth="1"/>
    <col min="4914" max="4914" width="8.33203125" style="381" customWidth="1"/>
    <col min="4915" max="4915" width="9.6640625" style="381" customWidth="1"/>
    <col min="4916" max="4916" width="10.6640625" style="381" customWidth="1"/>
    <col min="4917" max="4919" width="9.6640625" style="381" customWidth="1"/>
    <col min="4920" max="4920" width="10.5546875" style="381" customWidth="1"/>
    <col min="4921" max="4923" width="9.6640625" style="381" customWidth="1"/>
    <col min="4924" max="4924" width="9" style="381" customWidth="1"/>
    <col min="4925" max="4925" width="9.6640625" style="381" customWidth="1"/>
    <col min="4926" max="4926" width="8.44140625" style="381" customWidth="1"/>
    <col min="4927" max="4927" width="8.6640625" style="381" customWidth="1"/>
    <col min="4928" max="4928" width="11.33203125" style="381" customWidth="1"/>
    <col min="4929" max="4929" width="9.44140625" style="381" customWidth="1"/>
    <col min="4930" max="4932" width="10.109375" style="381" customWidth="1"/>
    <col min="4933" max="4933" width="10" style="381" customWidth="1"/>
    <col min="4934" max="4934" width="9.109375" style="381" customWidth="1"/>
    <col min="4935" max="4935" width="9.44140625" style="381" customWidth="1"/>
    <col min="4936" max="4936" width="8.44140625" style="381" customWidth="1"/>
    <col min="4937" max="4937" width="10.109375" style="381" customWidth="1"/>
    <col min="4938" max="4938" width="8.44140625" style="381" customWidth="1"/>
    <col min="4939" max="4939" width="7.5546875" style="381" customWidth="1"/>
    <col min="4940" max="4940" width="10.88671875" style="381" customWidth="1"/>
    <col min="4941" max="4941" width="9.109375" style="381" customWidth="1"/>
    <col min="4942" max="4942" width="9.5546875" style="381" customWidth="1"/>
    <col min="4943" max="4943" width="9.6640625" style="381" customWidth="1"/>
    <col min="4944" max="4944" width="9.109375" style="381" customWidth="1"/>
    <col min="4945" max="4945" width="9" style="381" customWidth="1"/>
    <col min="4946" max="4946" width="9.109375" style="381" customWidth="1"/>
    <col min="4947" max="4947" width="9.6640625" style="381" customWidth="1"/>
    <col min="4948" max="4950" width="9.33203125" style="381" customWidth="1"/>
    <col min="4951" max="4951" width="9.109375" style="381" customWidth="1"/>
    <col min="4952" max="4955" width="10" style="381" customWidth="1"/>
    <col min="4956" max="4956" width="8.6640625" style="381" customWidth="1"/>
    <col min="4957" max="4958" width="10" style="381" customWidth="1"/>
    <col min="4959" max="4959" width="8.88671875" style="381" customWidth="1"/>
    <col min="4960" max="4962" width="9.109375" style="381" customWidth="1"/>
    <col min="4963" max="4963" width="9" style="381" customWidth="1"/>
    <col min="4964" max="4965" width="10" style="381" customWidth="1"/>
    <col min="4966" max="4966" width="9.5546875" style="381" customWidth="1"/>
    <col min="4967" max="4967" width="9.109375" style="381" customWidth="1"/>
    <col min="4968" max="4968" width="9" style="381" customWidth="1"/>
    <col min="4969" max="4971" width="9.44140625" style="381" customWidth="1"/>
    <col min="4972" max="4974" width="9.33203125" style="381" customWidth="1"/>
    <col min="4975" max="4975" width="9" style="381" customWidth="1"/>
    <col min="4976" max="4976" width="10.109375" style="381" customWidth="1"/>
    <col min="4977" max="4977" width="9.5546875" style="381" customWidth="1"/>
    <col min="4978" max="4978" width="9.44140625" style="381" customWidth="1"/>
    <col min="4979" max="4979" width="10.109375" style="381" customWidth="1"/>
    <col min="4980" max="4980" width="9.33203125" style="381" customWidth="1"/>
    <col min="4981" max="4981" width="9.44140625" style="381" customWidth="1"/>
    <col min="4982" max="4982" width="10.109375" style="381" customWidth="1"/>
    <col min="4983" max="4983" width="9.109375" style="381" customWidth="1"/>
    <col min="4984" max="4986" width="9" style="381" customWidth="1"/>
    <col min="4987" max="4987" width="8.88671875" style="381" customWidth="1"/>
    <col min="4988" max="4991" width="10.109375" style="381" customWidth="1"/>
    <col min="4992" max="4992" width="10" style="381" customWidth="1"/>
    <col min="4993" max="4993" width="9.88671875" style="381" customWidth="1"/>
    <col min="4994" max="4995" width="9.44140625" style="381" customWidth="1"/>
    <col min="4996" max="4996" width="8.6640625" style="381" customWidth="1"/>
    <col min="4997" max="4997" width="9.109375" style="381" customWidth="1"/>
    <col min="4998" max="4998" width="8.109375" style="381" customWidth="1"/>
    <col min="4999" max="4999" width="8.6640625" style="381" customWidth="1"/>
    <col min="5000" max="5000" width="10.109375" style="381" customWidth="1"/>
    <col min="5001" max="5001" width="9.33203125" style="381" customWidth="1"/>
    <col min="5002" max="5006" width="10.109375" style="381" customWidth="1"/>
    <col min="5007" max="5007" width="9.109375" style="381" customWidth="1"/>
    <col min="5008" max="5008" width="8.88671875" style="381" customWidth="1"/>
    <col min="5009" max="5009" width="9" style="381" customWidth="1"/>
    <col min="5010" max="5010" width="8.44140625" style="381" customWidth="1"/>
    <col min="5011" max="5011" width="9" style="381" customWidth="1"/>
    <col min="5012" max="5018" width="10.109375" style="381" customWidth="1"/>
    <col min="5019" max="5019" width="8.5546875" style="381" customWidth="1"/>
    <col min="5020" max="5020" width="8.33203125" style="381" customWidth="1"/>
    <col min="5021" max="5021" width="9.5546875" style="381" customWidth="1"/>
    <col min="5022" max="5022" width="8.33203125" style="381" customWidth="1"/>
    <col min="5023" max="5023" width="8.6640625" style="381" customWidth="1"/>
    <col min="5024" max="5121" width="9.109375" style="381"/>
    <col min="5122" max="5122" width="5.109375" style="381" bestFit="1" customWidth="1"/>
    <col min="5123" max="5123" width="79" style="381" customWidth="1"/>
    <col min="5124" max="5124" width="10.5546875" style="381" customWidth="1"/>
    <col min="5125" max="5125" width="9.88671875" style="381" customWidth="1"/>
    <col min="5126" max="5126" width="10.6640625" style="381" customWidth="1"/>
    <col min="5127" max="5127" width="11.6640625" style="381" customWidth="1"/>
    <col min="5128" max="5128" width="12.109375" style="381" customWidth="1"/>
    <col min="5129" max="5129" width="11.44140625" style="381" customWidth="1"/>
    <col min="5130" max="5131" width="9.6640625" style="381" customWidth="1"/>
    <col min="5132" max="5132" width="8.5546875" style="381" customWidth="1"/>
    <col min="5133" max="5133" width="8.109375" style="381" customWidth="1"/>
    <col min="5134" max="5134" width="9.33203125" style="381" customWidth="1"/>
    <col min="5135" max="5136" width="8.5546875" style="381" customWidth="1"/>
    <col min="5137" max="5137" width="9.88671875" style="381" customWidth="1"/>
    <col min="5138" max="5140" width="8.5546875" style="381" customWidth="1"/>
    <col min="5141" max="5141" width="9.5546875" style="381" customWidth="1"/>
    <col min="5142" max="5142" width="8.5546875" style="381" customWidth="1"/>
    <col min="5143" max="5143" width="9.44140625" style="381" customWidth="1"/>
    <col min="5144" max="5146" width="8.5546875" style="381" customWidth="1"/>
    <col min="5147" max="5147" width="9.44140625" style="381" customWidth="1"/>
    <col min="5148" max="5148" width="9.33203125" style="381" customWidth="1"/>
    <col min="5149" max="5149" width="9.44140625" style="381" customWidth="1"/>
    <col min="5150" max="5150" width="10" style="381" customWidth="1"/>
    <col min="5151" max="5151" width="8.109375" style="381" customWidth="1"/>
    <col min="5152" max="5152" width="10.88671875" style="381" customWidth="1"/>
    <col min="5153" max="5153" width="9.88671875" style="381" customWidth="1"/>
    <col min="5154" max="5154" width="10.109375" style="381" customWidth="1"/>
    <col min="5155" max="5155" width="9.33203125" style="381" customWidth="1"/>
    <col min="5156" max="5158" width="8.6640625" style="381" customWidth="1"/>
    <col min="5159" max="5159" width="7.44140625" style="381" customWidth="1"/>
    <col min="5160" max="5168" width="9.6640625" style="381" customWidth="1"/>
    <col min="5169" max="5169" width="8.5546875" style="381" customWidth="1"/>
    <col min="5170" max="5170" width="8.33203125" style="381" customWidth="1"/>
    <col min="5171" max="5171" width="9.6640625" style="381" customWidth="1"/>
    <col min="5172" max="5172" width="10.6640625" style="381" customWidth="1"/>
    <col min="5173" max="5175" width="9.6640625" style="381" customWidth="1"/>
    <col min="5176" max="5176" width="10.5546875" style="381" customWidth="1"/>
    <col min="5177" max="5179" width="9.6640625" style="381" customWidth="1"/>
    <col min="5180" max="5180" width="9" style="381" customWidth="1"/>
    <col min="5181" max="5181" width="9.6640625" style="381" customWidth="1"/>
    <col min="5182" max="5182" width="8.44140625" style="381" customWidth="1"/>
    <col min="5183" max="5183" width="8.6640625" style="381" customWidth="1"/>
    <col min="5184" max="5184" width="11.33203125" style="381" customWidth="1"/>
    <col min="5185" max="5185" width="9.44140625" style="381" customWidth="1"/>
    <col min="5186" max="5188" width="10.109375" style="381" customWidth="1"/>
    <col min="5189" max="5189" width="10" style="381" customWidth="1"/>
    <col min="5190" max="5190" width="9.109375" style="381" customWidth="1"/>
    <col min="5191" max="5191" width="9.44140625" style="381" customWidth="1"/>
    <col min="5192" max="5192" width="8.44140625" style="381" customWidth="1"/>
    <col min="5193" max="5193" width="10.109375" style="381" customWidth="1"/>
    <col min="5194" max="5194" width="8.44140625" style="381" customWidth="1"/>
    <col min="5195" max="5195" width="7.5546875" style="381" customWidth="1"/>
    <col min="5196" max="5196" width="10.88671875" style="381" customWidth="1"/>
    <col min="5197" max="5197" width="9.109375" style="381" customWidth="1"/>
    <col min="5198" max="5198" width="9.5546875" style="381" customWidth="1"/>
    <col min="5199" max="5199" width="9.6640625" style="381" customWidth="1"/>
    <col min="5200" max="5200" width="9.109375" style="381" customWidth="1"/>
    <col min="5201" max="5201" width="9" style="381" customWidth="1"/>
    <col min="5202" max="5202" width="9.109375" style="381" customWidth="1"/>
    <col min="5203" max="5203" width="9.6640625" style="381" customWidth="1"/>
    <col min="5204" max="5206" width="9.33203125" style="381" customWidth="1"/>
    <col min="5207" max="5207" width="9.109375" style="381" customWidth="1"/>
    <col min="5208" max="5211" width="10" style="381" customWidth="1"/>
    <col min="5212" max="5212" width="8.6640625" style="381" customWidth="1"/>
    <col min="5213" max="5214" width="10" style="381" customWidth="1"/>
    <col min="5215" max="5215" width="8.88671875" style="381" customWidth="1"/>
    <col min="5216" max="5218" width="9.109375" style="381" customWidth="1"/>
    <col min="5219" max="5219" width="9" style="381" customWidth="1"/>
    <col min="5220" max="5221" width="10" style="381" customWidth="1"/>
    <col min="5222" max="5222" width="9.5546875" style="381" customWidth="1"/>
    <col min="5223" max="5223" width="9.109375" style="381" customWidth="1"/>
    <col min="5224" max="5224" width="9" style="381" customWidth="1"/>
    <col min="5225" max="5227" width="9.44140625" style="381" customWidth="1"/>
    <col min="5228" max="5230" width="9.33203125" style="381" customWidth="1"/>
    <col min="5231" max="5231" width="9" style="381" customWidth="1"/>
    <col min="5232" max="5232" width="10.109375" style="381" customWidth="1"/>
    <col min="5233" max="5233" width="9.5546875" style="381" customWidth="1"/>
    <col min="5234" max="5234" width="9.44140625" style="381" customWidth="1"/>
    <col min="5235" max="5235" width="10.109375" style="381" customWidth="1"/>
    <col min="5236" max="5236" width="9.33203125" style="381" customWidth="1"/>
    <col min="5237" max="5237" width="9.44140625" style="381" customWidth="1"/>
    <col min="5238" max="5238" width="10.109375" style="381" customWidth="1"/>
    <col min="5239" max="5239" width="9.109375" style="381" customWidth="1"/>
    <col min="5240" max="5242" width="9" style="381" customWidth="1"/>
    <col min="5243" max="5243" width="8.88671875" style="381" customWidth="1"/>
    <col min="5244" max="5247" width="10.109375" style="381" customWidth="1"/>
    <col min="5248" max="5248" width="10" style="381" customWidth="1"/>
    <col min="5249" max="5249" width="9.88671875" style="381" customWidth="1"/>
    <col min="5250" max="5251" width="9.44140625" style="381" customWidth="1"/>
    <col min="5252" max="5252" width="8.6640625" style="381" customWidth="1"/>
    <col min="5253" max="5253" width="9.109375" style="381" customWidth="1"/>
    <col min="5254" max="5254" width="8.109375" style="381" customWidth="1"/>
    <col min="5255" max="5255" width="8.6640625" style="381" customWidth="1"/>
    <col min="5256" max="5256" width="10.109375" style="381" customWidth="1"/>
    <col min="5257" max="5257" width="9.33203125" style="381" customWidth="1"/>
    <col min="5258" max="5262" width="10.109375" style="381" customWidth="1"/>
    <col min="5263" max="5263" width="9.109375" style="381" customWidth="1"/>
    <col min="5264" max="5264" width="8.88671875" style="381" customWidth="1"/>
    <col min="5265" max="5265" width="9" style="381" customWidth="1"/>
    <col min="5266" max="5266" width="8.44140625" style="381" customWidth="1"/>
    <col min="5267" max="5267" width="9" style="381" customWidth="1"/>
    <col min="5268" max="5274" width="10.109375" style="381" customWidth="1"/>
    <col min="5275" max="5275" width="8.5546875" style="381" customWidth="1"/>
    <col min="5276" max="5276" width="8.33203125" style="381" customWidth="1"/>
    <col min="5277" max="5277" width="9.5546875" style="381" customWidth="1"/>
    <col min="5278" max="5278" width="8.33203125" style="381" customWidth="1"/>
    <col min="5279" max="5279" width="8.6640625" style="381" customWidth="1"/>
    <col min="5280" max="5377" width="9.109375" style="381"/>
    <col min="5378" max="5378" width="5.109375" style="381" bestFit="1" customWidth="1"/>
    <col min="5379" max="5379" width="79" style="381" customWidth="1"/>
    <col min="5380" max="5380" width="10.5546875" style="381" customWidth="1"/>
    <col min="5381" max="5381" width="9.88671875" style="381" customWidth="1"/>
    <col min="5382" max="5382" width="10.6640625" style="381" customWidth="1"/>
    <col min="5383" max="5383" width="11.6640625" style="381" customWidth="1"/>
    <col min="5384" max="5384" width="12.109375" style="381" customWidth="1"/>
    <col min="5385" max="5385" width="11.44140625" style="381" customWidth="1"/>
    <col min="5386" max="5387" width="9.6640625" style="381" customWidth="1"/>
    <col min="5388" max="5388" width="8.5546875" style="381" customWidth="1"/>
    <col min="5389" max="5389" width="8.109375" style="381" customWidth="1"/>
    <col min="5390" max="5390" width="9.33203125" style="381" customWidth="1"/>
    <col min="5391" max="5392" width="8.5546875" style="381" customWidth="1"/>
    <col min="5393" max="5393" width="9.88671875" style="381" customWidth="1"/>
    <col min="5394" max="5396" width="8.5546875" style="381" customWidth="1"/>
    <col min="5397" max="5397" width="9.5546875" style="381" customWidth="1"/>
    <col min="5398" max="5398" width="8.5546875" style="381" customWidth="1"/>
    <col min="5399" max="5399" width="9.44140625" style="381" customWidth="1"/>
    <col min="5400" max="5402" width="8.5546875" style="381" customWidth="1"/>
    <col min="5403" max="5403" width="9.44140625" style="381" customWidth="1"/>
    <col min="5404" max="5404" width="9.33203125" style="381" customWidth="1"/>
    <col min="5405" max="5405" width="9.44140625" style="381" customWidth="1"/>
    <col min="5406" max="5406" width="10" style="381" customWidth="1"/>
    <col min="5407" max="5407" width="8.109375" style="381" customWidth="1"/>
    <col min="5408" max="5408" width="10.88671875" style="381" customWidth="1"/>
    <col min="5409" max="5409" width="9.88671875" style="381" customWidth="1"/>
    <col min="5410" max="5410" width="10.109375" style="381" customWidth="1"/>
    <col min="5411" max="5411" width="9.33203125" style="381" customWidth="1"/>
    <col min="5412" max="5414" width="8.6640625" style="381" customWidth="1"/>
    <col min="5415" max="5415" width="7.44140625" style="381" customWidth="1"/>
    <col min="5416" max="5424" width="9.6640625" style="381" customWidth="1"/>
    <col min="5425" max="5425" width="8.5546875" style="381" customWidth="1"/>
    <col min="5426" max="5426" width="8.33203125" style="381" customWidth="1"/>
    <col min="5427" max="5427" width="9.6640625" style="381" customWidth="1"/>
    <col min="5428" max="5428" width="10.6640625" style="381" customWidth="1"/>
    <col min="5429" max="5431" width="9.6640625" style="381" customWidth="1"/>
    <col min="5432" max="5432" width="10.5546875" style="381" customWidth="1"/>
    <col min="5433" max="5435" width="9.6640625" style="381" customWidth="1"/>
    <col min="5436" max="5436" width="9" style="381" customWidth="1"/>
    <col min="5437" max="5437" width="9.6640625" style="381" customWidth="1"/>
    <col min="5438" max="5438" width="8.44140625" style="381" customWidth="1"/>
    <col min="5439" max="5439" width="8.6640625" style="381" customWidth="1"/>
    <col min="5440" max="5440" width="11.33203125" style="381" customWidth="1"/>
    <col min="5441" max="5441" width="9.44140625" style="381" customWidth="1"/>
    <col min="5442" max="5444" width="10.109375" style="381" customWidth="1"/>
    <col min="5445" max="5445" width="10" style="381" customWidth="1"/>
    <col min="5446" max="5446" width="9.109375" style="381" customWidth="1"/>
    <col min="5447" max="5447" width="9.44140625" style="381" customWidth="1"/>
    <col min="5448" max="5448" width="8.44140625" style="381" customWidth="1"/>
    <col min="5449" max="5449" width="10.109375" style="381" customWidth="1"/>
    <col min="5450" max="5450" width="8.44140625" style="381" customWidth="1"/>
    <col min="5451" max="5451" width="7.5546875" style="381" customWidth="1"/>
    <col min="5452" max="5452" width="10.88671875" style="381" customWidth="1"/>
    <col min="5453" max="5453" width="9.109375" style="381" customWidth="1"/>
    <col min="5454" max="5454" width="9.5546875" style="381" customWidth="1"/>
    <col min="5455" max="5455" width="9.6640625" style="381" customWidth="1"/>
    <col min="5456" max="5456" width="9.109375" style="381" customWidth="1"/>
    <col min="5457" max="5457" width="9" style="381" customWidth="1"/>
    <col min="5458" max="5458" width="9.109375" style="381" customWidth="1"/>
    <col min="5459" max="5459" width="9.6640625" style="381" customWidth="1"/>
    <col min="5460" max="5462" width="9.33203125" style="381" customWidth="1"/>
    <col min="5463" max="5463" width="9.109375" style="381" customWidth="1"/>
    <col min="5464" max="5467" width="10" style="381" customWidth="1"/>
    <col min="5468" max="5468" width="8.6640625" style="381" customWidth="1"/>
    <col min="5469" max="5470" width="10" style="381" customWidth="1"/>
    <col min="5471" max="5471" width="8.88671875" style="381" customWidth="1"/>
    <col min="5472" max="5474" width="9.109375" style="381" customWidth="1"/>
    <col min="5475" max="5475" width="9" style="381" customWidth="1"/>
    <col min="5476" max="5477" width="10" style="381" customWidth="1"/>
    <col min="5478" max="5478" width="9.5546875" style="381" customWidth="1"/>
    <col min="5479" max="5479" width="9.109375" style="381" customWidth="1"/>
    <col min="5480" max="5480" width="9" style="381" customWidth="1"/>
    <col min="5481" max="5483" width="9.44140625" style="381" customWidth="1"/>
    <col min="5484" max="5486" width="9.33203125" style="381" customWidth="1"/>
    <col min="5487" max="5487" width="9" style="381" customWidth="1"/>
    <col min="5488" max="5488" width="10.109375" style="381" customWidth="1"/>
    <col min="5489" max="5489" width="9.5546875" style="381" customWidth="1"/>
    <col min="5490" max="5490" width="9.44140625" style="381" customWidth="1"/>
    <col min="5491" max="5491" width="10.109375" style="381" customWidth="1"/>
    <col min="5492" max="5492" width="9.33203125" style="381" customWidth="1"/>
    <col min="5493" max="5493" width="9.44140625" style="381" customWidth="1"/>
    <col min="5494" max="5494" width="10.109375" style="381" customWidth="1"/>
    <col min="5495" max="5495" width="9.109375" style="381" customWidth="1"/>
    <col min="5496" max="5498" width="9" style="381" customWidth="1"/>
    <col min="5499" max="5499" width="8.88671875" style="381" customWidth="1"/>
    <col min="5500" max="5503" width="10.109375" style="381" customWidth="1"/>
    <col min="5504" max="5504" width="10" style="381" customWidth="1"/>
    <col min="5505" max="5505" width="9.88671875" style="381" customWidth="1"/>
    <col min="5506" max="5507" width="9.44140625" style="381" customWidth="1"/>
    <col min="5508" max="5508" width="8.6640625" style="381" customWidth="1"/>
    <col min="5509" max="5509" width="9.109375" style="381" customWidth="1"/>
    <col min="5510" max="5510" width="8.109375" style="381" customWidth="1"/>
    <col min="5511" max="5511" width="8.6640625" style="381" customWidth="1"/>
    <col min="5512" max="5512" width="10.109375" style="381" customWidth="1"/>
    <col min="5513" max="5513" width="9.33203125" style="381" customWidth="1"/>
    <col min="5514" max="5518" width="10.109375" style="381" customWidth="1"/>
    <col min="5519" max="5519" width="9.109375" style="381" customWidth="1"/>
    <col min="5520" max="5520" width="8.88671875" style="381" customWidth="1"/>
    <col min="5521" max="5521" width="9" style="381" customWidth="1"/>
    <col min="5522" max="5522" width="8.44140625" style="381" customWidth="1"/>
    <col min="5523" max="5523" width="9" style="381" customWidth="1"/>
    <col min="5524" max="5530" width="10.109375" style="381" customWidth="1"/>
    <col min="5531" max="5531" width="8.5546875" style="381" customWidth="1"/>
    <col min="5532" max="5532" width="8.33203125" style="381" customWidth="1"/>
    <col min="5533" max="5533" width="9.5546875" style="381" customWidth="1"/>
    <col min="5534" max="5534" width="8.33203125" style="381" customWidth="1"/>
    <col min="5535" max="5535" width="8.6640625" style="381" customWidth="1"/>
    <col min="5536" max="5633" width="9.109375" style="381"/>
    <col min="5634" max="5634" width="5.109375" style="381" bestFit="1" customWidth="1"/>
    <col min="5635" max="5635" width="79" style="381" customWidth="1"/>
    <col min="5636" max="5636" width="10.5546875" style="381" customWidth="1"/>
    <col min="5637" max="5637" width="9.88671875" style="381" customWidth="1"/>
    <col min="5638" max="5638" width="10.6640625" style="381" customWidth="1"/>
    <col min="5639" max="5639" width="11.6640625" style="381" customWidth="1"/>
    <col min="5640" max="5640" width="12.109375" style="381" customWidth="1"/>
    <col min="5641" max="5641" width="11.44140625" style="381" customWidth="1"/>
    <col min="5642" max="5643" width="9.6640625" style="381" customWidth="1"/>
    <col min="5644" max="5644" width="8.5546875" style="381" customWidth="1"/>
    <col min="5645" max="5645" width="8.109375" style="381" customWidth="1"/>
    <col min="5646" max="5646" width="9.33203125" style="381" customWidth="1"/>
    <col min="5647" max="5648" width="8.5546875" style="381" customWidth="1"/>
    <col min="5649" max="5649" width="9.88671875" style="381" customWidth="1"/>
    <col min="5650" max="5652" width="8.5546875" style="381" customWidth="1"/>
    <col min="5653" max="5653" width="9.5546875" style="381" customWidth="1"/>
    <col min="5654" max="5654" width="8.5546875" style="381" customWidth="1"/>
    <col min="5655" max="5655" width="9.44140625" style="381" customWidth="1"/>
    <col min="5656" max="5658" width="8.5546875" style="381" customWidth="1"/>
    <col min="5659" max="5659" width="9.44140625" style="381" customWidth="1"/>
    <col min="5660" max="5660" width="9.33203125" style="381" customWidth="1"/>
    <col min="5661" max="5661" width="9.44140625" style="381" customWidth="1"/>
    <col min="5662" max="5662" width="10" style="381" customWidth="1"/>
    <col min="5663" max="5663" width="8.109375" style="381" customWidth="1"/>
    <col min="5664" max="5664" width="10.88671875" style="381" customWidth="1"/>
    <col min="5665" max="5665" width="9.88671875" style="381" customWidth="1"/>
    <col min="5666" max="5666" width="10.109375" style="381" customWidth="1"/>
    <col min="5667" max="5667" width="9.33203125" style="381" customWidth="1"/>
    <col min="5668" max="5670" width="8.6640625" style="381" customWidth="1"/>
    <col min="5671" max="5671" width="7.44140625" style="381" customWidth="1"/>
    <col min="5672" max="5680" width="9.6640625" style="381" customWidth="1"/>
    <col min="5681" max="5681" width="8.5546875" style="381" customWidth="1"/>
    <col min="5682" max="5682" width="8.33203125" style="381" customWidth="1"/>
    <col min="5683" max="5683" width="9.6640625" style="381" customWidth="1"/>
    <col min="5684" max="5684" width="10.6640625" style="381" customWidth="1"/>
    <col min="5685" max="5687" width="9.6640625" style="381" customWidth="1"/>
    <col min="5688" max="5688" width="10.5546875" style="381" customWidth="1"/>
    <col min="5689" max="5691" width="9.6640625" style="381" customWidth="1"/>
    <col min="5692" max="5692" width="9" style="381" customWidth="1"/>
    <col min="5693" max="5693" width="9.6640625" style="381" customWidth="1"/>
    <col min="5694" max="5694" width="8.44140625" style="381" customWidth="1"/>
    <col min="5695" max="5695" width="8.6640625" style="381" customWidth="1"/>
    <col min="5696" max="5696" width="11.33203125" style="381" customWidth="1"/>
    <col min="5697" max="5697" width="9.44140625" style="381" customWidth="1"/>
    <col min="5698" max="5700" width="10.109375" style="381" customWidth="1"/>
    <col min="5701" max="5701" width="10" style="381" customWidth="1"/>
    <col min="5702" max="5702" width="9.109375" style="381" customWidth="1"/>
    <col min="5703" max="5703" width="9.44140625" style="381" customWidth="1"/>
    <col min="5704" max="5704" width="8.44140625" style="381" customWidth="1"/>
    <col min="5705" max="5705" width="10.109375" style="381" customWidth="1"/>
    <col min="5706" max="5706" width="8.44140625" style="381" customWidth="1"/>
    <col min="5707" max="5707" width="7.5546875" style="381" customWidth="1"/>
    <col min="5708" max="5708" width="10.88671875" style="381" customWidth="1"/>
    <col min="5709" max="5709" width="9.109375" style="381" customWidth="1"/>
    <col min="5710" max="5710" width="9.5546875" style="381" customWidth="1"/>
    <col min="5711" max="5711" width="9.6640625" style="381" customWidth="1"/>
    <col min="5712" max="5712" width="9.109375" style="381" customWidth="1"/>
    <col min="5713" max="5713" width="9" style="381" customWidth="1"/>
    <col min="5714" max="5714" width="9.109375" style="381" customWidth="1"/>
    <col min="5715" max="5715" width="9.6640625" style="381" customWidth="1"/>
    <col min="5716" max="5718" width="9.33203125" style="381" customWidth="1"/>
    <col min="5719" max="5719" width="9.109375" style="381" customWidth="1"/>
    <col min="5720" max="5723" width="10" style="381" customWidth="1"/>
    <col min="5724" max="5724" width="8.6640625" style="381" customWidth="1"/>
    <col min="5725" max="5726" width="10" style="381" customWidth="1"/>
    <col min="5727" max="5727" width="8.88671875" style="381" customWidth="1"/>
    <col min="5728" max="5730" width="9.109375" style="381" customWidth="1"/>
    <col min="5731" max="5731" width="9" style="381" customWidth="1"/>
    <col min="5732" max="5733" width="10" style="381" customWidth="1"/>
    <col min="5734" max="5734" width="9.5546875" style="381" customWidth="1"/>
    <col min="5735" max="5735" width="9.109375" style="381" customWidth="1"/>
    <col min="5736" max="5736" width="9" style="381" customWidth="1"/>
    <col min="5737" max="5739" width="9.44140625" style="381" customWidth="1"/>
    <col min="5740" max="5742" width="9.33203125" style="381" customWidth="1"/>
    <col min="5743" max="5743" width="9" style="381" customWidth="1"/>
    <col min="5744" max="5744" width="10.109375" style="381" customWidth="1"/>
    <col min="5745" max="5745" width="9.5546875" style="381" customWidth="1"/>
    <col min="5746" max="5746" width="9.44140625" style="381" customWidth="1"/>
    <col min="5747" max="5747" width="10.109375" style="381" customWidth="1"/>
    <col min="5748" max="5748" width="9.33203125" style="381" customWidth="1"/>
    <col min="5749" max="5749" width="9.44140625" style="381" customWidth="1"/>
    <col min="5750" max="5750" width="10.109375" style="381" customWidth="1"/>
    <col min="5751" max="5751" width="9.109375" style="381" customWidth="1"/>
    <col min="5752" max="5754" width="9" style="381" customWidth="1"/>
    <col min="5755" max="5755" width="8.88671875" style="381" customWidth="1"/>
    <col min="5756" max="5759" width="10.109375" style="381" customWidth="1"/>
    <col min="5760" max="5760" width="10" style="381" customWidth="1"/>
    <col min="5761" max="5761" width="9.88671875" style="381" customWidth="1"/>
    <col min="5762" max="5763" width="9.44140625" style="381" customWidth="1"/>
    <col min="5764" max="5764" width="8.6640625" style="381" customWidth="1"/>
    <col min="5765" max="5765" width="9.109375" style="381" customWidth="1"/>
    <col min="5766" max="5766" width="8.109375" style="381" customWidth="1"/>
    <col min="5767" max="5767" width="8.6640625" style="381" customWidth="1"/>
    <col min="5768" max="5768" width="10.109375" style="381" customWidth="1"/>
    <col min="5769" max="5769" width="9.33203125" style="381" customWidth="1"/>
    <col min="5770" max="5774" width="10.109375" style="381" customWidth="1"/>
    <col min="5775" max="5775" width="9.109375" style="381" customWidth="1"/>
    <col min="5776" max="5776" width="8.88671875" style="381" customWidth="1"/>
    <col min="5777" max="5777" width="9" style="381" customWidth="1"/>
    <col min="5778" max="5778" width="8.44140625" style="381" customWidth="1"/>
    <col min="5779" max="5779" width="9" style="381" customWidth="1"/>
    <col min="5780" max="5786" width="10.109375" style="381" customWidth="1"/>
    <col min="5787" max="5787" width="8.5546875" style="381" customWidth="1"/>
    <col min="5788" max="5788" width="8.33203125" style="381" customWidth="1"/>
    <col min="5789" max="5789" width="9.5546875" style="381" customWidth="1"/>
    <col min="5790" max="5790" width="8.33203125" style="381" customWidth="1"/>
    <col min="5791" max="5791" width="8.6640625" style="381" customWidth="1"/>
    <col min="5792" max="5889" width="9.109375" style="381"/>
    <col min="5890" max="5890" width="5.109375" style="381" bestFit="1" customWidth="1"/>
    <col min="5891" max="5891" width="79" style="381" customWidth="1"/>
    <col min="5892" max="5892" width="10.5546875" style="381" customWidth="1"/>
    <col min="5893" max="5893" width="9.88671875" style="381" customWidth="1"/>
    <col min="5894" max="5894" width="10.6640625" style="381" customWidth="1"/>
    <col min="5895" max="5895" width="11.6640625" style="381" customWidth="1"/>
    <col min="5896" max="5896" width="12.109375" style="381" customWidth="1"/>
    <col min="5897" max="5897" width="11.44140625" style="381" customWidth="1"/>
    <col min="5898" max="5899" width="9.6640625" style="381" customWidth="1"/>
    <col min="5900" max="5900" width="8.5546875" style="381" customWidth="1"/>
    <col min="5901" max="5901" width="8.109375" style="381" customWidth="1"/>
    <col min="5902" max="5902" width="9.33203125" style="381" customWidth="1"/>
    <col min="5903" max="5904" width="8.5546875" style="381" customWidth="1"/>
    <col min="5905" max="5905" width="9.88671875" style="381" customWidth="1"/>
    <col min="5906" max="5908" width="8.5546875" style="381" customWidth="1"/>
    <col min="5909" max="5909" width="9.5546875" style="381" customWidth="1"/>
    <col min="5910" max="5910" width="8.5546875" style="381" customWidth="1"/>
    <col min="5911" max="5911" width="9.44140625" style="381" customWidth="1"/>
    <col min="5912" max="5914" width="8.5546875" style="381" customWidth="1"/>
    <col min="5915" max="5915" width="9.44140625" style="381" customWidth="1"/>
    <col min="5916" max="5916" width="9.33203125" style="381" customWidth="1"/>
    <col min="5917" max="5917" width="9.44140625" style="381" customWidth="1"/>
    <col min="5918" max="5918" width="10" style="381" customWidth="1"/>
    <col min="5919" max="5919" width="8.109375" style="381" customWidth="1"/>
    <col min="5920" max="5920" width="10.88671875" style="381" customWidth="1"/>
    <col min="5921" max="5921" width="9.88671875" style="381" customWidth="1"/>
    <col min="5922" max="5922" width="10.109375" style="381" customWidth="1"/>
    <col min="5923" max="5923" width="9.33203125" style="381" customWidth="1"/>
    <col min="5924" max="5926" width="8.6640625" style="381" customWidth="1"/>
    <col min="5927" max="5927" width="7.44140625" style="381" customWidth="1"/>
    <col min="5928" max="5936" width="9.6640625" style="381" customWidth="1"/>
    <col min="5937" max="5937" width="8.5546875" style="381" customWidth="1"/>
    <col min="5938" max="5938" width="8.33203125" style="381" customWidth="1"/>
    <col min="5939" max="5939" width="9.6640625" style="381" customWidth="1"/>
    <col min="5940" max="5940" width="10.6640625" style="381" customWidth="1"/>
    <col min="5941" max="5943" width="9.6640625" style="381" customWidth="1"/>
    <col min="5944" max="5944" width="10.5546875" style="381" customWidth="1"/>
    <col min="5945" max="5947" width="9.6640625" style="381" customWidth="1"/>
    <col min="5948" max="5948" width="9" style="381" customWidth="1"/>
    <col min="5949" max="5949" width="9.6640625" style="381" customWidth="1"/>
    <col min="5950" max="5950" width="8.44140625" style="381" customWidth="1"/>
    <col min="5951" max="5951" width="8.6640625" style="381" customWidth="1"/>
    <col min="5952" max="5952" width="11.33203125" style="381" customWidth="1"/>
    <col min="5953" max="5953" width="9.44140625" style="381" customWidth="1"/>
    <col min="5954" max="5956" width="10.109375" style="381" customWidth="1"/>
    <col min="5957" max="5957" width="10" style="381" customWidth="1"/>
    <col min="5958" max="5958" width="9.109375" style="381" customWidth="1"/>
    <col min="5959" max="5959" width="9.44140625" style="381" customWidth="1"/>
    <col min="5960" max="5960" width="8.44140625" style="381" customWidth="1"/>
    <col min="5961" max="5961" width="10.109375" style="381" customWidth="1"/>
    <col min="5962" max="5962" width="8.44140625" style="381" customWidth="1"/>
    <col min="5963" max="5963" width="7.5546875" style="381" customWidth="1"/>
    <col min="5964" max="5964" width="10.88671875" style="381" customWidth="1"/>
    <col min="5965" max="5965" width="9.109375" style="381" customWidth="1"/>
    <col min="5966" max="5966" width="9.5546875" style="381" customWidth="1"/>
    <col min="5967" max="5967" width="9.6640625" style="381" customWidth="1"/>
    <col min="5968" max="5968" width="9.109375" style="381" customWidth="1"/>
    <col min="5969" max="5969" width="9" style="381" customWidth="1"/>
    <col min="5970" max="5970" width="9.109375" style="381" customWidth="1"/>
    <col min="5971" max="5971" width="9.6640625" style="381" customWidth="1"/>
    <col min="5972" max="5974" width="9.33203125" style="381" customWidth="1"/>
    <col min="5975" max="5975" width="9.109375" style="381" customWidth="1"/>
    <col min="5976" max="5979" width="10" style="381" customWidth="1"/>
    <col min="5980" max="5980" width="8.6640625" style="381" customWidth="1"/>
    <col min="5981" max="5982" width="10" style="381" customWidth="1"/>
    <col min="5983" max="5983" width="8.88671875" style="381" customWidth="1"/>
    <col min="5984" max="5986" width="9.109375" style="381" customWidth="1"/>
    <col min="5987" max="5987" width="9" style="381" customWidth="1"/>
    <col min="5988" max="5989" width="10" style="381" customWidth="1"/>
    <col min="5990" max="5990" width="9.5546875" style="381" customWidth="1"/>
    <col min="5991" max="5991" width="9.109375" style="381" customWidth="1"/>
    <col min="5992" max="5992" width="9" style="381" customWidth="1"/>
    <col min="5993" max="5995" width="9.44140625" style="381" customWidth="1"/>
    <col min="5996" max="5998" width="9.33203125" style="381" customWidth="1"/>
    <col min="5999" max="5999" width="9" style="381" customWidth="1"/>
    <col min="6000" max="6000" width="10.109375" style="381" customWidth="1"/>
    <col min="6001" max="6001" width="9.5546875" style="381" customWidth="1"/>
    <col min="6002" max="6002" width="9.44140625" style="381" customWidth="1"/>
    <col min="6003" max="6003" width="10.109375" style="381" customWidth="1"/>
    <col min="6004" max="6004" width="9.33203125" style="381" customWidth="1"/>
    <col min="6005" max="6005" width="9.44140625" style="381" customWidth="1"/>
    <col min="6006" max="6006" width="10.109375" style="381" customWidth="1"/>
    <col min="6007" max="6007" width="9.109375" style="381" customWidth="1"/>
    <col min="6008" max="6010" width="9" style="381" customWidth="1"/>
    <col min="6011" max="6011" width="8.88671875" style="381" customWidth="1"/>
    <col min="6012" max="6015" width="10.109375" style="381" customWidth="1"/>
    <col min="6016" max="6016" width="10" style="381" customWidth="1"/>
    <col min="6017" max="6017" width="9.88671875" style="381" customWidth="1"/>
    <col min="6018" max="6019" width="9.44140625" style="381" customWidth="1"/>
    <col min="6020" max="6020" width="8.6640625" style="381" customWidth="1"/>
    <col min="6021" max="6021" width="9.109375" style="381" customWidth="1"/>
    <col min="6022" max="6022" width="8.109375" style="381" customWidth="1"/>
    <col min="6023" max="6023" width="8.6640625" style="381" customWidth="1"/>
    <col min="6024" max="6024" width="10.109375" style="381" customWidth="1"/>
    <col min="6025" max="6025" width="9.33203125" style="381" customWidth="1"/>
    <col min="6026" max="6030" width="10.109375" style="381" customWidth="1"/>
    <col min="6031" max="6031" width="9.109375" style="381" customWidth="1"/>
    <col min="6032" max="6032" width="8.88671875" style="381" customWidth="1"/>
    <col min="6033" max="6033" width="9" style="381" customWidth="1"/>
    <col min="6034" max="6034" width="8.44140625" style="381" customWidth="1"/>
    <col min="6035" max="6035" width="9" style="381" customWidth="1"/>
    <col min="6036" max="6042" width="10.109375" style="381" customWidth="1"/>
    <col min="6043" max="6043" width="8.5546875" style="381" customWidth="1"/>
    <col min="6044" max="6044" width="8.33203125" style="381" customWidth="1"/>
    <col min="6045" max="6045" width="9.5546875" style="381" customWidth="1"/>
    <col min="6046" max="6046" width="8.33203125" style="381" customWidth="1"/>
    <col min="6047" max="6047" width="8.6640625" style="381" customWidth="1"/>
    <col min="6048" max="6145" width="9.109375" style="381"/>
    <col min="6146" max="6146" width="5.109375" style="381" bestFit="1" customWidth="1"/>
    <col min="6147" max="6147" width="79" style="381" customWidth="1"/>
    <col min="6148" max="6148" width="10.5546875" style="381" customWidth="1"/>
    <col min="6149" max="6149" width="9.88671875" style="381" customWidth="1"/>
    <col min="6150" max="6150" width="10.6640625" style="381" customWidth="1"/>
    <col min="6151" max="6151" width="11.6640625" style="381" customWidth="1"/>
    <col min="6152" max="6152" width="12.109375" style="381" customWidth="1"/>
    <col min="6153" max="6153" width="11.44140625" style="381" customWidth="1"/>
    <col min="6154" max="6155" width="9.6640625" style="381" customWidth="1"/>
    <col min="6156" max="6156" width="8.5546875" style="381" customWidth="1"/>
    <col min="6157" max="6157" width="8.109375" style="381" customWidth="1"/>
    <col min="6158" max="6158" width="9.33203125" style="381" customWidth="1"/>
    <col min="6159" max="6160" width="8.5546875" style="381" customWidth="1"/>
    <col min="6161" max="6161" width="9.88671875" style="381" customWidth="1"/>
    <col min="6162" max="6164" width="8.5546875" style="381" customWidth="1"/>
    <col min="6165" max="6165" width="9.5546875" style="381" customWidth="1"/>
    <col min="6166" max="6166" width="8.5546875" style="381" customWidth="1"/>
    <col min="6167" max="6167" width="9.44140625" style="381" customWidth="1"/>
    <col min="6168" max="6170" width="8.5546875" style="381" customWidth="1"/>
    <col min="6171" max="6171" width="9.44140625" style="381" customWidth="1"/>
    <col min="6172" max="6172" width="9.33203125" style="381" customWidth="1"/>
    <col min="6173" max="6173" width="9.44140625" style="381" customWidth="1"/>
    <col min="6174" max="6174" width="10" style="381" customWidth="1"/>
    <col min="6175" max="6175" width="8.109375" style="381" customWidth="1"/>
    <col min="6176" max="6176" width="10.88671875" style="381" customWidth="1"/>
    <col min="6177" max="6177" width="9.88671875" style="381" customWidth="1"/>
    <col min="6178" max="6178" width="10.109375" style="381" customWidth="1"/>
    <col min="6179" max="6179" width="9.33203125" style="381" customWidth="1"/>
    <col min="6180" max="6182" width="8.6640625" style="381" customWidth="1"/>
    <col min="6183" max="6183" width="7.44140625" style="381" customWidth="1"/>
    <col min="6184" max="6192" width="9.6640625" style="381" customWidth="1"/>
    <col min="6193" max="6193" width="8.5546875" style="381" customWidth="1"/>
    <col min="6194" max="6194" width="8.33203125" style="381" customWidth="1"/>
    <col min="6195" max="6195" width="9.6640625" style="381" customWidth="1"/>
    <col min="6196" max="6196" width="10.6640625" style="381" customWidth="1"/>
    <col min="6197" max="6199" width="9.6640625" style="381" customWidth="1"/>
    <col min="6200" max="6200" width="10.5546875" style="381" customWidth="1"/>
    <col min="6201" max="6203" width="9.6640625" style="381" customWidth="1"/>
    <col min="6204" max="6204" width="9" style="381" customWidth="1"/>
    <col min="6205" max="6205" width="9.6640625" style="381" customWidth="1"/>
    <col min="6206" max="6206" width="8.44140625" style="381" customWidth="1"/>
    <col min="6207" max="6207" width="8.6640625" style="381" customWidth="1"/>
    <col min="6208" max="6208" width="11.33203125" style="381" customWidth="1"/>
    <col min="6209" max="6209" width="9.44140625" style="381" customWidth="1"/>
    <col min="6210" max="6212" width="10.109375" style="381" customWidth="1"/>
    <col min="6213" max="6213" width="10" style="381" customWidth="1"/>
    <col min="6214" max="6214" width="9.109375" style="381" customWidth="1"/>
    <col min="6215" max="6215" width="9.44140625" style="381" customWidth="1"/>
    <col min="6216" max="6216" width="8.44140625" style="381" customWidth="1"/>
    <col min="6217" max="6217" width="10.109375" style="381" customWidth="1"/>
    <col min="6218" max="6218" width="8.44140625" style="381" customWidth="1"/>
    <col min="6219" max="6219" width="7.5546875" style="381" customWidth="1"/>
    <col min="6220" max="6220" width="10.88671875" style="381" customWidth="1"/>
    <col min="6221" max="6221" width="9.109375" style="381" customWidth="1"/>
    <col min="6222" max="6222" width="9.5546875" style="381" customWidth="1"/>
    <col min="6223" max="6223" width="9.6640625" style="381" customWidth="1"/>
    <col min="6224" max="6224" width="9.109375" style="381" customWidth="1"/>
    <col min="6225" max="6225" width="9" style="381" customWidth="1"/>
    <col min="6226" max="6226" width="9.109375" style="381" customWidth="1"/>
    <col min="6227" max="6227" width="9.6640625" style="381" customWidth="1"/>
    <col min="6228" max="6230" width="9.33203125" style="381" customWidth="1"/>
    <col min="6231" max="6231" width="9.109375" style="381" customWidth="1"/>
    <col min="6232" max="6235" width="10" style="381" customWidth="1"/>
    <col min="6236" max="6236" width="8.6640625" style="381" customWidth="1"/>
    <col min="6237" max="6238" width="10" style="381" customWidth="1"/>
    <col min="6239" max="6239" width="8.88671875" style="381" customWidth="1"/>
    <col min="6240" max="6242" width="9.109375" style="381" customWidth="1"/>
    <col min="6243" max="6243" width="9" style="381" customWidth="1"/>
    <col min="6244" max="6245" width="10" style="381" customWidth="1"/>
    <col min="6246" max="6246" width="9.5546875" style="381" customWidth="1"/>
    <col min="6247" max="6247" width="9.109375" style="381" customWidth="1"/>
    <col min="6248" max="6248" width="9" style="381" customWidth="1"/>
    <col min="6249" max="6251" width="9.44140625" style="381" customWidth="1"/>
    <col min="6252" max="6254" width="9.33203125" style="381" customWidth="1"/>
    <col min="6255" max="6255" width="9" style="381" customWidth="1"/>
    <col min="6256" max="6256" width="10.109375" style="381" customWidth="1"/>
    <col min="6257" max="6257" width="9.5546875" style="381" customWidth="1"/>
    <col min="6258" max="6258" width="9.44140625" style="381" customWidth="1"/>
    <col min="6259" max="6259" width="10.109375" style="381" customWidth="1"/>
    <col min="6260" max="6260" width="9.33203125" style="381" customWidth="1"/>
    <col min="6261" max="6261" width="9.44140625" style="381" customWidth="1"/>
    <col min="6262" max="6262" width="10.109375" style="381" customWidth="1"/>
    <col min="6263" max="6263" width="9.109375" style="381" customWidth="1"/>
    <col min="6264" max="6266" width="9" style="381" customWidth="1"/>
    <col min="6267" max="6267" width="8.88671875" style="381" customWidth="1"/>
    <col min="6268" max="6271" width="10.109375" style="381" customWidth="1"/>
    <col min="6272" max="6272" width="10" style="381" customWidth="1"/>
    <col min="6273" max="6273" width="9.88671875" style="381" customWidth="1"/>
    <col min="6274" max="6275" width="9.44140625" style="381" customWidth="1"/>
    <col min="6276" max="6276" width="8.6640625" style="381" customWidth="1"/>
    <col min="6277" max="6277" width="9.109375" style="381" customWidth="1"/>
    <col min="6278" max="6278" width="8.109375" style="381" customWidth="1"/>
    <col min="6279" max="6279" width="8.6640625" style="381" customWidth="1"/>
    <col min="6280" max="6280" width="10.109375" style="381" customWidth="1"/>
    <col min="6281" max="6281" width="9.33203125" style="381" customWidth="1"/>
    <col min="6282" max="6286" width="10.109375" style="381" customWidth="1"/>
    <col min="6287" max="6287" width="9.109375" style="381" customWidth="1"/>
    <col min="6288" max="6288" width="8.88671875" style="381" customWidth="1"/>
    <col min="6289" max="6289" width="9" style="381" customWidth="1"/>
    <col min="6290" max="6290" width="8.44140625" style="381" customWidth="1"/>
    <col min="6291" max="6291" width="9" style="381" customWidth="1"/>
    <col min="6292" max="6298" width="10.109375" style="381" customWidth="1"/>
    <col min="6299" max="6299" width="8.5546875" style="381" customWidth="1"/>
    <col min="6300" max="6300" width="8.33203125" style="381" customWidth="1"/>
    <col min="6301" max="6301" width="9.5546875" style="381" customWidth="1"/>
    <col min="6302" max="6302" width="8.33203125" style="381" customWidth="1"/>
    <col min="6303" max="6303" width="8.6640625" style="381" customWidth="1"/>
    <col min="6304" max="6401" width="9.109375" style="381"/>
    <col min="6402" max="6402" width="5.109375" style="381" bestFit="1" customWidth="1"/>
    <col min="6403" max="6403" width="79" style="381" customWidth="1"/>
    <col min="6404" max="6404" width="10.5546875" style="381" customWidth="1"/>
    <col min="6405" max="6405" width="9.88671875" style="381" customWidth="1"/>
    <col min="6406" max="6406" width="10.6640625" style="381" customWidth="1"/>
    <col min="6407" max="6407" width="11.6640625" style="381" customWidth="1"/>
    <col min="6408" max="6408" width="12.109375" style="381" customWidth="1"/>
    <col min="6409" max="6409" width="11.44140625" style="381" customWidth="1"/>
    <col min="6410" max="6411" width="9.6640625" style="381" customWidth="1"/>
    <col min="6412" max="6412" width="8.5546875" style="381" customWidth="1"/>
    <col min="6413" max="6413" width="8.109375" style="381" customWidth="1"/>
    <col min="6414" max="6414" width="9.33203125" style="381" customWidth="1"/>
    <col min="6415" max="6416" width="8.5546875" style="381" customWidth="1"/>
    <col min="6417" max="6417" width="9.88671875" style="381" customWidth="1"/>
    <col min="6418" max="6420" width="8.5546875" style="381" customWidth="1"/>
    <col min="6421" max="6421" width="9.5546875" style="381" customWidth="1"/>
    <col min="6422" max="6422" width="8.5546875" style="381" customWidth="1"/>
    <col min="6423" max="6423" width="9.44140625" style="381" customWidth="1"/>
    <col min="6424" max="6426" width="8.5546875" style="381" customWidth="1"/>
    <col min="6427" max="6427" width="9.44140625" style="381" customWidth="1"/>
    <col min="6428" max="6428" width="9.33203125" style="381" customWidth="1"/>
    <col min="6429" max="6429" width="9.44140625" style="381" customWidth="1"/>
    <col min="6430" max="6430" width="10" style="381" customWidth="1"/>
    <col min="6431" max="6431" width="8.109375" style="381" customWidth="1"/>
    <col min="6432" max="6432" width="10.88671875" style="381" customWidth="1"/>
    <col min="6433" max="6433" width="9.88671875" style="381" customWidth="1"/>
    <col min="6434" max="6434" width="10.109375" style="381" customWidth="1"/>
    <col min="6435" max="6435" width="9.33203125" style="381" customWidth="1"/>
    <col min="6436" max="6438" width="8.6640625" style="381" customWidth="1"/>
    <col min="6439" max="6439" width="7.44140625" style="381" customWidth="1"/>
    <col min="6440" max="6448" width="9.6640625" style="381" customWidth="1"/>
    <col min="6449" max="6449" width="8.5546875" style="381" customWidth="1"/>
    <col min="6450" max="6450" width="8.33203125" style="381" customWidth="1"/>
    <col min="6451" max="6451" width="9.6640625" style="381" customWidth="1"/>
    <col min="6452" max="6452" width="10.6640625" style="381" customWidth="1"/>
    <col min="6453" max="6455" width="9.6640625" style="381" customWidth="1"/>
    <col min="6456" max="6456" width="10.5546875" style="381" customWidth="1"/>
    <col min="6457" max="6459" width="9.6640625" style="381" customWidth="1"/>
    <col min="6460" max="6460" width="9" style="381" customWidth="1"/>
    <col min="6461" max="6461" width="9.6640625" style="381" customWidth="1"/>
    <col min="6462" max="6462" width="8.44140625" style="381" customWidth="1"/>
    <col min="6463" max="6463" width="8.6640625" style="381" customWidth="1"/>
    <col min="6464" max="6464" width="11.33203125" style="381" customWidth="1"/>
    <col min="6465" max="6465" width="9.44140625" style="381" customWidth="1"/>
    <col min="6466" max="6468" width="10.109375" style="381" customWidth="1"/>
    <col min="6469" max="6469" width="10" style="381" customWidth="1"/>
    <col min="6470" max="6470" width="9.109375" style="381" customWidth="1"/>
    <col min="6471" max="6471" width="9.44140625" style="381" customWidth="1"/>
    <col min="6472" max="6472" width="8.44140625" style="381" customWidth="1"/>
    <col min="6473" max="6473" width="10.109375" style="381" customWidth="1"/>
    <col min="6474" max="6474" width="8.44140625" style="381" customWidth="1"/>
    <col min="6475" max="6475" width="7.5546875" style="381" customWidth="1"/>
    <col min="6476" max="6476" width="10.88671875" style="381" customWidth="1"/>
    <col min="6477" max="6477" width="9.109375" style="381" customWidth="1"/>
    <col min="6478" max="6478" width="9.5546875" style="381" customWidth="1"/>
    <col min="6479" max="6479" width="9.6640625" style="381" customWidth="1"/>
    <col min="6480" max="6480" width="9.109375" style="381" customWidth="1"/>
    <col min="6481" max="6481" width="9" style="381" customWidth="1"/>
    <col min="6482" max="6482" width="9.109375" style="381" customWidth="1"/>
    <col min="6483" max="6483" width="9.6640625" style="381" customWidth="1"/>
    <col min="6484" max="6486" width="9.33203125" style="381" customWidth="1"/>
    <col min="6487" max="6487" width="9.109375" style="381" customWidth="1"/>
    <col min="6488" max="6491" width="10" style="381" customWidth="1"/>
    <col min="6492" max="6492" width="8.6640625" style="381" customWidth="1"/>
    <col min="6493" max="6494" width="10" style="381" customWidth="1"/>
    <col min="6495" max="6495" width="8.88671875" style="381" customWidth="1"/>
    <col min="6496" max="6498" width="9.109375" style="381" customWidth="1"/>
    <col min="6499" max="6499" width="9" style="381" customWidth="1"/>
    <col min="6500" max="6501" width="10" style="381" customWidth="1"/>
    <col min="6502" max="6502" width="9.5546875" style="381" customWidth="1"/>
    <col min="6503" max="6503" width="9.109375" style="381" customWidth="1"/>
    <col min="6504" max="6504" width="9" style="381" customWidth="1"/>
    <col min="6505" max="6507" width="9.44140625" style="381" customWidth="1"/>
    <col min="6508" max="6510" width="9.33203125" style="381" customWidth="1"/>
    <col min="6511" max="6511" width="9" style="381" customWidth="1"/>
    <col min="6512" max="6512" width="10.109375" style="381" customWidth="1"/>
    <col min="6513" max="6513" width="9.5546875" style="381" customWidth="1"/>
    <col min="6514" max="6514" width="9.44140625" style="381" customWidth="1"/>
    <col min="6515" max="6515" width="10.109375" style="381" customWidth="1"/>
    <col min="6516" max="6516" width="9.33203125" style="381" customWidth="1"/>
    <col min="6517" max="6517" width="9.44140625" style="381" customWidth="1"/>
    <col min="6518" max="6518" width="10.109375" style="381" customWidth="1"/>
    <col min="6519" max="6519" width="9.109375" style="381" customWidth="1"/>
    <col min="6520" max="6522" width="9" style="381" customWidth="1"/>
    <col min="6523" max="6523" width="8.88671875" style="381" customWidth="1"/>
    <col min="6524" max="6527" width="10.109375" style="381" customWidth="1"/>
    <col min="6528" max="6528" width="10" style="381" customWidth="1"/>
    <col min="6529" max="6529" width="9.88671875" style="381" customWidth="1"/>
    <col min="6530" max="6531" width="9.44140625" style="381" customWidth="1"/>
    <col min="6532" max="6532" width="8.6640625" style="381" customWidth="1"/>
    <col min="6533" max="6533" width="9.109375" style="381" customWidth="1"/>
    <col min="6534" max="6534" width="8.109375" style="381" customWidth="1"/>
    <col min="6535" max="6535" width="8.6640625" style="381" customWidth="1"/>
    <col min="6536" max="6536" width="10.109375" style="381" customWidth="1"/>
    <col min="6537" max="6537" width="9.33203125" style="381" customWidth="1"/>
    <col min="6538" max="6542" width="10.109375" style="381" customWidth="1"/>
    <col min="6543" max="6543" width="9.109375" style="381" customWidth="1"/>
    <col min="6544" max="6544" width="8.88671875" style="381" customWidth="1"/>
    <col min="6545" max="6545" width="9" style="381" customWidth="1"/>
    <col min="6546" max="6546" width="8.44140625" style="381" customWidth="1"/>
    <col min="6547" max="6547" width="9" style="381" customWidth="1"/>
    <col min="6548" max="6554" width="10.109375" style="381" customWidth="1"/>
    <col min="6555" max="6555" width="8.5546875" style="381" customWidth="1"/>
    <col min="6556" max="6556" width="8.33203125" style="381" customWidth="1"/>
    <col min="6557" max="6557" width="9.5546875" style="381" customWidth="1"/>
    <col min="6558" max="6558" width="8.33203125" style="381" customWidth="1"/>
    <col min="6559" max="6559" width="8.6640625" style="381" customWidth="1"/>
    <col min="6560" max="6657" width="9.109375" style="381"/>
    <col min="6658" max="6658" width="5.109375" style="381" bestFit="1" customWidth="1"/>
    <col min="6659" max="6659" width="79" style="381" customWidth="1"/>
    <col min="6660" max="6660" width="10.5546875" style="381" customWidth="1"/>
    <col min="6661" max="6661" width="9.88671875" style="381" customWidth="1"/>
    <col min="6662" max="6662" width="10.6640625" style="381" customWidth="1"/>
    <col min="6663" max="6663" width="11.6640625" style="381" customWidth="1"/>
    <col min="6664" max="6664" width="12.109375" style="381" customWidth="1"/>
    <col min="6665" max="6665" width="11.44140625" style="381" customWidth="1"/>
    <col min="6666" max="6667" width="9.6640625" style="381" customWidth="1"/>
    <col min="6668" max="6668" width="8.5546875" style="381" customWidth="1"/>
    <col min="6669" max="6669" width="8.109375" style="381" customWidth="1"/>
    <col min="6670" max="6670" width="9.33203125" style="381" customWidth="1"/>
    <col min="6671" max="6672" width="8.5546875" style="381" customWidth="1"/>
    <col min="6673" max="6673" width="9.88671875" style="381" customWidth="1"/>
    <col min="6674" max="6676" width="8.5546875" style="381" customWidth="1"/>
    <col min="6677" max="6677" width="9.5546875" style="381" customWidth="1"/>
    <col min="6678" max="6678" width="8.5546875" style="381" customWidth="1"/>
    <col min="6679" max="6679" width="9.44140625" style="381" customWidth="1"/>
    <col min="6680" max="6682" width="8.5546875" style="381" customWidth="1"/>
    <col min="6683" max="6683" width="9.44140625" style="381" customWidth="1"/>
    <col min="6684" max="6684" width="9.33203125" style="381" customWidth="1"/>
    <col min="6685" max="6685" width="9.44140625" style="381" customWidth="1"/>
    <col min="6686" max="6686" width="10" style="381" customWidth="1"/>
    <col min="6687" max="6687" width="8.109375" style="381" customWidth="1"/>
    <col min="6688" max="6688" width="10.88671875" style="381" customWidth="1"/>
    <col min="6689" max="6689" width="9.88671875" style="381" customWidth="1"/>
    <col min="6690" max="6690" width="10.109375" style="381" customWidth="1"/>
    <col min="6691" max="6691" width="9.33203125" style="381" customWidth="1"/>
    <col min="6692" max="6694" width="8.6640625" style="381" customWidth="1"/>
    <col min="6695" max="6695" width="7.44140625" style="381" customWidth="1"/>
    <col min="6696" max="6704" width="9.6640625" style="381" customWidth="1"/>
    <col min="6705" max="6705" width="8.5546875" style="381" customWidth="1"/>
    <col min="6706" max="6706" width="8.33203125" style="381" customWidth="1"/>
    <col min="6707" max="6707" width="9.6640625" style="381" customWidth="1"/>
    <col min="6708" max="6708" width="10.6640625" style="381" customWidth="1"/>
    <col min="6709" max="6711" width="9.6640625" style="381" customWidth="1"/>
    <col min="6712" max="6712" width="10.5546875" style="381" customWidth="1"/>
    <col min="6713" max="6715" width="9.6640625" style="381" customWidth="1"/>
    <col min="6716" max="6716" width="9" style="381" customWidth="1"/>
    <col min="6717" max="6717" width="9.6640625" style="381" customWidth="1"/>
    <col min="6718" max="6718" width="8.44140625" style="381" customWidth="1"/>
    <col min="6719" max="6719" width="8.6640625" style="381" customWidth="1"/>
    <col min="6720" max="6720" width="11.33203125" style="381" customWidth="1"/>
    <col min="6721" max="6721" width="9.44140625" style="381" customWidth="1"/>
    <col min="6722" max="6724" width="10.109375" style="381" customWidth="1"/>
    <col min="6725" max="6725" width="10" style="381" customWidth="1"/>
    <col min="6726" max="6726" width="9.109375" style="381" customWidth="1"/>
    <col min="6727" max="6727" width="9.44140625" style="381" customWidth="1"/>
    <col min="6728" max="6728" width="8.44140625" style="381" customWidth="1"/>
    <col min="6729" max="6729" width="10.109375" style="381" customWidth="1"/>
    <col min="6730" max="6730" width="8.44140625" style="381" customWidth="1"/>
    <col min="6731" max="6731" width="7.5546875" style="381" customWidth="1"/>
    <col min="6732" max="6732" width="10.88671875" style="381" customWidth="1"/>
    <col min="6733" max="6733" width="9.109375" style="381" customWidth="1"/>
    <col min="6734" max="6734" width="9.5546875" style="381" customWidth="1"/>
    <col min="6735" max="6735" width="9.6640625" style="381" customWidth="1"/>
    <col min="6736" max="6736" width="9.109375" style="381" customWidth="1"/>
    <col min="6737" max="6737" width="9" style="381" customWidth="1"/>
    <col min="6738" max="6738" width="9.109375" style="381" customWidth="1"/>
    <col min="6739" max="6739" width="9.6640625" style="381" customWidth="1"/>
    <col min="6740" max="6742" width="9.33203125" style="381" customWidth="1"/>
    <col min="6743" max="6743" width="9.109375" style="381" customWidth="1"/>
    <col min="6744" max="6747" width="10" style="381" customWidth="1"/>
    <col min="6748" max="6748" width="8.6640625" style="381" customWidth="1"/>
    <col min="6749" max="6750" width="10" style="381" customWidth="1"/>
    <col min="6751" max="6751" width="8.88671875" style="381" customWidth="1"/>
    <col min="6752" max="6754" width="9.109375" style="381" customWidth="1"/>
    <col min="6755" max="6755" width="9" style="381" customWidth="1"/>
    <col min="6756" max="6757" width="10" style="381" customWidth="1"/>
    <col min="6758" max="6758" width="9.5546875" style="381" customWidth="1"/>
    <col min="6759" max="6759" width="9.109375" style="381" customWidth="1"/>
    <col min="6760" max="6760" width="9" style="381" customWidth="1"/>
    <col min="6761" max="6763" width="9.44140625" style="381" customWidth="1"/>
    <col min="6764" max="6766" width="9.33203125" style="381" customWidth="1"/>
    <col min="6767" max="6767" width="9" style="381" customWidth="1"/>
    <col min="6768" max="6768" width="10.109375" style="381" customWidth="1"/>
    <col min="6769" max="6769" width="9.5546875" style="381" customWidth="1"/>
    <col min="6770" max="6770" width="9.44140625" style="381" customWidth="1"/>
    <col min="6771" max="6771" width="10.109375" style="381" customWidth="1"/>
    <col min="6772" max="6772" width="9.33203125" style="381" customWidth="1"/>
    <col min="6773" max="6773" width="9.44140625" style="381" customWidth="1"/>
    <col min="6774" max="6774" width="10.109375" style="381" customWidth="1"/>
    <col min="6775" max="6775" width="9.109375" style="381" customWidth="1"/>
    <col min="6776" max="6778" width="9" style="381" customWidth="1"/>
    <col min="6779" max="6779" width="8.88671875" style="381" customWidth="1"/>
    <col min="6780" max="6783" width="10.109375" style="381" customWidth="1"/>
    <col min="6784" max="6784" width="10" style="381" customWidth="1"/>
    <col min="6785" max="6785" width="9.88671875" style="381" customWidth="1"/>
    <col min="6786" max="6787" width="9.44140625" style="381" customWidth="1"/>
    <col min="6788" max="6788" width="8.6640625" style="381" customWidth="1"/>
    <col min="6789" max="6789" width="9.109375" style="381" customWidth="1"/>
    <col min="6790" max="6790" width="8.109375" style="381" customWidth="1"/>
    <col min="6791" max="6791" width="8.6640625" style="381" customWidth="1"/>
    <col min="6792" max="6792" width="10.109375" style="381" customWidth="1"/>
    <col min="6793" max="6793" width="9.33203125" style="381" customWidth="1"/>
    <col min="6794" max="6798" width="10.109375" style="381" customWidth="1"/>
    <col min="6799" max="6799" width="9.109375" style="381" customWidth="1"/>
    <col min="6800" max="6800" width="8.88671875" style="381" customWidth="1"/>
    <col min="6801" max="6801" width="9" style="381" customWidth="1"/>
    <col min="6802" max="6802" width="8.44140625" style="381" customWidth="1"/>
    <col min="6803" max="6803" width="9" style="381" customWidth="1"/>
    <col min="6804" max="6810" width="10.109375" style="381" customWidth="1"/>
    <col min="6811" max="6811" width="8.5546875" style="381" customWidth="1"/>
    <col min="6812" max="6812" width="8.33203125" style="381" customWidth="1"/>
    <col min="6813" max="6813" width="9.5546875" style="381" customWidth="1"/>
    <col min="6814" max="6814" width="8.33203125" style="381" customWidth="1"/>
    <col min="6815" max="6815" width="8.6640625" style="381" customWidth="1"/>
    <col min="6816" max="6913" width="9.109375" style="381"/>
    <col min="6914" max="6914" width="5.109375" style="381" bestFit="1" customWidth="1"/>
    <col min="6915" max="6915" width="79" style="381" customWidth="1"/>
    <col min="6916" max="6916" width="10.5546875" style="381" customWidth="1"/>
    <col min="6917" max="6917" width="9.88671875" style="381" customWidth="1"/>
    <col min="6918" max="6918" width="10.6640625" style="381" customWidth="1"/>
    <col min="6919" max="6919" width="11.6640625" style="381" customWidth="1"/>
    <col min="6920" max="6920" width="12.109375" style="381" customWidth="1"/>
    <col min="6921" max="6921" width="11.44140625" style="381" customWidth="1"/>
    <col min="6922" max="6923" width="9.6640625" style="381" customWidth="1"/>
    <col min="6924" max="6924" width="8.5546875" style="381" customWidth="1"/>
    <col min="6925" max="6925" width="8.109375" style="381" customWidth="1"/>
    <col min="6926" max="6926" width="9.33203125" style="381" customWidth="1"/>
    <col min="6927" max="6928" width="8.5546875" style="381" customWidth="1"/>
    <col min="6929" max="6929" width="9.88671875" style="381" customWidth="1"/>
    <col min="6930" max="6932" width="8.5546875" style="381" customWidth="1"/>
    <col min="6933" max="6933" width="9.5546875" style="381" customWidth="1"/>
    <col min="6934" max="6934" width="8.5546875" style="381" customWidth="1"/>
    <col min="6935" max="6935" width="9.44140625" style="381" customWidth="1"/>
    <col min="6936" max="6938" width="8.5546875" style="381" customWidth="1"/>
    <col min="6939" max="6939" width="9.44140625" style="381" customWidth="1"/>
    <col min="6940" max="6940" width="9.33203125" style="381" customWidth="1"/>
    <col min="6941" max="6941" width="9.44140625" style="381" customWidth="1"/>
    <col min="6942" max="6942" width="10" style="381" customWidth="1"/>
    <col min="6943" max="6943" width="8.109375" style="381" customWidth="1"/>
    <col min="6944" max="6944" width="10.88671875" style="381" customWidth="1"/>
    <col min="6945" max="6945" width="9.88671875" style="381" customWidth="1"/>
    <col min="6946" max="6946" width="10.109375" style="381" customWidth="1"/>
    <col min="6947" max="6947" width="9.33203125" style="381" customWidth="1"/>
    <col min="6948" max="6950" width="8.6640625" style="381" customWidth="1"/>
    <col min="6951" max="6951" width="7.44140625" style="381" customWidth="1"/>
    <col min="6952" max="6960" width="9.6640625" style="381" customWidth="1"/>
    <col min="6961" max="6961" width="8.5546875" style="381" customWidth="1"/>
    <col min="6962" max="6962" width="8.33203125" style="381" customWidth="1"/>
    <col min="6963" max="6963" width="9.6640625" style="381" customWidth="1"/>
    <col min="6964" max="6964" width="10.6640625" style="381" customWidth="1"/>
    <col min="6965" max="6967" width="9.6640625" style="381" customWidth="1"/>
    <col min="6968" max="6968" width="10.5546875" style="381" customWidth="1"/>
    <col min="6969" max="6971" width="9.6640625" style="381" customWidth="1"/>
    <col min="6972" max="6972" width="9" style="381" customWidth="1"/>
    <col min="6973" max="6973" width="9.6640625" style="381" customWidth="1"/>
    <col min="6974" max="6974" width="8.44140625" style="381" customWidth="1"/>
    <col min="6975" max="6975" width="8.6640625" style="381" customWidth="1"/>
    <col min="6976" max="6976" width="11.33203125" style="381" customWidth="1"/>
    <col min="6977" max="6977" width="9.44140625" style="381" customWidth="1"/>
    <col min="6978" max="6980" width="10.109375" style="381" customWidth="1"/>
    <col min="6981" max="6981" width="10" style="381" customWidth="1"/>
    <col min="6982" max="6982" width="9.109375" style="381" customWidth="1"/>
    <col min="6983" max="6983" width="9.44140625" style="381" customWidth="1"/>
    <col min="6984" max="6984" width="8.44140625" style="381" customWidth="1"/>
    <col min="6985" max="6985" width="10.109375" style="381" customWidth="1"/>
    <col min="6986" max="6986" width="8.44140625" style="381" customWidth="1"/>
    <col min="6987" max="6987" width="7.5546875" style="381" customWidth="1"/>
    <col min="6988" max="6988" width="10.88671875" style="381" customWidth="1"/>
    <col min="6989" max="6989" width="9.109375" style="381" customWidth="1"/>
    <col min="6990" max="6990" width="9.5546875" style="381" customWidth="1"/>
    <col min="6991" max="6991" width="9.6640625" style="381" customWidth="1"/>
    <col min="6992" max="6992" width="9.109375" style="381" customWidth="1"/>
    <col min="6993" max="6993" width="9" style="381" customWidth="1"/>
    <col min="6994" max="6994" width="9.109375" style="381" customWidth="1"/>
    <col min="6995" max="6995" width="9.6640625" style="381" customWidth="1"/>
    <col min="6996" max="6998" width="9.33203125" style="381" customWidth="1"/>
    <col min="6999" max="6999" width="9.109375" style="381" customWidth="1"/>
    <col min="7000" max="7003" width="10" style="381" customWidth="1"/>
    <col min="7004" max="7004" width="8.6640625" style="381" customWidth="1"/>
    <col min="7005" max="7006" width="10" style="381" customWidth="1"/>
    <col min="7007" max="7007" width="8.88671875" style="381" customWidth="1"/>
    <col min="7008" max="7010" width="9.109375" style="381" customWidth="1"/>
    <col min="7011" max="7011" width="9" style="381" customWidth="1"/>
    <col min="7012" max="7013" width="10" style="381" customWidth="1"/>
    <col min="7014" max="7014" width="9.5546875" style="381" customWidth="1"/>
    <col min="7015" max="7015" width="9.109375" style="381" customWidth="1"/>
    <col min="7016" max="7016" width="9" style="381" customWidth="1"/>
    <col min="7017" max="7019" width="9.44140625" style="381" customWidth="1"/>
    <col min="7020" max="7022" width="9.33203125" style="381" customWidth="1"/>
    <col min="7023" max="7023" width="9" style="381" customWidth="1"/>
    <col min="7024" max="7024" width="10.109375" style="381" customWidth="1"/>
    <col min="7025" max="7025" width="9.5546875" style="381" customWidth="1"/>
    <col min="7026" max="7026" width="9.44140625" style="381" customWidth="1"/>
    <col min="7027" max="7027" width="10.109375" style="381" customWidth="1"/>
    <col min="7028" max="7028" width="9.33203125" style="381" customWidth="1"/>
    <col min="7029" max="7029" width="9.44140625" style="381" customWidth="1"/>
    <col min="7030" max="7030" width="10.109375" style="381" customWidth="1"/>
    <col min="7031" max="7031" width="9.109375" style="381" customWidth="1"/>
    <col min="7032" max="7034" width="9" style="381" customWidth="1"/>
    <col min="7035" max="7035" width="8.88671875" style="381" customWidth="1"/>
    <col min="7036" max="7039" width="10.109375" style="381" customWidth="1"/>
    <col min="7040" max="7040" width="10" style="381" customWidth="1"/>
    <col min="7041" max="7041" width="9.88671875" style="381" customWidth="1"/>
    <col min="7042" max="7043" width="9.44140625" style="381" customWidth="1"/>
    <col min="7044" max="7044" width="8.6640625" style="381" customWidth="1"/>
    <col min="7045" max="7045" width="9.109375" style="381" customWidth="1"/>
    <col min="7046" max="7046" width="8.109375" style="381" customWidth="1"/>
    <col min="7047" max="7047" width="8.6640625" style="381" customWidth="1"/>
    <col min="7048" max="7048" width="10.109375" style="381" customWidth="1"/>
    <col min="7049" max="7049" width="9.33203125" style="381" customWidth="1"/>
    <col min="7050" max="7054" width="10.109375" style="381" customWidth="1"/>
    <col min="7055" max="7055" width="9.109375" style="381" customWidth="1"/>
    <col min="7056" max="7056" width="8.88671875" style="381" customWidth="1"/>
    <col min="7057" max="7057" width="9" style="381" customWidth="1"/>
    <col min="7058" max="7058" width="8.44140625" style="381" customWidth="1"/>
    <col min="7059" max="7059" width="9" style="381" customWidth="1"/>
    <col min="7060" max="7066" width="10.109375" style="381" customWidth="1"/>
    <col min="7067" max="7067" width="8.5546875" style="381" customWidth="1"/>
    <col min="7068" max="7068" width="8.33203125" style="381" customWidth="1"/>
    <col min="7069" max="7069" width="9.5546875" style="381" customWidth="1"/>
    <col min="7070" max="7070" width="8.33203125" style="381" customWidth="1"/>
    <col min="7071" max="7071" width="8.6640625" style="381" customWidth="1"/>
    <col min="7072" max="7169" width="9.109375" style="381"/>
    <col min="7170" max="7170" width="5.109375" style="381" bestFit="1" customWidth="1"/>
    <col min="7171" max="7171" width="79" style="381" customWidth="1"/>
    <col min="7172" max="7172" width="10.5546875" style="381" customWidth="1"/>
    <col min="7173" max="7173" width="9.88671875" style="381" customWidth="1"/>
    <col min="7174" max="7174" width="10.6640625" style="381" customWidth="1"/>
    <col min="7175" max="7175" width="11.6640625" style="381" customWidth="1"/>
    <col min="7176" max="7176" width="12.109375" style="381" customWidth="1"/>
    <col min="7177" max="7177" width="11.44140625" style="381" customWidth="1"/>
    <col min="7178" max="7179" width="9.6640625" style="381" customWidth="1"/>
    <col min="7180" max="7180" width="8.5546875" style="381" customWidth="1"/>
    <col min="7181" max="7181" width="8.109375" style="381" customWidth="1"/>
    <col min="7182" max="7182" width="9.33203125" style="381" customWidth="1"/>
    <col min="7183" max="7184" width="8.5546875" style="381" customWidth="1"/>
    <col min="7185" max="7185" width="9.88671875" style="381" customWidth="1"/>
    <col min="7186" max="7188" width="8.5546875" style="381" customWidth="1"/>
    <col min="7189" max="7189" width="9.5546875" style="381" customWidth="1"/>
    <col min="7190" max="7190" width="8.5546875" style="381" customWidth="1"/>
    <col min="7191" max="7191" width="9.44140625" style="381" customWidth="1"/>
    <col min="7192" max="7194" width="8.5546875" style="381" customWidth="1"/>
    <col min="7195" max="7195" width="9.44140625" style="381" customWidth="1"/>
    <col min="7196" max="7196" width="9.33203125" style="381" customWidth="1"/>
    <col min="7197" max="7197" width="9.44140625" style="381" customWidth="1"/>
    <col min="7198" max="7198" width="10" style="381" customWidth="1"/>
    <col min="7199" max="7199" width="8.109375" style="381" customWidth="1"/>
    <col min="7200" max="7200" width="10.88671875" style="381" customWidth="1"/>
    <col min="7201" max="7201" width="9.88671875" style="381" customWidth="1"/>
    <col min="7202" max="7202" width="10.109375" style="381" customWidth="1"/>
    <col min="7203" max="7203" width="9.33203125" style="381" customWidth="1"/>
    <col min="7204" max="7206" width="8.6640625" style="381" customWidth="1"/>
    <col min="7207" max="7207" width="7.44140625" style="381" customWidth="1"/>
    <col min="7208" max="7216" width="9.6640625" style="381" customWidth="1"/>
    <col min="7217" max="7217" width="8.5546875" style="381" customWidth="1"/>
    <col min="7218" max="7218" width="8.33203125" style="381" customWidth="1"/>
    <col min="7219" max="7219" width="9.6640625" style="381" customWidth="1"/>
    <col min="7220" max="7220" width="10.6640625" style="381" customWidth="1"/>
    <col min="7221" max="7223" width="9.6640625" style="381" customWidth="1"/>
    <col min="7224" max="7224" width="10.5546875" style="381" customWidth="1"/>
    <col min="7225" max="7227" width="9.6640625" style="381" customWidth="1"/>
    <col min="7228" max="7228" width="9" style="381" customWidth="1"/>
    <col min="7229" max="7229" width="9.6640625" style="381" customWidth="1"/>
    <col min="7230" max="7230" width="8.44140625" style="381" customWidth="1"/>
    <col min="7231" max="7231" width="8.6640625" style="381" customWidth="1"/>
    <col min="7232" max="7232" width="11.33203125" style="381" customWidth="1"/>
    <col min="7233" max="7233" width="9.44140625" style="381" customWidth="1"/>
    <col min="7234" max="7236" width="10.109375" style="381" customWidth="1"/>
    <col min="7237" max="7237" width="10" style="381" customWidth="1"/>
    <col min="7238" max="7238" width="9.109375" style="381" customWidth="1"/>
    <col min="7239" max="7239" width="9.44140625" style="381" customWidth="1"/>
    <col min="7240" max="7240" width="8.44140625" style="381" customWidth="1"/>
    <col min="7241" max="7241" width="10.109375" style="381" customWidth="1"/>
    <col min="7242" max="7242" width="8.44140625" style="381" customWidth="1"/>
    <col min="7243" max="7243" width="7.5546875" style="381" customWidth="1"/>
    <col min="7244" max="7244" width="10.88671875" style="381" customWidth="1"/>
    <col min="7245" max="7245" width="9.109375" style="381" customWidth="1"/>
    <col min="7246" max="7246" width="9.5546875" style="381" customWidth="1"/>
    <col min="7247" max="7247" width="9.6640625" style="381" customWidth="1"/>
    <col min="7248" max="7248" width="9.109375" style="381" customWidth="1"/>
    <col min="7249" max="7249" width="9" style="381" customWidth="1"/>
    <col min="7250" max="7250" width="9.109375" style="381" customWidth="1"/>
    <col min="7251" max="7251" width="9.6640625" style="381" customWidth="1"/>
    <col min="7252" max="7254" width="9.33203125" style="381" customWidth="1"/>
    <col min="7255" max="7255" width="9.109375" style="381" customWidth="1"/>
    <col min="7256" max="7259" width="10" style="381" customWidth="1"/>
    <col min="7260" max="7260" width="8.6640625" style="381" customWidth="1"/>
    <col min="7261" max="7262" width="10" style="381" customWidth="1"/>
    <col min="7263" max="7263" width="8.88671875" style="381" customWidth="1"/>
    <col min="7264" max="7266" width="9.109375" style="381" customWidth="1"/>
    <col min="7267" max="7267" width="9" style="381" customWidth="1"/>
    <col min="7268" max="7269" width="10" style="381" customWidth="1"/>
    <col min="7270" max="7270" width="9.5546875" style="381" customWidth="1"/>
    <col min="7271" max="7271" width="9.109375" style="381" customWidth="1"/>
    <col min="7272" max="7272" width="9" style="381" customWidth="1"/>
    <col min="7273" max="7275" width="9.44140625" style="381" customWidth="1"/>
    <col min="7276" max="7278" width="9.33203125" style="381" customWidth="1"/>
    <col min="7279" max="7279" width="9" style="381" customWidth="1"/>
    <col min="7280" max="7280" width="10.109375" style="381" customWidth="1"/>
    <col min="7281" max="7281" width="9.5546875" style="381" customWidth="1"/>
    <col min="7282" max="7282" width="9.44140625" style="381" customWidth="1"/>
    <col min="7283" max="7283" width="10.109375" style="381" customWidth="1"/>
    <col min="7284" max="7284" width="9.33203125" style="381" customWidth="1"/>
    <col min="7285" max="7285" width="9.44140625" style="381" customWidth="1"/>
    <col min="7286" max="7286" width="10.109375" style="381" customWidth="1"/>
    <col min="7287" max="7287" width="9.109375" style="381" customWidth="1"/>
    <col min="7288" max="7290" width="9" style="381" customWidth="1"/>
    <col min="7291" max="7291" width="8.88671875" style="381" customWidth="1"/>
    <col min="7292" max="7295" width="10.109375" style="381" customWidth="1"/>
    <col min="7296" max="7296" width="10" style="381" customWidth="1"/>
    <col min="7297" max="7297" width="9.88671875" style="381" customWidth="1"/>
    <col min="7298" max="7299" width="9.44140625" style="381" customWidth="1"/>
    <col min="7300" max="7300" width="8.6640625" style="381" customWidth="1"/>
    <col min="7301" max="7301" width="9.109375" style="381" customWidth="1"/>
    <col min="7302" max="7302" width="8.109375" style="381" customWidth="1"/>
    <col min="7303" max="7303" width="8.6640625" style="381" customWidth="1"/>
    <col min="7304" max="7304" width="10.109375" style="381" customWidth="1"/>
    <col min="7305" max="7305" width="9.33203125" style="381" customWidth="1"/>
    <col min="7306" max="7310" width="10.109375" style="381" customWidth="1"/>
    <col min="7311" max="7311" width="9.109375" style="381" customWidth="1"/>
    <col min="7312" max="7312" width="8.88671875" style="381" customWidth="1"/>
    <col min="7313" max="7313" width="9" style="381" customWidth="1"/>
    <col min="7314" max="7314" width="8.44140625" style="381" customWidth="1"/>
    <col min="7315" max="7315" width="9" style="381" customWidth="1"/>
    <col min="7316" max="7322" width="10.109375" style="381" customWidth="1"/>
    <col min="7323" max="7323" width="8.5546875" style="381" customWidth="1"/>
    <col min="7324" max="7324" width="8.33203125" style="381" customWidth="1"/>
    <col min="7325" max="7325" width="9.5546875" style="381" customWidth="1"/>
    <col min="7326" max="7326" width="8.33203125" style="381" customWidth="1"/>
    <col min="7327" max="7327" width="8.6640625" style="381" customWidth="1"/>
    <col min="7328" max="7425" width="9.109375" style="381"/>
    <col min="7426" max="7426" width="5.109375" style="381" bestFit="1" customWidth="1"/>
    <col min="7427" max="7427" width="79" style="381" customWidth="1"/>
    <col min="7428" max="7428" width="10.5546875" style="381" customWidth="1"/>
    <col min="7429" max="7429" width="9.88671875" style="381" customWidth="1"/>
    <col min="7430" max="7430" width="10.6640625" style="381" customWidth="1"/>
    <col min="7431" max="7431" width="11.6640625" style="381" customWidth="1"/>
    <col min="7432" max="7432" width="12.109375" style="381" customWidth="1"/>
    <col min="7433" max="7433" width="11.44140625" style="381" customWidth="1"/>
    <col min="7434" max="7435" width="9.6640625" style="381" customWidth="1"/>
    <col min="7436" max="7436" width="8.5546875" style="381" customWidth="1"/>
    <col min="7437" max="7437" width="8.109375" style="381" customWidth="1"/>
    <col min="7438" max="7438" width="9.33203125" style="381" customWidth="1"/>
    <col min="7439" max="7440" width="8.5546875" style="381" customWidth="1"/>
    <col min="7441" max="7441" width="9.88671875" style="381" customWidth="1"/>
    <col min="7442" max="7444" width="8.5546875" style="381" customWidth="1"/>
    <col min="7445" max="7445" width="9.5546875" style="381" customWidth="1"/>
    <col min="7446" max="7446" width="8.5546875" style="381" customWidth="1"/>
    <col min="7447" max="7447" width="9.44140625" style="381" customWidth="1"/>
    <col min="7448" max="7450" width="8.5546875" style="381" customWidth="1"/>
    <col min="7451" max="7451" width="9.44140625" style="381" customWidth="1"/>
    <col min="7452" max="7452" width="9.33203125" style="381" customWidth="1"/>
    <col min="7453" max="7453" width="9.44140625" style="381" customWidth="1"/>
    <col min="7454" max="7454" width="10" style="381" customWidth="1"/>
    <col min="7455" max="7455" width="8.109375" style="381" customWidth="1"/>
    <col min="7456" max="7456" width="10.88671875" style="381" customWidth="1"/>
    <col min="7457" max="7457" width="9.88671875" style="381" customWidth="1"/>
    <col min="7458" max="7458" width="10.109375" style="381" customWidth="1"/>
    <col min="7459" max="7459" width="9.33203125" style="381" customWidth="1"/>
    <col min="7460" max="7462" width="8.6640625" style="381" customWidth="1"/>
    <col min="7463" max="7463" width="7.44140625" style="381" customWidth="1"/>
    <col min="7464" max="7472" width="9.6640625" style="381" customWidth="1"/>
    <col min="7473" max="7473" width="8.5546875" style="381" customWidth="1"/>
    <col min="7474" max="7474" width="8.33203125" style="381" customWidth="1"/>
    <col min="7475" max="7475" width="9.6640625" style="381" customWidth="1"/>
    <col min="7476" max="7476" width="10.6640625" style="381" customWidth="1"/>
    <col min="7477" max="7479" width="9.6640625" style="381" customWidth="1"/>
    <col min="7480" max="7480" width="10.5546875" style="381" customWidth="1"/>
    <col min="7481" max="7483" width="9.6640625" style="381" customWidth="1"/>
    <col min="7484" max="7484" width="9" style="381" customWidth="1"/>
    <col min="7485" max="7485" width="9.6640625" style="381" customWidth="1"/>
    <col min="7486" max="7486" width="8.44140625" style="381" customWidth="1"/>
    <col min="7487" max="7487" width="8.6640625" style="381" customWidth="1"/>
    <col min="7488" max="7488" width="11.33203125" style="381" customWidth="1"/>
    <col min="7489" max="7489" width="9.44140625" style="381" customWidth="1"/>
    <col min="7490" max="7492" width="10.109375" style="381" customWidth="1"/>
    <col min="7493" max="7493" width="10" style="381" customWidth="1"/>
    <col min="7494" max="7494" width="9.109375" style="381" customWidth="1"/>
    <col min="7495" max="7495" width="9.44140625" style="381" customWidth="1"/>
    <col min="7496" max="7496" width="8.44140625" style="381" customWidth="1"/>
    <col min="7497" max="7497" width="10.109375" style="381" customWidth="1"/>
    <col min="7498" max="7498" width="8.44140625" style="381" customWidth="1"/>
    <col min="7499" max="7499" width="7.5546875" style="381" customWidth="1"/>
    <col min="7500" max="7500" width="10.88671875" style="381" customWidth="1"/>
    <col min="7501" max="7501" width="9.109375" style="381" customWidth="1"/>
    <col min="7502" max="7502" width="9.5546875" style="381" customWidth="1"/>
    <col min="7503" max="7503" width="9.6640625" style="381" customWidth="1"/>
    <col min="7504" max="7504" width="9.109375" style="381" customWidth="1"/>
    <col min="7505" max="7505" width="9" style="381" customWidth="1"/>
    <col min="7506" max="7506" width="9.109375" style="381" customWidth="1"/>
    <col min="7507" max="7507" width="9.6640625" style="381" customWidth="1"/>
    <col min="7508" max="7510" width="9.33203125" style="381" customWidth="1"/>
    <col min="7511" max="7511" width="9.109375" style="381" customWidth="1"/>
    <col min="7512" max="7515" width="10" style="381" customWidth="1"/>
    <col min="7516" max="7516" width="8.6640625" style="381" customWidth="1"/>
    <col min="7517" max="7518" width="10" style="381" customWidth="1"/>
    <col min="7519" max="7519" width="8.88671875" style="381" customWidth="1"/>
    <col min="7520" max="7522" width="9.109375" style="381" customWidth="1"/>
    <col min="7523" max="7523" width="9" style="381" customWidth="1"/>
    <col min="7524" max="7525" width="10" style="381" customWidth="1"/>
    <col min="7526" max="7526" width="9.5546875" style="381" customWidth="1"/>
    <col min="7527" max="7527" width="9.109375" style="381" customWidth="1"/>
    <col min="7528" max="7528" width="9" style="381" customWidth="1"/>
    <col min="7529" max="7531" width="9.44140625" style="381" customWidth="1"/>
    <col min="7532" max="7534" width="9.33203125" style="381" customWidth="1"/>
    <col min="7535" max="7535" width="9" style="381" customWidth="1"/>
    <col min="7536" max="7536" width="10.109375" style="381" customWidth="1"/>
    <col min="7537" max="7537" width="9.5546875" style="381" customWidth="1"/>
    <col min="7538" max="7538" width="9.44140625" style="381" customWidth="1"/>
    <col min="7539" max="7539" width="10.109375" style="381" customWidth="1"/>
    <col min="7540" max="7540" width="9.33203125" style="381" customWidth="1"/>
    <col min="7541" max="7541" width="9.44140625" style="381" customWidth="1"/>
    <col min="7542" max="7542" width="10.109375" style="381" customWidth="1"/>
    <col min="7543" max="7543" width="9.109375" style="381" customWidth="1"/>
    <col min="7544" max="7546" width="9" style="381" customWidth="1"/>
    <col min="7547" max="7547" width="8.88671875" style="381" customWidth="1"/>
    <col min="7548" max="7551" width="10.109375" style="381" customWidth="1"/>
    <col min="7552" max="7552" width="10" style="381" customWidth="1"/>
    <col min="7553" max="7553" width="9.88671875" style="381" customWidth="1"/>
    <col min="7554" max="7555" width="9.44140625" style="381" customWidth="1"/>
    <col min="7556" max="7556" width="8.6640625" style="381" customWidth="1"/>
    <col min="7557" max="7557" width="9.109375" style="381" customWidth="1"/>
    <col min="7558" max="7558" width="8.109375" style="381" customWidth="1"/>
    <col min="7559" max="7559" width="8.6640625" style="381" customWidth="1"/>
    <col min="7560" max="7560" width="10.109375" style="381" customWidth="1"/>
    <col min="7561" max="7561" width="9.33203125" style="381" customWidth="1"/>
    <col min="7562" max="7566" width="10.109375" style="381" customWidth="1"/>
    <col min="7567" max="7567" width="9.109375" style="381" customWidth="1"/>
    <col min="7568" max="7568" width="8.88671875" style="381" customWidth="1"/>
    <col min="7569" max="7569" width="9" style="381" customWidth="1"/>
    <col min="7570" max="7570" width="8.44140625" style="381" customWidth="1"/>
    <col min="7571" max="7571" width="9" style="381" customWidth="1"/>
    <col min="7572" max="7578" width="10.109375" style="381" customWidth="1"/>
    <col min="7579" max="7579" width="8.5546875" style="381" customWidth="1"/>
    <col min="7580" max="7580" width="8.33203125" style="381" customWidth="1"/>
    <col min="7581" max="7581" width="9.5546875" style="381" customWidth="1"/>
    <col min="7582" max="7582" width="8.33203125" style="381" customWidth="1"/>
    <col min="7583" max="7583" width="8.6640625" style="381" customWidth="1"/>
    <col min="7584" max="7681" width="9.109375" style="381"/>
    <col min="7682" max="7682" width="5.109375" style="381" bestFit="1" customWidth="1"/>
    <col min="7683" max="7683" width="79" style="381" customWidth="1"/>
    <col min="7684" max="7684" width="10.5546875" style="381" customWidth="1"/>
    <col min="7685" max="7685" width="9.88671875" style="381" customWidth="1"/>
    <col min="7686" max="7686" width="10.6640625" style="381" customWidth="1"/>
    <col min="7687" max="7687" width="11.6640625" style="381" customWidth="1"/>
    <col min="7688" max="7688" width="12.109375" style="381" customWidth="1"/>
    <col min="7689" max="7689" width="11.44140625" style="381" customWidth="1"/>
    <col min="7690" max="7691" width="9.6640625" style="381" customWidth="1"/>
    <col min="7692" max="7692" width="8.5546875" style="381" customWidth="1"/>
    <col min="7693" max="7693" width="8.109375" style="381" customWidth="1"/>
    <col min="7694" max="7694" width="9.33203125" style="381" customWidth="1"/>
    <col min="7695" max="7696" width="8.5546875" style="381" customWidth="1"/>
    <col min="7697" max="7697" width="9.88671875" style="381" customWidth="1"/>
    <col min="7698" max="7700" width="8.5546875" style="381" customWidth="1"/>
    <col min="7701" max="7701" width="9.5546875" style="381" customWidth="1"/>
    <col min="7702" max="7702" width="8.5546875" style="381" customWidth="1"/>
    <col min="7703" max="7703" width="9.44140625" style="381" customWidth="1"/>
    <col min="7704" max="7706" width="8.5546875" style="381" customWidth="1"/>
    <col min="7707" max="7707" width="9.44140625" style="381" customWidth="1"/>
    <col min="7708" max="7708" width="9.33203125" style="381" customWidth="1"/>
    <col min="7709" max="7709" width="9.44140625" style="381" customWidth="1"/>
    <col min="7710" max="7710" width="10" style="381" customWidth="1"/>
    <col min="7711" max="7711" width="8.109375" style="381" customWidth="1"/>
    <col min="7712" max="7712" width="10.88671875" style="381" customWidth="1"/>
    <col min="7713" max="7713" width="9.88671875" style="381" customWidth="1"/>
    <col min="7714" max="7714" width="10.109375" style="381" customWidth="1"/>
    <col min="7715" max="7715" width="9.33203125" style="381" customWidth="1"/>
    <col min="7716" max="7718" width="8.6640625" style="381" customWidth="1"/>
    <col min="7719" max="7719" width="7.44140625" style="381" customWidth="1"/>
    <col min="7720" max="7728" width="9.6640625" style="381" customWidth="1"/>
    <col min="7729" max="7729" width="8.5546875" style="381" customWidth="1"/>
    <col min="7730" max="7730" width="8.33203125" style="381" customWidth="1"/>
    <col min="7731" max="7731" width="9.6640625" style="381" customWidth="1"/>
    <col min="7732" max="7732" width="10.6640625" style="381" customWidth="1"/>
    <col min="7733" max="7735" width="9.6640625" style="381" customWidth="1"/>
    <col min="7736" max="7736" width="10.5546875" style="381" customWidth="1"/>
    <col min="7737" max="7739" width="9.6640625" style="381" customWidth="1"/>
    <col min="7740" max="7740" width="9" style="381" customWidth="1"/>
    <col min="7741" max="7741" width="9.6640625" style="381" customWidth="1"/>
    <col min="7742" max="7742" width="8.44140625" style="381" customWidth="1"/>
    <col min="7743" max="7743" width="8.6640625" style="381" customWidth="1"/>
    <col min="7744" max="7744" width="11.33203125" style="381" customWidth="1"/>
    <col min="7745" max="7745" width="9.44140625" style="381" customWidth="1"/>
    <col min="7746" max="7748" width="10.109375" style="381" customWidth="1"/>
    <col min="7749" max="7749" width="10" style="381" customWidth="1"/>
    <col min="7750" max="7750" width="9.109375" style="381" customWidth="1"/>
    <col min="7751" max="7751" width="9.44140625" style="381" customWidth="1"/>
    <col min="7752" max="7752" width="8.44140625" style="381" customWidth="1"/>
    <col min="7753" max="7753" width="10.109375" style="381" customWidth="1"/>
    <col min="7754" max="7754" width="8.44140625" style="381" customWidth="1"/>
    <col min="7755" max="7755" width="7.5546875" style="381" customWidth="1"/>
    <col min="7756" max="7756" width="10.88671875" style="381" customWidth="1"/>
    <col min="7757" max="7757" width="9.109375" style="381" customWidth="1"/>
    <col min="7758" max="7758" width="9.5546875" style="381" customWidth="1"/>
    <col min="7759" max="7759" width="9.6640625" style="381" customWidth="1"/>
    <col min="7760" max="7760" width="9.109375" style="381" customWidth="1"/>
    <col min="7761" max="7761" width="9" style="381" customWidth="1"/>
    <col min="7762" max="7762" width="9.109375" style="381" customWidth="1"/>
    <col min="7763" max="7763" width="9.6640625" style="381" customWidth="1"/>
    <col min="7764" max="7766" width="9.33203125" style="381" customWidth="1"/>
    <col min="7767" max="7767" width="9.109375" style="381" customWidth="1"/>
    <col min="7768" max="7771" width="10" style="381" customWidth="1"/>
    <col min="7772" max="7772" width="8.6640625" style="381" customWidth="1"/>
    <col min="7773" max="7774" width="10" style="381" customWidth="1"/>
    <col min="7775" max="7775" width="8.88671875" style="381" customWidth="1"/>
    <col min="7776" max="7778" width="9.109375" style="381" customWidth="1"/>
    <col min="7779" max="7779" width="9" style="381" customWidth="1"/>
    <col min="7780" max="7781" width="10" style="381" customWidth="1"/>
    <col min="7782" max="7782" width="9.5546875" style="381" customWidth="1"/>
    <col min="7783" max="7783" width="9.109375" style="381" customWidth="1"/>
    <col min="7784" max="7784" width="9" style="381" customWidth="1"/>
    <col min="7785" max="7787" width="9.44140625" style="381" customWidth="1"/>
    <col min="7788" max="7790" width="9.33203125" style="381" customWidth="1"/>
    <col min="7791" max="7791" width="9" style="381" customWidth="1"/>
    <col min="7792" max="7792" width="10.109375" style="381" customWidth="1"/>
    <col min="7793" max="7793" width="9.5546875" style="381" customWidth="1"/>
    <col min="7794" max="7794" width="9.44140625" style="381" customWidth="1"/>
    <col min="7795" max="7795" width="10.109375" style="381" customWidth="1"/>
    <col min="7796" max="7796" width="9.33203125" style="381" customWidth="1"/>
    <col min="7797" max="7797" width="9.44140625" style="381" customWidth="1"/>
    <col min="7798" max="7798" width="10.109375" style="381" customWidth="1"/>
    <col min="7799" max="7799" width="9.109375" style="381" customWidth="1"/>
    <col min="7800" max="7802" width="9" style="381" customWidth="1"/>
    <col min="7803" max="7803" width="8.88671875" style="381" customWidth="1"/>
    <col min="7804" max="7807" width="10.109375" style="381" customWidth="1"/>
    <col min="7808" max="7808" width="10" style="381" customWidth="1"/>
    <col min="7809" max="7809" width="9.88671875" style="381" customWidth="1"/>
    <col min="7810" max="7811" width="9.44140625" style="381" customWidth="1"/>
    <col min="7812" max="7812" width="8.6640625" style="381" customWidth="1"/>
    <col min="7813" max="7813" width="9.109375" style="381" customWidth="1"/>
    <col min="7814" max="7814" width="8.109375" style="381" customWidth="1"/>
    <col min="7815" max="7815" width="8.6640625" style="381" customWidth="1"/>
    <col min="7816" max="7816" width="10.109375" style="381" customWidth="1"/>
    <col min="7817" max="7817" width="9.33203125" style="381" customWidth="1"/>
    <col min="7818" max="7822" width="10.109375" style="381" customWidth="1"/>
    <col min="7823" max="7823" width="9.109375" style="381" customWidth="1"/>
    <col min="7824" max="7824" width="8.88671875" style="381" customWidth="1"/>
    <col min="7825" max="7825" width="9" style="381" customWidth="1"/>
    <col min="7826" max="7826" width="8.44140625" style="381" customWidth="1"/>
    <col min="7827" max="7827" width="9" style="381" customWidth="1"/>
    <col min="7828" max="7834" width="10.109375" style="381" customWidth="1"/>
    <col min="7835" max="7835" width="8.5546875" style="381" customWidth="1"/>
    <col min="7836" max="7836" width="8.33203125" style="381" customWidth="1"/>
    <col min="7837" max="7837" width="9.5546875" style="381" customWidth="1"/>
    <col min="7838" max="7838" width="8.33203125" style="381" customWidth="1"/>
    <col min="7839" max="7839" width="8.6640625" style="381" customWidth="1"/>
    <col min="7840" max="7937" width="9.109375" style="381"/>
    <col min="7938" max="7938" width="5.109375" style="381" bestFit="1" customWidth="1"/>
    <col min="7939" max="7939" width="79" style="381" customWidth="1"/>
    <col min="7940" max="7940" width="10.5546875" style="381" customWidth="1"/>
    <col min="7941" max="7941" width="9.88671875" style="381" customWidth="1"/>
    <col min="7942" max="7942" width="10.6640625" style="381" customWidth="1"/>
    <col min="7943" max="7943" width="11.6640625" style="381" customWidth="1"/>
    <col min="7944" max="7944" width="12.109375" style="381" customWidth="1"/>
    <col min="7945" max="7945" width="11.44140625" style="381" customWidth="1"/>
    <col min="7946" max="7947" width="9.6640625" style="381" customWidth="1"/>
    <col min="7948" max="7948" width="8.5546875" style="381" customWidth="1"/>
    <col min="7949" max="7949" width="8.109375" style="381" customWidth="1"/>
    <col min="7950" max="7950" width="9.33203125" style="381" customWidth="1"/>
    <col min="7951" max="7952" width="8.5546875" style="381" customWidth="1"/>
    <col min="7953" max="7953" width="9.88671875" style="381" customWidth="1"/>
    <col min="7954" max="7956" width="8.5546875" style="381" customWidth="1"/>
    <col min="7957" max="7957" width="9.5546875" style="381" customWidth="1"/>
    <col min="7958" max="7958" width="8.5546875" style="381" customWidth="1"/>
    <col min="7959" max="7959" width="9.44140625" style="381" customWidth="1"/>
    <col min="7960" max="7962" width="8.5546875" style="381" customWidth="1"/>
    <col min="7963" max="7963" width="9.44140625" style="381" customWidth="1"/>
    <col min="7964" max="7964" width="9.33203125" style="381" customWidth="1"/>
    <col min="7965" max="7965" width="9.44140625" style="381" customWidth="1"/>
    <col min="7966" max="7966" width="10" style="381" customWidth="1"/>
    <col min="7967" max="7967" width="8.109375" style="381" customWidth="1"/>
    <col min="7968" max="7968" width="10.88671875" style="381" customWidth="1"/>
    <col min="7969" max="7969" width="9.88671875" style="381" customWidth="1"/>
    <col min="7970" max="7970" width="10.109375" style="381" customWidth="1"/>
    <col min="7971" max="7971" width="9.33203125" style="381" customWidth="1"/>
    <col min="7972" max="7974" width="8.6640625" style="381" customWidth="1"/>
    <col min="7975" max="7975" width="7.44140625" style="381" customWidth="1"/>
    <col min="7976" max="7984" width="9.6640625" style="381" customWidth="1"/>
    <col min="7985" max="7985" width="8.5546875" style="381" customWidth="1"/>
    <col min="7986" max="7986" width="8.33203125" style="381" customWidth="1"/>
    <col min="7987" max="7987" width="9.6640625" style="381" customWidth="1"/>
    <col min="7988" max="7988" width="10.6640625" style="381" customWidth="1"/>
    <col min="7989" max="7991" width="9.6640625" style="381" customWidth="1"/>
    <col min="7992" max="7992" width="10.5546875" style="381" customWidth="1"/>
    <col min="7993" max="7995" width="9.6640625" style="381" customWidth="1"/>
    <col min="7996" max="7996" width="9" style="381" customWidth="1"/>
    <col min="7997" max="7997" width="9.6640625" style="381" customWidth="1"/>
    <col min="7998" max="7998" width="8.44140625" style="381" customWidth="1"/>
    <col min="7999" max="7999" width="8.6640625" style="381" customWidth="1"/>
    <col min="8000" max="8000" width="11.33203125" style="381" customWidth="1"/>
    <col min="8001" max="8001" width="9.44140625" style="381" customWidth="1"/>
    <col min="8002" max="8004" width="10.109375" style="381" customWidth="1"/>
    <col min="8005" max="8005" width="10" style="381" customWidth="1"/>
    <col min="8006" max="8006" width="9.109375" style="381" customWidth="1"/>
    <col min="8007" max="8007" width="9.44140625" style="381" customWidth="1"/>
    <col min="8008" max="8008" width="8.44140625" style="381" customWidth="1"/>
    <col min="8009" max="8009" width="10.109375" style="381" customWidth="1"/>
    <col min="8010" max="8010" width="8.44140625" style="381" customWidth="1"/>
    <col min="8011" max="8011" width="7.5546875" style="381" customWidth="1"/>
    <col min="8012" max="8012" width="10.88671875" style="381" customWidth="1"/>
    <col min="8013" max="8013" width="9.109375" style="381" customWidth="1"/>
    <col min="8014" max="8014" width="9.5546875" style="381" customWidth="1"/>
    <col min="8015" max="8015" width="9.6640625" style="381" customWidth="1"/>
    <col min="8016" max="8016" width="9.109375" style="381" customWidth="1"/>
    <col min="8017" max="8017" width="9" style="381" customWidth="1"/>
    <col min="8018" max="8018" width="9.109375" style="381" customWidth="1"/>
    <col min="8019" max="8019" width="9.6640625" style="381" customWidth="1"/>
    <col min="8020" max="8022" width="9.33203125" style="381" customWidth="1"/>
    <col min="8023" max="8023" width="9.109375" style="381" customWidth="1"/>
    <col min="8024" max="8027" width="10" style="381" customWidth="1"/>
    <col min="8028" max="8028" width="8.6640625" style="381" customWidth="1"/>
    <col min="8029" max="8030" width="10" style="381" customWidth="1"/>
    <col min="8031" max="8031" width="8.88671875" style="381" customWidth="1"/>
    <col min="8032" max="8034" width="9.109375" style="381" customWidth="1"/>
    <col min="8035" max="8035" width="9" style="381" customWidth="1"/>
    <col min="8036" max="8037" width="10" style="381" customWidth="1"/>
    <col min="8038" max="8038" width="9.5546875" style="381" customWidth="1"/>
    <col min="8039" max="8039" width="9.109375" style="381" customWidth="1"/>
    <col min="8040" max="8040" width="9" style="381" customWidth="1"/>
    <col min="8041" max="8043" width="9.44140625" style="381" customWidth="1"/>
    <col min="8044" max="8046" width="9.33203125" style="381" customWidth="1"/>
    <col min="8047" max="8047" width="9" style="381" customWidth="1"/>
    <col min="8048" max="8048" width="10.109375" style="381" customWidth="1"/>
    <col min="8049" max="8049" width="9.5546875" style="381" customWidth="1"/>
    <col min="8050" max="8050" width="9.44140625" style="381" customWidth="1"/>
    <col min="8051" max="8051" width="10.109375" style="381" customWidth="1"/>
    <col min="8052" max="8052" width="9.33203125" style="381" customWidth="1"/>
    <col min="8053" max="8053" width="9.44140625" style="381" customWidth="1"/>
    <col min="8054" max="8054" width="10.109375" style="381" customWidth="1"/>
    <col min="8055" max="8055" width="9.109375" style="381" customWidth="1"/>
    <col min="8056" max="8058" width="9" style="381" customWidth="1"/>
    <col min="8059" max="8059" width="8.88671875" style="381" customWidth="1"/>
    <col min="8060" max="8063" width="10.109375" style="381" customWidth="1"/>
    <col min="8064" max="8064" width="10" style="381" customWidth="1"/>
    <col min="8065" max="8065" width="9.88671875" style="381" customWidth="1"/>
    <col min="8066" max="8067" width="9.44140625" style="381" customWidth="1"/>
    <col min="8068" max="8068" width="8.6640625" style="381" customWidth="1"/>
    <col min="8069" max="8069" width="9.109375" style="381" customWidth="1"/>
    <col min="8070" max="8070" width="8.109375" style="381" customWidth="1"/>
    <col min="8071" max="8071" width="8.6640625" style="381" customWidth="1"/>
    <col min="8072" max="8072" width="10.109375" style="381" customWidth="1"/>
    <col min="8073" max="8073" width="9.33203125" style="381" customWidth="1"/>
    <col min="8074" max="8078" width="10.109375" style="381" customWidth="1"/>
    <col min="8079" max="8079" width="9.109375" style="381" customWidth="1"/>
    <col min="8080" max="8080" width="8.88671875" style="381" customWidth="1"/>
    <col min="8081" max="8081" width="9" style="381" customWidth="1"/>
    <col min="8082" max="8082" width="8.44140625" style="381" customWidth="1"/>
    <col min="8083" max="8083" width="9" style="381" customWidth="1"/>
    <col min="8084" max="8090" width="10.109375" style="381" customWidth="1"/>
    <col min="8091" max="8091" width="8.5546875" style="381" customWidth="1"/>
    <col min="8092" max="8092" width="8.33203125" style="381" customWidth="1"/>
    <col min="8093" max="8093" width="9.5546875" style="381" customWidth="1"/>
    <col min="8094" max="8094" width="8.33203125" style="381" customWidth="1"/>
    <col min="8095" max="8095" width="8.6640625" style="381" customWidth="1"/>
    <col min="8096" max="8193" width="9.109375" style="381"/>
    <col min="8194" max="8194" width="5.109375" style="381" bestFit="1" customWidth="1"/>
    <col min="8195" max="8195" width="79" style="381" customWidth="1"/>
    <col min="8196" max="8196" width="10.5546875" style="381" customWidth="1"/>
    <col min="8197" max="8197" width="9.88671875" style="381" customWidth="1"/>
    <col min="8198" max="8198" width="10.6640625" style="381" customWidth="1"/>
    <col min="8199" max="8199" width="11.6640625" style="381" customWidth="1"/>
    <col min="8200" max="8200" width="12.109375" style="381" customWidth="1"/>
    <col min="8201" max="8201" width="11.44140625" style="381" customWidth="1"/>
    <col min="8202" max="8203" width="9.6640625" style="381" customWidth="1"/>
    <col min="8204" max="8204" width="8.5546875" style="381" customWidth="1"/>
    <col min="8205" max="8205" width="8.109375" style="381" customWidth="1"/>
    <col min="8206" max="8206" width="9.33203125" style="381" customWidth="1"/>
    <col min="8207" max="8208" width="8.5546875" style="381" customWidth="1"/>
    <col min="8209" max="8209" width="9.88671875" style="381" customWidth="1"/>
    <col min="8210" max="8212" width="8.5546875" style="381" customWidth="1"/>
    <col min="8213" max="8213" width="9.5546875" style="381" customWidth="1"/>
    <col min="8214" max="8214" width="8.5546875" style="381" customWidth="1"/>
    <col min="8215" max="8215" width="9.44140625" style="381" customWidth="1"/>
    <col min="8216" max="8218" width="8.5546875" style="381" customWidth="1"/>
    <col min="8219" max="8219" width="9.44140625" style="381" customWidth="1"/>
    <col min="8220" max="8220" width="9.33203125" style="381" customWidth="1"/>
    <col min="8221" max="8221" width="9.44140625" style="381" customWidth="1"/>
    <col min="8222" max="8222" width="10" style="381" customWidth="1"/>
    <col min="8223" max="8223" width="8.109375" style="381" customWidth="1"/>
    <col min="8224" max="8224" width="10.88671875" style="381" customWidth="1"/>
    <col min="8225" max="8225" width="9.88671875" style="381" customWidth="1"/>
    <col min="8226" max="8226" width="10.109375" style="381" customWidth="1"/>
    <col min="8227" max="8227" width="9.33203125" style="381" customWidth="1"/>
    <col min="8228" max="8230" width="8.6640625" style="381" customWidth="1"/>
    <col min="8231" max="8231" width="7.44140625" style="381" customWidth="1"/>
    <col min="8232" max="8240" width="9.6640625" style="381" customWidth="1"/>
    <col min="8241" max="8241" width="8.5546875" style="381" customWidth="1"/>
    <col min="8242" max="8242" width="8.33203125" style="381" customWidth="1"/>
    <col min="8243" max="8243" width="9.6640625" style="381" customWidth="1"/>
    <col min="8244" max="8244" width="10.6640625" style="381" customWidth="1"/>
    <col min="8245" max="8247" width="9.6640625" style="381" customWidth="1"/>
    <col min="8248" max="8248" width="10.5546875" style="381" customWidth="1"/>
    <col min="8249" max="8251" width="9.6640625" style="381" customWidth="1"/>
    <col min="8252" max="8252" width="9" style="381" customWidth="1"/>
    <col min="8253" max="8253" width="9.6640625" style="381" customWidth="1"/>
    <col min="8254" max="8254" width="8.44140625" style="381" customWidth="1"/>
    <col min="8255" max="8255" width="8.6640625" style="381" customWidth="1"/>
    <col min="8256" max="8256" width="11.33203125" style="381" customWidth="1"/>
    <col min="8257" max="8257" width="9.44140625" style="381" customWidth="1"/>
    <col min="8258" max="8260" width="10.109375" style="381" customWidth="1"/>
    <col min="8261" max="8261" width="10" style="381" customWidth="1"/>
    <col min="8262" max="8262" width="9.109375" style="381" customWidth="1"/>
    <col min="8263" max="8263" width="9.44140625" style="381" customWidth="1"/>
    <col min="8264" max="8264" width="8.44140625" style="381" customWidth="1"/>
    <col min="8265" max="8265" width="10.109375" style="381" customWidth="1"/>
    <col min="8266" max="8266" width="8.44140625" style="381" customWidth="1"/>
    <col min="8267" max="8267" width="7.5546875" style="381" customWidth="1"/>
    <col min="8268" max="8268" width="10.88671875" style="381" customWidth="1"/>
    <col min="8269" max="8269" width="9.109375" style="381" customWidth="1"/>
    <col min="8270" max="8270" width="9.5546875" style="381" customWidth="1"/>
    <col min="8271" max="8271" width="9.6640625" style="381" customWidth="1"/>
    <col min="8272" max="8272" width="9.109375" style="381" customWidth="1"/>
    <col min="8273" max="8273" width="9" style="381" customWidth="1"/>
    <col min="8274" max="8274" width="9.109375" style="381" customWidth="1"/>
    <col min="8275" max="8275" width="9.6640625" style="381" customWidth="1"/>
    <col min="8276" max="8278" width="9.33203125" style="381" customWidth="1"/>
    <col min="8279" max="8279" width="9.109375" style="381" customWidth="1"/>
    <col min="8280" max="8283" width="10" style="381" customWidth="1"/>
    <col min="8284" max="8284" width="8.6640625" style="381" customWidth="1"/>
    <col min="8285" max="8286" width="10" style="381" customWidth="1"/>
    <col min="8287" max="8287" width="8.88671875" style="381" customWidth="1"/>
    <col min="8288" max="8290" width="9.109375" style="381" customWidth="1"/>
    <col min="8291" max="8291" width="9" style="381" customWidth="1"/>
    <col min="8292" max="8293" width="10" style="381" customWidth="1"/>
    <col min="8294" max="8294" width="9.5546875" style="381" customWidth="1"/>
    <col min="8295" max="8295" width="9.109375" style="381" customWidth="1"/>
    <col min="8296" max="8296" width="9" style="381" customWidth="1"/>
    <col min="8297" max="8299" width="9.44140625" style="381" customWidth="1"/>
    <col min="8300" max="8302" width="9.33203125" style="381" customWidth="1"/>
    <col min="8303" max="8303" width="9" style="381" customWidth="1"/>
    <col min="8304" max="8304" width="10.109375" style="381" customWidth="1"/>
    <col min="8305" max="8305" width="9.5546875" style="381" customWidth="1"/>
    <col min="8306" max="8306" width="9.44140625" style="381" customWidth="1"/>
    <col min="8307" max="8307" width="10.109375" style="381" customWidth="1"/>
    <col min="8308" max="8308" width="9.33203125" style="381" customWidth="1"/>
    <col min="8309" max="8309" width="9.44140625" style="381" customWidth="1"/>
    <col min="8310" max="8310" width="10.109375" style="381" customWidth="1"/>
    <col min="8311" max="8311" width="9.109375" style="381" customWidth="1"/>
    <col min="8312" max="8314" width="9" style="381" customWidth="1"/>
    <col min="8315" max="8315" width="8.88671875" style="381" customWidth="1"/>
    <col min="8316" max="8319" width="10.109375" style="381" customWidth="1"/>
    <col min="8320" max="8320" width="10" style="381" customWidth="1"/>
    <col min="8321" max="8321" width="9.88671875" style="381" customWidth="1"/>
    <col min="8322" max="8323" width="9.44140625" style="381" customWidth="1"/>
    <col min="8324" max="8324" width="8.6640625" style="381" customWidth="1"/>
    <col min="8325" max="8325" width="9.109375" style="381" customWidth="1"/>
    <col min="8326" max="8326" width="8.109375" style="381" customWidth="1"/>
    <col min="8327" max="8327" width="8.6640625" style="381" customWidth="1"/>
    <col min="8328" max="8328" width="10.109375" style="381" customWidth="1"/>
    <col min="8329" max="8329" width="9.33203125" style="381" customWidth="1"/>
    <col min="8330" max="8334" width="10.109375" style="381" customWidth="1"/>
    <col min="8335" max="8335" width="9.109375" style="381" customWidth="1"/>
    <col min="8336" max="8336" width="8.88671875" style="381" customWidth="1"/>
    <col min="8337" max="8337" width="9" style="381" customWidth="1"/>
    <col min="8338" max="8338" width="8.44140625" style="381" customWidth="1"/>
    <col min="8339" max="8339" width="9" style="381" customWidth="1"/>
    <col min="8340" max="8346" width="10.109375" style="381" customWidth="1"/>
    <col min="8347" max="8347" width="8.5546875" style="381" customWidth="1"/>
    <col min="8348" max="8348" width="8.33203125" style="381" customWidth="1"/>
    <col min="8349" max="8349" width="9.5546875" style="381" customWidth="1"/>
    <col min="8350" max="8350" width="8.33203125" style="381" customWidth="1"/>
    <col min="8351" max="8351" width="8.6640625" style="381" customWidth="1"/>
    <col min="8352" max="8449" width="9.109375" style="381"/>
    <col min="8450" max="8450" width="5.109375" style="381" bestFit="1" customWidth="1"/>
    <col min="8451" max="8451" width="79" style="381" customWidth="1"/>
    <col min="8452" max="8452" width="10.5546875" style="381" customWidth="1"/>
    <col min="8453" max="8453" width="9.88671875" style="381" customWidth="1"/>
    <col min="8454" max="8454" width="10.6640625" style="381" customWidth="1"/>
    <col min="8455" max="8455" width="11.6640625" style="381" customWidth="1"/>
    <col min="8456" max="8456" width="12.109375" style="381" customWidth="1"/>
    <col min="8457" max="8457" width="11.44140625" style="381" customWidth="1"/>
    <col min="8458" max="8459" width="9.6640625" style="381" customWidth="1"/>
    <col min="8460" max="8460" width="8.5546875" style="381" customWidth="1"/>
    <col min="8461" max="8461" width="8.109375" style="381" customWidth="1"/>
    <col min="8462" max="8462" width="9.33203125" style="381" customWidth="1"/>
    <col min="8463" max="8464" width="8.5546875" style="381" customWidth="1"/>
    <col min="8465" max="8465" width="9.88671875" style="381" customWidth="1"/>
    <col min="8466" max="8468" width="8.5546875" style="381" customWidth="1"/>
    <col min="8469" max="8469" width="9.5546875" style="381" customWidth="1"/>
    <col min="8470" max="8470" width="8.5546875" style="381" customWidth="1"/>
    <col min="8471" max="8471" width="9.44140625" style="381" customWidth="1"/>
    <col min="8472" max="8474" width="8.5546875" style="381" customWidth="1"/>
    <col min="8475" max="8475" width="9.44140625" style="381" customWidth="1"/>
    <col min="8476" max="8476" width="9.33203125" style="381" customWidth="1"/>
    <col min="8477" max="8477" width="9.44140625" style="381" customWidth="1"/>
    <col min="8478" max="8478" width="10" style="381" customWidth="1"/>
    <col min="8479" max="8479" width="8.109375" style="381" customWidth="1"/>
    <col min="8480" max="8480" width="10.88671875" style="381" customWidth="1"/>
    <col min="8481" max="8481" width="9.88671875" style="381" customWidth="1"/>
    <col min="8482" max="8482" width="10.109375" style="381" customWidth="1"/>
    <col min="8483" max="8483" width="9.33203125" style="381" customWidth="1"/>
    <col min="8484" max="8486" width="8.6640625" style="381" customWidth="1"/>
    <col min="8487" max="8487" width="7.44140625" style="381" customWidth="1"/>
    <col min="8488" max="8496" width="9.6640625" style="381" customWidth="1"/>
    <col min="8497" max="8497" width="8.5546875" style="381" customWidth="1"/>
    <col min="8498" max="8498" width="8.33203125" style="381" customWidth="1"/>
    <col min="8499" max="8499" width="9.6640625" style="381" customWidth="1"/>
    <col min="8500" max="8500" width="10.6640625" style="381" customWidth="1"/>
    <col min="8501" max="8503" width="9.6640625" style="381" customWidth="1"/>
    <col min="8504" max="8504" width="10.5546875" style="381" customWidth="1"/>
    <col min="8505" max="8507" width="9.6640625" style="381" customWidth="1"/>
    <col min="8508" max="8508" width="9" style="381" customWidth="1"/>
    <col min="8509" max="8509" width="9.6640625" style="381" customWidth="1"/>
    <col min="8510" max="8510" width="8.44140625" style="381" customWidth="1"/>
    <col min="8511" max="8511" width="8.6640625" style="381" customWidth="1"/>
    <col min="8512" max="8512" width="11.33203125" style="381" customWidth="1"/>
    <col min="8513" max="8513" width="9.44140625" style="381" customWidth="1"/>
    <col min="8514" max="8516" width="10.109375" style="381" customWidth="1"/>
    <col min="8517" max="8517" width="10" style="381" customWidth="1"/>
    <col min="8518" max="8518" width="9.109375" style="381" customWidth="1"/>
    <col min="8519" max="8519" width="9.44140625" style="381" customWidth="1"/>
    <col min="8520" max="8520" width="8.44140625" style="381" customWidth="1"/>
    <col min="8521" max="8521" width="10.109375" style="381" customWidth="1"/>
    <col min="8522" max="8522" width="8.44140625" style="381" customWidth="1"/>
    <col min="8523" max="8523" width="7.5546875" style="381" customWidth="1"/>
    <col min="8524" max="8524" width="10.88671875" style="381" customWidth="1"/>
    <col min="8525" max="8525" width="9.109375" style="381" customWidth="1"/>
    <col min="8526" max="8526" width="9.5546875" style="381" customWidth="1"/>
    <col min="8527" max="8527" width="9.6640625" style="381" customWidth="1"/>
    <col min="8528" max="8528" width="9.109375" style="381" customWidth="1"/>
    <col min="8529" max="8529" width="9" style="381" customWidth="1"/>
    <col min="8530" max="8530" width="9.109375" style="381" customWidth="1"/>
    <col min="8531" max="8531" width="9.6640625" style="381" customWidth="1"/>
    <col min="8532" max="8534" width="9.33203125" style="381" customWidth="1"/>
    <col min="8535" max="8535" width="9.109375" style="381" customWidth="1"/>
    <col min="8536" max="8539" width="10" style="381" customWidth="1"/>
    <col min="8540" max="8540" width="8.6640625" style="381" customWidth="1"/>
    <col min="8541" max="8542" width="10" style="381" customWidth="1"/>
    <col min="8543" max="8543" width="8.88671875" style="381" customWidth="1"/>
    <col min="8544" max="8546" width="9.109375" style="381" customWidth="1"/>
    <col min="8547" max="8547" width="9" style="381" customWidth="1"/>
    <col min="8548" max="8549" width="10" style="381" customWidth="1"/>
    <col min="8550" max="8550" width="9.5546875" style="381" customWidth="1"/>
    <col min="8551" max="8551" width="9.109375" style="381" customWidth="1"/>
    <col min="8552" max="8552" width="9" style="381" customWidth="1"/>
    <col min="8553" max="8555" width="9.44140625" style="381" customWidth="1"/>
    <col min="8556" max="8558" width="9.33203125" style="381" customWidth="1"/>
    <col min="8559" max="8559" width="9" style="381" customWidth="1"/>
    <col min="8560" max="8560" width="10.109375" style="381" customWidth="1"/>
    <col min="8561" max="8561" width="9.5546875" style="381" customWidth="1"/>
    <col min="8562" max="8562" width="9.44140625" style="381" customWidth="1"/>
    <col min="8563" max="8563" width="10.109375" style="381" customWidth="1"/>
    <col min="8564" max="8564" width="9.33203125" style="381" customWidth="1"/>
    <col min="8565" max="8565" width="9.44140625" style="381" customWidth="1"/>
    <col min="8566" max="8566" width="10.109375" style="381" customWidth="1"/>
    <col min="8567" max="8567" width="9.109375" style="381" customWidth="1"/>
    <col min="8568" max="8570" width="9" style="381" customWidth="1"/>
    <col min="8571" max="8571" width="8.88671875" style="381" customWidth="1"/>
    <col min="8572" max="8575" width="10.109375" style="381" customWidth="1"/>
    <col min="8576" max="8576" width="10" style="381" customWidth="1"/>
    <col min="8577" max="8577" width="9.88671875" style="381" customWidth="1"/>
    <col min="8578" max="8579" width="9.44140625" style="381" customWidth="1"/>
    <col min="8580" max="8580" width="8.6640625" style="381" customWidth="1"/>
    <col min="8581" max="8581" width="9.109375" style="381" customWidth="1"/>
    <col min="8582" max="8582" width="8.109375" style="381" customWidth="1"/>
    <col min="8583" max="8583" width="8.6640625" style="381" customWidth="1"/>
    <col min="8584" max="8584" width="10.109375" style="381" customWidth="1"/>
    <col min="8585" max="8585" width="9.33203125" style="381" customWidth="1"/>
    <col min="8586" max="8590" width="10.109375" style="381" customWidth="1"/>
    <col min="8591" max="8591" width="9.109375" style="381" customWidth="1"/>
    <col min="8592" max="8592" width="8.88671875" style="381" customWidth="1"/>
    <col min="8593" max="8593" width="9" style="381" customWidth="1"/>
    <col min="8594" max="8594" width="8.44140625" style="381" customWidth="1"/>
    <col min="8595" max="8595" width="9" style="381" customWidth="1"/>
    <col min="8596" max="8602" width="10.109375" style="381" customWidth="1"/>
    <col min="8603" max="8603" width="8.5546875" style="381" customWidth="1"/>
    <col min="8604" max="8604" width="8.33203125" style="381" customWidth="1"/>
    <col min="8605" max="8605" width="9.5546875" style="381" customWidth="1"/>
    <col min="8606" max="8606" width="8.33203125" style="381" customWidth="1"/>
    <col min="8607" max="8607" width="8.6640625" style="381" customWidth="1"/>
    <col min="8608" max="8705" width="9.109375" style="381"/>
    <col min="8706" max="8706" width="5.109375" style="381" bestFit="1" customWidth="1"/>
    <col min="8707" max="8707" width="79" style="381" customWidth="1"/>
    <col min="8708" max="8708" width="10.5546875" style="381" customWidth="1"/>
    <col min="8709" max="8709" width="9.88671875" style="381" customWidth="1"/>
    <col min="8710" max="8710" width="10.6640625" style="381" customWidth="1"/>
    <col min="8711" max="8711" width="11.6640625" style="381" customWidth="1"/>
    <col min="8712" max="8712" width="12.109375" style="381" customWidth="1"/>
    <col min="8713" max="8713" width="11.44140625" style="381" customWidth="1"/>
    <col min="8714" max="8715" width="9.6640625" style="381" customWidth="1"/>
    <col min="8716" max="8716" width="8.5546875" style="381" customWidth="1"/>
    <col min="8717" max="8717" width="8.109375" style="381" customWidth="1"/>
    <col min="8718" max="8718" width="9.33203125" style="381" customWidth="1"/>
    <col min="8719" max="8720" width="8.5546875" style="381" customWidth="1"/>
    <col min="8721" max="8721" width="9.88671875" style="381" customWidth="1"/>
    <col min="8722" max="8724" width="8.5546875" style="381" customWidth="1"/>
    <col min="8725" max="8725" width="9.5546875" style="381" customWidth="1"/>
    <col min="8726" max="8726" width="8.5546875" style="381" customWidth="1"/>
    <col min="8727" max="8727" width="9.44140625" style="381" customWidth="1"/>
    <col min="8728" max="8730" width="8.5546875" style="381" customWidth="1"/>
    <col min="8731" max="8731" width="9.44140625" style="381" customWidth="1"/>
    <col min="8732" max="8732" width="9.33203125" style="381" customWidth="1"/>
    <col min="8733" max="8733" width="9.44140625" style="381" customWidth="1"/>
    <col min="8734" max="8734" width="10" style="381" customWidth="1"/>
    <col min="8735" max="8735" width="8.109375" style="381" customWidth="1"/>
    <col min="8736" max="8736" width="10.88671875" style="381" customWidth="1"/>
    <col min="8737" max="8737" width="9.88671875" style="381" customWidth="1"/>
    <col min="8738" max="8738" width="10.109375" style="381" customWidth="1"/>
    <col min="8739" max="8739" width="9.33203125" style="381" customWidth="1"/>
    <col min="8740" max="8742" width="8.6640625" style="381" customWidth="1"/>
    <col min="8743" max="8743" width="7.44140625" style="381" customWidth="1"/>
    <col min="8744" max="8752" width="9.6640625" style="381" customWidth="1"/>
    <col min="8753" max="8753" width="8.5546875" style="381" customWidth="1"/>
    <col min="8754" max="8754" width="8.33203125" style="381" customWidth="1"/>
    <col min="8755" max="8755" width="9.6640625" style="381" customWidth="1"/>
    <col min="8756" max="8756" width="10.6640625" style="381" customWidth="1"/>
    <col min="8757" max="8759" width="9.6640625" style="381" customWidth="1"/>
    <col min="8760" max="8760" width="10.5546875" style="381" customWidth="1"/>
    <col min="8761" max="8763" width="9.6640625" style="381" customWidth="1"/>
    <col min="8764" max="8764" width="9" style="381" customWidth="1"/>
    <col min="8765" max="8765" width="9.6640625" style="381" customWidth="1"/>
    <col min="8766" max="8766" width="8.44140625" style="381" customWidth="1"/>
    <col min="8767" max="8767" width="8.6640625" style="381" customWidth="1"/>
    <col min="8768" max="8768" width="11.33203125" style="381" customWidth="1"/>
    <col min="8769" max="8769" width="9.44140625" style="381" customWidth="1"/>
    <col min="8770" max="8772" width="10.109375" style="381" customWidth="1"/>
    <col min="8773" max="8773" width="10" style="381" customWidth="1"/>
    <col min="8774" max="8774" width="9.109375" style="381" customWidth="1"/>
    <col min="8775" max="8775" width="9.44140625" style="381" customWidth="1"/>
    <col min="8776" max="8776" width="8.44140625" style="381" customWidth="1"/>
    <col min="8777" max="8777" width="10.109375" style="381" customWidth="1"/>
    <col min="8778" max="8778" width="8.44140625" style="381" customWidth="1"/>
    <col min="8779" max="8779" width="7.5546875" style="381" customWidth="1"/>
    <col min="8780" max="8780" width="10.88671875" style="381" customWidth="1"/>
    <col min="8781" max="8781" width="9.109375" style="381" customWidth="1"/>
    <col min="8782" max="8782" width="9.5546875" style="381" customWidth="1"/>
    <col min="8783" max="8783" width="9.6640625" style="381" customWidth="1"/>
    <col min="8784" max="8784" width="9.109375" style="381" customWidth="1"/>
    <col min="8785" max="8785" width="9" style="381" customWidth="1"/>
    <col min="8786" max="8786" width="9.109375" style="381" customWidth="1"/>
    <col min="8787" max="8787" width="9.6640625" style="381" customWidth="1"/>
    <col min="8788" max="8790" width="9.33203125" style="381" customWidth="1"/>
    <col min="8791" max="8791" width="9.109375" style="381" customWidth="1"/>
    <col min="8792" max="8795" width="10" style="381" customWidth="1"/>
    <col min="8796" max="8796" width="8.6640625" style="381" customWidth="1"/>
    <col min="8797" max="8798" width="10" style="381" customWidth="1"/>
    <col min="8799" max="8799" width="8.88671875" style="381" customWidth="1"/>
    <col min="8800" max="8802" width="9.109375" style="381" customWidth="1"/>
    <col min="8803" max="8803" width="9" style="381" customWidth="1"/>
    <col min="8804" max="8805" width="10" style="381" customWidth="1"/>
    <col min="8806" max="8806" width="9.5546875" style="381" customWidth="1"/>
    <col min="8807" max="8807" width="9.109375" style="381" customWidth="1"/>
    <col min="8808" max="8808" width="9" style="381" customWidth="1"/>
    <col min="8809" max="8811" width="9.44140625" style="381" customWidth="1"/>
    <col min="8812" max="8814" width="9.33203125" style="381" customWidth="1"/>
    <col min="8815" max="8815" width="9" style="381" customWidth="1"/>
    <col min="8816" max="8816" width="10.109375" style="381" customWidth="1"/>
    <col min="8817" max="8817" width="9.5546875" style="381" customWidth="1"/>
    <col min="8818" max="8818" width="9.44140625" style="381" customWidth="1"/>
    <col min="8819" max="8819" width="10.109375" style="381" customWidth="1"/>
    <col min="8820" max="8820" width="9.33203125" style="381" customWidth="1"/>
    <col min="8821" max="8821" width="9.44140625" style="381" customWidth="1"/>
    <col min="8822" max="8822" width="10.109375" style="381" customWidth="1"/>
    <col min="8823" max="8823" width="9.109375" style="381" customWidth="1"/>
    <col min="8824" max="8826" width="9" style="381" customWidth="1"/>
    <col min="8827" max="8827" width="8.88671875" style="381" customWidth="1"/>
    <col min="8828" max="8831" width="10.109375" style="381" customWidth="1"/>
    <col min="8832" max="8832" width="10" style="381" customWidth="1"/>
    <col min="8833" max="8833" width="9.88671875" style="381" customWidth="1"/>
    <col min="8834" max="8835" width="9.44140625" style="381" customWidth="1"/>
    <col min="8836" max="8836" width="8.6640625" style="381" customWidth="1"/>
    <col min="8837" max="8837" width="9.109375" style="381" customWidth="1"/>
    <col min="8838" max="8838" width="8.109375" style="381" customWidth="1"/>
    <col min="8839" max="8839" width="8.6640625" style="381" customWidth="1"/>
    <col min="8840" max="8840" width="10.109375" style="381" customWidth="1"/>
    <col min="8841" max="8841" width="9.33203125" style="381" customWidth="1"/>
    <col min="8842" max="8846" width="10.109375" style="381" customWidth="1"/>
    <col min="8847" max="8847" width="9.109375" style="381" customWidth="1"/>
    <col min="8848" max="8848" width="8.88671875" style="381" customWidth="1"/>
    <col min="8849" max="8849" width="9" style="381" customWidth="1"/>
    <col min="8850" max="8850" width="8.44140625" style="381" customWidth="1"/>
    <col min="8851" max="8851" width="9" style="381" customWidth="1"/>
    <col min="8852" max="8858" width="10.109375" style="381" customWidth="1"/>
    <col min="8859" max="8859" width="8.5546875" style="381" customWidth="1"/>
    <col min="8860" max="8860" width="8.33203125" style="381" customWidth="1"/>
    <col min="8861" max="8861" width="9.5546875" style="381" customWidth="1"/>
    <col min="8862" max="8862" width="8.33203125" style="381" customWidth="1"/>
    <col min="8863" max="8863" width="8.6640625" style="381" customWidth="1"/>
    <col min="8864" max="8961" width="9.109375" style="381"/>
    <col min="8962" max="8962" width="5.109375" style="381" bestFit="1" customWidth="1"/>
    <col min="8963" max="8963" width="79" style="381" customWidth="1"/>
    <col min="8964" max="8964" width="10.5546875" style="381" customWidth="1"/>
    <col min="8965" max="8965" width="9.88671875" style="381" customWidth="1"/>
    <col min="8966" max="8966" width="10.6640625" style="381" customWidth="1"/>
    <col min="8967" max="8967" width="11.6640625" style="381" customWidth="1"/>
    <col min="8968" max="8968" width="12.109375" style="381" customWidth="1"/>
    <col min="8969" max="8969" width="11.44140625" style="381" customWidth="1"/>
    <col min="8970" max="8971" width="9.6640625" style="381" customWidth="1"/>
    <col min="8972" max="8972" width="8.5546875" style="381" customWidth="1"/>
    <col min="8973" max="8973" width="8.109375" style="381" customWidth="1"/>
    <col min="8974" max="8974" width="9.33203125" style="381" customWidth="1"/>
    <col min="8975" max="8976" width="8.5546875" style="381" customWidth="1"/>
    <col min="8977" max="8977" width="9.88671875" style="381" customWidth="1"/>
    <col min="8978" max="8980" width="8.5546875" style="381" customWidth="1"/>
    <col min="8981" max="8981" width="9.5546875" style="381" customWidth="1"/>
    <col min="8982" max="8982" width="8.5546875" style="381" customWidth="1"/>
    <col min="8983" max="8983" width="9.44140625" style="381" customWidth="1"/>
    <col min="8984" max="8986" width="8.5546875" style="381" customWidth="1"/>
    <col min="8987" max="8987" width="9.44140625" style="381" customWidth="1"/>
    <col min="8988" max="8988" width="9.33203125" style="381" customWidth="1"/>
    <col min="8989" max="8989" width="9.44140625" style="381" customWidth="1"/>
    <col min="8990" max="8990" width="10" style="381" customWidth="1"/>
    <col min="8991" max="8991" width="8.109375" style="381" customWidth="1"/>
    <col min="8992" max="8992" width="10.88671875" style="381" customWidth="1"/>
    <col min="8993" max="8993" width="9.88671875" style="381" customWidth="1"/>
    <col min="8994" max="8994" width="10.109375" style="381" customWidth="1"/>
    <col min="8995" max="8995" width="9.33203125" style="381" customWidth="1"/>
    <col min="8996" max="8998" width="8.6640625" style="381" customWidth="1"/>
    <col min="8999" max="8999" width="7.44140625" style="381" customWidth="1"/>
    <col min="9000" max="9008" width="9.6640625" style="381" customWidth="1"/>
    <col min="9009" max="9009" width="8.5546875" style="381" customWidth="1"/>
    <col min="9010" max="9010" width="8.33203125" style="381" customWidth="1"/>
    <col min="9011" max="9011" width="9.6640625" style="381" customWidth="1"/>
    <col min="9012" max="9012" width="10.6640625" style="381" customWidth="1"/>
    <col min="9013" max="9015" width="9.6640625" style="381" customWidth="1"/>
    <col min="9016" max="9016" width="10.5546875" style="381" customWidth="1"/>
    <col min="9017" max="9019" width="9.6640625" style="381" customWidth="1"/>
    <col min="9020" max="9020" width="9" style="381" customWidth="1"/>
    <col min="9021" max="9021" width="9.6640625" style="381" customWidth="1"/>
    <col min="9022" max="9022" width="8.44140625" style="381" customWidth="1"/>
    <col min="9023" max="9023" width="8.6640625" style="381" customWidth="1"/>
    <col min="9024" max="9024" width="11.33203125" style="381" customWidth="1"/>
    <col min="9025" max="9025" width="9.44140625" style="381" customWidth="1"/>
    <col min="9026" max="9028" width="10.109375" style="381" customWidth="1"/>
    <col min="9029" max="9029" width="10" style="381" customWidth="1"/>
    <col min="9030" max="9030" width="9.109375" style="381" customWidth="1"/>
    <col min="9031" max="9031" width="9.44140625" style="381" customWidth="1"/>
    <col min="9032" max="9032" width="8.44140625" style="381" customWidth="1"/>
    <col min="9033" max="9033" width="10.109375" style="381" customWidth="1"/>
    <col min="9034" max="9034" width="8.44140625" style="381" customWidth="1"/>
    <col min="9035" max="9035" width="7.5546875" style="381" customWidth="1"/>
    <col min="9036" max="9036" width="10.88671875" style="381" customWidth="1"/>
    <col min="9037" max="9037" width="9.109375" style="381" customWidth="1"/>
    <col min="9038" max="9038" width="9.5546875" style="381" customWidth="1"/>
    <col min="9039" max="9039" width="9.6640625" style="381" customWidth="1"/>
    <col min="9040" max="9040" width="9.109375" style="381" customWidth="1"/>
    <col min="9041" max="9041" width="9" style="381" customWidth="1"/>
    <col min="9042" max="9042" width="9.109375" style="381" customWidth="1"/>
    <col min="9043" max="9043" width="9.6640625" style="381" customWidth="1"/>
    <col min="9044" max="9046" width="9.33203125" style="381" customWidth="1"/>
    <col min="9047" max="9047" width="9.109375" style="381" customWidth="1"/>
    <col min="9048" max="9051" width="10" style="381" customWidth="1"/>
    <col min="9052" max="9052" width="8.6640625" style="381" customWidth="1"/>
    <col min="9053" max="9054" width="10" style="381" customWidth="1"/>
    <col min="9055" max="9055" width="8.88671875" style="381" customWidth="1"/>
    <col min="9056" max="9058" width="9.109375" style="381" customWidth="1"/>
    <col min="9059" max="9059" width="9" style="381" customWidth="1"/>
    <col min="9060" max="9061" width="10" style="381" customWidth="1"/>
    <col min="9062" max="9062" width="9.5546875" style="381" customWidth="1"/>
    <col min="9063" max="9063" width="9.109375" style="381" customWidth="1"/>
    <col min="9064" max="9064" width="9" style="381" customWidth="1"/>
    <col min="9065" max="9067" width="9.44140625" style="381" customWidth="1"/>
    <col min="9068" max="9070" width="9.33203125" style="381" customWidth="1"/>
    <col min="9071" max="9071" width="9" style="381" customWidth="1"/>
    <col min="9072" max="9072" width="10.109375" style="381" customWidth="1"/>
    <col min="9073" max="9073" width="9.5546875" style="381" customWidth="1"/>
    <col min="9074" max="9074" width="9.44140625" style="381" customWidth="1"/>
    <col min="9075" max="9075" width="10.109375" style="381" customWidth="1"/>
    <col min="9076" max="9076" width="9.33203125" style="381" customWidth="1"/>
    <col min="9077" max="9077" width="9.44140625" style="381" customWidth="1"/>
    <col min="9078" max="9078" width="10.109375" style="381" customWidth="1"/>
    <col min="9079" max="9079" width="9.109375" style="381" customWidth="1"/>
    <col min="9080" max="9082" width="9" style="381" customWidth="1"/>
    <col min="9083" max="9083" width="8.88671875" style="381" customWidth="1"/>
    <col min="9084" max="9087" width="10.109375" style="381" customWidth="1"/>
    <col min="9088" max="9088" width="10" style="381" customWidth="1"/>
    <col min="9089" max="9089" width="9.88671875" style="381" customWidth="1"/>
    <col min="9090" max="9091" width="9.44140625" style="381" customWidth="1"/>
    <col min="9092" max="9092" width="8.6640625" style="381" customWidth="1"/>
    <col min="9093" max="9093" width="9.109375" style="381" customWidth="1"/>
    <col min="9094" max="9094" width="8.109375" style="381" customWidth="1"/>
    <col min="9095" max="9095" width="8.6640625" style="381" customWidth="1"/>
    <col min="9096" max="9096" width="10.109375" style="381" customWidth="1"/>
    <col min="9097" max="9097" width="9.33203125" style="381" customWidth="1"/>
    <col min="9098" max="9102" width="10.109375" style="381" customWidth="1"/>
    <col min="9103" max="9103" width="9.109375" style="381" customWidth="1"/>
    <col min="9104" max="9104" width="8.88671875" style="381" customWidth="1"/>
    <col min="9105" max="9105" width="9" style="381" customWidth="1"/>
    <col min="9106" max="9106" width="8.44140625" style="381" customWidth="1"/>
    <col min="9107" max="9107" width="9" style="381" customWidth="1"/>
    <col min="9108" max="9114" width="10.109375" style="381" customWidth="1"/>
    <col min="9115" max="9115" width="8.5546875" style="381" customWidth="1"/>
    <col min="9116" max="9116" width="8.33203125" style="381" customWidth="1"/>
    <col min="9117" max="9117" width="9.5546875" style="381" customWidth="1"/>
    <col min="9118" max="9118" width="8.33203125" style="381" customWidth="1"/>
    <col min="9119" max="9119" width="8.6640625" style="381" customWidth="1"/>
    <col min="9120" max="9217" width="9.109375" style="381"/>
    <col min="9218" max="9218" width="5.109375" style="381" bestFit="1" customWidth="1"/>
    <col min="9219" max="9219" width="79" style="381" customWidth="1"/>
    <col min="9220" max="9220" width="10.5546875" style="381" customWidth="1"/>
    <col min="9221" max="9221" width="9.88671875" style="381" customWidth="1"/>
    <col min="9222" max="9222" width="10.6640625" style="381" customWidth="1"/>
    <col min="9223" max="9223" width="11.6640625" style="381" customWidth="1"/>
    <col min="9224" max="9224" width="12.109375" style="381" customWidth="1"/>
    <col min="9225" max="9225" width="11.44140625" style="381" customWidth="1"/>
    <col min="9226" max="9227" width="9.6640625" style="381" customWidth="1"/>
    <col min="9228" max="9228" width="8.5546875" style="381" customWidth="1"/>
    <col min="9229" max="9229" width="8.109375" style="381" customWidth="1"/>
    <col min="9230" max="9230" width="9.33203125" style="381" customWidth="1"/>
    <col min="9231" max="9232" width="8.5546875" style="381" customWidth="1"/>
    <col min="9233" max="9233" width="9.88671875" style="381" customWidth="1"/>
    <col min="9234" max="9236" width="8.5546875" style="381" customWidth="1"/>
    <col min="9237" max="9237" width="9.5546875" style="381" customWidth="1"/>
    <col min="9238" max="9238" width="8.5546875" style="381" customWidth="1"/>
    <col min="9239" max="9239" width="9.44140625" style="381" customWidth="1"/>
    <col min="9240" max="9242" width="8.5546875" style="381" customWidth="1"/>
    <col min="9243" max="9243" width="9.44140625" style="381" customWidth="1"/>
    <col min="9244" max="9244" width="9.33203125" style="381" customWidth="1"/>
    <col min="9245" max="9245" width="9.44140625" style="381" customWidth="1"/>
    <col min="9246" max="9246" width="10" style="381" customWidth="1"/>
    <col min="9247" max="9247" width="8.109375" style="381" customWidth="1"/>
    <col min="9248" max="9248" width="10.88671875" style="381" customWidth="1"/>
    <col min="9249" max="9249" width="9.88671875" style="381" customWidth="1"/>
    <col min="9250" max="9250" width="10.109375" style="381" customWidth="1"/>
    <col min="9251" max="9251" width="9.33203125" style="381" customWidth="1"/>
    <col min="9252" max="9254" width="8.6640625" style="381" customWidth="1"/>
    <col min="9255" max="9255" width="7.44140625" style="381" customWidth="1"/>
    <col min="9256" max="9264" width="9.6640625" style="381" customWidth="1"/>
    <col min="9265" max="9265" width="8.5546875" style="381" customWidth="1"/>
    <col min="9266" max="9266" width="8.33203125" style="381" customWidth="1"/>
    <col min="9267" max="9267" width="9.6640625" style="381" customWidth="1"/>
    <col min="9268" max="9268" width="10.6640625" style="381" customWidth="1"/>
    <col min="9269" max="9271" width="9.6640625" style="381" customWidth="1"/>
    <col min="9272" max="9272" width="10.5546875" style="381" customWidth="1"/>
    <col min="9273" max="9275" width="9.6640625" style="381" customWidth="1"/>
    <col min="9276" max="9276" width="9" style="381" customWidth="1"/>
    <col min="9277" max="9277" width="9.6640625" style="381" customWidth="1"/>
    <col min="9278" max="9278" width="8.44140625" style="381" customWidth="1"/>
    <col min="9279" max="9279" width="8.6640625" style="381" customWidth="1"/>
    <col min="9280" max="9280" width="11.33203125" style="381" customWidth="1"/>
    <col min="9281" max="9281" width="9.44140625" style="381" customWidth="1"/>
    <col min="9282" max="9284" width="10.109375" style="381" customWidth="1"/>
    <col min="9285" max="9285" width="10" style="381" customWidth="1"/>
    <col min="9286" max="9286" width="9.109375" style="381" customWidth="1"/>
    <col min="9287" max="9287" width="9.44140625" style="381" customWidth="1"/>
    <col min="9288" max="9288" width="8.44140625" style="381" customWidth="1"/>
    <col min="9289" max="9289" width="10.109375" style="381" customWidth="1"/>
    <col min="9290" max="9290" width="8.44140625" style="381" customWidth="1"/>
    <col min="9291" max="9291" width="7.5546875" style="381" customWidth="1"/>
    <col min="9292" max="9292" width="10.88671875" style="381" customWidth="1"/>
    <col min="9293" max="9293" width="9.109375" style="381" customWidth="1"/>
    <col min="9294" max="9294" width="9.5546875" style="381" customWidth="1"/>
    <col min="9295" max="9295" width="9.6640625" style="381" customWidth="1"/>
    <col min="9296" max="9296" width="9.109375" style="381" customWidth="1"/>
    <col min="9297" max="9297" width="9" style="381" customWidth="1"/>
    <col min="9298" max="9298" width="9.109375" style="381" customWidth="1"/>
    <col min="9299" max="9299" width="9.6640625" style="381" customWidth="1"/>
    <col min="9300" max="9302" width="9.33203125" style="381" customWidth="1"/>
    <col min="9303" max="9303" width="9.109375" style="381" customWidth="1"/>
    <col min="9304" max="9307" width="10" style="381" customWidth="1"/>
    <col min="9308" max="9308" width="8.6640625" style="381" customWidth="1"/>
    <col min="9309" max="9310" width="10" style="381" customWidth="1"/>
    <col min="9311" max="9311" width="8.88671875" style="381" customWidth="1"/>
    <col min="9312" max="9314" width="9.109375" style="381" customWidth="1"/>
    <col min="9315" max="9315" width="9" style="381" customWidth="1"/>
    <col min="9316" max="9317" width="10" style="381" customWidth="1"/>
    <col min="9318" max="9318" width="9.5546875" style="381" customWidth="1"/>
    <col min="9319" max="9319" width="9.109375" style="381" customWidth="1"/>
    <col min="9320" max="9320" width="9" style="381" customWidth="1"/>
    <col min="9321" max="9323" width="9.44140625" style="381" customWidth="1"/>
    <col min="9324" max="9326" width="9.33203125" style="381" customWidth="1"/>
    <col min="9327" max="9327" width="9" style="381" customWidth="1"/>
    <col min="9328" max="9328" width="10.109375" style="381" customWidth="1"/>
    <col min="9329" max="9329" width="9.5546875" style="381" customWidth="1"/>
    <col min="9330" max="9330" width="9.44140625" style="381" customWidth="1"/>
    <col min="9331" max="9331" width="10.109375" style="381" customWidth="1"/>
    <col min="9332" max="9332" width="9.33203125" style="381" customWidth="1"/>
    <col min="9333" max="9333" width="9.44140625" style="381" customWidth="1"/>
    <col min="9334" max="9334" width="10.109375" style="381" customWidth="1"/>
    <col min="9335" max="9335" width="9.109375" style="381" customWidth="1"/>
    <col min="9336" max="9338" width="9" style="381" customWidth="1"/>
    <col min="9339" max="9339" width="8.88671875" style="381" customWidth="1"/>
    <col min="9340" max="9343" width="10.109375" style="381" customWidth="1"/>
    <col min="9344" max="9344" width="10" style="381" customWidth="1"/>
    <col min="9345" max="9345" width="9.88671875" style="381" customWidth="1"/>
    <col min="9346" max="9347" width="9.44140625" style="381" customWidth="1"/>
    <col min="9348" max="9348" width="8.6640625" style="381" customWidth="1"/>
    <col min="9349" max="9349" width="9.109375" style="381" customWidth="1"/>
    <col min="9350" max="9350" width="8.109375" style="381" customWidth="1"/>
    <col min="9351" max="9351" width="8.6640625" style="381" customWidth="1"/>
    <col min="9352" max="9352" width="10.109375" style="381" customWidth="1"/>
    <col min="9353" max="9353" width="9.33203125" style="381" customWidth="1"/>
    <col min="9354" max="9358" width="10.109375" style="381" customWidth="1"/>
    <col min="9359" max="9359" width="9.109375" style="381" customWidth="1"/>
    <col min="9360" max="9360" width="8.88671875" style="381" customWidth="1"/>
    <col min="9361" max="9361" width="9" style="381" customWidth="1"/>
    <col min="9362" max="9362" width="8.44140625" style="381" customWidth="1"/>
    <col min="9363" max="9363" width="9" style="381" customWidth="1"/>
    <col min="9364" max="9370" width="10.109375" style="381" customWidth="1"/>
    <col min="9371" max="9371" width="8.5546875" style="381" customWidth="1"/>
    <col min="9372" max="9372" width="8.33203125" style="381" customWidth="1"/>
    <col min="9373" max="9373" width="9.5546875" style="381" customWidth="1"/>
    <col min="9374" max="9374" width="8.33203125" style="381" customWidth="1"/>
    <col min="9375" max="9375" width="8.6640625" style="381" customWidth="1"/>
    <col min="9376" max="9473" width="9.109375" style="381"/>
    <col min="9474" max="9474" width="5.109375" style="381" bestFit="1" customWidth="1"/>
    <col min="9475" max="9475" width="79" style="381" customWidth="1"/>
    <col min="9476" max="9476" width="10.5546875" style="381" customWidth="1"/>
    <col min="9477" max="9477" width="9.88671875" style="381" customWidth="1"/>
    <col min="9478" max="9478" width="10.6640625" style="381" customWidth="1"/>
    <col min="9479" max="9479" width="11.6640625" style="381" customWidth="1"/>
    <col min="9480" max="9480" width="12.109375" style="381" customWidth="1"/>
    <col min="9481" max="9481" width="11.44140625" style="381" customWidth="1"/>
    <col min="9482" max="9483" width="9.6640625" style="381" customWidth="1"/>
    <col min="9484" max="9484" width="8.5546875" style="381" customWidth="1"/>
    <col min="9485" max="9485" width="8.109375" style="381" customWidth="1"/>
    <col min="9486" max="9486" width="9.33203125" style="381" customWidth="1"/>
    <col min="9487" max="9488" width="8.5546875" style="381" customWidth="1"/>
    <col min="9489" max="9489" width="9.88671875" style="381" customWidth="1"/>
    <col min="9490" max="9492" width="8.5546875" style="381" customWidth="1"/>
    <col min="9493" max="9493" width="9.5546875" style="381" customWidth="1"/>
    <col min="9494" max="9494" width="8.5546875" style="381" customWidth="1"/>
    <col min="9495" max="9495" width="9.44140625" style="381" customWidth="1"/>
    <col min="9496" max="9498" width="8.5546875" style="381" customWidth="1"/>
    <col min="9499" max="9499" width="9.44140625" style="381" customWidth="1"/>
    <col min="9500" max="9500" width="9.33203125" style="381" customWidth="1"/>
    <col min="9501" max="9501" width="9.44140625" style="381" customWidth="1"/>
    <col min="9502" max="9502" width="10" style="381" customWidth="1"/>
    <col min="9503" max="9503" width="8.109375" style="381" customWidth="1"/>
    <col min="9504" max="9504" width="10.88671875" style="381" customWidth="1"/>
    <col min="9505" max="9505" width="9.88671875" style="381" customWidth="1"/>
    <col min="9506" max="9506" width="10.109375" style="381" customWidth="1"/>
    <col min="9507" max="9507" width="9.33203125" style="381" customWidth="1"/>
    <col min="9508" max="9510" width="8.6640625" style="381" customWidth="1"/>
    <col min="9511" max="9511" width="7.44140625" style="381" customWidth="1"/>
    <col min="9512" max="9520" width="9.6640625" style="381" customWidth="1"/>
    <col min="9521" max="9521" width="8.5546875" style="381" customWidth="1"/>
    <col min="9522" max="9522" width="8.33203125" style="381" customWidth="1"/>
    <col min="9523" max="9523" width="9.6640625" style="381" customWidth="1"/>
    <col min="9524" max="9524" width="10.6640625" style="381" customWidth="1"/>
    <col min="9525" max="9527" width="9.6640625" style="381" customWidth="1"/>
    <col min="9528" max="9528" width="10.5546875" style="381" customWidth="1"/>
    <col min="9529" max="9531" width="9.6640625" style="381" customWidth="1"/>
    <col min="9532" max="9532" width="9" style="381" customWidth="1"/>
    <col min="9533" max="9533" width="9.6640625" style="381" customWidth="1"/>
    <col min="9534" max="9534" width="8.44140625" style="381" customWidth="1"/>
    <col min="9535" max="9535" width="8.6640625" style="381" customWidth="1"/>
    <col min="9536" max="9536" width="11.33203125" style="381" customWidth="1"/>
    <col min="9537" max="9537" width="9.44140625" style="381" customWidth="1"/>
    <col min="9538" max="9540" width="10.109375" style="381" customWidth="1"/>
    <col min="9541" max="9541" width="10" style="381" customWidth="1"/>
    <col min="9542" max="9542" width="9.109375" style="381" customWidth="1"/>
    <col min="9543" max="9543" width="9.44140625" style="381" customWidth="1"/>
    <col min="9544" max="9544" width="8.44140625" style="381" customWidth="1"/>
    <col min="9545" max="9545" width="10.109375" style="381" customWidth="1"/>
    <col min="9546" max="9546" width="8.44140625" style="381" customWidth="1"/>
    <col min="9547" max="9547" width="7.5546875" style="381" customWidth="1"/>
    <col min="9548" max="9548" width="10.88671875" style="381" customWidth="1"/>
    <col min="9549" max="9549" width="9.109375" style="381" customWidth="1"/>
    <col min="9550" max="9550" width="9.5546875" style="381" customWidth="1"/>
    <col min="9551" max="9551" width="9.6640625" style="381" customWidth="1"/>
    <col min="9552" max="9552" width="9.109375" style="381" customWidth="1"/>
    <col min="9553" max="9553" width="9" style="381" customWidth="1"/>
    <col min="9554" max="9554" width="9.109375" style="381" customWidth="1"/>
    <col min="9555" max="9555" width="9.6640625" style="381" customWidth="1"/>
    <col min="9556" max="9558" width="9.33203125" style="381" customWidth="1"/>
    <col min="9559" max="9559" width="9.109375" style="381" customWidth="1"/>
    <col min="9560" max="9563" width="10" style="381" customWidth="1"/>
    <col min="9564" max="9564" width="8.6640625" style="381" customWidth="1"/>
    <col min="9565" max="9566" width="10" style="381" customWidth="1"/>
    <col min="9567" max="9567" width="8.88671875" style="381" customWidth="1"/>
    <col min="9568" max="9570" width="9.109375" style="381" customWidth="1"/>
    <col min="9571" max="9571" width="9" style="381" customWidth="1"/>
    <col min="9572" max="9573" width="10" style="381" customWidth="1"/>
    <col min="9574" max="9574" width="9.5546875" style="381" customWidth="1"/>
    <col min="9575" max="9575" width="9.109375" style="381" customWidth="1"/>
    <col min="9576" max="9576" width="9" style="381" customWidth="1"/>
    <col min="9577" max="9579" width="9.44140625" style="381" customWidth="1"/>
    <col min="9580" max="9582" width="9.33203125" style="381" customWidth="1"/>
    <col min="9583" max="9583" width="9" style="381" customWidth="1"/>
    <col min="9584" max="9584" width="10.109375" style="381" customWidth="1"/>
    <col min="9585" max="9585" width="9.5546875" style="381" customWidth="1"/>
    <col min="9586" max="9586" width="9.44140625" style="381" customWidth="1"/>
    <col min="9587" max="9587" width="10.109375" style="381" customWidth="1"/>
    <col min="9588" max="9588" width="9.33203125" style="381" customWidth="1"/>
    <col min="9589" max="9589" width="9.44140625" style="381" customWidth="1"/>
    <col min="9590" max="9590" width="10.109375" style="381" customWidth="1"/>
    <col min="9591" max="9591" width="9.109375" style="381" customWidth="1"/>
    <col min="9592" max="9594" width="9" style="381" customWidth="1"/>
    <col min="9595" max="9595" width="8.88671875" style="381" customWidth="1"/>
    <col min="9596" max="9599" width="10.109375" style="381" customWidth="1"/>
    <col min="9600" max="9600" width="10" style="381" customWidth="1"/>
    <col min="9601" max="9601" width="9.88671875" style="381" customWidth="1"/>
    <col min="9602" max="9603" width="9.44140625" style="381" customWidth="1"/>
    <col min="9604" max="9604" width="8.6640625" style="381" customWidth="1"/>
    <col min="9605" max="9605" width="9.109375" style="381" customWidth="1"/>
    <col min="9606" max="9606" width="8.109375" style="381" customWidth="1"/>
    <col min="9607" max="9607" width="8.6640625" style="381" customWidth="1"/>
    <col min="9608" max="9608" width="10.109375" style="381" customWidth="1"/>
    <col min="9609" max="9609" width="9.33203125" style="381" customWidth="1"/>
    <col min="9610" max="9614" width="10.109375" style="381" customWidth="1"/>
    <col min="9615" max="9615" width="9.109375" style="381" customWidth="1"/>
    <col min="9616" max="9616" width="8.88671875" style="381" customWidth="1"/>
    <col min="9617" max="9617" width="9" style="381" customWidth="1"/>
    <col min="9618" max="9618" width="8.44140625" style="381" customWidth="1"/>
    <col min="9619" max="9619" width="9" style="381" customWidth="1"/>
    <col min="9620" max="9626" width="10.109375" style="381" customWidth="1"/>
    <col min="9627" max="9627" width="8.5546875" style="381" customWidth="1"/>
    <col min="9628" max="9628" width="8.33203125" style="381" customWidth="1"/>
    <col min="9629" max="9629" width="9.5546875" style="381" customWidth="1"/>
    <col min="9630" max="9630" width="8.33203125" style="381" customWidth="1"/>
    <col min="9631" max="9631" width="8.6640625" style="381" customWidth="1"/>
    <col min="9632" max="9729" width="9.109375" style="381"/>
    <col min="9730" max="9730" width="5.109375" style="381" bestFit="1" customWidth="1"/>
    <col min="9731" max="9731" width="79" style="381" customWidth="1"/>
    <col min="9732" max="9732" width="10.5546875" style="381" customWidth="1"/>
    <col min="9733" max="9733" width="9.88671875" style="381" customWidth="1"/>
    <col min="9734" max="9734" width="10.6640625" style="381" customWidth="1"/>
    <col min="9735" max="9735" width="11.6640625" style="381" customWidth="1"/>
    <col min="9736" max="9736" width="12.109375" style="381" customWidth="1"/>
    <col min="9737" max="9737" width="11.44140625" style="381" customWidth="1"/>
    <col min="9738" max="9739" width="9.6640625" style="381" customWidth="1"/>
    <col min="9740" max="9740" width="8.5546875" style="381" customWidth="1"/>
    <col min="9741" max="9741" width="8.109375" style="381" customWidth="1"/>
    <col min="9742" max="9742" width="9.33203125" style="381" customWidth="1"/>
    <col min="9743" max="9744" width="8.5546875" style="381" customWidth="1"/>
    <col min="9745" max="9745" width="9.88671875" style="381" customWidth="1"/>
    <col min="9746" max="9748" width="8.5546875" style="381" customWidth="1"/>
    <col min="9749" max="9749" width="9.5546875" style="381" customWidth="1"/>
    <col min="9750" max="9750" width="8.5546875" style="381" customWidth="1"/>
    <col min="9751" max="9751" width="9.44140625" style="381" customWidth="1"/>
    <col min="9752" max="9754" width="8.5546875" style="381" customWidth="1"/>
    <col min="9755" max="9755" width="9.44140625" style="381" customWidth="1"/>
    <col min="9756" max="9756" width="9.33203125" style="381" customWidth="1"/>
    <col min="9757" max="9757" width="9.44140625" style="381" customWidth="1"/>
    <col min="9758" max="9758" width="10" style="381" customWidth="1"/>
    <col min="9759" max="9759" width="8.109375" style="381" customWidth="1"/>
    <col min="9760" max="9760" width="10.88671875" style="381" customWidth="1"/>
    <col min="9761" max="9761" width="9.88671875" style="381" customWidth="1"/>
    <col min="9762" max="9762" width="10.109375" style="381" customWidth="1"/>
    <col min="9763" max="9763" width="9.33203125" style="381" customWidth="1"/>
    <col min="9764" max="9766" width="8.6640625" style="381" customWidth="1"/>
    <col min="9767" max="9767" width="7.44140625" style="381" customWidth="1"/>
    <col min="9768" max="9776" width="9.6640625" style="381" customWidth="1"/>
    <col min="9777" max="9777" width="8.5546875" style="381" customWidth="1"/>
    <col min="9778" max="9778" width="8.33203125" style="381" customWidth="1"/>
    <col min="9779" max="9779" width="9.6640625" style="381" customWidth="1"/>
    <col min="9780" max="9780" width="10.6640625" style="381" customWidth="1"/>
    <col min="9781" max="9783" width="9.6640625" style="381" customWidth="1"/>
    <col min="9784" max="9784" width="10.5546875" style="381" customWidth="1"/>
    <col min="9785" max="9787" width="9.6640625" style="381" customWidth="1"/>
    <col min="9788" max="9788" width="9" style="381" customWidth="1"/>
    <col min="9789" max="9789" width="9.6640625" style="381" customWidth="1"/>
    <col min="9790" max="9790" width="8.44140625" style="381" customWidth="1"/>
    <col min="9791" max="9791" width="8.6640625" style="381" customWidth="1"/>
    <col min="9792" max="9792" width="11.33203125" style="381" customWidth="1"/>
    <col min="9793" max="9793" width="9.44140625" style="381" customWidth="1"/>
    <col min="9794" max="9796" width="10.109375" style="381" customWidth="1"/>
    <col min="9797" max="9797" width="10" style="381" customWidth="1"/>
    <col min="9798" max="9798" width="9.109375" style="381" customWidth="1"/>
    <col min="9799" max="9799" width="9.44140625" style="381" customWidth="1"/>
    <col min="9800" max="9800" width="8.44140625" style="381" customWidth="1"/>
    <col min="9801" max="9801" width="10.109375" style="381" customWidth="1"/>
    <col min="9802" max="9802" width="8.44140625" style="381" customWidth="1"/>
    <col min="9803" max="9803" width="7.5546875" style="381" customWidth="1"/>
    <col min="9804" max="9804" width="10.88671875" style="381" customWidth="1"/>
    <col min="9805" max="9805" width="9.109375" style="381" customWidth="1"/>
    <col min="9806" max="9806" width="9.5546875" style="381" customWidth="1"/>
    <col min="9807" max="9807" width="9.6640625" style="381" customWidth="1"/>
    <col min="9808" max="9808" width="9.109375" style="381" customWidth="1"/>
    <col min="9809" max="9809" width="9" style="381" customWidth="1"/>
    <col min="9810" max="9810" width="9.109375" style="381" customWidth="1"/>
    <col min="9811" max="9811" width="9.6640625" style="381" customWidth="1"/>
    <col min="9812" max="9814" width="9.33203125" style="381" customWidth="1"/>
    <col min="9815" max="9815" width="9.109375" style="381" customWidth="1"/>
    <col min="9816" max="9819" width="10" style="381" customWidth="1"/>
    <col min="9820" max="9820" width="8.6640625" style="381" customWidth="1"/>
    <col min="9821" max="9822" width="10" style="381" customWidth="1"/>
    <col min="9823" max="9823" width="8.88671875" style="381" customWidth="1"/>
    <col min="9824" max="9826" width="9.109375" style="381" customWidth="1"/>
    <col min="9827" max="9827" width="9" style="381" customWidth="1"/>
    <col min="9828" max="9829" width="10" style="381" customWidth="1"/>
    <col min="9830" max="9830" width="9.5546875" style="381" customWidth="1"/>
    <col min="9831" max="9831" width="9.109375" style="381" customWidth="1"/>
    <col min="9832" max="9832" width="9" style="381" customWidth="1"/>
    <col min="9833" max="9835" width="9.44140625" style="381" customWidth="1"/>
    <col min="9836" max="9838" width="9.33203125" style="381" customWidth="1"/>
    <col min="9839" max="9839" width="9" style="381" customWidth="1"/>
    <col min="9840" max="9840" width="10.109375" style="381" customWidth="1"/>
    <col min="9841" max="9841" width="9.5546875" style="381" customWidth="1"/>
    <col min="9842" max="9842" width="9.44140625" style="381" customWidth="1"/>
    <col min="9843" max="9843" width="10.109375" style="381" customWidth="1"/>
    <col min="9844" max="9844" width="9.33203125" style="381" customWidth="1"/>
    <col min="9845" max="9845" width="9.44140625" style="381" customWidth="1"/>
    <col min="9846" max="9846" width="10.109375" style="381" customWidth="1"/>
    <col min="9847" max="9847" width="9.109375" style="381" customWidth="1"/>
    <col min="9848" max="9850" width="9" style="381" customWidth="1"/>
    <col min="9851" max="9851" width="8.88671875" style="381" customWidth="1"/>
    <col min="9852" max="9855" width="10.109375" style="381" customWidth="1"/>
    <col min="9856" max="9856" width="10" style="381" customWidth="1"/>
    <col min="9857" max="9857" width="9.88671875" style="381" customWidth="1"/>
    <col min="9858" max="9859" width="9.44140625" style="381" customWidth="1"/>
    <col min="9860" max="9860" width="8.6640625" style="381" customWidth="1"/>
    <col min="9861" max="9861" width="9.109375" style="381" customWidth="1"/>
    <col min="9862" max="9862" width="8.109375" style="381" customWidth="1"/>
    <col min="9863" max="9863" width="8.6640625" style="381" customWidth="1"/>
    <col min="9864" max="9864" width="10.109375" style="381" customWidth="1"/>
    <col min="9865" max="9865" width="9.33203125" style="381" customWidth="1"/>
    <col min="9866" max="9870" width="10.109375" style="381" customWidth="1"/>
    <col min="9871" max="9871" width="9.109375" style="381" customWidth="1"/>
    <col min="9872" max="9872" width="8.88671875" style="381" customWidth="1"/>
    <col min="9873" max="9873" width="9" style="381" customWidth="1"/>
    <col min="9874" max="9874" width="8.44140625" style="381" customWidth="1"/>
    <col min="9875" max="9875" width="9" style="381" customWidth="1"/>
    <col min="9876" max="9882" width="10.109375" style="381" customWidth="1"/>
    <col min="9883" max="9883" width="8.5546875" style="381" customWidth="1"/>
    <col min="9884" max="9884" width="8.33203125" style="381" customWidth="1"/>
    <col min="9885" max="9885" width="9.5546875" style="381" customWidth="1"/>
    <col min="9886" max="9886" width="8.33203125" style="381" customWidth="1"/>
    <col min="9887" max="9887" width="8.6640625" style="381" customWidth="1"/>
    <col min="9888" max="9985" width="9.109375" style="381"/>
    <col min="9986" max="9986" width="5.109375" style="381" bestFit="1" customWidth="1"/>
    <col min="9987" max="9987" width="79" style="381" customWidth="1"/>
    <col min="9988" max="9988" width="10.5546875" style="381" customWidth="1"/>
    <col min="9989" max="9989" width="9.88671875" style="381" customWidth="1"/>
    <col min="9990" max="9990" width="10.6640625" style="381" customWidth="1"/>
    <col min="9991" max="9991" width="11.6640625" style="381" customWidth="1"/>
    <col min="9992" max="9992" width="12.109375" style="381" customWidth="1"/>
    <col min="9993" max="9993" width="11.44140625" style="381" customWidth="1"/>
    <col min="9994" max="9995" width="9.6640625" style="381" customWidth="1"/>
    <col min="9996" max="9996" width="8.5546875" style="381" customWidth="1"/>
    <col min="9997" max="9997" width="8.109375" style="381" customWidth="1"/>
    <col min="9998" max="9998" width="9.33203125" style="381" customWidth="1"/>
    <col min="9999" max="10000" width="8.5546875" style="381" customWidth="1"/>
    <col min="10001" max="10001" width="9.88671875" style="381" customWidth="1"/>
    <col min="10002" max="10004" width="8.5546875" style="381" customWidth="1"/>
    <col min="10005" max="10005" width="9.5546875" style="381" customWidth="1"/>
    <col min="10006" max="10006" width="8.5546875" style="381" customWidth="1"/>
    <col min="10007" max="10007" width="9.44140625" style="381" customWidth="1"/>
    <col min="10008" max="10010" width="8.5546875" style="381" customWidth="1"/>
    <col min="10011" max="10011" width="9.44140625" style="381" customWidth="1"/>
    <col min="10012" max="10012" width="9.33203125" style="381" customWidth="1"/>
    <col min="10013" max="10013" width="9.44140625" style="381" customWidth="1"/>
    <col min="10014" max="10014" width="10" style="381" customWidth="1"/>
    <col min="10015" max="10015" width="8.109375" style="381" customWidth="1"/>
    <col min="10016" max="10016" width="10.88671875" style="381" customWidth="1"/>
    <col min="10017" max="10017" width="9.88671875" style="381" customWidth="1"/>
    <col min="10018" max="10018" width="10.109375" style="381" customWidth="1"/>
    <col min="10019" max="10019" width="9.33203125" style="381" customWidth="1"/>
    <col min="10020" max="10022" width="8.6640625" style="381" customWidth="1"/>
    <col min="10023" max="10023" width="7.44140625" style="381" customWidth="1"/>
    <col min="10024" max="10032" width="9.6640625" style="381" customWidth="1"/>
    <col min="10033" max="10033" width="8.5546875" style="381" customWidth="1"/>
    <col min="10034" max="10034" width="8.33203125" style="381" customWidth="1"/>
    <col min="10035" max="10035" width="9.6640625" style="381" customWidth="1"/>
    <col min="10036" max="10036" width="10.6640625" style="381" customWidth="1"/>
    <col min="10037" max="10039" width="9.6640625" style="381" customWidth="1"/>
    <col min="10040" max="10040" width="10.5546875" style="381" customWidth="1"/>
    <col min="10041" max="10043" width="9.6640625" style="381" customWidth="1"/>
    <col min="10044" max="10044" width="9" style="381" customWidth="1"/>
    <col min="10045" max="10045" width="9.6640625" style="381" customWidth="1"/>
    <col min="10046" max="10046" width="8.44140625" style="381" customWidth="1"/>
    <col min="10047" max="10047" width="8.6640625" style="381" customWidth="1"/>
    <col min="10048" max="10048" width="11.33203125" style="381" customWidth="1"/>
    <col min="10049" max="10049" width="9.44140625" style="381" customWidth="1"/>
    <col min="10050" max="10052" width="10.109375" style="381" customWidth="1"/>
    <col min="10053" max="10053" width="10" style="381" customWidth="1"/>
    <col min="10054" max="10054" width="9.109375" style="381" customWidth="1"/>
    <col min="10055" max="10055" width="9.44140625" style="381" customWidth="1"/>
    <col min="10056" max="10056" width="8.44140625" style="381" customWidth="1"/>
    <col min="10057" max="10057" width="10.109375" style="381" customWidth="1"/>
    <col min="10058" max="10058" width="8.44140625" style="381" customWidth="1"/>
    <col min="10059" max="10059" width="7.5546875" style="381" customWidth="1"/>
    <col min="10060" max="10060" width="10.88671875" style="381" customWidth="1"/>
    <col min="10061" max="10061" width="9.109375" style="381" customWidth="1"/>
    <col min="10062" max="10062" width="9.5546875" style="381" customWidth="1"/>
    <col min="10063" max="10063" width="9.6640625" style="381" customWidth="1"/>
    <col min="10064" max="10064" width="9.109375" style="381" customWidth="1"/>
    <col min="10065" max="10065" width="9" style="381" customWidth="1"/>
    <col min="10066" max="10066" width="9.109375" style="381" customWidth="1"/>
    <col min="10067" max="10067" width="9.6640625" style="381" customWidth="1"/>
    <col min="10068" max="10070" width="9.33203125" style="381" customWidth="1"/>
    <col min="10071" max="10071" width="9.109375" style="381" customWidth="1"/>
    <col min="10072" max="10075" width="10" style="381" customWidth="1"/>
    <col min="10076" max="10076" width="8.6640625" style="381" customWidth="1"/>
    <col min="10077" max="10078" width="10" style="381" customWidth="1"/>
    <col min="10079" max="10079" width="8.88671875" style="381" customWidth="1"/>
    <col min="10080" max="10082" width="9.109375" style="381" customWidth="1"/>
    <col min="10083" max="10083" width="9" style="381" customWidth="1"/>
    <col min="10084" max="10085" width="10" style="381" customWidth="1"/>
    <col min="10086" max="10086" width="9.5546875" style="381" customWidth="1"/>
    <col min="10087" max="10087" width="9.109375" style="381" customWidth="1"/>
    <col min="10088" max="10088" width="9" style="381" customWidth="1"/>
    <col min="10089" max="10091" width="9.44140625" style="381" customWidth="1"/>
    <col min="10092" max="10094" width="9.33203125" style="381" customWidth="1"/>
    <col min="10095" max="10095" width="9" style="381" customWidth="1"/>
    <col min="10096" max="10096" width="10.109375" style="381" customWidth="1"/>
    <col min="10097" max="10097" width="9.5546875" style="381" customWidth="1"/>
    <col min="10098" max="10098" width="9.44140625" style="381" customWidth="1"/>
    <col min="10099" max="10099" width="10.109375" style="381" customWidth="1"/>
    <col min="10100" max="10100" width="9.33203125" style="381" customWidth="1"/>
    <col min="10101" max="10101" width="9.44140625" style="381" customWidth="1"/>
    <col min="10102" max="10102" width="10.109375" style="381" customWidth="1"/>
    <col min="10103" max="10103" width="9.109375" style="381" customWidth="1"/>
    <col min="10104" max="10106" width="9" style="381" customWidth="1"/>
    <col min="10107" max="10107" width="8.88671875" style="381" customWidth="1"/>
    <col min="10108" max="10111" width="10.109375" style="381" customWidth="1"/>
    <col min="10112" max="10112" width="10" style="381" customWidth="1"/>
    <col min="10113" max="10113" width="9.88671875" style="381" customWidth="1"/>
    <col min="10114" max="10115" width="9.44140625" style="381" customWidth="1"/>
    <col min="10116" max="10116" width="8.6640625" style="381" customWidth="1"/>
    <col min="10117" max="10117" width="9.109375" style="381" customWidth="1"/>
    <col min="10118" max="10118" width="8.109375" style="381" customWidth="1"/>
    <col min="10119" max="10119" width="8.6640625" style="381" customWidth="1"/>
    <col min="10120" max="10120" width="10.109375" style="381" customWidth="1"/>
    <col min="10121" max="10121" width="9.33203125" style="381" customWidth="1"/>
    <col min="10122" max="10126" width="10.109375" style="381" customWidth="1"/>
    <col min="10127" max="10127" width="9.109375" style="381" customWidth="1"/>
    <col min="10128" max="10128" width="8.88671875" style="381" customWidth="1"/>
    <col min="10129" max="10129" width="9" style="381" customWidth="1"/>
    <col min="10130" max="10130" width="8.44140625" style="381" customWidth="1"/>
    <col min="10131" max="10131" width="9" style="381" customWidth="1"/>
    <col min="10132" max="10138" width="10.109375" style="381" customWidth="1"/>
    <col min="10139" max="10139" width="8.5546875" style="381" customWidth="1"/>
    <col min="10140" max="10140" width="8.33203125" style="381" customWidth="1"/>
    <col min="10141" max="10141" width="9.5546875" style="381" customWidth="1"/>
    <col min="10142" max="10142" width="8.33203125" style="381" customWidth="1"/>
    <col min="10143" max="10143" width="8.6640625" style="381" customWidth="1"/>
    <col min="10144" max="10241" width="9.109375" style="381"/>
    <col min="10242" max="10242" width="5.109375" style="381" bestFit="1" customWidth="1"/>
    <col min="10243" max="10243" width="79" style="381" customWidth="1"/>
    <col min="10244" max="10244" width="10.5546875" style="381" customWidth="1"/>
    <col min="10245" max="10245" width="9.88671875" style="381" customWidth="1"/>
    <col min="10246" max="10246" width="10.6640625" style="381" customWidth="1"/>
    <col min="10247" max="10247" width="11.6640625" style="381" customWidth="1"/>
    <col min="10248" max="10248" width="12.109375" style="381" customWidth="1"/>
    <col min="10249" max="10249" width="11.44140625" style="381" customWidth="1"/>
    <col min="10250" max="10251" width="9.6640625" style="381" customWidth="1"/>
    <col min="10252" max="10252" width="8.5546875" style="381" customWidth="1"/>
    <col min="10253" max="10253" width="8.109375" style="381" customWidth="1"/>
    <col min="10254" max="10254" width="9.33203125" style="381" customWidth="1"/>
    <col min="10255" max="10256" width="8.5546875" style="381" customWidth="1"/>
    <col min="10257" max="10257" width="9.88671875" style="381" customWidth="1"/>
    <col min="10258" max="10260" width="8.5546875" style="381" customWidth="1"/>
    <col min="10261" max="10261" width="9.5546875" style="381" customWidth="1"/>
    <col min="10262" max="10262" width="8.5546875" style="381" customWidth="1"/>
    <col min="10263" max="10263" width="9.44140625" style="381" customWidth="1"/>
    <col min="10264" max="10266" width="8.5546875" style="381" customWidth="1"/>
    <col min="10267" max="10267" width="9.44140625" style="381" customWidth="1"/>
    <col min="10268" max="10268" width="9.33203125" style="381" customWidth="1"/>
    <col min="10269" max="10269" width="9.44140625" style="381" customWidth="1"/>
    <col min="10270" max="10270" width="10" style="381" customWidth="1"/>
    <col min="10271" max="10271" width="8.109375" style="381" customWidth="1"/>
    <col min="10272" max="10272" width="10.88671875" style="381" customWidth="1"/>
    <col min="10273" max="10273" width="9.88671875" style="381" customWidth="1"/>
    <col min="10274" max="10274" width="10.109375" style="381" customWidth="1"/>
    <col min="10275" max="10275" width="9.33203125" style="381" customWidth="1"/>
    <col min="10276" max="10278" width="8.6640625" style="381" customWidth="1"/>
    <col min="10279" max="10279" width="7.44140625" style="381" customWidth="1"/>
    <col min="10280" max="10288" width="9.6640625" style="381" customWidth="1"/>
    <col min="10289" max="10289" width="8.5546875" style="381" customWidth="1"/>
    <col min="10290" max="10290" width="8.33203125" style="381" customWidth="1"/>
    <col min="10291" max="10291" width="9.6640625" style="381" customWidth="1"/>
    <col min="10292" max="10292" width="10.6640625" style="381" customWidth="1"/>
    <col min="10293" max="10295" width="9.6640625" style="381" customWidth="1"/>
    <col min="10296" max="10296" width="10.5546875" style="381" customWidth="1"/>
    <col min="10297" max="10299" width="9.6640625" style="381" customWidth="1"/>
    <col min="10300" max="10300" width="9" style="381" customWidth="1"/>
    <col min="10301" max="10301" width="9.6640625" style="381" customWidth="1"/>
    <col min="10302" max="10302" width="8.44140625" style="381" customWidth="1"/>
    <col min="10303" max="10303" width="8.6640625" style="381" customWidth="1"/>
    <col min="10304" max="10304" width="11.33203125" style="381" customWidth="1"/>
    <col min="10305" max="10305" width="9.44140625" style="381" customWidth="1"/>
    <col min="10306" max="10308" width="10.109375" style="381" customWidth="1"/>
    <col min="10309" max="10309" width="10" style="381" customWidth="1"/>
    <col min="10310" max="10310" width="9.109375" style="381" customWidth="1"/>
    <col min="10311" max="10311" width="9.44140625" style="381" customWidth="1"/>
    <col min="10312" max="10312" width="8.44140625" style="381" customWidth="1"/>
    <col min="10313" max="10313" width="10.109375" style="381" customWidth="1"/>
    <col min="10314" max="10314" width="8.44140625" style="381" customWidth="1"/>
    <col min="10315" max="10315" width="7.5546875" style="381" customWidth="1"/>
    <col min="10316" max="10316" width="10.88671875" style="381" customWidth="1"/>
    <col min="10317" max="10317" width="9.109375" style="381" customWidth="1"/>
    <col min="10318" max="10318" width="9.5546875" style="381" customWidth="1"/>
    <col min="10319" max="10319" width="9.6640625" style="381" customWidth="1"/>
    <col min="10320" max="10320" width="9.109375" style="381" customWidth="1"/>
    <col min="10321" max="10321" width="9" style="381" customWidth="1"/>
    <col min="10322" max="10322" width="9.109375" style="381" customWidth="1"/>
    <col min="10323" max="10323" width="9.6640625" style="381" customWidth="1"/>
    <col min="10324" max="10326" width="9.33203125" style="381" customWidth="1"/>
    <col min="10327" max="10327" width="9.109375" style="381" customWidth="1"/>
    <col min="10328" max="10331" width="10" style="381" customWidth="1"/>
    <col min="10332" max="10332" width="8.6640625" style="381" customWidth="1"/>
    <col min="10333" max="10334" width="10" style="381" customWidth="1"/>
    <col min="10335" max="10335" width="8.88671875" style="381" customWidth="1"/>
    <col min="10336" max="10338" width="9.109375" style="381" customWidth="1"/>
    <col min="10339" max="10339" width="9" style="381" customWidth="1"/>
    <col min="10340" max="10341" width="10" style="381" customWidth="1"/>
    <col min="10342" max="10342" width="9.5546875" style="381" customWidth="1"/>
    <col min="10343" max="10343" width="9.109375" style="381" customWidth="1"/>
    <col min="10344" max="10344" width="9" style="381" customWidth="1"/>
    <col min="10345" max="10347" width="9.44140625" style="381" customWidth="1"/>
    <col min="10348" max="10350" width="9.33203125" style="381" customWidth="1"/>
    <col min="10351" max="10351" width="9" style="381" customWidth="1"/>
    <col min="10352" max="10352" width="10.109375" style="381" customWidth="1"/>
    <col min="10353" max="10353" width="9.5546875" style="381" customWidth="1"/>
    <col min="10354" max="10354" width="9.44140625" style="381" customWidth="1"/>
    <col min="10355" max="10355" width="10.109375" style="381" customWidth="1"/>
    <col min="10356" max="10356" width="9.33203125" style="381" customWidth="1"/>
    <col min="10357" max="10357" width="9.44140625" style="381" customWidth="1"/>
    <col min="10358" max="10358" width="10.109375" style="381" customWidth="1"/>
    <col min="10359" max="10359" width="9.109375" style="381" customWidth="1"/>
    <col min="10360" max="10362" width="9" style="381" customWidth="1"/>
    <col min="10363" max="10363" width="8.88671875" style="381" customWidth="1"/>
    <col min="10364" max="10367" width="10.109375" style="381" customWidth="1"/>
    <col min="10368" max="10368" width="10" style="381" customWidth="1"/>
    <col min="10369" max="10369" width="9.88671875" style="381" customWidth="1"/>
    <col min="10370" max="10371" width="9.44140625" style="381" customWidth="1"/>
    <col min="10372" max="10372" width="8.6640625" style="381" customWidth="1"/>
    <col min="10373" max="10373" width="9.109375" style="381" customWidth="1"/>
    <col min="10374" max="10374" width="8.109375" style="381" customWidth="1"/>
    <col min="10375" max="10375" width="8.6640625" style="381" customWidth="1"/>
    <col min="10376" max="10376" width="10.109375" style="381" customWidth="1"/>
    <col min="10377" max="10377" width="9.33203125" style="381" customWidth="1"/>
    <col min="10378" max="10382" width="10.109375" style="381" customWidth="1"/>
    <col min="10383" max="10383" width="9.109375" style="381" customWidth="1"/>
    <col min="10384" max="10384" width="8.88671875" style="381" customWidth="1"/>
    <col min="10385" max="10385" width="9" style="381" customWidth="1"/>
    <col min="10386" max="10386" width="8.44140625" style="381" customWidth="1"/>
    <col min="10387" max="10387" width="9" style="381" customWidth="1"/>
    <col min="10388" max="10394" width="10.109375" style="381" customWidth="1"/>
    <col min="10395" max="10395" width="8.5546875" style="381" customWidth="1"/>
    <col min="10396" max="10396" width="8.33203125" style="381" customWidth="1"/>
    <col min="10397" max="10397" width="9.5546875" style="381" customWidth="1"/>
    <col min="10398" max="10398" width="8.33203125" style="381" customWidth="1"/>
    <col min="10399" max="10399" width="8.6640625" style="381" customWidth="1"/>
    <col min="10400" max="10497" width="9.109375" style="381"/>
    <col min="10498" max="10498" width="5.109375" style="381" bestFit="1" customWidth="1"/>
    <col min="10499" max="10499" width="79" style="381" customWidth="1"/>
    <col min="10500" max="10500" width="10.5546875" style="381" customWidth="1"/>
    <col min="10501" max="10501" width="9.88671875" style="381" customWidth="1"/>
    <col min="10502" max="10502" width="10.6640625" style="381" customWidth="1"/>
    <col min="10503" max="10503" width="11.6640625" style="381" customWidth="1"/>
    <col min="10504" max="10504" width="12.109375" style="381" customWidth="1"/>
    <col min="10505" max="10505" width="11.44140625" style="381" customWidth="1"/>
    <col min="10506" max="10507" width="9.6640625" style="381" customWidth="1"/>
    <col min="10508" max="10508" width="8.5546875" style="381" customWidth="1"/>
    <col min="10509" max="10509" width="8.109375" style="381" customWidth="1"/>
    <col min="10510" max="10510" width="9.33203125" style="381" customWidth="1"/>
    <col min="10511" max="10512" width="8.5546875" style="381" customWidth="1"/>
    <col min="10513" max="10513" width="9.88671875" style="381" customWidth="1"/>
    <col min="10514" max="10516" width="8.5546875" style="381" customWidth="1"/>
    <col min="10517" max="10517" width="9.5546875" style="381" customWidth="1"/>
    <col min="10518" max="10518" width="8.5546875" style="381" customWidth="1"/>
    <col min="10519" max="10519" width="9.44140625" style="381" customWidth="1"/>
    <col min="10520" max="10522" width="8.5546875" style="381" customWidth="1"/>
    <col min="10523" max="10523" width="9.44140625" style="381" customWidth="1"/>
    <col min="10524" max="10524" width="9.33203125" style="381" customWidth="1"/>
    <col min="10525" max="10525" width="9.44140625" style="381" customWidth="1"/>
    <col min="10526" max="10526" width="10" style="381" customWidth="1"/>
    <col min="10527" max="10527" width="8.109375" style="381" customWidth="1"/>
    <col min="10528" max="10528" width="10.88671875" style="381" customWidth="1"/>
    <col min="10529" max="10529" width="9.88671875" style="381" customWidth="1"/>
    <col min="10530" max="10530" width="10.109375" style="381" customWidth="1"/>
    <col min="10531" max="10531" width="9.33203125" style="381" customWidth="1"/>
    <col min="10532" max="10534" width="8.6640625" style="381" customWidth="1"/>
    <col min="10535" max="10535" width="7.44140625" style="381" customWidth="1"/>
    <col min="10536" max="10544" width="9.6640625" style="381" customWidth="1"/>
    <col min="10545" max="10545" width="8.5546875" style="381" customWidth="1"/>
    <col min="10546" max="10546" width="8.33203125" style="381" customWidth="1"/>
    <col min="10547" max="10547" width="9.6640625" style="381" customWidth="1"/>
    <col min="10548" max="10548" width="10.6640625" style="381" customWidth="1"/>
    <col min="10549" max="10551" width="9.6640625" style="381" customWidth="1"/>
    <col min="10552" max="10552" width="10.5546875" style="381" customWidth="1"/>
    <col min="10553" max="10555" width="9.6640625" style="381" customWidth="1"/>
    <col min="10556" max="10556" width="9" style="381" customWidth="1"/>
    <col min="10557" max="10557" width="9.6640625" style="381" customWidth="1"/>
    <col min="10558" max="10558" width="8.44140625" style="381" customWidth="1"/>
    <col min="10559" max="10559" width="8.6640625" style="381" customWidth="1"/>
    <col min="10560" max="10560" width="11.33203125" style="381" customWidth="1"/>
    <col min="10561" max="10561" width="9.44140625" style="381" customWidth="1"/>
    <col min="10562" max="10564" width="10.109375" style="381" customWidth="1"/>
    <col min="10565" max="10565" width="10" style="381" customWidth="1"/>
    <col min="10566" max="10566" width="9.109375" style="381" customWidth="1"/>
    <col min="10567" max="10567" width="9.44140625" style="381" customWidth="1"/>
    <col min="10568" max="10568" width="8.44140625" style="381" customWidth="1"/>
    <col min="10569" max="10569" width="10.109375" style="381" customWidth="1"/>
    <col min="10570" max="10570" width="8.44140625" style="381" customWidth="1"/>
    <col min="10571" max="10571" width="7.5546875" style="381" customWidth="1"/>
    <col min="10572" max="10572" width="10.88671875" style="381" customWidth="1"/>
    <col min="10573" max="10573" width="9.109375" style="381" customWidth="1"/>
    <col min="10574" max="10574" width="9.5546875" style="381" customWidth="1"/>
    <col min="10575" max="10575" width="9.6640625" style="381" customWidth="1"/>
    <col min="10576" max="10576" width="9.109375" style="381" customWidth="1"/>
    <col min="10577" max="10577" width="9" style="381" customWidth="1"/>
    <col min="10578" max="10578" width="9.109375" style="381" customWidth="1"/>
    <col min="10579" max="10579" width="9.6640625" style="381" customWidth="1"/>
    <col min="10580" max="10582" width="9.33203125" style="381" customWidth="1"/>
    <col min="10583" max="10583" width="9.109375" style="381" customWidth="1"/>
    <col min="10584" max="10587" width="10" style="381" customWidth="1"/>
    <col min="10588" max="10588" width="8.6640625" style="381" customWidth="1"/>
    <col min="10589" max="10590" width="10" style="381" customWidth="1"/>
    <col min="10591" max="10591" width="8.88671875" style="381" customWidth="1"/>
    <col min="10592" max="10594" width="9.109375" style="381" customWidth="1"/>
    <col min="10595" max="10595" width="9" style="381" customWidth="1"/>
    <col min="10596" max="10597" width="10" style="381" customWidth="1"/>
    <col min="10598" max="10598" width="9.5546875" style="381" customWidth="1"/>
    <col min="10599" max="10599" width="9.109375" style="381" customWidth="1"/>
    <col min="10600" max="10600" width="9" style="381" customWidth="1"/>
    <col min="10601" max="10603" width="9.44140625" style="381" customWidth="1"/>
    <col min="10604" max="10606" width="9.33203125" style="381" customWidth="1"/>
    <col min="10607" max="10607" width="9" style="381" customWidth="1"/>
    <col min="10608" max="10608" width="10.109375" style="381" customWidth="1"/>
    <col min="10609" max="10609" width="9.5546875" style="381" customWidth="1"/>
    <col min="10610" max="10610" width="9.44140625" style="381" customWidth="1"/>
    <col min="10611" max="10611" width="10.109375" style="381" customWidth="1"/>
    <col min="10612" max="10612" width="9.33203125" style="381" customWidth="1"/>
    <col min="10613" max="10613" width="9.44140625" style="381" customWidth="1"/>
    <col min="10614" max="10614" width="10.109375" style="381" customWidth="1"/>
    <col min="10615" max="10615" width="9.109375" style="381" customWidth="1"/>
    <col min="10616" max="10618" width="9" style="381" customWidth="1"/>
    <col min="10619" max="10619" width="8.88671875" style="381" customWidth="1"/>
    <col min="10620" max="10623" width="10.109375" style="381" customWidth="1"/>
    <col min="10624" max="10624" width="10" style="381" customWidth="1"/>
    <col min="10625" max="10625" width="9.88671875" style="381" customWidth="1"/>
    <col min="10626" max="10627" width="9.44140625" style="381" customWidth="1"/>
    <col min="10628" max="10628" width="8.6640625" style="381" customWidth="1"/>
    <col min="10629" max="10629" width="9.109375" style="381" customWidth="1"/>
    <col min="10630" max="10630" width="8.109375" style="381" customWidth="1"/>
    <col min="10631" max="10631" width="8.6640625" style="381" customWidth="1"/>
    <col min="10632" max="10632" width="10.109375" style="381" customWidth="1"/>
    <col min="10633" max="10633" width="9.33203125" style="381" customWidth="1"/>
    <col min="10634" max="10638" width="10.109375" style="381" customWidth="1"/>
    <col min="10639" max="10639" width="9.109375" style="381" customWidth="1"/>
    <col min="10640" max="10640" width="8.88671875" style="381" customWidth="1"/>
    <col min="10641" max="10641" width="9" style="381" customWidth="1"/>
    <col min="10642" max="10642" width="8.44140625" style="381" customWidth="1"/>
    <col min="10643" max="10643" width="9" style="381" customWidth="1"/>
    <col min="10644" max="10650" width="10.109375" style="381" customWidth="1"/>
    <col min="10651" max="10651" width="8.5546875" style="381" customWidth="1"/>
    <col min="10652" max="10652" width="8.33203125" style="381" customWidth="1"/>
    <col min="10653" max="10653" width="9.5546875" style="381" customWidth="1"/>
    <col min="10654" max="10654" width="8.33203125" style="381" customWidth="1"/>
    <col min="10655" max="10655" width="8.6640625" style="381" customWidth="1"/>
    <col min="10656" max="10753" width="9.109375" style="381"/>
    <col min="10754" max="10754" width="5.109375" style="381" bestFit="1" customWidth="1"/>
    <col min="10755" max="10755" width="79" style="381" customWidth="1"/>
    <col min="10756" max="10756" width="10.5546875" style="381" customWidth="1"/>
    <col min="10757" max="10757" width="9.88671875" style="381" customWidth="1"/>
    <col min="10758" max="10758" width="10.6640625" style="381" customWidth="1"/>
    <col min="10759" max="10759" width="11.6640625" style="381" customWidth="1"/>
    <col min="10760" max="10760" width="12.109375" style="381" customWidth="1"/>
    <col min="10761" max="10761" width="11.44140625" style="381" customWidth="1"/>
    <col min="10762" max="10763" width="9.6640625" style="381" customWidth="1"/>
    <col min="10764" max="10764" width="8.5546875" style="381" customWidth="1"/>
    <col min="10765" max="10765" width="8.109375" style="381" customWidth="1"/>
    <col min="10766" max="10766" width="9.33203125" style="381" customWidth="1"/>
    <col min="10767" max="10768" width="8.5546875" style="381" customWidth="1"/>
    <col min="10769" max="10769" width="9.88671875" style="381" customWidth="1"/>
    <col min="10770" max="10772" width="8.5546875" style="381" customWidth="1"/>
    <col min="10773" max="10773" width="9.5546875" style="381" customWidth="1"/>
    <col min="10774" max="10774" width="8.5546875" style="381" customWidth="1"/>
    <col min="10775" max="10775" width="9.44140625" style="381" customWidth="1"/>
    <col min="10776" max="10778" width="8.5546875" style="381" customWidth="1"/>
    <col min="10779" max="10779" width="9.44140625" style="381" customWidth="1"/>
    <col min="10780" max="10780" width="9.33203125" style="381" customWidth="1"/>
    <col min="10781" max="10781" width="9.44140625" style="381" customWidth="1"/>
    <col min="10782" max="10782" width="10" style="381" customWidth="1"/>
    <col min="10783" max="10783" width="8.109375" style="381" customWidth="1"/>
    <col min="10784" max="10784" width="10.88671875" style="381" customWidth="1"/>
    <col min="10785" max="10785" width="9.88671875" style="381" customWidth="1"/>
    <col min="10786" max="10786" width="10.109375" style="381" customWidth="1"/>
    <col min="10787" max="10787" width="9.33203125" style="381" customWidth="1"/>
    <col min="10788" max="10790" width="8.6640625" style="381" customWidth="1"/>
    <col min="10791" max="10791" width="7.44140625" style="381" customWidth="1"/>
    <col min="10792" max="10800" width="9.6640625" style="381" customWidth="1"/>
    <col min="10801" max="10801" width="8.5546875" style="381" customWidth="1"/>
    <col min="10802" max="10802" width="8.33203125" style="381" customWidth="1"/>
    <col min="10803" max="10803" width="9.6640625" style="381" customWidth="1"/>
    <col min="10804" max="10804" width="10.6640625" style="381" customWidth="1"/>
    <col min="10805" max="10807" width="9.6640625" style="381" customWidth="1"/>
    <col min="10808" max="10808" width="10.5546875" style="381" customWidth="1"/>
    <col min="10809" max="10811" width="9.6640625" style="381" customWidth="1"/>
    <col min="10812" max="10812" width="9" style="381" customWidth="1"/>
    <col min="10813" max="10813" width="9.6640625" style="381" customWidth="1"/>
    <col min="10814" max="10814" width="8.44140625" style="381" customWidth="1"/>
    <col min="10815" max="10815" width="8.6640625" style="381" customWidth="1"/>
    <col min="10816" max="10816" width="11.33203125" style="381" customWidth="1"/>
    <col min="10817" max="10817" width="9.44140625" style="381" customWidth="1"/>
    <col min="10818" max="10820" width="10.109375" style="381" customWidth="1"/>
    <col min="10821" max="10821" width="10" style="381" customWidth="1"/>
    <col min="10822" max="10822" width="9.109375" style="381" customWidth="1"/>
    <col min="10823" max="10823" width="9.44140625" style="381" customWidth="1"/>
    <col min="10824" max="10824" width="8.44140625" style="381" customWidth="1"/>
    <col min="10825" max="10825" width="10.109375" style="381" customWidth="1"/>
    <col min="10826" max="10826" width="8.44140625" style="381" customWidth="1"/>
    <col min="10827" max="10827" width="7.5546875" style="381" customWidth="1"/>
    <col min="10828" max="10828" width="10.88671875" style="381" customWidth="1"/>
    <col min="10829" max="10829" width="9.109375" style="381" customWidth="1"/>
    <col min="10830" max="10830" width="9.5546875" style="381" customWidth="1"/>
    <col min="10831" max="10831" width="9.6640625" style="381" customWidth="1"/>
    <col min="10832" max="10832" width="9.109375" style="381" customWidth="1"/>
    <col min="10833" max="10833" width="9" style="381" customWidth="1"/>
    <col min="10834" max="10834" width="9.109375" style="381" customWidth="1"/>
    <col min="10835" max="10835" width="9.6640625" style="381" customWidth="1"/>
    <col min="10836" max="10838" width="9.33203125" style="381" customWidth="1"/>
    <col min="10839" max="10839" width="9.109375" style="381" customWidth="1"/>
    <col min="10840" max="10843" width="10" style="381" customWidth="1"/>
    <col min="10844" max="10844" width="8.6640625" style="381" customWidth="1"/>
    <col min="10845" max="10846" width="10" style="381" customWidth="1"/>
    <col min="10847" max="10847" width="8.88671875" style="381" customWidth="1"/>
    <col min="10848" max="10850" width="9.109375" style="381" customWidth="1"/>
    <col min="10851" max="10851" width="9" style="381" customWidth="1"/>
    <col min="10852" max="10853" width="10" style="381" customWidth="1"/>
    <col min="10854" max="10854" width="9.5546875" style="381" customWidth="1"/>
    <col min="10855" max="10855" width="9.109375" style="381" customWidth="1"/>
    <col min="10856" max="10856" width="9" style="381" customWidth="1"/>
    <col min="10857" max="10859" width="9.44140625" style="381" customWidth="1"/>
    <col min="10860" max="10862" width="9.33203125" style="381" customWidth="1"/>
    <col min="10863" max="10863" width="9" style="381" customWidth="1"/>
    <col min="10864" max="10864" width="10.109375" style="381" customWidth="1"/>
    <col min="10865" max="10865" width="9.5546875" style="381" customWidth="1"/>
    <col min="10866" max="10866" width="9.44140625" style="381" customWidth="1"/>
    <col min="10867" max="10867" width="10.109375" style="381" customWidth="1"/>
    <col min="10868" max="10868" width="9.33203125" style="381" customWidth="1"/>
    <col min="10869" max="10869" width="9.44140625" style="381" customWidth="1"/>
    <col min="10870" max="10870" width="10.109375" style="381" customWidth="1"/>
    <col min="10871" max="10871" width="9.109375" style="381" customWidth="1"/>
    <col min="10872" max="10874" width="9" style="381" customWidth="1"/>
    <col min="10875" max="10875" width="8.88671875" style="381" customWidth="1"/>
    <col min="10876" max="10879" width="10.109375" style="381" customWidth="1"/>
    <col min="10880" max="10880" width="10" style="381" customWidth="1"/>
    <col min="10881" max="10881" width="9.88671875" style="381" customWidth="1"/>
    <col min="10882" max="10883" width="9.44140625" style="381" customWidth="1"/>
    <col min="10884" max="10884" width="8.6640625" style="381" customWidth="1"/>
    <col min="10885" max="10885" width="9.109375" style="381" customWidth="1"/>
    <col min="10886" max="10886" width="8.109375" style="381" customWidth="1"/>
    <col min="10887" max="10887" width="8.6640625" style="381" customWidth="1"/>
    <col min="10888" max="10888" width="10.109375" style="381" customWidth="1"/>
    <col min="10889" max="10889" width="9.33203125" style="381" customWidth="1"/>
    <col min="10890" max="10894" width="10.109375" style="381" customWidth="1"/>
    <col min="10895" max="10895" width="9.109375" style="381" customWidth="1"/>
    <col min="10896" max="10896" width="8.88671875" style="381" customWidth="1"/>
    <col min="10897" max="10897" width="9" style="381" customWidth="1"/>
    <col min="10898" max="10898" width="8.44140625" style="381" customWidth="1"/>
    <col min="10899" max="10899" width="9" style="381" customWidth="1"/>
    <col min="10900" max="10906" width="10.109375" style="381" customWidth="1"/>
    <col min="10907" max="10907" width="8.5546875" style="381" customWidth="1"/>
    <col min="10908" max="10908" width="8.33203125" style="381" customWidth="1"/>
    <col min="10909" max="10909" width="9.5546875" style="381" customWidth="1"/>
    <col min="10910" max="10910" width="8.33203125" style="381" customWidth="1"/>
    <col min="10911" max="10911" width="8.6640625" style="381" customWidth="1"/>
    <col min="10912" max="11009" width="9.109375" style="381"/>
    <col min="11010" max="11010" width="5.109375" style="381" bestFit="1" customWidth="1"/>
    <col min="11011" max="11011" width="79" style="381" customWidth="1"/>
    <col min="11012" max="11012" width="10.5546875" style="381" customWidth="1"/>
    <col min="11013" max="11013" width="9.88671875" style="381" customWidth="1"/>
    <col min="11014" max="11014" width="10.6640625" style="381" customWidth="1"/>
    <col min="11015" max="11015" width="11.6640625" style="381" customWidth="1"/>
    <col min="11016" max="11016" width="12.109375" style="381" customWidth="1"/>
    <col min="11017" max="11017" width="11.44140625" style="381" customWidth="1"/>
    <col min="11018" max="11019" width="9.6640625" style="381" customWidth="1"/>
    <col min="11020" max="11020" width="8.5546875" style="381" customWidth="1"/>
    <col min="11021" max="11021" width="8.109375" style="381" customWidth="1"/>
    <col min="11022" max="11022" width="9.33203125" style="381" customWidth="1"/>
    <col min="11023" max="11024" width="8.5546875" style="381" customWidth="1"/>
    <col min="11025" max="11025" width="9.88671875" style="381" customWidth="1"/>
    <col min="11026" max="11028" width="8.5546875" style="381" customWidth="1"/>
    <col min="11029" max="11029" width="9.5546875" style="381" customWidth="1"/>
    <col min="11030" max="11030" width="8.5546875" style="381" customWidth="1"/>
    <col min="11031" max="11031" width="9.44140625" style="381" customWidth="1"/>
    <col min="11032" max="11034" width="8.5546875" style="381" customWidth="1"/>
    <col min="11035" max="11035" width="9.44140625" style="381" customWidth="1"/>
    <col min="11036" max="11036" width="9.33203125" style="381" customWidth="1"/>
    <col min="11037" max="11037" width="9.44140625" style="381" customWidth="1"/>
    <col min="11038" max="11038" width="10" style="381" customWidth="1"/>
    <col min="11039" max="11039" width="8.109375" style="381" customWidth="1"/>
    <col min="11040" max="11040" width="10.88671875" style="381" customWidth="1"/>
    <col min="11041" max="11041" width="9.88671875" style="381" customWidth="1"/>
    <col min="11042" max="11042" width="10.109375" style="381" customWidth="1"/>
    <col min="11043" max="11043" width="9.33203125" style="381" customWidth="1"/>
    <col min="11044" max="11046" width="8.6640625" style="381" customWidth="1"/>
    <col min="11047" max="11047" width="7.44140625" style="381" customWidth="1"/>
    <col min="11048" max="11056" width="9.6640625" style="381" customWidth="1"/>
    <col min="11057" max="11057" width="8.5546875" style="381" customWidth="1"/>
    <col min="11058" max="11058" width="8.33203125" style="381" customWidth="1"/>
    <col min="11059" max="11059" width="9.6640625" style="381" customWidth="1"/>
    <col min="11060" max="11060" width="10.6640625" style="381" customWidth="1"/>
    <col min="11061" max="11063" width="9.6640625" style="381" customWidth="1"/>
    <col min="11064" max="11064" width="10.5546875" style="381" customWidth="1"/>
    <col min="11065" max="11067" width="9.6640625" style="381" customWidth="1"/>
    <col min="11068" max="11068" width="9" style="381" customWidth="1"/>
    <col min="11069" max="11069" width="9.6640625" style="381" customWidth="1"/>
    <col min="11070" max="11070" width="8.44140625" style="381" customWidth="1"/>
    <col min="11071" max="11071" width="8.6640625" style="381" customWidth="1"/>
    <col min="11072" max="11072" width="11.33203125" style="381" customWidth="1"/>
    <col min="11073" max="11073" width="9.44140625" style="381" customWidth="1"/>
    <col min="11074" max="11076" width="10.109375" style="381" customWidth="1"/>
    <col min="11077" max="11077" width="10" style="381" customWidth="1"/>
    <col min="11078" max="11078" width="9.109375" style="381" customWidth="1"/>
    <col min="11079" max="11079" width="9.44140625" style="381" customWidth="1"/>
    <col min="11080" max="11080" width="8.44140625" style="381" customWidth="1"/>
    <col min="11081" max="11081" width="10.109375" style="381" customWidth="1"/>
    <col min="11082" max="11082" width="8.44140625" style="381" customWidth="1"/>
    <col min="11083" max="11083" width="7.5546875" style="381" customWidth="1"/>
    <col min="11084" max="11084" width="10.88671875" style="381" customWidth="1"/>
    <col min="11085" max="11085" width="9.109375" style="381" customWidth="1"/>
    <col min="11086" max="11086" width="9.5546875" style="381" customWidth="1"/>
    <col min="11087" max="11087" width="9.6640625" style="381" customWidth="1"/>
    <col min="11088" max="11088" width="9.109375" style="381" customWidth="1"/>
    <col min="11089" max="11089" width="9" style="381" customWidth="1"/>
    <col min="11090" max="11090" width="9.109375" style="381" customWidth="1"/>
    <col min="11091" max="11091" width="9.6640625" style="381" customWidth="1"/>
    <col min="11092" max="11094" width="9.33203125" style="381" customWidth="1"/>
    <col min="11095" max="11095" width="9.109375" style="381" customWidth="1"/>
    <col min="11096" max="11099" width="10" style="381" customWidth="1"/>
    <col min="11100" max="11100" width="8.6640625" style="381" customWidth="1"/>
    <col min="11101" max="11102" width="10" style="381" customWidth="1"/>
    <col min="11103" max="11103" width="8.88671875" style="381" customWidth="1"/>
    <col min="11104" max="11106" width="9.109375" style="381" customWidth="1"/>
    <col min="11107" max="11107" width="9" style="381" customWidth="1"/>
    <col min="11108" max="11109" width="10" style="381" customWidth="1"/>
    <col min="11110" max="11110" width="9.5546875" style="381" customWidth="1"/>
    <col min="11111" max="11111" width="9.109375" style="381" customWidth="1"/>
    <col min="11112" max="11112" width="9" style="381" customWidth="1"/>
    <col min="11113" max="11115" width="9.44140625" style="381" customWidth="1"/>
    <col min="11116" max="11118" width="9.33203125" style="381" customWidth="1"/>
    <col min="11119" max="11119" width="9" style="381" customWidth="1"/>
    <col min="11120" max="11120" width="10.109375" style="381" customWidth="1"/>
    <col min="11121" max="11121" width="9.5546875" style="381" customWidth="1"/>
    <col min="11122" max="11122" width="9.44140625" style="381" customWidth="1"/>
    <col min="11123" max="11123" width="10.109375" style="381" customWidth="1"/>
    <col min="11124" max="11124" width="9.33203125" style="381" customWidth="1"/>
    <col min="11125" max="11125" width="9.44140625" style="381" customWidth="1"/>
    <col min="11126" max="11126" width="10.109375" style="381" customWidth="1"/>
    <col min="11127" max="11127" width="9.109375" style="381" customWidth="1"/>
    <col min="11128" max="11130" width="9" style="381" customWidth="1"/>
    <col min="11131" max="11131" width="8.88671875" style="381" customWidth="1"/>
    <col min="11132" max="11135" width="10.109375" style="381" customWidth="1"/>
    <col min="11136" max="11136" width="10" style="381" customWidth="1"/>
    <col min="11137" max="11137" width="9.88671875" style="381" customWidth="1"/>
    <col min="11138" max="11139" width="9.44140625" style="381" customWidth="1"/>
    <col min="11140" max="11140" width="8.6640625" style="381" customWidth="1"/>
    <col min="11141" max="11141" width="9.109375" style="381" customWidth="1"/>
    <col min="11142" max="11142" width="8.109375" style="381" customWidth="1"/>
    <col min="11143" max="11143" width="8.6640625" style="381" customWidth="1"/>
    <col min="11144" max="11144" width="10.109375" style="381" customWidth="1"/>
    <col min="11145" max="11145" width="9.33203125" style="381" customWidth="1"/>
    <col min="11146" max="11150" width="10.109375" style="381" customWidth="1"/>
    <col min="11151" max="11151" width="9.109375" style="381" customWidth="1"/>
    <col min="11152" max="11152" width="8.88671875" style="381" customWidth="1"/>
    <col min="11153" max="11153" width="9" style="381" customWidth="1"/>
    <col min="11154" max="11154" width="8.44140625" style="381" customWidth="1"/>
    <col min="11155" max="11155" width="9" style="381" customWidth="1"/>
    <col min="11156" max="11162" width="10.109375" style="381" customWidth="1"/>
    <col min="11163" max="11163" width="8.5546875" style="381" customWidth="1"/>
    <col min="11164" max="11164" width="8.33203125" style="381" customWidth="1"/>
    <col min="11165" max="11165" width="9.5546875" style="381" customWidth="1"/>
    <col min="11166" max="11166" width="8.33203125" style="381" customWidth="1"/>
    <col min="11167" max="11167" width="8.6640625" style="381" customWidth="1"/>
    <col min="11168" max="11265" width="9.109375" style="381"/>
    <col min="11266" max="11266" width="5.109375" style="381" bestFit="1" customWidth="1"/>
    <col min="11267" max="11267" width="79" style="381" customWidth="1"/>
    <col min="11268" max="11268" width="10.5546875" style="381" customWidth="1"/>
    <col min="11269" max="11269" width="9.88671875" style="381" customWidth="1"/>
    <col min="11270" max="11270" width="10.6640625" style="381" customWidth="1"/>
    <col min="11271" max="11271" width="11.6640625" style="381" customWidth="1"/>
    <col min="11272" max="11272" width="12.109375" style="381" customWidth="1"/>
    <col min="11273" max="11273" width="11.44140625" style="381" customWidth="1"/>
    <col min="11274" max="11275" width="9.6640625" style="381" customWidth="1"/>
    <col min="11276" max="11276" width="8.5546875" style="381" customWidth="1"/>
    <col min="11277" max="11277" width="8.109375" style="381" customWidth="1"/>
    <col min="11278" max="11278" width="9.33203125" style="381" customWidth="1"/>
    <col min="11279" max="11280" width="8.5546875" style="381" customWidth="1"/>
    <col min="11281" max="11281" width="9.88671875" style="381" customWidth="1"/>
    <col min="11282" max="11284" width="8.5546875" style="381" customWidth="1"/>
    <col min="11285" max="11285" width="9.5546875" style="381" customWidth="1"/>
    <col min="11286" max="11286" width="8.5546875" style="381" customWidth="1"/>
    <col min="11287" max="11287" width="9.44140625" style="381" customWidth="1"/>
    <col min="11288" max="11290" width="8.5546875" style="381" customWidth="1"/>
    <col min="11291" max="11291" width="9.44140625" style="381" customWidth="1"/>
    <col min="11292" max="11292" width="9.33203125" style="381" customWidth="1"/>
    <col min="11293" max="11293" width="9.44140625" style="381" customWidth="1"/>
    <col min="11294" max="11294" width="10" style="381" customWidth="1"/>
    <col min="11295" max="11295" width="8.109375" style="381" customWidth="1"/>
    <col min="11296" max="11296" width="10.88671875" style="381" customWidth="1"/>
    <col min="11297" max="11297" width="9.88671875" style="381" customWidth="1"/>
    <col min="11298" max="11298" width="10.109375" style="381" customWidth="1"/>
    <col min="11299" max="11299" width="9.33203125" style="381" customWidth="1"/>
    <col min="11300" max="11302" width="8.6640625" style="381" customWidth="1"/>
    <col min="11303" max="11303" width="7.44140625" style="381" customWidth="1"/>
    <col min="11304" max="11312" width="9.6640625" style="381" customWidth="1"/>
    <col min="11313" max="11313" width="8.5546875" style="381" customWidth="1"/>
    <col min="11314" max="11314" width="8.33203125" style="381" customWidth="1"/>
    <col min="11315" max="11315" width="9.6640625" style="381" customWidth="1"/>
    <col min="11316" max="11316" width="10.6640625" style="381" customWidth="1"/>
    <col min="11317" max="11319" width="9.6640625" style="381" customWidth="1"/>
    <col min="11320" max="11320" width="10.5546875" style="381" customWidth="1"/>
    <col min="11321" max="11323" width="9.6640625" style="381" customWidth="1"/>
    <col min="11324" max="11324" width="9" style="381" customWidth="1"/>
    <col min="11325" max="11325" width="9.6640625" style="381" customWidth="1"/>
    <col min="11326" max="11326" width="8.44140625" style="381" customWidth="1"/>
    <col min="11327" max="11327" width="8.6640625" style="381" customWidth="1"/>
    <col min="11328" max="11328" width="11.33203125" style="381" customWidth="1"/>
    <col min="11329" max="11329" width="9.44140625" style="381" customWidth="1"/>
    <col min="11330" max="11332" width="10.109375" style="381" customWidth="1"/>
    <col min="11333" max="11333" width="10" style="381" customWidth="1"/>
    <col min="11334" max="11334" width="9.109375" style="381" customWidth="1"/>
    <col min="11335" max="11335" width="9.44140625" style="381" customWidth="1"/>
    <col min="11336" max="11336" width="8.44140625" style="381" customWidth="1"/>
    <col min="11337" max="11337" width="10.109375" style="381" customWidth="1"/>
    <col min="11338" max="11338" width="8.44140625" style="381" customWidth="1"/>
    <col min="11339" max="11339" width="7.5546875" style="381" customWidth="1"/>
    <col min="11340" max="11340" width="10.88671875" style="381" customWidth="1"/>
    <col min="11341" max="11341" width="9.109375" style="381" customWidth="1"/>
    <col min="11342" max="11342" width="9.5546875" style="381" customWidth="1"/>
    <col min="11343" max="11343" width="9.6640625" style="381" customWidth="1"/>
    <col min="11344" max="11344" width="9.109375" style="381" customWidth="1"/>
    <col min="11345" max="11345" width="9" style="381" customWidth="1"/>
    <col min="11346" max="11346" width="9.109375" style="381" customWidth="1"/>
    <col min="11347" max="11347" width="9.6640625" style="381" customWidth="1"/>
    <col min="11348" max="11350" width="9.33203125" style="381" customWidth="1"/>
    <col min="11351" max="11351" width="9.109375" style="381" customWidth="1"/>
    <col min="11352" max="11355" width="10" style="381" customWidth="1"/>
    <col min="11356" max="11356" width="8.6640625" style="381" customWidth="1"/>
    <col min="11357" max="11358" width="10" style="381" customWidth="1"/>
    <col min="11359" max="11359" width="8.88671875" style="381" customWidth="1"/>
    <col min="11360" max="11362" width="9.109375" style="381" customWidth="1"/>
    <col min="11363" max="11363" width="9" style="381" customWidth="1"/>
    <col min="11364" max="11365" width="10" style="381" customWidth="1"/>
    <col min="11366" max="11366" width="9.5546875" style="381" customWidth="1"/>
    <col min="11367" max="11367" width="9.109375" style="381" customWidth="1"/>
    <col min="11368" max="11368" width="9" style="381" customWidth="1"/>
    <col min="11369" max="11371" width="9.44140625" style="381" customWidth="1"/>
    <col min="11372" max="11374" width="9.33203125" style="381" customWidth="1"/>
    <col min="11375" max="11375" width="9" style="381" customWidth="1"/>
    <col min="11376" max="11376" width="10.109375" style="381" customWidth="1"/>
    <col min="11377" max="11377" width="9.5546875" style="381" customWidth="1"/>
    <col min="11378" max="11378" width="9.44140625" style="381" customWidth="1"/>
    <col min="11379" max="11379" width="10.109375" style="381" customWidth="1"/>
    <col min="11380" max="11380" width="9.33203125" style="381" customWidth="1"/>
    <col min="11381" max="11381" width="9.44140625" style="381" customWidth="1"/>
    <col min="11382" max="11382" width="10.109375" style="381" customWidth="1"/>
    <col min="11383" max="11383" width="9.109375" style="381" customWidth="1"/>
    <col min="11384" max="11386" width="9" style="381" customWidth="1"/>
    <col min="11387" max="11387" width="8.88671875" style="381" customWidth="1"/>
    <col min="11388" max="11391" width="10.109375" style="381" customWidth="1"/>
    <col min="11392" max="11392" width="10" style="381" customWidth="1"/>
    <col min="11393" max="11393" width="9.88671875" style="381" customWidth="1"/>
    <col min="11394" max="11395" width="9.44140625" style="381" customWidth="1"/>
    <col min="11396" max="11396" width="8.6640625" style="381" customWidth="1"/>
    <col min="11397" max="11397" width="9.109375" style="381" customWidth="1"/>
    <col min="11398" max="11398" width="8.109375" style="381" customWidth="1"/>
    <col min="11399" max="11399" width="8.6640625" style="381" customWidth="1"/>
    <col min="11400" max="11400" width="10.109375" style="381" customWidth="1"/>
    <col min="11401" max="11401" width="9.33203125" style="381" customWidth="1"/>
    <col min="11402" max="11406" width="10.109375" style="381" customWidth="1"/>
    <col min="11407" max="11407" width="9.109375" style="381" customWidth="1"/>
    <col min="11408" max="11408" width="8.88671875" style="381" customWidth="1"/>
    <col min="11409" max="11409" width="9" style="381" customWidth="1"/>
    <col min="11410" max="11410" width="8.44140625" style="381" customWidth="1"/>
    <col min="11411" max="11411" width="9" style="381" customWidth="1"/>
    <col min="11412" max="11418" width="10.109375" style="381" customWidth="1"/>
    <col min="11419" max="11419" width="8.5546875" style="381" customWidth="1"/>
    <col min="11420" max="11420" width="8.33203125" style="381" customWidth="1"/>
    <col min="11421" max="11421" width="9.5546875" style="381" customWidth="1"/>
    <col min="11422" max="11422" width="8.33203125" style="381" customWidth="1"/>
    <col min="11423" max="11423" width="8.6640625" style="381" customWidth="1"/>
    <col min="11424" max="11521" width="9.109375" style="381"/>
    <col min="11522" max="11522" width="5.109375" style="381" bestFit="1" customWidth="1"/>
    <col min="11523" max="11523" width="79" style="381" customWidth="1"/>
    <col min="11524" max="11524" width="10.5546875" style="381" customWidth="1"/>
    <col min="11525" max="11525" width="9.88671875" style="381" customWidth="1"/>
    <col min="11526" max="11526" width="10.6640625" style="381" customWidth="1"/>
    <col min="11527" max="11527" width="11.6640625" style="381" customWidth="1"/>
    <col min="11528" max="11528" width="12.109375" style="381" customWidth="1"/>
    <col min="11529" max="11529" width="11.44140625" style="381" customWidth="1"/>
    <col min="11530" max="11531" width="9.6640625" style="381" customWidth="1"/>
    <col min="11532" max="11532" width="8.5546875" style="381" customWidth="1"/>
    <col min="11533" max="11533" width="8.109375" style="381" customWidth="1"/>
    <col min="11534" max="11534" width="9.33203125" style="381" customWidth="1"/>
    <col min="11535" max="11536" width="8.5546875" style="381" customWidth="1"/>
    <col min="11537" max="11537" width="9.88671875" style="381" customWidth="1"/>
    <col min="11538" max="11540" width="8.5546875" style="381" customWidth="1"/>
    <col min="11541" max="11541" width="9.5546875" style="381" customWidth="1"/>
    <col min="11542" max="11542" width="8.5546875" style="381" customWidth="1"/>
    <col min="11543" max="11543" width="9.44140625" style="381" customWidth="1"/>
    <col min="11544" max="11546" width="8.5546875" style="381" customWidth="1"/>
    <col min="11547" max="11547" width="9.44140625" style="381" customWidth="1"/>
    <col min="11548" max="11548" width="9.33203125" style="381" customWidth="1"/>
    <col min="11549" max="11549" width="9.44140625" style="381" customWidth="1"/>
    <col min="11550" max="11550" width="10" style="381" customWidth="1"/>
    <col min="11551" max="11551" width="8.109375" style="381" customWidth="1"/>
    <col min="11552" max="11552" width="10.88671875" style="381" customWidth="1"/>
    <col min="11553" max="11553" width="9.88671875" style="381" customWidth="1"/>
    <col min="11554" max="11554" width="10.109375" style="381" customWidth="1"/>
    <col min="11555" max="11555" width="9.33203125" style="381" customWidth="1"/>
    <col min="11556" max="11558" width="8.6640625" style="381" customWidth="1"/>
    <col min="11559" max="11559" width="7.44140625" style="381" customWidth="1"/>
    <col min="11560" max="11568" width="9.6640625" style="381" customWidth="1"/>
    <col min="11569" max="11569" width="8.5546875" style="381" customWidth="1"/>
    <col min="11570" max="11570" width="8.33203125" style="381" customWidth="1"/>
    <col min="11571" max="11571" width="9.6640625" style="381" customWidth="1"/>
    <col min="11572" max="11572" width="10.6640625" style="381" customWidth="1"/>
    <col min="11573" max="11575" width="9.6640625" style="381" customWidth="1"/>
    <col min="11576" max="11576" width="10.5546875" style="381" customWidth="1"/>
    <col min="11577" max="11579" width="9.6640625" style="381" customWidth="1"/>
    <col min="11580" max="11580" width="9" style="381" customWidth="1"/>
    <col min="11581" max="11581" width="9.6640625" style="381" customWidth="1"/>
    <col min="11582" max="11582" width="8.44140625" style="381" customWidth="1"/>
    <col min="11583" max="11583" width="8.6640625" style="381" customWidth="1"/>
    <col min="11584" max="11584" width="11.33203125" style="381" customWidth="1"/>
    <col min="11585" max="11585" width="9.44140625" style="381" customWidth="1"/>
    <col min="11586" max="11588" width="10.109375" style="381" customWidth="1"/>
    <col min="11589" max="11589" width="10" style="381" customWidth="1"/>
    <col min="11590" max="11590" width="9.109375" style="381" customWidth="1"/>
    <col min="11591" max="11591" width="9.44140625" style="381" customWidth="1"/>
    <col min="11592" max="11592" width="8.44140625" style="381" customWidth="1"/>
    <col min="11593" max="11593" width="10.109375" style="381" customWidth="1"/>
    <col min="11594" max="11594" width="8.44140625" style="381" customWidth="1"/>
    <col min="11595" max="11595" width="7.5546875" style="381" customWidth="1"/>
    <col min="11596" max="11596" width="10.88671875" style="381" customWidth="1"/>
    <col min="11597" max="11597" width="9.109375" style="381" customWidth="1"/>
    <col min="11598" max="11598" width="9.5546875" style="381" customWidth="1"/>
    <col min="11599" max="11599" width="9.6640625" style="381" customWidth="1"/>
    <col min="11600" max="11600" width="9.109375" style="381" customWidth="1"/>
    <col min="11601" max="11601" width="9" style="381" customWidth="1"/>
    <col min="11602" max="11602" width="9.109375" style="381" customWidth="1"/>
    <col min="11603" max="11603" width="9.6640625" style="381" customWidth="1"/>
    <col min="11604" max="11606" width="9.33203125" style="381" customWidth="1"/>
    <col min="11607" max="11607" width="9.109375" style="381" customWidth="1"/>
    <col min="11608" max="11611" width="10" style="381" customWidth="1"/>
    <col min="11612" max="11612" width="8.6640625" style="381" customWidth="1"/>
    <col min="11613" max="11614" width="10" style="381" customWidth="1"/>
    <col min="11615" max="11615" width="8.88671875" style="381" customWidth="1"/>
    <col min="11616" max="11618" width="9.109375" style="381" customWidth="1"/>
    <col min="11619" max="11619" width="9" style="381" customWidth="1"/>
    <col min="11620" max="11621" width="10" style="381" customWidth="1"/>
    <col min="11622" max="11622" width="9.5546875" style="381" customWidth="1"/>
    <col min="11623" max="11623" width="9.109375" style="381" customWidth="1"/>
    <col min="11624" max="11624" width="9" style="381" customWidth="1"/>
    <col min="11625" max="11627" width="9.44140625" style="381" customWidth="1"/>
    <col min="11628" max="11630" width="9.33203125" style="381" customWidth="1"/>
    <col min="11631" max="11631" width="9" style="381" customWidth="1"/>
    <col min="11632" max="11632" width="10.109375" style="381" customWidth="1"/>
    <col min="11633" max="11633" width="9.5546875" style="381" customWidth="1"/>
    <col min="11634" max="11634" width="9.44140625" style="381" customWidth="1"/>
    <col min="11635" max="11635" width="10.109375" style="381" customWidth="1"/>
    <col min="11636" max="11636" width="9.33203125" style="381" customWidth="1"/>
    <col min="11637" max="11637" width="9.44140625" style="381" customWidth="1"/>
    <col min="11638" max="11638" width="10.109375" style="381" customWidth="1"/>
    <col min="11639" max="11639" width="9.109375" style="381" customWidth="1"/>
    <col min="11640" max="11642" width="9" style="381" customWidth="1"/>
    <col min="11643" max="11643" width="8.88671875" style="381" customWidth="1"/>
    <col min="11644" max="11647" width="10.109375" style="381" customWidth="1"/>
    <col min="11648" max="11648" width="10" style="381" customWidth="1"/>
    <col min="11649" max="11649" width="9.88671875" style="381" customWidth="1"/>
    <col min="11650" max="11651" width="9.44140625" style="381" customWidth="1"/>
    <col min="11652" max="11652" width="8.6640625" style="381" customWidth="1"/>
    <col min="11653" max="11653" width="9.109375" style="381" customWidth="1"/>
    <col min="11654" max="11654" width="8.109375" style="381" customWidth="1"/>
    <col min="11655" max="11655" width="8.6640625" style="381" customWidth="1"/>
    <col min="11656" max="11656" width="10.109375" style="381" customWidth="1"/>
    <col min="11657" max="11657" width="9.33203125" style="381" customWidth="1"/>
    <col min="11658" max="11662" width="10.109375" style="381" customWidth="1"/>
    <col min="11663" max="11663" width="9.109375" style="381" customWidth="1"/>
    <col min="11664" max="11664" width="8.88671875" style="381" customWidth="1"/>
    <col min="11665" max="11665" width="9" style="381" customWidth="1"/>
    <col min="11666" max="11666" width="8.44140625" style="381" customWidth="1"/>
    <col min="11667" max="11667" width="9" style="381" customWidth="1"/>
    <col min="11668" max="11674" width="10.109375" style="381" customWidth="1"/>
    <col min="11675" max="11675" width="8.5546875" style="381" customWidth="1"/>
    <col min="11676" max="11676" width="8.33203125" style="381" customWidth="1"/>
    <col min="11677" max="11677" width="9.5546875" style="381" customWidth="1"/>
    <col min="11678" max="11678" width="8.33203125" style="381" customWidth="1"/>
    <col min="11679" max="11679" width="8.6640625" style="381" customWidth="1"/>
    <col min="11680" max="11777" width="9.109375" style="381"/>
    <col min="11778" max="11778" width="5.109375" style="381" bestFit="1" customWidth="1"/>
    <col min="11779" max="11779" width="79" style="381" customWidth="1"/>
    <col min="11780" max="11780" width="10.5546875" style="381" customWidth="1"/>
    <col min="11781" max="11781" width="9.88671875" style="381" customWidth="1"/>
    <col min="11782" max="11782" width="10.6640625" style="381" customWidth="1"/>
    <col min="11783" max="11783" width="11.6640625" style="381" customWidth="1"/>
    <col min="11784" max="11784" width="12.109375" style="381" customWidth="1"/>
    <col min="11785" max="11785" width="11.44140625" style="381" customWidth="1"/>
    <col min="11786" max="11787" width="9.6640625" style="381" customWidth="1"/>
    <col min="11788" max="11788" width="8.5546875" style="381" customWidth="1"/>
    <col min="11789" max="11789" width="8.109375" style="381" customWidth="1"/>
    <col min="11790" max="11790" width="9.33203125" style="381" customWidth="1"/>
    <col min="11791" max="11792" width="8.5546875" style="381" customWidth="1"/>
    <col min="11793" max="11793" width="9.88671875" style="381" customWidth="1"/>
    <col min="11794" max="11796" width="8.5546875" style="381" customWidth="1"/>
    <col min="11797" max="11797" width="9.5546875" style="381" customWidth="1"/>
    <col min="11798" max="11798" width="8.5546875" style="381" customWidth="1"/>
    <col min="11799" max="11799" width="9.44140625" style="381" customWidth="1"/>
    <col min="11800" max="11802" width="8.5546875" style="381" customWidth="1"/>
    <col min="11803" max="11803" width="9.44140625" style="381" customWidth="1"/>
    <col min="11804" max="11804" width="9.33203125" style="381" customWidth="1"/>
    <col min="11805" max="11805" width="9.44140625" style="381" customWidth="1"/>
    <col min="11806" max="11806" width="10" style="381" customWidth="1"/>
    <col min="11807" max="11807" width="8.109375" style="381" customWidth="1"/>
    <col min="11808" max="11808" width="10.88671875" style="381" customWidth="1"/>
    <col min="11809" max="11809" width="9.88671875" style="381" customWidth="1"/>
    <col min="11810" max="11810" width="10.109375" style="381" customWidth="1"/>
    <col min="11811" max="11811" width="9.33203125" style="381" customWidth="1"/>
    <col min="11812" max="11814" width="8.6640625" style="381" customWidth="1"/>
    <col min="11815" max="11815" width="7.44140625" style="381" customWidth="1"/>
    <col min="11816" max="11824" width="9.6640625" style="381" customWidth="1"/>
    <col min="11825" max="11825" width="8.5546875" style="381" customWidth="1"/>
    <col min="11826" max="11826" width="8.33203125" style="381" customWidth="1"/>
    <col min="11827" max="11827" width="9.6640625" style="381" customWidth="1"/>
    <col min="11828" max="11828" width="10.6640625" style="381" customWidth="1"/>
    <col min="11829" max="11831" width="9.6640625" style="381" customWidth="1"/>
    <col min="11832" max="11832" width="10.5546875" style="381" customWidth="1"/>
    <col min="11833" max="11835" width="9.6640625" style="381" customWidth="1"/>
    <col min="11836" max="11836" width="9" style="381" customWidth="1"/>
    <col min="11837" max="11837" width="9.6640625" style="381" customWidth="1"/>
    <col min="11838" max="11838" width="8.44140625" style="381" customWidth="1"/>
    <col min="11839" max="11839" width="8.6640625" style="381" customWidth="1"/>
    <col min="11840" max="11840" width="11.33203125" style="381" customWidth="1"/>
    <col min="11841" max="11841" width="9.44140625" style="381" customWidth="1"/>
    <col min="11842" max="11844" width="10.109375" style="381" customWidth="1"/>
    <col min="11845" max="11845" width="10" style="381" customWidth="1"/>
    <col min="11846" max="11846" width="9.109375" style="381" customWidth="1"/>
    <col min="11847" max="11847" width="9.44140625" style="381" customWidth="1"/>
    <col min="11848" max="11848" width="8.44140625" style="381" customWidth="1"/>
    <col min="11849" max="11849" width="10.109375" style="381" customWidth="1"/>
    <col min="11850" max="11850" width="8.44140625" style="381" customWidth="1"/>
    <col min="11851" max="11851" width="7.5546875" style="381" customWidth="1"/>
    <col min="11852" max="11852" width="10.88671875" style="381" customWidth="1"/>
    <col min="11853" max="11853" width="9.109375" style="381" customWidth="1"/>
    <col min="11854" max="11854" width="9.5546875" style="381" customWidth="1"/>
    <col min="11855" max="11855" width="9.6640625" style="381" customWidth="1"/>
    <col min="11856" max="11856" width="9.109375" style="381" customWidth="1"/>
    <col min="11857" max="11857" width="9" style="381" customWidth="1"/>
    <col min="11858" max="11858" width="9.109375" style="381" customWidth="1"/>
    <col min="11859" max="11859" width="9.6640625" style="381" customWidth="1"/>
    <col min="11860" max="11862" width="9.33203125" style="381" customWidth="1"/>
    <col min="11863" max="11863" width="9.109375" style="381" customWidth="1"/>
    <col min="11864" max="11867" width="10" style="381" customWidth="1"/>
    <col min="11868" max="11868" width="8.6640625" style="381" customWidth="1"/>
    <col min="11869" max="11870" width="10" style="381" customWidth="1"/>
    <col min="11871" max="11871" width="8.88671875" style="381" customWidth="1"/>
    <col min="11872" max="11874" width="9.109375" style="381" customWidth="1"/>
    <col min="11875" max="11875" width="9" style="381" customWidth="1"/>
    <col min="11876" max="11877" width="10" style="381" customWidth="1"/>
    <col min="11878" max="11878" width="9.5546875" style="381" customWidth="1"/>
    <col min="11879" max="11879" width="9.109375" style="381" customWidth="1"/>
    <col min="11880" max="11880" width="9" style="381" customWidth="1"/>
    <col min="11881" max="11883" width="9.44140625" style="381" customWidth="1"/>
    <col min="11884" max="11886" width="9.33203125" style="381" customWidth="1"/>
    <col min="11887" max="11887" width="9" style="381" customWidth="1"/>
    <col min="11888" max="11888" width="10.109375" style="381" customWidth="1"/>
    <col min="11889" max="11889" width="9.5546875" style="381" customWidth="1"/>
    <col min="11890" max="11890" width="9.44140625" style="381" customWidth="1"/>
    <col min="11891" max="11891" width="10.109375" style="381" customWidth="1"/>
    <col min="11892" max="11892" width="9.33203125" style="381" customWidth="1"/>
    <col min="11893" max="11893" width="9.44140625" style="381" customWidth="1"/>
    <col min="11894" max="11894" width="10.109375" style="381" customWidth="1"/>
    <col min="11895" max="11895" width="9.109375" style="381" customWidth="1"/>
    <col min="11896" max="11898" width="9" style="381" customWidth="1"/>
    <col min="11899" max="11899" width="8.88671875" style="381" customWidth="1"/>
    <col min="11900" max="11903" width="10.109375" style="381" customWidth="1"/>
    <col min="11904" max="11904" width="10" style="381" customWidth="1"/>
    <col min="11905" max="11905" width="9.88671875" style="381" customWidth="1"/>
    <col min="11906" max="11907" width="9.44140625" style="381" customWidth="1"/>
    <col min="11908" max="11908" width="8.6640625" style="381" customWidth="1"/>
    <col min="11909" max="11909" width="9.109375" style="381" customWidth="1"/>
    <col min="11910" max="11910" width="8.109375" style="381" customWidth="1"/>
    <col min="11911" max="11911" width="8.6640625" style="381" customWidth="1"/>
    <col min="11912" max="11912" width="10.109375" style="381" customWidth="1"/>
    <col min="11913" max="11913" width="9.33203125" style="381" customWidth="1"/>
    <col min="11914" max="11918" width="10.109375" style="381" customWidth="1"/>
    <col min="11919" max="11919" width="9.109375" style="381" customWidth="1"/>
    <col min="11920" max="11920" width="8.88671875" style="381" customWidth="1"/>
    <col min="11921" max="11921" width="9" style="381" customWidth="1"/>
    <col min="11922" max="11922" width="8.44140625" style="381" customWidth="1"/>
    <col min="11923" max="11923" width="9" style="381" customWidth="1"/>
    <col min="11924" max="11930" width="10.109375" style="381" customWidth="1"/>
    <col min="11931" max="11931" width="8.5546875" style="381" customWidth="1"/>
    <col min="11932" max="11932" width="8.33203125" style="381" customWidth="1"/>
    <col min="11933" max="11933" width="9.5546875" style="381" customWidth="1"/>
    <col min="11934" max="11934" width="8.33203125" style="381" customWidth="1"/>
    <col min="11935" max="11935" width="8.6640625" style="381" customWidth="1"/>
    <col min="11936" max="12033" width="9.109375" style="381"/>
    <col min="12034" max="12034" width="5.109375" style="381" bestFit="1" customWidth="1"/>
    <col min="12035" max="12035" width="79" style="381" customWidth="1"/>
    <col min="12036" max="12036" width="10.5546875" style="381" customWidth="1"/>
    <col min="12037" max="12037" width="9.88671875" style="381" customWidth="1"/>
    <col min="12038" max="12038" width="10.6640625" style="381" customWidth="1"/>
    <col min="12039" max="12039" width="11.6640625" style="381" customWidth="1"/>
    <col min="12040" max="12040" width="12.109375" style="381" customWidth="1"/>
    <col min="12041" max="12041" width="11.44140625" style="381" customWidth="1"/>
    <col min="12042" max="12043" width="9.6640625" style="381" customWidth="1"/>
    <col min="12044" max="12044" width="8.5546875" style="381" customWidth="1"/>
    <col min="12045" max="12045" width="8.109375" style="381" customWidth="1"/>
    <col min="12046" max="12046" width="9.33203125" style="381" customWidth="1"/>
    <col min="12047" max="12048" width="8.5546875" style="381" customWidth="1"/>
    <col min="12049" max="12049" width="9.88671875" style="381" customWidth="1"/>
    <col min="12050" max="12052" width="8.5546875" style="381" customWidth="1"/>
    <col min="12053" max="12053" width="9.5546875" style="381" customWidth="1"/>
    <col min="12054" max="12054" width="8.5546875" style="381" customWidth="1"/>
    <col min="12055" max="12055" width="9.44140625" style="381" customWidth="1"/>
    <col min="12056" max="12058" width="8.5546875" style="381" customWidth="1"/>
    <col min="12059" max="12059" width="9.44140625" style="381" customWidth="1"/>
    <col min="12060" max="12060" width="9.33203125" style="381" customWidth="1"/>
    <col min="12061" max="12061" width="9.44140625" style="381" customWidth="1"/>
    <col min="12062" max="12062" width="10" style="381" customWidth="1"/>
    <col min="12063" max="12063" width="8.109375" style="381" customWidth="1"/>
    <col min="12064" max="12064" width="10.88671875" style="381" customWidth="1"/>
    <col min="12065" max="12065" width="9.88671875" style="381" customWidth="1"/>
    <col min="12066" max="12066" width="10.109375" style="381" customWidth="1"/>
    <col min="12067" max="12067" width="9.33203125" style="381" customWidth="1"/>
    <col min="12068" max="12070" width="8.6640625" style="381" customWidth="1"/>
    <col min="12071" max="12071" width="7.44140625" style="381" customWidth="1"/>
    <col min="12072" max="12080" width="9.6640625" style="381" customWidth="1"/>
    <col min="12081" max="12081" width="8.5546875" style="381" customWidth="1"/>
    <col min="12082" max="12082" width="8.33203125" style="381" customWidth="1"/>
    <col min="12083" max="12083" width="9.6640625" style="381" customWidth="1"/>
    <col min="12084" max="12084" width="10.6640625" style="381" customWidth="1"/>
    <col min="12085" max="12087" width="9.6640625" style="381" customWidth="1"/>
    <col min="12088" max="12088" width="10.5546875" style="381" customWidth="1"/>
    <col min="12089" max="12091" width="9.6640625" style="381" customWidth="1"/>
    <col min="12092" max="12092" width="9" style="381" customWidth="1"/>
    <col min="12093" max="12093" width="9.6640625" style="381" customWidth="1"/>
    <col min="12094" max="12094" width="8.44140625" style="381" customWidth="1"/>
    <col min="12095" max="12095" width="8.6640625" style="381" customWidth="1"/>
    <col min="12096" max="12096" width="11.33203125" style="381" customWidth="1"/>
    <col min="12097" max="12097" width="9.44140625" style="381" customWidth="1"/>
    <col min="12098" max="12100" width="10.109375" style="381" customWidth="1"/>
    <col min="12101" max="12101" width="10" style="381" customWidth="1"/>
    <col min="12102" max="12102" width="9.109375" style="381" customWidth="1"/>
    <col min="12103" max="12103" width="9.44140625" style="381" customWidth="1"/>
    <col min="12104" max="12104" width="8.44140625" style="381" customWidth="1"/>
    <col min="12105" max="12105" width="10.109375" style="381" customWidth="1"/>
    <col min="12106" max="12106" width="8.44140625" style="381" customWidth="1"/>
    <col min="12107" max="12107" width="7.5546875" style="381" customWidth="1"/>
    <col min="12108" max="12108" width="10.88671875" style="381" customWidth="1"/>
    <col min="12109" max="12109" width="9.109375" style="381" customWidth="1"/>
    <col min="12110" max="12110" width="9.5546875" style="381" customWidth="1"/>
    <col min="12111" max="12111" width="9.6640625" style="381" customWidth="1"/>
    <col min="12112" max="12112" width="9.109375" style="381" customWidth="1"/>
    <col min="12113" max="12113" width="9" style="381" customWidth="1"/>
    <col min="12114" max="12114" width="9.109375" style="381" customWidth="1"/>
    <col min="12115" max="12115" width="9.6640625" style="381" customWidth="1"/>
    <col min="12116" max="12118" width="9.33203125" style="381" customWidth="1"/>
    <col min="12119" max="12119" width="9.109375" style="381" customWidth="1"/>
    <col min="12120" max="12123" width="10" style="381" customWidth="1"/>
    <col min="12124" max="12124" width="8.6640625" style="381" customWidth="1"/>
    <col min="12125" max="12126" width="10" style="381" customWidth="1"/>
    <col min="12127" max="12127" width="8.88671875" style="381" customWidth="1"/>
    <col min="12128" max="12130" width="9.109375" style="381" customWidth="1"/>
    <col min="12131" max="12131" width="9" style="381" customWidth="1"/>
    <col min="12132" max="12133" width="10" style="381" customWidth="1"/>
    <col min="12134" max="12134" width="9.5546875" style="381" customWidth="1"/>
    <col min="12135" max="12135" width="9.109375" style="381" customWidth="1"/>
    <col min="12136" max="12136" width="9" style="381" customWidth="1"/>
    <col min="12137" max="12139" width="9.44140625" style="381" customWidth="1"/>
    <col min="12140" max="12142" width="9.33203125" style="381" customWidth="1"/>
    <col min="12143" max="12143" width="9" style="381" customWidth="1"/>
    <col min="12144" max="12144" width="10.109375" style="381" customWidth="1"/>
    <col min="12145" max="12145" width="9.5546875" style="381" customWidth="1"/>
    <col min="12146" max="12146" width="9.44140625" style="381" customWidth="1"/>
    <col min="12147" max="12147" width="10.109375" style="381" customWidth="1"/>
    <col min="12148" max="12148" width="9.33203125" style="381" customWidth="1"/>
    <col min="12149" max="12149" width="9.44140625" style="381" customWidth="1"/>
    <col min="12150" max="12150" width="10.109375" style="381" customWidth="1"/>
    <col min="12151" max="12151" width="9.109375" style="381" customWidth="1"/>
    <col min="12152" max="12154" width="9" style="381" customWidth="1"/>
    <col min="12155" max="12155" width="8.88671875" style="381" customWidth="1"/>
    <col min="12156" max="12159" width="10.109375" style="381" customWidth="1"/>
    <col min="12160" max="12160" width="10" style="381" customWidth="1"/>
    <col min="12161" max="12161" width="9.88671875" style="381" customWidth="1"/>
    <col min="12162" max="12163" width="9.44140625" style="381" customWidth="1"/>
    <col min="12164" max="12164" width="8.6640625" style="381" customWidth="1"/>
    <col min="12165" max="12165" width="9.109375" style="381" customWidth="1"/>
    <col min="12166" max="12166" width="8.109375" style="381" customWidth="1"/>
    <col min="12167" max="12167" width="8.6640625" style="381" customWidth="1"/>
    <col min="12168" max="12168" width="10.109375" style="381" customWidth="1"/>
    <col min="12169" max="12169" width="9.33203125" style="381" customWidth="1"/>
    <col min="12170" max="12174" width="10.109375" style="381" customWidth="1"/>
    <col min="12175" max="12175" width="9.109375" style="381" customWidth="1"/>
    <col min="12176" max="12176" width="8.88671875" style="381" customWidth="1"/>
    <col min="12177" max="12177" width="9" style="381" customWidth="1"/>
    <col min="12178" max="12178" width="8.44140625" style="381" customWidth="1"/>
    <col min="12179" max="12179" width="9" style="381" customWidth="1"/>
    <col min="12180" max="12186" width="10.109375" style="381" customWidth="1"/>
    <col min="12187" max="12187" width="8.5546875" style="381" customWidth="1"/>
    <col min="12188" max="12188" width="8.33203125" style="381" customWidth="1"/>
    <col min="12189" max="12189" width="9.5546875" style="381" customWidth="1"/>
    <col min="12190" max="12190" width="8.33203125" style="381" customWidth="1"/>
    <col min="12191" max="12191" width="8.6640625" style="381" customWidth="1"/>
    <col min="12192" max="12289" width="9.109375" style="381"/>
    <col min="12290" max="12290" width="5.109375" style="381" bestFit="1" customWidth="1"/>
    <col min="12291" max="12291" width="79" style="381" customWidth="1"/>
    <col min="12292" max="12292" width="10.5546875" style="381" customWidth="1"/>
    <col min="12293" max="12293" width="9.88671875" style="381" customWidth="1"/>
    <col min="12294" max="12294" width="10.6640625" style="381" customWidth="1"/>
    <col min="12295" max="12295" width="11.6640625" style="381" customWidth="1"/>
    <col min="12296" max="12296" width="12.109375" style="381" customWidth="1"/>
    <col min="12297" max="12297" width="11.44140625" style="381" customWidth="1"/>
    <col min="12298" max="12299" width="9.6640625" style="381" customWidth="1"/>
    <col min="12300" max="12300" width="8.5546875" style="381" customWidth="1"/>
    <col min="12301" max="12301" width="8.109375" style="381" customWidth="1"/>
    <col min="12302" max="12302" width="9.33203125" style="381" customWidth="1"/>
    <col min="12303" max="12304" width="8.5546875" style="381" customWidth="1"/>
    <col min="12305" max="12305" width="9.88671875" style="381" customWidth="1"/>
    <col min="12306" max="12308" width="8.5546875" style="381" customWidth="1"/>
    <col min="12309" max="12309" width="9.5546875" style="381" customWidth="1"/>
    <col min="12310" max="12310" width="8.5546875" style="381" customWidth="1"/>
    <col min="12311" max="12311" width="9.44140625" style="381" customWidth="1"/>
    <col min="12312" max="12314" width="8.5546875" style="381" customWidth="1"/>
    <col min="12315" max="12315" width="9.44140625" style="381" customWidth="1"/>
    <col min="12316" max="12316" width="9.33203125" style="381" customWidth="1"/>
    <col min="12317" max="12317" width="9.44140625" style="381" customWidth="1"/>
    <col min="12318" max="12318" width="10" style="381" customWidth="1"/>
    <col min="12319" max="12319" width="8.109375" style="381" customWidth="1"/>
    <col min="12320" max="12320" width="10.88671875" style="381" customWidth="1"/>
    <col min="12321" max="12321" width="9.88671875" style="381" customWidth="1"/>
    <col min="12322" max="12322" width="10.109375" style="381" customWidth="1"/>
    <col min="12323" max="12323" width="9.33203125" style="381" customWidth="1"/>
    <col min="12324" max="12326" width="8.6640625" style="381" customWidth="1"/>
    <col min="12327" max="12327" width="7.44140625" style="381" customWidth="1"/>
    <col min="12328" max="12336" width="9.6640625" style="381" customWidth="1"/>
    <col min="12337" max="12337" width="8.5546875" style="381" customWidth="1"/>
    <col min="12338" max="12338" width="8.33203125" style="381" customWidth="1"/>
    <col min="12339" max="12339" width="9.6640625" style="381" customWidth="1"/>
    <col min="12340" max="12340" width="10.6640625" style="381" customWidth="1"/>
    <col min="12341" max="12343" width="9.6640625" style="381" customWidth="1"/>
    <col min="12344" max="12344" width="10.5546875" style="381" customWidth="1"/>
    <col min="12345" max="12347" width="9.6640625" style="381" customWidth="1"/>
    <col min="12348" max="12348" width="9" style="381" customWidth="1"/>
    <col min="12349" max="12349" width="9.6640625" style="381" customWidth="1"/>
    <col min="12350" max="12350" width="8.44140625" style="381" customWidth="1"/>
    <col min="12351" max="12351" width="8.6640625" style="381" customWidth="1"/>
    <col min="12352" max="12352" width="11.33203125" style="381" customWidth="1"/>
    <col min="12353" max="12353" width="9.44140625" style="381" customWidth="1"/>
    <col min="12354" max="12356" width="10.109375" style="381" customWidth="1"/>
    <col min="12357" max="12357" width="10" style="381" customWidth="1"/>
    <col min="12358" max="12358" width="9.109375" style="381" customWidth="1"/>
    <col min="12359" max="12359" width="9.44140625" style="381" customWidth="1"/>
    <col min="12360" max="12360" width="8.44140625" style="381" customWidth="1"/>
    <col min="12361" max="12361" width="10.109375" style="381" customWidth="1"/>
    <col min="12362" max="12362" width="8.44140625" style="381" customWidth="1"/>
    <col min="12363" max="12363" width="7.5546875" style="381" customWidth="1"/>
    <col min="12364" max="12364" width="10.88671875" style="381" customWidth="1"/>
    <col min="12365" max="12365" width="9.109375" style="381" customWidth="1"/>
    <col min="12366" max="12366" width="9.5546875" style="381" customWidth="1"/>
    <col min="12367" max="12367" width="9.6640625" style="381" customWidth="1"/>
    <col min="12368" max="12368" width="9.109375" style="381" customWidth="1"/>
    <col min="12369" max="12369" width="9" style="381" customWidth="1"/>
    <col min="12370" max="12370" width="9.109375" style="381" customWidth="1"/>
    <col min="12371" max="12371" width="9.6640625" style="381" customWidth="1"/>
    <col min="12372" max="12374" width="9.33203125" style="381" customWidth="1"/>
    <col min="12375" max="12375" width="9.109375" style="381" customWidth="1"/>
    <col min="12376" max="12379" width="10" style="381" customWidth="1"/>
    <col min="12380" max="12380" width="8.6640625" style="381" customWidth="1"/>
    <col min="12381" max="12382" width="10" style="381" customWidth="1"/>
    <col min="12383" max="12383" width="8.88671875" style="381" customWidth="1"/>
    <col min="12384" max="12386" width="9.109375" style="381" customWidth="1"/>
    <col min="12387" max="12387" width="9" style="381" customWidth="1"/>
    <col min="12388" max="12389" width="10" style="381" customWidth="1"/>
    <col min="12390" max="12390" width="9.5546875" style="381" customWidth="1"/>
    <col min="12391" max="12391" width="9.109375" style="381" customWidth="1"/>
    <col min="12392" max="12392" width="9" style="381" customWidth="1"/>
    <col min="12393" max="12395" width="9.44140625" style="381" customWidth="1"/>
    <col min="12396" max="12398" width="9.33203125" style="381" customWidth="1"/>
    <col min="12399" max="12399" width="9" style="381" customWidth="1"/>
    <col min="12400" max="12400" width="10.109375" style="381" customWidth="1"/>
    <col min="12401" max="12401" width="9.5546875" style="381" customWidth="1"/>
    <col min="12402" max="12402" width="9.44140625" style="381" customWidth="1"/>
    <col min="12403" max="12403" width="10.109375" style="381" customWidth="1"/>
    <col min="12404" max="12404" width="9.33203125" style="381" customWidth="1"/>
    <col min="12405" max="12405" width="9.44140625" style="381" customWidth="1"/>
    <col min="12406" max="12406" width="10.109375" style="381" customWidth="1"/>
    <col min="12407" max="12407" width="9.109375" style="381" customWidth="1"/>
    <col min="12408" max="12410" width="9" style="381" customWidth="1"/>
    <col min="12411" max="12411" width="8.88671875" style="381" customWidth="1"/>
    <col min="12412" max="12415" width="10.109375" style="381" customWidth="1"/>
    <col min="12416" max="12416" width="10" style="381" customWidth="1"/>
    <col min="12417" max="12417" width="9.88671875" style="381" customWidth="1"/>
    <col min="12418" max="12419" width="9.44140625" style="381" customWidth="1"/>
    <col min="12420" max="12420" width="8.6640625" style="381" customWidth="1"/>
    <col min="12421" max="12421" width="9.109375" style="381" customWidth="1"/>
    <col min="12422" max="12422" width="8.109375" style="381" customWidth="1"/>
    <col min="12423" max="12423" width="8.6640625" style="381" customWidth="1"/>
    <col min="12424" max="12424" width="10.109375" style="381" customWidth="1"/>
    <col min="12425" max="12425" width="9.33203125" style="381" customWidth="1"/>
    <col min="12426" max="12430" width="10.109375" style="381" customWidth="1"/>
    <col min="12431" max="12431" width="9.109375" style="381" customWidth="1"/>
    <col min="12432" max="12432" width="8.88671875" style="381" customWidth="1"/>
    <col min="12433" max="12433" width="9" style="381" customWidth="1"/>
    <col min="12434" max="12434" width="8.44140625" style="381" customWidth="1"/>
    <col min="12435" max="12435" width="9" style="381" customWidth="1"/>
    <col min="12436" max="12442" width="10.109375" style="381" customWidth="1"/>
    <col min="12443" max="12443" width="8.5546875" style="381" customWidth="1"/>
    <col min="12444" max="12444" width="8.33203125" style="381" customWidth="1"/>
    <col min="12445" max="12445" width="9.5546875" style="381" customWidth="1"/>
    <col min="12446" max="12446" width="8.33203125" style="381" customWidth="1"/>
    <col min="12447" max="12447" width="8.6640625" style="381" customWidth="1"/>
    <col min="12448" max="12545" width="9.109375" style="381"/>
    <col min="12546" max="12546" width="5.109375" style="381" bestFit="1" customWidth="1"/>
    <col min="12547" max="12547" width="79" style="381" customWidth="1"/>
    <col min="12548" max="12548" width="10.5546875" style="381" customWidth="1"/>
    <col min="12549" max="12549" width="9.88671875" style="381" customWidth="1"/>
    <col min="12550" max="12550" width="10.6640625" style="381" customWidth="1"/>
    <col min="12551" max="12551" width="11.6640625" style="381" customWidth="1"/>
    <col min="12552" max="12552" width="12.109375" style="381" customWidth="1"/>
    <col min="12553" max="12553" width="11.44140625" style="381" customWidth="1"/>
    <col min="12554" max="12555" width="9.6640625" style="381" customWidth="1"/>
    <col min="12556" max="12556" width="8.5546875" style="381" customWidth="1"/>
    <col min="12557" max="12557" width="8.109375" style="381" customWidth="1"/>
    <col min="12558" max="12558" width="9.33203125" style="381" customWidth="1"/>
    <col min="12559" max="12560" width="8.5546875" style="381" customWidth="1"/>
    <col min="12561" max="12561" width="9.88671875" style="381" customWidth="1"/>
    <col min="12562" max="12564" width="8.5546875" style="381" customWidth="1"/>
    <col min="12565" max="12565" width="9.5546875" style="381" customWidth="1"/>
    <col min="12566" max="12566" width="8.5546875" style="381" customWidth="1"/>
    <col min="12567" max="12567" width="9.44140625" style="381" customWidth="1"/>
    <col min="12568" max="12570" width="8.5546875" style="381" customWidth="1"/>
    <col min="12571" max="12571" width="9.44140625" style="381" customWidth="1"/>
    <col min="12572" max="12572" width="9.33203125" style="381" customWidth="1"/>
    <col min="12573" max="12573" width="9.44140625" style="381" customWidth="1"/>
    <col min="12574" max="12574" width="10" style="381" customWidth="1"/>
    <col min="12575" max="12575" width="8.109375" style="381" customWidth="1"/>
    <col min="12576" max="12576" width="10.88671875" style="381" customWidth="1"/>
    <col min="12577" max="12577" width="9.88671875" style="381" customWidth="1"/>
    <col min="12578" max="12578" width="10.109375" style="381" customWidth="1"/>
    <col min="12579" max="12579" width="9.33203125" style="381" customWidth="1"/>
    <col min="12580" max="12582" width="8.6640625" style="381" customWidth="1"/>
    <col min="12583" max="12583" width="7.44140625" style="381" customWidth="1"/>
    <col min="12584" max="12592" width="9.6640625" style="381" customWidth="1"/>
    <col min="12593" max="12593" width="8.5546875" style="381" customWidth="1"/>
    <col min="12594" max="12594" width="8.33203125" style="381" customWidth="1"/>
    <col min="12595" max="12595" width="9.6640625" style="381" customWidth="1"/>
    <col min="12596" max="12596" width="10.6640625" style="381" customWidth="1"/>
    <col min="12597" max="12599" width="9.6640625" style="381" customWidth="1"/>
    <col min="12600" max="12600" width="10.5546875" style="381" customWidth="1"/>
    <col min="12601" max="12603" width="9.6640625" style="381" customWidth="1"/>
    <col min="12604" max="12604" width="9" style="381" customWidth="1"/>
    <col min="12605" max="12605" width="9.6640625" style="381" customWidth="1"/>
    <col min="12606" max="12606" width="8.44140625" style="381" customWidth="1"/>
    <col min="12607" max="12607" width="8.6640625" style="381" customWidth="1"/>
    <col min="12608" max="12608" width="11.33203125" style="381" customWidth="1"/>
    <col min="12609" max="12609" width="9.44140625" style="381" customWidth="1"/>
    <col min="12610" max="12612" width="10.109375" style="381" customWidth="1"/>
    <col min="12613" max="12613" width="10" style="381" customWidth="1"/>
    <col min="12614" max="12614" width="9.109375" style="381" customWidth="1"/>
    <col min="12615" max="12615" width="9.44140625" style="381" customWidth="1"/>
    <col min="12616" max="12616" width="8.44140625" style="381" customWidth="1"/>
    <col min="12617" max="12617" width="10.109375" style="381" customWidth="1"/>
    <col min="12618" max="12618" width="8.44140625" style="381" customWidth="1"/>
    <col min="12619" max="12619" width="7.5546875" style="381" customWidth="1"/>
    <col min="12620" max="12620" width="10.88671875" style="381" customWidth="1"/>
    <col min="12621" max="12621" width="9.109375" style="381" customWidth="1"/>
    <col min="12622" max="12622" width="9.5546875" style="381" customWidth="1"/>
    <col min="12623" max="12623" width="9.6640625" style="381" customWidth="1"/>
    <col min="12624" max="12624" width="9.109375" style="381" customWidth="1"/>
    <col min="12625" max="12625" width="9" style="381" customWidth="1"/>
    <col min="12626" max="12626" width="9.109375" style="381" customWidth="1"/>
    <col min="12627" max="12627" width="9.6640625" style="381" customWidth="1"/>
    <col min="12628" max="12630" width="9.33203125" style="381" customWidth="1"/>
    <col min="12631" max="12631" width="9.109375" style="381" customWidth="1"/>
    <col min="12632" max="12635" width="10" style="381" customWidth="1"/>
    <col min="12636" max="12636" width="8.6640625" style="381" customWidth="1"/>
    <col min="12637" max="12638" width="10" style="381" customWidth="1"/>
    <col min="12639" max="12639" width="8.88671875" style="381" customWidth="1"/>
    <col min="12640" max="12642" width="9.109375" style="381" customWidth="1"/>
    <col min="12643" max="12643" width="9" style="381" customWidth="1"/>
    <col min="12644" max="12645" width="10" style="381" customWidth="1"/>
    <col min="12646" max="12646" width="9.5546875" style="381" customWidth="1"/>
    <col min="12647" max="12647" width="9.109375" style="381" customWidth="1"/>
    <col min="12648" max="12648" width="9" style="381" customWidth="1"/>
    <col min="12649" max="12651" width="9.44140625" style="381" customWidth="1"/>
    <col min="12652" max="12654" width="9.33203125" style="381" customWidth="1"/>
    <col min="12655" max="12655" width="9" style="381" customWidth="1"/>
    <col min="12656" max="12656" width="10.109375" style="381" customWidth="1"/>
    <col min="12657" max="12657" width="9.5546875" style="381" customWidth="1"/>
    <col min="12658" max="12658" width="9.44140625" style="381" customWidth="1"/>
    <col min="12659" max="12659" width="10.109375" style="381" customWidth="1"/>
    <col min="12660" max="12660" width="9.33203125" style="381" customWidth="1"/>
    <col min="12661" max="12661" width="9.44140625" style="381" customWidth="1"/>
    <col min="12662" max="12662" width="10.109375" style="381" customWidth="1"/>
    <col min="12663" max="12663" width="9.109375" style="381" customWidth="1"/>
    <col min="12664" max="12666" width="9" style="381" customWidth="1"/>
    <col min="12667" max="12667" width="8.88671875" style="381" customWidth="1"/>
    <col min="12668" max="12671" width="10.109375" style="381" customWidth="1"/>
    <col min="12672" max="12672" width="10" style="381" customWidth="1"/>
    <col min="12673" max="12673" width="9.88671875" style="381" customWidth="1"/>
    <col min="12674" max="12675" width="9.44140625" style="381" customWidth="1"/>
    <col min="12676" max="12676" width="8.6640625" style="381" customWidth="1"/>
    <col min="12677" max="12677" width="9.109375" style="381" customWidth="1"/>
    <col min="12678" max="12678" width="8.109375" style="381" customWidth="1"/>
    <col min="12679" max="12679" width="8.6640625" style="381" customWidth="1"/>
    <col min="12680" max="12680" width="10.109375" style="381" customWidth="1"/>
    <col min="12681" max="12681" width="9.33203125" style="381" customWidth="1"/>
    <col min="12682" max="12686" width="10.109375" style="381" customWidth="1"/>
    <col min="12687" max="12687" width="9.109375" style="381" customWidth="1"/>
    <col min="12688" max="12688" width="8.88671875" style="381" customWidth="1"/>
    <col min="12689" max="12689" width="9" style="381" customWidth="1"/>
    <col min="12690" max="12690" width="8.44140625" style="381" customWidth="1"/>
    <col min="12691" max="12691" width="9" style="381" customWidth="1"/>
    <col min="12692" max="12698" width="10.109375" style="381" customWidth="1"/>
    <col min="12699" max="12699" width="8.5546875" style="381" customWidth="1"/>
    <col min="12700" max="12700" width="8.33203125" style="381" customWidth="1"/>
    <col min="12701" max="12701" width="9.5546875" style="381" customWidth="1"/>
    <col min="12702" max="12702" width="8.33203125" style="381" customWidth="1"/>
    <col min="12703" max="12703" width="8.6640625" style="381" customWidth="1"/>
    <col min="12704" max="12801" width="9.109375" style="381"/>
    <col min="12802" max="12802" width="5.109375" style="381" bestFit="1" customWidth="1"/>
    <col min="12803" max="12803" width="79" style="381" customWidth="1"/>
    <col min="12804" max="12804" width="10.5546875" style="381" customWidth="1"/>
    <col min="12805" max="12805" width="9.88671875" style="381" customWidth="1"/>
    <col min="12806" max="12806" width="10.6640625" style="381" customWidth="1"/>
    <col min="12807" max="12807" width="11.6640625" style="381" customWidth="1"/>
    <col min="12808" max="12808" width="12.109375" style="381" customWidth="1"/>
    <col min="12809" max="12809" width="11.44140625" style="381" customWidth="1"/>
    <col min="12810" max="12811" width="9.6640625" style="381" customWidth="1"/>
    <col min="12812" max="12812" width="8.5546875" style="381" customWidth="1"/>
    <col min="12813" max="12813" width="8.109375" style="381" customWidth="1"/>
    <col min="12814" max="12814" width="9.33203125" style="381" customWidth="1"/>
    <col min="12815" max="12816" width="8.5546875" style="381" customWidth="1"/>
    <col min="12817" max="12817" width="9.88671875" style="381" customWidth="1"/>
    <col min="12818" max="12820" width="8.5546875" style="381" customWidth="1"/>
    <col min="12821" max="12821" width="9.5546875" style="381" customWidth="1"/>
    <col min="12822" max="12822" width="8.5546875" style="381" customWidth="1"/>
    <col min="12823" max="12823" width="9.44140625" style="381" customWidth="1"/>
    <col min="12824" max="12826" width="8.5546875" style="381" customWidth="1"/>
    <col min="12827" max="12827" width="9.44140625" style="381" customWidth="1"/>
    <col min="12828" max="12828" width="9.33203125" style="381" customWidth="1"/>
    <col min="12829" max="12829" width="9.44140625" style="381" customWidth="1"/>
    <col min="12830" max="12830" width="10" style="381" customWidth="1"/>
    <col min="12831" max="12831" width="8.109375" style="381" customWidth="1"/>
    <col min="12832" max="12832" width="10.88671875" style="381" customWidth="1"/>
    <col min="12833" max="12833" width="9.88671875" style="381" customWidth="1"/>
    <col min="12834" max="12834" width="10.109375" style="381" customWidth="1"/>
    <col min="12835" max="12835" width="9.33203125" style="381" customWidth="1"/>
    <col min="12836" max="12838" width="8.6640625" style="381" customWidth="1"/>
    <col min="12839" max="12839" width="7.44140625" style="381" customWidth="1"/>
    <col min="12840" max="12848" width="9.6640625" style="381" customWidth="1"/>
    <col min="12849" max="12849" width="8.5546875" style="381" customWidth="1"/>
    <col min="12850" max="12850" width="8.33203125" style="381" customWidth="1"/>
    <col min="12851" max="12851" width="9.6640625" style="381" customWidth="1"/>
    <col min="12852" max="12852" width="10.6640625" style="381" customWidth="1"/>
    <col min="12853" max="12855" width="9.6640625" style="381" customWidth="1"/>
    <col min="12856" max="12856" width="10.5546875" style="381" customWidth="1"/>
    <col min="12857" max="12859" width="9.6640625" style="381" customWidth="1"/>
    <col min="12860" max="12860" width="9" style="381" customWidth="1"/>
    <col min="12861" max="12861" width="9.6640625" style="381" customWidth="1"/>
    <col min="12862" max="12862" width="8.44140625" style="381" customWidth="1"/>
    <col min="12863" max="12863" width="8.6640625" style="381" customWidth="1"/>
    <col min="12864" max="12864" width="11.33203125" style="381" customWidth="1"/>
    <col min="12865" max="12865" width="9.44140625" style="381" customWidth="1"/>
    <col min="12866" max="12868" width="10.109375" style="381" customWidth="1"/>
    <col min="12869" max="12869" width="10" style="381" customWidth="1"/>
    <col min="12870" max="12870" width="9.109375" style="381" customWidth="1"/>
    <col min="12871" max="12871" width="9.44140625" style="381" customWidth="1"/>
    <col min="12872" max="12872" width="8.44140625" style="381" customWidth="1"/>
    <col min="12873" max="12873" width="10.109375" style="381" customWidth="1"/>
    <col min="12874" max="12874" width="8.44140625" style="381" customWidth="1"/>
    <col min="12875" max="12875" width="7.5546875" style="381" customWidth="1"/>
    <col min="12876" max="12876" width="10.88671875" style="381" customWidth="1"/>
    <col min="12877" max="12877" width="9.109375" style="381" customWidth="1"/>
    <col min="12878" max="12878" width="9.5546875" style="381" customWidth="1"/>
    <col min="12879" max="12879" width="9.6640625" style="381" customWidth="1"/>
    <col min="12880" max="12880" width="9.109375" style="381" customWidth="1"/>
    <col min="12881" max="12881" width="9" style="381" customWidth="1"/>
    <col min="12882" max="12882" width="9.109375" style="381" customWidth="1"/>
    <col min="12883" max="12883" width="9.6640625" style="381" customWidth="1"/>
    <col min="12884" max="12886" width="9.33203125" style="381" customWidth="1"/>
    <col min="12887" max="12887" width="9.109375" style="381" customWidth="1"/>
    <col min="12888" max="12891" width="10" style="381" customWidth="1"/>
    <col min="12892" max="12892" width="8.6640625" style="381" customWidth="1"/>
    <col min="12893" max="12894" width="10" style="381" customWidth="1"/>
    <col min="12895" max="12895" width="8.88671875" style="381" customWidth="1"/>
    <col min="12896" max="12898" width="9.109375" style="381" customWidth="1"/>
    <col min="12899" max="12899" width="9" style="381" customWidth="1"/>
    <col min="12900" max="12901" width="10" style="381" customWidth="1"/>
    <col min="12902" max="12902" width="9.5546875" style="381" customWidth="1"/>
    <col min="12903" max="12903" width="9.109375" style="381" customWidth="1"/>
    <col min="12904" max="12904" width="9" style="381" customWidth="1"/>
    <col min="12905" max="12907" width="9.44140625" style="381" customWidth="1"/>
    <col min="12908" max="12910" width="9.33203125" style="381" customWidth="1"/>
    <col min="12911" max="12911" width="9" style="381" customWidth="1"/>
    <col min="12912" max="12912" width="10.109375" style="381" customWidth="1"/>
    <col min="12913" max="12913" width="9.5546875" style="381" customWidth="1"/>
    <col min="12914" max="12914" width="9.44140625" style="381" customWidth="1"/>
    <col min="12915" max="12915" width="10.109375" style="381" customWidth="1"/>
    <col min="12916" max="12916" width="9.33203125" style="381" customWidth="1"/>
    <col min="12917" max="12917" width="9.44140625" style="381" customWidth="1"/>
    <col min="12918" max="12918" width="10.109375" style="381" customWidth="1"/>
    <col min="12919" max="12919" width="9.109375" style="381" customWidth="1"/>
    <col min="12920" max="12922" width="9" style="381" customWidth="1"/>
    <col min="12923" max="12923" width="8.88671875" style="381" customWidth="1"/>
    <col min="12924" max="12927" width="10.109375" style="381" customWidth="1"/>
    <col min="12928" max="12928" width="10" style="381" customWidth="1"/>
    <col min="12929" max="12929" width="9.88671875" style="381" customWidth="1"/>
    <col min="12930" max="12931" width="9.44140625" style="381" customWidth="1"/>
    <col min="12932" max="12932" width="8.6640625" style="381" customWidth="1"/>
    <col min="12933" max="12933" width="9.109375" style="381" customWidth="1"/>
    <col min="12934" max="12934" width="8.109375" style="381" customWidth="1"/>
    <col min="12935" max="12935" width="8.6640625" style="381" customWidth="1"/>
    <col min="12936" max="12936" width="10.109375" style="381" customWidth="1"/>
    <col min="12937" max="12937" width="9.33203125" style="381" customWidth="1"/>
    <col min="12938" max="12942" width="10.109375" style="381" customWidth="1"/>
    <col min="12943" max="12943" width="9.109375" style="381" customWidth="1"/>
    <col min="12944" max="12944" width="8.88671875" style="381" customWidth="1"/>
    <col min="12945" max="12945" width="9" style="381" customWidth="1"/>
    <col min="12946" max="12946" width="8.44140625" style="381" customWidth="1"/>
    <col min="12947" max="12947" width="9" style="381" customWidth="1"/>
    <col min="12948" max="12954" width="10.109375" style="381" customWidth="1"/>
    <col min="12955" max="12955" width="8.5546875" style="381" customWidth="1"/>
    <col min="12956" max="12956" width="8.33203125" style="381" customWidth="1"/>
    <col min="12957" max="12957" width="9.5546875" style="381" customWidth="1"/>
    <col min="12958" max="12958" width="8.33203125" style="381" customWidth="1"/>
    <col min="12959" max="12959" width="8.6640625" style="381" customWidth="1"/>
    <col min="12960" max="13057" width="9.109375" style="381"/>
    <col min="13058" max="13058" width="5.109375" style="381" bestFit="1" customWidth="1"/>
    <col min="13059" max="13059" width="79" style="381" customWidth="1"/>
    <col min="13060" max="13060" width="10.5546875" style="381" customWidth="1"/>
    <col min="13061" max="13061" width="9.88671875" style="381" customWidth="1"/>
    <col min="13062" max="13062" width="10.6640625" style="381" customWidth="1"/>
    <col min="13063" max="13063" width="11.6640625" style="381" customWidth="1"/>
    <col min="13064" max="13064" width="12.109375" style="381" customWidth="1"/>
    <col min="13065" max="13065" width="11.44140625" style="381" customWidth="1"/>
    <col min="13066" max="13067" width="9.6640625" style="381" customWidth="1"/>
    <col min="13068" max="13068" width="8.5546875" style="381" customWidth="1"/>
    <col min="13069" max="13069" width="8.109375" style="381" customWidth="1"/>
    <col min="13070" max="13070" width="9.33203125" style="381" customWidth="1"/>
    <col min="13071" max="13072" width="8.5546875" style="381" customWidth="1"/>
    <col min="13073" max="13073" width="9.88671875" style="381" customWidth="1"/>
    <col min="13074" max="13076" width="8.5546875" style="381" customWidth="1"/>
    <col min="13077" max="13077" width="9.5546875" style="381" customWidth="1"/>
    <col min="13078" max="13078" width="8.5546875" style="381" customWidth="1"/>
    <col min="13079" max="13079" width="9.44140625" style="381" customWidth="1"/>
    <col min="13080" max="13082" width="8.5546875" style="381" customWidth="1"/>
    <col min="13083" max="13083" width="9.44140625" style="381" customWidth="1"/>
    <col min="13084" max="13084" width="9.33203125" style="381" customWidth="1"/>
    <col min="13085" max="13085" width="9.44140625" style="381" customWidth="1"/>
    <col min="13086" max="13086" width="10" style="381" customWidth="1"/>
    <col min="13087" max="13087" width="8.109375" style="381" customWidth="1"/>
    <col min="13088" max="13088" width="10.88671875" style="381" customWidth="1"/>
    <col min="13089" max="13089" width="9.88671875" style="381" customWidth="1"/>
    <col min="13090" max="13090" width="10.109375" style="381" customWidth="1"/>
    <col min="13091" max="13091" width="9.33203125" style="381" customWidth="1"/>
    <col min="13092" max="13094" width="8.6640625" style="381" customWidth="1"/>
    <col min="13095" max="13095" width="7.44140625" style="381" customWidth="1"/>
    <col min="13096" max="13104" width="9.6640625" style="381" customWidth="1"/>
    <col min="13105" max="13105" width="8.5546875" style="381" customWidth="1"/>
    <col min="13106" max="13106" width="8.33203125" style="381" customWidth="1"/>
    <col min="13107" max="13107" width="9.6640625" style="381" customWidth="1"/>
    <col min="13108" max="13108" width="10.6640625" style="381" customWidth="1"/>
    <col min="13109" max="13111" width="9.6640625" style="381" customWidth="1"/>
    <col min="13112" max="13112" width="10.5546875" style="381" customWidth="1"/>
    <col min="13113" max="13115" width="9.6640625" style="381" customWidth="1"/>
    <col min="13116" max="13116" width="9" style="381" customWidth="1"/>
    <col min="13117" max="13117" width="9.6640625" style="381" customWidth="1"/>
    <col min="13118" max="13118" width="8.44140625" style="381" customWidth="1"/>
    <col min="13119" max="13119" width="8.6640625" style="381" customWidth="1"/>
    <col min="13120" max="13120" width="11.33203125" style="381" customWidth="1"/>
    <col min="13121" max="13121" width="9.44140625" style="381" customWidth="1"/>
    <col min="13122" max="13124" width="10.109375" style="381" customWidth="1"/>
    <col min="13125" max="13125" width="10" style="381" customWidth="1"/>
    <col min="13126" max="13126" width="9.109375" style="381" customWidth="1"/>
    <col min="13127" max="13127" width="9.44140625" style="381" customWidth="1"/>
    <col min="13128" max="13128" width="8.44140625" style="381" customWidth="1"/>
    <col min="13129" max="13129" width="10.109375" style="381" customWidth="1"/>
    <col min="13130" max="13130" width="8.44140625" style="381" customWidth="1"/>
    <col min="13131" max="13131" width="7.5546875" style="381" customWidth="1"/>
    <col min="13132" max="13132" width="10.88671875" style="381" customWidth="1"/>
    <col min="13133" max="13133" width="9.109375" style="381" customWidth="1"/>
    <col min="13134" max="13134" width="9.5546875" style="381" customWidth="1"/>
    <col min="13135" max="13135" width="9.6640625" style="381" customWidth="1"/>
    <col min="13136" max="13136" width="9.109375" style="381" customWidth="1"/>
    <col min="13137" max="13137" width="9" style="381" customWidth="1"/>
    <col min="13138" max="13138" width="9.109375" style="381" customWidth="1"/>
    <col min="13139" max="13139" width="9.6640625" style="381" customWidth="1"/>
    <col min="13140" max="13142" width="9.33203125" style="381" customWidth="1"/>
    <col min="13143" max="13143" width="9.109375" style="381" customWidth="1"/>
    <col min="13144" max="13147" width="10" style="381" customWidth="1"/>
    <col min="13148" max="13148" width="8.6640625" style="381" customWidth="1"/>
    <col min="13149" max="13150" width="10" style="381" customWidth="1"/>
    <col min="13151" max="13151" width="8.88671875" style="381" customWidth="1"/>
    <col min="13152" max="13154" width="9.109375" style="381" customWidth="1"/>
    <col min="13155" max="13155" width="9" style="381" customWidth="1"/>
    <col min="13156" max="13157" width="10" style="381" customWidth="1"/>
    <col min="13158" max="13158" width="9.5546875" style="381" customWidth="1"/>
    <col min="13159" max="13159" width="9.109375" style="381" customWidth="1"/>
    <col min="13160" max="13160" width="9" style="381" customWidth="1"/>
    <col min="13161" max="13163" width="9.44140625" style="381" customWidth="1"/>
    <col min="13164" max="13166" width="9.33203125" style="381" customWidth="1"/>
    <col min="13167" max="13167" width="9" style="381" customWidth="1"/>
    <col min="13168" max="13168" width="10.109375" style="381" customWidth="1"/>
    <col min="13169" max="13169" width="9.5546875" style="381" customWidth="1"/>
    <col min="13170" max="13170" width="9.44140625" style="381" customWidth="1"/>
    <col min="13171" max="13171" width="10.109375" style="381" customWidth="1"/>
    <col min="13172" max="13172" width="9.33203125" style="381" customWidth="1"/>
    <col min="13173" max="13173" width="9.44140625" style="381" customWidth="1"/>
    <col min="13174" max="13174" width="10.109375" style="381" customWidth="1"/>
    <col min="13175" max="13175" width="9.109375" style="381" customWidth="1"/>
    <col min="13176" max="13178" width="9" style="381" customWidth="1"/>
    <col min="13179" max="13179" width="8.88671875" style="381" customWidth="1"/>
    <col min="13180" max="13183" width="10.109375" style="381" customWidth="1"/>
    <col min="13184" max="13184" width="10" style="381" customWidth="1"/>
    <col min="13185" max="13185" width="9.88671875" style="381" customWidth="1"/>
    <col min="13186" max="13187" width="9.44140625" style="381" customWidth="1"/>
    <col min="13188" max="13188" width="8.6640625" style="381" customWidth="1"/>
    <col min="13189" max="13189" width="9.109375" style="381" customWidth="1"/>
    <col min="13190" max="13190" width="8.109375" style="381" customWidth="1"/>
    <col min="13191" max="13191" width="8.6640625" style="381" customWidth="1"/>
    <col min="13192" max="13192" width="10.109375" style="381" customWidth="1"/>
    <col min="13193" max="13193" width="9.33203125" style="381" customWidth="1"/>
    <col min="13194" max="13198" width="10.109375" style="381" customWidth="1"/>
    <col min="13199" max="13199" width="9.109375" style="381" customWidth="1"/>
    <col min="13200" max="13200" width="8.88671875" style="381" customWidth="1"/>
    <col min="13201" max="13201" width="9" style="381" customWidth="1"/>
    <col min="13202" max="13202" width="8.44140625" style="381" customWidth="1"/>
    <col min="13203" max="13203" width="9" style="381" customWidth="1"/>
    <col min="13204" max="13210" width="10.109375" style="381" customWidth="1"/>
    <col min="13211" max="13211" width="8.5546875" style="381" customWidth="1"/>
    <col min="13212" max="13212" width="8.33203125" style="381" customWidth="1"/>
    <col min="13213" max="13213" width="9.5546875" style="381" customWidth="1"/>
    <col min="13214" max="13214" width="8.33203125" style="381" customWidth="1"/>
    <col min="13215" max="13215" width="8.6640625" style="381" customWidth="1"/>
    <col min="13216" max="13313" width="9.109375" style="381"/>
    <col min="13314" max="13314" width="5.109375" style="381" bestFit="1" customWidth="1"/>
    <col min="13315" max="13315" width="79" style="381" customWidth="1"/>
    <col min="13316" max="13316" width="10.5546875" style="381" customWidth="1"/>
    <col min="13317" max="13317" width="9.88671875" style="381" customWidth="1"/>
    <col min="13318" max="13318" width="10.6640625" style="381" customWidth="1"/>
    <col min="13319" max="13319" width="11.6640625" style="381" customWidth="1"/>
    <col min="13320" max="13320" width="12.109375" style="381" customWidth="1"/>
    <col min="13321" max="13321" width="11.44140625" style="381" customWidth="1"/>
    <col min="13322" max="13323" width="9.6640625" style="381" customWidth="1"/>
    <col min="13324" max="13324" width="8.5546875" style="381" customWidth="1"/>
    <col min="13325" max="13325" width="8.109375" style="381" customWidth="1"/>
    <col min="13326" max="13326" width="9.33203125" style="381" customWidth="1"/>
    <col min="13327" max="13328" width="8.5546875" style="381" customWidth="1"/>
    <col min="13329" max="13329" width="9.88671875" style="381" customWidth="1"/>
    <col min="13330" max="13332" width="8.5546875" style="381" customWidth="1"/>
    <col min="13333" max="13333" width="9.5546875" style="381" customWidth="1"/>
    <col min="13334" max="13334" width="8.5546875" style="381" customWidth="1"/>
    <col min="13335" max="13335" width="9.44140625" style="381" customWidth="1"/>
    <col min="13336" max="13338" width="8.5546875" style="381" customWidth="1"/>
    <col min="13339" max="13339" width="9.44140625" style="381" customWidth="1"/>
    <col min="13340" max="13340" width="9.33203125" style="381" customWidth="1"/>
    <col min="13341" max="13341" width="9.44140625" style="381" customWidth="1"/>
    <col min="13342" max="13342" width="10" style="381" customWidth="1"/>
    <col min="13343" max="13343" width="8.109375" style="381" customWidth="1"/>
    <col min="13344" max="13344" width="10.88671875" style="381" customWidth="1"/>
    <col min="13345" max="13345" width="9.88671875" style="381" customWidth="1"/>
    <col min="13346" max="13346" width="10.109375" style="381" customWidth="1"/>
    <col min="13347" max="13347" width="9.33203125" style="381" customWidth="1"/>
    <col min="13348" max="13350" width="8.6640625" style="381" customWidth="1"/>
    <col min="13351" max="13351" width="7.44140625" style="381" customWidth="1"/>
    <col min="13352" max="13360" width="9.6640625" style="381" customWidth="1"/>
    <col min="13361" max="13361" width="8.5546875" style="381" customWidth="1"/>
    <col min="13362" max="13362" width="8.33203125" style="381" customWidth="1"/>
    <col min="13363" max="13363" width="9.6640625" style="381" customWidth="1"/>
    <col min="13364" max="13364" width="10.6640625" style="381" customWidth="1"/>
    <col min="13365" max="13367" width="9.6640625" style="381" customWidth="1"/>
    <col min="13368" max="13368" width="10.5546875" style="381" customWidth="1"/>
    <col min="13369" max="13371" width="9.6640625" style="381" customWidth="1"/>
    <col min="13372" max="13372" width="9" style="381" customWidth="1"/>
    <col min="13373" max="13373" width="9.6640625" style="381" customWidth="1"/>
    <col min="13374" max="13374" width="8.44140625" style="381" customWidth="1"/>
    <col min="13375" max="13375" width="8.6640625" style="381" customWidth="1"/>
    <col min="13376" max="13376" width="11.33203125" style="381" customWidth="1"/>
    <col min="13377" max="13377" width="9.44140625" style="381" customWidth="1"/>
    <col min="13378" max="13380" width="10.109375" style="381" customWidth="1"/>
    <col min="13381" max="13381" width="10" style="381" customWidth="1"/>
    <col min="13382" max="13382" width="9.109375" style="381" customWidth="1"/>
    <col min="13383" max="13383" width="9.44140625" style="381" customWidth="1"/>
    <col min="13384" max="13384" width="8.44140625" style="381" customWidth="1"/>
    <col min="13385" max="13385" width="10.109375" style="381" customWidth="1"/>
    <col min="13386" max="13386" width="8.44140625" style="381" customWidth="1"/>
    <col min="13387" max="13387" width="7.5546875" style="381" customWidth="1"/>
    <col min="13388" max="13388" width="10.88671875" style="381" customWidth="1"/>
    <col min="13389" max="13389" width="9.109375" style="381" customWidth="1"/>
    <col min="13390" max="13390" width="9.5546875" style="381" customWidth="1"/>
    <col min="13391" max="13391" width="9.6640625" style="381" customWidth="1"/>
    <col min="13392" max="13392" width="9.109375" style="381" customWidth="1"/>
    <col min="13393" max="13393" width="9" style="381" customWidth="1"/>
    <col min="13394" max="13394" width="9.109375" style="381" customWidth="1"/>
    <col min="13395" max="13395" width="9.6640625" style="381" customWidth="1"/>
    <col min="13396" max="13398" width="9.33203125" style="381" customWidth="1"/>
    <col min="13399" max="13399" width="9.109375" style="381" customWidth="1"/>
    <col min="13400" max="13403" width="10" style="381" customWidth="1"/>
    <col min="13404" max="13404" width="8.6640625" style="381" customWidth="1"/>
    <col min="13405" max="13406" width="10" style="381" customWidth="1"/>
    <col min="13407" max="13407" width="8.88671875" style="381" customWidth="1"/>
    <col min="13408" max="13410" width="9.109375" style="381" customWidth="1"/>
    <col min="13411" max="13411" width="9" style="381" customWidth="1"/>
    <col min="13412" max="13413" width="10" style="381" customWidth="1"/>
    <col min="13414" max="13414" width="9.5546875" style="381" customWidth="1"/>
    <col min="13415" max="13415" width="9.109375" style="381" customWidth="1"/>
    <col min="13416" max="13416" width="9" style="381" customWidth="1"/>
    <col min="13417" max="13419" width="9.44140625" style="381" customWidth="1"/>
    <col min="13420" max="13422" width="9.33203125" style="381" customWidth="1"/>
    <col min="13423" max="13423" width="9" style="381" customWidth="1"/>
    <col min="13424" max="13424" width="10.109375" style="381" customWidth="1"/>
    <col min="13425" max="13425" width="9.5546875" style="381" customWidth="1"/>
    <col min="13426" max="13426" width="9.44140625" style="381" customWidth="1"/>
    <col min="13427" max="13427" width="10.109375" style="381" customWidth="1"/>
    <col min="13428" max="13428" width="9.33203125" style="381" customWidth="1"/>
    <col min="13429" max="13429" width="9.44140625" style="381" customWidth="1"/>
    <col min="13430" max="13430" width="10.109375" style="381" customWidth="1"/>
    <col min="13431" max="13431" width="9.109375" style="381" customWidth="1"/>
    <col min="13432" max="13434" width="9" style="381" customWidth="1"/>
    <col min="13435" max="13435" width="8.88671875" style="381" customWidth="1"/>
    <col min="13436" max="13439" width="10.109375" style="381" customWidth="1"/>
    <col min="13440" max="13440" width="10" style="381" customWidth="1"/>
    <col min="13441" max="13441" width="9.88671875" style="381" customWidth="1"/>
    <col min="13442" max="13443" width="9.44140625" style="381" customWidth="1"/>
    <col min="13444" max="13444" width="8.6640625" style="381" customWidth="1"/>
    <col min="13445" max="13445" width="9.109375" style="381" customWidth="1"/>
    <col min="13446" max="13446" width="8.109375" style="381" customWidth="1"/>
    <col min="13447" max="13447" width="8.6640625" style="381" customWidth="1"/>
    <col min="13448" max="13448" width="10.109375" style="381" customWidth="1"/>
    <col min="13449" max="13449" width="9.33203125" style="381" customWidth="1"/>
    <col min="13450" max="13454" width="10.109375" style="381" customWidth="1"/>
    <col min="13455" max="13455" width="9.109375" style="381" customWidth="1"/>
    <col min="13456" max="13456" width="8.88671875" style="381" customWidth="1"/>
    <col min="13457" max="13457" width="9" style="381" customWidth="1"/>
    <col min="13458" max="13458" width="8.44140625" style="381" customWidth="1"/>
    <col min="13459" max="13459" width="9" style="381" customWidth="1"/>
    <col min="13460" max="13466" width="10.109375" style="381" customWidth="1"/>
    <col min="13467" max="13467" width="8.5546875" style="381" customWidth="1"/>
    <col min="13468" max="13468" width="8.33203125" style="381" customWidth="1"/>
    <col min="13469" max="13469" width="9.5546875" style="381" customWidth="1"/>
    <col min="13470" max="13470" width="8.33203125" style="381" customWidth="1"/>
    <col min="13471" max="13471" width="8.6640625" style="381" customWidth="1"/>
    <col min="13472" max="13569" width="9.109375" style="381"/>
    <col min="13570" max="13570" width="5.109375" style="381" bestFit="1" customWidth="1"/>
    <col min="13571" max="13571" width="79" style="381" customWidth="1"/>
    <col min="13572" max="13572" width="10.5546875" style="381" customWidth="1"/>
    <col min="13573" max="13573" width="9.88671875" style="381" customWidth="1"/>
    <col min="13574" max="13574" width="10.6640625" style="381" customWidth="1"/>
    <col min="13575" max="13575" width="11.6640625" style="381" customWidth="1"/>
    <col min="13576" max="13576" width="12.109375" style="381" customWidth="1"/>
    <col min="13577" max="13577" width="11.44140625" style="381" customWidth="1"/>
    <col min="13578" max="13579" width="9.6640625" style="381" customWidth="1"/>
    <col min="13580" max="13580" width="8.5546875" style="381" customWidth="1"/>
    <col min="13581" max="13581" width="8.109375" style="381" customWidth="1"/>
    <col min="13582" max="13582" width="9.33203125" style="381" customWidth="1"/>
    <col min="13583" max="13584" width="8.5546875" style="381" customWidth="1"/>
    <col min="13585" max="13585" width="9.88671875" style="381" customWidth="1"/>
    <col min="13586" max="13588" width="8.5546875" style="381" customWidth="1"/>
    <col min="13589" max="13589" width="9.5546875" style="381" customWidth="1"/>
    <col min="13590" max="13590" width="8.5546875" style="381" customWidth="1"/>
    <col min="13591" max="13591" width="9.44140625" style="381" customWidth="1"/>
    <col min="13592" max="13594" width="8.5546875" style="381" customWidth="1"/>
    <col min="13595" max="13595" width="9.44140625" style="381" customWidth="1"/>
    <col min="13596" max="13596" width="9.33203125" style="381" customWidth="1"/>
    <col min="13597" max="13597" width="9.44140625" style="381" customWidth="1"/>
    <col min="13598" max="13598" width="10" style="381" customWidth="1"/>
    <col min="13599" max="13599" width="8.109375" style="381" customWidth="1"/>
    <col min="13600" max="13600" width="10.88671875" style="381" customWidth="1"/>
    <col min="13601" max="13601" width="9.88671875" style="381" customWidth="1"/>
    <col min="13602" max="13602" width="10.109375" style="381" customWidth="1"/>
    <col min="13603" max="13603" width="9.33203125" style="381" customWidth="1"/>
    <col min="13604" max="13606" width="8.6640625" style="381" customWidth="1"/>
    <col min="13607" max="13607" width="7.44140625" style="381" customWidth="1"/>
    <col min="13608" max="13616" width="9.6640625" style="381" customWidth="1"/>
    <col min="13617" max="13617" width="8.5546875" style="381" customWidth="1"/>
    <col min="13618" max="13618" width="8.33203125" style="381" customWidth="1"/>
    <col min="13619" max="13619" width="9.6640625" style="381" customWidth="1"/>
    <col min="13620" max="13620" width="10.6640625" style="381" customWidth="1"/>
    <col min="13621" max="13623" width="9.6640625" style="381" customWidth="1"/>
    <col min="13624" max="13624" width="10.5546875" style="381" customWidth="1"/>
    <col min="13625" max="13627" width="9.6640625" style="381" customWidth="1"/>
    <col min="13628" max="13628" width="9" style="381" customWidth="1"/>
    <col min="13629" max="13629" width="9.6640625" style="381" customWidth="1"/>
    <col min="13630" max="13630" width="8.44140625" style="381" customWidth="1"/>
    <col min="13631" max="13631" width="8.6640625" style="381" customWidth="1"/>
    <col min="13632" max="13632" width="11.33203125" style="381" customWidth="1"/>
    <col min="13633" max="13633" width="9.44140625" style="381" customWidth="1"/>
    <col min="13634" max="13636" width="10.109375" style="381" customWidth="1"/>
    <col min="13637" max="13637" width="10" style="381" customWidth="1"/>
    <col min="13638" max="13638" width="9.109375" style="381" customWidth="1"/>
    <col min="13639" max="13639" width="9.44140625" style="381" customWidth="1"/>
    <col min="13640" max="13640" width="8.44140625" style="381" customWidth="1"/>
    <col min="13641" max="13641" width="10.109375" style="381" customWidth="1"/>
    <col min="13642" max="13642" width="8.44140625" style="381" customWidth="1"/>
    <col min="13643" max="13643" width="7.5546875" style="381" customWidth="1"/>
    <col min="13644" max="13644" width="10.88671875" style="381" customWidth="1"/>
    <col min="13645" max="13645" width="9.109375" style="381" customWidth="1"/>
    <col min="13646" max="13646" width="9.5546875" style="381" customWidth="1"/>
    <col min="13647" max="13647" width="9.6640625" style="381" customWidth="1"/>
    <col min="13648" max="13648" width="9.109375" style="381" customWidth="1"/>
    <col min="13649" max="13649" width="9" style="381" customWidth="1"/>
    <col min="13650" max="13650" width="9.109375" style="381" customWidth="1"/>
    <col min="13651" max="13651" width="9.6640625" style="381" customWidth="1"/>
    <col min="13652" max="13654" width="9.33203125" style="381" customWidth="1"/>
    <col min="13655" max="13655" width="9.109375" style="381" customWidth="1"/>
    <col min="13656" max="13659" width="10" style="381" customWidth="1"/>
    <col min="13660" max="13660" width="8.6640625" style="381" customWidth="1"/>
    <col min="13661" max="13662" width="10" style="381" customWidth="1"/>
    <col min="13663" max="13663" width="8.88671875" style="381" customWidth="1"/>
    <col min="13664" max="13666" width="9.109375" style="381" customWidth="1"/>
    <col min="13667" max="13667" width="9" style="381" customWidth="1"/>
    <col min="13668" max="13669" width="10" style="381" customWidth="1"/>
    <col min="13670" max="13670" width="9.5546875" style="381" customWidth="1"/>
    <col min="13671" max="13671" width="9.109375" style="381" customWidth="1"/>
    <col min="13672" max="13672" width="9" style="381" customWidth="1"/>
    <col min="13673" max="13675" width="9.44140625" style="381" customWidth="1"/>
    <col min="13676" max="13678" width="9.33203125" style="381" customWidth="1"/>
    <col min="13679" max="13679" width="9" style="381" customWidth="1"/>
    <col min="13680" max="13680" width="10.109375" style="381" customWidth="1"/>
    <col min="13681" max="13681" width="9.5546875" style="381" customWidth="1"/>
    <col min="13682" max="13682" width="9.44140625" style="381" customWidth="1"/>
    <col min="13683" max="13683" width="10.109375" style="381" customWidth="1"/>
    <col min="13684" max="13684" width="9.33203125" style="381" customWidth="1"/>
    <col min="13685" max="13685" width="9.44140625" style="381" customWidth="1"/>
    <col min="13686" max="13686" width="10.109375" style="381" customWidth="1"/>
    <col min="13687" max="13687" width="9.109375" style="381" customWidth="1"/>
    <col min="13688" max="13690" width="9" style="381" customWidth="1"/>
    <col min="13691" max="13691" width="8.88671875" style="381" customWidth="1"/>
    <col min="13692" max="13695" width="10.109375" style="381" customWidth="1"/>
    <col min="13696" max="13696" width="10" style="381" customWidth="1"/>
    <col min="13697" max="13697" width="9.88671875" style="381" customWidth="1"/>
    <col min="13698" max="13699" width="9.44140625" style="381" customWidth="1"/>
    <col min="13700" max="13700" width="8.6640625" style="381" customWidth="1"/>
    <col min="13701" max="13701" width="9.109375" style="381" customWidth="1"/>
    <col min="13702" max="13702" width="8.109375" style="381" customWidth="1"/>
    <col min="13703" max="13703" width="8.6640625" style="381" customWidth="1"/>
    <col min="13704" max="13704" width="10.109375" style="381" customWidth="1"/>
    <col min="13705" max="13705" width="9.33203125" style="381" customWidth="1"/>
    <col min="13706" max="13710" width="10.109375" style="381" customWidth="1"/>
    <col min="13711" max="13711" width="9.109375" style="381" customWidth="1"/>
    <col min="13712" max="13712" width="8.88671875" style="381" customWidth="1"/>
    <col min="13713" max="13713" width="9" style="381" customWidth="1"/>
    <col min="13714" max="13714" width="8.44140625" style="381" customWidth="1"/>
    <col min="13715" max="13715" width="9" style="381" customWidth="1"/>
    <col min="13716" max="13722" width="10.109375" style="381" customWidth="1"/>
    <col min="13723" max="13723" width="8.5546875" style="381" customWidth="1"/>
    <col min="13724" max="13724" width="8.33203125" style="381" customWidth="1"/>
    <col min="13725" max="13725" width="9.5546875" style="381" customWidth="1"/>
    <col min="13726" max="13726" width="8.33203125" style="381" customWidth="1"/>
    <col min="13727" max="13727" width="8.6640625" style="381" customWidth="1"/>
    <col min="13728" max="13825" width="9.109375" style="381"/>
    <col min="13826" max="13826" width="5.109375" style="381" bestFit="1" customWidth="1"/>
    <col min="13827" max="13827" width="79" style="381" customWidth="1"/>
    <col min="13828" max="13828" width="10.5546875" style="381" customWidth="1"/>
    <col min="13829" max="13829" width="9.88671875" style="381" customWidth="1"/>
    <col min="13830" max="13830" width="10.6640625" style="381" customWidth="1"/>
    <col min="13831" max="13831" width="11.6640625" style="381" customWidth="1"/>
    <col min="13832" max="13832" width="12.109375" style="381" customWidth="1"/>
    <col min="13833" max="13833" width="11.44140625" style="381" customWidth="1"/>
    <col min="13834" max="13835" width="9.6640625" style="381" customWidth="1"/>
    <col min="13836" max="13836" width="8.5546875" style="381" customWidth="1"/>
    <col min="13837" max="13837" width="8.109375" style="381" customWidth="1"/>
    <col min="13838" max="13838" width="9.33203125" style="381" customWidth="1"/>
    <col min="13839" max="13840" width="8.5546875" style="381" customWidth="1"/>
    <col min="13841" max="13841" width="9.88671875" style="381" customWidth="1"/>
    <col min="13842" max="13844" width="8.5546875" style="381" customWidth="1"/>
    <col min="13845" max="13845" width="9.5546875" style="381" customWidth="1"/>
    <col min="13846" max="13846" width="8.5546875" style="381" customWidth="1"/>
    <col min="13847" max="13847" width="9.44140625" style="381" customWidth="1"/>
    <col min="13848" max="13850" width="8.5546875" style="381" customWidth="1"/>
    <col min="13851" max="13851" width="9.44140625" style="381" customWidth="1"/>
    <col min="13852" max="13852" width="9.33203125" style="381" customWidth="1"/>
    <col min="13853" max="13853" width="9.44140625" style="381" customWidth="1"/>
    <col min="13854" max="13854" width="10" style="381" customWidth="1"/>
    <col min="13855" max="13855" width="8.109375" style="381" customWidth="1"/>
    <col min="13856" max="13856" width="10.88671875" style="381" customWidth="1"/>
    <col min="13857" max="13857" width="9.88671875" style="381" customWidth="1"/>
    <col min="13858" max="13858" width="10.109375" style="381" customWidth="1"/>
    <col min="13859" max="13859" width="9.33203125" style="381" customWidth="1"/>
    <col min="13860" max="13862" width="8.6640625" style="381" customWidth="1"/>
    <col min="13863" max="13863" width="7.44140625" style="381" customWidth="1"/>
    <col min="13864" max="13872" width="9.6640625" style="381" customWidth="1"/>
    <col min="13873" max="13873" width="8.5546875" style="381" customWidth="1"/>
    <col min="13874" max="13874" width="8.33203125" style="381" customWidth="1"/>
    <col min="13875" max="13875" width="9.6640625" style="381" customWidth="1"/>
    <col min="13876" max="13876" width="10.6640625" style="381" customWidth="1"/>
    <col min="13877" max="13879" width="9.6640625" style="381" customWidth="1"/>
    <col min="13880" max="13880" width="10.5546875" style="381" customWidth="1"/>
    <col min="13881" max="13883" width="9.6640625" style="381" customWidth="1"/>
    <col min="13884" max="13884" width="9" style="381" customWidth="1"/>
    <col min="13885" max="13885" width="9.6640625" style="381" customWidth="1"/>
    <col min="13886" max="13886" width="8.44140625" style="381" customWidth="1"/>
    <col min="13887" max="13887" width="8.6640625" style="381" customWidth="1"/>
    <col min="13888" max="13888" width="11.33203125" style="381" customWidth="1"/>
    <col min="13889" max="13889" width="9.44140625" style="381" customWidth="1"/>
    <col min="13890" max="13892" width="10.109375" style="381" customWidth="1"/>
    <col min="13893" max="13893" width="10" style="381" customWidth="1"/>
    <col min="13894" max="13894" width="9.109375" style="381" customWidth="1"/>
    <col min="13895" max="13895" width="9.44140625" style="381" customWidth="1"/>
    <col min="13896" max="13896" width="8.44140625" style="381" customWidth="1"/>
    <col min="13897" max="13897" width="10.109375" style="381" customWidth="1"/>
    <col min="13898" max="13898" width="8.44140625" style="381" customWidth="1"/>
    <col min="13899" max="13899" width="7.5546875" style="381" customWidth="1"/>
    <col min="13900" max="13900" width="10.88671875" style="381" customWidth="1"/>
    <col min="13901" max="13901" width="9.109375" style="381" customWidth="1"/>
    <col min="13902" max="13902" width="9.5546875" style="381" customWidth="1"/>
    <col min="13903" max="13903" width="9.6640625" style="381" customWidth="1"/>
    <col min="13904" max="13904" width="9.109375" style="381" customWidth="1"/>
    <col min="13905" max="13905" width="9" style="381" customWidth="1"/>
    <col min="13906" max="13906" width="9.109375" style="381" customWidth="1"/>
    <col min="13907" max="13907" width="9.6640625" style="381" customWidth="1"/>
    <col min="13908" max="13910" width="9.33203125" style="381" customWidth="1"/>
    <col min="13911" max="13911" width="9.109375" style="381" customWidth="1"/>
    <col min="13912" max="13915" width="10" style="381" customWidth="1"/>
    <col min="13916" max="13916" width="8.6640625" style="381" customWidth="1"/>
    <col min="13917" max="13918" width="10" style="381" customWidth="1"/>
    <col min="13919" max="13919" width="8.88671875" style="381" customWidth="1"/>
    <col min="13920" max="13922" width="9.109375" style="381" customWidth="1"/>
    <col min="13923" max="13923" width="9" style="381" customWidth="1"/>
    <col min="13924" max="13925" width="10" style="381" customWidth="1"/>
    <col min="13926" max="13926" width="9.5546875" style="381" customWidth="1"/>
    <col min="13927" max="13927" width="9.109375" style="381" customWidth="1"/>
    <col min="13928" max="13928" width="9" style="381" customWidth="1"/>
    <col min="13929" max="13931" width="9.44140625" style="381" customWidth="1"/>
    <col min="13932" max="13934" width="9.33203125" style="381" customWidth="1"/>
    <col min="13935" max="13935" width="9" style="381" customWidth="1"/>
    <col min="13936" max="13936" width="10.109375" style="381" customWidth="1"/>
    <col min="13937" max="13937" width="9.5546875" style="381" customWidth="1"/>
    <col min="13938" max="13938" width="9.44140625" style="381" customWidth="1"/>
    <col min="13939" max="13939" width="10.109375" style="381" customWidth="1"/>
    <col min="13940" max="13940" width="9.33203125" style="381" customWidth="1"/>
    <col min="13941" max="13941" width="9.44140625" style="381" customWidth="1"/>
    <col min="13942" max="13942" width="10.109375" style="381" customWidth="1"/>
    <col min="13943" max="13943" width="9.109375" style="381" customWidth="1"/>
    <col min="13944" max="13946" width="9" style="381" customWidth="1"/>
    <col min="13947" max="13947" width="8.88671875" style="381" customWidth="1"/>
    <col min="13948" max="13951" width="10.109375" style="381" customWidth="1"/>
    <col min="13952" max="13952" width="10" style="381" customWidth="1"/>
    <col min="13953" max="13953" width="9.88671875" style="381" customWidth="1"/>
    <col min="13954" max="13955" width="9.44140625" style="381" customWidth="1"/>
    <col min="13956" max="13956" width="8.6640625" style="381" customWidth="1"/>
    <col min="13957" max="13957" width="9.109375" style="381" customWidth="1"/>
    <col min="13958" max="13958" width="8.109375" style="381" customWidth="1"/>
    <col min="13959" max="13959" width="8.6640625" style="381" customWidth="1"/>
    <col min="13960" max="13960" width="10.109375" style="381" customWidth="1"/>
    <col min="13961" max="13961" width="9.33203125" style="381" customWidth="1"/>
    <col min="13962" max="13966" width="10.109375" style="381" customWidth="1"/>
    <col min="13967" max="13967" width="9.109375" style="381" customWidth="1"/>
    <col min="13968" max="13968" width="8.88671875" style="381" customWidth="1"/>
    <col min="13969" max="13969" width="9" style="381" customWidth="1"/>
    <col min="13970" max="13970" width="8.44140625" style="381" customWidth="1"/>
    <col min="13971" max="13971" width="9" style="381" customWidth="1"/>
    <col min="13972" max="13978" width="10.109375" style="381" customWidth="1"/>
    <col min="13979" max="13979" width="8.5546875" style="381" customWidth="1"/>
    <col min="13980" max="13980" width="8.33203125" style="381" customWidth="1"/>
    <col min="13981" max="13981" width="9.5546875" style="381" customWidth="1"/>
    <col min="13982" max="13982" width="8.33203125" style="381" customWidth="1"/>
    <col min="13983" max="13983" width="8.6640625" style="381" customWidth="1"/>
    <col min="13984" max="14081" width="9.109375" style="381"/>
    <col min="14082" max="14082" width="5.109375" style="381" bestFit="1" customWidth="1"/>
    <col min="14083" max="14083" width="79" style="381" customWidth="1"/>
    <col min="14084" max="14084" width="10.5546875" style="381" customWidth="1"/>
    <col min="14085" max="14085" width="9.88671875" style="381" customWidth="1"/>
    <col min="14086" max="14086" width="10.6640625" style="381" customWidth="1"/>
    <col min="14087" max="14087" width="11.6640625" style="381" customWidth="1"/>
    <col min="14088" max="14088" width="12.109375" style="381" customWidth="1"/>
    <col min="14089" max="14089" width="11.44140625" style="381" customWidth="1"/>
    <col min="14090" max="14091" width="9.6640625" style="381" customWidth="1"/>
    <col min="14092" max="14092" width="8.5546875" style="381" customWidth="1"/>
    <col min="14093" max="14093" width="8.109375" style="381" customWidth="1"/>
    <col min="14094" max="14094" width="9.33203125" style="381" customWidth="1"/>
    <col min="14095" max="14096" width="8.5546875" style="381" customWidth="1"/>
    <col min="14097" max="14097" width="9.88671875" style="381" customWidth="1"/>
    <col min="14098" max="14100" width="8.5546875" style="381" customWidth="1"/>
    <col min="14101" max="14101" width="9.5546875" style="381" customWidth="1"/>
    <col min="14102" max="14102" width="8.5546875" style="381" customWidth="1"/>
    <col min="14103" max="14103" width="9.44140625" style="381" customWidth="1"/>
    <col min="14104" max="14106" width="8.5546875" style="381" customWidth="1"/>
    <col min="14107" max="14107" width="9.44140625" style="381" customWidth="1"/>
    <col min="14108" max="14108" width="9.33203125" style="381" customWidth="1"/>
    <col min="14109" max="14109" width="9.44140625" style="381" customWidth="1"/>
    <col min="14110" max="14110" width="10" style="381" customWidth="1"/>
    <col min="14111" max="14111" width="8.109375" style="381" customWidth="1"/>
    <col min="14112" max="14112" width="10.88671875" style="381" customWidth="1"/>
    <col min="14113" max="14113" width="9.88671875" style="381" customWidth="1"/>
    <col min="14114" max="14114" width="10.109375" style="381" customWidth="1"/>
    <col min="14115" max="14115" width="9.33203125" style="381" customWidth="1"/>
    <col min="14116" max="14118" width="8.6640625" style="381" customWidth="1"/>
    <col min="14119" max="14119" width="7.44140625" style="381" customWidth="1"/>
    <col min="14120" max="14128" width="9.6640625" style="381" customWidth="1"/>
    <col min="14129" max="14129" width="8.5546875" style="381" customWidth="1"/>
    <col min="14130" max="14130" width="8.33203125" style="381" customWidth="1"/>
    <col min="14131" max="14131" width="9.6640625" style="381" customWidth="1"/>
    <col min="14132" max="14132" width="10.6640625" style="381" customWidth="1"/>
    <col min="14133" max="14135" width="9.6640625" style="381" customWidth="1"/>
    <col min="14136" max="14136" width="10.5546875" style="381" customWidth="1"/>
    <col min="14137" max="14139" width="9.6640625" style="381" customWidth="1"/>
    <col min="14140" max="14140" width="9" style="381" customWidth="1"/>
    <col min="14141" max="14141" width="9.6640625" style="381" customWidth="1"/>
    <col min="14142" max="14142" width="8.44140625" style="381" customWidth="1"/>
    <col min="14143" max="14143" width="8.6640625" style="381" customWidth="1"/>
    <col min="14144" max="14144" width="11.33203125" style="381" customWidth="1"/>
    <col min="14145" max="14145" width="9.44140625" style="381" customWidth="1"/>
    <col min="14146" max="14148" width="10.109375" style="381" customWidth="1"/>
    <col min="14149" max="14149" width="10" style="381" customWidth="1"/>
    <col min="14150" max="14150" width="9.109375" style="381" customWidth="1"/>
    <col min="14151" max="14151" width="9.44140625" style="381" customWidth="1"/>
    <col min="14152" max="14152" width="8.44140625" style="381" customWidth="1"/>
    <col min="14153" max="14153" width="10.109375" style="381" customWidth="1"/>
    <col min="14154" max="14154" width="8.44140625" style="381" customWidth="1"/>
    <col min="14155" max="14155" width="7.5546875" style="381" customWidth="1"/>
    <col min="14156" max="14156" width="10.88671875" style="381" customWidth="1"/>
    <col min="14157" max="14157" width="9.109375" style="381" customWidth="1"/>
    <col min="14158" max="14158" width="9.5546875" style="381" customWidth="1"/>
    <col min="14159" max="14159" width="9.6640625" style="381" customWidth="1"/>
    <col min="14160" max="14160" width="9.109375" style="381" customWidth="1"/>
    <col min="14161" max="14161" width="9" style="381" customWidth="1"/>
    <col min="14162" max="14162" width="9.109375" style="381" customWidth="1"/>
    <col min="14163" max="14163" width="9.6640625" style="381" customWidth="1"/>
    <col min="14164" max="14166" width="9.33203125" style="381" customWidth="1"/>
    <col min="14167" max="14167" width="9.109375" style="381" customWidth="1"/>
    <col min="14168" max="14171" width="10" style="381" customWidth="1"/>
    <col min="14172" max="14172" width="8.6640625" style="381" customWidth="1"/>
    <col min="14173" max="14174" width="10" style="381" customWidth="1"/>
    <col min="14175" max="14175" width="8.88671875" style="381" customWidth="1"/>
    <col min="14176" max="14178" width="9.109375" style="381" customWidth="1"/>
    <col min="14179" max="14179" width="9" style="381" customWidth="1"/>
    <col min="14180" max="14181" width="10" style="381" customWidth="1"/>
    <col min="14182" max="14182" width="9.5546875" style="381" customWidth="1"/>
    <col min="14183" max="14183" width="9.109375" style="381" customWidth="1"/>
    <col min="14184" max="14184" width="9" style="381" customWidth="1"/>
    <col min="14185" max="14187" width="9.44140625" style="381" customWidth="1"/>
    <col min="14188" max="14190" width="9.33203125" style="381" customWidth="1"/>
    <col min="14191" max="14191" width="9" style="381" customWidth="1"/>
    <col min="14192" max="14192" width="10.109375" style="381" customWidth="1"/>
    <col min="14193" max="14193" width="9.5546875" style="381" customWidth="1"/>
    <col min="14194" max="14194" width="9.44140625" style="381" customWidth="1"/>
    <col min="14195" max="14195" width="10.109375" style="381" customWidth="1"/>
    <col min="14196" max="14196" width="9.33203125" style="381" customWidth="1"/>
    <col min="14197" max="14197" width="9.44140625" style="381" customWidth="1"/>
    <col min="14198" max="14198" width="10.109375" style="381" customWidth="1"/>
    <col min="14199" max="14199" width="9.109375" style="381" customWidth="1"/>
    <col min="14200" max="14202" width="9" style="381" customWidth="1"/>
    <col min="14203" max="14203" width="8.88671875" style="381" customWidth="1"/>
    <col min="14204" max="14207" width="10.109375" style="381" customWidth="1"/>
    <col min="14208" max="14208" width="10" style="381" customWidth="1"/>
    <col min="14209" max="14209" width="9.88671875" style="381" customWidth="1"/>
    <col min="14210" max="14211" width="9.44140625" style="381" customWidth="1"/>
    <col min="14212" max="14212" width="8.6640625" style="381" customWidth="1"/>
    <col min="14213" max="14213" width="9.109375" style="381" customWidth="1"/>
    <col min="14214" max="14214" width="8.109375" style="381" customWidth="1"/>
    <col min="14215" max="14215" width="8.6640625" style="381" customWidth="1"/>
    <col min="14216" max="14216" width="10.109375" style="381" customWidth="1"/>
    <col min="14217" max="14217" width="9.33203125" style="381" customWidth="1"/>
    <col min="14218" max="14222" width="10.109375" style="381" customWidth="1"/>
    <col min="14223" max="14223" width="9.109375" style="381" customWidth="1"/>
    <col min="14224" max="14224" width="8.88671875" style="381" customWidth="1"/>
    <col min="14225" max="14225" width="9" style="381" customWidth="1"/>
    <col min="14226" max="14226" width="8.44140625" style="381" customWidth="1"/>
    <col min="14227" max="14227" width="9" style="381" customWidth="1"/>
    <col min="14228" max="14234" width="10.109375" style="381" customWidth="1"/>
    <col min="14235" max="14235" width="8.5546875" style="381" customWidth="1"/>
    <col min="14236" max="14236" width="8.33203125" style="381" customWidth="1"/>
    <col min="14237" max="14237" width="9.5546875" style="381" customWidth="1"/>
    <col min="14238" max="14238" width="8.33203125" style="381" customWidth="1"/>
    <col min="14239" max="14239" width="8.6640625" style="381" customWidth="1"/>
    <col min="14240" max="14337" width="9.109375" style="381"/>
    <col min="14338" max="14338" width="5.109375" style="381" bestFit="1" customWidth="1"/>
    <col min="14339" max="14339" width="79" style="381" customWidth="1"/>
    <col min="14340" max="14340" width="10.5546875" style="381" customWidth="1"/>
    <col min="14341" max="14341" width="9.88671875" style="381" customWidth="1"/>
    <col min="14342" max="14342" width="10.6640625" style="381" customWidth="1"/>
    <col min="14343" max="14343" width="11.6640625" style="381" customWidth="1"/>
    <col min="14344" max="14344" width="12.109375" style="381" customWidth="1"/>
    <col min="14345" max="14345" width="11.44140625" style="381" customWidth="1"/>
    <col min="14346" max="14347" width="9.6640625" style="381" customWidth="1"/>
    <col min="14348" max="14348" width="8.5546875" style="381" customWidth="1"/>
    <col min="14349" max="14349" width="8.109375" style="381" customWidth="1"/>
    <col min="14350" max="14350" width="9.33203125" style="381" customWidth="1"/>
    <col min="14351" max="14352" width="8.5546875" style="381" customWidth="1"/>
    <col min="14353" max="14353" width="9.88671875" style="381" customWidth="1"/>
    <col min="14354" max="14356" width="8.5546875" style="381" customWidth="1"/>
    <col min="14357" max="14357" width="9.5546875" style="381" customWidth="1"/>
    <col min="14358" max="14358" width="8.5546875" style="381" customWidth="1"/>
    <col min="14359" max="14359" width="9.44140625" style="381" customWidth="1"/>
    <col min="14360" max="14362" width="8.5546875" style="381" customWidth="1"/>
    <col min="14363" max="14363" width="9.44140625" style="381" customWidth="1"/>
    <col min="14364" max="14364" width="9.33203125" style="381" customWidth="1"/>
    <col min="14365" max="14365" width="9.44140625" style="381" customWidth="1"/>
    <col min="14366" max="14366" width="10" style="381" customWidth="1"/>
    <col min="14367" max="14367" width="8.109375" style="381" customWidth="1"/>
    <col min="14368" max="14368" width="10.88671875" style="381" customWidth="1"/>
    <col min="14369" max="14369" width="9.88671875" style="381" customWidth="1"/>
    <col min="14370" max="14370" width="10.109375" style="381" customWidth="1"/>
    <col min="14371" max="14371" width="9.33203125" style="381" customWidth="1"/>
    <col min="14372" max="14374" width="8.6640625" style="381" customWidth="1"/>
    <col min="14375" max="14375" width="7.44140625" style="381" customWidth="1"/>
    <col min="14376" max="14384" width="9.6640625" style="381" customWidth="1"/>
    <col min="14385" max="14385" width="8.5546875" style="381" customWidth="1"/>
    <col min="14386" max="14386" width="8.33203125" style="381" customWidth="1"/>
    <col min="14387" max="14387" width="9.6640625" style="381" customWidth="1"/>
    <col min="14388" max="14388" width="10.6640625" style="381" customWidth="1"/>
    <col min="14389" max="14391" width="9.6640625" style="381" customWidth="1"/>
    <col min="14392" max="14392" width="10.5546875" style="381" customWidth="1"/>
    <col min="14393" max="14395" width="9.6640625" style="381" customWidth="1"/>
    <col min="14396" max="14396" width="9" style="381" customWidth="1"/>
    <col min="14397" max="14397" width="9.6640625" style="381" customWidth="1"/>
    <col min="14398" max="14398" width="8.44140625" style="381" customWidth="1"/>
    <col min="14399" max="14399" width="8.6640625" style="381" customWidth="1"/>
    <col min="14400" max="14400" width="11.33203125" style="381" customWidth="1"/>
    <col min="14401" max="14401" width="9.44140625" style="381" customWidth="1"/>
    <col min="14402" max="14404" width="10.109375" style="381" customWidth="1"/>
    <col min="14405" max="14405" width="10" style="381" customWidth="1"/>
    <col min="14406" max="14406" width="9.109375" style="381" customWidth="1"/>
    <col min="14407" max="14407" width="9.44140625" style="381" customWidth="1"/>
    <col min="14408" max="14408" width="8.44140625" style="381" customWidth="1"/>
    <col min="14409" max="14409" width="10.109375" style="381" customWidth="1"/>
    <col min="14410" max="14410" width="8.44140625" style="381" customWidth="1"/>
    <col min="14411" max="14411" width="7.5546875" style="381" customWidth="1"/>
    <col min="14412" max="14412" width="10.88671875" style="381" customWidth="1"/>
    <col min="14413" max="14413" width="9.109375" style="381" customWidth="1"/>
    <col min="14414" max="14414" width="9.5546875" style="381" customWidth="1"/>
    <col min="14415" max="14415" width="9.6640625" style="381" customWidth="1"/>
    <col min="14416" max="14416" width="9.109375" style="381" customWidth="1"/>
    <col min="14417" max="14417" width="9" style="381" customWidth="1"/>
    <col min="14418" max="14418" width="9.109375" style="381" customWidth="1"/>
    <col min="14419" max="14419" width="9.6640625" style="381" customWidth="1"/>
    <col min="14420" max="14422" width="9.33203125" style="381" customWidth="1"/>
    <col min="14423" max="14423" width="9.109375" style="381" customWidth="1"/>
    <col min="14424" max="14427" width="10" style="381" customWidth="1"/>
    <col min="14428" max="14428" width="8.6640625" style="381" customWidth="1"/>
    <col min="14429" max="14430" width="10" style="381" customWidth="1"/>
    <col min="14431" max="14431" width="8.88671875" style="381" customWidth="1"/>
    <col min="14432" max="14434" width="9.109375" style="381" customWidth="1"/>
    <col min="14435" max="14435" width="9" style="381" customWidth="1"/>
    <col min="14436" max="14437" width="10" style="381" customWidth="1"/>
    <col min="14438" max="14438" width="9.5546875" style="381" customWidth="1"/>
    <col min="14439" max="14439" width="9.109375" style="381" customWidth="1"/>
    <col min="14440" max="14440" width="9" style="381" customWidth="1"/>
    <col min="14441" max="14443" width="9.44140625" style="381" customWidth="1"/>
    <col min="14444" max="14446" width="9.33203125" style="381" customWidth="1"/>
    <col min="14447" max="14447" width="9" style="381" customWidth="1"/>
    <col min="14448" max="14448" width="10.109375" style="381" customWidth="1"/>
    <col min="14449" max="14449" width="9.5546875" style="381" customWidth="1"/>
    <col min="14450" max="14450" width="9.44140625" style="381" customWidth="1"/>
    <col min="14451" max="14451" width="10.109375" style="381" customWidth="1"/>
    <col min="14452" max="14452" width="9.33203125" style="381" customWidth="1"/>
    <col min="14453" max="14453" width="9.44140625" style="381" customWidth="1"/>
    <col min="14454" max="14454" width="10.109375" style="381" customWidth="1"/>
    <col min="14455" max="14455" width="9.109375" style="381" customWidth="1"/>
    <col min="14456" max="14458" width="9" style="381" customWidth="1"/>
    <col min="14459" max="14459" width="8.88671875" style="381" customWidth="1"/>
    <col min="14460" max="14463" width="10.109375" style="381" customWidth="1"/>
    <col min="14464" max="14464" width="10" style="381" customWidth="1"/>
    <col min="14465" max="14465" width="9.88671875" style="381" customWidth="1"/>
    <col min="14466" max="14467" width="9.44140625" style="381" customWidth="1"/>
    <col min="14468" max="14468" width="8.6640625" style="381" customWidth="1"/>
    <col min="14469" max="14469" width="9.109375" style="381" customWidth="1"/>
    <col min="14470" max="14470" width="8.109375" style="381" customWidth="1"/>
    <col min="14471" max="14471" width="8.6640625" style="381" customWidth="1"/>
    <col min="14472" max="14472" width="10.109375" style="381" customWidth="1"/>
    <col min="14473" max="14473" width="9.33203125" style="381" customWidth="1"/>
    <col min="14474" max="14478" width="10.109375" style="381" customWidth="1"/>
    <col min="14479" max="14479" width="9.109375" style="381" customWidth="1"/>
    <col min="14480" max="14480" width="8.88671875" style="381" customWidth="1"/>
    <col min="14481" max="14481" width="9" style="381" customWidth="1"/>
    <col min="14482" max="14482" width="8.44140625" style="381" customWidth="1"/>
    <col min="14483" max="14483" width="9" style="381" customWidth="1"/>
    <col min="14484" max="14490" width="10.109375" style="381" customWidth="1"/>
    <col min="14491" max="14491" width="8.5546875" style="381" customWidth="1"/>
    <col min="14492" max="14492" width="8.33203125" style="381" customWidth="1"/>
    <col min="14493" max="14493" width="9.5546875" style="381" customWidth="1"/>
    <col min="14494" max="14494" width="8.33203125" style="381" customWidth="1"/>
    <col min="14495" max="14495" width="8.6640625" style="381" customWidth="1"/>
    <col min="14496" max="14593" width="9.109375" style="381"/>
    <col min="14594" max="14594" width="5.109375" style="381" bestFit="1" customWidth="1"/>
    <col min="14595" max="14595" width="79" style="381" customWidth="1"/>
    <col min="14596" max="14596" width="10.5546875" style="381" customWidth="1"/>
    <col min="14597" max="14597" width="9.88671875" style="381" customWidth="1"/>
    <col min="14598" max="14598" width="10.6640625" style="381" customWidth="1"/>
    <col min="14599" max="14599" width="11.6640625" style="381" customWidth="1"/>
    <col min="14600" max="14600" width="12.109375" style="381" customWidth="1"/>
    <col min="14601" max="14601" width="11.44140625" style="381" customWidth="1"/>
    <col min="14602" max="14603" width="9.6640625" style="381" customWidth="1"/>
    <col min="14604" max="14604" width="8.5546875" style="381" customWidth="1"/>
    <col min="14605" max="14605" width="8.109375" style="381" customWidth="1"/>
    <col min="14606" max="14606" width="9.33203125" style="381" customWidth="1"/>
    <col min="14607" max="14608" width="8.5546875" style="381" customWidth="1"/>
    <col min="14609" max="14609" width="9.88671875" style="381" customWidth="1"/>
    <col min="14610" max="14612" width="8.5546875" style="381" customWidth="1"/>
    <col min="14613" max="14613" width="9.5546875" style="381" customWidth="1"/>
    <col min="14614" max="14614" width="8.5546875" style="381" customWidth="1"/>
    <col min="14615" max="14615" width="9.44140625" style="381" customWidth="1"/>
    <col min="14616" max="14618" width="8.5546875" style="381" customWidth="1"/>
    <col min="14619" max="14619" width="9.44140625" style="381" customWidth="1"/>
    <col min="14620" max="14620" width="9.33203125" style="381" customWidth="1"/>
    <col min="14621" max="14621" width="9.44140625" style="381" customWidth="1"/>
    <col min="14622" max="14622" width="10" style="381" customWidth="1"/>
    <col min="14623" max="14623" width="8.109375" style="381" customWidth="1"/>
    <col min="14624" max="14624" width="10.88671875" style="381" customWidth="1"/>
    <col min="14625" max="14625" width="9.88671875" style="381" customWidth="1"/>
    <col min="14626" max="14626" width="10.109375" style="381" customWidth="1"/>
    <col min="14627" max="14627" width="9.33203125" style="381" customWidth="1"/>
    <col min="14628" max="14630" width="8.6640625" style="381" customWidth="1"/>
    <col min="14631" max="14631" width="7.44140625" style="381" customWidth="1"/>
    <col min="14632" max="14640" width="9.6640625" style="381" customWidth="1"/>
    <col min="14641" max="14641" width="8.5546875" style="381" customWidth="1"/>
    <col min="14642" max="14642" width="8.33203125" style="381" customWidth="1"/>
    <col min="14643" max="14643" width="9.6640625" style="381" customWidth="1"/>
    <col min="14644" max="14644" width="10.6640625" style="381" customWidth="1"/>
    <col min="14645" max="14647" width="9.6640625" style="381" customWidth="1"/>
    <col min="14648" max="14648" width="10.5546875" style="381" customWidth="1"/>
    <col min="14649" max="14651" width="9.6640625" style="381" customWidth="1"/>
    <col min="14652" max="14652" width="9" style="381" customWidth="1"/>
    <col min="14653" max="14653" width="9.6640625" style="381" customWidth="1"/>
    <col min="14654" max="14654" width="8.44140625" style="381" customWidth="1"/>
    <col min="14655" max="14655" width="8.6640625" style="381" customWidth="1"/>
    <col min="14656" max="14656" width="11.33203125" style="381" customWidth="1"/>
    <col min="14657" max="14657" width="9.44140625" style="381" customWidth="1"/>
    <col min="14658" max="14660" width="10.109375" style="381" customWidth="1"/>
    <col min="14661" max="14661" width="10" style="381" customWidth="1"/>
    <col min="14662" max="14662" width="9.109375" style="381" customWidth="1"/>
    <col min="14663" max="14663" width="9.44140625" style="381" customWidth="1"/>
    <col min="14664" max="14664" width="8.44140625" style="381" customWidth="1"/>
    <col min="14665" max="14665" width="10.109375" style="381" customWidth="1"/>
    <col min="14666" max="14666" width="8.44140625" style="381" customWidth="1"/>
    <col min="14667" max="14667" width="7.5546875" style="381" customWidth="1"/>
    <col min="14668" max="14668" width="10.88671875" style="381" customWidth="1"/>
    <col min="14669" max="14669" width="9.109375" style="381" customWidth="1"/>
    <col min="14670" max="14670" width="9.5546875" style="381" customWidth="1"/>
    <col min="14671" max="14671" width="9.6640625" style="381" customWidth="1"/>
    <col min="14672" max="14672" width="9.109375" style="381" customWidth="1"/>
    <col min="14673" max="14673" width="9" style="381" customWidth="1"/>
    <col min="14674" max="14674" width="9.109375" style="381" customWidth="1"/>
    <col min="14675" max="14675" width="9.6640625" style="381" customWidth="1"/>
    <col min="14676" max="14678" width="9.33203125" style="381" customWidth="1"/>
    <col min="14679" max="14679" width="9.109375" style="381" customWidth="1"/>
    <col min="14680" max="14683" width="10" style="381" customWidth="1"/>
    <col min="14684" max="14684" width="8.6640625" style="381" customWidth="1"/>
    <col min="14685" max="14686" width="10" style="381" customWidth="1"/>
    <col min="14687" max="14687" width="8.88671875" style="381" customWidth="1"/>
    <col min="14688" max="14690" width="9.109375" style="381" customWidth="1"/>
    <col min="14691" max="14691" width="9" style="381" customWidth="1"/>
    <col min="14692" max="14693" width="10" style="381" customWidth="1"/>
    <col min="14694" max="14694" width="9.5546875" style="381" customWidth="1"/>
    <col min="14695" max="14695" width="9.109375" style="381" customWidth="1"/>
    <col min="14696" max="14696" width="9" style="381" customWidth="1"/>
    <col min="14697" max="14699" width="9.44140625" style="381" customWidth="1"/>
    <col min="14700" max="14702" width="9.33203125" style="381" customWidth="1"/>
    <col min="14703" max="14703" width="9" style="381" customWidth="1"/>
    <col min="14704" max="14704" width="10.109375" style="381" customWidth="1"/>
    <col min="14705" max="14705" width="9.5546875" style="381" customWidth="1"/>
    <col min="14706" max="14706" width="9.44140625" style="381" customWidth="1"/>
    <col min="14707" max="14707" width="10.109375" style="381" customWidth="1"/>
    <col min="14708" max="14708" width="9.33203125" style="381" customWidth="1"/>
    <col min="14709" max="14709" width="9.44140625" style="381" customWidth="1"/>
    <col min="14710" max="14710" width="10.109375" style="381" customWidth="1"/>
    <col min="14711" max="14711" width="9.109375" style="381" customWidth="1"/>
    <col min="14712" max="14714" width="9" style="381" customWidth="1"/>
    <col min="14715" max="14715" width="8.88671875" style="381" customWidth="1"/>
    <col min="14716" max="14719" width="10.109375" style="381" customWidth="1"/>
    <col min="14720" max="14720" width="10" style="381" customWidth="1"/>
    <col min="14721" max="14721" width="9.88671875" style="381" customWidth="1"/>
    <col min="14722" max="14723" width="9.44140625" style="381" customWidth="1"/>
    <col min="14724" max="14724" width="8.6640625" style="381" customWidth="1"/>
    <col min="14725" max="14725" width="9.109375" style="381" customWidth="1"/>
    <col min="14726" max="14726" width="8.109375" style="381" customWidth="1"/>
    <col min="14727" max="14727" width="8.6640625" style="381" customWidth="1"/>
    <col min="14728" max="14728" width="10.109375" style="381" customWidth="1"/>
    <col min="14729" max="14729" width="9.33203125" style="381" customWidth="1"/>
    <col min="14730" max="14734" width="10.109375" style="381" customWidth="1"/>
    <col min="14735" max="14735" width="9.109375" style="381" customWidth="1"/>
    <col min="14736" max="14736" width="8.88671875" style="381" customWidth="1"/>
    <col min="14737" max="14737" width="9" style="381" customWidth="1"/>
    <col min="14738" max="14738" width="8.44140625" style="381" customWidth="1"/>
    <col min="14739" max="14739" width="9" style="381" customWidth="1"/>
    <col min="14740" max="14746" width="10.109375" style="381" customWidth="1"/>
    <col min="14747" max="14747" width="8.5546875" style="381" customWidth="1"/>
    <col min="14748" max="14748" width="8.33203125" style="381" customWidth="1"/>
    <col min="14749" max="14749" width="9.5546875" style="381" customWidth="1"/>
    <col min="14750" max="14750" width="8.33203125" style="381" customWidth="1"/>
    <col min="14751" max="14751" width="8.6640625" style="381" customWidth="1"/>
    <col min="14752" max="14849" width="9.109375" style="381"/>
    <col min="14850" max="14850" width="5.109375" style="381" bestFit="1" customWidth="1"/>
    <col min="14851" max="14851" width="79" style="381" customWidth="1"/>
    <col min="14852" max="14852" width="10.5546875" style="381" customWidth="1"/>
    <col min="14853" max="14853" width="9.88671875" style="381" customWidth="1"/>
    <col min="14854" max="14854" width="10.6640625" style="381" customWidth="1"/>
    <col min="14855" max="14855" width="11.6640625" style="381" customWidth="1"/>
    <col min="14856" max="14856" width="12.109375" style="381" customWidth="1"/>
    <col min="14857" max="14857" width="11.44140625" style="381" customWidth="1"/>
    <col min="14858" max="14859" width="9.6640625" style="381" customWidth="1"/>
    <col min="14860" max="14860" width="8.5546875" style="381" customWidth="1"/>
    <col min="14861" max="14861" width="8.109375" style="381" customWidth="1"/>
    <col min="14862" max="14862" width="9.33203125" style="381" customWidth="1"/>
    <col min="14863" max="14864" width="8.5546875" style="381" customWidth="1"/>
    <col min="14865" max="14865" width="9.88671875" style="381" customWidth="1"/>
    <col min="14866" max="14868" width="8.5546875" style="381" customWidth="1"/>
    <col min="14869" max="14869" width="9.5546875" style="381" customWidth="1"/>
    <col min="14870" max="14870" width="8.5546875" style="381" customWidth="1"/>
    <col min="14871" max="14871" width="9.44140625" style="381" customWidth="1"/>
    <col min="14872" max="14874" width="8.5546875" style="381" customWidth="1"/>
    <col min="14875" max="14875" width="9.44140625" style="381" customWidth="1"/>
    <col min="14876" max="14876" width="9.33203125" style="381" customWidth="1"/>
    <col min="14877" max="14877" width="9.44140625" style="381" customWidth="1"/>
    <col min="14878" max="14878" width="10" style="381" customWidth="1"/>
    <col min="14879" max="14879" width="8.109375" style="381" customWidth="1"/>
    <col min="14880" max="14880" width="10.88671875" style="381" customWidth="1"/>
    <col min="14881" max="14881" width="9.88671875" style="381" customWidth="1"/>
    <col min="14882" max="14882" width="10.109375" style="381" customWidth="1"/>
    <col min="14883" max="14883" width="9.33203125" style="381" customWidth="1"/>
    <col min="14884" max="14886" width="8.6640625" style="381" customWidth="1"/>
    <col min="14887" max="14887" width="7.44140625" style="381" customWidth="1"/>
    <col min="14888" max="14896" width="9.6640625" style="381" customWidth="1"/>
    <col min="14897" max="14897" width="8.5546875" style="381" customWidth="1"/>
    <col min="14898" max="14898" width="8.33203125" style="381" customWidth="1"/>
    <col min="14899" max="14899" width="9.6640625" style="381" customWidth="1"/>
    <col min="14900" max="14900" width="10.6640625" style="381" customWidth="1"/>
    <col min="14901" max="14903" width="9.6640625" style="381" customWidth="1"/>
    <col min="14904" max="14904" width="10.5546875" style="381" customWidth="1"/>
    <col min="14905" max="14907" width="9.6640625" style="381" customWidth="1"/>
    <col min="14908" max="14908" width="9" style="381" customWidth="1"/>
    <col min="14909" max="14909" width="9.6640625" style="381" customWidth="1"/>
    <col min="14910" max="14910" width="8.44140625" style="381" customWidth="1"/>
    <col min="14911" max="14911" width="8.6640625" style="381" customWidth="1"/>
    <col min="14912" max="14912" width="11.33203125" style="381" customWidth="1"/>
    <col min="14913" max="14913" width="9.44140625" style="381" customWidth="1"/>
    <col min="14914" max="14916" width="10.109375" style="381" customWidth="1"/>
    <col min="14917" max="14917" width="10" style="381" customWidth="1"/>
    <col min="14918" max="14918" width="9.109375" style="381" customWidth="1"/>
    <col min="14919" max="14919" width="9.44140625" style="381" customWidth="1"/>
    <col min="14920" max="14920" width="8.44140625" style="381" customWidth="1"/>
    <col min="14921" max="14921" width="10.109375" style="381" customWidth="1"/>
    <col min="14922" max="14922" width="8.44140625" style="381" customWidth="1"/>
    <col min="14923" max="14923" width="7.5546875" style="381" customWidth="1"/>
    <col min="14924" max="14924" width="10.88671875" style="381" customWidth="1"/>
    <col min="14925" max="14925" width="9.109375" style="381" customWidth="1"/>
    <col min="14926" max="14926" width="9.5546875" style="381" customWidth="1"/>
    <col min="14927" max="14927" width="9.6640625" style="381" customWidth="1"/>
    <col min="14928" max="14928" width="9.109375" style="381" customWidth="1"/>
    <col min="14929" max="14929" width="9" style="381" customWidth="1"/>
    <col min="14930" max="14930" width="9.109375" style="381" customWidth="1"/>
    <col min="14931" max="14931" width="9.6640625" style="381" customWidth="1"/>
    <col min="14932" max="14934" width="9.33203125" style="381" customWidth="1"/>
    <col min="14935" max="14935" width="9.109375" style="381" customWidth="1"/>
    <col min="14936" max="14939" width="10" style="381" customWidth="1"/>
    <col min="14940" max="14940" width="8.6640625" style="381" customWidth="1"/>
    <col min="14941" max="14942" width="10" style="381" customWidth="1"/>
    <col min="14943" max="14943" width="8.88671875" style="381" customWidth="1"/>
    <col min="14944" max="14946" width="9.109375" style="381" customWidth="1"/>
    <col min="14947" max="14947" width="9" style="381" customWidth="1"/>
    <col min="14948" max="14949" width="10" style="381" customWidth="1"/>
    <col min="14950" max="14950" width="9.5546875" style="381" customWidth="1"/>
    <col min="14951" max="14951" width="9.109375" style="381" customWidth="1"/>
    <col min="14952" max="14952" width="9" style="381" customWidth="1"/>
    <col min="14953" max="14955" width="9.44140625" style="381" customWidth="1"/>
    <col min="14956" max="14958" width="9.33203125" style="381" customWidth="1"/>
    <col min="14959" max="14959" width="9" style="381" customWidth="1"/>
    <col min="14960" max="14960" width="10.109375" style="381" customWidth="1"/>
    <col min="14961" max="14961" width="9.5546875" style="381" customWidth="1"/>
    <col min="14962" max="14962" width="9.44140625" style="381" customWidth="1"/>
    <col min="14963" max="14963" width="10.109375" style="381" customWidth="1"/>
    <col min="14964" max="14964" width="9.33203125" style="381" customWidth="1"/>
    <col min="14965" max="14965" width="9.44140625" style="381" customWidth="1"/>
    <col min="14966" max="14966" width="10.109375" style="381" customWidth="1"/>
    <col min="14967" max="14967" width="9.109375" style="381" customWidth="1"/>
    <col min="14968" max="14970" width="9" style="381" customWidth="1"/>
    <col min="14971" max="14971" width="8.88671875" style="381" customWidth="1"/>
    <col min="14972" max="14975" width="10.109375" style="381" customWidth="1"/>
    <col min="14976" max="14976" width="10" style="381" customWidth="1"/>
    <col min="14977" max="14977" width="9.88671875" style="381" customWidth="1"/>
    <col min="14978" max="14979" width="9.44140625" style="381" customWidth="1"/>
    <col min="14980" max="14980" width="8.6640625" style="381" customWidth="1"/>
    <col min="14981" max="14981" width="9.109375" style="381" customWidth="1"/>
    <col min="14982" max="14982" width="8.109375" style="381" customWidth="1"/>
    <col min="14983" max="14983" width="8.6640625" style="381" customWidth="1"/>
    <col min="14984" max="14984" width="10.109375" style="381" customWidth="1"/>
    <col min="14985" max="14985" width="9.33203125" style="381" customWidth="1"/>
    <col min="14986" max="14990" width="10.109375" style="381" customWidth="1"/>
    <col min="14991" max="14991" width="9.109375" style="381" customWidth="1"/>
    <col min="14992" max="14992" width="8.88671875" style="381" customWidth="1"/>
    <col min="14993" max="14993" width="9" style="381" customWidth="1"/>
    <col min="14994" max="14994" width="8.44140625" style="381" customWidth="1"/>
    <col min="14995" max="14995" width="9" style="381" customWidth="1"/>
    <col min="14996" max="15002" width="10.109375" style="381" customWidth="1"/>
    <col min="15003" max="15003" width="8.5546875" style="381" customWidth="1"/>
    <col min="15004" max="15004" width="8.33203125" style="381" customWidth="1"/>
    <col min="15005" max="15005" width="9.5546875" style="381" customWidth="1"/>
    <col min="15006" max="15006" width="8.33203125" style="381" customWidth="1"/>
    <col min="15007" max="15007" width="8.6640625" style="381" customWidth="1"/>
    <col min="15008" max="15105" width="9.109375" style="381"/>
    <col min="15106" max="15106" width="5.109375" style="381" bestFit="1" customWidth="1"/>
    <col min="15107" max="15107" width="79" style="381" customWidth="1"/>
    <col min="15108" max="15108" width="10.5546875" style="381" customWidth="1"/>
    <col min="15109" max="15109" width="9.88671875" style="381" customWidth="1"/>
    <col min="15110" max="15110" width="10.6640625" style="381" customWidth="1"/>
    <col min="15111" max="15111" width="11.6640625" style="381" customWidth="1"/>
    <col min="15112" max="15112" width="12.109375" style="381" customWidth="1"/>
    <col min="15113" max="15113" width="11.44140625" style="381" customWidth="1"/>
    <col min="15114" max="15115" width="9.6640625" style="381" customWidth="1"/>
    <col min="15116" max="15116" width="8.5546875" style="381" customWidth="1"/>
    <col min="15117" max="15117" width="8.109375" style="381" customWidth="1"/>
    <col min="15118" max="15118" width="9.33203125" style="381" customWidth="1"/>
    <col min="15119" max="15120" width="8.5546875" style="381" customWidth="1"/>
    <col min="15121" max="15121" width="9.88671875" style="381" customWidth="1"/>
    <col min="15122" max="15124" width="8.5546875" style="381" customWidth="1"/>
    <col min="15125" max="15125" width="9.5546875" style="381" customWidth="1"/>
    <col min="15126" max="15126" width="8.5546875" style="381" customWidth="1"/>
    <col min="15127" max="15127" width="9.44140625" style="381" customWidth="1"/>
    <col min="15128" max="15130" width="8.5546875" style="381" customWidth="1"/>
    <col min="15131" max="15131" width="9.44140625" style="381" customWidth="1"/>
    <col min="15132" max="15132" width="9.33203125" style="381" customWidth="1"/>
    <col min="15133" max="15133" width="9.44140625" style="381" customWidth="1"/>
    <col min="15134" max="15134" width="10" style="381" customWidth="1"/>
    <col min="15135" max="15135" width="8.109375" style="381" customWidth="1"/>
    <col min="15136" max="15136" width="10.88671875" style="381" customWidth="1"/>
    <col min="15137" max="15137" width="9.88671875" style="381" customWidth="1"/>
    <col min="15138" max="15138" width="10.109375" style="381" customWidth="1"/>
    <col min="15139" max="15139" width="9.33203125" style="381" customWidth="1"/>
    <col min="15140" max="15142" width="8.6640625" style="381" customWidth="1"/>
    <col min="15143" max="15143" width="7.44140625" style="381" customWidth="1"/>
    <col min="15144" max="15152" width="9.6640625" style="381" customWidth="1"/>
    <col min="15153" max="15153" width="8.5546875" style="381" customWidth="1"/>
    <col min="15154" max="15154" width="8.33203125" style="381" customWidth="1"/>
    <col min="15155" max="15155" width="9.6640625" style="381" customWidth="1"/>
    <col min="15156" max="15156" width="10.6640625" style="381" customWidth="1"/>
    <col min="15157" max="15159" width="9.6640625" style="381" customWidth="1"/>
    <col min="15160" max="15160" width="10.5546875" style="381" customWidth="1"/>
    <col min="15161" max="15163" width="9.6640625" style="381" customWidth="1"/>
    <col min="15164" max="15164" width="9" style="381" customWidth="1"/>
    <col min="15165" max="15165" width="9.6640625" style="381" customWidth="1"/>
    <col min="15166" max="15166" width="8.44140625" style="381" customWidth="1"/>
    <col min="15167" max="15167" width="8.6640625" style="381" customWidth="1"/>
    <col min="15168" max="15168" width="11.33203125" style="381" customWidth="1"/>
    <col min="15169" max="15169" width="9.44140625" style="381" customWidth="1"/>
    <col min="15170" max="15172" width="10.109375" style="381" customWidth="1"/>
    <col min="15173" max="15173" width="10" style="381" customWidth="1"/>
    <col min="15174" max="15174" width="9.109375" style="381" customWidth="1"/>
    <col min="15175" max="15175" width="9.44140625" style="381" customWidth="1"/>
    <col min="15176" max="15176" width="8.44140625" style="381" customWidth="1"/>
    <col min="15177" max="15177" width="10.109375" style="381" customWidth="1"/>
    <col min="15178" max="15178" width="8.44140625" style="381" customWidth="1"/>
    <col min="15179" max="15179" width="7.5546875" style="381" customWidth="1"/>
    <col min="15180" max="15180" width="10.88671875" style="381" customWidth="1"/>
    <col min="15181" max="15181" width="9.109375" style="381" customWidth="1"/>
    <col min="15182" max="15182" width="9.5546875" style="381" customWidth="1"/>
    <col min="15183" max="15183" width="9.6640625" style="381" customWidth="1"/>
    <col min="15184" max="15184" width="9.109375" style="381" customWidth="1"/>
    <col min="15185" max="15185" width="9" style="381" customWidth="1"/>
    <col min="15186" max="15186" width="9.109375" style="381" customWidth="1"/>
    <col min="15187" max="15187" width="9.6640625" style="381" customWidth="1"/>
    <col min="15188" max="15190" width="9.33203125" style="381" customWidth="1"/>
    <col min="15191" max="15191" width="9.109375" style="381" customWidth="1"/>
    <col min="15192" max="15195" width="10" style="381" customWidth="1"/>
    <col min="15196" max="15196" width="8.6640625" style="381" customWidth="1"/>
    <col min="15197" max="15198" width="10" style="381" customWidth="1"/>
    <col min="15199" max="15199" width="8.88671875" style="381" customWidth="1"/>
    <col min="15200" max="15202" width="9.109375" style="381" customWidth="1"/>
    <col min="15203" max="15203" width="9" style="381" customWidth="1"/>
    <col min="15204" max="15205" width="10" style="381" customWidth="1"/>
    <col min="15206" max="15206" width="9.5546875" style="381" customWidth="1"/>
    <col min="15207" max="15207" width="9.109375" style="381" customWidth="1"/>
    <col min="15208" max="15208" width="9" style="381" customWidth="1"/>
    <col min="15209" max="15211" width="9.44140625" style="381" customWidth="1"/>
    <col min="15212" max="15214" width="9.33203125" style="381" customWidth="1"/>
    <col min="15215" max="15215" width="9" style="381" customWidth="1"/>
    <col min="15216" max="15216" width="10.109375" style="381" customWidth="1"/>
    <col min="15217" max="15217" width="9.5546875" style="381" customWidth="1"/>
    <col min="15218" max="15218" width="9.44140625" style="381" customWidth="1"/>
    <col min="15219" max="15219" width="10.109375" style="381" customWidth="1"/>
    <col min="15220" max="15220" width="9.33203125" style="381" customWidth="1"/>
    <col min="15221" max="15221" width="9.44140625" style="381" customWidth="1"/>
    <col min="15222" max="15222" width="10.109375" style="381" customWidth="1"/>
    <col min="15223" max="15223" width="9.109375" style="381" customWidth="1"/>
    <col min="15224" max="15226" width="9" style="381" customWidth="1"/>
    <col min="15227" max="15227" width="8.88671875" style="381" customWidth="1"/>
    <col min="15228" max="15231" width="10.109375" style="381" customWidth="1"/>
    <col min="15232" max="15232" width="10" style="381" customWidth="1"/>
    <col min="15233" max="15233" width="9.88671875" style="381" customWidth="1"/>
    <col min="15234" max="15235" width="9.44140625" style="381" customWidth="1"/>
    <col min="15236" max="15236" width="8.6640625" style="381" customWidth="1"/>
    <col min="15237" max="15237" width="9.109375" style="381" customWidth="1"/>
    <col min="15238" max="15238" width="8.109375" style="381" customWidth="1"/>
    <col min="15239" max="15239" width="8.6640625" style="381" customWidth="1"/>
    <col min="15240" max="15240" width="10.109375" style="381" customWidth="1"/>
    <col min="15241" max="15241" width="9.33203125" style="381" customWidth="1"/>
    <col min="15242" max="15246" width="10.109375" style="381" customWidth="1"/>
    <col min="15247" max="15247" width="9.109375" style="381" customWidth="1"/>
    <col min="15248" max="15248" width="8.88671875" style="381" customWidth="1"/>
    <col min="15249" max="15249" width="9" style="381" customWidth="1"/>
    <col min="15250" max="15250" width="8.44140625" style="381" customWidth="1"/>
    <col min="15251" max="15251" width="9" style="381" customWidth="1"/>
    <col min="15252" max="15258" width="10.109375" style="381" customWidth="1"/>
    <col min="15259" max="15259" width="8.5546875" style="381" customWidth="1"/>
    <col min="15260" max="15260" width="8.33203125" style="381" customWidth="1"/>
    <col min="15261" max="15261" width="9.5546875" style="381" customWidth="1"/>
    <col min="15262" max="15262" width="8.33203125" style="381" customWidth="1"/>
    <col min="15263" max="15263" width="8.6640625" style="381" customWidth="1"/>
    <col min="15264" max="15361" width="9.109375" style="381"/>
    <col min="15362" max="15362" width="5.109375" style="381" bestFit="1" customWidth="1"/>
    <col min="15363" max="15363" width="79" style="381" customWidth="1"/>
    <col min="15364" max="15364" width="10.5546875" style="381" customWidth="1"/>
    <col min="15365" max="15365" width="9.88671875" style="381" customWidth="1"/>
    <col min="15366" max="15366" width="10.6640625" style="381" customWidth="1"/>
    <col min="15367" max="15367" width="11.6640625" style="381" customWidth="1"/>
    <col min="15368" max="15368" width="12.109375" style="381" customWidth="1"/>
    <col min="15369" max="15369" width="11.44140625" style="381" customWidth="1"/>
    <col min="15370" max="15371" width="9.6640625" style="381" customWidth="1"/>
    <col min="15372" max="15372" width="8.5546875" style="381" customWidth="1"/>
    <col min="15373" max="15373" width="8.109375" style="381" customWidth="1"/>
    <col min="15374" max="15374" width="9.33203125" style="381" customWidth="1"/>
    <col min="15375" max="15376" width="8.5546875" style="381" customWidth="1"/>
    <col min="15377" max="15377" width="9.88671875" style="381" customWidth="1"/>
    <col min="15378" max="15380" width="8.5546875" style="381" customWidth="1"/>
    <col min="15381" max="15381" width="9.5546875" style="381" customWidth="1"/>
    <col min="15382" max="15382" width="8.5546875" style="381" customWidth="1"/>
    <col min="15383" max="15383" width="9.44140625" style="381" customWidth="1"/>
    <col min="15384" max="15386" width="8.5546875" style="381" customWidth="1"/>
    <col min="15387" max="15387" width="9.44140625" style="381" customWidth="1"/>
    <col min="15388" max="15388" width="9.33203125" style="381" customWidth="1"/>
    <col min="15389" max="15389" width="9.44140625" style="381" customWidth="1"/>
    <col min="15390" max="15390" width="10" style="381" customWidth="1"/>
    <col min="15391" max="15391" width="8.109375" style="381" customWidth="1"/>
    <col min="15392" max="15392" width="10.88671875" style="381" customWidth="1"/>
    <col min="15393" max="15393" width="9.88671875" style="381" customWidth="1"/>
    <col min="15394" max="15394" width="10.109375" style="381" customWidth="1"/>
    <col min="15395" max="15395" width="9.33203125" style="381" customWidth="1"/>
    <col min="15396" max="15398" width="8.6640625" style="381" customWidth="1"/>
    <col min="15399" max="15399" width="7.44140625" style="381" customWidth="1"/>
    <col min="15400" max="15408" width="9.6640625" style="381" customWidth="1"/>
    <col min="15409" max="15409" width="8.5546875" style="381" customWidth="1"/>
    <col min="15410" max="15410" width="8.33203125" style="381" customWidth="1"/>
    <col min="15411" max="15411" width="9.6640625" style="381" customWidth="1"/>
    <col min="15412" max="15412" width="10.6640625" style="381" customWidth="1"/>
    <col min="15413" max="15415" width="9.6640625" style="381" customWidth="1"/>
    <col min="15416" max="15416" width="10.5546875" style="381" customWidth="1"/>
    <col min="15417" max="15419" width="9.6640625" style="381" customWidth="1"/>
    <col min="15420" max="15420" width="9" style="381" customWidth="1"/>
    <col min="15421" max="15421" width="9.6640625" style="381" customWidth="1"/>
    <col min="15422" max="15422" width="8.44140625" style="381" customWidth="1"/>
    <col min="15423" max="15423" width="8.6640625" style="381" customWidth="1"/>
    <col min="15424" max="15424" width="11.33203125" style="381" customWidth="1"/>
    <col min="15425" max="15425" width="9.44140625" style="381" customWidth="1"/>
    <col min="15426" max="15428" width="10.109375" style="381" customWidth="1"/>
    <col min="15429" max="15429" width="10" style="381" customWidth="1"/>
    <col min="15430" max="15430" width="9.109375" style="381" customWidth="1"/>
    <col min="15431" max="15431" width="9.44140625" style="381" customWidth="1"/>
    <col min="15432" max="15432" width="8.44140625" style="381" customWidth="1"/>
    <col min="15433" max="15433" width="10.109375" style="381" customWidth="1"/>
    <col min="15434" max="15434" width="8.44140625" style="381" customWidth="1"/>
    <col min="15435" max="15435" width="7.5546875" style="381" customWidth="1"/>
    <col min="15436" max="15436" width="10.88671875" style="381" customWidth="1"/>
    <col min="15437" max="15437" width="9.109375" style="381" customWidth="1"/>
    <col min="15438" max="15438" width="9.5546875" style="381" customWidth="1"/>
    <col min="15439" max="15439" width="9.6640625" style="381" customWidth="1"/>
    <col min="15440" max="15440" width="9.109375" style="381" customWidth="1"/>
    <col min="15441" max="15441" width="9" style="381" customWidth="1"/>
    <col min="15442" max="15442" width="9.109375" style="381" customWidth="1"/>
    <col min="15443" max="15443" width="9.6640625" style="381" customWidth="1"/>
    <col min="15444" max="15446" width="9.33203125" style="381" customWidth="1"/>
    <col min="15447" max="15447" width="9.109375" style="381" customWidth="1"/>
    <col min="15448" max="15451" width="10" style="381" customWidth="1"/>
    <col min="15452" max="15452" width="8.6640625" style="381" customWidth="1"/>
    <col min="15453" max="15454" width="10" style="381" customWidth="1"/>
    <col min="15455" max="15455" width="8.88671875" style="381" customWidth="1"/>
    <col min="15456" max="15458" width="9.109375" style="381" customWidth="1"/>
    <col min="15459" max="15459" width="9" style="381" customWidth="1"/>
    <col min="15460" max="15461" width="10" style="381" customWidth="1"/>
    <col min="15462" max="15462" width="9.5546875" style="381" customWidth="1"/>
    <col min="15463" max="15463" width="9.109375" style="381" customWidth="1"/>
    <col min="15464" max="15464" width="9" style="381" customWidth="1"/>
    <col min="15465" max="15467" width="9.44140625" style="381" customWidth="1"/>
    <col min="15468" max="15470" width="9.33203125" style="381" customWidth="1"/>
    <col min="15471" max="15471" width="9" style="381" customWidth="1"/>
    <col min="15472" max="15472" width="10.109375" style="381" customWidth="1"/>
    <col min="15473" max="15473" width="9.5546875" style="381" customWidth="1"/>
    <col min="15474" max="15474" width="9.44140625" style="381" customWidth="1"/>
    <col min="15475" max="15475" width="10.109375" style="381" customWidth="1"/>
    <col min="15476" max="15476" width="9.33203125" style="381" customWidth="1"/>
    <col min="15477" max="15477" width="9.44140625" style="381" customWidth="1"/>
    <col min="15478" max="15478" width="10.109375" style="381" customWidth="1"/>
    <col min="15479" max="15479" width="9.109375" style="381" customWidth="1"/>
    <col min="15480" max="15482" width="9" style="381" customWidth="1"/>
    <col min="15483" max="15483" width="8.88671875" style="381" customWidth="1"/>
    <col min="15484" max="15487" width="10.109375" style="381" customWidth="1"/>
    <col min="15488" max="15488" width="10" style="381" customWidth="1"/>
    <col min="15489" max="15489" width="9.88671875" style="381" customWidth="1"/>
    <col min="15490" max="15491" width="9.44140625" style="381" customWidth="1"/>
    <col min="15492" max="15492" width="8.6640625" style="381" customWidth="1"/>
    <col min="15493" max="15493" width="9.109375" style="381" customWidth="1"/>
    <col min="15494" max="15494" width="8.109375" style="381" customWidth="1"/>
    <col min="15495" max="15495" width="8.6640625" style="381" customWidth="1"/>
    <col min="15496" max="15496" width="10.109375" style="381" customWidth="1"/>
    <col min="15497" max="15497" width="9.33203125" style="381" customWidth="1"/>
    <col min="15498" max="15502" width="10.109375" style="381" customWidth="1"/>
    <col min="15503" max="15503" width="9.109375" style="381" customWidth="1"/>
    <col min="15504" max="15504" width="8.88671875" style="381" customWidth="1"/>
    <col min="15505" max="15505" width="9" style="381" customWidth="1"/>
    <col min="15506" max="15506" width="8.44140625" style="381" customWidth="1"/>
    <col min="15507" max="15507" width="9" style="381" customWidth="1"/>
    <col min="15508" max="15514" width="10.109375" style="381" customWidth="1"/>
    <col min="15515" max="15515" width="8.5546875" style="381" customWidth="1"/>
    <col min="15516" max="15516" width="8.33203125" style="381" customWidth="1"/>
    <col min="15517" max="15517" width="9.5546875" style="381" customWidth="1"/>
    <col min="15518" max="15518" width="8.33203125" style="381" customWidth="1"/>
    <col min="15519" max="15519" width="8.6640625" style="381" customWidth="1"/>
    <col min="15520" max="15617" width="9.109375" style="381"/>
    <col min="15618" max="15618" width="5.109375" style="381" bestFit="1" customWidth="1"/>
    <col min="15619" max="15619" width="79" style="381" customWidth="1"/>
    <col min="15620" max="15620" width="10.5546875" style="381" customWidth="1"/>
    <col min="15621" max="15621" width="9.88671875" style="381" customWidth="1"/>
    <col min="15622" max="15622" width="10.6640625" style="381" customWidth="1"/>
    <col min="15623" max="15623" width="11.6640625" style="381" customWidth="1"/>
    <col min="15624" max="15624" width="12.109375" style="381" customWidth="1"/>
    <col min="15625" max="15625" width="11.44140625" style="381" customWidth="1"/>
    <col min="15626" max="15627" width="9.6640625" style="381" customWidth="1"/>
    <col min="15628" max="15628" width="8.5546875" style="381" customWidth="1"/>
    <col min="15629" max="15629" width="8.109375" style="381" customWidth="1"/>
    <col min="15630" max="15630" width="9.33203125" style="381" customWidth="1"/>
    <col min="15631" max="15632" width="8.5546875" style="381" customWidth="1"/>
    <col min="15633" max="15633" width="9.88671875" style="381" customWidth="1"/>
    <col min="15634" max="15636" width="8.5546875" style="381" customWidth="1"/>
    <col min="15637" max="15637" width="9.5546875" style="381" customWidth="1"/>
    <col min="15638" max="15638" width="8.5546875" style="381" customWidth="1"/>
    <col min="15639" max="15639" width="9.44140625" style="381" customWidth="1"/>
    <col min="15640" max="15642" width="8.5546875" style="381" customWidth="1"/>
    <col min="15643" max="15643" width="9.44140625" style="381" customWidth="1"/>
    <col min="15644" max="15644" width="9.33203125" style="381" customWidth="1"/>
    <col min="15645" max="15645" width="9.44140625" style="381" customWidth="1"/>
    <col min="15646" max="15646" width="10" style="381" customWidth="1"/>
    <col min="15647" max="15647" width="8.109375" style="381" customWidth="1"/>
    <col min="15648" max="15648" width="10.88671875" style="381" customWidth="1"/>
    <col min="15649" max="15649" width="9.88671875" style="381" customWidth="1"/>
    <col min="15650" max="15650" width="10.109375" style="381" customWidth="1"/>
    <col min="15651" max="15651" width="9.33203125" style="381" customWidth="1"/>
    <col min="15652" max="15654" width="8.6640625" style="381" customWidth="1"/>
    <col min="15655" max="15655" width="7.44140625" style="381" customWidth="1"/>
    <col min="15656" max="15664" width="9.6640625" style="381" customWidth="1"/>
    <col min="15665" max="15665" width="8.5546875" style="381" customWidth="1"/>
    <col min="15666" max="15666" width="8.33203125" style="381" customWidth="1"/>
    <col min="15667" max="15667" width="9.6640625" style="381" customWidth="1"/>
    <col min="15668" max="15668" width="10.6640625" style="381" customWidth="1"/>
    <col min="15669" max="15671" width="9.6640625" style="381" customWidth="1"/>
    <col min="15672" max="15672" width="10.5546875" style="381" customWidth="1"/>
    <col min="15673" max="15675" width="9.6640625" style="381" customWidth="1"/>
    <col min="15676" max="15676" width="9" style="381" customWidth="1"/>
    <col min="15677" max="15677" width="9.6640625" style="381" customWidth="1"/>
    <col min="15678" max="15678" width="8.44140625" style="381" customWidth="1"/>
    <col min="15679" max="15679" width="8.6640625" style="381" customWidth="1"/>
    <col min="15680" max="15680" width="11.33203125" style="381" customWidth="1"/>
    <col min="15681" max="15681" width="9.44140625" style="381" customWidth="1"/>
    <col min="15682" max="15684" width="10.109375" style="381" customWidth="1"/>
    <col min="15685" max="15685" width="10" style="381" customWidth="1"/>
    <col min="15686" max="15686" width="9.109375" style="381" customWidth="1"/>
    <col min="15687" max="15687" width="9.44140625" style="381" customWidth="1"/>
    <col min="15688" max="15688" width="8.44140625" style="381" customWidth="1"/>
    <col min="15689" max="15689" width="10.109375" style="381" customWidth="1"/>
    <col min="15690" max="15690" width="8.44140625" style="381" customWidth="1"/>
    <col min="15691" max="15691" width="7.5546875" style="381" customWidth="1"/>
    <col min="15692" max="15692" width="10.88671875" style="381" customWidth="1"/>
    <col min="15693" max="15693" width="9.109375" style="381" customWidth="1"/>
    <col min="15694" max="15694" width="9.5546875" style="381" customWidth="1"/>
    <col min="15695" max="15695" width="9.6640625" style="381" customWidth="1"/>
    <col min="15696" max="15696" width="9.109375" style="381" customWidth="1"/>
    <col min="15697" max="15697" width="9" style="381" customWidth="1"/>
    <col min="15698" max="15698" width="9.109375" style="381" customWidth="1"/>
    <col min="15699" max="15699" width="9.6640625" style="381" customWidth="1"/>
    <col min="15700" max="15702" width="9.33203125" style="381" customWidth="1"/>
    <col min="15703" max="15703" width="9.109375" style="381" customWidth="1"/>
    <col min="15704" max="15707" width="10" style="381" customWidth="1"/>
    <col min="15708" max="15708" width="8.6640625" style="381" customWidth="1"/>
    <col min="15709" max="15710" width="10" style="381" customWidth="1"/>
    <col min="15711" max="15711" width="8.88671875" style="381" customWidth="1"/>
    <col min="15712" max="15714" width="9.109375" style="381" customWidth="1"/>
    <col min="15715" max="15715" width="9" style="381" customWidth="1"/>
    <col min="15716" max="15717" width="10" style="381" customWidth="1"/>
    <col min="15718" max="15718" width="9.5546875" style="381" customWidth="1"/>
    <col min="15719" max="15719" width="9.109375" style="381" customWidth="1"/>
    <col min="15720" max="15720" width="9" style="381" customWidth="1"/>
    <col min="15721" max="15723" width="9.44140625" style="381" customWidth="1"/>
    <col min="15724" max="15726" width="9.33203125" style="381" customWidth="1"/>
    <col min="15727" max="15727" width="9" style="381" customWidth="1"/>
    <col min="15728" max="15728" width="10.109375" style="381" customWidth="1"/>
    <col min="15729" max="15729" width="9.5546875" style="381" customWidth="1"/>
    <col min="15730" max="15730" width="9.44140625" style="381" customWidth="1"/>
    <col min="15731" max="15731" width="10.109375" style="381" customWidth="1"/>
    <col min="15732" max="15732" width="9.33203125" style="381" customWidth="1"/>
    <col min="15733" max="15733" width="9.44140625" style="381" customWidth="1"/>
    <col min="15734" max="15734" width="10.109375" style="381" customWidth="1"/>
    <col min="15735" max="15735" width="9.109375" style="381" customWidth="1"/>
    <col min="15736" max="15738" width="9" style="381" customWidth="1"/>
    <col min="15739" max="15739" width="8.88671875" style="381" customWidth="1"/>
    <col min="15740" max="15743" width="10.109375" style="381" customWidth="1"/>
    <col min="15744" max="15744" width="10" style="381" customWidth="1"/>
    <col min="15745" max="15745" width="9.88671875" style="381" customWidth="1"/>
    <col min="15746" max="15747" width="9.44140625" style="381" customWidth="1"/>
    <col min="15748" max="15748" width="8.6640625" style="381" customWidth="1"/>
    <col min="15749" max="15749" width="9.109375" style="381" customWidth="1"/>
    <col min="15750" max="15750" width="8.109375" style="381" customWidth="1"/>
    <col min="15751" max="15751" width="8.6640625" style="381" customWidth="1"/>
    <col min="15752" max="15752" width="10.109375" style="381" customWidth="1"/>
    <col min="15753" max="15753" width="9.33203125" style="381" customWidth="1"/>
    <col min="15754" max="15758" width="10.109375" style="381" customWidth="1"/>
    <col min="15759" max="15759" width="9.109375" style="381" customWidth="1"/>
    <col min="15760" max="15760" width="8.88671875" style="381" customWidth="1"/>
    <col min="15761" max="15761" width="9" style="381" customWidth="1"/>
    <col min="15762" max="15762" width="8.44140625" style="381" customWidth="1"/>
    <col min="15763" max="15763" width="9" style="381" customWidth="1"/>
    <col min="15764" max="15770" width="10.109375" style="381" customWidth="1"/>
    <col min="15771" max="15771" width="8.5546875" style="381" customWidth="1"/>
    <col min="15772" max="15772" width="8.33203125" style="381" customWidth="1"/>
    <col min="15773" max="15773" width="9.5546875" style="381" customWidth="1"/>
    <col min="15774" max="15774" width="8.33203125" style="381" customWidth="1"/>
    <col min="15775" max="15775" width="8.6640625" style="381" customWidth="1"/>
    <col min="15776" max="15873" width="9.109375" style="381"/>
    <col min="15874" max="15874" width="5.109375" style="381" bestFit="1" customWidth="1"/>
    <col min="15875" max="15875" width="79" style="381" customWidth="1"/>
    <col min="15876" max="15876" width="10.5546875" style="381" customWidth="1"/>
    <col min="15877" max="15877" width="9.88671875" style="381" customWidth="1"/>
    <col min="15878" max="15878" width="10.6640625" style="381" customWidth="1"/>
    <col min="15879" max="15879" width="11.6640625" style="381" customWidth="1"/>
    <col min="15880" max="15880" width="12.109375" style="381" customWidth="1"/>
    <col min="15881" max="15881" width="11.44140625" style="381" customWidth="1"/>
    <col min="15882" max="15883" width="9.6640625" style="381" customWidth="1"/>
    <col min="15884" max="15884" width="8.5546875" style="381" customWidth="1"/>
    <col min="15885" max="15885" width="8.109375" style="381" customWidth="1"/>
    <col min="15886" max="15886" width="9.33203125" style="381" customWidth="1"/>
    <col min="15887" max="15888" width="8.5546875" style="381" customWidth="1"/>
    <col min="15889" max="15889" width="9.88671875" style="381" customWidth="1"/>
    <col min="15890" max="15892" width="8.5546875" style="381" customWidth="1"/>
    <col min="15893" max="15893" width="9.5546875" style="381" customWidth="1"/>
    <col min="15894" max="15894" width="8.5546875" style="381" customWidth="1"/>
    <col min="15895" max="15895" width="9.44140625" style="381" customWidth="1"/>
    <col min="15896" max="15898" width="8.5546875" style="381" customWidth="1"/>
    <col min="15899" max="15899" width="9.44140625" style="381" customWidth="1"/>
    <col min="15900" max="15900" width="9.33203125" style="381" customWidth="1"/>
    <col min="15901" max="15901" width="9.44140625" style="381" customWidth="1"/>
    <col min="15902" max="15902" width="10" style="381" customWidth="1"/>
    <col min="15903" max="15903" width="8.109375" style="381" customWidth="1"/>
    <col min="15904" max="15904" width="10.88671875" style="381" customWidth="1"/>
    <col min="15905" max="15905" width="9.88671875" style="381" customWidth="1"/>
    <col min="15906" max="15906" width="10.109375" style="381" customWidth="1"/>
    <col min="15907" max="15907" width="9.33203125" style="381" customWidth="1"/>
    <col min="15908" max="15910" width="8.6640625" style="381" customWidth="1"/>
    <col min="15911" max="15911" width="7.44140625" style="381" customWidth="1"/>
    <col min="15912" max="15920" width="9.6640625" style="381" customWidth="1"/>
    <col min="15921" max="15921" width="8.5546875" style="381" customWidth="1"/>
    <col min="15922" max="15922" width="8.33203125" style="381" customWidth="1"/>
    <col min="15923" max="15923" width="9.6640625" style="381" customWidth="1"/>
    <col min="15924" max="15924" width="10.6640625" style="381" customWidth="1"/>
    <col min="15925" max="15927" width="9.6640625" style="381" customWidth="1"/>
    <col min="15928" max="15928" width="10.5546875" style="381" customWidth="1"/>
    <col min="15929" max="15931" width="9.6640625" style="381" customWidth="1"/>
    <col min="15932" max="15932" width="9" style="381" customWidth="1"/>
    <col min="15933" max="15933" width="9.6640625" style="381" customWidth="1"/>
    <col min="15934" max="15934" width="8.44140625" style="381" customWidth="1"/>
    <col min="15935" max="15935" width="8.6640625" style="381" customWidth="1"/>
    <col min="15936" max="15936" width="11.33203125" style="381" customWidth="1"/>
    <col min="15937" max="15937" width="9.44140625" style="381" customWidth="1"/>
    <col min="15938" max="15940" width="10.109375" style="381" customWidth="1"/>
    <col min="15941" max="15941" width="10" style="381" customWidth="1"/>
    <col min="15942" max="15942" width="9.109375" style="381" customWidth="1"/>
    <col min="15943" max="15943" width="9.44140625" style="381" customWidth="1"/>
    <col min="15944" max="15944" width="8.44140625" style="381" customWidth="1"/>
    <col min="15945" max="15945" width="10.109375" style="381" customWidth="1"/>
    <col min="15946" max="15946" width="8.44140625" style="381" customWidth="1"/>
    <col min="15947" max="15947" width="7.5546875" style="381" customWidth="1"/>
    <col min="15948" max="15948" width="10.88671875" style="381" customWidth="1"/>
    <col min="15949" max="15949" width="9.109375" style="381" customWidth="1"/>
    <col min="15950" max="15950" width="9.5546875" style="381" customWidth="1"/>
    <col min="15951" max="15951" width="9.6640625" style="381" customWidth="1"/>
    <col min="15952" max="15952" width="9.109375" style="381" customWidth="1"/>
    <col min="15953" max="15953" width="9" style="381" customWidth="1"/>
    <col min="15954" max="15954" width="9.109375" style="381" customWidth="1"/>
    <col min="15955" max="15955" width="9.6640625" style="381" customWidth="1"/>
    <col min="15956" max="15958" width="9.33203125" style="381" customWidth="1"/>
    <col min="15959" max="15959" width="9.109375" style="381" customWidth="1"/>
    <col min="15960" max="15963" width="10" style="381" customWidth="1"/>
    <col min="15964" max="15964" width="8.6640625" style="381" customWidth="1"/>
    <col min="15965" max="15966" width="10" style="381" customWidth="1"/>
    <col min="15967" max="15967" width="8.88671875" style="381" customWidth="1"/>
    <col min="15968" max="15970" width="9.109375" style="381" customWidth="1"/>
    <col min="15971" max="15971" width="9" style="381" customWidth="1"/>
    <col min="15972" max="15973" width="10" style="381" customWidth="1"/>
    <col min="15974" max="15974" width="9.5546875" style="381" customWidth="1"/>
    <col min="15975" max="15975" width="9.109375" style="381" customWidth="1"/>
    <col min="15976" max="15976" width="9" style="381" customWidth="1"/>
    <col min="15977" max="15979" width="9.44140625" style="381" customWidth="1"/>
    <col min="15980" max="15982" width="9.33203125" style="381" customWidth="1"/>
    <col min="15983" max="15983" width="9" style="381" customWidth="1"/>
    <col min="15984" max="15984" width="10.109375" style="381" customWidth="1"/>
    <col min="15985" max="15985" width="9.5546875" style="381" customWidth="1"/>
    <col min="15986" max="15986" width="9.44140625" style="381" customWidth="1"/>
    <col min="15987" max="15987" width="10.109375" style="381" customWidth="1"/>
    <col min="15988" max="15988" width="9.33203125" style="381" customWidth="1"/>
    <col min="15989" max="15989" width="9.44140625" style="381" customWidth="1"/>
    <col min="15990" max="15990" width="10.109375" style="381" customWidth="1"/>
    <col min="15991" max="15991" width="9.109375" style="381" customWidth="1"/>
    <col min="15992" max="15994" width="9" style="381" customWidth="1"/>
    <col min="15995" max="15995" width="8.88671875" style="381" customWidth="1"/>
    <col min="15996" max="15999" width="10.109375" style="381" customWidth="1"/>
    <col min="16000" max="16000" width="10" style="381" customWidth="1"/>
    <col min="16001" max="16001" width="9.88671875" style="381" customWidth="1"/>
    <col min="16002" max="16003" width="9.44140625" style="381" customWidth="1"/>
    <col min="16004" max="16004" width="8.6640625" style="381" customWidth="1"/>
    <col min="16005" max="16005" width="9.109375" style="381" customWidth="1"/>
    <col min="16006" max="16006" width="8.109375" style="381" customWidth="1"/>
    <col min="16007" max="16007" width="8.6640625" style="381" customWidth="1"/>
    <col min="16008" max="16008" width="10.109375" style="381" customWidth="1"/>
    <col min="16009" max="16009" width="9.33203125" style="381" customWidth="1"/>
    <col min="16010" max="16014" width="10.109375" style="381" customWidth="1"/>
    <col min="16015" max="16015" width="9.109375" style="381" customWidth="1"/>
    <col min="16016" max="16016" width="8.88671875" style="381" customWidth="1"/>
    <col min="16017" max="16017" width="9" style="381" customWidth="1"/>
    <col min="16018" max="16018" width="8.44140625" style="381" customWidth="1"/>
    <col min="16019" max="16019" width="9" style="381" customWidth="1"/>
    <col min="16020" max="16026" width="10.109375" style="381" customWidth="1"/>
    <col min="16027" max="16027" width="8.5546875" style="381" customWidth="1"/>
    <col min="16028" max="16028" width="8.33203125" style="381" customWidth="1"/>
    <col min="16029" max="16029" width="9.5546875" style="381" customWidth="1"/>
    <col min="16030" max="16030" width="8.33203125" style="381" customWidth="1"/>
    <col min="16031" max="16031" width="8.6640625" style="381" customWidth="1"/>
    <col min="16032" max="16129" width="9.109375" style="381"/>
    <col min="16130" max="16130" width="5.109375" style="381" bestFit="1" customWidth="1"/>
    <col min="16131" max="16131" width="79" style="381" customWidth="1"/>
    <col min="16132" max="16132" width="10.5546875" style="381" customWidth="1"/>
    <col min="16133" max="16133" width="9.88671875" style="381" customWidth="1"/>
    <col min="16134" max="16134" width="10.6640625" style="381" customWidth="1"/>
    <col min="16135" max="16135" width="11.6640625" style="381" customWidth="1"/>
    <col min="16136" max="16136" width="12.109375" style="381" customWidth="1"/>
    <col min="16137" max="16137" width="11.44140625" style="381" customWidth="1"/>
    <col min="16138" max="16139" width="9.6640625" style="381" customWidth="1"/>
    <col min="16140" max="16140" width="8.5546875" style="381" customWidth="1"/>
    <col min="16141" max="16141" width="8.109375" style="381" customWidth="1"/>
    <col min="16142" max="16142" width="9.33203125" style="381" customWidth="1"/>
    <col min="16143" max="16144" width="8.5546875" style="381" customWidth="1"/>
    <col min="16145" max="16145" width="9.88671875" style="381" customWidth="1"/>
    <col min="16146" max="16148" width="8.5546875" style="381" customWidth="1"/>
    <col min="16149" max="16149" width="9.5546875" style="381" customWidth="1"/>
    <col min="16150" max="16150" width="8.5546875" style="381" customWidth="1"/>
    <col min="16151" max="16151" width="9.44140625" style="381" customWidth="1"/>
    <col min="16152" max="16154" width="8.5546875" style="381" customWidth="1"/>
    <col min="16155" max="16155" width="9.44140625" style="381" customWidth="1"/>
    <col min="16156" max="16156" width="9.33203125" style="381" customWidth="1"/>
    <col min="16157" max="16157" width="9.44140625" style="381" customWidth="1"/>
    <col min="16158" max="16158" width="10" style="381" customWidth="1"/>
    <col min="16159" max="16159" width="8.109375" style="381" customWidth="1"/>
    <col min="16160" max="16160" width="10.88671875" style="381" customWidth="1"/>
    <col min="16161" max="16161" width="9.88671875" style="381" customWidth="1"/>
    <col min="16162" max="16162" width="10.109375" style="381" customWidth="1"/>
    <col min="16163" max="16163" width="9.33203125" style="381" customWidth="1"/>
    <col min="16164" max="16166" width="8.6640625" style="381" customWidth="1"/>
    <col min="16167" max="16167" width="7.44140625" style="381" customWidth="1"/>
    <col min="16168" max="16176" width="9.6640625" style="381" customWidth="1"/>
    <col min="16177" max="16177" width="8.5546875" style="381" customWidth="1"/>
    <col min="16178" max="16178" width="8.33203125" style="381" customWidth="1"/>
    <col min="16179" max="16179" width="9.6640625" style="381" customWidth="1"/>
    <col min="16180" max="16180" width="10.6640625" style="381" customWidth="1"/>
    <col min="16181" max="16183" width="9.6640625" style="381" customWidth="1"/>
    <col min="16184" max="16184" width="10.5546875" style="381" customWidth="1"/>
    <col min="16185" max="16187" width="9.6640625" style="381" customWidth="1"/>
    <col min="16188" max="16188" width="9" style="381" customWidth="1"/>
    <col min="16189" max="16189" width="9.6640625" style="381" customWidth="1"/>
    <col min="16190" max="16190" width="8.44140625" style="381" customWidth="1"/>
    <col min="16191" max="16191" width="8.6640625" style="381" customWidth="1"/>
    <col min="16192" max="16192" width="11.33203125" style="381" customWidth="1"/>
    <col min="16193" max="16193" width="9.44140625" style="381" customWidth="1"/>
    <col min="16194" max="16196" width="10.109375" style="381" customWidth="1"/>
    <col min="16197" max="16197" width="10" style="381" customWidth="1"/>
    <col min="16198" max="16198" width="9.109375" style="381" customWidth="1"/>
    <col min="16199" max="16199" width="9.44140625" style="381" customWidth="1"/>
    <col min="16200" max="16200" width="8.44140625" style="381" customWidth="1"/>
    <col min="16201" max="16201" width="10.109375" style="381" customWidth="1"/>
    <col min="16202" max="16202" width="8.44140625" style="381" customWidth="1"/>
    <col min="16203" max="16203" width="7.5546875" style="381" customWidth="1"/>
    <col min="16204" max="16204" width="10.88671875" style="381" customWidth="1"/>
    <col min="16205" max="16205" width="9.109375" style="381" customWidth="1"/>
    <col min="16206" max="16206" width="9.5546875" style="381" customWidth="1"/>
    <col min="16207" max="16207" width="9.6640625" style="381" customWidth="1"/>
    <col min="16208" max="16208" width="9.109375" style="381" customWidth="1"/>
    <col min="16209" max="16209" width="9" style="381" customWidth="1"/>
    <col min="16210" max="16210" width="9.109375" style="381" customWidth="1"/>
    <col min="16211" max="16211" width="9.6640625" style="381" customWidth="1"/>
    <col min="16212" max="16214" width="9.33203125" style="381" customWidth="1"/>
    <col min="16215" max="16215" width="9.109375" style="381" customWidth="1"/>
    <col min="16216" max="16219" width="10" style="381" customWidth="1"/>
    <col min="16220" max="16220" width="8.6640625" style="381" customWidth="1"/>
    <col min="16221" max="16222" width="10" style="381" customWidth="1"/>
    <col min="16223" max="16223" width="8.88671875" style="381" customWidth="1"/>
    <col min="16224" max="16226" width="9.109375" style="381" customWidth="1"/>
    <col min="16227" max="16227" width="9" style="381" customWidth="1"/>
    <col min="16228" max="16229" width="10" style="381" customWidth="1"/>
    <col min="16230" max="16230" width="9.5546875" style="381" customWidth="1"/>
    <col min="16231" max="16231" width="9.109375" style="381" customWidth="1"/>
    <col min="16232" max="16232" width="9" style="381" customWidth="1"/>
    <col min="16233" max="16235" width="9.44140625" style="381" customWidth="1"/>
    <col min="16236" max="16238" width="9.33203125" style="381" customWidth="1"/>
    <col min="16239" max="16239" width="9" style="381" customWidth="1"/>
    <col min="16240" max="16240" width="10.109375" style="381" customWidth="1"/>
    <col min="16241" max="16241" width="9.5546875" style="381" customWidth="1"/>
    <col min="16242" max="16242" width="9.44140625" style="381" customWidth="1"/>
    <col min="16243" max="16243" width="10.109375" style="381" customWidth="1"/>
    <col min="16244" max="16244" width="9.33203125" style="381" customWidth="1"/>
    <col min="16245" max="16245" width="9.44140625" style="381" customWidth="1"/>
    <col min="16246" max="16246" width="10.109375" style="381" customWidth="1"/>
    <col min="16247" max="16247" width="9.109375" style="381" customWidth="1"/>
    <col min="16248" max="16250" width="9" style="381" customWidth="1"/>
    <col min="16251" max="16251" width="8.88671875" style="381" customWidth="1"/>
    <col min="16252" max="16255" width="10.109375" style="381" customWidth="1"/>
    <col min="16256" max="16256" width="10" style="381" customWidth="1"/>
    <col min="16257" max="16257" width="9.88671875" style="381" customWidth="1"/>
    <col min="16258" max="16259" width="9.44140625" style="381" customWidth="1"/>
    <col min="16260" max="16260" width="8.6640625" style="381" customWidth="1"/>
    <col min="16261" max="16261" width="9.109375" style="381" customWidth="1"/>
    <col min="16262" max="16262" width="8.109375" style="381" customWidth="1"/>
    <col min="16263" max="16263" width="8.6640625" style="381" customWidth="1"/>
    <col min="16264" max="16264" width="10.109375" style="381" customWidth="1"/>
    <col min="16265" max="16265" width="9.33203125" style="381" customWidth="1"/>
    <col min="16266" max="16270" width="10.109375" style="381" customWidth="1"/>
    <col min="16271" max="16271" width="9.109375" style="381" customWidth="1"/>
    <col min="16272" max="16272" width="8.88671875" style="381" customWidth="1"/>
    <col min="16273" max="16273" width="9" style="381" customWidth="1"/>
    <col min="16274" max="16274" width="8.44140625" style="381" customWidth="1"/>
    <col min="16275" max="16275" width="9" style="381" customWidth="1"/>
    <col min="16276" max="16282" width="10.109375" style="381" customWidth="1"/>
    <col min="16283" max="16283" width="8.5546875" style="381" customWidth="1"/>
    <col min="16284" max="16284" width="8.33203125" style="381" customWidth="1"/>
    <col min="16285" max="16285" width="9.5546875" style="381" customWidth="1"/>
    <col min="16286" max="16286" width="8.33203125" style="381" customWidth="1"/>
    <col min="16287" max="16287" width="8.6640625" style="381" customWidth="1"/>
    <col min="16288" max="16384" width="9.109375" style="381"/>
  </cols>
  <sheetData>
    <row r="1" spans="1:162" ht="39.75" customHeight="1">
      <c r="A1" s="2240" t="s">
        <v>1457</v>
      </c>
      <c r="C1" s="6109" t="s">
        <v>1750</v>
      </c>
      <c r="D1" s="6109"/>
      <c r="E1" s="6109"/>
      <c r="F1" s="6109"/>
      <c r="G1" s="6109"/>
      <c r="H1" s="6109"/>
      <c r="I1" s="6109"/>
      <c r="J1" s="6109"/>
      <c r="K1" s="6109"/>
      <c r="L1" s="6109"/>
      <c r="M1" s="6109"/>
      <c r="N1" s="6109"/>
      <c r="O1" s="6109" t="s">
        <v>1458</v>
      </c>
      <c r="P1" s="6109"/>
      <c r="Q1" s="6109"/>
      <c r="R1" s="6109"/>
      <c r="S1" s="6109"/>
      <c r="T1" s="6109"/>
      <c r="U1" s="6109"/>
      <c r="V1" s="6109"/>
      <c r="W1" s="6109"/>
      <c r="X1" s="6109"/>
      <c r="Y1" s="6109"/>
      <c r="Z1" s="6109"/>
      <c r="AA1" s="6109" t="s">
        <v>1458</v>
      </c>
      <c r="AB1" s="6109"/>
      <c r="AC1" s="6109"/>
      <c r="AD1" s="6109"/>
      <c r="AE1" s="6109"/>
      <c r="AF1" s="6109"/>
      <c r="AG1" s="6109"/>
      <c r="AH1" s="6109"/>
      <c r="AI1" s="6109"/>
      <c r="AJ1" s="6109"/>
      <c r="AK1" s="6109"/>
      <c r="AL1" s="6109"/>
      <c r="AM1" s="6109" t="s">
        <v>1458</v>
      </c>
      <c r="AN1" s="6109"/>
      <c r="AO1" s="6109"/>
      <c r="AP1" s="6109"/>
      <c r="AQ1" s="6109"/>
      <c r="AR1" s="6109"/>
      <c r="AS1" s="6109"/>
      <c r="AT1" s="6109"/>
      <c r="AU1" s="6109"/>
      <c r="AV1" s="6109"/>
      <c r="AW1" s="6109"/>
      <c r="AX1" s="6109"/>
      <c r="AY1" s="6109" t="s">
        <v>1458</v>
      </c>
      <c r="AZ1" s="6109"/>
      <c r="BA1" s="6109"/>
      <c r="BB1" s="6109"/>
      <c r="BC1" s="6109"/>
      <c r="BD1" s="6109"/>
      <c r="BE1" s="6109"/>
      <c r="BF1" s="6109"/>
      <c r="BG1" s="6109"/>
      <c r="BH1" s="6109"/>
      <c r="BI1" s="6109"/>
      <c r="BJ1" s="6109"/>
      <c r="BK1" s="6109" t="s">
        <v>1458</v>
      </c>
      <c r="BL1" s="6109"/>
      <c r="BM1" s="6109"/>
      <c r="BN1" s="6109"/>
      <c r="BO1" s="6109"/>
      <c r="BP1" s="6109"/>
      <c r="BQ1" s="6109"/>
      <c r="BR1" s="6109"/>
      <c r="BS1" s="6109"/>
      <c r="BT1" s="6109"/>
      <c r="BU1" s="6109"/>
      <c r="BV1" s="6109"/>
      <c r="BW1" s="6109" t="s">
        <v>1458</v>
      </c>
      <c r="BX1" s="6109"/>
      <c r="BY1" s="6109"/>
      <c r="BZ1" s="6109"/>
      <c r="CA1" s="6109"/>
      <c r="CB1" s="6109"/>
      <c r="CC1" s="6109"/>
      <c r="CD1" s="6109"/>
      <c r="CE1" s="6109"/>
      <c r="CF1" s="6109"/>
      <c r="CG1" s="6109"/>
      <c r="CH1" s="6109"/>
      <c r="CI1" s="6109" t="s">
        <v>1458</v>
      </c>
      <c r="CJ1" s="6109"/>
      <c r="CK1" s="6109"/>
      <c r="CL1" s="6109"/>
      <c r="CM1" s="6109"/>
      <c r="CN1" s="6109"/>
      <c r="CO1" s="6109"/>
      <c r="CP1" s="6109"/>
      <c r="CQ1" s="6109"/>
      <c r="CR1" s="6109"/>
      <c r="CS1" s="6109"/>
      <c r="CT1" s="6109"/>
      <c r="CU1" s="6109" t="s">
        <v>1458</v>
      </c>
      <c r="CV1" s="6109"/>
      <c r="CW1" s="6109"/>
      <c r="CX1" s="6109"/>
      <c r="CY1" s="6109"/>
      <c r="CZ1" s="6109"/>
      <c r="DA1" s="6109"/>
      <c r="DB1" s="6109"/>
      <c r="DC1" s="6109"/>
      <c r="DD1" s="6109"/>
      <c r="DE1" s="6109"/>
      <c r="DF1" s="6109"/>
      <c r="DG1" s="6109" t="s">
        <v>1458</v>
      </c>
      <c r="DH1" s="6109"/>
      <c r="DI1" s="6109"/>
      <c r="DJ1" s="6109"/>
      <c r="DK1" s="6109"/>
      <c r="DL1" s="6109"/>
      <c r="DM1" s="6109"/>
      <c r="DN1" s="6109"/>
      <c r="DO1" s="6109"/>
      <c r="DP1" s="6109"/>
      <c r="DQ1" s="6109"/>
      <c r="DR1" s="6109"/>
      <c r="DS1" s="6109" t="s">
        <v>1458</v>
      </c>
      <c r="DT1" s="6109"/>
      <c r="DU1" s="6109"/>
      <c r="DV1" s="6109"/>
      <c r="DW1" s="6109"/>
      <c r="DX1" s="6109"/>
      <c r="DY1" s="6109"/>
      <c r="DZ1" s="6109"/>
      <c r="EA1" s="6109"/>
      <c r="EB1" s="6109"/>
      <c r="EC1" s="6109"/>
      <c r="ED1" s="6109"/>
      <c r="EE1" s="6109" t="s">
        <v>1458</v>
      </c>
      <c r="EF1" s="6109"/>
      <c r="EG1" s="6109"/>
      <c r="EH1" s="6109"/>
      <c r="EI1" s="6109"/>
      <c r="EJ1" s="6109"/>
      <c r="EK1" s="6109"/>
      <c r="EL1" s="6109"/>
      <c r="EM1" s="6109"/>
      <c r="EN1" s="6109"/>
      <c r="EO1" s="6109"/>
      <c r="EP1" s="6109"/>
      <c r="EQ1" s="6109" t="s">
        <v>1458</v>
      </c>
      <c r="ER1" s="6109"/>
      <c r="ES1" s="6109"/>
      <c r="ET1" s="6109"/>
      <c r="EU1" s="6109"/>
      <c r="EV1" s="6109"/>
      <c r="EW1" s="6109"/>
      <c r="EX1" s="6109"/>
      <c r="EY1" s="6109"/>
      <c r="EZ1" s="6109"/>
      <c r="FA1" s="6109"/>
      <c r="FB1" s="6109"/>
    </row>
    <row r="2" spans="1:162">
      <c r="A2" s="2240"/>
      <c r="C2" s="431"/>
      <c r="D2" s="431"/>
      <c r="E2" s="431"/>
      <c r="F2" s="431"/>
      <c r="G2" s="431"/>
      <c r="H2" s="431"/>
      <c r="I2" s="431"/>
      <c r="J2" s="431"/>
      <c r="K2" s="431"/>
      <c r="L2" s="431"/>
      <c r="M2" s="431"/>
      <c r="N2" s="431"/>
      <c r="O2" s="431"/>
      <c r="P2" s="431"/>
      <c r="Q2" s="431"/>
      <c r="R2" s="431"/>
      <c r="S2" s="431"/>
      <c r="T2" s="431"/>
      <c r="U2" s="431"/>
      <c r="V2" s="2982">
        <f>+V9-P9</f>
        <v>-23150</v>
      </c>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791">
        <f>395000-EK30</f>
        <v>0</v>
      </c>
      <c r="EL2" s="431"/>
      <c r="EM2" s="431"/>
      <c r="EN2" s="431"/>
      <c r="EO2" s="431"/>
      <c r="EP2" s="431"/>
      <c r="EQ2" s="431"/>
      <c r="ER2" s="431"/>
      <c r="ES2" s="431"/>
      <c r="ET2" s="431"/>
      <c r="EU2" s="431"/>
      <c r="EV2" s="2982"/>
      <c r="EW2" s="431"/>
      <c r="EX2" s="431"/>
      <c r="EY2" s="431"/>
      <c r="EZ2" s="431"/>
      <c r="FA2" s="431"/>
      <c r="FB2" s="431"/>
    </row>
    <row r="3" spans="1:162">
      <c r="B3" s="2241"/>
      <c r="C3" s="2241"/>
      <c r="D3" s="2241"/>
      <c r="E3" s="2241"/>
      <c r="F3" s="2241"/>
      <c r="G3" s="2242"/>
      <c r="H3" s="2241"/>
      <c r="I3" s="2242"/>
      <c r="J3" s="2241"/>
      <c r="K3" s="2241"/>
      <c r="L3" s="2241"/>
      <c r="M3" s="2241"/>
      <c r="N3" s="2243" t="s">
        <v>638</v>
      </c>
      <c r="O3" s="2243"/>
      <c r="P3" s="2244">
        <v>0.9</v>
      </c>
      <c r="Q3" s="2243"/>
      <c r="R3" s="2243"/>
      <c r="S3" s="2243"/>
      <c r="T3" s="2244">
        <v>0.9</v>
      </c>
      <c r="U3" s="2243"/>
      <c r="V3" s="2244">
        <v>0.9</v>
      </c>
      <c r="W3" s="2243"/>
      <c r="X3" s="2241"/>
      <c r="Y3" s="2241"/>
      <c r="Z3" s="2243" t="s">
        <v>638</v>
      </c>
      <c r="AA3" s="2241"/>
      <c r="AB3" s="2843">
        <v>0.9</v>
      </c>
      <c r="AC3" s="2241"/>
      <c r="AD3" s="2241"/>
      <c r="AE3" s="2241"/>
      <c r="AF3" s="2843">
        <v>0.9</v>
      </c>
      <c r="AG3" s="2241"/>
      <c r="AH3" s="2244">
        <f>V3</f>
        <v>0.9</v>
      </c>
      <c r="AI3" s="2241"/>
      <c r="AJ3" s="2241"/>
      <c r="AK3" s="2241"/>
      <c r="AL3" s="2243" t="s">
        <v>638</v>
      </c>
      <c r="AM3" s="2241"/>
      <c r="AN3" s="2843">
        <v>0.9</v>
      </c>
      <c r="AO3" s="2241"/>
      <c r="AP3" s="2241"/>
      <c r="AQ3" s="2241"/>
      <c r="AR3" s="2843">
        <v>0.9</v>
      </c>
      <c r="AS3" s="2241"/>
      <c r="AT3" s="2244">
        <f>AH3</f>
        <v>0.9</v>
      </c>
      <c r="AU3" s="2241"/>
      <c r="AV3" s="2241"/>
      <c r="AW3" s="2241"/>
      <c r="AX3" s="2243" t="s">
        <v>638</v>
      </c>
      <c r="AZ3" s="2246">
        <v>0.9</v>
      </c>
      <c r="BA3" s="667"/>
      <c r="BB3" s="667"/>
      <c r="BC3" s="2245"/>
      <c r="BD3" s="2245">
        <v>0.9</v>
      </c>
      <c r="BE3" s="2245"/>
      <c r="BF3" s="2244">
        <f>AT3</f>
        <v>0.9</v>
      </c>
      <c r="BJ3" s="2243" t="s">
        <v>638</v>
      </c>
      <c r="BL3" s="2246">
        <v>0.9</v>
      </c>
      <c r="BM3" s="667"/>
      <c r="BN3" s="667"/>
      <c r="BO3" s="716"/>
      <c r="BP3" s="2245">
        <v>0.9</v>
      </c>
      <c r="BQ3" s="2245"/>
      <c r="BR3" s="2245">
        <f>BF3</f>
        <v>0.9</v>
      </c>
      <c r="BS3" s="667"/>
      <c r="BT3" s="667"/>
      <c r="BU3" s="667"/>
      <c r="BV3" s="2243" t="s">
        <v>638</v>
      </c>
      <c r="BX3" s="2246">
        <v>0.9</v>
      </c>
      <c r="BY3" s="667"/>
      <c r="CB3" s="2246">
        <v>0.9</v>
      </c>
      <c r="CC3" s="667"/>
      <c r="CD3" s="2246">
        <f>BR3</f>
        <v>0.9</v>
      </c>
      <c r="CH3" s="2243" t="s">
        <v>638</v>
      </c>
      <c r="CJ3" s="2246">
        <v>0.9</v>
      </c>
      <c r="CK3" s="667"/>
      <c r="CL3" s="667"/>
      <c r="CM3" s="667"/>
      <c r="CN3" s="2245">
        <v>0.9</v>
      </c>
      <c r="CO3" s="667"/>
      <c r="CP3" s="2245">
        <f>CD3</f>
        <v>0.9</v>
      </c>
      <c r="CT3" s="2243" t="s">
        <v>638</v>
      </c>
      <c r="CV3" s="2246">
        <v>0.9</v>
      </c>
      <c r="CW3" s="667"/>
      <c r="CX3" s="667"/>
      <c r="CY3" s="2245"/>
      <c r="CZ3" s="2245">
        <v>0.9</v>
      </c>
      <c r="DA3" s="667"/>
      <c r="DB3" s="2245">
        <f>CP3</f>
        <v>0.9</v>
      </c>
      <c r="DF3" s="2243" t="s">
        <v>638</v>
      </c>
      <c r="DH3" s="2246">
        <v>0.9</v>
      </c>
      <c r="DI3" s="667"/>
      <c r="DJ3" s="667"/>
      <c r="DK3" s="2245"/>
      <c r="DL3" s="2245">
        <f>CZ3</f>
        <v>0.9</v>
      </c>
      <c r="DM3" s="2245"/>
      <c r="DN3" s="2245">
        <f>DB3</f>
        <v>0.9</v>
      </c>
      <c r="DR3" s="2243" t="s">
        <v>638</v>
      </c>
      <c r="DT3" s="2246">
        <v>0.9</v>
      </c>
      <c r="DU3" s="667"/>
      <c r="DV3" s="667"/>
      <c r="DW3" s="667"/>
      <c r="DX3" s="2245">
        <f>DL3</f>
        <v>0.9</v>
      </c>
      <c r="DY3" s="2245"/>
      <c r="DZ3" s="2245">
        <f>DN3</f>
        <v>0.9</v>
      </c>
      <c r="ED3" s="2243" t="s">
        <v>638</v>
      </c>
      <c r="EF3" s="2246">
        <v>0.9</v>
      </c>
      <c r="EG3" s="667"/>
      <c r="EH3" s="667"/>
      <c r="EI3" s="2245"/>
      <c r="EJ3" s="2245">
        <f>DX3</f>
        <v>0.9</v>
      </c>
      <c r="EK3" s="2245"/>
      <c r="EL3" s="2245">
        <f>DZ3</f>
        <v>0.9</v>
      </c>
      <c r="EM3" s="667"/>
      <c r="EN3" s="667"/>
      <c r="EO3" s="667"/>
      <c r="EP3" s="2243" t="s">
        <v>638</v>
      </c>
      <c r="ER3" s="2246">
        <v>0.9</v>
      </c>
      <c r="ES3" s="667"/>
      <c r="ET3" s="667"/>
      <c r="EU3" s="667"/>
      <c r="EV3" s="2245">
        <f>EJ3</f>
        <v>0.9</v>
      </c>
      <c r="EW3" s="667"/>
      <c r="EX3" s="2245">
        <f>EL3</f>
        <v>0.9</v>
      </c>
      <c r="FB3" s="2243" t="s">
        <v>638</v>
      </c>
    </row>
    <row r="4" spans="1:162" s="382" customFormat="1" ht="17.399999999999999">
      <c r="A4" s="6640" t="s">
        <v>247</v>
      </c>
      <c r="B4" s="6369" t="s">
        <v>1123</v>
      </c>
      <c r="C4" s="6292" t="s">
        <v>1459</v>
      </c>
      <c r="D4" s="6292"/>
      <c r="E4" s="6292"/>
      <c r="F4" s="6292"/>
      <c r="G4" s="6292"/>
      <c r="H4" s="6292"/>
      <c r="I4" s="6292"/>
      <c r="J4" s="6292"/>
      <c r="K4" s="6292"/>
      <c r="L4" s="6292"/>
      <c r="M4" s="6292"/>
      <c r="N4" s="6292"/>
      <c r="O4" s="6369" t="s">
        <v>1135</v>
      </c>
      <c r="P4" s="6369"/>
      <c r="Q4" s="6369"/>
      <c r="R4" s="6369"/>
      <c r="S4" s="6369"/>
      <c r="T4" s="6369"/>
      <c r="U4" s="6369"/>
      <c r="V4" s="6369"/>
      <c r="W4" s="6369"/>
      <c r="X4" s="6369"/>
      <c r="Y4" s="6369"/>
      <c r="Z4" s="6369"/>
      <c r="AA4" s="6369" t="s">
        <v>1136</v>
      </c>
      <c r="AB4" s="6369"/>
      <c r="AC4" s="6369"/>
      <c r="AD4" s="6369"/>
      <c r="AE4" s="6369"/>
      <c r="AF4" s="6369"/>
      <c r="AG4" s="6369"/>
      <c r="AH4" s="6369"/>
      <c r="AI4" s="6369"/>
      <c r="AJ4" s="6369"/>
      <c r="AK4" s="6369"/>
      <c r="AL4" s="6369"/>
      <c r="AM4" s="6369" t="s">
        <v>1137</v>
      </c>
      <c r="AN4" s="6369"/>
      <c r="AO4" s="6369"/>
      <c r="AP4" s="6369"/>
      <c r="AQ4" s="6369"/>
      <c r="AR4" s="6369"/>
      <c r="AS4" s="6369"/>
      <c r="AT4" s="6369"/>
      <c r="AU4" s="6369"/>
      <c r="AV4" s="6369"/>
      <c r="AW4" s="6369"/>
      <c r="AX4" s="6369"/>
      <c r="AY4" s="6369" t="s">
        <v>1138</v>
      </c>
      <c r="AZ4" s="6369"/>
      <c r="BA4" s="6369"/>
      <c r="BB4" s="6369"/>
      <c r="BC4" s="6369"/>
      <c r="BD4" s="6369"/>
      <c r="BE4" s="6369"/>
      <c r="BF4" s="6369"/>
      <c r="BG4" s="6369"/>
      <c r="BH4" s="6369"/>
      <c r="BI4" s="6369"/>
      <c r="BJ4" s="6369"/>
      <c r="BK4" s="6639" t="s">
        <v>1139</v>
      </c>
      <c r="BL4" s="6639"/>
      <c r="BM4" s="6639"/>
      <c r="BN4" s="6639"/>
      <c r="BO4" s="6639"/>
      <c r="BP4" s="6639"/>
      <c r="BQ4" s="6639"/>
      <c r="BR4" s="6639"/>
      <c r="BS4" s="6639"/>
      <c r="BT4" s="6639"/>
      <c r="BU4" s="6639"/>
      <c r="BV4" s="6639"/>
      <c r="BW4" s="6639" t="s">
        <v>1140</v>
      </c>
      <c r="BX4" s="6639"/>
      <c r="BY4" s="6639"/>
      <c r="BZ4" s="6639"/>
      <c r="CA4" s="6639"/>
      <c r="CB4" s="6639"/>
      <c r="CC4" s="6639"/>
      <c r="CD4" s="6639"/>
      <c r="CE4" s="6639"/>
      <c r="CF4" s="6639"/>
      <c r="CG4" s="6639"/>
      <c r="CH4" s="6639"/>
      <c r="CI4" s="6369" t="s">
        <v>1141</v>
      </c>
      <c r="CJ4" s="6369"/>
      <c r="CK4" s="6369"/>
      <c r="CL4" s="6369"/>
      <c r="CM4" s="6369"/>
      <c r="CN4" s="6369"/>
      <c r="CO4" s="6369"/>
      <c r="CP4" s="6369"/>
      <c r="CQ4" s="6369"/>
      <c r="CR4" s="6369"/>
      <c r="CS4" s="6369"/>
      <c r="CT4" s="6369"/>
      <c r="CU4" s="6634" t="s">
        <v>1142</v>
      </c>
      <c r="CV4" s="6634"/>
      <c r="CW4" s="6634"/>
      <c r="CX4" s="6634"/>
      <c r="CY4" s="6634"/>
      <c r="CZ4" s="6634"/>
      <c r="DA4" s="6634"/>
      <c r="DB4" s="6634"/>
      <c r="DC4" s="6634"/>
      <c r="DD4" s="6634"/>
      <c r="DE4" s="6634"/>
      <c r="DF4" s="6634"/>
      <c r="DG4" s="6634" t="s">
        <v>1143</v>
      </c>
      <c r="DH4" s="6634"/>
      <c r="DI4" s="6634"/>
      <c r="DJ4" s="6634"/>
      <c r="DK4" s="6634"/>
      <c r="DL4" s="6634"/>
      <c r="DM4" s="6634"/>
      <c r="DN4" s="6634"/>
      <c r="DO4" s="6634"/>
      <c r="DP4" s="6634"/>
      <c r="DQ4" s="6634"/>
      <c r="DR4" s="6634"/>
      <c r="DS4" s="6634" t="s">
        <v>1144</v>
      </c>
      <c r="DT4" s="6634"/>
      <c r="DU4" s="6634"/>
      <c r="DV4" s="6634"/>
      <c r="DW4" s="6634"/>
      <c r="DX4" s="6634"/>
      <c r="DY4" s="6634"/>
      <c r="DZ4" s="6634"/>
      <c r="EA4" s="6634"/>
      <c r="EB4" s="6634"/>
      <c r="EC4" s="6634"/>
      <c r="ED4" s="6634"/>
      <c r="EE4" s="6639" t="s">
        <v>1460</v>
      </c>
      <c r="EF4" s="6639"/>
      <c r="EG4" s="6639"/>
      <c r="EH4" s="6639"/>
      <c r="EI4" s="6639"/>
      <c r="EJ4" s="6639"/>
      <c r="EK4" s="6639"/>
      <c r="EL4" s="6639"/>
      <c r="EM4" s="6639"/>
      <c r="EN4" s="6639"/>
      <c r="EO4" s="6639"/>
      <c r="EP4" s="6639"/>
      <c r="EQ4" s="6639" t="s">
        <v>1146</v>
      </c>
      <c r="ER4" s="6639"/>
      <c r="ES4" s="6639"/>
      <c r="ET4" s="6639"/>
      <c r="EU4" s="6639"/>
      <c r="EV4" s="6639"/>
      <c r="EW4" s="6639"/>
      <c r="EX4" s="6639"/>
      <c r="EY4" s="6639"/>
      <c r="EZ4" s="6639"/>
      <c r="FA4" s="6639"/>
      <c r="FB4" s="6639"/>
    </row>
    <row r="5" spans="1:162" s="382" customFormat="1" ht="17.399999999999999">
      <c r="A5" s="6640"/>
      <c r="B5" s="6369"/>
      <c r="C5" s="6292" t="s">
        <v>219</v>
      </c>
      <c r="D5" s="6292"/>
      <c r="E5" s="6292" t="s">
        <v>1461</v>
      </c>
      <c r="F5" s="6292"/>
      <c r="G5" s="6292" t="s">
        <v>1749</v>
      </c>
      <c r="H5" s="6292"/>
      <c r="I5" s="6292" t="s">
        <v>224</v>
      </c>
      <c r="J5" s="6292"/>
      <c r="K5" s="6638" t="s">
        <v>1462</v>
      </c>
      <c r="L5" s="6638"/>
      <c r="M5" s="6638"/>
      <c r="N5" s="6638"/>
      <c r="O5" s="6369" t="str">
        <f>C5</f>
        <v>Dự toán 2024</v>
      </c>
      <c r="P5" s="6369"/>
      <c r="Q5" s="6634" t="str">
        <f>E5</f>
        <v xml:space="preserve">TH 8 tháng </v>
      </c>
      <c r="R5" s="6634"/>
      <c r="S5" s="6292" t="str">
        <f>G5</f>
        <v>UTH 2024</v>
      </c>
      <c r="T5" s="6292"/>
      <c r="U5" s="6369" t="str">
        <f>I5</f>
        <v>Dự toán 2025</v>
      </c>
      <c r="V5" s="6369"/>
      <c r="W5" s="6636" t="s">
        <v>1462</v>
      </c>
      <c r="X5" s="6636"/>
      <c r="Y5" s="6636"/>
      <c r="Z5" s="6636"/>
      <c r="AA5" s="6369" t="str">
        <f>O5</f>
        <v>Dự toán 2024</v>
      </c>
      <c r="AB5" s="6369"/>
      <c r="AC5" s="6634" t="str">
        <f>Q5</f>
        <v xml:space="preserve">TH 8 tháng </v>
      </c>
      <c r="AD5" s="6634"/>
      <c r="AE5" s="6292" t="str">
        <f>S5</f>
        <v>UTH 2024</v>
      </c>
      <c r="AF5" s="6292"/>
      <c r="AG5" s="6369" t="str">
        <f>U5</f>
        <v>Dự toán 2025</v>
      </c>
      <c r="AH5" s="6369"/>
      <c r="AI5" s="6636" t="s">
        <v>1462</v>
      </c>
      <c r="AJ5" s="6636"/>
      <c r="AK5" s="6636"/>
      <c r="AL5" s="6636"/>
      <c r="AM5" s="6369" t="str">
        <f>AA5</f>
        <v>Dự toán 2024</v>
      </c>
      <c r="AN5" s="6369"/>
      <c r="AO5" s="6634" t="str">
        <f>AC5</f>
        <v xml:space="preserve">TH 8 tháng </v>
      </c>
      <c r="AP5" s="6634"/>
      <c r="AQ5" s="6292" t="str">
        <f>AE5</f>
        <v>UTH 2024</v>
      </c>
      <c r="AR5" s="6292"/>
      <c r="AS5" s="6369" t="str">
        <f>AG5</f>
        <v>Dự toán 2025</v>
      </c>
      <c r="AT5" s="6369"/>
      <c r="AU5" s="6636" t="s">
        <v>1462</v>
      </c>
      <c r="AV5" s="6636"/>
      <c r="AW5" s="6636"/>
      <c r="AX5" s="6636"/>
      <c r="AY5" s="6369" t="str">
        <f>AM5</f>
        <v>Dự toán 2024</v>
      </c>
      <c r="AZ5" s="6369"/>
      <c r="BA5" s="6634" t="str">
        <f>AO5</f>
        <v xml:space="preserve">TH 8 tháng </v>
      </c>
      <c r="BB5" s="6634"/>
      <c r="BC5" s="6369" t="str">
        <f>AQ5</f>
        <v>UTH 2024</v>
      </c>
      <c r="BD5" s="6369"/>
      <c r="BE5" s="6369" t="str">
        <f>AS5</f>
        <v>Dự toán 2025</v>
      </c>
      <c r="BF5" s="6369"/>
      <c r="BG5" s="6636" t="s">
        <v>1462</v>
      </c>
      <c r="BH5" s="6636"/>
      <c r="BI5" s="6636"/>
      <c r="BJ5" s="6636"/>
      <c r="BK5" s="6369" t="str">
        <f>AY5</f>
        <v>Dự toán 2024</v>
      </c>
      <c r="BL5" s="6369"/>
      <c r="BM5" s="6634" t="str">
        <f>BA5</f>
        <v xml:space="preserve">TH 8 tháng </v>
      </c>
      <c r="BN5" s="6634"/>
      <c r="BO5" s="6292" t="str">
        <f>BC5</f>
        <v>UTH 2024</v>
      </c>
      <c r="BP5" s="6292"/>
      <c r="BQ5" s="6369" t="str">
        <f>BE5</f>
        <v>Dự toán 2025</v>
      </c>
      <c r="BR5" s="6369"/>
      <c r="BS5" s="6636" t="s">
        <v>1462</v>
      </c>
      <c r="BT5" s="6636"/>
      <c r="BU5" s="6636"/>
      <c r="BV5" s="6636"/>
      <c r="BW5" s="6369" t="str">
        <f>BK5</f>
        <v>Dự toán 2024</v>
      </c>
      <c r="BX5" s="6369"/>
      <c r="BY5" s="6634" t="str">
        <f>BM5</f>
        <v xml:space="preserve">TH 8 tháng </v>
      </c>
      <c r="BZ5" s="6634"/>
      <c r="CA5" s="6292" t="str">
        <f>BO5</f>
        <v>UTH 2024</v>
      </c>
      <c r="CB5" s="6292"/>
      <c r="CC5" s="6369" t="str">
        <f>BQ5</f>
        <v>Dự toán 2025</v>
      </c>
      <c r="CD5" s="6369"/>
      <c r="CE5" s="6636" t="s">
        <v>1462</v>
      </c>
      <c r="CF5" s="6636"/>
      <c r="CG5" s="6636"/>
      <c r="CH5" s="6636"/>
      <c r="CI5" s="6369" t="str">
        <f>BW5</f>
        <v>Dự toán 2024</v>
      </c>
      <c r="CJ5" s="6369"/>
      <c r="CK5" s="6634" t="str">
        <f>BY5</f>
        <v xml:space="preserve">TH 8 tháng </v>
      </c>
      <c r="CL5" s="6634"/>
      <c r="CM5" s="6292" t="str">
        <f>CA5</f>
        <v>UTH 2024</v>
      </c>
      <c r="CN5" s="6292"/>
      <c r="CO5" s="6369" t="str">
        <f>CC5</f>
        <v>Dự toán 2025</v>
      </c>
      <c r="CP5" s="6369"/>
      <c r="CQ5" s="6636" t="s">
        <v>1462</v>
      </c>
      <c r="CR5" s="6636"/>
      <c r="CS5" s="6636"/>
      <c r="CT5" s="6636"/>
      <c r="CU5" s="6369" t="str">
        <f>CI5</f>
        <v>Dự toán 2024</v>
      </c>
      <c r="CV5" s="6369"/>
      <c r="CW5" s="6634" t="str">
        <f>CK5</f>
        <v xml:space="preserve">TH 8 tháng </v>
      </c>
      <c r="CX5" s="6634"/>
      <c r="CY5" s="6369" t="str">
        <f>CM5</f>
        <v>UTH 2024</v>
      </c>
      <c r="CZ5" s="6369"/>
      <c r="DA5" s="6369" t="str">
        <f>CO5</f>
        <v>Dự toán 2025</v>
      </c>
      <c r="DB5" s="6369"/>
      <c r="DC5" s="6636" t="s">
        <v>1462</v>
      </c>
      <c r="DD5" s="6636"/>
      <c r="DE5" s="6636"/>
      <c r="DF5" s="6636"/>
      <c r="DG5" s="6634" t="str">
        <f>CU5</f>
        <v>Dự toán 2024</v>
      </c>
      <c r="DH5" s="6634"/>
      <c r="DI5" s="6634" t="str">
        <f>CW5</f>
        <v xml:space="preserve">TH 8 tháng </v>
      </c>
      <c r="DJ5" s="6634"/>
      <c r="DK5" s="6634" t="str">
        <f>CY5</f>
        <v>UTH 2024</v>
      </c>
      <c r="DL5" s="6634"/>
      <c r="DM5" s="6634" t="str">
        <f>DA5</f>
        <v>Dự toán 2025</v>
      </c>
      <c r="DN5" s="6634"/>
      <c r="DO5" s="6637" t="s">
        <v>1462</v>
      </c>
      <c r="DP5" s="6637"/>
      <c r="DQ5" s="6637"/>
      <c r="DR5" s="6637"/>
      <c r="DS5" s="6634" t="str">
        <f>DG5</f>
        <v>Dự toán 2024</v>
      </c>
      <c r="DT5" s="6634"/>
      <c r="DU5" s="6634" t="str">
        <f>DI5</f>
        <v xml:space="preserve">TH 8 tháng </v>
      </c>
      <c r="DV5" s="6634"/>
      <c r="DW5" s="6292" t="str">
        <f>DK5</f>
        <v>UTH 2024</v>
      </c>
      <c r="DX5" s="6292"/>
      <c r="DY5" s="6634" t="str">
        <f>DM5</f>
        <v>Dự toán 2025</v>
      </c>
      <c r="DZ5" s="6634"/>
      <c r="EA5" s="6637" t="s">
        <v>1462</v>
      </c>
      <c r="EB5" s="6637"/>
      <c r="EC5" s="6637"/>
      <c r="ED5" s="6637"/>
      <c r="EE5" s="6369" t="str">
        <f>DS5</f>
        <v>Dự toán 2024</v>
      </c>
      <c r="EF5" s="6369"/>
      <c r="EG5" s="6634" t="str">
        <f>DU5</f>
        <v xml:space="preserve">TH 8 tháng </v>
      </c>
      <c r="EH5" s="6634"/>
      <c r="EI5" s="6369" t="str">
        <f>DW5</f>
        <v>UTH 2024</v>
      </c>
      <c r="EJ5" s="6369"/>
      <c r="EK5" s="6369" t="str">
        <f>DY5</f>
        <v>Dự toán 2025</v>
      </c>
      <c r="EL5" s="6369"/>
      <c r="EM5" s="6636" t="s">
        <v>1462</v>
      </c>
      <c r="EN5" s="6636"/>
      <c r="EO5" s="6636"/>
      <c r="EP5" s="6636"/>
      <c r="EQ5" s="6369" t="str">
        <f>EE5</f>
        <v>Dự toán 2024</v>
      </c>
      <c r="ER5" s="6369"/>
      <c r="ES5" s="6634" t="str">
        <f>EG5</f>
        <v xml:space="preserve">TH 8 tháng </v>
      </c>
      <c r="ET5" s="6634"/>
      <c r="EU5" s="6369" t="str">
        <f>EI5</f>
        <v>UTH 2024</v>
      </c>
      <c r="EV5" s="6369"/>
      <c r="EW5" s="6369" t="str">
        <f>EK5</f>
        <v>Dự toán 2025</v>
      </c>
      <c r="EX5" s="6369"/>
      <c r="EY5" s="6636" t="s">
        <v>1462</v>
      </c>
      <c r="EZ5" s="6636"/>
      <c r="FA5" s="6636"/>
      <c r="FB5" s="6636"/>
      <c r="FC5" s="6369" t="s">
        <v>1463</v>
      </c>
      <c r="FD5" s="6369"/>
      <c r="FE5" s="6369"/>
      <c r="FF5" s="6369"/>
    </row>
    <row r="6" spans="1:162" s="382" customFormat="1" ht="17.399999999999999">
      <c r="A6" s="6640"/>
      <c r="B6" s="6369"/>
      <c r="C6" s="6292" t="s">
        <v>1464</v>
      </c>
      <c r="D6" s="6293" t="s">
        <v>1465</v>
      </c>
      <c r="E6" s="6292" t="s">
        <v>1464</v>
      </c>
      <c r="F6" s="6293" t="s">
        <v>1465</v>
      </c>
      <c r="G6" s="6292" t="s">
        <v>1464</v>
      </c>
      <c r="H6" s="6293" t="s">
        <v>1465</v>
      </c>
      <c r="I6" s="6292" t="s">
        <v>1464</v>
      </c>
      <c r="J6" s="6293" t="s">
        <v>1465</v>
      </c>
      <c r="K6" s="6293" t="s">
        <v>1752</v>
      </c>
      <c r="L6" s="6293"/>
      <c r="M6" s="6293" t="s">
        <v>1753</v>
      </c>
      <c r="N6" s="6293"/>
      <c r="O6" s="6369" t="s">
        <v>1464</v>
      </c>
      <c r="P6" s="6044" t="s">
        <v>1465</v>
      </c>
      <c r="Q6" s="6634" t="s">
        <v>1464</v>
      </c>
      <c r="R6" s="6635" t="s">
        <v>1465</v>
      </c>
      <c r="S6" s="6292" t="s">
        <v>1464</v>
      </c>
      <c r="T6" s="6293" t="s">
        <v>1465</v>
      </c>
      <c r="U6" s="6369" t="s">
        <v>1464</v>
      </c>
      <c r="V6" s="6044" t="s">
        <v>1465</v>
      </c>
      <c r="W6" s="6044" t="str">
        <f>K6</f>
        <v>DT25/ UTH24</v>
      </c>
      <c r="X6" s="6044"/>
      <c r="Y6" s="6044" t="str">
        <f>M6</f>
        <v>UTH24/ DT24</v>
      </c>
      <c r="Z6" s="6044"/>
      <c r="AA6" s="6369" t="s">
        <v>1464</v>
      </c>
      <c r="AB6" s="6044" t="s">
        <v>1465</v>
      </c>
      <c r="AC6" s="6634" t="s">
        <v>1464</v>
      </c>
      <c r="AD6" s="6635" t="s">
        <v>1465</v>
      </c>
      <c r="AE6" s="6292" t="s">
        <v>1464</v>
      </c>
      <c r="AF6" s="6293" t="s">
        <v>1465</v>
      </c>
      <c r="AG6" s="6369" t="s">
        <v>1464</v>
      </c>
      <c r="AH6" s="6044" t="s">
        <v>1465</v>
      </c>
      <c r="AI6" s="6044" t="str">
        <f>W6</f>
        <v>DT25/ UTH24</v>
      </c>
      <c r="AJ6" s="6044"/>
      <c r="AK6" s="6044" t="str">
        <f>Y6</f>
        <v>UTH24/ DT24</v>
      </c>
      <c r="AL6" s="6044"/>
      <c r="AM6" s="6369" t="s">
        <v>1464</v>
      </c>
      <c r="AN6" s="6044" t="s">
        <v>1465</v>
      </c>
      <c r="AO6" s="6369" t="s">
        <v>1464</v>
      </c>
      <c r="AP6" s="6044" t="s">
        <v>1465</v>
      </c>
      <c r="AQ6" s="6369" t="s">
        <v>1464</v>
      </c>
      <c r="AR6" s="6044" t="s">
        <v>1465</v>
      </c>
      <c r="AS6" s="6369" t="s">
        <v>1464</v>
      </c>
      <c r="AT6" s="6044" t="s">
        <v>1465</v>
      </c>
      <c r="AU6" s="6044" t="str">
        <f>AI6</f>
        <v>DT25/ UTH24</v>
      </c>
      <c r="AV6" s="6044"/>
      <c r="AW6" s="6044" t="str">
        <f>AK6</f>
        <v>UTH24/ DT24</v>
      </c>
      <c r="AX6" s="6044"/>
      <c r="AY6" s="6369" t="s">
        <v>1464</v>
      </c>
      <c r="AZ6" s="6044" t="s">
        <v>1465</v>
      </c>
      <c r="BA6" s="6634" t="s">
        <v>1464</v>
      </c>
      <c r="BB6" s="6635" t="s">
        <v>1465</v>
      </c>
      <c r="BC6" s="6369" t="s">
        <v>1464</v>
      </c>
      <c r="BD6" s="6044" t="s">
        <v>1465</v>
      </c>
      <c r="BE6" s="6369" t="s">
        <v>1464</v>
      </c>
      <c r="BF6" s="6044" t="s">
        <v>1465</v>
      </c>
      <c r="BG6" s="6044" t="str">
        <f>AU6</f>
        <v>DT25/ UTH24</v>
      </c>
      <c r="BH6" s="6044"/>
      <c r="BI6" s="6044" t="str">
        <f>AW6</f>
        <v>UTH24/ DT24</v>
      </c>
      <c r="BJ6" s="6044"/>
      <c r="BK6" s="6369" t="s">
        <v>1464</v>
      </c>
      <c r="BL6" s="6044" t="s">
        <v>1465</v>
      </c>
      <c r="BM6" s="6369" t="s">
        <v>1464</v>
      </c>
      <c r="BN6" s="6044" t="s">
        <v>1465</v>
      </c>
      <c r="BO6" s="6369" t="s">
        <v>1464</v>
      </c>
      <c r="BP6" s="6044" t="s">
        <v>1465</v>
      </c>
      <c r="BQ6" s="6369" t="s">
        <v>1464</v>
      </c>
      <c r="BR6" s="6044" t="s">
        <v>1465</v>
      </c>
      <c r="BS6" s="6044" t="str">
        <f>BG6</f>
        <v>DT25/ UTH24</v>
      </c>
      <c r="BT6" s="6044"/>
      <c r="BU6" s="6044" t="str">
        <f>BI6</f>
        <v>UTH24/ DT24</v>
      </c>
      <c r="BV6" s="6044"/>
      <c r="BW6" s="6369" t="s">
        <v>1464</v>
      </c>
      <c r="BX6" s="6044" t="s">
        <v>1465</v>
      </c>
      <c r="BY6" s="6634" t="s">
        <v>1464</v>
      </c>
      <c r="BZ6" s="6635" t="s">
        <v>1465</v>
      </c>
      <c r="CA6" s="6292" t="s">
        <v>1464</v>
      </c>
      <c r="CB6" s="6293" t="s">
        <v>1465</v>
      </c>
      <c r="CC6" s="6369" t="s">
        <v>1464</v>
      </c>
      <c r="CD6" s="6044" t="s">
        <v>1465</v>
      </c>
      <c r="CE6" s="6044" t="str">
        <f>BS6</f>
        <v>DT25/ UTH24</v>
      </c>
      <c r="CF6" s="6044"/>
      <c r="CG6" s="6044" t="str">
        <f>BU6</f>
        <v>UTH24/ DT24</v>
      </c>
      <c r="CH6" s="6044"/>
      <c r="CI6" s="6369" t="s">
        <v>1464</v>
      </c>
      <c r="CJ6" s="6044" t="s">
        <v>1465</v>
      </c>
      <c r="CK6" s="6369" t="s">
        <v>1464</v>
      </c>
      <c r="CL6" s="6044" t="s">
        <v>1465</v>
      </c>
      <c r="CM6" s="6369" t="s">
        <v>1464</v>
      </c>
      <c r="CN6" s="6044" t="s">
        <v>1465</v>
      </c>
      <c r="CO6" s="6369" t="s">
        <v>1464</v>
      </c>
      <c r="CP6" s="6044" t="s">
        <v>1465</v>
      </c>
      <c r="CQ6" s="6044" t="str">
        <f>CE6</f>
        <v>DT25/ UTH24</v>
      </c>
      <c r="CR6" s="6044"/>
      <c r="CS6" s="6044" t="str">
        <f>CG6</f>
        <v>UTH24/ DT24</v>
      </c>
      <c r="CT6" s="6044"/>
      <c r="CU6" s="6369" t="s">
        <v>1464</v>
      </c>
      <c r="CV6" s="6044" t="s">
        <v>1465</v>
      </c>
      <c r="CW6" s="6369" t="s">
        <v>1464</v>
      </c>
      <c r="CX6" s="6044" t="s">
        <v>1465</v>
      </c>
      <c r="CY6" s="6369" t="s">
        <v>1464</v>
      </c>
      <c r="CZ6" s="6044" t="s">
        <v>1465</v>
      </c>
      <c r="DA6" s="6369" t="s">
        <v>1464</v>
      </c>
      <c r="DB6" s="6044" t="s">
        <v>1465</v>
      </c>
      <c r="DC6" s="6044" t="str">
        <f>CQ6</f>
        <v>DT25/ UTH24</v>
      </c>
      <c r="DD6" s="6044"/>
      <c r="DE6" s="6044" t="str">
        <f>CS6</f>
        <v>UTH24/ DT24</v>
      </c>
      <c r="DF6" s="6044"/>
      <c r="DG6" s="6369" t="s">
        <v>1464</v>
      </c>
      <c r="DH6" s="6044" t="s">
        <v>1465</v>
      </c>
      <c r="DI6" s="6634" t="s">
        <v>1464</v>
      </c>
      <c r="DJ6" s="6635" t="s">
        <v>1465</v>
      </c>
      <c r="DK6" s="6634" t="s">
        <v>1464</v>
      </c>
      <c r="DL6" s="6635" t="s">
        <v>1465</v>
      </c>
      <c r="DM6" s="6634" t="s">
        <v>1464</v>
      </c>
      <c r="DN6" s="6635" t="s">
        <v>1465</v>
      </c>
      <c r="DO6" s="6044" t="str">
        <f>DC6</f>
        <v>DT25/ UTH24</v>
      </c>
      <c r="DP6" s="6044"/>
      <c r="DQ6" s="6044" t="str">
        <f>DE6</f>
        <v>UTH24/ DT24</v>
      </c>
      <c r="DR6" s="6044"/>
      <c r="DS6" s="6369" t="s">
        <v>1464</v>
      </c>
      <c r="DT6" s="6044" t="s">
        <v>1465</v>
      </c>
      <c r="DU6" s="6634" t="s">
        <v>1464</v>
      </c>
      <c r="DV6" s="6635" t="s">
        <v>1465</v>
      </c>
      <c r="DW6" s="6292" t="s">
        <v>1464</v>
      </c>
      <c r="DX6" s="6293" t="s">
        <v>1465</v>
      </c>
      <c r="DY6" s="6369" t="s">
        <v>1464</v>
      </c>
      <c r="DZ6" s="6044" t="s">
        <v>1465</v>
      </c>
      <c r="EA6" s="6044" t="str">
        <f>DO6</f>
        <v>DT25/ UTH24</v>
      </c>
      <c r="EB6" s="6044"/>
      <c r="EC6" s="6044" t="str">
        <f>DQ6</f>
        <v>UTH24/ DT24</v>
      </c>
      <c r="ED6" s="6044"/>
      <c r="EE6" s="6369" t="s">
        <v>1464</v>
      </c>
      <c r="EF6" s="6044" t="s">
        <v>1465</v>
      </c>
      <c r="EG6" s="6634" t="s">
        <v>1464</v>
      </c>
      <c r="EH6" s="6635" t="s">
        <v>1465</v>
      </c>
      <c r="EI6" s="6369" t="s">
        <v>1464</v>
      </c>
      <c r="EJ6" s="6044" t="s">
        <v>1465</v>
      </c>
      <c r="EK6" s="6292" t="s">
        <v>1464</v>
      </c>
      <c r="EL6" s="6293" t="s">
        <v>1465</v>
      </c>
      <c r="EM6" s="6044" t="str">
        <f>EA6</f>
        <v>DT25/ UTH24</v>
      </c>
      <c r="EN6" s="6044"/>
      <c r="EO6" s="6044" t="str">
        <f>EC6</f>
        <v>UTH24/ DT24</v>
      </c>
      <c r="EP6" s="6044"/>
      <c r="EQ6" s="6369" t="s">
        <v>1464</v>
      </c>
      <c r="ER6" s="6044" t="s">
        <v>1465</v>
      </c>
      <c r="ES6" s="6634" t="s">
        <v>1464</v>
      </c>
      <c r="ET6" s="6635" t="s">
        <v>1465</v>
      </c>
      <c r="EU6" s="6369" t="s">
        <v>1464</v>
      </c>
      <c r="EV6" s="6044" t="s">
        <v>1465</v>
      </c>
      <c r="EW6" s="6369" t="s">
        <v>1464</v>
      </c>
      <c r="EX6" s="6044" t="s">
        <v>1465</v>
      </c>
      <c r="EY6" s="6044" t="str">
        <f>EM6</f>
        <v>DT25/ UTH24</v>
      </c>
      <c r="EZ6" s="6044"/>
      <c r="FA6" s="6044" t="str">
        <f>EO6</f>
        <v>UTH24/ DT24</v>
      </c>
      <c r="FB6" s="6044"/>
      <c r="FC6" s="6044" t="s">
        <v>1466</v>
      </c>
      <c r="FD6" s="6044" t="s">
        <v>1467</v>
      </c>
      <c r="FE6" s="6632" t="s">
        <v>1468</v>
      </c>
      <c r="FF6" s="6632" t="s">
        <v>1469</v>
      </c>
    </row>
    <row r="7" spans="1:162" s="382" customFormat="1" ht="17.399999999999999">
      <c r="A7" s="6640"/>
      <c r="B7" s="6369"/>
      <c r="C7" s="6292"/>
      <c r="D7" s="6293"/>
      <c r="E7" s="6292"/>
      <c r="F7" s="6293"/>
      <c r="G7" s="6292"/>
      <c r="H7" s="6293"/>
      <c r="I7" s="6292"/>
      <c r="J7" s="6293"/>
      <c r="K7" s="2247" t="s">
        <v>1470</v>
      </c>
      <c r="L7" s="2247" t="s">
        <v>1471</v>
      </c>
      <c r="M7" s="2247" t="s">
        <v>1470</v>
      </c>
      <c r="N7" s="2247" t="s">
        <v>1471</v>
      </c>
      <c r="O7" s="6369"/>
      <c r="P7" s="6044"/>
      <c r="Q7" s="6634"/>
      <c r="R7" s="6635"/>
      <c r="S7" s="6292"/>
      <c r="T7" s="6293"/>
      <c r="U7" s="6369"/>
      <c r="V7" s="6044"/>
      <c r="W7" s="430" t="s">
        <v>1470</v>
      </c>
      <c r="X7" s="430" t="s">
        <v>1471</v>
      </c>
      <c r="Y7" s="430" t="s">
        <v>1470</v>
      </c>
      <c r="Z7" s="430" t="s">
        <v>1471</v>
      </c>
      <c r="AA7" s="6369"/>
      <c r="AB7" s="6044"/>
      <c r="AC7" s="6634"/>
      <c r="AD7" s="6635"/>
      <c r="AE7" s="6292"/>
      <c r="AF7" s="6293"/>
      <c r="AG7" s="6369"/>
      <c r="AH7" s="6044"/>
      <c r="AI7" s="430" t="s">
        <v>1470</v>
      </c>
      <c r="AJ7" s="430" t="s">
        <v>1471</v>
      </c>
      <c r="AK7" s="430" t="s">
        <v>1470</v>
      </c>
      <c r="AL7" s="430" t="s">
        <v>1471</v>
      </c>
      <c r="AM7" s="6369"/>
      <c r="AN7" s="6044"/>
      <c r="AO7" s="6369"/>
      <c r="AP7" s="6044"/>
      <c r="AQ7" s="6369"/>
      <c r="AR7" s="6044"/>
      <c r="AS7" s="6369"/>
      <c r="AT7" s="6044"/>
      <c r="AU7" s="430" t="s">
        <v>1470</v>
      </c>
      <c r="AV7" s="430" t="s">
        <v>1471</v>
      </c>
      <c r="AW7" s="430" t="s">
        <v>1470</v>
      </c>
      <c r="AX7" s="430" t="s">
        <v>1471</v>
      </c>
      <c r="AY7" s="6369"/>
      <c r="AZ7" s="6044"/>
      <c r="BA7" s="6634"/>
      <c r="BB7" s="6635"/>
      <c r="BC7" s="6369"/>
      <c r="BD7" s="6044"/>
      <c r="BE7" s="6369"/>
      <c r="BF7" s="6044"/>
      <c r="BG7" s="430" t="s">
        <v>1470</v>
      </c>
      <c r="BH7" s="430" t="s">
        <v>1471</v>
      </c>
      <c r="BI7" s="430" t="s">
        <v>1470</v>
      </c>
      <c r="BJ7" s="430" t="s">
        <v>1471</v>
      </c>
      <c r="BK7" s="6369"/>
      <c r="BL7" s="6044"/>
      <c r="BM7" s="6369"/>
      <c r="BN7" s="6044"/>
      <c r="BO7" s="6369"/>
      <c r="BP7" s="6044"/>
      <c r="BQ7" s="6369"/>
      <c r="BR7" s="6044"/>
      <c r="BS7" s="430" t="s">
        <v>1470</v>
      </c>
      <c r="BT7" s="430" t="s">
        <v>1471</v>
      </c>
      <c r="BU7" s="430" t="s">
        <v>1470</v>
      </c>
      <c r="BV7" s="430" t="s">
        <v>1471</v>
      </c>
      <c r="BW7" s="6369"/>
      <c r="BX7" s="6044"/>
      <c r="BY7" s="6634"/>
      <c r="BZ7" s="6635"/>
      <c r="CA7" s="6292"/>
      <c r="CB7" s="6293"/>
      <c r="CC7" s="6369"/>
      <c r="CD7" s="6044"/>
      <c r="CE7" s="430" t="s">
        <v>1470</v>
      </c>
      <c r="CF7" s="430" t="s">
        <v>1471</v>
      </c>
      <c r="CG7" s="430" t="s">
        <v>1470</v>
      </c>
      <c r="CH7" s="430" t="s">
        <v>1471</v>
      </c>
      <c r="CI7" s="6369"/>
      <c r="CJ7" s="6044"/>
      <c r="CK7" s="6369"/>
      <c r="CL7" s="6044"/>
      <c r="CM7" s="6369"/>
      <c r="CN7" s="6044"/>
      <c r="CO7" s="6369"/>
      <c r="CP7" s="6044"/>
      <c r="CQ7" s="430" t="s">
        <v>1470</v>
      </c>
      <c r="CR7" s="430" t="s">
        <v>1471</v>
      </c>
      <c r="CS7" s="430" t="s">
        <v>1470</v>
      </c>
      <c r="CT7" s="430" t="s">
        <v>1471</v>
      </c>
      <c r="CU7" s="6369"/>
      <c r="CV7" s="6044"/>
      <c r="CW7" s="6369"/>
      <c r="CX7" s="6044"/>
      <c r="CY7" s="6369"/>
      <c r="CZ7" s="6044"/>
      <c r="DA7" s="6369"/>
      <c r="DB7" s="6044"/>
      <c r="DC7" s="430" t="s">
        <v>1470</v>
      </c>
      <c r="DD7" s="430" t="s">
        <v>1471</v>
      </c>
      <c r="DE7" s="430" t="s">
        <v>1470</v>
      </c>
      <c r="DF7" s="430" t="s">
        <v>1471</v>
      </c>
      <c r="DG7" s="6369"/>
      <c r="DH7" s="6044"/>
      <c r="DI7" s="6634"/>
      <c r="DJ7" s="6635"/>
      <c r="DK7" s="6634"/>
      <c r="DL7" s="6635"/>
      <c r="DM7" s="6634"/>
      <c r="DN7" s="6635"/>
      <c r="DO7" s="430" t="s">
        <v>1470</v>
      </c>
      <c r="DP7" s="430" t="s">
        <v>1471</v>
      </c>
      <c r="DQ7" s="430" t="s">
        <v>1470</v>
      </c>
      <c r="DR7" s="430" t="s">
        <v>1471</v>
      </c>
      <c r="DS7" s="6369"/>
      <c r="DT7" s="6044"/>
      <c r="DU7" s="6634"/>
      <c r="DV7" s="6635"/>
      <c r="DW7" s="6292"/>
      <c r="DX7" s="6293"/>
      <c r="DY7" s="6369"/>
      <c r="DZ7" s="6044"/>
      <c r="EA7" s="430" t="s">
        <v>1470</v>
      </c>
      <c r="EB7" s="430" t="s">
        <v>1471</v>
      </c>
      <c r="EC7" s="430" t="s">
        <v>1470</v>
      </c>
      <c r="ED7" s="430" t="s">
        <v>1471</v>
      </c>
      <c r="EE7" s="6369"/>
      <c r="EF7" s="6044"/>
      <c r="EG7" s="6634"/>
      <c r="EH7" s="6635"/>
      <c r="EI7" s="6369"/>
      <c r="EJ7" s="6044"/>
      <c r="EK7" s="6292"/>
      <c r="EL7" s="6293"/>
      <c r="EM7" s="430" t="s">
        <v>1470</v>
      </c>
      <c r="EN7" s="430" t="s">
        <v>1471</v>
      </c>
      <c r="EO7" s="430" t="s">
        <v>1470</v>
      </c>
      <c r="EP7" s="430" t="s">
        <v>1471</v>
      </c>
      <c r="EQ7" s="6369"/>
      <c r="ER7" s="6044"/>
      <c r="ES7" s="6634"/>
      <c r="ET7" s="6635"/>
      <c r="EU7" s="6369"/>
      <c r="EV7" s="6044"/>
      <c r="EW7" s="6369"/>
      <c r="EX7" s="6044"/>
      <c r="EY7" s="430" t="s">
        <v>1470</v>
      </c>
      <c r="EZ7" s="430" t="s">
        <v>1471</v>
      </c>
      <c r="FA7" s="430" t="s">
        <v>1470</v>
      </c>
      <c r="FB7" s="430" t="s">
        <v>1471</v>
      </c>
      <c r="FC7" s="6369"/>
      <c r="FD7" s="6044"/>
      <c r="FE7" s="6633"/>
      <c r="FF7" s="6632"/>
    </row>
    <row r="8" spans="1:162" s="382" customFormat="1" ht="17.399999999999999">
      <c r="A8" s="2238" t="s">
        <v>1</v>
      </c>
      <c r="B8" s="2238" t="s">
        <v>37</v>
      </c>
      <c r="C8" s="2238">
        <v>1</v>
      </c>
      <c r="D8" s="2238">
        <v>2</v>
      </c>
      <c r="E8" s="2238">
        <v>3</v>
      </c>
      <c r="F8" s="2238">
        <v>4</v>
      </c>
      <c r="G8" s="2238">
        <v>3</v>
      </c>
      <c r="H8" s="2238">
        <v>4</v>
      </c>
      <c r="I8" s="2238">
        <v>5</v>
      </c>
      <c r="J8" s="2238">
        <v>6</v>
      </c>
      <c r="K8" s="2248" t="s">
        <v>1472</v>
      </c>
      <c r="L8" s="2248" t="s">
        <v>1473</v>
      </c>
      <c r="M8" s="2248" t="s">
        <v>1474</v>
      </c>
      <c r="N8" s="2248" t="s">
        <v>1475</v>
      </c>
      <c r="O8" s="2238">
        <v>1</v>
      </c>
      <c r="P8" s="2238">
        <v>2</v>
      </c>
      <c r="Q8" s="2238">
        <v>3</v>
      </c>
      <c r="R8" s="2238">
        <v>4</v>
      </c>
      <c r="S8" s="50">
        <v>3</v>
      </c>
      <c r="T8" s="50">
        <v>4</v>
      </c>
      <c r="U8" s="2238">
        <v>5</v>
      </c>
      <c r="V8" s="2238">
        <v>6</v>
      </c>
      <c r="W8" s="2248" t="s">
        <v>1472</v>
      </c>
      <c r="X8" s="2248" t="s">
        <v>1473</v>
      </c>
      <c r="Y8" s="2248" t="s">
        <v>1474</v>
      </c>
      <c r="Z8" s="2248" t="s">
        <v>1475</v>
      </c>
      <c r="AA8" s="2238">
        <v>1</v>
      </c>
      <c r="AB8" s="2238">
        <v>2</v>
      </c>
      <c r="AC8" s="2238">
        <v>3</v>
      </c>
      <c r="AD8" s="2238">
        <v>4</v>
      </c>
      <c r="AE8" s="50">
        <v>3</v>
      </c>
      <c r="AF8" s="50">
        <v>4</v>
      </c>
      <c r="AG8" s="2238">
        <v>5</v>
      </c>
      <c r="AH8" s="2238">
        <v>6</v>
      </c>
      <c r="AI8" s="2248" t="s">
        <v>1472</v>
      </c>
      <c r="AJ8" s="2248" t="s">
        <v>1473</v>
      </c>
      <c r="AK8" s="2248" t="s">
        <v>1474</v>
      </c>
      <c r="AL8" s="2248" t="s">
        <v>1475</v>
      </c>
      <c r="AM8" s="2238">
        <v>1</v>
      </c>
      <c r="AN8" s="2238">
        <v>2</v>
      </c>
      <c r="AO8" s="2238">
        <v>3</v>
      </c>
      <c r="AP8" s="2238">
        <v>4</v>
      </c>
      <c r="AQ8" s="2238">
        <v>3</v>
      </c>
      <c r="AR8" s="2238">
        <v>4</v>
      </c>
      <c r="AS8" s="2238">
        <v>5</v>
      </c>
      <c r="AT8" s="2238">
        <v>6</v>
      </c>
      <c r="AU8" s="2248" t="s">
        <v>1472</v>
      </c>
      <c r="AV8" s="2248" t="s">
        <v>1473</v>
      </c>
      <c r="AW8" s="2248" t="s">
        <v>1474</v>
      </c>
      <c r="AX8" s="2248" t="s">
        <v>1475</v>
      </c>
      <c r="AY8" s="2238">
        <v>1</v>
      </c>
      <c r="AZ8" s="2238">
        <v>2</v>
      </c>
      <c r="BA8" s="2238">
        <v>3</v>
      </c>
      <c r="BB8" s="2238">
        <v>4</v>
      </c>
      <c r="BC8" s="2238">
        <v>3</v>
      </c>
      <c r="BD8" s="2238">
        <v>4</v>
      </c>
      <c r="BE8" s="2238">
        <v>5</v>
      </c>
      <c r="BF8" s="2238">
        <v>6</v>
      </c>
      <c r="BG8" s="2248" t="s">
        <v>1472</v>
      </c>
      <c r="BH8" s="2248" t="s">
        <v>1473</v>
      </c>
      <c r="BI8" s="2248" t="s">
        <v>1474</v>
      </c>
      <c r="BJ8" s="2248" t="s">
        <v>1475</v>
      </c>
      <c r="BK8" s="2238">
        <v>1</v>
      </c>
      <c r="BL8" s="2238">
        <v>2</v>
      </c>
      <c r="BM8" s="2238">
        <v>3</v>
      </c>
      <c r="BN8" s="2238">
        <v>4</v>
      </c>
      <c r="BO8" s="2238">
        <v>3</v>
      </c>
      <c r="BP8" s="2238">
        <v>4</v>
      </c>
      <c r="BQ8" s="2238">
        <v>5</v>
      </c>
      <c r="BR8" s="2238">
        <v>6</v>
      </c>
      <c r="BS8" s="2248" t="s">
        <v>1472</v>
      </c>
      <c r="BT8" s="2248" t="s">
        <v>1473</v>
      </c>
      <c r="BU8" s="2248" t="s">
        <v>1474</v>
      </c>
      <c r="BV8" s="2248" t="s">
        <v>1475</v>
      </c>
      <c r="BW8" s="2238">
        <v>1</v>
      </c>
      <c r="BX8" s="2238">
        <v>2</v>
      </c>
      <c r="BY8" s="2249">
        <v>3</v>
      </c>
      <c r="BZ8" s="2249">
        <v>4</v>
      </c>
      <c r="CA8" s="50">
        <v>3</v>
      </c>
      <c r="CB8" s="50">
        <v>4</v>
      </c>
      <c r="CC8" s="2238">
        <v>5</v>
      </c>
      <c r="CD8" s="2238">
        <v>6</v>
      </c>
      <c r="CE8" s="2248" t="s">
        <v>1472</v>
      </c>
      <c r="CF8" s="2248" t="s">
        <v>1473</v>
      </c>
      <c r="CG8" s="2248" t="s">
        <v>1474</v>
      </c>
      <c r="CH8" s="2248" t="s">
        <v>1475</v>
      </c>
      <c r="CI8" s="2238">
        <v>1</v>
      </c>
      <c r="CJ8" s="2238">
        <v>2</v>
      </c>
      <c r="CK8" s="2238">
        <v>3</v>
      </c>
      <c r="CL8" s="2238">
        <v>4</v>
      </c>
      <c r="CM8" s="2238">
        <v>3</v>
      </c>
      <c r="CN8" s="2238">
        <v>4</v>
      </c>
      <c r="CO8" s="2238">
        <v>5</v>
      </c>
      <c r="CP8" s="2238">
        <v>6</v>
      </c>
      <c r="CQ8" s="2248" t="s">
        <v>1472</v>
      </c>
      <c r="CR8" s="2248" t="s">
        <v>1473</v>
      </c>
      <c r="CS8" s="2248" t="s">
        <v>1474</v>
      </c>
      <c r="CT8" s="2248" t="s">
        <v>1475</v>
      </c>
      <c r="CU8" s="2238">
        <v>1</v>
      </c>
      <c r="CV8" s="2238">
        <v>2</v>
      </c>
      <c r="CW8" s="2238">
        <v>3</v>
      </c>
      <c r="CX8" s="2238">
        <v>4</v>
      </c>
      <c r="CY8" s="2238">
        <v>3</v>
      </c>
      <c r="CZ8" s="2238">
        <v>4</v>
      </c>
      <c r="DA8" s="2238">
        <v>5</v>
      </c>
      <c r="DB8" s="2238">
        <v>6</v>
      </c>
      <c r="DC8" s="2248" t="s">
        <v>1472</v>
      </c>
      <c r="DD8" s="2248" t="s">
        <v>1473</v>
      </c>
      <c r="DE8" s="2248" t="s">
        <v>1474</v>
      </c>
      <c r="DF8" s="2248" t="s">
        <v>1475</v>
      </c>
      <c r="DG8" s="2238">
        <v>1</v>
      </c>
      <c r="DH8" s="2238">
        <v>2</v>
      </c>
      <c r="DI8" s="2249">
        <v>3</v>
      </c>
      <c r="DJ8" s="2249">
        <v>4</v>
      </c>
      <c r="DK8" s="2249">
        <v>3</v>
      </c>
      <c r="DL8" s="2249">
        <v>4</v>
      </c>
      <c r="DM8" s="2249">
        <v>5</v>
      </c>
      <c r="DN8" s="2249">
        <v>6</v>
      </c>
      <c r="DO8" s="2248" t="s">
        <v>1472</v>
      </c>
      <c r="DP8" s="2248" t="s">
        <v>1473</v>
      </c>
      <c r="DQ8" s="2248" t="s">
        <v>1474</v>
      </c>
      <c r="DR8" s="2248" t="s">
        <v>1475</v>
      </c>
      <c r="DS8" s="2238">
        <v>1</v>
      </c>
      <c r="DT8" s="2238">
        <v>2</v>
      </c>
      <c r="DU8" s="2249">
        <v>3</v>
      </c>
      <c r="DV8" s="2249">
        <v>4</v>
      </c>
      <c r="DW8" s="50">
        <v>3</v>
      </c>
      <c r="DX8" s="50">
        <v>4</v>
      </c>
      <c r="DY8" s="50">
        <v>5</v>
      </c>
      <c r="DZ8" s="50">
        <v>6</v>
      </c>
      <c r="EA8" s="2248" t="s">
        <v>1472</v>
      </c>
      <c r="EB8" s="2248" t="s">
        <v>1473</v>
      </c>
      <c r="EC8" s="2248" t="s">
        <v>1474</v>
      </c>
      <c r="ED8" s="2248" t="s">
        <v>1475</v>
      </c>
      <c r="EE8" s="2238">
        <v>1</v>
      </c>
      <c r="EF8" s="2238">
        <v>2</v>
      </c>
      <c r="EG8" s="2249">
        <v>3</v>
      </c>
      <c r="EH8" s="2249">
        <v>4</v>
      </c>
      <c r="EI8" s="2238">
        <v>3</v>
      </c>
      <c r="EJ8" s="2238">
        <v>4</v>
      </c>
      <c r="EK8" s="50">
        <v>5</v>
      </c>
      <c r="EL8" s="50">
        <v>6</v>
      </c>
      <c r="EM8" s="2248" t="s">
        <v>1472</v>
      </c>
      <c r="EN8" s="2248" t="s">
        <v>1473</v>
      </c>
      <c r="EO8" s="2248" t="s">
        <v>1474</v>
      </c>
      <c r="EP8" s="2248" t="s">
        <v>1475</v>
      </c>
      <c r="EQ8" s="2238">
        <v>1</v>
      </c>
      <c r="ER8" s="2238">
        <v>2</v>
      </c>
      <c r="ES8" s="2249">
        <v>3</v>
      </c>
      <c r="ET8" s="2249">
        <v>4</v>
      </c>
      <c r="EU8" s="2238">
        <v>3</v>
      </c>
      <c r="EV8" s="2238">
        <v>4</v>
      </c>
      <c r="EW8" s="2238">
        <v>5</v>
      </c>
      <c r="EX8" s="2238">
        <v>6</v>
      </c>
      <c r="EY8" s="2248" t="s">
        <v>1472</v>
      </c>
      <c r="EZ8" s="2248" t="s">
        <v>1473</v>
      </c>
      <c r="FA8" s="2248" t="s">
        <v>1474</v>
      </c>
      <c r="FB8" s="2248" t="s">
        <v>1475</v>
      </c>
      <c r="FC8" s="2238"/>
      <c r="FD8" s="2238"/>
      <c r="FE8" s="2238"/>
      <c r="FF8" s="2238"/>
    </row>
    <row r="9" spans="1:162" s="2257" customFormat="1" ht="27" customHeight="1">
      <c r="A9" s="2250" t="s">
        <v>3</v>
      </c>
      <c r="B9" s="2251" t="s">
        <v>1476</v>
      </c>
      <c r="C9" s="2252">
        <f t="shared" ref="C9:H9" si="0">SUM(C11,C17,C20,C21,C22,C23,C27,C30,C33,C37)</f>
        <v>4836300</v>
      </c>
      <c r="D9" s="2252">
        <f t="shared" si="0"/>
        <v>3939080</v>
      </c>
      <c r="E9" s="2252">
        <f t="shared" si="0"/>
        <v>278</v>
      </c>
      <c r="F9" s="2252">
        <f t="shared" si="0"/>
        <v>278</v>
      </c>
      <c r="G9" s="2252">
        <f>SUM(G11,G17,G20,G21,G22,G23,G27,G30,G33,G37)</f>
        <v>4529762</v>
      </c>
      <c r="H9" s="2252">
        <f t="shared" si="0"/>
        <v>3606481</v>
      </c>
      <c r="I9" s="2252">
        <f>SUM(I11,I17,I20,I21,I22,I23,I27,I30,I33,I37)</f>
        <v>4493400</v>
      </c>
      <c r="J9" s="2252">
        <f>SUM(J11,J17,J20,J21,J22,J23,J27,J30,J33,J37)</f>
        <v>3732300</v>
      </c>
      <c r="K9" s="2252">
        <f>+I9-G9</f>
        <v>-36362</v>
      </c>
      <c r="L9" s="5792">
        <f>+I9/G9*100</f>
        <v>99.197264668651457</v>
      </c>
      <c r="M9" s="2252">
        <f>+G9-C9</f>
        <v>-306538</v>
      </c>
      <c r="N9" s="2252">
        <f t="shared" ref="N9:N20" si="1">+G9/C9*100</f>
        <v>93.661724872319752</v>
      </c>
      <c r="O9" s="2252">
        <f t="shared" ref="O9:U9" si="2">SUM(O11,O17,O20,O21,O22,O23,O27,O30,O33,O37)</f>
        <v>189200</v>
      </c>
      <c r="P9" s="2252">
        <f>SUM(P11,P17,P20,P21,P22,P23,P27,P30,P33,P37)</f>
        <v>157900</v>
      </c>
      <c r="Q9" s="2252">
        <f t="shared" si="2"/>
        <v>0</v>
      </c>
      <c r="R9" s="2252">
        <f t="shared" si="2"/>
        <v>0</v>
      </c>
      <c r="S9" s="2253">
        <f t="shared" si="2"/>
        <v>203180</v>
      </c>
      <c r="T9" s="2253">
        <f t="shared" si="2"/>
        <v>161340</v>
      </c>
      <c r="U9" s="2252">
        <f t="shared" si="2"/>
        <v>156150</v>
      </c>
      <c r="V9" s="2252">
        <f>SUM(V11,V17,V20,V21,V22,V23,V27,V30,V33,V37)</f>
        <v>134750</v>
      </c>
      <c r="W9" s="2252">
        <f>+U9-S9</f>
        <v>-47030</v>
      </c>
      <c r="X9" s="2252">
        <f>+U9/S9*100</f>
        <v>76.85303671621223</v>
      </c>
      <c r="Y9" s="2252">
        <f>+S9-O9</f>
        <v>13980</v>
      </c>
      <c r="Z9" s="2252">
        <f>+S9/O9*100</f>
        <v>107.38900634249471</v>
      </c>
      <c r="AA9" s="2252">
        <f t="shared" ref="AA9:AH9" si="3">SUM(AA11,AA17,AA20,AA21,AA22,AA23,AA27,AA30,AA33,AA37)</f>
        <v>430350</v>
      </c>
      <c r="AB9" s="2252">
        <f t="shared" si="3"/>
        <v>384130</v>
      </c>
      <c r="AC9" s="2252">
        <f t="shared" si="3"/>
        <v>0</v>
      </c>
      <c r="AD9" s="2252">
        <f t="shared" si="3"/>
        <v>0</v>
      </c>
      <c r="AE9" s="2253">
        <f t="shared" si="3"/>
        <v>405865</v>
      </c>
      <c r="AF9" s="2253">
        <f t="shared" si="3"/>
        <v>358465</v>
      </c>
      <c r="AG9" s="2252">
        <f>SUM(AG11,AG17,AG20,AG21,AG22,AG23,AG27,AG30,AG33,AG37)</f>
        <v>392350</v>
      </c>
      <c r="AH9" s="2252">
        <f t="shared" si="3"/>
        <v>353410</v>
      </c>
      <c r="AI9" s="2252">
        <f>+AG9-AE9</f>
        <v>-13515</v>
      </c>
      <c r="AJ9" s="2252">
        <f>+AG9/AE9*100</f>
        <v>96.670075024946726</v>
      </c>
      <c r="AK9" s="2252">
        <f>+AE9-AA9</f>
        <v>-24485</v>
      </c>
      <c r="AL9" s="2252">
        <f>+AE9/AA9*100</f>
        <v>94.310444986638785</v>
      </c>
      <c r="AM9" s="2252">
        <f t="shared" ref="AM9:AT9" si="4">SUM(AM11,AM17,AM20,AM21,AM22,AM23,AM27,AM30,AM33,AM37)</f>
        <v>101150</v>
      </c>
      <c r="AN9" s="2252">
        <f t="shared" si="4"/>
        <v>96340</v>
      </c>
      <c r="AO9" s="2252">
        <f t="shared" si="4"/>
        <v>278</v>
      </c>
      <c r="AP9" s="2252">
        <f t="shared" si="4"/>
        <v>278</v>
      </c>
      <c r="AQ9" s="2252">
        <f t="shared" si="4"/>
        <v>118224</v>
      </c>
      <c r="AR9" s="2252">
        <f t="shared" si="4"/>
        <v>99073</v>
      </c>
      <c r="AS9" s="2252">
        <f t="shared" si="4"/>
        <v>104800</v>
      </c>
      <c r="AT9" s="2252">
        <f t="shared" si="4"/>
        <v>98950</v>
      </c>
      <c r="AU9" s="2252">
        <f>+AS9-AQ9</f>
        <v>-13424</v>
      </c>
      <c r="AV9" s="2252">
        <f>+AS9/AQ9*100</f>
        <v>88.645283529570989</v>
      </c>
      <c r="AW9" s="2252">
        <f>+AQ9-AM9</f>
        <v>17074</v>
      </c>
      <c r="AX9" s="2252">
        <f>+AQ9/AM9*100</f>
        <v>116.87988136431042</v>
      </c>
      <c r="AY9" s="2252">
        <f t="shared" ref="AY9:BE9" si="5">SUM(AY11,AY17,AY20,AY21,AY22,AY23,AY27,AY30,AY33,AY37)</f>
        <v>155300</v>
      </c>
      <c r="AZ9" s="2252">
        <f t="shared" si="5"/>
        <v>140940</v>
      </c>
      <c r="BA9" s="2252">
        <f t="shared" si="5"/>
        <v>0</v>
      </c>
      <c r="BB9" s="2252">
        <f t="shared" si="5"/>
        <v>0</v>
      </c>
      <c r="BC9" s="2252">
        <f t="shared" si="5"/>
        <v>156200</v>
      </c>
      <c r="BD9" s="2252">
        <f t="shared" si="5"/>
        <v>137050</v>
      </c>
      <c r="BE9" s="2252">
        <f t="shared" si="5"/>
        <v>155200</v>
      </c>
      <c r="BF9" s="2252">
        <f>SUM(BF11,BF17,BF20,BF21,BF22,BF23,BF27,BF30,BF33,BF37)</f>
        <v>137300</v>
      </c>
      <c r="BG9" s="2252">
        <f>+BE9-BC9</f>
        <v>-1000</v>
      </c>
      <c r="BH9" s="2252">
        <f>+BE9/BC9*100</f>
        <v>99.359795134443019</v>
      </c>
      <c r="BI9" s="2252">
        <f>+BC9-AY9</f>
        <v>900</v>
      </c>
      <c r="BJ9" s="2252">
        <f>+BC9/AY9*100</f>
        <v>100.57952350289763</v>
      </c>
      <c r="BK9" s="2252">
        <f t="shared" ref="BK9:BQ9" si="6">SUM(BK11,BK17,BK20,BK21,BK22,BK23,BK27,BK30,BK33,BK37)</f>
        <v>260000</v>
      </c>
      <c r="BL9" s="2252">
        <f t="shared" si="6"/>
        <v>241850</v>
      </c>
      <c r="BM9" s="2252">
        <f t="shared" si="6"/>
        <v>0</v>
      </c>
      <c r="BN9" s="2252">
        <f t="shared" si="6"/>
        <v>0</v>
      </c>
      <c r="BO9" s="2252">
        <f t="shared" si="6"/>
        <v>222000</v>
      </c>
      <c r="BP9" s="2252">
        <f t="shared" si="6"/>
        <v>202850</v>
      </c>
      <c r="BQ9" s="2252">
        <f t="shared" si="6"/>
        <v>196200</v>
      </c>
      <c r="BR9" s="2252">
        <f>SUM(BR11,BR17,BR20,BR21,BR22,BR23,BR27,BR30,BR33,BR37)</f>
        <v>180900</v>
      </c>
      <c r="BS9" s="2993">
        <f>+BQ9-BO9</f>
        <v>-25800</v>
      </c>
      <c r="BT9" s="2993">
        <f>+BQ9/BO9*100</f>
        <v>88.378378378378372</v>
      </c>
      <c r="BU9" s="2993">
        <f>+BO9-BK9</f>
        <v>-38000</v>
      </c>
      <c r="BV9" s="2993">
        <f>+BO9/BK9*100</f>
        <v>85.384615384615387</v>
      </c>
      <c r="BW9" s="2252">
        <f t="shared" ref="BW9:CD9" si="7">SUM(BW11,BW17,BW20,BW21,BW22,BW23,BW27,BW30,BW33,BW37)</f>
        <v>1450250</v>
      </c>
      <c r="BX9" s="2252">
        <f t="shared" si="7"/>
        <v>1146450</v>
      </c>
      <c r="BY9" s="2254">
        <f t="shared" si="7"/>
        <v>0</v>
      </c>
      <c r="BZ9" s="2254">
        <f t="shared" si="7"/>
        <v>0</v>
      </c>
      <c r="CA9" s="2992">
        <f t="shared" si="7"/>
        <v>1305000</v>
      </c>
      <c r="CB9" s="2992">
        <f t="shared" si="7"/>
        <v>1023450</v>
      </c>
      <c r="CC9" s="2993">
        <f t="shared" si="7"/>
        <v>1501500</v>
      </c>
      <c r="CD9" s="2993">
        <f t="shared" si="7"/>
        <v>1200500</v>
      </c>
      <c r="CE9" s="2993">
        <f>+CC9-CA9</f>
        <v>196500</v>
      </c>
      <c r="CF9" s="2993">
        <f>+CC9/CA9*100</f>
        <v>115.05747126436781</v>
      </c>
      <c r="CG9" s="2994">
        <f>+CA9-BW9</f>
        <v>-145250</v>
      </c>
      <c r="CH9" s="2993">
        <f>+CA9/BW9*100</f>
        <v>89.984485433545942</v>
      </c>
      <c r="CI9" s="2252">
        <f t="shared" ref="CI9:CP9" si="8">SUM(CI11,CI17,CI20,CI21,CI22,CI23,CI27,CI30,CI33,CI37)</f>
        <v>280250</v>
      </c>
      <c r="CJ9" s="2252">
        <f t="shared" si="8"/>
        <v>259140</v>
      </c>
      <c r="CK9" s="2252">
        <f t="shared" si="8"/>
        <v>0</v>
      </c>
      <c r="CL9" s="2252">
        <f t="shared" si="8"/>
        <v>0</v>
      </c>
      <c r="CM9" s="2252">
        <f t="shared" si="8"/>
        <v>270950</v>
      </c>
      <c r="CN9" s="2252">
        <f t="shared" si="8"/>
        <v>245950</v>
      </c>
      <c r="CO9" s="2252">
        <f>SUM(CO11,CO17,CO20,CO21,CO22,CO23,CO27,CO30,CO33,CO37)</f>
        <v>266950</v>
      </c>
      <c r="CP9" s="2252">
        <f t="shared" si="8"/>
        <v>243800</v>
      </c>
      <c r="CQ9" s="2252">
        <f>+CO9-CM9</f>
        <v>-4000</v>
      </c>
      <c r="CR9" s="2252">
        <f>+CO9/CM9*100</f>
        <v>98.523712862151697</v>
      </c>
      <c r="CS9" s="2252">
        <f>+CM9-CI9</f>
        <v>-9300</v>
      </c>
      <c r="CT9" s="2252">
        <f>+CM9/CI9*100</f>
        <v>96.681534344335418</v>
      </c>
      <c r="CU9" s="2252">
        <f t="shared" ref="CU9:DB9" si="9">SUM(CU11,CU17,CU20,CU21,CU22,CU23,CU27,CU30,CU33,CU37)</f>
        <v>275700</v>
      </c>
      <c r="CV9" s="2252">
        <f t="shared" si="9"/>
        <v>257750</v>
      </c>
      <c r="CW9" s="2252">
        <f t="shared" si="9"/>
        <v>0</v>
      </c>
      <c r="CX9" s="2252">
        <f t="shared" si="9"/>
        <v>0</v>
      </c>
      <c r="CY9" s="2252">
        <f t="shared" si="9"/>
        <v>270200</v>
      </c>
      <c r="CZ9" s="2252">
        <f t="shared" si="9"/>
        <v>249900</v>
      </c>
      <c r="DA9" s="2252">
        <f t="shared" si="9"/>
        <v>278300</v>
      </c>
      <c r="DB9" s="2252">
        <f t="shared" si="9"/>
        <v>258700</v>
      </c>
      <c r="DC9" s="2252">
        <f>+DA9-CY9</f>
        <v>8100</v>
      </c>
      <c r="DD9" s="2252">
        <f>+DA9/CY9*100</f>
        <v>102.9977794226499</v>
      </c>
      <c r="DE9" s="2252">
        <f>+CY9-CU9</f>
        <v>-5500</v>
      </c>
      <c r="DF9" s="2252">
        <f>+CY9/CU9*100</f>
        <v>98.005077983315203</v>
      </c>
      <c r="DG9" s="2252">
        <f t="shared" ref="DG9:DN9" si="10">SUM(DG11,DG17,DG20,DG21,DG22,DG23,DG27,DG30,DG33,DG37)</f>
        <v>284000</v>
      </c>
      <c r="DH9" s="2252">
        <f t="shared" si="10"/>
        <v>269200</v>
      </c>
      <c r="DI9" s="2254">
        <f t="shared" si="10"/>
        <v>0</v>
      </c>
      <c r="DJ9" s="2254">
        <f t="shared" si="10"/>
        <v>0</v>
      </c>
      <c r="DK9" s="2254">
        <f t="shared" si="10"/>
        <v>269100</v>
      </c>
      <c r="DL9" s="2254">
        <f t="shared" si="10"/>
        <v>249300</v>
      </c>
      <c r="DM9" s="2254">
        <f t="shared" si="10"/>
        <v>276200</v>
      </c>
      <c r="DN9" s="2254">
        <f t="shared" si="10"/>
        <v>256900</v>
      </c>
      <c r="DO9" s="2252">
        <f>+DM9-DK9</f>
        <v>7100</v>
      </c>
      <c r="DP9" s="2252">
        <f>+DM9/DK9*100</f>
        <v>102.63842437755481</v>
      </c>
      <c r="DQ9" s="2252">
        <f>+DK9-DG9</f>
        <v>-14900</v>
      </c>
      <c r="DR9" s="2252">
        <f>+DK9/DG9*100</f>
        <v>94.75352112676056</v>
      </c>
      <c r="DS9" s="2252">
        <f t="shared" ref="DS9:DZ9" si="11">SUM(DS11,DS17,DS20,DS21,DS22,DS23,DS27,DS30,DS33,DS37)</f>
        <v>195000</v>
      </c>
      <c r="DT9" s="2252">
        <f t="shared" si="11"/>
        <v>175430</v>
      </c>
      <c r="DU9" s="2254">
        <f t="shared" si="11"/>
        <v>0</v>
      </c>
      <c r="DV9" s="2254">
        <f t="shared" si="11"/>
        <v>0</v>
      </c>
      <c r="DW9" s="2253">
        <f t="shared" si="11"/>
        <v>210300</v>
      </c>
      <c r="DX9" s="2253">
        <f t="shared" si="11"/>
        <v>190380</v>
      </c>
      <c r="DY9" s="2253">
        <f t="shared" si="11"/>
        <v>221700</v>
      </c>
      <c r="DZ9" s="2253">
        <f t="shared" si="11"/>
        <v>207080</v>
      </c>
      <c r="EA9" s="2252">
        <f>+DY9-DW9</f>
        <v>11400</v>
      </c>
      <c r="EB9" s="2252">
        <f>+DY9/DW9*100</f>
        <v>105.42082738944364</v>
      </c>
      <c r="EC9" s="2252">
        <f>+DW9-DS9</f>
        <v>15300</v>
      </c>
      <c r="ED9" s="2252">
        <f>+DW9/DS9*100</f>
        <v>107.84615384615384</v>
      </c>
      <c r="EE9" s="2252">
        <f t="shared" ref="EE9:EL9" si="12">SUM(EE11,EE17,EE20,EE21,EE22,EE23,EE27,EE30,EE33,EE37)</f>
        <v>930100</v>
      </c>
      <c r="EF9" s="2252">
        <f t="shared" si="12"/>
        <v>544440</v>
      </c>
      <c r="EG9" s="2254">
        <f t="shared" si="12"/>
        <v>0</v>
      </c>
      <c r="EH9" s="2254">
        <f t="shared" si="12"/>
        <v>0</v>
      </c>
      <c r="EI9" s="2252">
        <f t="shared" si="12"/>
        <v>832693</v>
      </c>
      <c r="EJ9" s="2252">
        <f t="shared" si="12"/>
        <v>443233</v>
      </c>
      <c r="EK9" s="2253">
        <f t="shared" si="12"/>
        <v>707000</v>
      </c>
      <c r="EL9" s="2253">
        <f t="shared" si="12"/>
        <v>439400</v>
      </c>
      <c r="EM9" s="2252">
        <f>+EK9-EI9</f>
        <v>-125693</v>
      </c>
      <c r="EN9" s="2252">
        <f>+EK9/EI9*100</f>
        <v>84.905241187328343</v>
      </c>
      <c r="EO9" s="2252">
        <f>+EI9-EE9</f>
        <v>-97407</v>
      </c>
      <c r="EP9" s="2252">
        <f>+EI9/EE9*100</f>
        <v>89.527255133856571</v>
      </c>
      <c r="EQ9" s="2252">
        <f t="shared" ref="EQ9:EX9" si="13">SUM(EQ11,EQ17,EQ20,EQ21,EQ22,EQ23,EQ27,EQ30,EQ33,EQ37)</f>
        <v>285000</v>
      </c>
      <c r="ER9" s="2252">
        <f t="shared" si="13"/>
        <v>265510</v>
      </c>
      <c r="ES9" s="2254">
        <f t="shared" si="13"/>
        <v>0</v>
      </c>
      <c r="ET9" s="2254">
        <f t="shared" si="13"/>
        <v>0</v>
      </c>
      <c r="EU9" s="2252">
        <f t="shared" si="13"/>
        <v>266050</v>
      </c>
      <c r="EV9" s="2252">
        <f t="shared" si="13"/>
        <v>245490</v>
      </c>
      <c r="EW9" s="2252">
        <f t="shared" si="13"/>
        <v>237050</v>
      </c>
      <c r="EX9" s="2252">
        <f t="shared" si="13"/>
        <v>220610</v>
      </c>
      <c r="EY9" s="2252">
        <f>+EW9-EU9</f>
        <v>-29000</v>
      </c>
      <c r="EZ9" s="2252">
        <f>+EW9/EU9*100</f>
        <v>89.099793271941365</v>
      </c>
      <c r="FA9" s="2252">
        <f>+EU9-EQ9</f>
        <v>-18950</v>
      </c>
      <c r="FB9" s="2252">
        <f>+EU9/EQ9*100</f>
        <v>93.350877192982452</v>
      </c>
      <c r="FC9" s="2255">
        <f t="shared" ref="FC9:FD11" si="14">E9/C9</f>
        <v>5.7481959349089177E-5</v>
      </c>
      <c r="FD9" s="2255">
        <f t="shared" si="14"/>
        <v>7.0574855042294135E-5</v>
      </c>
      <c r="FE9" s="2256">
        <f t="shared" ref="FE9:FF11" si="15">E9-C9</f>
        <v>-4836022</v>
      </c>
      <c r="FF9" s="2256">
        <f t="shared" si="15"/>
        <v>-3938802</v>
      </c>
    </row>
    <row r="10" spans="1:162" s="2257" customFormat="1" ht="27" customHeight="1">
      <c r="A10" s="2258"/>
      <c r="B10" s="2259" t="s">
        <v>784</v>
      </c>
      <c r="C10" s="2252">
        <f t="shared" ref="C10:J10" si="16">C9-C30</f>
        <v>3066300</v>
      </c>
      <c r="D10" s="2252">
        <f t="shared" si="16"/>
        <v>2796080</v>
      </c>
      <c r="E10" s="2252">
        <f t="shared" si="16"/>
        <v>278</v>
      </c>
      <c r="F10" s="2252">
        <f t="shared" si="16"/>
        <v>278</v>
      </c>
      <c r="G10" s="2252">
        <f t="shared" si="16"/>
        <v>2732262</v>
      </c>
      <c r="H10" s="2252">
        <f t="shared" si="16"/>
        <v>2438731</v>
      </c>
      <c r="I10" s="2252">
        <f>I9-I30</f>
        <v>2893400</v>
      </c>
      <c r="J10" s="2252">
        <f t="shared" si="16"/>
        <v>2638800</v>
      </c>
      <c r="K10" s="2260">
        <f>I10-G10</f>
        <v>161138</v>
      </c>
      <c r="L10" s="5793">
        <f>I10/G10*100</f>
        <v>105.89760425610721</v>
      </c>
      <c r="M10" s="2260">
        <f>G10-C10</f>
        <v>-334038</v>
      </c>
      <c r="N10" s="2260">
        <f>G10/C10*100</f>
        <v>89.106153996673527</v>
      </c>
      <c r="O10" s="2252">
        <f>O9-O30</f>
        <v>89200</v>
      </c>
      <c r="P10" s="2252">
        <f>P9-P30</f>
        <v>67900</v>
      </c>
      <c r="Q10" s="2252">
        <f t="shared" ref="Q10:U10" si="17">Q9-Q30</f>
        <v>0</v>
      </c>
      <c r="R10" s="2252">
        <f t="shared" si="17"/>
        <v>0</v>
      </c>
      <c r="S10" s="2253">
        <f t="shared" si="17"/>
        <v>103180</v>
      </c>
      <c r="T10" s="2253">
        <f t="shared" si="17"/>
        <v>71340</v>
      </c>
      <c r="U10" s="2252">
        <f t="shared" si="17"/>
        <v>96150</v>
      </c>
      <c r="V10" s="2252">
        <f>V9-V30</f>
        <v>80750</v>
      </c>
      <c r="W10" s="2260">
        <f>U10-S10</f>
        <v>-7030</v>
      </c>
      <c r="X10" s="2260">
        <f>U10/S10*100</f>
        <v>93.186664082186468</v>
      </c>
      <c r="Y10" s="2260">
        <f>S10-O10</f>
        <v>13980</v>
      </c>
      <c r="Z10" s="2260">
        <f>S10/O10*100</f>
        <v>115.67264573991032</v>
      </c>
      <c r="AA10" s="2252">
        <f t="shared" ref="AA10:AH10" si="18">AA9-AA30</f>
        <v>130350</v>
      </c>
      <c r="AB10" s="2252">
        <f t="shared" si="18"/>
        <v>114130</v>
      </c>
      <c r="AC10" s="2252">
        <f t="shared" si="18"/>
        <v>0</v>
      </c>
      <c r="AD10" s="2252">
        <f t="shared" si="18"/>
        <v>0</v>
      </c>
      <c r="AE10" s="2253">
        <f t="shared" si="18"/>
        <v>105865</v>
      </c>
      <c r="AF10" s="2253">
        <f t="shared" si="18"/>
        <v>88465</v>
      </c>
      <c r="AG10" s="2252">
        <f t="shared" si="18"/>
        <v>102350</v>
      </c>
      <c r="AH10" s="2252">
        <f t="shared" si="18"/>
        <v>92410</v>
      </c>
      <c r="AI10" s="2260">
        <f>AG10-AE10</f>
        <v>-3515</v>
      </c>
      <c r="AJ10" s="2260">
        <f>AG10/AE10*100</f>
        <v>96.679733623010435</v>
      </c>
      <c r="AK10" s="2260">
        <f>AE10-AA10</f>
        <v>-24485</v>
      </c>
      <c r="AL10" s="2260">
        <f>AE10/AA10*100</f>
        <v>81.215957038741848</v>
      </c>
      <c r="AM10" s="2261">
        <f t="shared" ref="AM10:AT10" si="19">AM9-AM30</f>
        <v>71150</v>
      </c>
      <c r="AN10" s="2261">
        <f t="shared" si="19"/>
        <v>69340</v>
      </c>
      <c r="AO10" s="2261">
        <f t="shared" si="19"/>
        <v>278</v>
      </c>
      <c r="AP10" s="2261">
        <f t="shared" si="19"/>
        <v>278</v>
      </c>
      <c r="AQ10" s="2261">
        <f t="shared" si="19"/>
        <v>88224</v>
      </c>
      <c r="AR10" s="2261">
        <f t="shared" si="19"/>
        <v>72073</v>
      </c>
      <c r="AS10" s="2261">
        <f t="shared" si="19"/>
        <v>74800</v>
      </c>
      <c r="AT10" s="2261">
        <f t="shared" si="19"/>
        <v>71950</v>
      </c>
      <c r="AU10" s="2261">
        <f>AS10-AQ10</f>
        <v>-13424</v>
      </c>
      <c r="AV10" s="2261">
        <f>AS10/AQ10*100</f>
        <v>84.784185709104094</v>
      </c>
      <c r="AW10" s="2261">
        <f>AQ10-AM10</f>
        <v>17074</v>
      </c>
      <c r="AX10" s="2261">
        <f>AQ10/AM10*100</f>
        <v>123.99718903724526</v>
      </c>
      <c r="AY10" s="2261">
        <f t="shared" ref="AY10:BE10" si="20">AY9-AY30</f>
        <v>95300</v>
      </c>
      <c r="AZ10" s="2261">
        <f t="shared" si="20"/>
        <v>86940</v>
      </c>
      <c r="BA10" s="2261">
        <f t="shared" si="20"/>
        <v>0</v>
      </c>
      <c r="BB10" s="2261">
        <f t="shared" si="20"/>
        <v>0</v>
      </c>
      <c r="BC10" s="2261">
        <f t="shared" si="20"/>
        <v>93200</v>
      </c>
      <c r="BD10" s="2261">
        <f t="shared" si="20"/>
        <v>80350</v>
      </c>
      <c r="BE10" s="2261">
        <f t="shared" si="20"/>
        <v>95200</v>
      </c>
      <c r="BF10" s="2261">
        <f>BF9-BF30</f>
        <v>83300</v>
      </c>
      <c r="BG10" s="2261">
        <f>BE10-BC10</f>
        <v>2000</v>
      </c>
      <c r="BH10" s="2261">
        <f>BE10/BC10*100</f>
        <v>102.14592274678111</v>
      </c>
      <c r="BI10" s="2261">
        <f>BC10-AY10</f>
        <v>-2100</v>
      </c>
      <c r="BJ10" s="2261">
        <f>BC10/AY10*100</f>
        <v>97.796432318992657</v>
      </c>
      <c r="BK10" s="2252">
        <f t="shared" ref="BK10:BQ10" si="21">BK9-BK30</f>
        <v>190000</v>
      </c>
      <c r="BL10" s="2252">
        <f t="shared" si="21"/>
        <v>178850</v>
      </c>
      <c r="BM10" s="2252">
        <f t="shared" si="21"/>
        <v>0</v>
      </c>
      <c r="BN10" s="2252">
        <f t="shared" si="21"/>
        <v>0</v>
      </c>
      <c r="BO10" s="2252">
        <f t="shared" si="21"/>
        <v>159000</v>
      </c>
      <c r="BP10" s="2252">
        <f t="shared" si="21"/>
        <v>146150</v>
      </c>
      <c r="BQ10" s="2252">
        <f t="shared" si="21"/>
        <v>146200</v>
      </c>
      <c r="BR10" s="2252">
        <f>BR9-BR30</f>
        <v>135900</v>
      </c>
      <c r="BS10" s="2260">
        <f>BQ10-BO10</f>
        <v>-12800</v>
      </c>
      <c r="BT10" s="2260">
        <f>BQ10/BO10*100</f>
        <v>91.949685534591197</v>
      </c>
      <c r="BU10" s="2260">
        <f>BO10-BK10</f>
        <v>-31000</v>
      </c>
      <c r="BV10" s="2260">
        <f>BO10/BK10*100</f>
        <v>83.684210526315795</v>
      </c>
      <c r="BW10" s="2252">
        <f t="shared" ref="BW10:CD10" si="22">BW9-BW30</f>
        <v>1140250</v>
      </c>
      <c r="BX10" s="2252">
        <f t="shared" si="22"/>
        <v>1002450</v>
      </c>
      <c r="BY10" s="2254">
        <f t="shared" si="22"/>
        <v>0</v>
      </c>
      <c r="BZ10" s="2254">
        <f t="shared" si="22"/>
        <v>0</v>
      </c>
      <c r="CA10" s="2991">
        <f t="shared" si="22"/>
        <v>995000</v>
      </c>
      <c r="CB10" s="2991">
        <f t="shared" si="22"/>
        <v>879450</v>
      </c>
      <c r="CC10" s="2260">
        <f t="shared" si="22"/>
        <v>1191500</v>
      </c>
      <c r="CD10" s="2260">
        <f t="shared" si="22"/>
        <v>1056500</v>
      </c>
      <c r="CE10" s="2260">
        <f>CC10-CA10</f>
        <v>196500</v>
      </c>
      <c r="CF10" s="2260">
        <f>CC10/CA10*100</f>
        <v>119.74874371859296</v>
      </c>
      <c r="CG10" s="2262">
        <f>CA10-BW10</f>
        <v>-145250</v>
      </c>
      <c r="CH10" s="2260">
        <f>CA10/BW10*100</f>
        <v>87.261565446174089</v>
      </c>
      <c r="CI10" s="2252">
        <f t="shared" ref="CI10:CP10" si="23">CI9-CI30</f>
        <v>220250</v>
      </c>
      <c r="CJ10" s="2252">
        <f t="shared" si="23"/>
        <v>205140</v>
      </c>
      <c r="CK10" s="2252">
        <f t="shared" si="23"/>
        <v>0</v>
      </c>
      <c r="CL10" s="2252">
        <f t="shared" si="23"/>
        <v>0</v>
      </c>
      <c r="CM10" s="2252">
        <f t="shared" si="23"/>
        <v>180950</v>
      </c>
      <c r="CN10" s="2252">
        <f t="shared" si="23"/>
        <v>164950</v>
      </c>
      <c r="CO10" s="2252">
        <f t="shared" si="23"/>
        <v>191950</v>
      </c>
      <c r="CP10" s="2252">
        <f t="shared" si="23"/>
        <v>176300</v>
      </c>
      <c r="CQ10" s="2260">
        <f>CO10-CM10</f>
        <v>11000</v>
      </c>
      <c r="CR10" s="2260">
        <f>CO10/CM10*100</f>
        <v>106.07902735562308</v>
      </c>
      <c r="CS10" s="2260">
        <f>CM10-CI10</f>
        <v>-39300</v>
      </c>
      <c r="CT10" s="2260">
        <f>CM10/CI10*100</f>
        <v>82.156640181611806</v>
      </c>
      <c r="CU10" s="2252">
        <f t="shared" ref="CU10:DB10" si="24">CU9-CU30</f>
        <v>175700</v>
      </c>
      <c r="CV10" s="2252">
        <f t="shared" si="24"/>
        <v>167750</v>
      </c>
      <c r="CW10" s="2252">
        <f t="shared" si="24"/>
        <v>0</v>
      </c>
      <c r="CX10" s="2252">
        <f t="shared" si="24"/>
        <v>0</v>
      </c>
      <c r="CY10" s="2252">
        <f t="shared" si="24"/>
        <v>170200</v>
      </c>
      <c r="CZ10" s="2252">
        <f t="shared" si="24"/>
        <v>159900</v>
      </c>
      <c r="DA10" s="2252">
        <f t="shared" si="24"/>
        <v>178300</v>
      </c>
      <c r="DB10" s="2252">
        <f t="shared" si="24"/>
        <v>168700</v>
      </c>
      <c r="DC10" s="2260">
        <f>DA10-CY10</f>
        <v>8100</v>
      </c>
      <c r="DD10" s="2260">
        <f>DA10/CY10*100</f>
        <v>104.75910693301998</v>
      </c>
      <c r="DE10" s="2260">
        <f>CY10-CU10</f>
        <v>-5500</v>
      </c>
      <c r="DF10" s="2260">
        <f>CY10/CU10*100</f>
        <v>96.869664200341489</v>
      </c>
      <c r="DG10" s="2252">
        <f t="shared" ref="DG10:DN10" si="25">DG9-DG30</f>
        <v>224000</v>
      </c>
      <c r="DH10" s="2252">
        <f t="shared" si="25"/>
        <v>215200</v>
      </c>
      <c r="DI10" s="2252">
        <f t="shared" si="25"/>
        <v>0</v>
      </c>
      <c r="DJ10" s="2252">
        <f t="shared" si="25"/>
        <v>0</v>
      </c>
      <c r="DK10" s="2252">
        <f t="shared" si="25"/>
        <v>207600</v>
      </c>
      <c r="DL10" s="2252">
        <f t="shared" si="25"/>
        <v>193950</v>
      </c>
      <c r="DM10" s="2252">
        <f t="shared" si="25"/>
        <v>216200</v>
      </c>
      <c r="DN10" s="2252">
        <f t="shared" si="25"/>
        <v>202900</v>
      </c>
      <c r="DO10" s="2260">
        <f>DM10-DK10</f>
        <v>8600</v>
      </c>
      <c r="DP10" s="2260">
        <f>DM10/DK10*100</f>
        <v>104.14258188824664</v>
      </c>
      <c r="DQ10" s="2260">
        <f>DK10-DG10</f>
        <v>-16400</v>
      </c>
      <c r="DR10" s="2260">
        <f>DK10/DG10*100</f>
        <v>92.678571428571431</v>
      </c>
      <c r="DS10" s="2252">
        <f t="shared" ref="DS10:DZ10" si="26">DS9-DS30</f>
        <v>125000</v>
      </c>
      <c r="DT10" s="2252">
        <f t="shared" si="26"/>
        <v>112430</v>
      </c>
      <c r="DU10" s="2254">
        <f t="shared" si="26"/>
        <v>0</v>
      </c>
      <c r="DV10" s="2254">
        <f t="shared" si="26"/>
        <v>0</v>
      </c>
      <c r="DW10" s="2253">
        <f t="shared" si="26"/>
        <v>140300</v>
      </c>
      <c r="DX10" s="2253">
        <f t="shared" si="26"/>
        <v>127380</v>
      </c>
      <c r="DY10" s="2253">
        <f t="shared" si="26"/>
        <v>151700</v>
      </c>
      <c r="DZ10" s="2253">
        <f t="shared" si="26"/>
        <v>144080</v>
      </c>
      <c r="EA10" s="2260">
        <f>DY10-DW10</f>
        <v>11400</v>
      </c>
      <c r="EB10" s="2260">
        <f>DY10/DW10*100</f>
        <v>108.12544547398433</v>
      </c>
      <c r="EC10" s="2260">
        <f>DW10-DS10</f>
        <v>15300</v>
      </c>
      <c r="ED10" s="2260">
        <f>DW10/DS10*100</f>
        <v>112.24000000000001</v>
      </c>
      <c r="EE10" s="2252">
        <f t="shared" ref="EE10:EL10" si="27">EE9-EE30</f>
        <v>420100</v>
      </c>
      <c r="EF10" s="2252">
        <f t="shared" si="27"/>
        <v>400440</v>
      </c>
      <c r="EG10" s="2254">
        <f t="shared" si="27"/>
        <v>0</v>
      </c>
      <c r="EH10" s="2254">
        <f t="shared" si="27"/>
        <v>0</v>
      </c>
      <c r="EI10" s="2252">
        <f t="shared" si="27"/>
        <v>322693</v>
      </c>
      <c r="EJ10" s="2252">
        <f t="shared" si="27"/>
        <v>299233</v>
      </c>
      <c r="EK10" s="2253">
        <f t="shared" si="27"/>
        <v>312000</v>
      </c>
      <c r="EL10" s="2253">
        <f t="shared" si="27"/>
        <v>295400</v>
      </c>
      <c r="EM10" s="2260">
        <f>EK10-EI10</f>
        <v>-10693</v>
      </c>
      <c r="EN10" s="2260">
        <f>EK10/EI10*100</f>
        <v>96.686324153297406</v>
      </c>
      <c r="EO10" s="2260">
        <f>EI10-EE10</f>
        <v>-97407</v>
      </c>
      <c r="EP10" s="2260">
        <f>EI10/EE10*100</f>
        <v>76.81337776719829</v>
      </c>
      <c r="EQ10" s="2252">
        <f t="shared" ref="EQ10:EX10" si="28">EQ9-EQ30</f>
        <v>185000</v>
      </c>
      <c r="ER10" s="2252">
        <f t="shared" si="28"/>
        <v>175510</v>
      </c>
      <c r="ES10" s="2254">
        <f t="shared" si="28"/>
        <v>0</v>
      </c>
      <c r="ET10" s="2254">
        <f t="shared" si="28"/>
        <v>0</v>
      </c>
      <c r="EU10" s="2252">
        <f t="shared" si="28"/>
        <v>166050</v>
      </c>
      <c r="EV10" s="2252">
        <f t="shared" si="28"/>
        <v>155490</v>
      </c>
      <c r="EW10" s="2252">
        <f t="shared" si="28"/>
        <v>137050</v>
      </c>
      <c r="EX10" s="2252">
        <f t="shared" si="28"/>
        <v>130610</v>
      </c>
      <c r="EY10" s="2260">
        <f>EW10-EU10</f>
        <v>-29000</v>
      </c>
      <c r="EZ10" s="2260">
        <f>EW10/EU10*100</f>
        <v>82.535380909364648</v>
      </c>
      <c r="FA10" s="2260">
        <f>EU10-EQ10</f>
        <v>-18950</v>
      </c>
      <c r="FB10" s="2260">
        <f>EU10/EQ10*100</f>
        <v>89.756756756756758</v>
      </c>
      <c r="FC10" s="2263">
        <f t="shared" si="14"/>
        <v>9.0663014056028432E-5</v>
      </c>
      <c r="FD10" s="2263">
        <f t="shared" si="14"/>
        <v>9.9424909158536231E-5</v>
      </c>
      <c r="FE10" s="2264">
        <f t="shared" si="15"/>
        <v>-3066022</v>
      </c>
      <c r="FF10" s="2264">
        <f t="shared" si="15"/>
        <v>-2795802</v>
      </c>
    </row>
    <row r="11" spans="1:162" s="2273" customFormat="1" ht="27" customHeight="1">
      <c r="A11" s="2265">
        <v>1</v>
      </c>
      <c r="B11" s="2266" t="s">
        <v>1477</v>
      </c>
      <c r="C11" s="2267">
        <f t="shared" ref="C11:J11" si="29">SUM(C12:C16)</f>
        <v>1701000</v>
      </c>
      <c r="D11" s="2267">
        <f t="shared" si="29"/>
        <v>1630080</v>
      </c>
      <c r="E11" s="2267">
        <f t="shared" si="29"/>
        <v>0</v>
      </c>
      <c r="F11" s="2267">
        <f t="shared" si="29"/>
        <v>0</v>
      </c>
      <c r="G11" s="2267">
        <f>SUM(G12:G16)</f>
        <v>1421650</v>
      </c>
      <c r="H11" s="2267">
        <f t="shared" si="29"/>
        <v>1352179</v>
      </c>
      <c r="I11" s="2267">
        <f>SUM(I12:I16)</f>
        <v>1550000</v>
      </c>
      <c r="J11" s="2267">
        <f t="shared" si="29"/>
        <v>1477000</v>
      </c>
      <c r="K11" s="2267">
        <f t="shared" ref="K11:K26" si="30">+I11-G11</f>
        <v>128350</v>
      </c>
      <c r="L11" s="2267">
        <f t="shared" ref="L11:L19" si="31">+I11/G11*100</f>
        <v>109.02824183167445</v>
      </c>
      <c r="M11" s="2267">
        <f t="shared" ref="M11:M26" si="32">+G11-C11</f>
        <v>-279350</v>
      </c>
      <c r="N11" s="2267">
        <f t="shared" si="1"/>
        <v>83.577307466196359</v>
      </c>
      <c r="O11" s="2267">
        <f>SUM(O12:O16)</f>
        <v>19500</v>
      </c>
      <c r="P11" s="2267">
        <f>SUM(P12:P16)</f>
        <v>18500</v>
      </c>
      <c r="Q11" s="2267">
        <f t="shared" ref="Q11:R11" si="33">SUM(Q12:Q16)</f>
        <v>0</v>
      </c>
      <c r="R11" s="2267">
        <f t="shared" si="33"/>
        <v>0</v>
      </c>
      <c r="S11" s="2268">
        <f>SUM(S12:S16)</f>
        <v>31700</v>
      </c>
      <c r="T11" s="2268">
        <f t="shared" ref="T11:V11" si="34">SUM(T12:T16)</f>
        <v>22160</v>
      </c>
      <c r="U11" s="2267">
        <f t="shared" si="34"/>
        <v>31500</v>
      </c>
      <c r="V11" s="2267">
        <f t="shared" si="34"/>
        <v>21600</v>
      </c>
      <c r="W11" s="2267">
        <f t="shared" ref="W11:W16" si="35">+U11-S11</f>
        <v>-200</v>
      </c>
      <c r="X11" s="2267">
        <f>+U11/S11*100</f>
        <v>99.369085173501588</v>
      </c>
      <c r="Y11" s="2267">
        <f t="shared" ref="Y11:Y16" si="36">+S11-O11</f>
        <v>12200</v>
      </c>
      <c r="Z11" s="2267">
        <f>+S11/O11*100</f>
        <v>162.56410256410257</v>
      </c>
      <c r="AA11" s="2267">
        <f>SUM(AA12:AA16)</f>
        <v>54000</v>
      </c>
      <c r="AB11" s="2267">
        <f>SUM(AB12:AB16)</f>
        <v>51680</v>
      </c>
      <c r="AC11" s="2267">
        <f t="shared" ref="AC11:AD11" si="37">SUM(AC12:AC16)</f>
        <v>0</v>
      </c>
      <c r="AD11" s="2267">
        <f t="shared" si="37"/>
        <v>0</v>
      </c>
      <c r="AE11" s="2268">
        <f>SUM(AE12:AE16)</f>
        <v>29500</v>
      </c>
      <c r="AF11" s="2268">
        <f t="shared" ref="AF11:AH11" si="38">SUM(AF12:AF16)</f>
        <v>28900</v>
      </c>
      <c r="AG11" s="2267">
        <f t="shared" si="38"/>
        <v>35000</v>
      </c>
      <c r="AH11" s="2267">
        <f t="shared" si="38"/>
        <v>34660</v>
      </c>
      <c r="AI11" s="2267">
        <f t="shared" ref="AI11:AI16" si="39">+AG11-AE11</f>
        <v>5500</v>
      </c>
      <c r="AJ11" s="2267">
        <f>+AG11/AE11*100</f>
        <v>118.64406779661016</v>
      </c>
      <c r="AK11" s="2267">
        <f t="shared" ref="AK11:AK16" si="40">+AE11-AA11</f>
        <v>-24500</v>
      </c>
      <c r="AL11" s="2267">
        <f>+AE11/AA11*100</f>
        <v>54.629629629629626</v>
      </c>
      <c r="AM11" s="2267">
        <f>SUM(AM12:AM16)</f>
        <v>30000</v>
      </c>
      <c r="AN11" s="2267">
        <f>SUM(AN12:AN16)</f>
        <v>29900</v>
      </c>
      <c r="AO11" s="2267">
        <f t="shared" ref="AO11:AP11" si="41">SUM(AO12:AO16)</f>
        <v>0</v>
      </c>
      <c r="AP11" s="2267">
        <f t="shared" si="41"/>
        <v>0</v>
      </c>
      <c r="AQ11" s="2267">
        <f>SUM(AQ12:AQ16)</f>
        <v>31950</v>
      </c>
      <c r="AR11" s="2267">
        <f t="shared" ref="AR11:AT11" si="42">SUM(AR12:AR16)</f>
        <v>31849</v>
      </c>
      <c r="AS11" s="2267">
        <f t="shared" si="42"/>
        <v>32000</v>
      </c>
      <c r="AT11" s="2267">
        <f t="shared" si="42"/>
        <v>31900</v>
      </c>
      <c r="AU11" s="2267">
        <f t="shared" ref="AU11:AU16" si="43">+AS11-AQ11</f>
        <v>50</v>
      </c>
      <c r="AV11" s="2267">
        <f>+AS11/AQ11*100</f>
        <v>100.1564945226917</v>
      </c>
      <c r="AW11" s="2267">
        <f t="shared" ref="AW11:AW16" si="44">+AQ11-AM11</f>
        <v>1950</v>
      </c>
      <c r="AX11" s="2267">
        <f>+AQ11/AM11*100</f>
        <v>106.5</v>
      </c>
      <c r="AY11" s="2267">
        <f>SUM(AY12:AY16)</f>
        <v>37000</v>
      </c>
      <c r="AZ11" s="2267">
        <f>SUM(AZ12:AZ16)</f>
        <v>36300</v>
      </c>
      <c r="BA11" s="2267">
        <f t="shared" ref="BA11:BB11" si="45">SUM(BA12:BA16)</f>
        <v>0</v>
      </c>
      <c r="BB11" s="2267">
        <f t="shared" si="45"/>
        <v>0</v>
      </c>
      <c r="BC11" s="2267">
        <f>SUM(BC12:BC16)</f>
        <v>27000</v>
      </c>
      <c r="BD11" s="2267">
        <f t="shared" ref="BD11:BF11" si="46">SUM(BD12:BD16)</f>
        <v>26300</v>
      </c>
      <c r="BE11" s="2267">
        <f t="shared" si="46"/>
        <v>30500</v>
      </c>
      <c r="BF11" s="2267">
        <f t="shared" si="46"/>
        <v>29800</v>
      </c>
      <c r="BG11" s="2267">
        <f t="shared" ref="BG11:BG16" si="47">+BE11-BC11</f>
        <v>3500</v>
      </c>
      <c r="BH11" s="2267">
        <f>+BE11/BC11*100</f>
        <v>112.96296296296295</v>
      </c>
      <c r="BI11" s="2267">
        <f t="shared" ref="BI11:BI16" si="48">+BC11-AY11</f>
        <v>-10000</v>
      </c>
      <c r="BJ11" s="2267">
        <f>+BC11/AY11*100</f>
        <v>72.972972972972968</v>
      </c>
      <c r="BK11" s="2267">
        <f>SUM(BK12:BK16)</f>
        <v>104000</v>
      </c>
      <c r="BL11" s="2267">
        <f>SUM(BL12:BL16)</f>
        <v>103600</v>
      </c>
      <c r="BM11" s="2267">
        <f t="shared" ref="BM11:BR11" si="49">SUM(BM12:BM16)</f>
        <v>0</v>
      </c>
      <c r="BN11" s="2267">
        <f t="shared" si="49"/>
        <v>0</v>
      </c>
      <c r="BO11" s="2267">
        <f>SUM(BO12:BO16)</f>
        <v>64000</v>
      </c>
      <c r="BP11" s="2267">
        <f t="shared" si="49"/>
        <v>63600</v>
      </c>
      <c r="BQ11" s="2267">
        <f t="shared" si="49"/>
        <v>67000</v>
      </c>
      <c r="BR11" s="2267">
        <f t="shared" si="49"/>
        <v>66600</v>
      </c>
      <c r="BS11" s="2267">
        <f t="shared" ref="BS11:BS22" si="50">+BQ11-BO11</f>
        <v>3000</v>
      </c>
      <c r="BT11" s="2267">
        <f>+BQ11/BO11*100</f>
        <v>104.6875</v>
      </c>
      <c r="BU11" s="2267">
        <f t="shared" ref="BU11:BU22" si="51">+BO11-BK11</f>
        <v>-40000</v>
      </c>
      <c r="BV11" s="2267">
        <f>+BO11/BK11*100</f>
        <v>61.53846153846154</v>
      </c>
      <c r="BW11" s="2267">
        <f>SUM(BW12:BW16)</f>
        <v>763000</v>
      </c>
      <c r="BX11" s="2267">
        <f>SUM(BX12:BX16)</f>
        <v>701200</v>
      </c>
      <c r="BY11" s="2269">
        <f t="shared" ref="BY11:BZ11" si="52">SUM(BY12:BY16)</f>
        <v>0</v>
      </c>
      <c r="BZ11" s="2269">
        <f t="shared" si="52"/>
        <v>0</v>
      </c>
      <c r="CA11" s="2268">
        <f>SUM(CA12:CA16)</f>
        <v>700000</v>
      </c>
      <c r="CB11" s="2268">
        <f t="shared" ref="CB11:CD11" si="53">SUM(CB12:CB16)</f>
        <v>652950</v>
      </c>
      <c r="CC11" s="2267">
        <f t="shared" si="53"/>
        <v>780000</v>
      </c>
      <c r="CD11" s="2267">
        <f t="shared" si="53"/>
        <v>728200</v>
      </c>
      <c r="CE11" s="2267">
        <f t="shared" ref="CE11:CE16" si="54">+CC11-CA11</f>
        <v>80000</v>
      </c>
      <c r="CF11" s="2267">
        <f>+CC11/CA11*100</f>
        <v>111.42857142857143</v>
      </c>
      <c r="CG11" s="2270">
        <f t="shared" ref="CG11:CG16" si="55">+CA11-BW11</f>
        <v>-63000</v>
      </c>
      <c r="CH11" s="2267">
        <f>+CA11/BW11*100</f>
        <v>91.743119266055047</v>
      </c>
      <c r="CI11" s="2267">
        <f>SUM(CI12:CI16)</f>
        <v>96000</v>
      </c>
      <c r="CJ11" s="2267">
        <f>SUM(CJ12:CJ16)</f>
        <v>95390</v>
      </c>
      <c r="CK11" s="2267">
        <f t="shared" ref="CK11:CP11" si="56">SUM(CK12:CK16)</f>
        <v>0</v>
      </c>
      <c r="CL11" s="2267">
        <f t="shared" si="56"/>
        <v>0</v>
      </c>
      <c r="CM11" s="2268">
        <f>SUM(CM12:CM16)</f>
        <v>76500</v>
      </c>
      <c r="CN11" s="2268">
        <f t="shared" si="56"/>
        <v>72000</v>
      </c>
      <c r="CO11" s="2267">
        <f t="shared" si="56"/>
        <v>80000</v>
      </c>
      <c r="CP11" s="2267">
        <f t="shared" si="56"/>
        <v>77200</v>
      </c>
      <c r="CQ11" s="2267">
        <f t="shared" ref="CQ11:CQ16" si="57">+CO11-CM11</f>
        <v>3500</v>
      </c>
      <c r="CR11" s="2267">
        <f>+CO11/CM11*100</f>
        <v>104.57516339869282</v>
      </c>
      <c r="CS11" s="2267">
        <f t="shared" ref="CS11:CS16" si="58">+CM11-CI11</f>
        <v>-19500</v>
      </c>
      <c r="CT11" s="2267">
        <f>+CM11/CI11*100</f>
        <v>79.6875</v>
      </c>
      <c r="CU11" s="2267">
        <f>SUM(CU12:CU16)</f>
        <v>78000</v>
      </c>
      <c r="CV11" s="2267">
        <f>SUM(CV12:CV16)</f>
        <v>77550</v>
      </c>
      <c r="CW11" s="2267">
        <f t="shared" ref="CW11:CX11" si="59">SUM(CW12:CW16)</f>
        <v>0</v>
      </c>
      <c r="CX11" s="2267">
        <f t="shared" si="59"/>
        <v>0</v>
      </c>
      <c r="CY11" s="2268">
        <f>SUM(CY12:CY16)</f>
        <v>77400</v>
      </c>
      <c r="CZ11" s="2268">
        <f t="shared" ref="CZ11:DB11" si="60">SUM(CZ12:CZ16)</f>
        <v>76750</v>
      </c>
      <c r="DA11" s="2267">
        <f t="shared" si="60"/>
        <v>83000</v>
      </c>
      <c r="DB11" s="2267">
        <f t="shared" si="60"/>
        <v>82150</v>
      </c>
      <c r="DC11" s="2267">
        <f t="shared" ref="DC11:DC16" si="61">+DA11-CY11</f>
        <v>5600</v>
      </c>
      <c r="DD11" s="2267">
        <f>+DA11/CY11*100</f>
        <v>107.23514211886305</v>
      </c>
      <c r="DE11" s="2267">
        <f t="shared" ref="DE11:DE16" si="62">+CY11-CU11</f>
        <v>-600</v>
      </c>
      <c r="DF11" s="2267">
        <f>+CY11/CU11*100</f>
        <v>99.230769230769226</v>
      </c>
      <c r="DG11" s="2267">
        <f>SUM(DG12:DG16)</f>
        <v>138300</v>
      </c>
      <c r="DH11" s="2267">
        <f>SUM(DH12:DH16)</f>
        <v>137600</v>
      </c>
      <c r="DI11" s="2267">
        <f t="shared" ref="DI11:DJ11" si="63">SUM(DI12:DI16)</f>
        <v>0</v>
      </c>
      <c r="DJ11" s="2267">
        <f t="shared" si="63"/>
        <v>0</v>
      </c>
      <c r="DK11" s="2267">
        <f>SUM(DK12:DK16)</f>
        <v>111600</v>
      </c>
      <c r="DL11" s="2267">
        <f t="shared" ref="DL11:DN11" si="64">SUM(DL12:DL16)</f>
        <v>108300</v>
      </c>
      <c r="DM11" s="2267">
        <f t="shared" si="64"/>
        <v>117000</v>
      </c>
      <c r="DN11" s="2267">
        <f t="shared" si="64"/>
        <v>113700</v>
      </c>
      <c r="DO11" s="2267">
        <f t="shared" ref="DO11:DO16" si="65">+DM11-DK11</f>
        <v>5400</v>
      </c>
      <c r="DP11" s="2267">
        <f>+DM11/DK11*100</f>
        <v>104.83870967741935</v>
      </c>
      <c r="DQ11" s="2267">
        <f t="shared" ref="DQ11:DQ16" si="66">+DK11-DG11</f>
        <v>-26700</v>
      </c>
      <c r="DR11" s="2267">
        <f>+DK11/DG11*100</f>
        <v>80.694143167028201</v>
      </c>
      <c r="DS11" s="2267">
        <f>SUM(DS12:DS16)</f>
        <v>48800</v>
      </c>
      <c r="DT11" s="2267">
        <f>SUM(DT12:DT16)</f>
        <v>47200</v>
      </c>
      <c r="DU11" s="2269">
        <f t="shared" ref="DU11:DV11" si="67">SUM(DU12:DU16)</f>
        <v>0</v>
      </c>
      <c r="DV11" s="2269">
        <f t="shared" si="67"/>
        <v>0</v>
      </c>
      <c r="DW11" s="2268">
        <f>SUM(DW12:DW16)</f>
        <v>60000</v>
      </c>
      <c r="DX11" s="2268">
        <f t="shared" ref="DX11:DZ11" si="68">SUM(DX12:DX16)</f>
        <v>58680</v>
      </c>
      <c r="DY11" s="2268">
        <f t="shared" si="68"/>
        <v>65000</v>
      </c>
      <c r="DZ11" s="2268">
        <f t="shared" si="68"/>
        <v>63380</v>
      </c>
      <c r="EA11" s="2267">
        <f t="shared" ref="EA11:EA16" si="69">+DY11-DW11</f>
        <v>5000</v>
      </c>
      <c r="EB11" s="2267">
        <f>+DY11/DW11*100</f>
        <v>108.33333333333333</v>
      </c>
      <c r="EC11" s="2267">
        <f t="shared" ref="EC11:EC16" si="70">+DW11-DS11</f>
        <v>11200</v>
      </c>
      <c r="ED11" s="2267">
        <f>+DW11/DS11*100</f>
        <v>122.95081967213115</v>
      </c>
      <c r="EE11" s="2267">
        <f>SUM(EE12:EE16)</f>
        <v>252200</v>
      </c>
      <c r="EF11" s="2267">
        <f>SUM(EF12:EF16)</f>
        <v>251200</v>
      </c>
      <c r="EG11" s="2269">
        <f t="shared" ref="EG11:EH11" si="71">SUM(EG12:EG16)</f>
        <v>0</v>
      </c>
      <c r="EH11" s="2269">
        <f t="shared" si="71"/>
        <v>0</v>
      </c>
      <c r="EI11" s="2267">
        <f>SUM(EI12:EI16)</f>
        <v>152000</v>
      </c>
      <c r="EJ11" s="2267">
        <f t="shared" ref="EJ11:EL11" si="72">SUM(EJ12:EJ16)</f>
        <v>151000</v>
      </c>
      <c r="EK11" s="2268">
        <f t="shared" si="72"/>
        <v>163000</v>
      </c>
      <c r="EL11" s="2268">
        <f t="shared" si="72"/>
        <v>162100</v>
      </c>
      <c r="EM11" s="2267">
        <f t="shared" ref="EM11:EM16" si="73">+EK11-EI11</f>
        <v>11000</v>
      </c>
      <c r="EN11" s="2267">
        <f>+EK11/EI11*100</f>
        <v>107.23684210526316</v>
      </c>
      <c r="EO11" s="2267">
        <f t="shared" ref="EO11:EO16" si="74">+EI11-EE11</f>
        <v>-100200</v>
      </c>
      <c r="EP11" s="2267">
        <f>+EI11/EE11*100</f>
        <v>60.269627279936557</v>
      </c>
      <c r="EQ11" s="2267">
        <f>SUM(EQ12:EQ16)</f>
        <v>80200</v>
      </c>
      <c r="ER11" s="2267">
        <f>SUM(ER12:ER16)</f>
        <v>79960</v>
      </c>
      <c r="ES11" s="2269">
        <f t="shared" ref="ES11:ET11" si="75">SUM(ES12:ES16)</f>
        <v>0</v>
      </c>
      <c r="ET11" s="2269">
        <f t="shared" si="75"/>
        <v>0</v>
      </c>
      <c r="EU11" s="2267">
        <f>SUM(EU12:EU16)</f>
        <v>60000</v>
      </c>
      <c r="EV11" s="2267">
        <f t="shared" ref="EV11:EX11" si="76">SUM(EV12:EV16)</f>
        <v>59690</v>
      </c>
      <c r="EW11" s="2267">
        <f t="shared" si="76"/>
        <v>66000</v>
      </c>
      <c r="EX11" s="2267">
        <f t="shared" si="76"/>
        <v>65710</v>
      </c>
      <c r="EY11" s="2267">
        <f t="shared" ref="EY11:EY16" si="77">+EW11-EU11</f>
        <v>6000</v>
      </c>
      <c r="EZ11" s="2267">
        <f>+EW11/EU11*100</f>
        <v>110.00000000000001</v>
      </c>
      <c r="FA11" s="2267">
        <f t="shared" ref="FA11:FA16" si="78">+EU11-EQ11</f>
        <v>-20200</v>
      </c>
      <c r="FB11" s="2267">
        <f>+EU11/EQ11*100</f>
        <v>74.812967581047388</v>
      </c>
      <c r="FC11" s="2271">
        <f t="shared" si="14"/>
        <v>0</v>
      </c>
      <c r="FD11" s="2271">
        <f t="shared" si="14"/>
        <v>0</v>
      </c>
      <c r="FE11" s="2272">
        <f t="shared" si="15"/>
        <v>-1701000</v>
      </c>
      <c r="FF11" s="2272">
        <f t="shared" si="15"/>
        <v>-1630080</v>
      </c>
    </row>
    <row r="12" spans="1:162" s="596" customFormat="1" ht="27" customHeight="1">
      <c r="A12" s="2274" t="s">
        <v>29</v>
      </c>
      <c r="B12" s="43" t="s">
        <v>7</v>
      </c>
      <c r="C12" s="2275">
        <f t="shared" ref="C12:J37" si="79">SUM(O12,AA12,AM12,AY12,BK12,BW12,CI12,CU12,DG12,DS12,EE12,EQ12)</f>
        <v>724290</v>
      </c>
      <c r="D12" s="2275">
        <f t="shared" si="79"/>
        <v>724290</v>
      </c>
      <c r="E12" s="2275">
        <f t="shared" si="79"/>
        <v>0</v>
      </c>
      <c r="F12" s="2275">
        <f t="shared" si="79"/>
        <v>0</v>
      </c>
      <c r="G12" s="2275">
        <f>SUM(S12,AE12,AQ12,BC12,BO12,CA12,CM12,CY12,DK12,DW12,EI12,EU12)</f>
        <v>714090</v>
      </c>
      <c r="H12" s="2275">
        <f t="shared" ref="H12:J37" si="80">SUM(T12,AF12,AR12,BD12,BP12,CB12,CN12,CZ12,DL12,DX12,EJ12,EV12)</f>
        <v>714090</v>
      </c>
      <c r="I12" s="2275">
        <f>SUM(U12,AG12,AS12,BE12,BQ12,CC12,CO12,DA12,DM12,DY12,EK12,EW12)</f>
        <v>757000</v>
      </c>
      <c r="J12" s="2275">
        <f t="shared" si="80"/>
        <v>757000</v>
      </c>
      <c r="K12" s="2277">
        <f t="shared" si="30"/>
        <v>42910</v>
      </c>
      <c r="L12" s="2277">
        <f>+I12/G12*100</f>
        <v>106.00904647873517</v>
      </c>
      <c r="M12" s="2277">
        <f t="shared" si="32"/>
        <v>-10200</v>
      </c>
      <c r="N12" s="2277">
        <f t="shared" si="1"/>
        <v>98.59172430932361</v>
      </c>
      <c r="O12" s="2275">
        <v>14100</v>
      </c>
      <c r="P12" s="2275">
        <f>O12</f>
        <v>14100</v>
      </c>
      <c r="Q12" s="2275"/>
      <c r="R12" s="2276">
        <f>Q12</f>
        <v>0</v>
      </c>
      <c r="S12" s="2277">
        <v>17560</v>
      </c>
      <c r="T12" s="2277">
        <f>S12</f>
        <v>17560</v>
      </c>
      <c r="U12" s="2275">
        <f>3000+13500+500</f>
        <v>17000</v>
      </c>
      <c r="V12" s="2275">
        <f>U12</f>
        <v>17000</v>
      </c>
      <c r="W12" s="2275">
        <f t="shared" si="35"/>
        <v>-560</v>
      </c>
      <c r="X12" s="2275">
        <f>+U12/S12*100</f>
        <v>96.81093394077449</v>
      </c>
      <c r="Y12" s="2275">
        <f t="shared" si="36"/>
        <v>3460</v>
      </c>
      <c r="Z12" s="2275">
        <f>+S12/O12*100</f>
        <v>124.53900709219859</v>
      </c>
      <c r="AA12" s="2275">
        <v>45500</v>
      </c>
      <c r="AB12" s="2275">
        <f>AA12</f>
        <v>45500</v>
      </c>
      <c r="AC12" s="2275"/>
      <c r="AD12" s="2275"/>
      <c r="AE12" s="2277">
        <f>2000+19100</f>
        <v>21100</v>
      </c>
      <c r="AF12" s="2277">
        <f>AE12</f>
        <v>21100</v>
      </c>
      <c r="AG12" s="2277">
        <f>7000+22160-5500</f>
        <v>23660</v>
      </c>
      <c r="AH12" s="2275">
        <f>+AG12</f>
        <v>23660</v>
      </c>
      <c r="AI12" s="2275">
        <f t="shared" si="39"/>
        <v>2560</v>
      </c>
      <c r="AJ12" s="2275">
        <f>+AG12/AE12*100</f>
        <v>112.13270142180095</v>
      </c>
      <c r="AK12" s="2275">
        <f>+AE12-AA12</f>
        <v>-24400</v>
      </c>
      <c r="AL12" s="2275">
        <f>+AE12/AA12*100</f>
        <v>46.373626373626372</v>
      </c>
      <c r="AM12" s="2275">
        <v>28900</v>
      </c>
      <c r="AN12" s="2275">
        <f>AM12</f>
        <v>28900</v>
      </c>
      <c r="AO12" s="2275"/>
      <c r="AP12" s="2275">
        <f>AO12</f>
        <v>0</v>
      </c>
      <c r="AQ12" s="2275">
        <v>29700</v>
      </c>
      <c r="AR12" s="2275">
        <f>+AQ12</f>
        <v>29700</v>
      </c>
      <c r="AS12" s="2275">
        <f>33500-3000</f>
        <v>30500</v>
      </c>
      <c r="AT12" s="2275">
        <f>AS12</f>
        <v>30500</v>
      </c>
      <c r="AU12" s="2275">
        <f t="shared" si="43"/>
        <v>800</v>
      </c>
      <c r="AV12" s="2275">
        <f>+AS12/AQ12*100</f>
        <v>102.6936026936027</v>
      </c>
      <c r="AW12" s="2275">
        <f t="shared" si="44"/>
        <v>800</v>
      </c>
      <c r="AX12" s="2275">
        <f>+AQ12/AM12*100</f>
        <v>102.76816608996539</v>
      </c>
      <c r="AY12" s="2275">
        <v>29300</v>
      </c>
      <c r="AZ12" s="2275">
        <f>AY12</f>
        <v>29300</v>
      </c>
      <c r="BA12" s="2275"/>
      <c r="BB12" s="2275">
        <f>BA12</f>
        <v>0</v>
      </c>
      <c r="BC12" s="2275">
        <f>1700+18500</f>
        <v>20200</v>
      </c>
      <c r="BD12" s="2275">
        <f>BC12</f>
        <v>20200</v>
      </c>
      <c r="BE12" s="2275">
        <f>1700+21100-1000</f>
        <v>21800</v>
      </c>
      <c r="BF12" s="2275">
        <f>BE12</f>
        <v>21800</v>
      </c>
      <c r="BG12" s="2275">
        <f t="shared" si="47"/>
        <v>1600</v>
      </c>
      <c r="BH12" s="2275">
        <f>+BE12/BC12*100</f>
        <v>107.92079207920793</v>
      </c>
      <c r="BI12" s="2275">
        <f t="shared" si="48"/>
        <v>-9100</v>
      </c>
      <c r="BJ12" s="2275">
        <f>+BC12/AY12*100</f>
        <v>68.941979522184312</v>
      </c>
      <c r="BK12" s="2275">
        <v>20100</v>
      </c>
      <c r="BL12" s="2275">
        <f>BK12</f>
        <v>20100</v>
      </c>
      <c r="BM12" s="2275"/>
      <c r="BN12" s="2275">
        <f>BM12</f>
        <v>0</v>
      </c>
      <c r="BO12" s="2275">
        <v>18600</v>
      </c>
      <c r="BP12" s="2275">
        <f>+BO12</f>
        <v>18600</v>
      </c>
      <c r="BQ12" s="2275">
        <f>700+20400-(1400)</f>
        <v>19700</v>
      </c>
      <c r="BR12" s="2275">
        <f>BQ12</f>
        <v>19700</v>
      </c>
      <c r="BS12" s="2275">
        <f t="shared" si="50"/>
        <v>1100</v>
      </c>
      <c r="BT12" s="2275">
        <f>+BQ12/BO12*100</f>
        <v>105.91397849462365</v>
      </c>
      <c r="BU12" s="2275">
        <f t="shared" si="51"/>
        <v>-1500</v>
      </c>
      <c r="BV12" s="2275">
        <f>+BO12/BK12*100</f>
        <v>92.537313432835816</v>
      </c>
      <c r="BW12" s="2275">
        <v>261600</v>
      </c>
      <c r="BX12" s="2275">
        <f>BW12</f>
        <v>261600</v>
      </c>
      <c r="BY12" s="2276"/>
      <c r="BZ12" s="2276">
        <f>BY12</f>
        <v>0</v>
      </c>
      <c r="CA12" s="2277">
        <v>281150</v>
      </c>
      <c r="CB12" s="2277">
        <f>+CA12</f>
        <v>281150</v>
      </c>
      <c r="CC12" s="2980">
        <f>175000+184000-(52800)</f>
        <v>306200</v>
      </c>
      <c r="CD12" s="2275">
        <f>CC12</f>
        <v>306200</v>
      </c>
      <c r="CE12" s="2275">
        <f t="shared" si="54"/>
        <v>25050</v>
      </c>
      <c r="CF12" s="2275">
        <f>+CC12/CA12*100</f>
        <v>108.90983460786057</v>
      </c>
      <c r="CG12" s="44">
        <f t="shared" si="55"/>
        <v>19550</v>
      </c>
      <c r="CH12" s="2275">
        <f>+CA12/BW12*100</f>
        <v>107.47324159021407</v>
      </c>
      <c r="CI12" s="2275">
        <v>45390</v>
      </c>
      <c r="CJ12" s="2275">
        <f>CI12</f>
        <v>45390</v>
      </c>
      <c r="CK12" s="2276"/>
      <c r="CL12" s="2276">
        <f>CK12</f>
        <v>0</v>
      </c>
      <c r="CM12" s="2277">
        <v>48500</v>
      </c>
      <c r="CN12" s="2277">
        <f>+CM12</f>
        <v>48500</v>
      </c>
      <c r="CO12" s="2275">
        <f>5440+47200-3440</f>
        <v>49200</v>
      </c>
      <c r="CP12" s="2275">
        <f>CO12</f>
        <v>49200</v>
      </c>
      <c r="CQ12" s="2275">
        <f t="shared" si="57"/>
        <v>700</v>
      </c>
      <c r="CR12" s="2275">
        <f>+CO12/CM12*100</f>
        <v>101.44329896907216</v>
      </c>
      <c r="CS12" s="2275">
        <f t="shared" si="58"/>
        <v>3110</v>
      </c>
      <c r="CT12" s="2275">
        <f>+CM12/CI12*100</f>
        <v>106.85172945582728</v>
      </c>
      <c r="CU12" s="2275">
        <v>63900</v>
      </c>
      <c r="CV12" s="2275">
        <f>CU12</f>
        <v>63900</v>
      </c>
      <c r="CW12" s="2276"/>
      <c r="CX12" s="2276">
        <f>CW12</f>
        <v>0</v>
      </c>
      <c r="CY12" s="2277">
        <v>66700</v>
      </c>
      <c r="CZ12" s="2277">
        <f>+CY12</f>
        <v>66700</v>
      </c>
      <c r="DA12" s="2275">
        <f>19450+57500-8300</f>
        <v>68650</v>
      </c>
      <c r="DB12" s="2275">
        <f>DA12</f>
        <v>68650</v>
      </c>
      <c r="DC12" s="2275">
        <f t="shared" si="61"/>
        <v>1950</v>
      </c>
      <c r="DD12" s="2275">
        <f>+DA12/CY12*100</f>
        <v>102.92353823088456</v>
      </c>
      <c r="DE12" s="2275">
        <f t="shared" si="62"/>
        <v>2800</v>
      </c>
      <c r="DF12" s="2275">
        <f>+CY12/CU12*100</f>
        <v>104.38184663536776</v>
      </c>
      <c r="DG12" s="2275">
        <v>38600</v>
      </c>
      <c r="DH12" s="2275">
        <f>DG12</f>
        <v>38600</v>
      </c>
      <c r="DI12" s="2276"/>
      <c r="DJ12" s="2276">
        <f>DI12</f>
        <v>0</v>
      </c>
      <c r="DK12" s="2276">
        <f>3600+31000</f>
        <v>34600</v>
      </c>
      <c r="DL12" s="2276">
        <f>+DK12</f>
        <v>34600</v>
      </c>
      <c r="DM12" s="2276">
        <f>4000+34700-1000</f>
        <v>37700</v>
      </c>
      <c r="DN12" s="2276">
        <f>DM12</f>
        <v>37700</v>
      </c>
      <c r="DO12" s="2275">
        <f t="shared" si="65"/>
        <v>3100</v>
      </c>
      <c r="DP12" s="2275">
        <f>+DM12/DK12*100</f>
        <v>108.95953757225433</v>
      </c>
      <c r="DQ12" s="2275">
        <f t="shared" si="66"/>
        <v>-4000</v>
      </c>
      <c r="DR12" s="2275">
        <f>+DK12/DG12*100</f>
        <v>89.637305699481857</v>
      </c>
      <c r="DS12" s="2276">
        <v>30900</v>
      </c>
      <c r="DT12" s="2276">
        <f>DS12</f>
        <v>30900</v>
      </c>
      <c r="DU12" s="2276"/>
      <c r="DV12" s="2276">
        <f>DU12</f>
        <v>0</v>
      </c>
      <c r="DW12" s="2277">
        <f>2980+31200</f>
        <v>34180</v>
      </c>
      <c r="DX12" s="2277">
        <f>+DW12</f>
        <v>34180</v>
      </c>
      <c r="DY12" s="2277">
        <f>3080+33900-1000</f>
        <v>35980</v>
      </c>
      <c r="DZ12" s="2277">
        <f>DY12</f>
        <v>35980</v>
      </c>
      <c r="EA12" s="2275">
        <f t="shared" si="69"/>
        <v>1800</v>
      </c>
      <c r="EB12" s="2275">
        <f>+DY12/DW12*100</f>
        <v>105.26623756582798</v>
      </c>
      <c r="EC12" s="2275">
        <f t="shared" si="70"/>
        <v>3280</v>
      </c>
      <c r="ED12" s="2275">
        <f>+DW12/DS12*100</f>
        <v>110.61488673139159</v>
      </c>
      <c r="EE12" s="2275">
        <v>100000</v>
      </c>
      <c r="EF12" s="2275">
        <f>EE12</f>
        <v>100000</v>
      </c>
      <c r="EG12" s="2276"/>
      <c r="EH12" s="2276">
        <f>EG12</f>
        <v>0</v>
      </c>
      <c r="EI12" s="2275">
        <v>94000</v>
      </c>
      <c r="EJ12" s="2275">
        <f>+EI12</f>
        <v>94000</v>
      </c>
      <c r="EK12" s="2277">
        <f>18600+101000-(25000)</f>
        <v>94600</v>
      </c>
      <c r="EL12" s="2277">
        <f>EK12</f>
        <v>94600</v>
      </c>
      <c r="EM12" s="2275">
        <f t="shared" si="73"/>
        <v>600</v>
      </c>
      <c r="EN12" s="2275">
        <f>+EK12/EI12*100</f>
        <v>100.63829787234042</v>
      </c>
      <c r="EO12" s="2275">
        <f t="shared" si="74"/>
        <v>-6000</v>
      </c>
      <c r="EP12" s="2275">
        <f>+EI12/EE12*100</f>
        <v>94</v>
      </c>
      <c r="EQ12" s="2275">
        <v>46000</v>
      </c>
      <c r="ER12" s="2275">
        <f>EQ12</f>
        <v>46000</v>
      </c>
      <c r="ES12" s="2276"/>
      <c r="ET12" s="2276">
        <f>ES12</f>
        <v>0</v>
      </c>
      <c r="EU12" s="2276">
        <f>1000+46800</f>
        <v>47800</v>
      </c>
      <c r="EV12" s="2276">
        <f>+EU12</f>
        <v>47800</v>
      </c>
      <c r="EW12" s="2275">
        <f>1500+50800-290</f>
        <v>52010</v>
      </c>
      <c r="EX12" s="2275">
        <f>EW12</f>
        <v>52010</v>
      </c>
      <c r="EY12" s="2275">
        <f t="shared" si="77"/>
        <v>4210</v>
      </c>
      <c r="EZ12" s="2275">
        <f>+EW12/EU12*100</f>
        <v>108.80753138075315</v>
      </c>
      <c r="FA12" s="2275">
        <f t="shared" si="78"/>
        <v>1800</v>
      </c>
      <c r="FB12" s="2275">
        <f>+EU12/EQ12*100</f>
        <v>103.91304347826087</v>
      </c>
      <c r="FC12" s="2278"/>
      <c r="FD12" s="2278"/>
      <c r="FE12" s="2279"/>
      <c r="FF12" s="2279"/>
    </row>
    <row r="13" spans="1:162" s="596" customFormat="1" ht="27" customHeight="1">
      <c r="A13" s="2274" t="s">
        <v>29</v>
      </c>
      <c r="B13" s="43" t="s">
        <v>8</v>
      </c>
      <c r="C13" s="2275">
        <f t="shared" si="79"/>
        <v>905790</v>
      </c>
      <c r="D13" s="2275">
        <f t="shared" si="79"/>
        <v>905790</v>
      </c>
      <c r="E13" s="2275">
        <f t="shared" si="79"/>
        <v>0</v>
      </c>
      <c r="F13" s="2275">
        <f t="shared" si="79"/>
        <v>0</v>
      </c>
      <c r="G13" s="2275">
        <f t="shared" si="79"/>
        <v>638089</v>
      </c>
      <c r="H13" s="2275">
        <f t="shared" si="80"/>
        <v>638089</v>
      </c>
      <c r="I13" s="2275">
        <f>SUM(U13,AG13,AS13,BE13,BQ13,CC13,CO13,DA13,DM13,DY13,EK13,EW13)</f>
        <v>720000</v>
      </c>
      <c r="J13" s="2275">
        <f t="shared" si="80"/>
        <v>720000</v>
      </c>
      <c r="K13" s="2277">
        <f>+I13-G13</f>
        <v>81911</v>
      </c>
      <c r="L13" s="2277">
        <f>+I13/G13*100</f>
        <v>112.8369240027645</v>
      </c>
      <c r="M13" s="2277">
        <f t="shared" si="32"/>
        <v>-267701</v>
      </c>
      <c r="N13" s="2277">
        <f t="shared" si="1"/>
        <v>70.445577893330679</v>
      </c>
      <c r="O13" s="2275">
        <v>4400</v>
      </c>
      <c r="P13" s="2275">
        <f>O13</f>
        <v>4400</v>
      </c>
      <c r="Q13" s="2275"/>
      <c r="R13" s="2275">
        <f>Q13</f>
        <v>0</v>
      </c>
      <c r="S13" s="2277">
        <f>0+4600</f>
        <v>4600</v>
      </c>
      <c r="T13" s="2277">
        <f>S13</f>
        <v>4600</v>
      </c>
      <c r="U13" s="2275">
        <f>0+4600</f>
        <v>4600</v>
      </c>
      <c r="V13" s="2275">
        <f>U13</f>
        <v>4600</v>
      </c>
      <c r="W13" s="2275">
        <f t="shared" si="35"/>
        <v>0</v>
      </c>
      <c r="X13" s="2275">
        <f>+U13/S13*100</f>
        <v>100</v>
      </c>
      <c r="Y13" s="2275">
        <f t="shared" si="36"/>
        <v>200</v>
      </c>
      <c r="Z13" s="2275">
        <f>+S13/O13*100</f>
        <v>104.54545454545455</v>
      </c>
      <c r="AA13" s="2275">
        <v>6180</v>
      </c>
      <c r="AB13" s="2275">
        <f>AA13</f>
        <v>6180</v>
      </c>
      <c r="AC13" s="2275"/>
      <c r="AD13" s="2275"/>
      <c r="AE13" s="2277">
        <f>2500+5300</f>
        <v>7800</v>
      </c>
      <c r="AF13" s="2277">
        <f>AE13</f>
        <v>7800</v>
      </c>
      <c r="AG13" s="2277">
        <f>3000+5500+2500</f>
        <v>11000</v>
      </c>
      <c r="AH13" s="2275">
        <f>+AG13</f>
        <v>11000</v>
      </c>
      <c r="AI13" s="2275">
        <f t="shared" si="39"/>
        <v>3200</v>
      </c>
      <c r="AJ13" s="2275">
        <f>+AG13/AE13*100</f>
        <v>141.02564102564102</v>
      </c>
      <c r="AK13" s="2275">
        <f t="shared" si="40"/>
        <v>1620</v>
      </c>
      <c r="AL13" s="2275">
        <f>+AE13/AA13*100</f>
        <v>126.21359223300972</v>
      </c>
      <c r="AM13" s="2275">
        <v>1000</v>
      </c>
      <c r="AN13" s="2275">
        <f>AM13</f>
        <v>1000</v>
      </c>
      <c r="AO13" s="2275"/>
      <c r="AP13" s="2275">
        <f>AO13</f>
        <v>0</v>
      </c>
      <c r="AQ13" s="2275">
        <f>949+1200</f>
        <v>2149</v>
      </c>
      <c r="AR13" s="2275">
        <f>+AQ13</f>
        <v>2149</v>
      </c>
      <c r="AS13" s="2275">
        <v>1400</v>
      </c>
      <c r="AT13" s="2275">
        <f>AS13</f>
        <v>1400</v>
      </c>
      <c r="AU13" s="2275">
        <f t="shared" si="43"/>
        <v>-749</v>
      </c>
      <c r="AV13" s="2275">
        <f>+AS13/AQ13*100</f>
        <v>65.146579804560261</v>
      </c>
      <c r="AW13" s="2275">
        <f t="shared" si="44"/>
        <v>1149</v>
      </c>
      <c r="AX13" s="2275">
        <f>+AQ13/AM13*100</f>
        <v>214.9</v>
      </c>
      <c r="AY13" s="2275">
        <v>7000</v>
      </c>
      <c r="AZ13" s="2275">
        <f>AY13</f>
        <v>7000</v>
      </c>
      <c r="BA13" s="2275"/>
      <c r="BB13" s="2275">
        <f>BA13</f>
        <v>0</v>
      </c>
      <c r="BC13" s="2275">
        <f>3000+3100</f>
        <v>6100</v>
      </c>
      <c r="BD13" s="2275">
        <f>BC13</f>
        <v>6100</v>
      </c>
      <c r="BE13" s="2275">
        <f>4000+3500+500</f>
        <v>8000</v>
      </c>
      <c r="BF13" s="2275">
        <f>BE13</f>
        <v>8000</v>
      </c>
      <c r="BG13" s="2275">
        <f t="shared" si="47"/>
        <v>1900</v>
      </c>
      <c r="BH13" s="2275">
        <f>+BE13/BC13*100</f>
        <v>131.14754098360655</v>
      </c>
      <c r="BI13" s="2275">
        <f t="shared" si="48"/>
        <v>-900</v>
      </c>
      <c r="BJ13" s="2275">
        <f>+BC13/AY13*100</f>
        <v>87.142857142857139</v>
      </c>
      <c r="BK13" s="2275">
        <v>83500</v>
      </c>
      <c r="BL13" s="2275">
        <f>BK13</f>
        <v>83500</v>
      </c>
      <c r="BM13" s="2275"/>
      <c r="BN13" s="2275">
        <f>BM13</f>
        <v>0</v>
      </c>
      <c r="BO13" s="2275">
        <v>45000</v>
      </c>
      <c r="BP13" s="2275">
        <f>+BO13</f>
        <v>45000</v>
      </c>
      <c r="BQ13" s="2275">
        <f>44200+6100-(3400)</f>
        <v>46900</v>
      </c>
      <c r="BR13" s="2275">
        <f>BQ13</f>
        <v>46900</v>
      </c>
      <c r="BS13" s="2275">
        <f t="shared" si="50"/>
        <v>1900</v>
      </c>
      <c r="BT13" s="2275">
        <f>+BQ13/BO13*100</f>
        <v>104.22222222222221</v>
      </c>
      <c r="BU13" s="2275">
        <f t="shared" si="51"/>
        <v>-38500</v>
      </c>
      <c r="BV13" s="2275">
        <f>+BO13/BK13*100</f>
        <v>53.892215568862277</v>
      </c>
      <c r="BW13" s="2275">
        <v>439600</v>
      </c>
      <c r="BX13" s="2275">
        <f>BW13</f>
        <v>439600</v>
      </c>
      <c r="BY13" s="2276"/>
      <c r="BZ13" s="2276">
        <f>BY13</f>
        <v>0</v>
      </c>
      <c r="CA13" s="2277">
        <v>371800</v>
      </c>
      <c r="CB13" s="2277">
        <f>+CA13</f>
        <v>371800</v>
      </c>
      <c r="CC13" s="2980">
        <f>325000+44000+(53000)</f>
        <v>422000</v>
      </c>
      <c r="CD13" s="2275">
        <f>CC13</f>
        <v>422000</v>
      </c>
      <c r="CE13" s="2275">
        <f t="shared" si="54"/>
        <v>50200</v>
      </c>
      <c r="CF13" s="2275">
        <f>+CC13/CA13*100</f>
        <v>113.50188273265196</v>
      </c>
      <c r="CG13" s="44">
        <f t="shared" si="55"/>
        <v>-67800</v>
      </c>
      <c r="CH13" s="2275">
        <f>+CA13/BW13*100</f>
        <v>84.576888080072791</v>
      </c>
      <c r="CI13" s="2275">
        <v>50000</v>
      </c>
      <c r="CJ13" s="2275">
        <f>CI13</f>
        <v>50000</v>
      </c>
      <c r="CK13" s="2276"/>
      <c r="CL13" s="2276">
        <f>CK13</f>
        <v>0</v>
      </c>
      <c r="CM13" s="2277">
        <v>23500</v>
      </c>
      <c r="CN13" s="2277">
        <f>+CM13</f>
        <v>23500</v>
      </c>
      <c r="CO13" s="2275">
        <f>23000+12000-7000</f>
        <v>28000</v>
      </c>
      <c r="CP13" s="2275">
        <f>CO13</f>
        <v>28000</v>
      </c>
      <c r="CQ13" s="2275">
        <f t="shared" si="57"/>
        <v>4500</v>
      </c>
      <c r="CR13" s="2275">
        <f>+CO13/CM13*100</f>
        <v>119.14893617021276</v>
      </c>
      <c r="CS13" s="2275">
        <f t="shared" si="58"/>
        <v>-26500</v>
      </c>
      <c r="CT13" s="2275">
        <f>+CM13/CI13*100</f>
        <v>47</v>
      </c>
      <c r="CU13" s="2275">
        <v>13650</v>
      </c>
      <c r="CV13" s="2275">
        <f>CU13</f>
        <v>13650</v>
      </c>
      <c r="CW13" s="2276"/>
      <c r="CX13" s="2276">
        <f>CW13</f>
        <v>0</v>
      </c>
      <c r="CY13" s="2277">
        <v>10050</v>
      </c>
      <c r="CZ13" s="2277">
        <f>+CY13</f>
        <v>10050</v>
      </c>
      <c r="DA13" s="2275">
        <f>4000+7700+1800</f>
        <v>13500</v>
      </c>
      <c r="DB13" s="2275">
        <f>DA13</f>
        <v>13500</v>
      </c>
      <c r="DC13" s="2275">
        <f t="shared" si="61"/>
        <v>3450</v>
      </c>
      <c r="DD13" s="2275">
        <f>+DA13/CY13*100</f>
        <v>134.32835820895522</v>
      </c>
      <c r="DE13" s="2275">
        <f t="shared" si="62"/>
        <v>-3600</v>
      </c>
      <c r="DF13" s="2275">
        <f>+CY13/CU13*100</f>
        <v>73.626373626373635</v>
      </c>
      <c r="DG13" s="2275">
        <v>99000</v>
      </c>
      <c r="DH13" s="2275">
        <f>DG13</f>
        <v>99000</v>
      </c>
      <c r="DI13" s="2276"/>
      <c r="DJ13" s="2276">
        <f>DI13</f>
        <v>0</v>
      </c>
      <c r="DK13" s="2276">
        <v>73700</v>
      </c>
      <c r="DL13" s="2276">
        <f>+DK13</f>
        <v>73700</v>
      </c>
      <c r="DM13" s="2276">
        <f>81000+20000-25000</f>
        <v>76000</v>
      </c>
      <c r="DN13" s="2276">
        <f>DM13</f>
        <v>76000</v>
      </c>
      <c r="DO13" s="2275">
        <f t="shared" si="65"/>
        <v>2300</v>
      </c>
      <c r="DP13" s="2275">
        <f>+DM13/DK13*100</f>
        <v>103.12075983717774</v>
      </c>
      <c r="DQ13" s="2275">
        <f t="shared" si="66"/>
        <v>-25300</v>
      </c>
      <c r="DR13" s="2275">
        <f>+DK13/DG13*100</f>
        <v>74.444444444444443</v>
      </c>
      <c r="DS13" s="2276">
        <v>16300</v>
      </c>
      <c r="DT13" s="2276">
        <f>DS13</f>
        <v>16300</v>
      </c>
      <c r="DU13" s="2276"/>
      <c r="DV13" s="2276">
        <f>DU13</f>
        <v>0</v>
      </c>
      <c r="DW13" s="2277">
        <v>24500</v>
      </c>
      <c r="DX13" s="2277">
        <f>+DW13</f>
        <v>24500</v>
      </c>
      <c r="DY13" s="2277">
        <f>38000+10500-21100</f>
        <v>27400</v>
      </c>
      <c r="DZ13" s="2277">
        <f>DY13</f>
        <v>27400</v>
      </c>
      <c r="EA13" s="2275">
        <f t="shared" si="69"/>
        <v>2900</v>
      </c>
      <c r="EB13" s="2275">
        <f>+DY13/DW13*100</f>
        <v>111.83673469387756</v>
      </c>
      <c r="EC13" s="2275">
        <f t="shared" si="70"/>
        <v>8200</v>
      </c>
      <c r="ED13" s="2275">
        <f>+DW13/DS13*100</f>
        <v>150.30674846625766</v>
      </c>
      <c r="EE13" s="2275">
        <v>151200</v>
      </c>
      <c r="EF13" s="2275">
        <f>EE13</f>
        <v>151200</v>
      </c>
      <c r="EG13" s="2276"/>
      <c r="EH13" s="2276">
        <f>EG13</f>
        <v>0</v>
      </c>
      <c r="EI13" s="2275">
        <v>57000</v>
      </c>
      <c r="EJ13" s="2275">
        <f>+EI13</f>
        <v>57000</v>
      </c>
      <c r="EK13" s="2277">
        <f>99400+18300-50200</f>
        <v>67500</v>
      </c>
      <c r="EL13" s="2277">
        <f>EK13</f>
        <v>67500</v>
      </c>
      <c r="EM13" s="2275">
        <f t="shared" si="73"/>
        <v>10500</v>
      </c>
      <c r="EN13" s="2275">
        <f>+EK13/EI13*100</f>
        <v>118.42105263157893</v>
      </c>
      <c r="EO13" s="2275">
        <f t="shared" si="74"/>
        <v>-94200</v>
      </c>
      <c r="EP13" s="2275">
        <f>+EI13/EE13*100</f>
        <v>37.698412698412696</v>
      </c>
      <c r="EQ13" s="2275">
        <v>33960</v>
      </c>
      <c r="ER13" s="2275">
        <f>EQ13</f>
        <v>33960</v>
      </c>
      <c r="ES13" s="2276"/>
      <c r="ET13" s="2276">
        <f>ES13</f>
        <v>0</v>
      </c>
      <c r="EU13" s="2276">
        <f>4890+7000</f>
        <v>11890</v>
      </c>
      <c r="EV13" s="2979">
        <f>+EU13</f>
        <v>11890</v>
      </c>
      <c r="EW13" s="2275">
        <f>5440+9000-740</f>
        <v>13700</v>
      </c>
      <c r="EX13" s="2275">
        <f>EW13</f>
        <v>13700</v>
      </c>
      <c r="EY13" s="2275">
        <f t="shared" si="77"/>
        <v>1810</v>
      </c>
      <c r="EZ13" s="2275">
        <f>+EW13/EU13*100</f>
        <v>115.22287636669471</v>
      </c>
      <c r="FA13" s="2275">
        <f t="shared" si="78"/>
        <v>-22070</v>
      </c>
      <c r="FB13" s="2275">
        <f>+EU13/EQ13*100</f>
        <v>35.011778563015312</v>
      </c>
      <c r="FC13" s="2278"/>
      <c r="FD13" s="2278"/>
      <c r="FE13" s="2279"/>
      <c r="FF13" s="2279"/>
    </row>
    <row r="14" spans="1:162" s="596" customFormat="1" ht="27" customHeight="1">
      <c r="A14" s="2274" t="s">
        <v>29</v>
      </c>
      <c r="B14" s="43" t="s">
        <v>9</v>
      </c>
      <c r="C14" s="2275">
        <f t="shared" si="79"/>
        <v>63450</v>
      </c>
      <c r="D14" s="2275">
        <f t="shared" si="79"/>
        <v>0</v>
      </c>
      <c r="E14" s="2275">
        <f t="shared" si="79"/>
        <v>0</v>
      </c>
      <c r="F14" s="2275">
        <f t="shared" si="79"/>
        <v>0</v>
      </c>
      <c r="G14" s="2275">
        <f t="shared" si="79"/>
        <v>24910</v>
      </c>
      <c r="H14" s="2275">
        <f t="shared" si="80"/>
        <v>0</v>
      </c>
      <c r="I14" s="2275">
        <f>SUM(U14,AG14,AS14,BE14,BQ14,CC14,CO14,DA14,DM14,DY14,EK14,EW14)</f>
        <v>28650</v>
      </c>
      <c r="J14" s="2275">
        <f t="shared" si="80"/>
        <v>0</v>
      </c>
      <c r="K14" s="2277">
        <f t="shared" si="30"/>
        <v>3740</v>
      </c>
      <c r="L14" s="2277">
        <f t="shared" si="31"/>
        <v>115.01405058209555</v>
      </c>
      <c r="M14" s="2277">
        <f t="shared" si="32"/>
        <v>-38540</v>
      </c>
      <c r="N14" s="2277">
        <f>+G14/C14*100</f>
        <v>39.25925925925926</v>
      </c>
      <c r="O14" s="2275">
        <v>0</v>
      </c>
      <c r="P14" s="2275">
        <v>0</v>
      </c>
      <c r="Q14" s="2275"/>
      <c r="R14" s="2275">
        <v>0</v>
      </c>
      <c r="S14" s="2277">
        <v>0</v>
      </c>
      <c r="T14" s="2277"/>
      <c r="U14" s="2275">
        <v>0</v>
      </c>
      <c r="V14" s="2275"/>
      <c r="W14" s="2275">
        <f t="shared" si="35"/>
        <v>0</v>
      </c>
      <c r="X14" s="2275"/>
      <c r="Y14" s="2275">
        <f t="shared" si="36"/>
        <v>0</v>
      </c>
      <c r="Z14" s="2275"/>
      <c r="AA14" s="2275">
        <v>800</v>
      </c>
      <c r="AB14" s="2275">
        <v>0</v>
      </c>
      <c r="AC14" s="2275"/>
      <c r="AD14" s="2275"/>
      <c r="AE14" s="2277">
        <v>560</v>
      </c>
      <c r="AF14" s="2277"/>
      <c r="AG14" s="2277">
        <f>0+300</f>
        <v>300</v>
      </c>
      <c r="AH14" s="2275"/>
      <c r="AI14" s="2275">
        <f t="shared" si="39"/>
        <v>-260</v>
      </c>
      <c r="AJ14" s="2275"/>
      <c r="AK14" s="2275">
        <f t="shared" si="40"/>
        <v>-240</v>
      </c>
      <c r="AL14" s="2275"/>
      <c r="AM14" s="2275">
        <v>50</v>
      </c>
      <c r="AN14" s="2275">
        <v>0</v>
      </c>
      <c r="AO14" s="2275"/>
      <c r="AP14" s="2275">
        <v>0</v>
      </c>
      <c r="AQ14" s="2275">
        <v>50</v>
      </c>
      <c r="AR14" s="2275">
        <v>0</v>
      </c>
      <c r="AS14" s="2275">
        <v>50</v>
      </c>
      <c r="AT14" s="2275">
        <v>0</v>
      </c>
      <c r="AU14" s="2275">
        <f t="shared" si="43"/>
        <v>0</v>
      </c>
      <c r="AV14" s="2275"/>
      <c r="AW14" s="2275">
        <f t="shared" si="44"/>
        <v>0</v>
      </c>
      <c r="AX14" s="2275"/>
      <c r="AY14" s="2275">
        <v>200</v>
      </c>
      <c r="AZ14" s="2275">
        <v>0</v>
      </c>
      <c r="BA14" s="2275"/>
      <c r="BB14" s="2275">
        <v>0</v>
      </c>
      <c r="BC14" s="2275">
        <f>0+200</f>
        <v>200</v>
      </c>
      <c r="BD14" s="2275"/>
      <c r="BE14" s="2275">
        <f>0+200</f>
        <v>200</v>
      </c>
      <c r="BF14" s="2275">
        <v>0</v>
      </c>
      <c r="BG14" s="2275">
        <f t="shared" si="47"/>
        <v>0</v>
      </c>
      <c r="BH14" s="2275"/>
      <c r="BI14" s="2275">
        <f t="shared" si="48"/>
        <v>0</v>
      </c>
      <c r="BJ14" s="2275"/>
      <c r="BK14" s="2275">
        <v>100</v>
      </c>
      <c r="BL14" s="2275">
        <v>0</v>
      </c>
      <c r="BM14" s="2275"/>
      <c r="BN14" s="2275">
        <v>0</v>
      </c>
      <c r="BO14" s="2275">
        <f>0+100</f>
        <v>100</v>
      </c>
      <c r="BP14" s="2275">
        <v>0</v>
      </c>
      <c r="BQ14" s="2275">
        <f>0+100</f>
        <v>100</v>
      </c>
      <c r="BR14" s="2275">
        <v>0</v>
      </c>
      <c r="BS14" s="2275">
        <f t="shared" si="50"/>
        <v>0</v>
      </c>
      <c r="BT14" s="2275"/>
      <c r="BU14" s="2275">
        <f t="shared" si="51"/>
        <v>0</v>
      </c>
      <c r="BV14" s="2275"/>
      <c r="BW14" s="2275">
        <v>61200</v>
      </c>
      <c r="BX14" s="2275">
        <v>0</v>
      </c>
      <c r="BY14" s="2276"/>
      <c r="BZ14" s="2276">
        <v>0</v>
      </c>
      <c r="CA14" s="2277">
        <v>22700</v>
      </c>
      <c r="CB14" s="2277">
        <v>0</v>
      </c>
      <c r="CC14" s="2275">
        <f>25000+1600</f>
        <v>26600</v>
      </c>
      <c r="CD14" s="2275">
        <v>0</v>
      </c>
      <c r="CE14" s="2275">
        <f t="shared" si="54"/>
        <v>3900</v>
      </c>
      <c r="CF14" s="2275"/>
      <c r="CG14" s="44">
        <f t="shared" si="55"/>
        <v>-38500</v>
      </c>
      <c r="CH14" s="2275"/>
      <c r="CI14" s="2275">
        <v>100</v>
      </c>
      <c r="CJ14" s="2275">
        <v>0</v>
      </c>
      <c r="CK14" s="2276"/>
      <c r="CL14" s="2276">
        <v>0</v>
      </c>
      <c r="CM14" s="2277">
        <f>0+100</f>
        <v>100</v>
      </c>
      <c r="CN14" s="2277">
        <v>0</v>
      </c>
      <c r="CO14" s="2275">
        <f>0+200</f>
        <v>200</v>
      </c>
      <c r="CP14" s="2275">
        <v>0</v>
      </c>
      <c r="CQ14" s="2275">
        <f t="shared" si="57"/>
        <v>100</v>
      </c>
      <c r="CR14" s="2275"/>
      <c r="CS14" s="2275">
        <f t="shared" si="58"/>
        <v>0</v>
      </c>
      <c r="CT14" s="2275"/>
      <c r="CU14" s="2275">
        <v>100</v>
      </c>
      <c r="CV14" s="2275">
        <v>0</v>
      </c>
      <c r="CW14" s="2276"/>
      <c r="CX14" s="2276">
        <v>0</v>
      </c>
      <c r="CY14" s="2277">
        <f>0+300</f>
        <v>300</v>
      </c>
      <c r="CZ14" s="2277">
        <v>0</v>
      </c>
      <c r="DA14" s="2275">
        <v>300</v>
      </c>
      <c r="DB14" s="2275">
        <v>0</v>
      </c>
      <c r="DC14" s="2275">
        <f t="shared" si="61"/>
        <v>0</v>
      </c>
      <c r="DD14" s="2275"/>
      <c r="DE14" s="2275">
        <f t="shared" si="62"/>
        <v>200</v>
      </c>
      <c r="DF14" s="2275"/>
      <c r="DG14" s="2275">
        <v>100</v>
      </c>
      <c r="DH14" s="2275">
        <v>0</v>
      </c>
      <c r="DI14" s="2276"/>
      <c r="DJ14" s="2276">
        <v>0</v>
      </c>
      <c r="DK14" s="2276">
        <f>0+100</f>
        <v>100</v>
      </c>
      <c r="DL14" s="2276">
        <v>0</v>
      </c>
      <c r="DM14" s="2276">
        <f>0+100</f>
        <v>100</v>
      </c>
      <c r="DN14" s="2276">
        <v>0</v>
      </c>
      <c r="DO14" s="2275">
        <f t="shared" si="65"/>
        <v>0</v>
      </c>
      <c r="DP14" s="2275"/>
      <c r="DQ14" s="2275">
        <f t="shared" si="66"/>
        <v>0</v>
      </c>
      <c r="DR14" s="2275"/>
      <c r="DS14" s="2275">
        <v>200</v>
      </c>
      <c r="DT14" s="2275">
        <v>0</v>
      </c>
      <c r="DU14" s="2276"/>
      <c r="DV14" s="2276">
        <v>0</v>
      </c>
      <c r="DW14" s="2277">
        <f>0+200</f>
        <v>200</v>
      </c>
      <c r="DX14" s="2277">
        <v>0</v>
      </c>
      <c r="DY14" s="2277">
        <f>0+200</f>
        <v>200</v>
      </c>
      <c r="DZ14" s="2277">
        <v>0</v>
      </c>
      <c r="EA14" s="2275">
        <f t="shared" si="69"/>
        <v>0</v>
      </c>
      <c r="EB14" s="2275"/>
      <c r="EC14" s="2275">
        <f t="shared" si="70"/>
        <v>0</v>
      </c>
      <c r="ED14" s="2275"/>
      <c r="EE14" s="2275">
        <v>500</v>
      </c>
      <c r="EF14" s="2275">
        <v>0</v>
      </c>
      <c r="EG14" s="2276"/>
      <c r="EH14" s="2276">
        <v>0</v>
      </c>
      <c r="EI14" s="2275">
        <f>0+500</f>
        <v>500</v>
      </c>
      <c r="EJ14" s="2275">
        <v>0</v>
      </c>
      <c r="EK14" s="2277">
        <f>0+500</f>
        <v>500</v>
      </c>
      <c r="EL14" s="2277">
        <v>0</v>
      </c>
      <c r="EM14" s="2275">
        <f t="shared" si="73"/>
        <v>0</v>
      </c>
      <c r="EN14" s="2275"/>
      <c r="EO14" s="2275">
        <f t="shared" si="74"/>
        <v>0</v>
      </c>
      <c r="EP14" s="2275"/>
      <c r="EQ14" s="2275">
        <v>100</v>
      </c>
      <c r="ER14" s="2275">
        <v>0</v>
      </c>
      <c r="ES14" s="2276"/>
      <c r="ET14" s="2276">
        <v>0</v>
      </c>
      <c r="EU14" s="2276">
        <f>0+100</f>
        <v>100</v>
      </c>
      <c r="EV14" s="2276">
        <v>0</v>
      </c>
      <c r="EW14" s="2275">
        <f>0+100</f>
        <v>100</v>
      </c>
      <c r="EX14" s="2275">
        <v>0</v>
      </c>
      <c r="EY14" s="2275">
        <f t="shared" si="77"/>
        <v>0</v>
      </c>
      <c r="EZ14" s="2275"/>
      <c r="FA14" s="2275">
        <f t="shared" si="78"/>
        <v>0</v>
      </c>
      <c r="FB14" s="2275"/>
      <c r="FC14" s="2278"/>
      <c r="FD14" s="2278"/>
      <c r="FE14" s="2279"/>
      <c r="FF14" s="2279"/>
    </row>
    <row r="15" spans="1:162" s="596" customFormat="1" ht="27" customHeight="1">
      <c r="A15" s="2274" t="s">
        <v>29</v>
      </c>
      <c r="B15" s="43" t="s">
        <v>10</v>
      </c>
      <c r="C15" s="2275">
        <f t="shared" si="79"/>
        <v>5970</v>
      </c>
      <c r="D15" s="2275">
        <f t="shared" si="79"/>
        <v>0</v>
      </c>
      <c r="E15" s="2275">
        <f t="shared" si="79"/>
        <v>0</v>
      </c>
      <c r="F15" s="2275">
        <f t="shared" si="79"/>
        <v>0</v>
      </c>
      <c r="G15" s="2275">
        <f t="shared" si="79"/>
        <v>44471</v>
      </c>
      <c r="H15" s="2275">
        <f t="shared" si="80"/>
        <v>0</v>
      </c>
      <c r="I15" s="2275">
        <f>SUM(U15,AG15,AS15,BE15,BQ15,CC15,CO15,DA15,DM15,DY15,EK15,EW15)</f>
        <v>44350</v>
      </c>
      <c r="J15" s="2275">
        <f t="shared" si="80"/>
        <v>0</v>
      </c>
      <c r="K15" s="2277">
        <f t="shared" si="30"/>
        <v>-121</v>
      </c>
      <c r="L15" s="2277">
        <f t="shared" si="31"/>
        <v>99.727912572238083</v>
      </c>
      <c r="M15" s="2277">
        <f t="shared" si="32"/>
        <v>38501</v>
      </c>
      <c r="N15" s="2277">
        <f t="shared" si="1"/>
        <v>744.90787269681744</v>
      </c>
      <c r="O15" s="2275">
        <v>1000</v>
      </c>
      <c r="P15" s="2275">
        <v>0</v>
      </c>
      <c r="Q15" s="2275"/>
      <c r="R15" s="2275">
        <v>0</v>
      </c>
      <c r="S15" s="2277">
        <v>9500</v>
      </c>
      <c r="T15" s="2277"/>
      <c r="U15" s="2275">
        <f>7900+2000</f>
        <v>9900</v>
      </c>
      <c r="V15" s="2275"/>
      <c r="W15" s="2275">
        <f t="shared" si="35"/>
        <v>400</v>
      </c>
      <c r="X15" s="2275"/>
      <c r="Y15" s="2275">
        <f t="shared" si="36"/>
        <v>8500</v>
      </c>
      <c r="Z15" s="2275"/>
      <c r="AA15" s="2275">
        <v>20</v>
      </c>
      <c r="AB15" s="2275">
        <v>0</v>
      </c>
      <c r="AC15" s="2275"/>
      <c r="AD15" s="2275"/>
      <c r="AE15" s="2277">
        <v>40</v>
      </c>
      <c r="AF15" s="2277"/>
      <c r="AG15" s="2277">
        <f>0+40</f>
        <v>40</v>
      </c>
      <c r="AH15" s="2275"/>
      <c r="AI15" s="2275">
        <f t="shared" si="39"/>
        <v>0</v>
      </c>
      <c r="AJ15" s="2275"/>
      <c r="AK15" s="2275">
        <f t="shared" si="40"/>
        <v>20</v>
      </c>
      <c r="AL15" s="2275"/>
      <c r="AM15" s="2275">
        <v>50</v>
      </c>
      <c r="AN15" s="2275">
        <v>0</v>
      </c>
      <c r="AO15" s="2275"/>
      <c r="AP15" s="2275">
        <v>0</v>
      </c>
      <c r="AQ15" s="2275">
        <f>1+50</f>
        <v>51</v>
      </c>
      <c r="AR15" s="2275">
        <v>0</v>
      </c>
      <c r="AS15" s="2275">
        <v>50</v>
      </c>
      <c r="AT15" s="2275">
        <v>0</v>
      </c>
      <c r="AU15" s="2275">
        <f t="shared" si="43"/>
        <v>-1</v>
      </c>
      <c r="AV15" s="2275"/>
      <c r="AW15" s="2275">
        <f t="shared" si="44"/>
        <v>1</v>
      </c>
      <c r="AX15" s="2275"/>
      <c r="AY15" s="2275">
        <v>500</v>
      </c>
      <c r="AZ15" s="2275">
        <v>0</v>
      </c>
      <c r="BA15" s="2275"/>
      <c r="BB15" s="2275">
        <v>0</v>
      </c>
      <c r="BC15" s="2275">
        <f>300+200</f>
        <v>500</v>
      </c>
      <c r="BD15" s="2275"/>
      <c r="BE15" s="2275">
        <f>300+200</f>
        <v>500</v>
      </c>
      <c r="BF15" s="2275">
        <v>0</v>
      </c>
      <c r="BG15" s="2275">
        <f t="shared" si="47"/>
        <v>0</v>
      </c>
      <c r="BH15" s="2275"/>
      <c r="BI15" s="2275">
        <f t="shared" si="48"/>
        <v>0</v>
      </c>
      <c r="BJ15" s="2275"/>
      <c r="BK15" s="2275">
        <v>300</v>
      </c>
      <c r="BL15" s="2275">
        <v>0</v>
      </c>
      <c r="BM15" s="2275"/>
      <c r="BN15" s="2275">
        <v>0</v>
      </c>
      <c r="BO15" s="2275">
        <f>100+200</f>
        <v>300</v>
      </c>
      <c r="BP15" s="2275">
        <v>0</v>
      </c>
      <c r="BQ15" s="2275">
        <f>100+200</f>
        <v>300</v>
      </c>
      <c r="BR15" s="2275">
        <v>0</v>
      </c>
      <c r="BS15" s="2275">
        <f t="shared" si="50"/>
        <v>0</v>
      </c>
      <c r="BT15" s="2275"/>
      <c r="BU15" s="2275">
        <f t="shared" si="51"/>
        <v>0</v>
      </c>
      <c r="BV15" s="2275"/>
      <c r="BW15" s="2275">
        <v>600</v>
      </c>
      <c r="BX15" s="2275">
        <v>0</v>
      </c>
      <c r="BY15" s="2276"/>
      <c r="BZ15" s="2276">
        <v>0</v>
      </c>
      <c r="CA15" s="2277">
        <v>24350</v>
      </c>
      <c r="CB15" s="2277">
        <v>0</v>
      </c>
      <c r="CC15" s="2275">
        <f>25000+200</f>
        <v>25200</v>
      </c>
      <c r="CD15" s="2275">
        <v>0</v>
      </c>
      <c r="CE15" s="2275">
        <f t="shared" si="54"/>
        <v>850</v>
      </c>
      <c r="CF15" s="2275"/>
      <c r="CG15" s="44">
        <f t="shared" si="55"/>
        <v>23750</v>
      </c>
      <c r="CH15" s="2275"/>
      <c r="CI15" s="2275">
        <v>510</v>
      </c>
      <c r="CJ15" s="2275">
        <v>0</v>
      </c>
      <c r="CK15" s="2276"/>
      <c r="CL15" s="2276">
        <v>0</v>
      </c>
      <c r="CM15" s="2277">
        <v>4400</v>
      </c>
      <c r="CN15" s="2277">
        <v>0</v>
      </c>
      <c r="CO15" s="2275">
        <v>2600</v>
      </c>
      <c r="CP15" s="2275">
        <v>0</v>
      </c>
      <c r="CQ15" s="2275">
        <f t="shared" si="57"/>
        <v>-1800</v>
      </c>
      <c r="CR15" s="2275"/>
      <c r="CS15" s="2275">
        <f t="shared" si="58"/>
        <v>3890</v>
      </c>
      <c r="CT15" s="2275"/>
      <c r="CU15" s="2275">
        <v>350</v>
      </c>
      <c r="CV15" s="2275">
        <v>0</v>
      </c>
      <c r="CW15" s="2276"/>
      <c r="CX15" s="2276">
        <v>0</v>
      </c>
      <c r="CY15" s="2277">
        <f>50+300</f>
        <v>350</v>
      </c>
      <c r="CZ15" s="2277">
        <v>0</v>
      </c>
      <c r="DA15" s="2275">
        <v>550</v>
      </c>
      <c r="DB15" s="2275">
        <v>0</v>
      </c>
      <c r="DC15" s="2275">
        <f t="shared" si="61"/>
        <v>200</v>
      </c>
      <c r="DD15" s="2275"/>
      <c r="DE15" s="2275">
        <f t="shared" si="62"/>
        <v>0</v>
      </c>
      <c r="DF15" s="2275"/>
      <c r="DG15" s="2275">
        <v>600</v>
      </c>
      <c r="DH15" s="2275">
        <v>0</v>
      </c>
      <c r="DI15" s="2276"/>
      <c r="DJ15" s="2276">
        <v>0</v>
      </c>
      <c r="DK15" s="2276">
        <f>3000+200</f>
        <v>3200</v>
      </c>
      <c r="DL15" s="2276">
        <v>0</v>
      </c>
      <c r="DM15" s="2276">
        <f>3000+200</f>
        <v>3200</v>
      </c>
      <c r="DN15" s="2276">
        <v>0</v>
      </c>
      <c r="DO15" s="2275">
        <f t="shared" si="65"/>
        <v>0</v>
      </c>
      <c r="DP15" s="2275"/>
      <c r="DQ15" s="2275">
        <f t="shared" si="66"/>
        <v>2600</v>
      </c>
      <c r="DR15" s="2275"/>
      <c r="DS15" s="2275">
        <v>1400</v>
      </c>
      <c r="DT15" s="2275">
        <v>0</v>
      </c>
      <c r="DU15" s="2276"/>
      <c r="DV15" s="2276">
        <v>0</v>
      </c>
      <c r="DW15" s="2277">
        <f>20+1100</f>
        <v>1120</v>
      </c>
      <c r="DX15" s="2277">
        <v>0</v>
      </c>
      <c r="DY15" s="2277">
        <f>20+1400</f>
        <v>1420</v>
      </c>
      <c r="DZ15" s="2277">
        <v>0</v>
      </c>
      <c r="EA15" s="2275">
        <f t="shared" si="69"/>
        <v>300</v>
      </c>
      <c r="EB15" s="2275"/>
      <c r="EC15" s="2275">
        <f t="shared" si="70"/>
        <v>-280</v>
      </c>
      <c r="ED15" s="2275"/>
      <c r="EE15" s="2275">
        <v>500</v>
      </c>
      <c r="EF15" s="2275">
        <v>0</v>
      </c>
      <c r="EG15" s="2276"/>
      <c r="EH15" s="2276">
        <v>0</v>
      </c>
      <c r="EI15" s="2275">
        <f>300+200</f>
        <v>500</v>
      </c>
      <c r="EJ15" s="2275">
        <v>0</v>
      </c>
      <c r="EK15" s="2277">
        <f>200+200</f>
        <v>400</v>
      </c>
      <c r="EL15" s="2277">
        <v>0</v>
      </c>
      <c r="EM15" s="2275">
        <f t="shared" si="73"/>
        <v>-100</v>
      </c>
      <c r="EN15" s="2275"/>
      <c r="EO15" s="2275">
        <f t="shared" si="74"/>
        <v>0</v>
      </c>
      <c r="EP15" s="2275"/>
      <c r="EQ15" s="2275">
        <v>140</v>
      </c>
      <c r="ER15" s="2275">
        <v>0</v>
      </c>
      <c r="ES15" s="2276"/>
      <c r="ET15" s="2276">
        <v>0</v>
      </c>
      <c r="EU15" s="2276">
        <f>60+100</f>
        <v>160</v>
      </c>
      <c r="EV15" s="2276">
        <v>0</v>
      </c>
      <c r="EW15" s="2275">
        <v>190</v>
      </c>
      <c r="EX15" s="2275">
        <v>0</v>
      </c>
      <c r="EY15" s="2275">
        <f t="shared" si="77"/>
        <v>30</v>
      </c>
      <c r="EZ15" s="2275"/>
      <c r="FA15" s="2275">
        <f t="shared" si="78"/>
        <v>20</v>
      </c>
      <c r="FB15" s="2275"/>
      <c r="FC15" s="2278"/>
      <c r="FD15" s="2278"/>
      <c r="FE15" s="2279"/>
      <c r="FF15" s="2279"/>
    </row>
    <row r="16" spans="1:162" s="596" customFormat="1" ht="27" customHeight="1">
      <c r="A16" s="2274" t="s">
        <v>29</v>
      </c>
      <c r="B16" s="43" t="s">
        <v>16</v>
      </c>
      <c r="C16" s="2275">
        <f t="shared" si="79"/>
        <v>1500</v>
      </c>
      <c r="D16" s="2275">
        <f t="shared" si="79"/>
        <v>0</v>
      </c>
      <c r="E16" s="2275">
        <f t="shared" si="79"/>
        <v>0</v>
      </c>
      <c r="F16" s="2275">
        <f t="shared" si="79"/>
        <v>0</v>
      </c>
      <c r="G16" s="2275">
        <f t="shared" si="79"/>
        <v>90</v>
      </c>
      <c r="H16" s="2275">
        <f t="shared" si="80"/>
        <v>0</v>
      </c>
      <c r="I16" s="2275">
        <f t="shared" si="80"/>
        <v>0</v>
      </c>
      <c r="J16" s="2275">
        <f t="shared" si="80"/>
        <v>0</v>
      </c>
      <c r="K16" s="2277">
        <f>+I16-G16</f>
        <v>-90</v>
      </c>
      <c r="L16" s="2277">
        <f t="shared" si="31"/>
        <v>0</v>
      </c>
      <c r="M16" s="2277">
        <f t="shared" si="32"/>
        <v>-1410</v>
      </c>
      <c r="N16" s="2277">
        <f t="shared" si="1"/>
        <v>6</v>
      </c>
      <c r="O16" s="2275">
        <v>0</v>
      </c>
      <c r="P16" s="2275">
        <f>O16</f>
        <v>0</v>
      </c>
      <c r="Q16" s="2275"/>
      <c r="R16" s="2275">
        <f>Q16</f>
        <v>0</v>
      </c>
      <c r="S16" s="2275">
        <v>40</v>
      </c>
      <c r="T16" s="2275"/>
      <c r="U16" s="2275"/>
      <c r="V16" s="2275"/>
      <c r="W16" s="2275">
        <f t="shared" si="35"/>
        <v>-40</v>
      </c>
      <c r="X16" s="2275"/>
      <c r="Y16" s="2275">
        <f t="shared" si="36"/>
        <v>40</v>
      </c>
      <c r="Z16" s="2275"/>
      <c r="AA16" s="2275">
        <v>1500</v>
      </c>
      <c r="AB16" s="2275">
        <v>0</v>
      </c>
      <c r="AC16" s="2275"/>
      <c r="AD16" s="2275"/>
      <c r="AE16" s="2277"/>
      <c r="AF16" s="2277"/>
      <c r="AG16" s="2277"/>
      <c r="AH16" s="2275">
        <f>+AG16</f>
        <v>0</v>
      </c>
      <c r="AI16" s="2275">
        <f t="shared" si="39"/>
        <v>0</v>
      </c>
      <c r="AJ16" s="2275"/>
      <c r="AK16" s="2275">
        <f t="shared" si="40"/>
        <v>-1500</v>
      </c>
      <c r="AL16" s="2275"/>
      <c r="AM16" s="2275">
        <v>0</v>
      </c>
      <c r="AN16" s="2275">
        <f>AM16</f>
        <v>0</v>
      </c>
      <c r="AO16" s="2275"/>
      <c r="AP16" s="2275">
        <f>AO16</f>
        <v>0</v>
      </c>
      <c r="AQ16" s="2275"/>
      <c r="AR16" s="2275">
        <f>+AQ16</f>
        <v>0</v>
      </c>
      <c r="AS16" s="2275">
        <v>0</v>
      </c>
      <c r="AT16" s="2275">
        <f>AS16</f>
        <v>0</v>
      </c>
      <c r="AU16" s="2275">
        <f t="shared" si="43"/>
        <v>0</v>
      </c>
      <c r="AV16" s="2275"/>
      <c r="AW16" s="2275">
        <f t="shared" si="44"/>
        <v>0</v>
      </c>
      <c r="AX16" s="2275"/>
      <c r="AY16" s="2275">
        <v>0</v>
      </c>
      <c r="AZ16" s="2275">
        <f>AY16</f>
        <v>0</v>
      </c>
      <c r="BA16" s="2275">
        <v>0</v>
      </c>
      <c r="BB16" s="2275">
        <f>BA16</f>
        <v>0</v>
      </c>
      <c r="BC16" s="2275"/>
      <c r="BD16" s="2275">
        <f>+BC16</f>
        <v>0</v>
      </c>
      <c r="BE16" s="2275">
        <v>0</v>
      </c>
      <c r="BF16" s="2275">
        <f>BE16</f>
        <v>0</v>
      </c>
      <c r="BG16" s="2275">
        <f t="shared" si="47"/>
        <v>0</v>
      </c>
      <c r="BH16" s="2275"/>
      <c r="BI16" s="2275">
        <f t="shared" si="48"/>
        <v>0</v>
      </c>
      <c r="BJ16" s="2275"/>
      <c r="BK16" s="2275">
        <v>0</v>
      </c>
      <c r="BL16" s="2275">
        <f>BK16</f>
        <v>0</v>
      </c>
      <c r="BM16" s="2275"/>
      <c r="BN16" s="2275">
        <f>BM16</f>
        <v>0</v>
      </c>
      <c r="BO16" s="2275">
        <v>0</v>
      </c>
      <c r="BP16" s="2275">
        <f>+BO16</f>
        <v>0</v>
      </c>
      <c r="BQ16" s="2275"/>
      <c r="BR16" s="2275">
        <f>BQ16</f>
        <v>0</v>
      </c>
      <c r="BS16" s="2275">
        <f t="shared" si="50"/>
        <v>0</v>
      </c>
      <c r="BT16" s="2275"/>
      <c r="BU16" s="2275">
        <f t="shared" si="51"/>
        <v>0</v>
      </c>
      <c r="BV16" s="2275"/>
      <c r="BW16" s="2275">
        <v>0</v>
      </c>
      <c r="BX16" s="2275">
        <f>BW16</f>
        <v>0</v>
      </c>
      <c r="BY16" s="2276">
        <v>0</v>
      </c>
      <c r="BZ16" s="2276">
        <f>BY16</f>
        <v>0</v>
      </c>
      <c r="CA16" s="2277">
        <v>0</v>
      </c>
      <c r="CB16" s="2277">
        <f>+CA16</f>
        <v>0</v>
      </c>
      <c r="CC16" s="2275">
        <v>0</v>
      </c>
      <c r="CD16" s="2275">
        <f>CC16</f>
        <v>0</v>
      </c>
      <c r="CE16" s="2275">
        <f t="shared" si="54"/>
        <v>0</v>
      </c>
      <c r="CF16" s="2275"/>
      <c r="CG16" s="44">
        <f t="shared" si="55"/>
        <v>0</v>
      </c>
      <c r="CH16" s="2275"/>
      <c r="CI16" s="2275">
        <v>0</v>
      </c>
      <c r="CJ16" s="2275">
        <f>CI16</f>
        <v>0</v>
      </c>
      <c r="CK16" s="2276"/>
      <c r="CL16" s="2276">
        <f>CK16</f>
        <v>0</v>
      </c>
      <c r="CM16" s="2277">
        <v>0</v>
      </c>
      <c r="CN16" s="2277">
        <f>+CM16</f>
        <v>0</v>
      </c>
      <c r="CO16" s="2275">
        <v>0</v>
      </c>
      <c r="CP16" s="2275">
        <f>CO16</f>
        <v>0</v>
      </c>
      <c r="CQ16" s="2275">
        <f t="shared" si="57"/>
        <v>0</v>
      </c>
      <c r="CR16" s="2275"/>
      <c r="CS16" s="2275">
        <f t="shared" si="58"/>
        <v>0</v>
      </c>
      <c r="CT16" s="2275"/>
      <c r="CU16" s="2275">
        <v>0</v>
      </c>
      <c r="CV16" s="2275">
        <f>CU16</f>
        <v>0</v>
      </c>
      <c r="CW16" s="2276">
        <v>0</v>
      </c>
      <c r="CX16" s="2276">
        <f>CW16</f>
        <v>0</v>
      </c>
      <c r="CY16" s="2277">
        <v>0</v>
      </c>
      <c r="CZ16" s="2277">
        <f>+CY16</f>
        <v>0</v>
      </c>
      <c r="DA16" s="2277">
        <v>0</v>
      </c>
      <c r="DB16" s="2277">
        <f>DA16</f>
        <v>0</v>
      </c>
      <c r="DC16" s="2275">
        <f t="shared" si="61"/>
        <v>0</v>
      </c>
      <c r="DD16" s="2275"/>
      <c r="DE16" s="2275">
        <f t="shared" si="62"/>
        <v>0</v>
      </c>
      <c r="DF16" s="2275"/>
      <c r="DG16" s="2275">
        <v>0</v>
      </c>
      <c r="DH16" s="2275">
        <f>DG16</f>
        <v>0</v>
      </c>
      <c r="DI16" s="2276"/>
      <c r="DJ16" s="2276">
        <f>DI16</f>
        <v>0</v>
      </c>
      <c r="DK16" s="2276">
        <v>0</v>
      </c>
      <c r="DL16" s="2276">
        <f>+DK16</f>
        <v>0</v>
      </c>
      <c r="DM16" s="2276">
        <v>0</v>
      </c>
      <c r="DN16" s="2276">
        <f>DM16</f>
        <v>0</v>
      </c>
      <c r="DO16" s="2275">
        <f t="shared" si="65"/>
        <v>0</v>
      </c>
      <c r="DP16" s="2275"/>
      <c r="DQ16" s="2275">
        <f t="shared" si="66"/>
        <v>0</v>
      </c>
      <c r="DR16" s="2275"/>
      <c r="DS16" s="2275">
        <v>0</v>
      </c>
      <c r="DT16" s="2275">
        <f>DS16</f>
        <v>0</v>
      </c>
      <c r="DU16" s="2276">
        <v>0</v>
      </c>
      <c r="DV16" s="2276">
        <f>DU16</f>
        <v>0</v>
      </c>
      <c r="DW16" s="2277">
        <v>0</v>
      </c>
      <c r="DX16" s="2277">
        <f>+DW16</f>
        <v>0</v>
      </c>
      <c r="DY16" s="2277">
        <v>0</v>
      </c>
      <c r="DZ16" s="2277">
        <f>DY16</f>
        <v>0</v>
      </c>
      <c r="EA16" s="2275">
        <f t="shared" si="69"/>
        <v>0</v>
      </c>
      <c r="EB16" s="2275"/>
      <c r="EC16" s="2275">
        <f t="shared" si="70"/>
        <v>0</v>
      </c>
      <c r="ED16" s="2275"/>
      <c r="EE16" s="2275">
        <v>0</v>
      </c>
      <c r="EF16" s="2275">
        <f>EE16</f>
        <v>0</v>
      </c>
      <c r="EG16" s="2276">
        <v>0</v>
      </c>
      <c r="EH16" s="2276">
        <f>EG16</f>
        <v>0</v>
      </c>
      <c r="EI16" s="2275">
        <v>0</v>
      </c>
      <c r="EJ16" s="2275"/>
      <c r="EK16" s="2277"/>
      <c r="EL16" s="2277">
        <f>EK16</f>
        <v>0</v>
      </c>
      <c r="EM16" s="2275">
        <f t="shared" si="73"/>
        <v>0</v>
      </c>
      <c r="EN16" s="2275"/>
      <c r="EO16" s="2275">
        <f t="shared" si="74"/>
        <v>0</v>
      </c>
      <c r="EP16" s="2275"/>
      <c r="EQ16" s="2275">
        <v>0</v>
      </c>
      <c r="ER16" s="2275">
        <f>EQ16</f>
        <v>0</v>
      </c>
      <c r="ES16" s="2276">
        <v>0</v>
      </c>
      <c r="ET16" s="2276">
        <f>ES16</f>
        <v>0</v>
      </c>
      <c r="EU16" s="2275">
        <f>50+0</f>
        <v>50</v>
      </c>
      <c r="EV16" s="2275"/>
      <c r="EW16" s="2275">
        <v>0</v>
      </c>
      <c r="EX16" s="2275">
        <f>EW16</f>
        <v>0</v>
      </c>
      <c r="EY16" s="2275">
        <f t="shared" si="77"/>
        <v>-50</v>
      </c>
      <c r="EZ16" s="2275"/>
      <c r="FA16" s="2275">
        <f t="shared" si="78"/>
        <v>50</v>
      </c>
      <c r="FB16" s="2275"/>
      <c r="FC16" s="2278"/>
      <c r="FD16" s="2278"/>
      <c r="FE16" s="2279"/>
      <c r="FF16" s="2279"/>
    </row>
    <row r="17" spans="1:162" s="2273" customFormat="1">
      <c r="A17" s="2265">
        <v>2</v>
      </c>
      <c r="B17" s="2266" t="s">
        <v>20</v>
      </c>
      <c r="C17" s="2267">
        <f t="shared" si="79"/>
        <v>322000</v>
      </c>
      <c r="D17" s="2267">
        <f t="shared" si="79"/>
        <v>322000</v>
      </c>
      <c r="E17" s="2267">
        <f t="shared" si="79"/>
        <v>0</v>
      </c>
      <c r="F17" s="2267">
        <f t="shared" si="79"/>
        <v>0</v>
      </c>
      <c r="G17" s="2267">
        <f t="shared" si="79"/>
        <v>317500</v>
      </c>
      <c r="H17" s="2267">
        <f t="shared" si="80"/>
        <v>317500</v>
      </c>
      <c r="I17" s="2267">
        <f t="shared" si="80"/>
        <v>353000</v>
      </c>
      <c r="J17" s="2267">
        <f t="shared" si="80"/>
        <v>353000</v>
      </c>
      <c r="K17" s="2268">
        <f t="shared" si="30"/>
        <v>35500</v>
      </c>
      <c r="L17" s="2268">
        <f t="shared" si="31"/>
        <v>111.18110236220473</v>
      </c>
      <c r="M17" s="2268">
        <f t="shared" si="32"/>
        <v>-4500</v>
      </c>
      <c r="N17" s="2268">
        <f t="shared" si="1"/>
        <v>98.602484472049696</v>
      </c>
      <c r="O17" s="2267">
        <f>SUM(O18:O19)</f>
        <v>12000</v>
      </c>
      <c r="P17" s="2267">
        <f t="shared" ref="P17:U17" si="81">SUM(P18:P19)</f>
        <v>12000</v>
      </c>
      <c r="Q17" s="2267">
        <f t="shared" si="81"/>
        <v>0</v>
      </c>
      <c r="R17" s="2267">
        <f t="shared" si="81"/>
        <v>0</v>
      </c>
      <c r="S17" s="2267">
        <f t="shared" si="81"/>
        <v>10000</v>
      </c>
      <c r="T17" s="2267">
        <f t="shared" si="81"/>
        <v>10000</v>
      </c>
      <c r="U17" s="2267">
        <f t="shared" si="81"/>
        <v>11000</v>
      </c>
      <c r="V17" s="2267">
        <f>SUM(V18:V19)</f>
        <v>11000</v>
      </c>
      <c r="W17" s="2267">
        <f>SUM(W18:W19)</f>
        <v>1000</v>
      </c>
      <c r="X17" s="2267">
        <f>U17/S17*100</f>
        <v>110.00000000000001</v>
      </c>
      <c r="Y17" s="2267">
        <f>SUM(Y18:Y19)</f>
        <v>-2000</v>
      </c>
      <c r="Z17" s="2275">
        <f>S17/O17*100</f>
        <v>83.333333333333343</v>
      </c>
      <c r="AA17" s="2267">
        <f>SUM(AA18:AA19)</f>
        <v>20000</v>
      </c>
      <c r="AB17" s="2267">
        <f t="shared" ref="AB17:AG17" si="82">SUM(AB18:AB19)</f>
        <v>20000</v>
      </c>
      <c r="AC17" s="2267">
        <f t="shared" si="82"/>
        <v>0</v>
      </c>
      <c r="AD17" s="2267">
        <f t="shared" si="82"/>
        <v>0</v>
      </c>
      <c r="AE17" s="2268">
        <f t="shared" si="82"/>
        <v>19000</v>
      </c>
      <c r="AF17" s="2268">
        <f t="shared" si="82"/>
        <v>19000</v>
      </c>
      <c r="AG17" s="2267">
        <f t="shared" si="82"/>
        <v>21000</v>
      </c>
      <c r="AH17" s="2267">
        <f>SUM(AH18:AH19)</f>
        <v>21000</v>
      </c>
      <c r="AI17" s="2267">
        <f>SUM(AI18:AI19)</f>
        <v>2000</v>
      </c>
      <c r="AJ17" s="2267">
        <f>AG17/AE17*100</f>
        <v>110.5263157894737</v>
      </c>
      <c r="AK17" s="2267">
        <f>SUM(AK18:AK19)</f>
        <v>-1000</v>
      </c>
      <c r="AL17" s="2275">
        <f>AE17/AA17*100</f>
        <v>95</v>
      </c>
      <c r="AM17" s="2267">
        <f>SUM(AM18:AM19)</f>
        <v>15000</v>
      </c>
      <c r="AN17" s="2267">
        <f t="shared" ref="AN17:AS17" si="83">SUM(AN18:AN19)</f>
        <v>15000</v>
      </c>
      <c r="AO17" s="2267">
        <f t="shared" si="83"/>
        <v>0</v>
      </c>
      <c r="AP17" s="2267">
        <f t="shared" si="83"/>
        <v>0</v>
      </c>
      <c r="AQ17" s="2267">
        <f t="shared" si="83"/>
        <v>13000</v>
      </c>
      <c r="AR17" s="2267">
        <f t="shared" si="83"/>
        <v>13000</v>
      </c>
      <c r="AS17" s="2267">
        <f t="shared" si="83"/>
        <v>15000</v>
      </c>
      <c r="AT17" s="2267">
        <f>SUM(AT18:AT19)</f>
        <v>15000</v>
      </c>
      <c r="AU17" s="2267">
        <f>SUM(AU18:AU19)</f>
        <v>2000</v>
      </c>
      <c r="AV17" s="2267">
        <f>AS17/AQ17*100</f>
        <v>115.38461538461537</v>
      </c>
      <c r="AW17" s="2267">
        <f>SUM(AW18:AW19)</f>
        <v>-2000</v>
      </c>
      <c r="AX17" s="2275">
        <f>AQ17/AM17*100</f>
        <v>86.666666666666671</v>
      </c>
      <c r="AY17" s="2267">
        <f>SUM(AY18:AY19)</f>
        <v>18000</v>
      </c>
      <c r="AZ17" s="2267">
        <f t="shared" ref="AZ17:BE17" si="84">SUM(AZ18:AZ19)</f>
        <v>18000</v>
      </c>
      <c r="BA17" s="2267">
        <f t="shared" si="84"/>
        <v>0</v>
      </c>
      <c r="BB17" s="2267">
        <f t="shared" si="84"/>
        <v>0</v>
      </c>
      <c r="BC17" s="2267">
        <f t="shared" si="84"/>
        <v>16000</v>
      </c>
      <c r="BD17" s="2267">
        <f t="shared" si="84"/>
        <v>16000</v>
      </c>
      <c r="BE17" s="2267">
        <f t="shared" si="84"/>
        <v>18000</v>
      </c>
      <c r="BF17" s="2267">
        <f>SUM(BF18:BF19)</f>
        <v>18000</v>
      </c>
      <c r="BG17" s="2267">
        <f>SUM(BG18:BG19)</f>
        <v>2000</v>
      </c>
      <c r="BH17" s="2267">
        <f>BE17/BC17*100</f>
        <v>112.5</v>
      </c>
      <c r="BI17" s="2267">
        <f>SUM(BI18:BI19)</f>
        <v>-2000</v>
      </c>
      <c r="BJ17" s="2275">
        <f>BC17/AY17*100</f>
        <v>88.888888888888886</v>
      </c>
      <c r="BK17" s="2267">
        <f>SUM(BK18:BK19)</f>
        <v>17000</v>
      </c>
      <c r="BL17" s="2267">
        <f t="shared" ref="BL17:BQ17" si="85">SUM(BL18:BL19)</f>
        <v>17000</v>
      </c>
      <c r="BM17" s="2267">
        <f t="shared" si="85"/>
        <v>0</v>
      </c>
      <c r="BN17" s="2267">
        <f t="shared" si="85"/>
        <v>0</v>
      </c>
      <c r="BO17" s="2267">
        <f t="shared" si="85"/>
        <v>14000</v>
      </c>
      <c r="BP17" s="2267">
        <f t="shared" si="85"/>
        <v>14000</v>
      </c>
      <c r="BQ17" s="2267">
        <f t="shared" si="85"/>
        <v>17000</v>
      </c>
      <c r="BR17" s="2267">
        <f>SUM(BR18:BR19)</f>
        <v>17000</v>
      </c>
      <c r="BS17" s="2267">
        <f>SUM(BS18:BS19)</f>
        <v>3000</v>
      </c>
      <c r="BT17" s="2267">
        <f>BQ17/BO17*100</f>
        <v>121.42857142857142</v>
      </c>
      <c r="BU17" s="2267">
        <f>SUM(BU18:BU19)</f>
        <v>-3000</v>
      </c>
      <c r="BV17" s="2275">
        <f>BO17/BK17*100</f>
        <v>82.35294117647058</v>
      </c>
      <c r="BW17" s="2267">
        <f>SUM(BW18:BW19)</f>
        <v>70000</v>
      </c>
      <c r="BX17" s="2267">
        <f t="shared" ref="BX17:CC17" si="86">SUM(BX18:BX19)</f>
        <v>70000</v>
      </c>
      <c r="BY17" s="2269">
        <f t="shared" si="86"/>
        <v>0</v>
      </c>
      <c r="BZ17" s="2269">
        <f t="shared" si="86"/>
        <v>0</v>
      </c>
      <c r="CA17" s="2268">
        <f t="shared" si="86"/>
        <v>70000</v>
      </c>
      <c r="CB17" s="2268">
        <f t="shared" si="86"/>
        <v>70000</v>
      </c>
      <c r="CC17" s="2267">
        <f t="shared" si="86"/>
        <v>80000</v>
      </c>
      <c r="CD17" s="2267">
        <f>SUM(CD18:CD19)</f>
        <v>80000</v>
      </c>
      <c r="CE17" s="2267">
        <f>SUM(CE18:CE19)</f>
        <v>10000</v>
      </c>
      <c r="CF17" s="2267">
        <f>CC17/CA17*100</f>
        <v>114.28571428571428</v>
      </c>
      <c r="CG17" s="2270">
        <f>SUM(CG18:CG19)</f>
        <v>0</v>
      </c>
      <c r="CH17" s="2275">
        <f>CA17/BW17*100</f>
        <v>100</v>
      </c>
      <c r="CI17" s="2267">
        <f>SUM(CI18:CI19)</f>
        <v>32000</v>
      </c>
      <c r="CJ17" s="2267">
        <f t="shared" ref="CJ17:CO17" si="87">SUM(CJ18:CJ19)</f>
        <v>32000</v>
      </c>
      <c r="CK17" s="2269">
        <f t="shared" si="87"/>
        <v>0</v>
      </c>
      <c r="CL17" s="2269">
        <f t="shared" si="87"/>
        <v>0</v>
      </c>
      <c r="CM17" s="2268">
        <f t="shared" si="87"/>
        <v>29000</v>
      </c>
      <c r="CN17" s="2268">
        <f t="shared" si="87"/>
        <v>29000</v>
      </c>
      <c r="CO17" s="2268">
        <f t="shared" si="87"/>
        <v>32000</v>
      </c>
      <c r="CP17" s="2268">
        <f>SUM(CP18:CP19)</f>
        <v>32000</v>
      </c>
      <c r="CQ17" s="2267">
        <f>SUM(CQ18:CQ19)</f>
        <v>3000</v>
      </c>
      <c r="CR17" s="2267">
        <f>CO17/CM17*100</f>
        <v>110.34482758620689</v>
      </c>
      <c r="CS17" s="2267">
        <f>SUM(CS18:CS19)</f>
        <v>-3000</v>
      </c>
      <c r="CT17" s="2275">
        <f>CM17/CI17*100</f>
        <v>90.625</v>
      </c>
      <c r="CU17" s="2267">
        <f>SUM(CU18:CU19)</f>
        <v>31000</v>
      </c>
      <c r="CV17" s="2267">
        <f t="shared" ref="CV17:DA17" si="88">SUM(CV18:CV19)</f>
        <v>31000</v>
      </c>
      <c r="CW17" s="2269">
        <f t="shared" si="88"/>
        <v>0</v>
      </c>
      <c r="CX17" s="2269">
        <f t="shared" si="88"/>
        <v>0</v>
      </c>
      <c r="CY17" s="2268">
        <f t="shared" si="88"/>
        <v>30000</v>
      </c>
      <c r="CZ17" s="2268">
        <f t="shared" si="88"/>
        <v>30000</v>
      </c>
      <c r="DA17" s="2268">
        <f t="shared" si="88"/>
        <v>32000</v>
      </c>
      <c r="DB17" s="2268">
        <f>SUM(DB18:DB19)</f>
        <v>32000</v>
      </c>
      <c r="DC17" s="2267">
        <f>SUM(DC18:DC19)</f>
        <v>2000</v>
      </c>
      <c r="DD17" s="2267">
        <f>DA17/CY17*100</f>
        <v>106.66666666666667</v>
      </c>
      <c r="DE17" s="2267">
        <f>SUM(DE18:DE19)</f>
        <v>-1000</v>
      </c>
      <c r="DF17" s="2275">
        <f>CY17/CU17*100</f>
        <v>96.774193548387103</v>
      </c>
      <c r="DG17" s="2267">
        <f>SUM(DG18:DG19)</f>
        <v>25000</v>
      </c>
      <c r="DH17" s="2267">
        <f t="shared" ref="DH17:DM17" si="89">SUM(DH18:DH19)</f>
        <v>25000</v>
      </c>
      <c r="DI17" s="2269">
        <f t="shared" si="89"/>
        <v>0</v>
      </c>
      <c r="DJ17" s="2269">
        <f t="shared" si="89"/>
        <v>0</v>
      </c>
      <c r="DK17" s="2268">
        <f t="shared" si="89"/>
        <v>25000</v>
      </c>
      <c r="DL17" s="2268">
        <f t="shared" si="89"/>
        <v>25000</v>
      </c>
      <c r="DM17" s="2268">
        <f t="shared" si="89"/>
        <v>27000</v>
      </c>
      <c r="DN17" s="2268">
        <f>SUM(DN18:DN19)</f>
        <v>27000</v>
      </c>
      <c r="DO17" s="2267">
        <f>SUM(DO18:DO19)</f>
        <v>2000</v>
      </c>
      <c r="DP17" s="2267">
        <f>DM17/DK17*100</f>
        <v>108</v>
      </c>
      <c r="DQ17" s="2267">
        <f>SUM(DQ18:DQ19)</f>
        <v>0</v>
      </c>
      <c r="DR17" s="2275">
        <f>DK17/DG17*100</f>
        <v>100</v>
      </c>
      <c r="DS17" s="2267">
        <f>SUM(DS18:DS19)</f>
        <v>24000</v>
      </c>
      <c r="DT17" s="2267">
        <f t="shared" ref="DT17:DY17" si="90">SUM(DT18:DT19)</f>
        <v>24000</v>
      </c>
      <c r="DU17" s="2269">
        <f t="shared" si="90"/>
        <v>0</v>
      </c>
      <c r="DV17" s="2269">
        <f t="shared" si="90"/>
        <v>0</v>
      </c>
      <c r="DW17" s="2268">
        <f t="shared" si="90"/>
        <v>25500</v>
      </c>
      <c r="DX17" s="2268">
        <f t="shared" si="90"/>
        <v>25500</v>
      </c>
      <c r="DY17" s="2268">
        <f t="shared" si="90"/>
        <v>28000</v>
      </c>
      <c r="DZ17" s="2268">
        <f>SUM(DZ18:DZ19)</f>
        <v>28000</v>
      </c>
      <c r="EA17" s="2267">
        <f>SUM(EA18:EA19)</f>
        <v>2500</v>
      </c>
      <c r="EB17" s="2267">
        <f>DY17/DW17*100</f>
        <v>109.80392156862746</v>
      </c>
      <c r="EC17" s="2267">
        <f>SUM(EC18:EC19)</f>
        <v>1500</v>
      </c>
      <c r="ED17" s="2275">
        <f>DW17/DS17*100</f>
        <v>106.25</v>
      </c>
      <c r="EE17" s="2267">
        <f>SUM(EE18:EE19)</f>
        <v>39000</v>
      </c>
      <c r="EF17" s="2267">
        <f t="shared" ref="EF17:EK17" si="91">SUM(EF18:EF19)</f>
        <v>39000</v>
      </c>
      <c r="EG17" s="2269">
        <f t="shared" si="91"/>
        <v>0</v>
      </c>
      <c r="EH17" s="2269">
        <f t="shared" si="91"/>
        <v>0</v>
      </c>
      <c r="EI17" s="2267">
        <f t="shared" si="91"/>
        <v>45000</v>
      </c>
      <c r="EJ17" s="2267">
        <f t="shared" si="91"/>
        <v>45000</v>
      </c>
      <c r="EK17" s="2268">
        <f t="shared" si="91"/>
        <v>50000</v>
      </c>
      <c r="EL17" s="2268">
        <f>SUM(EL18:EL19)</f>
        <v>50000</v>
      </c>
      <c r="EM17" s="2267">
        <f>SUM(EM18:EM19)</f>
        <v>5000</v>
      </c>
      <c r="EN17" s="2267">
        <f>EK17/EI17*100</f>
        <v>111.11111111111111</v>
      </c>
      <c r="EO17" s="2267">
        <f>SUM(EO18:EO19)</f>
        <v>6000</v>
      </c>
      <c r="EP17" s="2275">
        <f>EI17/EE17*100</f>
        <v>115.38461538461537</v>
      </c>
      <c r="EQ17" s="2267">
        <f>SUM(EQ18:EQ19)</f>
        <v>19000</v>
      </c>
      <c r="ER17" s="2267">
        <f t="shared" ref="ER17:EW17" si="92">SUM(ER18:ER19)</f>
        <v>19000</v>
      </c>
      <c r="ES17" s="2269">
        <f t="shared" si="92"/>
        <v>0</v>
      </c>
      <c r="ET17" s="2269">
        <f t="shared" si="92"/>
        <v>0</v>
      </c>
      <c r="EU17" s="2267">
        <f t="shared" si="92"/>
        <v>21000</v>
      </c>
      <c r="EV17" s="2267">
        <f t="shared" si="92"/>
        <v>21000</v>
      </c>
      <c r="EW17" s="2267">
        <f t="shared" si="92"/>
        <v>22000</v>
      </c>
      <c r="EX17" s="2267">
        <f>SUM(EX18:EX19)</f>
        <v>22000</v>
      </c>
      <c r="EY17" s="2267">
        <f>SUM(EY18:EY19)</f>
        <v>1000</v>
      </c>
      <c r="EZ17" s="2267">
        <f>EW17/EU17*100</f>
        <v>104.76190476190477</v>
      </c>
      <c r="FA17" s="2267">
        <f>SUM(FA18:FA19)</f>
        <v>2000</v>
      </c>
      <c r="FB17" s="2275">
        <f>EU17/EQ17*100</f>
        <v>110.5263157894737</v>
      </c>
      <c r="FC17" s="2271">
        <f>E17/C17</f>
        <v>0</v>
      </c>
      <c r="FD17" s="2271"/>
      <c r="FE17" s="2272">
        <f t="shared" ref="FE17:FF23" si="93">E17-C17</f>
        <v>-322000</v>
      </c>
      <c r="FF17" s="2272">
        <f t="shared" si="93"/>
        <v>-322000</v>
      </c>
    </row>
    <row r="18" spans="1:162" s="2750" customFormat="1" ht="27" hidden="1" customHeight="1">
      <c r="A18" s="907" t="s">
        <v>29</v>
      </c>
      <c r="B18" s="1929" t="s">
        <v>790</v>
      </c>
      <c r="C18" s="2277">
        <f t="shared" si="79"/>
        <v>0</v>
      </c>
      <c r="D18" s="2277">
        <f t="shared" si="79"/>
        <v>0</v>
      </c>
      <c r="E18" s="2277">
        <f t="shared" si="79"/>
        <v>0</v>
      </c>
      <c r="F18" s="2277">
        <f t="shared" si="79"/>
        <v>0</v>
      </c>
      <c r="G18" s="2277">
        <f t="shared" si="79"/>
        <v>0</v>
      </c>
      <c r="H18" s="2277">
        <f t="shared" si="80"/>
        <v>0</v>
      </c>
      <c r="I18" s="2277">
        <f t="shared" si="80"/>
        <v>0</v>
      </c>
      <c r="J18" s="2277">
        <f t="shared" si="80"/>
        <v>0</v>
      </c>
      <c r="K18" s="2277">
        <f t="shared" si="30"/>
        <v>0</v>
      </c>
      <c r="L18" s="2277" t="e">
        <f t="shared" si="31"/>
        <v>#DIV/0!</v>
      </c>
      <c r="M18" s="2277">
        <f t="shared" si="32"/>
        <v>0</v>
      </c>
      <c r="N18" s="2277" t="e">
        <f t="shared" si="1"/>
        <v>#DIV/0!</v>
      </c>
      <c r="O18" s="328">
        <f>0</f>
        <v>0</v>
      </c>
      <c r="P18" s="328"/>
      <c r="Q18" s="328"/>
      <c r="R18" s="328"/>
      <c r="S18" s="328"/>
      <c r="T18" s="328"/>
      <c r="U18" s="328"/>
      <c r="V18" s="328"/>
      <c r="W18" s="328">
        <f>U18-S18</f>
        <v>0</v>
      </c>
      <c r="X18" s="2277" t="e">
        <f t="shared" ref="X18:X19" si="94">U18/S18*100</f>
        <v>#DIV/0!</v>
      </c>
      <c r="Y18" s="328">
        <f>S18-O18</f>
        <v>0</v>
      </c>
      <c r="Z18" s="2277" t="e">
        <f t="shared" ref="Z18:Z19" si="95">S18/O18*100</f>
        <v>#DIV/0!</v>
      </c>
      <c r="AA18" s="328">
        <f>0</f>
        <v>0</v>
      </c>
      <c r="AB18" s="328"/>
      <c r="AC18" s="328"/>
      <c r="AD18" s="328"/>
      <c r="AE18" s="328"/>
      <c r="AF18" s="328"/>
      <c r="AG18" s="328"/>
      <c r="AH18" s="328"/>
      <c r="AI18" s="328">
        <f>AG18-AE18</f>
        <v>0</v>
      </c>
      <c r="AJ18" s="2277" t="e">
        <f t="shared" ref="AJ18:AJ19" si="96">AG18/AE18*100</f>
        <v>#DIV/0!</v>
      </c>
      <c r="AK18" s="328">
        <f>AE18-AA18</f>
        <v>0</v>
      </c>
      <c r="AL18" s="2277" t="e">
        <f t="shared" ref="AL18:AL19" si="97">AE18/AA18*100</f>
        <v>#DIV/0!</v>
      </c>
      <c r="AM18" s="328">
        <f>0</f>
        <v>0</v>
      </c>
      <c r="AN18" s="328"/>
      <c r="AO18" s="328"/>
      <c r="AP18" s="328"/>
      <c r="AQ18" s="328"/>
      <c r="AR18" s="328"/>
      <c r="AS18" s="328"/>
      <c r="AT18" s="328"/>
      <c r="AU18" s="328">
        <f>AS18-AQ18</f>
        <v>0</v>
      </c>
      <c r="AV18" s="2277" t="e">
        <f t="shared" ref="AV18:AV19" si="98">AS18/AQ18*100</f>
        <v>#DIV/0!</v>
      </c>
      <c r="AW18" s="328">
        <f>AQ18-AM18</f>
        <v>0</v>
      </c>
      <c r="AX18" s="2277" t="e">
        <f t="shared" ref="AX18:AX19" si="99">AQ18/AM18*100</f>
        <v>#DIV/0!</v>
      </c>
      <c r="AY18" s="328">
        <v>0</v>
      </c>
      <c r="AZ18" s="328"/>
      <c r="BA18" s="328"/>
      <c r="BB18" s="328"/>
      <c r="BC18" s="328"/>
      <c r="BD18" s="328"/>
      <c r="BE18" s="328"/>
      <c r="BF18" s="328"/>
      <c r="BG18" s="328">
        <f>BE18-BC18</f>
        <v>0</v>
      </c>
      <c r="BH18" s="2277" t="e">
        <f t="shared" ref="BH18:BH19" si="100">BE18/BC18*100</f>
        <v>#DIV/0!</v>
      </c>
      <c r="BI18" s="328">
        <f>BC18-AY18</f>
        <v>0</v>
      </c>
      <c r="BJ18" s="2277" t="e">
        <f t="shared" ref="BJ18:BJ19" si="101">BC18/AY18*100</f>
        <v>#DIV/0!</v>
      </c>
      <c r="BK18" s="328">
        <f>0</f>
        <v>0</v>
      </c>
      <c r="BL18" s="328"/>
      <c r="BM18" s="328"/>
      <c r="BN18" s="328"/>
      <c r="BO18" s="328"/>
      <c r="BP18" s="328"/>
      <c r="BQ18" s="328"/>
      <c r="BR18" s="328"/>
      <c r="BS18" s="328">
        <f>BQ18-BO18</f>
        <v>0</v>
      </c>
      <c r="BT18" s="2277" t="e">
        <f t="shared" ref="BT18:BT19" si="102">BQ18/BO18*100</f>
        <v>#DIV/0!</v>
      </c>
      <c r="BU18" s="328">
        <f>BO18-BK18</f>
        <v>0</v>
      </c>
      <c r="BV18" s="2277" t="e">
        <f t="shared" ref="BV18:BV19" si="103">BO18/BK18*100</f>
        <v>#DIV/0!</v>
      </c>
      <c r="BW18" s="328">
        <f>0</f>
        <v>0</v>
      </c>
      <c r="BX18" s="328"/>
      <c r="BY18" s="328"/>
      <c r="BZ18" s="328"/>
      <c r="CA18" s="328"/>
      <c r="CB18" s="328"/>
      <c r="CC18" s="328"/>
      <c r="CD18" s="328"/>
      <c r="CE18" s="328">
        <f>CC18-CA18</f>
        <v>0</v>
      </c>
      <c r="CF18" s="2277" t="e">
        <f t="shared" ref="CF18:CF19" si="104">CC18/CA18*100</f>
        <v>#DIV/0!</v>
      </c>
      <c r="CG18" s="46">
        <f>CA18-BW18</f>
        <v>0</v>
      </c>
      <c r="CH18" s="2277" t="e">
        <f t="shared" ref="CH18:CH19" si="105">CA18/BW18*100</f>
        <v>#DIV/0!</v>
      </c>
      <c r="CI18" s="328">
        <f>0</f>
        <v>0</v>
      </c>
      <c r="CJ18" s="328"/>
      <c r="CK18" s="328"/>
      <c r="CL18" s="328"/>
      <c r="CM18" s="328"/>
      <c r="CN18" s="328"/>
      <c r="CO18" s="328"/>
      <c r="CP18" s="328"/>
      <c r="CQ18" s="328">
        <f>CO18-CM18</f>
        <v>0</v>
      </c>
      <c r="CR18" s="2277" t="e">
        <f t="shared" ref="CR18:CR19" si="106">CO18/CM18*100</f>
        <v>#DIV/0!</v>
      </c>
      <c r="CS18" s="328">
        <f>CM18-CI18</f>
        <v>0</v>
      </c>
      <c r="CT18" s="2277" t="e">
        <f t="shared" ref="CT18:CT19" si="107">CM18/CI18*100</f>
        <v>#DIV/0!</v>
      </c>
      <c r="CU18" s="328">
        <f>0</f>
        <v>0</v>
      </c>
      <c r="CV18" s="328"/>
      <c r="CW18" s="328"/>
      <c r="CX18" s="328"/>
      <c r="CY18" s="328"/>
      <c r="CZ18" s="328"/>
      <c r="DA18" s="328"/>
      <c r="DB18" s="328"/>
      <c r="DC18" s="328">
        <f>DA18-CY18</f>
        <v>0</v>
      </c>
      <c r="DD18" s="2277" t="e">
        <f t="shared" ref="DD18:DD19" si="108">DA18/CY18*100</f>
        <v>#DIV/0!</v>
      </c>
      <c r="DE18" s="328">
        <f>CY18-CU18</f>
        <v>0</v>
      </c>
      <c r="DF18" s="2277" t="e">
        <f t="shared" ref="DF18:DF19" si="109">CY18/CU18*100</f>
        <v>#DIV/0!</v>
      </c>
      <c r="DG18" s="328">
        <f>0</f>
        <v>0</v>
      </c>
      <c r="DH18" s="328"/>
      <c r="DI18" s="328"/>
      <c r="DJ18" s="328"/>
      <c r="DK18" s="328"/>
      <c r="DL18" s="328"/>
      <c r="DM18" s="328"/>
      <c r="DN18" s="328"/>
      <c r="DO18" s="328">
        <f>DM18-DK18</f>
        <v>0</v>
      </c>
      <c r="DP18" s="2277" t="e">
        <f t="shared" ref="DP18:DP19" si="110">DM18/DK18*100</f>
        <v>#DIV/0!</v>
      </c>
      <c r="DQ18" s="328">
        <f>DK18-DG18</f>
        <v>0</v>
      </c>
      <c r="DR18" s="2277" t="e">
        <f t="shared" ref="DR18:DR19" si="111">DK18/DG18*100</f>
        <v>#DIV/0!</v>
      </c>
      <c r="DS18" s="328">
        <f>0</f>
        <v>0</v>
      </c>
      <c r="DT18" s="328"/>
      <c r="DU18" s="328"/>
      <c r="DV18" s="328"/>
      <c r="DW18" s="328"/>
      <c r="DX18" s="328"/>
      <c r="DY18" s="328"/>
      <c r="DZ18" s="328"/>
      <c r="EA18" s="328">
        <f>DY18-DW18</f>
        <v>0</v>
      </c>
      <c r="EB18" s="2277" t="e">
        <f t="shared" ref="EB18:EB19" si="112">DY18/DW18*100</f>
        <v>#DIV/0!</v>
      </c>
      <c r="EC18" s="328">
        <f>DW18-DS18</f>
        <v>0</v>
      </c>
      <c r="ED18" s="2277" t="e">
        <f t="shared" ref="ED18:ED19" si="113">DW18/DS18*100</f>
        <v>#DIV/0!</v>
      </c>
      <c r="EE18" s="328">
        <f>0</f>
        <v>0</v>
      </c>
      <c r="EF18" s="328"/>
      <c r="EG18" s="2283"/>
      <c r="EH18" s="2283"/>
      <c r="EI18" s="328"/>
      <c r="EJ18" s="328"/>
      <c r="EK18" s="328"/>
      <c r="EL18" s="328"/>
      <c r="EM18" s="328">
        <f>EK18-EI18</f>
        <v>0</v>
      </c>
      <c r="EN18" s="2277" t="e">
        <f t="shared" ref="EN18:EN19" si="114">EK18/EI18*100</f>
        <v>#DIV/0!</v>
      </c>
      <c r="EO18" s="328">
        <f>EI18-EE18</f>
        <v>0</v>
      </c>
      <c r="EP18" s="2277" t="e">
        <f t="shared" ref="EP18:EP19" si="115">EI18/EE18*100</f>
        <v>#DIV/0!</v>
      </c>
      <c r="EQ18" s="328">
        <f>0</f>
        <v>0</v>
      </c>
      <c r="ER18" s="328"/>
      <c r="ES18" s="328"/>
      <c r="ET18" s="328"/>
      <c r="EU18" s="328"/>
      <c r="EV18" s="328"/>
      <c r="EW18" s="328"/>
      <c r="EX18" s="328"/>
      <c r="EY18" s="328">
        <f>EW18-EU18</f>
        <v>0</v>
      </c>
      <c r="EZ18" s="2277" t="e">
        <f t="shared" ref="EZ18:EZ19" si="116">EW18/EU18*100</f>
        <v>#DIV/0!</v>
      </c>
      <c r="FA18" s="328">
        <f>EU18-EQ18</f>
        <v>0</v>
      </c>
      <c r="FB18" s="2277" t="e">
        <f t="shared" ref="FB18:FB19" si="117">EU18/EQ18*100</f>
        <v>#DIV/0!</v>
      </c>
    </row>
    <row r="19" spans="1:162" s="2750" customFormat="1" hidden="1">
      <c r="A19" s="907" t="s">
        <v>29</v>
      </c>
      <c r="B19" s="1929" t="s">
        <v>791</v>
      </c>
      <c r="C19" s="2277">
        <f t="shared" si="79"/>
        <v>322000</v>
      </c>
      <c r="D19" s="2277">
        <f t="shared" si="79"/>
        <v>322000</v>
      </c>
      <c r="E19" s="2277">
        <f t="shared" si="79"/>
        <v>0</v>
      </c>
      <c r="F19" s="2277">
        <f t="shared" si="79"/>
        <v>0</v>
      </c>
      <c r="G19" s="2277">
        <f t="shared" si="79"/>
        <v>317500</v>
      </c>
      <c r="H19" s="2277">
        <f t="shared" si="80"/>
        <v>317500</v>
      </c>
      <c r="I19" s="2277">
        <f>SUM(U19,AG19,AS19,BE19,BQ19,CC19,CO19,DA19,DM19,DY19,EK19,EW19)</f>
        <v>353000</v>
      </c>
      <c r="J19" s="2277">
        <f t="shared" si="80"/>
        <v>353000</v>
      </c>
      <c r="K19" s="2277">
        <f t="shared" si="30"/>
        <v>35500</v>
      </c>
      <c r="L19" s="2277">
        <f t="shared" si="31"/>
        <v>111.18110236220473</v>
      </c>
      <c r="M19" s="2277">
        <f t="shared" si="32"/>
        <v>-4500</v>
      </c>
      <c r="N19" s="2277">
        <f t="shared" si="1"/>
        <v>98.602484472049696</v>
      </c>
      <c r="O19" s="2283">
        <v>12000</v>
      </c>
      <c r="P19" s="328">
        <f>O19</f>
        <v>12000</v>
      </c>
      <c r="Q19" s="328"/>
      <c r="R19" s="328">
        <f>Q19</f>
        <v>0</v>
      </c>
      <c r="S19" s="328">
        <f>10000-S18</f>
        <v>10000</v>
      </c>
      <c r="T19" s="328">
        <f>+S19</f>
        <v>10000</v>
      </c>
      <c r="U19" s="328">
        <f>11000-U18</f>
        <v>11000</v>
      </c>
      <c r="V19" s="328">
        <f>+U19</f>
        <v>11000</v>
      </c>
      <c r="W19" s="328">
        <f t="shared" ref="W19" si="118">U19-S19</f>
        <v>1000</v>
      </c>
      <c r="X19" s="2277">
        <f t="shared" si="94"/>
        <v>110.00000000000001</v>
      </c>
      <c r="Y19" s="328">
        <f t="shared" ref="Y19" si="119">S19-O19</f>
        <v>-2000</v>
      </c>
      <c r="Z19" s="2277">
        <f t="shared" si="95"/>
        <v>83.333333333333343</v>
      </c>
      <c r="AA19" s="328">
        <v>20000</v>
      </c>
      <c r="AB19" s="328">
        <f>AA19</f>
        <v>20000</v>
      </c>
      <c r="AC19" s="328"/>
      <c r="AD19" s="328"/>
      <c r="AE19" s="328">
        <f>19000-AE18</f>
        <v>19000</v>
      </c>
      <c r="AF19" s="328">
        <f>AE19</f>
        <v>19000</v>
      </c>
      <c r="AG19" s="328">
        <f>21000-AG18</f>
        <v>21000</v>
      </c>
      <c r="AH19" s="328">
        <f>+AG19</f>
        <v>21000</v>
      </c>
      <c r="AI19" s="328">
        <f t="shared" ref="AI19" si="120">AG19-AE19</f>
        <v>2000</v>
      </c>
      <c r="AJ19" s="2277">
        <f t="shared" si="96"/>
        <v>110.5263157894737</v>
      </c>
      <c r="AK19" s="328">
        <f t="shared" ref="AK19" si="121">AE19-AA19</f>
        <v>-1000</v>
      </c>
      <c r="AL19" s="2277">
        <f t="shared" si="97"/>
        <v>95</v>
      </c>
      <c r="AM19" s="328">
        <v>15000</v>
      </c>
      <c r="AN19" s="328">
        <f>AM19</f>
        <v>15000</v>
      </c>
      <c r="AO19" s="328"/>
      <c r="AP19" s="328">
        <f>AO19</f>
        <v>0</v>
      </c>
      <c r="AQ19" s="328">
        <f>13000-AQ18</f>
        <v>13000</v>
      </c>
      <c r="AR19" s="328">
        <f>AQ19</f>
        <v>13000</v>
      </c>
      <c r="AS19" s="328">
        <f>15000-AS18</f>
        <v>15000</v>
      </c>
      <c r="AT19" s="328">
        <f>AS19</f>
        <v>15000</v>
      </c>
      <c r="AU19" s="328">
        <f t="shared" ref="AU19" si="122">AS19-AQ19</f>
        <v>2000</v>
      </c>
      <c r="AV19" s="2277">
        <f t="shared" si="98"/>
        <v>115.38461538461537</v>
      </c>
      <c r="AW19" s="328">
        <f t="shared" ref="AW19" si="123">AQ19-AM19</f>
        <v>-2000</v>
      </c>
      <c r="AX19" s="2277">
        <f t="shared" si="99"/>
        <v>86.666666666666671</v>
      </c>
      <c r="AY19" s="328">
        <v>18000</v>
      </c>
      <c r="AZ19" s="328">
        <f>AY19</f>
        <v>18000</v>
      </c>
      <c r="BA19" s="328"/>
      <c r="BB19" s="328">
        <f>BA19</f>
        <v>0</v>
      </c>
      <c r="BC19" s="328">
        <f>16000-BC18</f>
        <v>16000</v>
      </c>
      <c r="BD19" s="328">
        <f>BC19</f>
        <v>16000</v>
      </c>
      <c r="BE19" s="328">
        <f>18000-BE18</f>
        <v>18000</v>
      </c>
      <c r="BF19" s="328">
        <f>BE19</f>
        <v>18000</v>
      </c>
      <c r="BG19" s="328">
        <f t="shared" ref="BG19" si="124">BE19-BC19</f>
        <v>2000</v>
      </c>
      <c r="BH19" s="2277">
        <f t="shared" si="100"/>
        <v>112.5</v>
      </c>
      <c r="BI19" s="328">
        <f t="shared" ref="BI19" si="125">BC19-AY19</f>
        <v>-2000</v>
      </c>
      <c r="BJ19" s="2277">
        <f t="shared" si="101"/>
        <v>88.888888888888886</v>
      </c>
      <c r="BK19" s="328">
        <v>17000</v>
      </c>
      <c r="BL19" s="328">
        <f>BK19</f>
        <v>17000</v>
      </c>
      <c r="BM19" s="328"/>
      <c r="BN19" s="328">
        <f>BM19</f>
        <v>0</v>
      </c>
      <c r="BO19" s="328">
        <f>14000-BO18</f>
        <v>14000</v>
      </c>
      <c r="BP19" s="328">
        <f>BO19</f>
        <v>14000</v>
      </c>
      <c r="BQ19" s="328">
        <f>17000-BQ18</f>
        <v>17000</v>
      </c>
      <c r="BR19" s="328">
        <f>BQ19</f>
        <v>17000</v>
      </c>
      <c r="BS19" s="328">
        <f t="shared" ref="BS19" si="126">BQ19-BO19</f>
        <v>3000</v>
      </c>
      <c r="BT19" s="2277">
        <f t="shared" si="102"/>
        <v>121.42857142857142</v>
      </c>
      <c r="BU19" s="328">
        <f t="shared" ref="BU19" si="127">BO19-BK19</f>
        <v>-3000</v>
      </c>
      <c r="BV19" s="2277">
        <f t="shared" si="103"/>
        <v>82.35294117647058</v>
      </c>
      <c r="BW19" s="328">
        <v>70000</v>
      </c>
      <c r="BX19" s="328">
        <f>BW19</f>
        <v>70000</v>
      </c>
      <c r="BY19" s="328"/>
      <c r="BZ19" s="328">
        <f>BY19</f>
        <v>0</v>
      </c>
      <c r="CA19" s="328">
        <f>70000-CA18</f>
        <v>70000</v>
      </c>
      <c r="CB19" s="328">
        <f>CA19</f>
        <v>70000</v>
      </c>
      <c r="CC19" s="328">
        <f>80000-CC18</f>
        <v>80000</v>
      </c>
      <c r="CD19" s="328">
        <f>CC19</f>
        <v>80000</v>
      </c>
      <c r="CE19" s="328">
        <f t="shared" ref="CE19" si="128">CC19-CA19</f>
        <v>10000</v>
      </c>
      <c r="CF19" s="2277">
        <f t="shared" si="104"/>
        <v>114.28571428571428</v>
      </c>
      <c r="CG19" s="46">
        <f t="shared" ref="CG19" si="129">CA19-BW19</f>
        <v>0</v>
      </c>
      <c r="CH19" s="2277">
        <f t="shared" si="105"/>
        <v>100</v>
      </c>
      <c r="CI19" s="328">
        <v>32000</v>
      </c>
      <c r="CJ19" s="328">
        <f>CI19</f>
        <v>32000</v>
      </c>
      <c r="CK19" s="328"/>
      <c r="CL19" s="328">
        <f>CK19</f>
        <v>0</v>
      </c>
      <c r="CM19" s="328">
        <f>29000-CM18</f>
        <v>29000</v>
      </c>
      <c r="CN19" s="328">
        <f>CM19</f>
        <v>29000</v>
      </c>
      <c r="CO19" s="328">
        <f>32000-CO18</f>
        <v>32000</v>
      </c>
      <c r="CP19" s="328">
        <f>CO19</f>
        <v>32000</v>
      </c>
      <c r="CQ19" s="328">
        <f t="shared" ref="CQ19" si="130">CO19-CM19</f>
        <v>3000</v>
      </c>
      <c r="CR19" s="2277">
        <f t="shared" si="106"/>
        <v>110.34482758620689</v>
      </c>
      <c r="CS19" s="328">
        <f t="shared" ref="CS19" si="131">CM19-CI19</f>
        <v>-3000</v>
      </c>
      <c r="CT19" s="2277">
        <f t="shared" si="107"/>
        <v>90.625</v>
      </c>
      <c r="CU19" s="328">
        <v>31000</v>
      </c>
      <c r="CV19" s="328">
        <f>CU19</f>
        <v>31000</v>
      </c>
      <c r="CW19" s="328"/>
      <c r="CX19" s="328">
        <f>CW19</f>
        <v>0</v>
      </c>
      <c r="CY19" s="328">
        <f>30000-CY18</f>
        <v>30000</v>
      </c>
      <c r="CZ19" s="328">
        <f>CY19</f>
        <v>30000</v>
      </c>
      <c r="DA19" s="328">
        <f>32000-DA18</f>
        <v>32000</v>
      </c>
      <c r="DB19" s="328">
        <f>DA19</f>
        <v>32000</v>
      </c>
      <c r="DC19" s="328">
        <f t="shared" ref="DC19" si="132">DA19-CY19</f>
        <v>2000</v>
      </c>
      <c r="DD19" s="2277">
        <f t="shared" si="108"/>
        <v>106.66666666666667</v>
      </c>
      <c r="DE19" s="328">
        <f t="shared" ref="DE19" si="133">CY19-CU19</f>
        <v>-1000</v>
      </c>
      <c r="DF19" s="2277">
        <f t="shared" si="109"/>
        <v>96.774193548387103</v>
      </c>
      <c r="DG19" s="328">
        <v>25000</v>
      </c>
      <c r="DH19" s="328">
        <f>DG19</f>
        <v>25000</v>
      </c>
      <c r="DI19" s="328"/>
      <c r="DJ19" s="328">
        <f>DI19</f>
        <v>0</v>
      </c>
      <c r="DK19" s="328">
        <f>25000-DK18</f>
        <v>25000</v>
      </c>
      <c r="DL19" s="328">
        <f>DK19</f>
        <v>25000</v>
      </c>
      <c r="DM19" s="328">
        <f>27000-DM18</f>
        <v>27000</v>
      </c>
      <c r="DN19" s="328">
        <f>DM19</f>
        <v>27000</v>
      </c>
      <c r="DO19" s="328">
        <f t="shared" ref="DO19" si="134">DM19-DK19</f>
        <v>2000</v>
      </c>
      <c r="DP19" s="2277">
        <f t="shared" si="110"/>
        <v>108</v>
      </c>
      <c r="DQ19" s="328">
        <f t="shared" ref="DQ19" si="135">DK19-DG19</f>
        <v>0</v>
      </c>
      <c r="DR19" s="2277">
        <f t="shared" si="111"/>
        <v>100</v>
      </c>
      <c r="DS19" s="328">
        <v>24000</v>
      </c>
      <c r="DT19" s="328">
        <f>DS19</f>
        <v>24000</v>
      </c>
      <c r="DU19" s="328"/>
      <c r="DV19" s="328">
        <f>DU19</f>
        <v>0</v>
      </c>
      <c r="DW19" s="328">
        <f>25500-DW18</f>
        <v>25500</v>
      </c>
      <c r="DX19" s="328">
        <f>DW19</f>
        <v>25500</v>
      </c>
      <c r="DY19" s="328">
        <f>28000-DY18</f>
        <v>28000</v>
      </c>
      <c r="DZ19" s="328">
        <f>DY19</f>
        <v>28000</v>
      </c>
      <c r="EA19" s="328">
        <f t="shared" ref="EA19" si="136">DY19-DW19</f>
        <v>2500</v>
      </c>
      <c r="EB19" s="2277">
        <f t="shared" si="112"/>
        <v>109.80392156862746</v>
      </c>
      <c r="EC19" s="328">
        <f t="shared" ref="EC19" si="137">DW19-DS19</f>
        <v>1500</v>
      </c>
      <c r="ED19" s="2277">
        <f t="shared" si="113"/>
        <v>106.25</v>
      </c>
      <c r="EE19" s="328">
        <v>39000</v>
      </c>
      <c r="EF19" s="328">
        <f>EE19</f>
        <v>39000</v>
      </c>
      <c r="EG19" s="2283"/>
      <c r="EH19" s="2283">
        <f>EG19</f>
        <v>0</v>
      </c>
      <c r="EI19" s="328">
        <f>45000-EI18</f>
        <v>45000</v>
      </c>
      <c r="EJ19" s="328">
        <f>EI19</f>
        <v>45000</v>
      </c>
      <c r="EK19" s="328">
        <f>50000-EK18</f>
        <v>50000</v>
      </c>
      <c r="EL19" s="328">
        <f>EK19</f>
        <v>50000</v>
      </c>
      <c r="EM19" s="328">
        <f t="shared" ref="EM19" si="138">EK19-EI19</f>
        <v>5000</v>
      </c>
      <c r="EN19" s="2277">
        <f t="shared" si="114"/>
        <v>111.11111111111111</v>
      </c>
      <c r="EO19" s="328">
        <f t="shared" ref="EO19" si="139">EI19-EE19</f>
        <v>6000</v>
      </c>
      <c r="EP19" s="2277">
        <f t="shared" si="115"/>
        <v>115.38461538461537</v>
      </c>
      <c r="EQ19" s="328">
        <v>19000</v>
      </c>
      <c r="ER19" s="328">
        <f>EQ19</f>
        <v>19000</v>
      </c>
      <c r="ES19" s="328"/>
      <c r="ET19" s="328">
        <f>ES19</f>
        <v>0</v>
      </c>
      <c r="EU19" s="328">
        <f>21000-EU18</f>
        <v>21000</v>
      </c>
      <c r="EV19" s="328">
        <f>EU19</f>
        <v>21000</v>
      </c>
      <c r="EW19" s="328">
        <f>22000-EW18</f>
        <v>22000</v>
      </c>
      <c r="EX19" s="328">
        <f>EW19</f>
        <v>22000</v>
      </c>
      <c r="EY19" s="328">
        <f t="shared" ref="EY19" si="140">EW19-EU19</f>
        <v>1000</v>
      </c>
      <c r="EZ19" s="2277">
        <f t="shared" si="116"/>
        <v>104.76190476190477</v>
      </c>
      <c r="FA19" s="328">
        <f t="shared" ref="FA19" si="141">EU19-EQ19</f>
        <v>2000</v>
      </c>
      <c r="FB19" s="2277">
        <f t="shared" si="117"/>
        <v>110.5263157894737</v>
      </c>
    </row>
    <row r="20" spans="1:162" s="2273" customFormat="1" ht="27" customHeight="1">
      <c r="A20" s="2265">
        <v>3</v>
      </c>
      <c r="B20" s="2266" t="s">
        <v>1478</v>
      </c>
      <c r="C20" s="2267">
        <f t="shared" si="79"/>
        <v>350000</v>
      </c>
      <c r="D20" s="2267">
        <f t="shared" si="79"/>
        <v>350000</v>
      </c>
      <c r="E20" s="2267">
        <f t="shared" si="79"/>
        <v>0</v>
      </c>
      <c r="F20" s="2267">
        <f t="shared" si="79"/>
        <v>0</v>
      </c>
      <c r="G20" s="2267">
        <f t="shared" si="79"/>
        <v>307500</v>
      </c>
      <c r="H20" s="2267">
        <f t="shared" si="80"/>
        <v>307500</v>
      </c>
      <c r="I20" s="2267">
        <f t="shared" si="80"/>
        <v>330000</v>
      </c>
      <c r="J20" s="2267">
        <f t="shared" si="80"/>
        <v>330000</v>
      </c>
      <c r="K20" s="2268">
        <f t="shared" si="30"/>
        <v>22500</v>
      </c>
      <c r="L20" s="2268">
        <f>+I20/G20*100</f>
        <v>107.31707317073172</v>
      </c>
      <c r="M20" s="2268">
        <f t="shared" si="32"/>
        <v>-42500</v>
      </c>
      <c r="N20" s="2268">
        <f t="shared" si="1"/>
        <v>87.857142857142861</v>
      </c>
      <c r="O20" s="2267">
        <v>15000</v>
      </c>
      <c r="P20" s="2267">
        <f>O20</f>
        <v>15000</v>
      </c>
      <c r="Q20" s="2267"/>
      <c r="R20" s="2267">
        <f>Q20</f>
        <v>0</v>
      </c>
      <c r="S20" s="2267">
        <v>15000</v>
      </c>
      <c r="T20" s="2267">
        <f>S20</f>
        <v>15000</v>
      </c>
      <c r="U20" s="2267">
        <v>15000</v>
      </c>
      <c r="V20" s="2267">
        <f>U20</f>
        <v>15000</v>
      </c>
      <c r="W20" s="2267">
        <f t="shared" ref="W20:W22" si="142">+U20-S20</f>
        <v>0</v>
      </c>
      <c r="X20" s="2267">
        <f>+U20/S20*100</f>
        <v>100</v>
      </c>
      <c r="Y20" s="2267">
        <f t="shared" ref="Y20:Y22" si="143">+S20-O20</f>
        <v>0</v>
      </c>
      <c r="Z20" s="2267">
        <f>+S20/O20*100</f>
        <v>100</v>
      </c>
      <c r="AA20" s="2267">
        <v>24000</v>
      </c>
      <c r="AB20" s="2267">
        <f>AA20</f>
        <v>24000</v>
      </c>
      <c r="AC20" s="2267"/>
      <c r="AD20" s="2267"/>
      <c r="AE20" s="2268">
        <v>20000</v>
      </c>
      <c r="AF20" s="2268">
        <f>+AE20</f>
        <v>20000</v>
      </c>
      <c r="AG20" s="2267">
        <v>20000</v>
      </c>
      <c r="AH20" s="2267">
        <f>+AG20</f>
        <v>20000</v>
      </c>
      <c r="AI20" s="2267">
        <f t="shared" ref="AI20:AI22" si="144">+AG20-AE20</f>
        <v>0</v>
      </c>
      <c r="AJ20" s="2267">
        <f>+AG20/AE20*100</f>
        <v>100</v>
      </c>
      <c r="AK20" s="2267">
        <f t="shared" ref="AK20:AK22" si="145">+AE20-AA20</f>
        <v>-4000</v>
      </c>
      <c r="AL20" s="2267">
        <f>+AE20/AA20*100</f>
        <v>83.333333333333343</v>
      </c>
      <c r="AM20" s="2267">
        <v>15000</v>
      </c>
      <c r="AN20" s="2267">
        <f>AM20</f>
        <v>15000</v>
      </c>
      <c r="AO20" s="2267"/>
      <c r="AP20" s="2267">
        <f>AO20</f>
        <v>0</v>
      </c>
      <c r="AQ20" s="2268">
        <v>13000</v>
      </c>
      <c r="AR20" s="2268">
        <f>+AQ20</f>
        <v>13000</v>
      </c>
      <c r="AS20" s="2267">
        <v>13000</v>
      </c>
      <c r="AT20" s="2267">
        <f>AS20</f>
        <v>13000</v>
      </c>
      <c r="AU20" s="2267">
        <f t="shared" ref="AU20:AU22" si="146">+AS20-AQ20</f>
        <v>0</v>
      </c>
      <c r="AV20" s="2267">
        <f>+AS20/AQ20*100</f>
        <v>100</v>
      </c>
      <c r="AW20" s="2267">
        <f t="shared" ref="AW20:AW22" si="147">+AQ20-AM20</f>
        <v>-2000</v>
      </c>
      <c r="AX20" s="2267">
        <f>+AQ20/AM20*100</f>
        <v>86.666666666666671</v>
      </c>
      <c r="AY20" s="2267">
        <v>20000</v>
      </c>
      <c r="AZ20" s="2267">
        <f>AY20</f>
        <v>20000</v>
      </c>
      <c r="BA20" s="2267"/>
      <c r="BB20" s="2267">
        <f>BA20</f>
        <v>0</v>
      </c>
      <c r="BC20" s="2267">
        <v>16000</v>
      </c>
      <c r="BD20" s="2267">
        <f>+BC20</f>
        <v>16000</v>
      </c>
      <c r="BE20" s="2267">
        <v>18000</v>
      </c>
      <c r="BF20" s="2267">
        <f>BE20</f>
        <v>18000</v>
      </c>
      <c r="BG20" s="2267">
        <f t="shared" ref="BG20:BG22" si="148">+BE20-BC20</f>
        <v>2000</v>
      </c>
      <c r="BH20" s="2267">
        <f>+BE20/BC20*100</f>
        <v>112.5</v>
      </c>
      <c r="BI20" s="2267">
        <f t="shared" ref="BI20:BI22" si="149">+BC20-AY20</f>
        <v>-4000</v>
      </c>
      <c r="BJ20" s="2267">
        <f>+BC20/AY20*100</f>
        <v>80</v>
      </c>
      <c r="BK20" s="2267">
        <v>26000</v>
      </c>
      <c r="BL20" s="2267">
        <f>BK20</f>
        <v>26000</v>
      </c>
      <c r="BM20" s="2267"/>
      <c r="BN20" s="2267">
        <f>BM20</f>
        <v>0</v>
      </c>
      <c r="BO20" s="2267">
        <v>19000</v>
      </c>
      <c r="BP20" s="2267">
        <f>+BO20</f>
        <v>19000</v>
      </c>
      <c r="BQ20" s="2267">
        <v>20000</v>
      </c>
      <c r="BR20" s="2267">
        <f>BQ20</f>
        <v>20000</v>
      </c>
      <c r="BS20" s="2267">
        <f t="shared" si="50"/>
        <v>1000</v>
      </c>
      <c r="BT20" s="2267">
        <f>+BQ20/BO20*100</f>
        <v>105.26315789473684</v>
      </c>
      <c r="BU20" s="2267">
        <f t="shared" si="51"/>
        <v>-7000</v>
      </c>
      <c r="BV20" s="2267">
        <f>+BO20/BK20*100</f>
        <v>73.076923076923066</v>
      </c>
      <c r="BW20" s="2267">
        <v>72000</v>
      </c>
      <c r="BX20" s="2267">
        <f>BW20</f>
        <v>72000</v>
      </c>
      <c r="BY20" s="2267"/>
      <c r="BZ20" s="2267">
        <f>BY20</f>
        <v>0</v>
      </c>
      <c r="CA20" s="2268">
        <v>60000</v>
      </c>
      <c r="CB20" s="2268">
        <f>+CA20</f>
        <v>60000</v>
      </c>
      <c r="CC20" s="2267">
        <v>75000</v>
      </c>
      <c r="CD20" s="2267">
        <f>CC20</f>
        <v>75000</v>
      </c>
      <c r="CE20" s="2267">
        <f t="shared" ref="CE20:CE22" si="150">+CC20-CA20</f>
        <v>15000</v>
      </c>
      <c r="CF20" s="2267">
        <f>+CC20/CA20*100</f>
        <v>125</v>
      </c>
      <c r="CG20" s="2270">
        <f t="shared" ref="CG20:CG22" si="151">+CA20-BW20</f>
        <v>-12000</v>
      </c>
      <c r="CH20" s="2267">
        <f>+CA20/BW20*100</f>
        <v>83.333333333333343</v>
      </c>
      <c r="CI20" s="2267">
        <v>38000</v>
      </c>
      <c r="CJ20" s="2267">
        <f>CI20</f>
        <v>38000</v>
      </c>
      <c r="CK20" s="2267"/>
      <c r="CL20" s="2267">
        <f>CK20</f>
        <v>0</v>
      </c>
      <c r="CM20" s="2267">
        <v>35000</v>
      </c>
      <c r="CN20" s="2267">
        <f>+CM20</f>
        <v>35000</v>
      </c>
      <c r="CO20" s="2267">
        <v>37000</v>
      </c>
      <c r="CP20" s="2267">
        <f>CO20</f>
        <v>37000</v>
      </c>
      <c r="CQ20" s="2267">
        <f t="shared" ref="CQ20:CQ22" si="152">+CO20-CM20</f>
        <v>2000</v>
      </c>
      <c r="CR20" s="2267">
        <f>+CO20/CM20*100</f>
        <v>105.71428571428572</v>
      </c>
      <c r="CS20" s="2267">
        <f t="shared" ref="CS20:CS22" si="153">+CM20-CI20</f>
        <v>-3000</v>
      </c>
      <c r="CT20" s="2267">
        <f>+CM20/CI20*100</f>
        <v>92.10526315789474</v>
      </c>
      <c r="CU20" s="2267">
        <v>33000</v>
      </c>
      <c r="CV20" s="2267">
        <f>CU20</f>
        <v>33000</v>
      </c>
      <c r="CW20" s="2267"/>
      <c r="CX20" s="2267">
        <f>CW20</f>
        <v>0</v>
      </c>
      <c r="CY20" s="2267">
        <v>27000</v>
      </c>
      <c r="CZ20" s="2267">
        <f>+CY20</f>
        <v>27000</v>
      </c>
      <c r="DA20" s="2267">
        <v>27500</v>
      </c>
      <c r="DB20" s="2267">
        <f>DA20</f>
        <v>27500</v>
      </c>
      <c r="DC20" s="2267">
        <f t="shared" ref="DC20:DC22" si="154">+DA20-CY20</f>
        <v>500</v>
      </c>
      <c r="DD20" s="2267">
        <f>+DA20/CY20*100</f>
        <v>101.85185185185186</v>
      </c>
      <c r="DE20" s="2267">
        <f t="shared" ref="DE20:DE22" si="155">+CY20-CU20</f>
        <v>-6000</v>
      </c>
      <c r="DF20" s="2267">
        <f>+CY20/CU20*100</f>
        <v>81.818181818181827</v>
      </c>
      <c r="DG20" s="2267">
        <v>25000</v>
      </c>
      <c r="DH20" s="2267">
        <f>DG20</f>
        <v>25000</v>
      </c>
      <c r="DI20" s="2267"/>
      <c r="DJ20" s="2267">
        <f>DI20</f>
        <v>0</v>
      </c>
      <c r="DK20" s="2268">
        <v>25000</v>
      </c>
      <c r="DL20" s="2268">
        <f>+DK20</f>
        <v>25000</v>
      </c>
      <c r="DM20" s="2268">
        <v>26000</v>
      </c>
      <c r="DN20" s="2268">
        <f>DM20</f>
        <v>26000</v>
      </c>
      <c r="DO20" s="2267">
        <f t="shared" ref="DO20:DO22" si="156">+DM20-DK20</f>
        <v>1000</v>
      </c>
      <c r="DP20" s="2267">
        <f>+DM20/DK20*100</f>
        <v>104</v>
      </c>
      <c r="DQ20" s="2267">
        <f t="shared" ref="DQ20:DQ22" si="157">+DK20-DG20</f>
        <v>0</v>
      </c>
      <c r="DR20" s="2267">
        <f>+DK20/DG20*100</f>
        <v>100</v>
      </c>
      <c r="DS20" s="2267">
        <v>24000</v>
      </c>
      <c r="DT20" s="2267">
        <f>DS20</f>
        <v>24000</v>
      </c>
      <c r="DU20" s="2267"/>
      <c r="DV20" s="2267">
        <f>DU20</f>
        <v>0</v>
      </c>
      <c r="DW20" s="2268">
        <v>25500</v>
      </c>
      <c r="DX20" s="2268">
        <f>+DW20</f>
        <v>25500</v>
      </c>
      <c r="DY20" s="2268">
        <v>26500</v>
      </c>
      <c r="DZ20" s="2268">
        <f>DY20</f>
        <v>26500</v>
      </c>
      <c r="EA20" s="2267">
        <f t="shared" ref="EA20:EA22" si="158">+DY20-DW20</f>
        <v>1000</v>
      </c>
      <c r="EB20" s="2267">
        <f>+DY20/DW20*100</f>
        <v>103.92156862745099</v>
      </c>
      <c r="EC20" s="2267">
        <f t="shared" ref="EC20:EC22" si="159">+DW20-DS20</f>
        <v>1500</v>
      </c>
      <c r="ED20" s="2267">
        <f>+DW20/DS20*100</f>
        <v>106.25</v>
      </c>
      <c r="EE20" s="2267">
        <v>33000</v>
      </c>
      <c r="EF20" s="2267">
        <f>EE20</f>
        <v>33000</v>
      </c>
      <c r="EG20" s="2269"/>
      <c r="EH20" s="2269">
        <f>EG20</f>
        <v>0</v>
      </c>
      <c r="EI20" s="2267">
        <v>30000</v>
      </c>
      <c r="EJ20" s="2267">
        <f>+EI20</f>
        <v>30000</v>
      </c>
      <c r="EK20" s="2268">
        <v>30000</v>
      </c>
      <c r="EL20" s="2268">
        <f>EK20</f>
        <v>30000</v>
      </c>
      <c r="EM20" s="2267">
        <f t="shared" ref="EM20:EM22" si="160">+EK20-EI20</f>
        <v>0</v>
      </c>
      <c r="EN20" s="2267">
        <f>+EK20/EI20*100</f>
        <v>100</v>
      </c>
      <c r="EO20" s="2267">
        <f t="shared" ref="EO20:EO22" si="161">+EI20-EE20</f>
        <v>-3000</v>
      </c>
      <c r="EP20" s="2267">
        <f>+EI20/EE20*100</f>
        <v>90.909090909090907</v>
      </c>
      <c r="EQ20" s="2267">
        <v>25000</v>
      </c>
      <c r="ER20" s="2267">
        <f>EQ20</f>
        <v>25000</v>
      </c>
      <c r="ES20" s="2267"/>
      <c r="ET20" s="2267">
        <f>ES20</f>
        <v>0</v>
      </c>
      <c r="EU20" s="2267">
        <v>22000</v>
      </c>
      <c r="EV20" s="2267">
        <f>+EU20</f>
        <v>22000</v>
      </c>
      <c r="EW20" s="2267">
        <v>22000</v>
      </c>
      <c r="EX20" s="2267">
        <f>EW20</f>
        <v>22000</v>
      </c>
      <c r="EY20" s="2267">
        <f t="shared" ref="EY20:EY22" si="162">+EW20-EU20</f>
        <v>0</v>
      </c>
      <c r="EZ20" s="2267">
        <f>+EW20/EU20*100</f>
        <v>100</v>
      </c>
      <c r="FA20" s="2267">
        <f t="shared" ref="FA20:FA22" si="163">+EU20-EQ20</f>
        <v>-3000</v>
      </c>
      <c r="FB20" s="2267">
        <f>+EU20/EQ20*100</f>
        <v>88</v>
      </c>
      <c r="FC20" s="2271">
        <f>E20/C20</f>
        <v>0</v>
      </c>
      <c r="FD20" s="2271">
        <f>F20/D20</f>
        <v>0</v>
      </c>
      <c r="FE20" s="2272">
        <f t="shared" si="93"/>
        <v>-350000</v>
      </c>
      <c r="FF20" s="2272">
        <f t="shared" si="93"/>
        <v>-350000</v>
      </c>
    </row>
    <row r="21" spans="1:162" s="2273" customFormat="1" ht="27" customHeight="1">
      <c r="A21" s="2265">
        <v>4</v>
      </c>
      <c r="B21" s="2266" t="s">
        <v>1479</v>
      </c>
      <c r="C21" s="2267">
        <f t="shared" si="79"/>
        <v>0</v>
      </c>
      <c r="D21" s="2267">
        <f t="shared" si="79"/>
        <v>0</v>
      </c>
      <c r="E21" s="2267">
        <f t="shared" si="79"/>
        <v>0</v>
      </c>
      <c r="F21" s="2267">
        <f t="shared" si="79"/>
        <v>0</v>
      </c>
      <c r="G21" s="2267">
        <f t="shared" si="79"/>
        <v>20</v>
      </c>
      <c r="H21" s="2267">
        <f t="shared" si="80"/>
        <v>20</v>
      </c>
      <c r="I21" s="2267">
        <f t="shared" si="80"/>
        <v>0</v>
      </c>
      <c r="J21" s="2267">
        <f t="shared" si="80"/>
        <v>0</v>
      </c>
      <c r="K21" s="2268">
        <f t="shared" si="30"/>
        <v>-20</v>
      </c>
      <c r="L21" s="2268"/>
      <c r="M21" s="2268">
        <f t="shared" si="32"/>
        <v>20</v>
      </c>
      <c r="N21" s="2268"/>
      <c r="O21" s="2267">
        <v>0</v>
      </c>
      <c r="P21" s="2267">
        <f>O21</f>
        <v>0</v>
      </c>
      <c r="Q21" s="2267"/>
      <c r="R21" s="2267">
        <f>Q21</f>
        <v>0</v>
      </c>
      <c r="S21" s="2267">
        <v>0</v>
      </c>
      <c r="T21" s="2267"/>
      <c r="U21" s="2267"/>
      <c r="V21" s="2267"/>
      <c r="W21" s="2267">
        <f t="shared" si="142"/>
        <v>0</v>
      </c>
      <c r="X21" s="2267"/>
      <c r="Y21" s="2267">
        <f t="shared" si="143"/>
        <v>0</v>
      </c>
      <c r="Z21" s="2267"/>
      <c r="AA21" s="2267">
        <v>0</v>
      </c>
      <c r="AB21" s="2267">
        <f>AA21</f>
        <v>0</v>
      </c>
      <c r="AC21" s="2267">
        <v>0</v>
      </c>
      <c r="AD21" s="2267">
        <f>AC21</f>
        <v>0</v>
      </c>
      <c r="AE21" s="2268">
        <v>0</v>
      </c>
      <c r="AF21" s="2268">
        <f>+AE21</f>
        <v>0</v>
      </c>
      <c r="AG21" s="2267"/>
      <c r="AH21" s="2267">
        <f>+AG21</f>
        <v>0</v>
      </c>
      <c r="AI21" s="2267">
        <f t="shared" si="144"/>
        <v>0</v>
      </c>
      <c r="AJ21" s="2267"/>
      <c r="AK21" s="2267">
        <f t="shared" si="145"/>
        <v>0</v>
      </c>
      <c r="AL21" s="2267"/>
      <c r="AM21" s="2267">
        <v>0</v>
      </c>
      <c r="AN21" s="2267">
        <f>AM21</f>
        <v>0</v>
      </c>
      <c r="AO21" s="2267">
        <v>0</v>
      </c>
      <c r="AP21" s="2267">
        <f>AO21</f>
        <v>0</v>
      </c>
      <c r="AQ21" s="2267">
        <v>0</v>
      </c>
      <c r="AR21" s="2267">
        <f>+AQ21</f>
        <v>0</v>
      </c>
      <c r="AS21" s="2267">
        <v>0</v>
      </c>
      <c r="AT21" s="2267">
        <f>AS21</f>
        <v>0</v>
      </c>
      <c r="AU21" s="2267">
        <f t="shared" si="146"/>
        <v>0</v>
      </c>
      <c r="AV21" s="2267"/>
      <c r="AW21" s="2267">
        <f t="shared" si="147"/>
        <v>0</v>
      </c>
      <c r="AX21" s="2267"/>
      <c r="AY21" s="2267" t="s">
        <v>854</v>
      </c>
      <c r="AZ21" s="2267" t="str">
        <f>AY21</f>
        <v>,</v>
      </c>
      <c r="BA21" s="2267"/>
      <c r="BB21" s="2267">
        <f>BA21</f>
        <v>0</v>
      </c>
      <c r="BC21" s="2267"/>
      <c r="BD21" s="2267">
        <f>+BC21</f>
        <v>0</v>
      </c>
      <c r="BE21" s="2267">
        <v>0</v>
      </c>
      <c r="BF21" s="2267">
        <f>BE21</f>
        <v>0</v>
      </c>
      <c r="BG21" s="2267">
        <f t="shared" si="148"/>
        <v>0</v>
      </c>
      <c r="BH21" s="2267"/>
      <c r="BI21" s="2267" t="e">
        <f t="shared" si="149"/>
        <v>#VALUE!</v>
      </c>
      <c r="BJ21" s="2267"/>
      <c r="BK21" s="2267">
        <v>0</v>
      </c>
      <c r="BL21" s="2267">
        <f>BK21</f>
        <v>0</v>
      </c>
      <c r="BM21" s="2267">
        <v>0</v>
      </c>
      <c r="BN21" s="2267">
        <f>BM21</f>
        <v>0</v>
      </c>
      <c r="BO21" s="2267">
        <v>0</v>
      </c>
      <c r="BP21" s="2267">
        <f>+BO21</f>
        <v>0</v>
      </c>
      <c r="BQ21" s="2267">
        <v>0</v>
      </c>
      <c r="BR21" s="2267">
        <f>BQ21</f>
        <v>0</v>
      </c>
      <c r="BS21" s="2267">
        <f t="shared" si="50"/>
        <v>0</v>
      </c>
      <c r="BT21" s="2267"/>
      <c r="BU21" s="2267">
        <f t="shared" si="51"/>
        <v>0</v>
      </c>
      <c r="BV21" s="2267"/>
      <c r="BW21" s="2267">
        <v>0</v>
      </c>
      <c r="BX21" s="2267">
        <f>BW21</f>
        <v>0</v>
      </c>
      <c r="BY21" s="2267"/>
      <c r="BZ21" s="2267">
        <f>BY21</f>
        <v>0</v>
      </c>
      <c r="CA21" s="2268">
        <v>0</v>
      </c>
      <c r="CB21" s="2268">
        <f>+CA21</f>
        <v>0</v>
      </c>
      <c r="CC21" s="2267">
        <v>0</v>
      </c>
      <c r="CD21" s="2267">
        <f>CC21</f>
        <v>0</v>
      </c>
      <c r="CE21" s="2267">
        <f t="shared" si="150"/>
        <v>0</v>
      </c>
      <c r="CF21" s="2267"/>
      <c r="CG21" s="2270">
        <f t="shared" si="151"/>
        <v>0</v>
      </c>
      <c r="CH21" s="2267"/>
      <c r="CI21" s="2267">
        <v>0</v>
      </c>
      <c r="CJ21" s="2267">
        <f>CI21</f>
        <v>0</v>
      </c>
      <c r="CK21" s="2267"/>
      <c r="CL21" s="2267">
        <f>CK21</f>
        <v>0</v>
      </c>
      <c r="CM21" s="2267"/>
      <c r="CN21" s="2267">
        <f>+CM21</f>
        <v>0</v>
      </c>
      <c r="CO21" s="2267">
        <v>0</v>
      </c>
      <c r="CP21" s="2267">
        <f>CO21</f>
        <v>0</v>
      </c>
      <c r="CQ21" s="2267">
        <f t="shared" si="152"/>
        <v>0</v>
      </c>
      <c r="CR21" s="2267"/>
      <c r="CS21" s="2267">
        <f t="shared" si="153"/>
        <v>0</v>
      </c>
      <c r="CT21" s="2267"/>
      <c r="CU21" s="2267">
        <v>0</v>
      </c>
      <c r="CV21" s="2267">
        <f>CU21</f>
        <v>0</v>
      </c>
      <c r="CW21" s="2267"/>
      <c r="CX21" s="2267">
        <f>CW21</f>
        <v>0</v>
      </c>
      <c r="CY21" s="2268">
        <v>0</v>
      </c>
      <c r="CZ21" s="2268">
        <f>+CY21</f>
        <v>0</v>
      </c>
      <c r="DA21" s="2268"/>
      <c r="DB21" s="2268">
        <f>DA21</f>
        <v>0</v>
      </c>
      <c r="DC21" s="2267">
        <f t="shared" si="154"/>
        <v>0</v>
      </c>
      <c r="DD21" s="2267"/>
      <c r="DE21" s="2267">
        <f t="shared" si="155"/>
        <v>0</v>
      </c>
      <c r="DF21" s="2267"/>
      <c r="DG21" s="2267">
        <v>0</v>
      </c>
      <c r="DH21" s="2267">
        <f>DG21</f>
        <v>0</v>
      </c>
      <c r="DI21" s="2267"/>
      <c r="DJ21" s="2267">
        <f>DI21</f>
        <v>0</v>
      </c>
      <c r="DK21" s="2267">
        <v>20</v>
      </c>
      <c r="DL21" s="2267">
        <f>+DK21</f>
        <v>20</v>
      </c>
      <c r="DM21" s="2267">
        <v>0</v>
      </c>
      <c r="DN21" s="2267">
        <f>DM21</f>
        <v>0</v>
      </c>
      <c r="DO21" s="2267">
        <f t="shared" si="156"/>
        <v>-20</v>
      </c>
      <c r="DP21" s="2267"/>
      <c r="DQ21" s="2267">
        <f t="shared" si="157"/>
        <v>20</v>
      </c>
      <c r="DR21" s="2267"/>
      <c r="DS21" s="2267">
        <v>0</v>
      </c>
      <c r="DT21" s="2267">
        <f>DS21</f>
        <v>0</v>
      </c>
      <c r="DU21" s="2267"/>
      <c r="DV21" s="2267">
        <f>DU21</f>
        <v>0</v>
      </c>
      <c r="DW21" s="2268">
        <v>0</v>
      </c>
      <c r="DX21" s="2268">
        <f>+DW21</f>
        <v>0</v>
      </c>
      <c r="DY21" s="2268">
        <v>0</v>
      </c>
      <c r="DZ21" s="2268">
        <f>DY21</f>
        <v>0</v>
      </c>
      <c r="EA21" s="2267">
        <f t="shared" si="158"/>
        <v>0</v>
      </c>
      <c r="EB21" s="2267"/>
      <c r="EC21" s="2267">
        <f t="shared" si="159"/>
        <v>0</v>
      </c>
      <c r="ED21" s="2267"/>
      <c r="EE21" s="2267">
        <v>0</v>
      </c>
      <c r="EF21" s="2267">
        <f>EE21</f>
        <v>0</v>
      </c>
      <c r="EG21" s="2269"/>
      <c r="EH21" s="2269">
        <f>EG21</f>
        <v>0</v>
      </c>
      <c r="EI21" s="2267"/>
      <c r="EJ21" s="2267">
        <f>+EI21</f>
        <v>0</v>
      </c>
      <c r="EK21" s="2268">
        <v>0</v>
      </c>
      <c r="EL21" s="2268">
        <f>EK21</f>
        <v>0</v>
      </c>
      <c r="EM21" s="2267">
        <f t="shared" si="160"/>
        <v>0</v>
      </c>
      <c r="EN21" s="2267"/>
      <c r="EO21" s="2267">
        <f t="shared" si="161"/>
        <v>0</v>
      </c>
      <c r="EP21" s="2267"/>
      <c r="EQ21" s="2267">
        <v>0</v>
      </c>
      <c r="ER21" s="2267">
        <f>EQ21</f>
        <v>0</v>
      </c>
      <c r="ES21" s="2267">
        <v>0</v>
      </c>
      <c r="ET21" s="2267">
        <f>ES21</f>
        <v>0</v>
      </c>
      <c r="EU21" s="2267">
        <v>0</v>
      </c>
      <c r="EV21" s="2267">
        <f>+EU21</f>
        <v>0</v>
      </c>
      <c r="EW21" s="2267">
        <v>0</v>
      </c>
      <c r="EX21" s="2267">
        <f>EW21</f>
        <v>0</v>
      </c>
      <c r="EY21" s="2267">
        <f t="shared" si="162"/>
        <v>0</v>
      </c>
      <c r="EZ21" s="2267"/>
      <c r="FA21" s="2267">
        <f t="shared" si="163"/>
        <v>0</v>
      </c>
      <c r="FB21" s="2267"/>
      <c r="FC21" s="2271"/>
      <c r="FD21" s="2271"/>
      <c r="FE21" s="2272">
        <f t="shared" si="93"/>
        <v>0</v>
      </c>
      <c r="FF21" s="2272">
        <f t="shared" si="93"/>
        <v>0</v>
      </c>
    </row>
    <row r="22" spans="1:162" s="2273" customFormat="1" ht="27" customHeight="1">
      <c r="A22" s="2265">
        <v>5</v>
      </c>
      <c r="B22" s="2266" t="s">
        <v>97</v>
      </c>
      <c r="C22" s="2267">
        <f t="shared" si="79"/>
        <v>15000</v>
      </c>
      <c r="D22" s="2267">
        <f t="shared" si="79"/>
        <v>15000</v>
      </c>
      <c r="E22" s="2267">
        <f t="shared" si="79"/>
        <v>278</v>
      </c>
      <c r="F22" s="2267">
        <f t="shared" si="79"/>
        <v>278</v>
      </c>
      <c r="G22" s="2267">
        <f t="shared" si="79"/>
        <v>17250</v>
      </c>
      <c r="H22" s="2267">
        <f t="shared" si="80"/>
        <v>17250</v>
      </c>
      <c r="I22" s="2267">
        <f t="shared" si="80"/>
        <v>17000</v>
      </c>
      <c r="J22" s="2267">
        <f t="shared" si="80"/>
        <v>17000</v>
      </c>
      <c r="K22" s="2268">
        <f t="shared" si="30"/>
        <v>-250</v>
      </c>
      <c r="L22" s="2268">
        <f>+I22/G22*100</f>
        <v>98.550724637681171</v>
      </c>
      <c r="M22" s="2268">
        <f t="shared" si="32"/>
        <v>2250</v>
      </c>
      <c r="N22" s="2268">
        <f>+G22/C22*100</f>
        <v>114.99999999999999</v>
      </c>
      <c r="O22" s="2267">
        <v>0</v>
      </c>
      <c r="P22" s="2267">
        <f>O22</f>
        <v>0</v>
      </c>
      <c r="Q22" s="2267"/>
      <c r="R22" s="2267">
        <f>Q22</f>
        <v>0</v>
      </c>
      <c r="S22" s="2267">
        <v>30</v>
      </c>
      <c r="T22" s="2267">
        <f>S22</f>
        <v>30</v>
      </c>
      <c r="U22" s="2267"/>
      <c r="V22" s="2267"/>
      <c r="W22" s="2267">
        <f t="shared" si="142"/>
        <v>-30</v>
      </c>
      <c r="X22" s="2267">
        <f>+U22/S22*100</f>
        <v>0</v>
      </c>
      <c r="Y22" s="2267">
        <f t="shared" si="143"/>
        <v>30</v>
      </c>
      <c r="Z22" s="2267">
        <v>160</v>
      </c>
      <c r="AA22" s="2267">
        <v>250</v>
      </c>
      <c r="AB22" s="2267">
        <f>AA22</f>
        <v>250</v>
      </c>
      <c r="AC22" s="2267"/>
      <c r="AD22" s="2267"/>
      <c r="AE22" s="2268">
        <v>250</v>
      </c>
      <c r="AF22" s="2268">
        <f>AE22</f>
        <v>250</v>
      </c>
      <c r="AG22" s="2267">
        <v>250</v>
      </c>
      <c r="AH22" s="2267">
        <f>+AG22</f>
        <v>250</v>
      </c>
      <c r="AI22" s="2267">
        <f t="shared" si="144"/>
        <v>0</v>
      </c>
      <c r="AJ22" s="2267">
        <f>+AG22/AE22*100</f>
        <v>100</v>
      </c>
      <c r="AK22" s="2267">
        <f t="shared" si="145"/>
        <v>0</v>
      </c>
      <c r="AL22" s="2267">
        <v>160</v>
      </c>
      <c r="AM22" s="2267">
        <v>250</v>
      </c>
      <c r="AN22" s="2267">
        <f>AM22</f>
        <v>250</v>
      </c>
      <c r="AO22" s="2267">
        <v>278</v>
      </c>
      <c r="AP22" s="2267">
        <f>AO22</f>
        <v>278</v>
      </c>
      <c r="AQ22" s="2267">
        <v>320</v>
      </c>
      <c r="AR22" s="2267">
        <f>AQ22</f>
        <v>320</v>
      </c>
      <c r="AS22" s="2267">
        <v>300</v>
      </c>
      <c r="AT22" s="2267">
        <f>AS22</f>
        <v>300</v>
      </c>
      <c r="AU22" s="2267">
        <f t="shared" si="146"/>
        <v>-20</v>
      </c>
      <c r="AV22" s="2267">
        <f>+AS22/AQ22*100</f>
        <v>93.75</v>
      </c>
      <c r="AW22" s="2267">
        <f t="shared" si="147"/>
        <v>70</v>
      </c>
      <c r="AX22" s="2267">
        <v>160</v>
      </c>
      <c r="AY22" s="2267">
        <v>200</v>
      </c>
      <c r="AZ22" s="2267">
        <f>AY22</f>
        <v>200</v>
      </c>
      <c r="BA22" s="2267"/>
      <c r="BB22" s="2267">
        <f>BA22</f>
        <v>0</v>
      </c>
      <c r="BC22" s="2267">
        <v>200</v>
      </c>
      <c r="BD22" s="2267">
        <f>BC22</f>
        <v>200</v>
      </c>
      <c r="BE22" s="2267">
        <v>200</v>
      </c>
      <c r="BF22" s="2267">
        <f>BE22</f>
        <v>200</v>
      </c>
      <c r="BG22" s="2267">
        <f t="shared" si="148"/>
        <v>0</v>
      </c>
      <c r="BH22" s="2267">
        <f>+BE22/BC22*100</f>
        <v>100</v>
      </c>
      <c r="BI22" s="2267">
        <f t="shared" si="149"/>
        <v>0</v>
      </c>
      <c r="BJ22" s="2267">
        <v>160</v>
      </c>
      <c r="BK22" s="2267">
        <v>1000</v>
      </c>
      <c r="BL22" s="2267">
        <f>BK22</f>
        <v>1000</v>
      </c>
      <c r="BM22" s="2267"/>
      <c r="BN22" s="2267">
        <f>BM22</f>
        <v>0</v>
      </c>
      <c r="BO22" s="2267">
        <v>1000</v>
      </c>
      <c r="BP22" s="2267">
        <f>BO22</f>
        <v>1000</v>
      </c>
      <c r="BQ22" s="2267">
        <v>1200</v>
      </c>
      <c r="BR22" s="2267">
        <f>BQ22</f>
        <v>1200</v>
      </c>
      <c r="BS22" s="2267">
        <f t="shared" si="50"/>
        <v>200</v>
      </c>
      <c r="BT22" s="2267">
        <f>+BQ22/BO22*100</f>
        <v>120</v>
      </c>
      <c r="BU22" s="2267">
        <f t="shared" si="51"/>
        <v>0</v>
      </c>
      <c r="BV22" s="2267">
        <v>160</v>
      </c>
      <c r="BW22" s="2267">
        <v>4150</v>
      </c>
      <c r="BX22" s="2267">
        <f>BW22</f>
        <v>4150</v>
      </c>
      <c r="BY22" s="2268"/>
      <c r="BZ22" s="2268">
        <f>BY22</f>
        <v>0</v>
      </c>
      <c r="CA22" s="2268">
        <v>4500</v>
      </c>
      <c r="CB22" s="2268">
        <f>CA22</f>
        <v>4500</v>
      </c>
      <c r="CC22" s="2268">
        <v>4300</v>
      </c>
      <c r="CD22" s="2268">
        <f>CC22</f>
        <v>4300</v>
      </c>
      <c r="CE22" s="2267">
        <f t="shared" si="150"/>
        <v>-200</v>
      </c>
      <c r="CF22" s="2267">
        <f>+CC22/CA22*100</f>
        <v>95.555555555555557</v>
      </c>
      <c r="CG22" s="2270">
        <f t="shared" si="151"/>
        <v>350</v>
      </c>
      <c r="CH22" s="2267">
        <v>160</v>
      </c>
      <c r="CI22" s="2267">
        <v>2000</v>
      </c>
      <c r="CJ22" s="2267">
        <f>CI22</f>
        <v>2000</v>
      </c>
      <c r="CK22" s="2267"/>
      <c r="CL22" s="2267">
        <f>CK22</f>
        <v>0</v>
      </c>
      <c r="CM22" s="2267">
        <v>2250</v>
      </c>
      <c r="CN22" s="2267">
        <f>CM22</f>
        <v>2250</v>
      </c>
      <c r="CO22" s="2267">
        <v>2250</v>
      </c>
      <c r="CP22" s="2267">
        <f>CO22</f>
        <v>2250</v>
      </c>
      <c r="CQ22" s="2267">
        <f t="shared" si="152"/>
        <v>0</v>
      </c>
      <c r="CR22" s="2267">
        <f>+CO22/CM22*100</f>
        <v>100</v>
      </c>
      <c r="CS22" s="2267">
        <f t="shared" si="153"/>
        <v>250</v>
      </c>
      <c r="CT22" s="2267">
        <v>160</v>
      </c>
      <c r="CU22" s="2267">
        <v>1900</v>
      </c>
      <c r="CV22" s="2267">
        <f>CU22</f>
        <v>1900</v>
      </c>
      <c r="CW22" s="2267"/>
      <c r="CX22" s="2267">
        <f>CW22</f>
        <v>0</v>
      </c>
      <c r="CY22" s="2268">
        <v>2500</v>
      </c>
      <c r="CZ22" s="2268">
        <f>CY22</f>
        <v>2500</v>
      </c>
      <c r="DA22" s="2268">
        <v>2500</v>
      </c>
      <c r="DB22" s="2268">
        <f>DA22</f>
        <v>2500</v>
      </c>
      <c r="DC22" s="2267">
        <f t="shared" si="154"/>
        <v>0</v>
      </c>
      <c r="DD22" s="2267">
        <f>+DA22/CY22*100</f>
        <v>100</v>
      </c>
      <c r="DE22" s="2267">
        <f t="shared" si="155"/>
        <v>600</v>
      </c>
      <c r="DF22" s="2267">
        <v>160</v>
      </c>
      <c r="DG22" s="2267">
        <v>700</v>
      </c>
      <c r="DH22" s="2267">
        <f>DG22</f>
        <v>700</v>
      </c>
      <c r="DI22" s="2267"/>
      <c r="DJ22" s="2267">
        <f>DI22</f>
        <v>0</v>
      </c>
      <c r="DK22" s="2267">
        <v>700</v>
      </c>
      <c r="DL22" s="2267">
        <f>DK22</f>
        <v>700</v>
      </c>
      <c r="DM22" s="2268">
        <v>800</v>
      </c>
      <c r="DN22" s="2268">
        <f>DM22</f>
        <v>800</v>
      </c>
      <c r="DO22" s="2267">
        <f t="shared" si="156"/>
        <v>100</v>
      </c>
      <c r="DP22" s="2267">
        <f>+DM22/DK22*100</f>
        <v>114.28571428571428</v>
      </c>
      <c r="DQ22" s="2267">
        <f t="shared" si="157"/>
        <v>0</v>
      </c>
      <c r="DR22" s="2267">
        <v>160</v>
      </c>
      <c r="DS22" s="2267">
        <v>1000</v>
      </c>
      <c r="DT22" s="2267">
        <f>DS22</f>
        <v>1000</v>
      </c>
      <c r="DU22" s="2267"/>
      <c r="DV22" s="2267">
        <f>DU22</f>
        <v>0</v>
      </c>
      <c r="DW22" s="2268">
        <v>1000</v>
      </c>
      <c r="DX22" s="2268">
        <f>DW22</f>
        <v>1000</v>
      </c>
      <c r="DY22" s="2268">
        <v>1200</v>
      </c>
      <c r="DZ22" s="2268">
        <f>DY22</f>
        <v>1200</v>
      </c>
      <c r="EA22" s="2267">
        <f t="shared" si="158"/>
        <v>200</v>
      </c>
      <c r="EB22" s="2267">
        <f>+DY22/DW22*100</f>
        <v>120</v>
      </c>
      <c r="EC22" s="2267">
        <f t="shared" si="159"/>
        <v>0</v>
      </c>
      <c r="ED22" s="2267">
        <v>160</v>
      </c>
      <c r="EE22" s="2267">
        <v>2800</v>
      </c>
      <c r="EF22" s="2267">
        <f>EE22</f>
        <v>2800</v>
      </c>
      <c r="EG22" s="2269"/>
      <c r="EH22" s="2269">
        <f>EG22</f>
        <v>0</v>
      </c>
      <c r="EI22" s="2267">
        <v>3500</v>
      </c>
      <c r="EJ22" s="2267">
        <f>EI22</f>
        <v>3500</v>
      </c>
      <c r="EK22" s="2268">
        <v>3000</v>
      </c>
      <c r="EL22" s="2268">
        <f>EK22</f>
        <v>3000</v>
      </c>
      <c r="EM22" s="2267">
        <f t="shared" si="160"/>
        <v>-500</v>
      </c>
      <c r="EN22" s="2267">
        <f>+EK22/EI22*100</f>
        <v>85.714285714285708</v>
      </c>
      <c r="EO22" s="2267">
        <f t="shared" si="161"/>
        <v>700</v>
      </c>
      <c r="EP22" s="2267">
        <v>160</v>
      </c>
      <c r="EQ22" s="2267">
        <v>750</v>
      </c>
      <c r="ER22" s="2267">
        <f>EQ22</f>
        <v>750</v>
      </c>
      <c r="ES22" s="2267"/>
      <c r="ET22" s="2267">
        <f>ES22</f>
        <v>0</v>
      </c>
      <c r="EU22" s="2267">
        <v>1000</v>
      </c>
      <c r="EV22" s="2267">
        <f>EU22</f>
        <v>1000</v>
      </c>
      <c r="EW22" s="2267">
        <v>1000</v>
      </c>
      <c r="EX22" s="2267">
        <f>EW22</f>
        <v>1000</v>
      </c>
      <c r="EY22" s="2267">
        <f t="shared" si="162"/>
        <v>0</v>
      </c>
      <c r="EZ22" s="2267">
        <f>+EW22/EU22*100</f>
        <v>100</v>
      </c>
      <c r="FA22" s="2267">
        <f t="shared" si="163"/>
        <v>250</v>
      </c>
      <c r="FB22" s="2267">
        <v>160</v>
      </c>
      <c r="FC22" s="2271">
        <f>E22/C22</f>
        <v>1.8533333333333332E-2</v>
      </c>
      <c r="FD22" s="2271">
        <f>F22/D22</f>
        <v>1.8533333333333332E-2</v>
      </c>
      <c r="FE22" s="2272">
        <f t="shared" si="93"/>
        <v>-14722</v>
      </c>
      <c r="FF22" s="2272">
        <f t="shared" si="93"/>
        <v>-14722</v>
      </c>
    </row>
    <row r="23" spans="1:162" s="2273" customFormat="1" ht="27" customHeight="1">
      <c r="A23" s="2265">
        <v>6</v>
      </c>
      <c r="B23" s="2266" t="s">
        <v>796</v>
      </c>
      <c r="C23" s="2267">
        <f t="shared" si="79"/>
        <v>99300</v>
      </c>
      <c r="D23" s="2267">
        <f t="shared" si="79"/>
        <v>62400</v>
      </c>
      <c r="E23" s="2267">
        <f t="shared" si="79"/>
        <v>0</v>
      </c>
      <c r="F23" s="2267">
        <f t="shared" si="79"/>
        <v>0</v>
      </c>
      <c r="G23" s="2267">
        <f t="shared" si="79"/>
        <v>103195</v>
      </c>
      <c r="H23" s="2267">
        <f t="shared" si="80"/>
        <v>64595</v>
      </c>
      <c r="I23" s="2267">
        <f t="shared" si="80"/>
        <v>110400</v>
      </c>
      <c r="J23" s="2267">
        <f t="shared" si="80"/>
        <v>72400</v>
      </c>
      <c r="K23" s="2268">
        <f t="shared" si="30"/>
        <v>7205</v>
      </c>
      <c r="L23" s="2268">
        <f>+I23/G23*100</f>
        <v>106.9819274189641</v>
      </c>
      <c r="M23" s="2268">
        <f t="shared" si="32"/>
        <v>3895</v>
      </c>
      <c r="N23" s="2268">
        <f>+G23/C23*100</f>
        <v>103.92245720040283</v>
      </c>
      <c r="O23" s="2267">
        <f>SUM(O24:O26)</f>
        <v>4500</v>
      </c>
      <c r="P23" s="2267">
        <f t="shared" ref="P23:V23" si="164">SUM(P24:P26)</f>
        <v>2000</v>
      </c>
      <c r="Q23" s="2267">
        <f t="shared" si="164"/>
        <v>0</v>
      </c>
      <c r="R23" s="2267">
        <f t="shared" si="164"/>
        <v>0</v>
      </c>
      <c r="S23" s="2267">
        <f t="shared" si="164"/>
        <v>7250</v>
      </c>
      <c r="T23" s="2267">
        <f>SUM(T24:T26)</f>
        <v>3250</v>
      </c>
      <c r="U23" s="2267">
        <f t="shared" si="164"/>
        <v>7500</v>
      </c>
      <c r="V23" s="2267">
        <f t="shared" si="164"/>
        <v>4200</v>
      </c>
      <c r="W23" s="2267">
        <f>SUM(W24:W25)</f>
        <v>-700</v>
      </c>
      <c r="X23" s="2267">
        <f>U23/S23*100</f>
        <v>103.44827586206897</v>
      </c>
      <c r="Y23" s="2267">
        <f>SUM(Y24:Y25)</f>
        <v>1500</v>
      </c>
      <c r="Z23" s="2275">
        <f>S23/O23*100</f>
        <v>161.11111111111111</v>
      </c>
      <c r="AA23" s="2267">
        <f>SUM(AA24:AA26)</f>
        <v>6000</v>
      </c>
      <c r="AB23" s="2267">
        <f t="shared" ref="AB23:AH23" si="165">SUM(AB24:AB26)</f>
        <v>3000</v>
      </c>
      <c r="AC23" s="2267">
        <f t="shared" si="165"/>
        <v>0</v>
      </c>
      <c r="AD23" s="2267">
        <f t="shared" si="165"/>
        <v>0</v>
      </c>
      <c r="AE23" s="2268">
        <f t="shared" si="165"/>
        <v>6000</v>
      </c>
      <c r="AF23" s="2268">
        <f t="shared" si="165"/>
        <v>3000</v>
      </c>
      <c r="AG23" s="2267">
        <f t="shared" si="165"/>
        <v>6000</v>
      </c>
      <c r="AH23" s="2267">
        <f t="shared" si="165"/>
        <v>3000</v>
      </c>
      <c r="AI23" s="2267">
        <f>SUM(AI24:AI25)</f>
        <v>0</v>
      </c>
      <c r="AJ23" s="2267">
        <f>AG23/AE23*100</f>
        <v>100</v>
      </c>
      <c r="AK23" s="2267">
        <f>SUM(AK24:AK25)</f>
        <v>0</v>
      </c>
      <c r="AL23" s="2275">
        <f>AE23/AA23*100</f>
        <v>100</v>
      </c>
      <c r="AM23" s="2267">
        <f>SUM(AM24:AM26)</f>
        <v>3300</v>
      </c>
      <c r="AN23" s="2267">
        <f t="shared" ref="AN23:AT23" si="166">SUM(AN24:AN26)</f>
        <v>1650</v>
      </c>
      <c r="AO23" s="2267">
        <f t="shared" si="166"/>
        <v>0</v>
      </c>
      <c r="AP23" s="2267">
        <f t="shared" si="166"/>
        <v>0</v>
      </c>
      <c r="AQ23" s="2267">
        <f t="shared" si="166"/>
        <v>3300</v>
      </c>
      <c r="AR23" s="2267">
        <f t="shared" si="166"/>
        <v>1650</v>
      </c>
      <c r="AS23" s="2267">
        <f t="shared" si="166"/>
        <v>3500</v>
      </c>
      <c r="AT23" s="2267">
        <f t="shared" si="166"/>
        <v>1850</v>
      </c>
      <c r="AU23" s="2267">
        <f>SUM(AU24:AU25)</f>
        <v>0</v>
      </c>
      <c r="AV23" s="2267">
        <f>AS23/AQ23*100</f>
        <v>106.06060606060606</v>
      </c>
      <c r="AW23" s="2267">
        <f>SUM(AW24:AW25)</f>
        <v>0</v>
      </c>
      <c r="AX23" s="2275">
        <f>AQ23/AM23*100</f>
        <v>100</v>
      </c>
      <c r="AY23" s="2267">
        <f>SUM(AY24:AY26)</f>
        <v>4500</v>
      </c>
      <c r="AZ23" s="2267">
        <f t="shared" ref="AZ23:BF23" si="167">SUM(AZ24:AZ26)</f>
        <v>2500</v>
      </c>
      <c r="BA23" s="2267">
        <f t="shared" si="167"/>
        <v>0</v>
      </c>
      <c r="BB23" s="2267">
        <f t="shared" si="167"/>
        <v>0</v>
      </c>
      <c r="BC23" s="2267">
        <f t="shared" si="167"/>
        <v>4000</v>
      </c>
      <c r="BD23" s="2267">
        <f t="shared" si="167"/>
        <v>2000</v>
      </c>
      <c r="BE23" s="2267">
        <f t="shared" si="167"/>
        <v>4500</v>
      </c>
      <c r="BF23" s="2267">
        <f t="shared" si="167"/>
        <v>2500</v>
      </c>
      <c r="BG23" s="2267">
        <f>SUM(BG24:BG25)</f>
        <v>0</v>
      </c>
      <c r="BH23" s="2267">
        <f>BE23/BC23*100</f>
        <v>112.5</v>
      </c>
      <c r="BI23" s="2267">
        <f>SUM(BI24:BI25)</f>
        <v>0</v>
      </c>
      <c r="BJ23" s="2275">
        <f>BC23/AY23*100</f>
        <v>88.888888888888886</v>
      </c>
      <c r="BK23" s="2267">
        <f>SUM(BK24:BK26)</f>
        <v>7000</v>
      </c>
      <c r="BL23" s="2267">
        <f t="shared" ref="BL23:BR23" si="168">SUM(BL24:BL26)</f>
        <v>3750</v>
      </c>
      <c r="BM23" s="2267">
        <f t="shared" si="168"/>
        <v>0</v>
      </c>
      <c r="BN23" s="2267">
        <f t="shared" si="168"/>
        <v>0</v>
      </c>
      <c r="BO23" s="2267">
        <f t="shared" si="168"/>
        <v>6000</v>
      </c>
      <c r="BP23" s="2267">
        <f t="shared" si="168"/>
        <v>3250</v>
      </c>
      <c r="BQ23" s="2267">
        <f t="shared" si="168"/>
        <v>6000</v>
      </c>
      <c r="BR23" s="2267">
        <f t="shared" si="168"/>
        <v>3600</v>
      </c>
      <c r="BS23" s="2267">
        <f>SUM(BS24:BS25)</f>
        <v>-350</v>
      </c>
      <c r="BT23" s="2267">
        <f>BQ23/BO23*100</f>
        <v>100</v>
      </c>
      <c r="BU23" s="2267">
        <f>SUM(BU24:BU25)</f>
        <v>-500</v>
      </c>
      <c r="BV23" s="2275">
        <f>BO23/BK23*100</f>
        <v>85.714285714285708</v>
      </c>
      <c r="BW23" s="2267">
        <f>SUM(BW24:BW26)</f>
        <v>16000</v>
      </c>
      <c r="BX23" s="2267">
        <f t="shared" ref="BX23:CD23" si="169">SUM(BX24:BX26)</f>
        <v>12000</v>
      </c>
      <c r="BY23" s="2268">
        <f t="shared" si="169"/>
        <v>0</v>
      </c>
      <c r="BZ23" s="2268">
        <f t="shared" si="169"/>
        <v>0</v>
      </c>
      <c r="CA23" s="2268">
        <f t="shared" si="169"/>
        <v>15000</v>
      </c>
      <c r="CB23" s="2268">
        <f t="shared" si="169"/>
        <v>11500</v>
      </c>
      <c r="CC23" s="2268">
        <f t="shared" si="169"/>
        <v>17000</v>
      </c>
      <c r="CD23" s="2268">
        <f t="shared" si="169"/>
        <v>12800</v>
      </c>
      <c r="CE23" s="2267">
        <f>SUM(CE24:CE25)</f>
        <v>700</v>
      </c>
      <c r="CF23" s="2267">
        <f>CC23/CA23*100</f>
        <v>113.33333333333333</v>
      </c>
      <c r="CG23" s="2270">
        <f>SUM(CG24:CG25)</f>
        <v>-500</v>
      </c>
      <c r="CH23" s="2275">
        <f>CA23/BW23*100</f>
        <v>93.75</v>
      </c>
      <c r="CI23" s="2267">
        <f>SUM(CI24:CI26)</f>
        <v>11000</v>
      </c>
      <c r="CJ23" s="2267">
        <f t="shared" ref="CJ23:CP23" si="170">SUM(CJ24:CJ26)</f>
        <v>8000</v>
      </c>
      <c r="CK23" s="2267">
        <f t="shared" si="170"/>
        <v>0</v>
      </c>
      <c r="CL23" s="2267">
        <f t="shared" si="170"/>
        <v>0</v>
      </c>
      <c r="CM23" s="2267">
        <f t="shared" si="170"/>
        <v>9000</v>
      </c>
      <c r="CN23" s="2267">
        <f t="shared" si="170"/>
        <v>7000</v>
      </c>
      <c r="CO23" s="2267">
        <f t="shared" si="170"/>
        <v>10000</v>
      </c>
      <c r="CP23" s="2267">
        <f t="shared" si="170"/>
        <v>7600</v>
      </c>
      <c r="CQ23" s="2267">
        <f>SUM(CQ24:CQ25)</f>
        <v>400</v>
      </c>
      <c r="CR23" s="2267">
        <f>CO23/CM23*100</f>
        <v>111.11111111111111</v>
      </c>
      <c r="CS23" s="2267">
        <f>SUM(CS24:CS25)</f>
        <v>-1000</v>
      </c>
      <c r="CT23" s="2275">
        <f>CM23/CI23*100</f>
        <v>81.818181818181827</v>
      </c>
      <c r="CU23" s="2267">
        <f>SUM(CU24:CU26)</f>
        <v>9000</v>
      </c>
      <c r="CV23" s="2267">
        <f t="shared" ref="CV23:DB23" si="171">SUM(CV24:CV26)</f>
        <v>6500</v>
      </c>
      <c r="CW23" s="2267">
        <f t="shared" si="171"/>
        <v>0</v>
      </c>
      <c r="CX23" s="2267">
        <f t="shared" si="171"/>
        <v>0</v>
      </c>
      <c r="CY23" s="2268">
        <f t="shared" si="171"/>
        <v>10000</v>
      </c>
      <c r="CZ23" s="2268">
        <f t="shared" si="171"/>
        <v>7000</v>
      </c>
      <c r="DA23" s="2268">
        <f t="shared" si="171"/>
        <v>10000</v>
      </c>
      <c r="DB23" s="2268">
        <f t="shared" si="171"/>
        <v>7000</v>
      </c>
      <c r="DC23" s="2267">
        <f>SUM(DC24:DC25)</f>
        <v>0</v>
      </c>
      <c r="DD23" s="2267">
        <f>DA23/CY23*100</f>
        <v>100</v>
      </c>
      <c r="DE23" s="2267">
        <f>SUM(DE24:DE25)</f>
        <v>500</v>
      </c>
      <c r="DF23" s="2275">
        <f>CY23/CU23*100</f>
        <v>111.11111111111111</v>
      </c>
      <c r="DG23" s="2267">
        <f>SUM(DG24:DG26)</f>
        <v>11000</v>
      </c>
      <c r="DH23" s="2267">
        <f t="shared" ref="DH23:DN23" si="172">SUM(DH24:DH26)</f>
        <v>7500</v>
      </c>
      <c r="DI23" s="2267">
        <f t="shared" si="172"/>
        <v>0</v>
      </c>
      <c r="DJ23" s="2267">
        <f t="shared" si="172"/>
        <v>0</v>
      </c>
      <c r="DK23" s="2267">
        <f t="shared" si="172"/>
        <v>14280</v>
      </c>
      <c r="DL23" s="2267">
        <f t="shared" si="172"/>
        <v>9730</v>
      </c>
      <c r="DM23" s="2268">
        <f t="shared" si="172"/>
        <v>15400</v>
      </c>
      <c r="DN23" s="2268">
        <f t="shared" si="172"/>
        <v>10900</v>
      </c>
      <c r="DO23" s="2267">
        <f>SUM(DO24:DO25)</f>
        <v>-50</v>
      </c>
      <c r="DP23" s="2267">
        <f>DM23/DK23*100</f>
        <v>107.84313725490196</v>
      </c>
      <c r="DQ23" s="2267">
        <f>SUM(DQ24:DQ25)</f>
        <v>1050</v>
      </c>
      <c r="DR23" s="2275">
        <f>DK23/DG23*100</f>
        <v>129.81818181818181</v>
      </c>
      <c r="DS23" s="2267">
        <f>SUM(DS24:DS26)</f>
        <v>7000</v>
      </c>
      <c r="DT23" s="2267">
        <f t="shared" ref="DT23:DZ23" si="173">SUM(DT24:DT26)</f>
        <v>4250</v>
      </c>
      <c r="DU23" s="2267">
        <f t="shared" si="173"/>
        <v>0</v>
      </c>
      <c r="DV23" s="2267">
        <f t="shared" si="173"/>
        <v>0</v>
      </c>
      <c r="DW23" s="2268">
        <f t="shared" si="173"/>
        <v>7300</v>
      </c>
      <c r="DX23" s="2268">
        <f t="shared" si="173"/>
        <v>4500</v>
      </c>
      <c r="DY23" s="2268">
        <f t="shared" si="173"/>
        <v>8000</v>
      </c>
      <c r="DZ23" s="2268">
        <f t="shared" si="173"/>
        <v>5200</v>
      </c>
      <c r="EA23" s="2267">
        <f>SUM(EA24:EA25)</f>
        <v>0</v>
      </c>
      <c r="EB23" s="2267">
        <f>DY23/DW23*100</f>
        <v>109.58904109589041</v>
      </c>
      <c r="EC23" s="2267">
        <f>SUM(EC24:EC25)</f>
        <v>50</v>
      </c>
      <c r="ED23" s="2275">
        <f>DW23/DS23*100</f>
        <v>104.28571428571429</v>
      </c>
      <c r="EE23" s="2267">
        <f>SUM(EE24:EE26)</f>
        <v>13000</v>
      </c>
      <c r="EF23" s="2267">
        <f t="shared" ref="EF23:EL23" si="174">SUM(EF24:EF26)</f>
        <v>7000</v>
      </c>
      <c r="EG23" s="2269">
        <f t="shared" si="174"/>
        <v>0</v>
      </c>
      <c r="EH23" s="2269">
        <f t="shared" si="174"/>
        <v>0</v>
      </c>
      <c r="EI23" s="2267">
        <f t="shared" si="174"/>
        <v>14065</v>
      </c>
      <c r="EJ23" s="2267">
        <f t="shared" si="174"/>
        <v>7465</v>
      </c>
      <c r="EK23" s="2268">
        <f t="shared" si="174"/>
        <v>15500</v>
      </c>
      <c r="EL23" s="2268">
        <f t="shared" si="174"/>
        <v>9500</v>
      </c>
      <c r="EM23" s="2267">
        <f>SUM(EM24:EM25)</f>
        <v>-599.99999999999977</v>
      </c>
      <c r="EN23" s="2267">
        <f>EK23/EI23*100</f>
        <v>110.20263064344115</v>
      </c>
      <c r="EO23" s="2267">
        <f>SUM(EO24:EO25)</f>
        <v>600</v>
      </c>
      <c r="EP23" s="2275">
        <f>EI23/EE23*100</f>
        <v>108.19230769230769</v>
      </c>
      <c r="EQ23" s="2267">
        <f>SUM(EQ24:EQ26)</f>
        <v>7000</v>
      </c>
      <c r="ER23" s="2267">
        <f t="shared" ref="ER23:EV23" si="175">SUM(ER24:ER26)</f>
        <v>4250</v>
      </c>
      <c r="ES23" s="2267">
        <f t="shared" si="175"/>
        <v>0</v>
      </c>
      <c r="ET23" s="2267">
        <f t="shared" si="175"/>
        <v>0</v>
      </c>
      <c r="EU23" s="2267">
        <f t="shared" si="175"/>
        <v>7000</v>
      </c>
      <c r="EV23" s="2267">
        <f t="shared" si="175"/>
        <v>4250</v>
      </c>
      <c r="EW23" s="2267">
        <f>SUM(EW24:EW26)</f>
        <v>7000</v>
      </c>
      <c r="EX23" s="2267">
        <f>SUM(EX24:EX26)</f>
        <v>4250</v>
      </c>
      <c r="EY23" s="2267">
        <f>SUM(EY24:EY25)</f>
        <v>0</v>
      </c>
      <c r="EZ23" s="2267">
        <f>EW23/EU23*100</f>
        <v>100</v>
      </c>
      <c r="FA23" s="2267">
        <f>SUM(FA24:FA25)</f>
        <v>0</v>
      </c>
      <c r="FB23" s="2275">
        <f>EU23/EQ23*100</f>
        <v>100</v>
      </c>
      <c r="FC23" s="2271">
        <f>E23/C23</f>
        <v>0</v>
      </c>
      <c r="FD23" s="2271">
        <f>F23/D23</f>
        <v>0</v>
      </c>
      <c r="FE23" s="2272">
        <f t="shared" si="93"/>
        <v>-99300</v>
      </c>
      <c r="FF23" s="2272">
        <f t="shared" si="93"/>
        <v>-62400</v>
      </c>
    </row>
    <row r="24" spans="1:162" s="596" customFormat="1" ht="27" customHeight="1">
      <c r="A24" s="2274" t="s">
        <v>29</v>
      </c>
      <c r="B24" s="43" t="s">
        <v>794</v>
      </c>
      <c r="C24" s="2275">
        <f t="shared" si="79"/>
        <v>34000</v>
      </c>
      <c r="D24" s="2275">
        <f t="shared" si="79"/>
        <v>0</v>
      </c>
      <c r="E24" s="2275">
        <f t="shared" si="79"/>
        <v>0</v>
      </c>
      <c r="F24" s="2275">
        <f t="shared" si="79"/>
        <v>0</v>
      </c>
      <c r="G24" s="2275">
        <f t="shared" si="79"/>
        <v>35100</v>
      </c>
      <c r="H24" s="2275">
        <f t="shared" si="79"/>
        <v>0</v>
      </c>
      <c r="I24" s="2275">
        <f t="shared" si="79"/>
        <v>34800</v>
      </c>
      <c r="J24" s="2275">
        <f t="shared" si="79"/>
        <v>0</v>
      </c>
      <c r="K24" s="2277">
        <f t="shared" si="30"/>
        <v>-300</v>
      </c>
      <c r="L24" s="2277">
        <f t="shared" ref="L24:L26" si="176">+I24/G24*100</f>
        <v>99.145299145299148</v>
      </c>
      <c r="M24" s="2277">
        <f t="shared" si="32"/>
        <v>1100</v>
      </c>
      <c r="N24" s="2277">
        <f t="shared" ref="N24:N26" si="177">+G24/C24*100</f>
        <v>103.23529411764707</v>
      </c>
      <c r="O24" s="2275">
        <v>2000</v>
      </c>
      <c r="P24" s="2275">
        <v>0</v>
      </c>
      <c r="Q24" s="2276"/>
      <c r="R24" s="2275">
        <v>0</v>
      </c>
      <c r="S24" s="2276">
        <f>2000*1.6</f>
        <v>3200</v>
      </c>
      <c r="T24" s="2275"/>
      <c r="U24" s="2285">
        <v>2500</v>
      </c>
      <c r="V24" s="2275"/>
      <c r="W24" s="2286">
        <f>U24-S24</f>
        <v>-700</v>
      </c>
      <c r="X24" s="2275">
        <f t="shared" ref="X24:X26" si="178">U24/S24*100</f>
        <v>78.125</v>
      </c>
      <c r="Y24" s="2286">
        <f>S24-O24</f>
        <v>1200</v>
      </c>
      <c r="Z24" s="2275">
        <f t="shared" ref="Z24:Z26" si="179">S24/O24*100</f>
        <v>160</v>
      </c>
      <c r="AA24" s="2275">
        <v>3000</v>
      </c>
      <c r="AB24" s="2275">
        <v>0</v>
      </c>
      <c r="AC24" s="2276"/>
      <c r="AD24" s="2276"/>
      <c r="AE24" s="2276">
        <f>3000</f>
        <v>3000</v>
      </c>
      <c r="AF24" s="2276">
        <v>0</v>
      </c>
      <c r="AG24" s="2276">
        <v>3000</v>
      </c>
      <c r="AH24" s="2276"/>
      <c r="AI24" s="2286">
        <f>AG24-AE24</f>
        <v>0</v>
      </c>
      <c r="AJ24" s="2275">
        <f t="shared" ref="AJ24:AJ26" si="180">AG24/AE24*100</f>
        <v>100</v>
      </c>
      <c r="AK24" s="2286">
        <f>AE24-AA24</f>
        <v>0</v>
      </c>
      <c r="AL24" s="2275">
        <f t="shared" ref="AL24:AL26" si="181">AE24/AA24*100</f>
        <v>100</v>
      </c>
      <c r="AM24" s="2275">
        <v>1500</v>
      </c>
      <c r="AN24" s="2275">
        <v>0</v>
      </c>
      <c r="AO24" s="2275"/>
      <c r="AP24" s="2275">
        <v>0</v>
      </c>
      <c r="AQ24" s="2276">
        <v>1500</v>
      </c>
      <c r="AR24" s="2275">
        <v>0</v>
      </c>
      <c r="AS24" s="2275">
        <v>1500</v>
      </c>
      <c r="AT24" s="2275">
        <v>0</v>
      </c>
      <c r="AU24" s="2286">
        <f>AS24-AQ24</f>
        <v>0</v>
      </c>
      <c r="AV24" s="2275">
        <f t="shared" ref="AV24:AV26" si="182">AS24/AQ24*100</f>
        <v>100</v>
      </c>
      <c r="AW24" s="2286">
        <f>AQ24-AM24</f>
        <v>0</v>
      </c>
      <c r="AX24" s="2275">
        <f t="shared" ref="AX24:AX26" si="183">AQ24/AM24*100</f>
        <v>100</v>
      </c>
      <c r="AY24" s="2275">
        <v>2000</v>
      </c>
      <c r="AZ24" s="2277">
        <v>0</v>
      </c>
      <c r="BA24" s="2277"/>
      <c r="BB24" s="2277">
        <v>0</v>
      </c>
      <c r="BC24" s="2277">
        <v>2000</v>
      </c>
      <c r="BD24" s="2277">
        <v>0</v>
      </c>
      <c r="BE24" s="2277">
        <v>2000</v>
      </c>
      <c r="BF24" s="2277">
        <v>0</v>
      </c>
      <c r="BG24" s="2286">
        <f>BE24-BC24</f>
        <v>0</v>
      </c>
      <c r="BH24" s="2275">
        <f t="shared" ref="BH24:BH26" si="184">BE24/BC24*100</f>
        <v>100</v>
      </c>
      <c r="BI24" s="2286">
        <f>BC24-AY24</f>
        <v>0</v>
      </c>
      <c r="BJ24" s="2275">
        <f t="shared" ref="BJ24:BJ26" si="185">BC24/AY24*100</f>
        <v>100</v>
      </c>
      <c r="BK24" s="2275">
        <v>3000</v>
      </c>
      <c r="BL24" s="2275">
        <v>0</v>
      </c>
      <c r="BM24" s="2275"/>
      <c r="BN24" s="2277">
        <v>0</v>
      </c>
      <c r="BO24" s="2277">
        <v>2550</v>
      </c>
      <c r="BP24" s="2277">
        <v>0</v>
      </c>
      <c r="BQ24" s="2277">
        <v>2200</v>
      </c>
      <c r="BR24" s="2277">
        <v>0</v>
      </c>
      <c r="BS24" s="2286">
        <f>BQ24-BO24</f>
        <v>-350</v>
      </c>
      <c r="BT24" s="2275">
        <f t="shared" ref="BT24:BT26" si="186">BQ24/BO24*100</f>
        <v>86.274509803921575</v>
      </c>
      <c r="BU24" s="2286">
        <f>BO24-BK24</f>
        <v>-450</v>
      </c>
      <c r="BV24" s="2275">
        <f t="shared" ref="BV24:BV26" si="187">BO24/BK24*100</f>
        <v>85</v>
      </c>
      <c r="BW24" s="2275">
        <v>4000</v>
      </c>
      <c r="BX24" s="2275">
        <v>0</v>
      </c>
      <c r="BY24" s="2277"/>
      <c r="BZ24" s="2277">
        <v>0</v>
      </c>
      <c r="CA24" s="2277">
        <v>3500</v>
      </c>
      <c r="CB24" s="2277">
        <v>0</v>
      </c>
      <c r="CC24" s="2277">
        <v>4200</v>
      </c>
      <c r="CD24" s="2277">
        <v>0</v>
      </c>
      <c r="CE24" s="2286">
        <f>CC24-CA24</f>
        <v>700</v>
      </c>
      <c r="CF24" s="2275">
        <f t="shared" ref="CF24:CF26" si="188">CC24/CA24*100</f>
        <v>120</v>
      </c>
      <c r="CG24" s="2270">
        <f>CA24-BW24</f>
        <v>-500</v>
      </c>
      <c r="CH24" s="2275">
        <f t="shared" ref="CH24:CH26" si="189">CA24/BW24*100</f>
        <v>87.5</v>
      </c>
      <c r="CI24" s="2275">
        <v>3000</v>
      </c>
      <c r="CJ24" s="2277">
        <v>0</v>
      </c>
      <c r="CK24" s="2277"/>
      <c r="CL24" s="2277">
        <v>0</v>
      </c>
      <c r="CM24" s="2277">
        <v>2000</v>
      </c>
      <c r="CN24" s="2277">
        <v>0</v>
      </c>
      <c r="CO24" s="2981">
        <v>2400</v>
      </c>
      <c r="CP24" s="2277">
        <v>0</v>
      </c>
      <c r="CQ24" s="2282">
        <f>CO24-CM24</f>
        <v>400</v>
      </c>
      <c r="CR24" s="2275">
        <f t="shared" ref="CR24:CR26" si="190">CO24/CM24*100</f>
        <v>120</v>
      </c>
      <c r="CS24" s="2286">
        <f>CM24-CI24</f>
        <v>-1000</v>
      </c>
      <c r="CT24" s="2275">
        <f t="shared" ref="CT24:CT26" si="191">CM24/CI24*100</f>
        <v>66.666666666666657</v>
      </c>
      <c r="CU24" s="2275">
        <v>2500</v>
      </c>
      <c r="CV24" s="2275">
        <v>0</v>
      </c>
      <c r="CW24" s="2275"/>
      <c r="CX24" s="2275">
        <v>0</v>
      </c>
      <c r="CY24" s="2277">
        <v>3000</v>
      </c>
      <c r="CZ24" s="2277">
        <v>0</v>
      </c>
      <c r="DA24" s="2277">
        <v>3000</v>
      </c>
      <c r="DB24" s="2277">
        <v>0</v>
      </c>
      <c r="DC24" s="2286">
        <f>DA24-CY24</f>
        <v>0</v>
      </c>
      <c r="DD24" s="2275">
        <f t="shared" ref="DD24:DD26" si="192">DA24/CY24*100</f>
        <v>100</v>
      </c>
      <c r="DE24" s="2286">
        <f>CY24-CU24</f>
        <v>500</v>
      </c>
      <c r="DF24" s="2275">
        <f t="shared" ref="DF24:DF26" si="193">CY24/CU24*100</f>
        <v>120</v>
      </c>
      <c r="DG24" s="2275">
        <v>3500</v>
      </c>
      <c r="DH24" s="2275">
        <v>0</v>
      </c>
      <c r="DI24" s="2275"/>
      <c r="DJ24" s="2275">
        <v>0</v>
      </c>
      <c r="DK24" s="2275">
        <f>3500*1.3</f>
        <v>4550</v>
      </c>
      <c r="DL24" s="2275">
        <v>0</v>
      </c>
      <c r="DM24" s="2277">
        <v>4500</v>
      </c>
      <c r="DN24" s="2277">
        <v>0</v>
      </c>
      <c r="DO24" s="2286">
        <f>DM24-DK24</f>
        <v>-50</v>
      </c>
      <c r="DP24" s="2275">
        <f t="shared" ref="DP24:DP26" si="194">DM24/DK24*100</f>
        <v>98.901098901098905</v>
      </c>
      <c r="DQ24" s="2286">
        <f>DK24-DG24</f>
        <v>1050</v>
      </c>
      <c r="DR24" s="2275">
        <f t="shared" ref="DR24:DR26" si="195">DK24/DG24*100</f>
        <v>130</v>
      </c>
      <c r="DS24" s="2275">
        <v>2500</v>
      </c>
      <c r="DT24" s="2275">
        <v>0</v>
      </c>
      <c r="DU24" s="2276"/>
      <c r="DV24" s="2276">
        <v>0</v>
      </c>
      <c r="DW24" s="2277">
        <v>2500</v>
      </c>
      <c r="DX24" s="2277">
        <v>0</v>
      </c>
      <c r="DY24" s="2277">
        <v>2500</v>
      </c>
      <c r="DZ24" s="2277">
        <v>0</v>
      </c>
      <c r="EA24" s="2286">
        <f>DY24-DW24</f>
        <v>0</v>
      </c>
      <c r="EB24" s="2275">
        <f t="shared" ref="EB24:EB26" si="196">DY24/DW24*100</f>
        <v>100</v>
      </c>
      <c r="EC24" s="2286">
        <f>DW24-DS24</f>
        <v>0</v>
      </c>
      <c r="ED24" s="2275">
        <f t="shared" ref="ED24:ED26" si="197">DW24/DS24*100</f>
        <v>100</v>
      </c>
      <c r="EE24" s="2275">
        <v>4500</v>
      </c>
      <c r="EF24" s="2275">
        <v>0</v>
      </c>
      <c r="EG24" s="2276"/>
      <c r="EH24" s="2276">
        <v>0</v>
      </c>
      <c r="EI24" s="2275">
        <f>4500+300</f>
        <v>4800</v>
      </c>
      <c r="EJ24" s="2275">
        <v>0</v>
      </c>
      <c r="EK24" s="2276">
        <v>4500</v>
      </c>
      <c r="EL24" s="2277">
        <v>0</v>
      </c>
      <c r="EM24" s="2286">
        <f>EK24-EI24</f>
        <v>-300</v>
      </c>
      <c r="EN24" s="2275">
        <f t="shared" ref="EN24:EN26" si="198">EK24/EI24*100</f>
        <v>93.75</v>
      </c>
      <c r="EO24" s="2286">
        <f>EI24-EE24</f>
        <v>300</v>
      </c>
      <c r="EP24" s="2275">
        <f t="shared" ref="EP24:EP26" si="199">EI24/EE24*100</f>
        <v>106.66666666666667</v>
      </c>
      <c r="EQ24" s="2275">
        <v>2500</v>
      </c>
      <c r="ER24" s="2275">
        <v>0</v>
      </c>
      <c r="ES24" s="2275"/>
      <c r="ET24" s="2275">
        <v>0</v>
      </c>
      <c r="EU24" s="2275">
        <v>2500</v>
      </c>
      <c r="EV24" s="2275">
        <v>0</v>
      </c>
      <c r="EW24" s="2275">
        <v>2500</v>
      </c>
      <c r="EX24" s="2275"/>
      <c r="EY24" s="2286">
        <f>EW24-EU24</f>
        <v>0</v>
      </c>
      <c r="EZ24" s="2275">
        <f t="shared" ref="EZ24:EZ26" si="200">EW24/EU24*100</f>
        <v>100</v>
      </c>
      <c r="FA24" s="2286">
        <f>EU24-EQ24</f>
        <v>0</v>
      </c>
      <c r="FB24" s="2275">
        <f t="shared" ref="FB24:FB26" si="201">EU24/EQ24*100</f>
        <v>100</v>
      </c>
      <c r="FC24" s="2278"/>
      <c r="FD24" s="2278"/>
      <c r="FE24" s="2279"/>
      <c r="FF24" s="2279"/>
    </row>
    <row r="25" spans="1:162" s="596" customFormat="1" ht="27" customHeight="1">
      <c r="A25" s="2274" t="s">
        <v>29</v>
      </c>
      <c r="B25" s="43" t="s">
        <v>795</v>
      </c>
      <c r="C25" s="2275">
        <f t="shared" si="79"/>
        <v>2900</v>
      </c>
      <c r="D25" s="2275">
        <f t="shared" si="79"/>
        <v>0</v>
      </c>
      <c r="E25" s="2275">
        <f t="shared" si="79"/>
        <v>0</v>
      </c>
      <c r="F25" s="2275">
        <f t="shared" si="79"/>
        <v>0</v>
      </c>
      <c r="G25" s="2275">
        <f t="shared" si="79"/>
        <v>3500</v>
      </c>
      <c r="H25" s="2275">
        <f t="shared" si="79"/>
        <v>0</v>
      </c>
      <c r="I25" s="2275">
        <f t="shared" si="79"/>
        <v>3200</v>
      </c>
      <c r="J25" s="2275">
        <f t="shared" si="79"/>
        <v>0</v>
      </c>
      <c r="K25" s="2277">
        <f t="shared" si="30"/>
        <v>-300</v>
      </c>
      <c r="L25" s="2277">
        <f t="shared" si="176"/>
        <v>91.428571428571431</v>
      </c>
      <c r="M25" s="2277">
        <f t="shared" si="32"/>
        <v>600</v>
      </c>
      <c r="N25" s="2277">
        <f t="shared" si="177"/>
        <v>120.68965517241379</v>
      </c>
      <c r="O25" s="2275">
        <v>500</v>
      </c>
      <c r="P25" s="2275">
        <v>0</v>
      </c>
      <c r="Q25" s="2276"/>
      <c r="R25" s="2275">
        <v>0</v>
      </c>
      <c r="S25" s="2276">
        <f>500*1.6</f>
        <v>800</v>
      </c>
      <c r="T25" s="2275"/>
      <c r="U25" s="2285">
        <f>500*1.6</f>
        <v>800</v>
      </c>
      <c r="V25" s="2275"/>
      <c r="W25" s="2286">
        <f t="shared" ref="W25:W26" si="202">U25-S25</f>
        <v>0</v>
      </c>
      <c r="X25" s="2275">
        <f t="shared" si="178"/>
        <v>100</v>
      </c>
      <c r="Y25" s="2286">
        <f t="shared" ref="Y25:Y26" si="203">S25-O25</f>
        <v>300</v>
      </c>
      <c r="Z25" s="2275">
        <f t="shared" si="179"/>
        <v>160</v>
      </c>
      <c r="AA25" s="2275">
        <v>0</v>
      </c>
      <c r="AB25" s="2275">
        <v>0</v>
      </c>
      <c r="AC25" s="2276"/>
      <c r="AD25" s="2276"/>
      <c r="AE25" s="2276">
        <f>AC25/8*12</f>
        <v>0</v>
      </c>
      <c r="AF25" s="2276">
        <v>0</v>
      </c>
      <c r="AG25" s="2276"/>
      <c r="AH25" s="2276"/>
      <c r="AI25" s="2286">
        <f t="shared" ref="AI25:AI26" si="204">AG25-AE25</f>
        <v>0</v>
      </c>
      <c r="AJ25" s="2275" t="e">
        <f t="shared" si="180"/>
        <v>#DIV/0!</v>
      </c>
      <c r="AK25" s="2286">
        <f t="shared" ref="AK25:AK26" si="205">AE25-AA25</f>
        <v>0</v>
      </c>
      <c r="AL25" s="2275" t="e">
        <f t="shared" si="181"/>
        <v>#DIV/0!</v>
      </c>
      <c r="AM25" s="2275">
        <v>150</v>
      </c>
      <c r="AN25" s="2275">
        <v>0</v>
      </c>
      <c r="AO25" s="2275"/>
      <c r="AP25" s="2275">
        <v>0</v>
      </c>
      <c r="AQ25" s="2276">
        <v>150</v>
      </c>
      <c r="AR25" s="2275">
        <v>0</v>
      </c>
      <c r="AS25" s="2275">
        <v>150</v>
      </c>
      <c r="AT25" s="2275">
        <v>0</v>
      </c>
      <c r="AU25" s="2286">
        <f t="shared" ref="AU25:AU26" si="206">AS25-AQ25</f>
        <v>0</v>
      </c>
      <c r="AV25" s="2275">
        <f t="shared" si="182"/>
        <v>100</v>
      </c>
      <c r="AW25" s="2286">
        <f t="shared" ref="AW25:AW26" si="207">AQ25-AM25</f>
        <v>0</v>
      </c>
      <c r="AX25" s="2275">
        <f t="shared" si="183"/>
        <v>100</v>
      </c>
      <c r="AY25" s="2275">
        <v>0</v>
      </c>
      <c r="AZ25" s="2277">
        <v>0</v>
      </c>
      <c r="BA25" s="2277"/>
      <c r="BB25" s="2277">
        <v>0</v>
      </c>
      <c r="BC25" s="2277">
        <f>BA25/8*12</f>
        <v>0</v>
      </c>
      <c r="BD25" s="2277">
        <v>0</v>
      </c>
      <c r="BE25" s="2277"/>
      <c r="BF25" s="2277">
        <v>0</v>
      </c>
      <c r="BG25" s="2286">
        <f t="shared" ref="BG25:BG26" si="208">BE25-BC25</f>
        <v>0</v>
      </c>
      <c r="BH25" s="2275" t="e">
        <f t="shared" si="184"/>
        <v>#DIV/0!</v>
      </c>
      <c r="BI25" s="2286">
        <f t="shared" ref="BI25:BI26" si="209">BC25-AY25</f>
        <v>0</v>
      </c>
      <c r="BJ25" s="2275" t="e">
        <f t="shared" si="185"/>
        <v>#DIV/0!</v>
      </c>
      <c r="BK25" s="2275">
        <v>250</v>
      </c>
      <c r="BL25" s="2275">
        <v>0</v>
      </c>
      <c r="BM25" s="2275"/>
      <c r="BN25" s="2277">
        <v>0</v>
      </c>
      <c r="BO25" s="2277">
        <v>200</v>
      </c>
      <c r="BP25" s="2277">
        <v>0</v>
      </c>
      <c r="BQ25" s="2277">
        <v>200</v>
      </c>
      <c r="BR25" s="2277">
        <v>0</v>
      </c>
      <c r="BS25" s="2286">
        <f t="shared" ref="BS25:BS26" si="210">BQ25-BO25</f>
        <v>0</v>
      </c>
      <c r="BT25" s="2275">
        <f t="shared" si="186"/>
        <v>100</v>
      </c>
      <c r="BU25" s="2286">
        <f t="shared" ref="BU25:BU26" si="211">BO25-BK25</f>
        <v>-50</v>
      </c>
      <c r="BV25" s="2275">
        <f t="shared" si="187"/>
        <v>80</v>
      </c>
      <c r="BW25" s="2275">
        <v>0</v>
      </c>
      <c r="BX25" s="2275">
        <v>0</v>
      </c>
      <c r="BY25" s="2277"/>
      <c r="BZ25" s="2277">
        <v>0</v>
      </c>
      <c r="CA25" s="2277">
        <f>BY25/8*12</f>
        <v>0</v>
      </c>
      <c r="CB25" s="2277">
        <v>0</v>
      </c>
      <c r="CC25" s="2277">
        <v>0</v>
      </c>
      <c r="CD25" s="2277">
        <v>0</v>
      </c>
      <c r="CE25" s="2286">
        <f t="shared" ref="CE25:CE26" si="212">CC25-CA25</f>
        <v>0</v>
      </c>
      <c r="CF25" s="2275" t="e">
        <f t="shared" si="188"/>
        <v>#DIV/0!</v>
      </c>
      <c r="CG25" s="2270">
        <f t="shared" ref="CG25:CG26" si="213">CA25-BW25</f>
        <v>0</v>
      </c>
      <c r="CH25" s="2275" t="e">
        <f t="shared" si="189"/>
        <v>#DIV/0!</v>
      </c>
      <c r="CI25" s="2275">
        <v>0</v>
      </c>
      <c r="CJ25" s="2277">
        <v>0</v>
      </c>
      <c r="CK25" s="2277"/>
      <c r="CL25" s="2277">
        <v>0</v>
      </c>
      <c r="CM25" s="2277">
        <f>CK25/8*12</f>
        <v>0</v>
      </c>
      <c r="CN25" s="2277">
        <v>0</v>
      </c>
      <c r="CO25" s="2277">
        <v>0</v>
      </c>
      <c r="CP25" s="2277">
        <v>0</v>
      </c>
      <c r="CQ25" s="2282">
        <f t="shared" ref="CQ25:CQ26" si="214">CO25-CM25</f>
        <v>0</v>
      </c>
      <c r="CR25" s="2275" t="e">
        <f t="shared" si="190"/>
        <v>#DIV/0!</v>
      </c>
      <c r="CS25" s="2286">
        <f t="shared" ref="CS25:CS26" si="215">CM25-CI25</f>
        <v>0</v>
      </c>
      <c r="CT25" s="2275" t="e">
        <f t="shared" si="191"/>
        <v>#DIV/0!</v>
      </c>
      <c r="CU25" s="2275">
        <v>0</v>
      </c>
      <c r="CV25" s="2275">
        <v>0</v>
      </c>
      <c r="CW25" s="2275"/>
      <c r="CX25" s="2275">
        <v>0</v>
      </c>
      <c r="CY25" s="2277">
        <f>CW25/8*12</f>
        <v>0</v>
      </c>
      <c r="CZ25" s="2277">
        <v>0</v>
      </c>
      <c r="DA25" s="2277">
        <v>0</v>
      </c>
      <c r="DB25" s="2277">
        <v>0</v>
      </c>
      <c r="DC25" s="2286">
        <f t="shared" ref="DC25:DC26" si="216">DA25-CY25</f>
        <v>0</v>
      </c>
      <c r="DD25" s="2275" t="e">
        <f t="shared" si="192"/>
        <v>#DIV/0!</v>
      </c>
      <c r="DE25" s="2286">
        <f t="shared" ref="DE25:DE26" si="217">CY25-CU25</f>
        <v>0</v>
      </c>
      <c r="DF25" s="2275" t="e">
        <f t="shared" si="193"/>
        <v>#DIV/0!</v>
      </c>
      <c r="DG25" s="2275">
        <v>0</v>
      </c>
      <c r="DH25" s="2275">
        <v>0</v>
      </c>
      <c r="DI25" s="2275"/>
      <c r="DJ25" s="2275">
        <v>0</v>
      </c>
      <c r="DK25" s="2275">
        <f>DI25/8*12</f>
        <v>0</v>
      </c>
      <c r="DL25" s="2275">
        <v>0</v>
      </c>
      <c r="DM25" s="2277"/>
      <c r="DN25" s="2277">
        <v>0</v>
      </c>
      <c r="DO25" s="2286">
        <f t="shared" ref="DO25:DO26" si="218">DM25-DK25</f>
        <v>0</v>
      </c>
      <c r="DP25" s="2275" t="e">
        <f t="shared" si="194"/>
        <v>#DIV/0!</v>
      </c>
      <c r="DQ25" s="2286">
        <f t="shared" ref="DQ25:DQ26" si="219">DK25-DG25</f>
        <v>0</v>
      </c>
      <c r="DR25" s="2275" t="e">
        <f t="shared" si="195"/>
        <v>#DIV/0!</v>
      </c>
      <c r="DS25" s="2275">
        <v>250</v>
      </c>
      <c r="DT25" s="2275">
        <v>0</v>
      </c>
      <c r="DU25" s="2276"/>
      <c r="DV25" s="2276">
        <v>0</v>
      </c>
      <c r="DW25" s="2981">
        <v>300</v>
      </c>
      <c r="DX25" s="2277">
        <v>0</v>
      </c>
      <c r="DY25" s="2277">
        <v>300</v>
      </c>
      <c r="DZ25" s="2277">
        <v>0</v>
      </c>
      <c r="EA25" s="2286">
        <f t="shared" ref="EA25:EA26" si="220">DY25-DW25</f>
        <v>0</v>
      </c>
      <c r="EB25" s="2275">
        <f t="shared" si="196"/>
        <v>100</v>
      </c>
      <c r="EC25" s="2286">
        <f t="shared" ref="EC25:EC26" si="221">DW25-DS25</f>
        <v>50</v>
      </c>
      <c r="ED25" s="2275">
        <f t="shared" si="197"/>
        <v>120</v>
      </c>
      <c r="EE25" s="2275">
        <v>1500</v>
      </c>
      <c r="EF25" s="2275">
        <v>0</v>
      </c>
      <c r="EG25" s="2276"/>
      <c r="EH25" s="2276">
        <v>0</v>
      </c>
      <c r="EI25" s="2275">
        <f>1500+300</f>
        <v>1800</v>
      </c>
      <c r="EJ25" s="2275">
        <v>0</v>
      </c>
      <c r="EK25" s="2276">
        <f>1500*1.1-150</f>
        <v>1500.0000000000002</v>
      </c>
      <c r="EL25" s="2277">
        <v>0</v>
      </c>
      <c r="EM25" s="2286">
        <f t="shared" ref="EM25:EM26" si="222">EK25-EI25</f>
        <v>-299.99999999999977</v>
      </c>
      <c r="EN25" s="2275">
        <f t="shared" si="198"/>
        <v>83.333333333333343</v>
      </c>
      <c r="EO25" s="2286">
        <f t="shared" ref="EO25:EO26" si="223">EI25-EE25</f>
        <v>300</v>
      </c>
      <c r="EP25" s="2275">
        <f t="shared" si="199"/>
        <v>120</v>
      </c>
      <c r="EQ25" s="2275">
        <v>250</v>
      </c>
      <c r="ER25" s="2275">
        <v>0</v>
      </c>
      <c r="ES25" s="2275"/>
      <c r="ET25" s="2275">
        <v>0</v>
      </c>
      <c r="EU25" s="2275">
        <v>250</v>
      </c>
      <c r="EV25" s="2275">
        <v>0</v>
      </c>
      <c r="EW25" s="2275">
        <v>250</v>
      </c>
      <c r="EX25" s="2275">
        <v>0</v>
      </c>
      <c r="EY25" s="2286">
        <f t="shared" ref="EY25:EY26" si="224">EW25-EU25</f>
        <v>0</v>
      </c>
      <c r="EZ25" s="2275">
        <f t="shared" si="200"/>
        <v>100</v>
      </c>
      <c r="FA25" s="2286">
        <f t="shared" ref="FA25:FA26" si="225">EU25-EQ25</f>
        <v>0</v>
      </c>
      <c r="FB25" s="2275">
        <f t="shared" si="201"/>
        <v>100</v>
      </c>
      <c r="FC25" s="2278"/>
      <c r="FD25" s="2278"/>
      <c r="FE25" s="2279"/>
      <c r="FF25" s="2279"/>
    </row>
    <row r="26" spans="1:162" s="596" customFormat="1" ht="27" customHeight="1">
      <c r="A26" s="2274" t="s">
        <v>29</v>
      </c>
      <c r="B26" s="43" t="s">
        <v>1480</v>
      </c>
      <c r="C26" s="2275">
        <f t="shared" si="79"/>
        <v>62400</v>
      </c>
      <c r="D26" s="2275">
        <f t="shared" si="79"/>
        <v>62400</v>
      </c>
      <c r="E26" s="2275">
        <f t="shared" si="79"/>
        <v>0</v>
      </c>
      <c r="F26" s="2275">
        <f t="shared" si="79"/>
        <v>0</v>
      </c>
      <c r="G26" s="2275">
        <f t="shared" si="79"/>
        <v>64595</v>
      </c>
      <c r="H26" s="2275">
        <f t="shared" si="79"/>
        <v>64595</v>
      </c>
      <c r="I26" s="2275">
        <f t="shared" si="79"/>
        <v>72400</v>
      </c>
      <c r="J26" s="2275">
        <f t="shared" si="79"/>
        <v>72400</v>
      </c>
      <c r="K26" s="2277">
        <f t="shared" si="30"/>
        <v>7805</v>
      </c>
      <c r="L26" s="2277">
        <f t="shared" si="176"/>
        <v>112.08297855871197</v>
      </c>
      <c r="M26" s="2277">
        <f t="shared" si="32"/>
        <v>2195</v>
      </c>
      <c r="N26" s="2277">
        <f t="shared" si="177"/>
        <v>103.5176282051282</v>
      </c>
      <c r="O26" s="2275">
        <v>2000</v>
      </c>
      <c r="P26" s="2275">
        <f>O26</f>
        <v>2000</v>
      </c>
      <c r="Q26" s="2276"/>
      <c r="R26" s="2275">
        <f>Q26</f>
        <v>0</v>
      </c>
      <c r="S26" s="2276">
        <f>7250-S24-S25</f>
        <v>3250</v>
      </c>
      <c r="T26" s="2275">
        <f>S26</f>
        <v>3250</v>
      </c>
      <c r="U26" s="2276">
        <f>7500-U24-U25</f>
        <v>4200</v>
      </c>
      <c r="V26" s="2275">
        <f>U26</f>
        <v>4200</v>
      </c>
      <c r="W26" s="2286">
        <f t="shared" si="202"/>
        <v>950</v>
      </c>
      <c r="X26" s="2275">
        <f t="shared" si="178"/>
        <v>129.23076923076923</v>
      </c>
      <c r="Y26" s="2286">
        <f t="shared" si="203"/>
        <v>1250</v>
      </c>
      <c r="Z26" s="2275">
        <f t="shared" si="179"/>
        <v>162.5</v>
      </c>
      <c r="AA26" s="2275">
        <v>3000</v>
      </c>
      <c r="AB26" s="2275">
        <f>AA26</f>
        <v>3000</v>
      </c>
      <c r="AC26" s="2276"/>
      <c r="AD26" s="2276"/>
      <c r="AE26" s="2276">
        <f>6000-AE24-AE25</f>
        <v>3000</v>
      </c>
      <c r="AF26" s="2276">
        <f>AE26</f>
        <v>3000</v>
      </c>
      <c r="AG26" s="2276">
        <f>6000-AG24-AG25</f>
        <v>3000</v>
      </c>
      <c r="AH26" s="2276">
        <f>+AG26</f>
        <v>3000</v>
      </c>
      <c r="AI26" s="2286">
        <f t="shared" si="204"/>
        <v>0</v>
      </c>
      <c r="AJ26" s="2275">
        <f t="shared" si="180"/>
        <v>100</v>
      </c>
      <c r="AK26" s="2286">
        <f t="shared" si="205"/>
        <v>0</v>
      </c>
      <c r="AL26" s="2275">
        <f t="shared" si="181"/>
        <v>100</v>
      </c>
      <c r="AM26" s="2275">
        <v>1650</v>
      </c>
      <c r="AN26" s="2275">
        <f>AM26</f>
        <v>1650</v>
      </c>
      <c r="AO26" s="2275"/>
      <c r="AP26" s="2275">
        <f>AO26</f>
        <v>0</v>
      </c>
      <c r="AQ26" s="2275">
        <f>3300-AQ24-AQ25</f>
        <v>1650</v>
      </c>
      <c r="AR26" s="2275">
        <f>AQ26</f>
        <v>1650</v>
      </c>
      <c r="AS26" s="2275">
        <f>3500-AS24-AS25</f>
        <v>1850</v>
      </c>
      <c r="AT26" s="2275">
        <f>AS26</f>
        <v>1850</v>
      </c>
      <c r="AU26" s="2286">
        <f t="shared" si="206"/>
        <v>200</v>
      </c>
      <c r="AV26" s="2275">
        <f t="shared" si="182"/>
        <v>112.12121212121211</v>
      </c>
      <c r="AW26" s="2286">
        <f t="shared" si="207"/>
        <v>0</v>
      </c>
      <c r="AX26" s="2275">
        <f t="shared" si="183"/>
        <v>100</v>
      </c>
      <c r="AY26" s="2275">
        <f>4500-AY24-AY25</f>
        <v>2500</v>
      </c>
      <c r="AZ26" s="2277">
        <f>AY26</f>
        <v>2500</v>
      </c>
      <c r="BA26" s="2277"/>
      <c r="BB26" s="2277">
        <f>BA26</f>
        <v>0</v>
      </c>
      <c r="BC26" s="2277">
        <f>4000-BC24-BC25</f>
        <v>2000</v>
      </c>
      <c r="BD26" s="2277">
        <f>BC26</f>
        <v>2000</v>
      </c>
      <c r="BE26" s="2277">
        <f>4500-BE24-BE25</f>
        <v>2500</v>
      </c>
      <c r="BF26" s="2277">
        <f>BE26</f>
        <v>2500</v>
      </c>
      <c r="BG26" s="2286">
        <f t="shared" si="208"/>
        <v>500</v>
      </c>
      <c r="BH26" s="2275">
        <f t="shared" si="184"/>
        <v>125</v>
      </c>
      <c r="BI26" s="2286">
        <f t="shared" si="209"/>
        <v>-500</v>
      </c>
      <c r="BJ26" s="2275">
        <f t="shared" si="185"/>
        <v>80</v>
      </c>
      <c r="BK26" s="2275">
        <f>7000-BK24-BK25</f>
        <v>3750</v>
      </c>
      <c r="BL26" s="2275">
        <f>BK26</f>
        <v>3750</v>
      </c>
      <c r="BM26" s="2275"/>
      <c r="BN26" s="2277">
        <f>BM26</f>
        <v>0</v>
      </c>
      <c r="BO26" s="2277">
        <f>6000-BO24-BO25</f>
        <v>3250</v>
      </c>
      <c r="BP26" s="2277">
        <f>BO26</f>
        <v>3250</v>
      </c>
      <c r="BQ26" s="2277">
        <f>6000-BQ24-BQ25</f>
        <v>3600</v>
      </c>
      <c r="BR26" s="2277">
        <f>BQ26</f>
        <v>3600</v>
      </c>
      <c r="BS26" s="2286">
        <f t="shared" si="210"/>
        <v>350</v>
      </c>
      <c r="BT26" s="2275">
        <f t="shared" si="186"/>
        <v>110.76923076923077</v>
      </c>
      <c r="BU26" s="2286">
        <f t="shared" si="211"/>
        <v>-500</v>
      </c>
      <c r="BV26" s="2275">
        <f t="shared" si="187"/>
        <v>86.666666666666671</v>
      </c>
      <c r="BW26" s="2275">
        <f>16000-BW24-BW25</f>
        <v>12000</v>
      </c>
      <c r="BX26" s="2275">
        <f>BW26</f>
        <v>12000</v>
      </c>
      <c r="BY26" s="2277"/>
      <c r="BZ26" s="2277">
        <f>BY26</f>
        <v>0</v>
      </c>
      <c r="CA26" s="2277">
        <f>15000-CA24-CA25</f>
        <v>11500</v>
      </c>
      <c r="CB26" s="2277">
        <f>CA26</f>
        <v>11500</v>
      </c>
      <c r="CC26" s="2277">
        <f>17000-CC24-CC25</f>
        <v>12800</v>
      </c>
      <c r="CD26" s="2277">
        <f>CC26</f>
        <v>12800</v>
      </c>
      <c r="CE26" s="2286">
        <f t="shared" si="212"/>
        <v>1300</v>
      </c>
      <c r="CF26" s="2275">
        <f t="shared" si="188"/>
        <v>111.30434782608695</v>
      </c>
      <c r="CG26" s="2270">
        <f t="shared" si="213"/>
        <v>-500</v>
      </c>
      <c r="CH26" s="2275">
        <f t="shared" si="189"/>
        <v>95.833333333333343</v>
      </c>
      <c r="CI26" s="2275">
        <f>11000-CI24-CI25</f>
        <v>8000</v>
      </c>
      <c r="CJ26" s="2277">
        <f>CI26</f>
        <v>8000</v>
      </c>
      <c r="CK26" s="2277"/>
      <c r="CL26" s="2277">
        <f>CK26</f>
        <v>0</v>
      </c>
      <c r="CM26" s="2277">
        <f>9000-CM25-CM24</f>
        <v>7000</v>
      </c>
      <c r="CN26" s="2277">
        <f>CM26</f>
        <v>7000</v>
      </c>
      <c r="CO26" s="2277">
        <f>10000-CO24-CO25</f>
        <v>7600</v>
      </c>
      <c r="CP26" s="2277">
        <f>CO26</f>
        <v>7600</v>
      </c>
      <c r="CQ26" s="2282">
        <f t="shared" si="214"/>
        <v>600</v>
      </c>
      <c r="CR26" s="2275">
        <f t="shared" si="190"/>
        <v>108.57142857142857</v>
      </c>
      <c r="CS26" s="2286">
        <f t="shared" si="215"/>
        <v>-1000</v>
      </c>
      <c r="CT26" s="2275">
        <f t="shared" si="191"/>
        <v>87.5</v>
      </c>
      <c r="CU26" s="2275">
        <v>6500</v>
      </c>
      <c r="CV26" s="2275">
        <f>CU26</f>
        <v>6500</v>
      </c>
      <c r="CW26" s="2275"/>
      <c r="CX26" s="2275">
        <f>CW26</f>
        <v>0</v>
      </c>
      <c r="CY26" s="2277">
        <f>10000-CY24-CY25</f>
        <v>7000</v>
      </c>
      <c r="CZ26" s="2277">
        <f>CY26</f>
        <v>7000</v>
      </c>
      <c r="DA26" s="2277">
        <f>10000-DA24-DA25</f>
        <v>7000</v>
      </c>
      <c r="DB26" s="2277">
        <f>DA26</f>
        <v>7000</v>
      </c>
      <c r="DC26" s="2286">
        <f t="shared" si="216"/>
        <v>0</v>
      </c>
      <c r="DD26" s="2275">
        <f t="shared" si="192"/>
        <v>100</v>
      </c>
      <c r="DE26" s="2286">
        <f t="shared" si="217"/>
        <v>500</v>
      </c>
      <c r="DF26" s="2275">
        <f t="shared" si="193"/>
        <v>107.69230769230769</v>
      </c>
      <c r="DG26" s="2275">
        <f>11000-DG24-DG25</f>
        <v>7500</v>
      </c>
      <c r="DH26" s="2275">
        <f>DG26</f>
        <v>7500</v>
      </c>
      <c r="DI26" s="2275"/>
      <c r="DJ26" s="2275">
        <f>DI26</f>
        <v>0</v>
      </c>
      <c r="DK26" s="2275">
        <f>14280-DK24-DK25</f>
        <v>9730</v>
      </c>
      <c r="DL26" s="2275">
        <f>DK26</f>
        <v>9730</v>
      </c>
      <c r="DM26" s="2277">
        <f>15400-DM24-DM25</f>
        <v>10900</v>
      </c>
      <c r="DN26" s="2277">
        <f>DM26</f>
        <v>10900</v>
      </c>
      <c r="DO26" s="2286">
        <f t="shared" si="218"/>
        <v>1170</v>
      </c>
      <c r="DP26" s="2275">
        <f t="shared" si="194"/>
        <v>112.02466598150052</v>
      </c>
      <c r="DQ26" s="2286">
        <f t="shared" si="219"/>
        <v>2230</v>
      </c>
      <c r="DR26" s="2275">
        <f t="shared" si="195"/>
        <v>129.73333333333332</v>
      </c>
      <c r="DS26" s="2275">
        <f>7000-DS24-DS25</f>
        <v>4250</v>
      </c>
      <c r="DT26" s="2275">
        <f>DS26</f>
        <v>4250</v>
      </c>
      <c r="DU26" s="2276"/>
      <c r="DV26" s="2276">
        <f>DU26</f>
        <v>0</v>
      </c>
      <c r="DW26" s="2277">
        <f>7300-DW24-DW25</f>
        <v>4500</v>
      </c>
      <c r="DX26" s="2277">
        <f>DW26</f>
        <v>4500</v>
      </c>
      <c r="DY26" s="2277">
        <f>8000-DY24-DY25</f>
        <v>5200</v>
      </c>
      <c r="DZ26" s="2277">
        <f>DY26</f>
        <v>5200</v>
      </c>
      <c r="EA26" s="2286">
        <f t="shared" si="220"/>
        <v>700</v>
      </c>
      <c r="EB26" s="2275">
        <f t="shared" si="196"/>
        <v>115.55555555555554</v>
      </c>
      <c r="EC26" s="2286">
        <f t="shared" si="221"/>
        <v>250</v>
      </c>
      <c r="ED26" s="2275">
        <f t="shared" si="197"/>
        <v>105.88235294117648</v>
      </c>
      <c r="EE26" s="2275">
        <f>13000-EE24-EE25</f>
        <v>7000</v>
      </c>
      <c r="EF26" s="2275">
        <f>EE26</f>
        <v>7000</v>
      </c>
      <c r="EG26" s="2276"/>
      <c r="EH26" s="2276">
        <f>EG26</f>
        <v>0</v>
      </c>
      <c r="EI26" s="2275">
        <f>14000+65-EI24-EI25</f>
        <v>7465</v>
      </c>
      <c r="EJ26" s="2275">
        <f>EI26</f>
        <v>7465</v>
      </c>
      <c r="EK26" s="2277">
        <f>15500-EK24-EK25</f>
        <v>9500</v>
      </c>
      <c r="EL26" s="2277">
        <f>EK26</f>
        <v>9500</v>
      </c>
      <c r="EM26" s="2286">
        <f t="shared" si="222"/>
        <v>2035</v>
      </c>
      <c r="EN26" s="2275">
        <f t="shared" si="198"/>
        <v>127.26054922973877</v>
      </c>
      <c r="EO26" s="2286">
        <f t="shared" si="223"/>
        <v>465</v>
      </c>
      <c r="EP26" s="2275">
        <f t="shared" si="199"/>
        <v>106.64285714285715</v>
      </c>
      <c r="EQ26" s="2275">
        <f>7000-EQ24-EQ25</f>
        <v>4250</v>
      </c>
      <c r="ER26" s="2275">
        <f>EQ26</f>
        <v>4250</v>
      </c>
      <c r="ES26" s="2275"/>
      <c r="ET26" s="2275">
        <f>ES26</f>
        <v>0</v>
      </c>
      <c r="EU26" s="2275">
        <f>7000-EU24-EU25</f>
        <v>4250</v>
      </c>
      <c r="EV26" s="2275">
        <f>EU26</f>
        <v>4250</v>
      </c>
      <c r="EW26" s="2275">
        <f>7000-EW24-EW25</f>
        <v>4250</v>
      </c>
      <c r="EX26" s="2275">
        <f>EW26</f>
        <v>4250</v>
      </c>
      <c r="EY26" s="2286">
        <f t="shared" si="224"/>
        <v>0</v>
      </c>
      <c r="EZ26" s="2275">
        <f t="shared" si="200"/>
        <v>100</v>
      </c>
      <c r="FA26" s="2286">
        <f t="shared" si="225"/>
        <v>0</v>
      </c>
      <c r="FB26" s="2275">
        <f t="shared" si="201"/>
        <v>100</v>
      </c>
      <c r="FC26" s="2278"/>
      <c r="FD26" s="2278"/>
      <c r="FE26" s="2279"/>
      <c r="FF26" s="2279"/>
    </row>
    <row r="27" spans="1:162" s="2273" customFormat="1" ht="27" customHeight="1">
      <c r="A27" s="2265">
        <v>7</v>
      </c>
      <c r="B27" s="2266" t="s">
        <v>24</v>
      </c>
      <c r="C27" s="2267">
        <f t="shared" si="79"/>
        <v>315000</v>
      </c>
      <c r="D27" s="2267">
        <f t="shared" si="79"/>
        <v>269100</v>
      </c>
      <c r="E27" s="2267">
        <f t="shared" si="79"/>
        <v>0</v>
      </c>
      <c r="F27" s="2267">
        <f t="shared" si="79"/>
        <v>0</v>
      </c>
      <c r="G27" s="2267">
        <f t="shared" si="79"/>
        <v>233600</v>
      </c>
      <c r="H27" s="2267">
        <f t="shared" si="80"/>
        <v>195840</v>
      </c>
      <c r="I27" s="2267">
        <f t="shared" si="80"/>
        <v>201000</v>
      </c>
      <c r="J27" s="2267">
        <f t="shared" si="80"/>
        <v>180900</v>
      </c>
      <c r="K27" s="2268">
        <f>+I27-G27</f>
        <v>-32600</v>
      </c>
      <c r="L27" s="2268">
        <f>+I27/G27*100</f>
        <v>86.044520547945197</v>
      </c>
      <c r="M27" s="2268">
        <f>+G27-C27</f>
        <v>-81400</v>
      </c>
      <c r="N27" s="2268">
        <f>+G27/C27*100</f>
        <v>74.158730158730151</v>
      </c>
      <c r="O27" s="2267">
        <f>SUM(O28:O29)</f>
        <v>24000</v>
      </c>
      <c r="P27" s="2267">
        <f t="shared" ref="P27" si="226">SUM(P28:P29)</f>
        <v>7200</v>
      </c>
      <c r="Q27" s="2267">
        <f>SUM(Q28:Q29)</f>
        <v>0</v>
      </c>
      <c r="R27" s="2267">
        <f t="shared" ref="R27:V27" si="227">SUM(R28:R29)</f>
        <v>0</v>
      </c>
      <c r="S27" s="2267">
        <f t="shared" si="227"/>
        <v>24000</v>
      </c>
      <c r="T27" s="2267">
        <f t="shared" si="227"/>
        <v>7200</v>
      </c>
      <c r="U27" s="2267">
        <f t="shared" si="227"/>
        <v>2000</v>
      </c>
      <c r="V27" s="2267">
        <f t="shared" si="227"/>
        <v>1800</v>
      </c>
      <c r="W27" s="2267">
        <f>SUM(W28:W29)</f>
        <v>-22000</v>
      </c>
      <c r="X27" s="2267">
        <f>U27/S27*100</f>
        <v>8.3333333333333321</v>
      </c>
      <c r="Y27" s="2267">
        <f>SUM(Y28:Y29)</f>
        <v>0</v>
      </c>
      <c r="Z27" s="2275">
        <f>S27/O27*100</f>
        <v>100</v>
      </c>
      <c r="AA27" s="2267">
        <f>SUM(AA28:AA29)</f>
        <v>9000</v>
      </c>
      <c r="AB27" s="2267">
        <f t="shared" ref="AB27:AH27" si="228">SUM(AB28:AB29)</f>
        <v>8100</v>
      </c>
      <c r="AC27" s="2267">
        <f t="shared" si="228"/>
        <v>0</v>
      </c>
      <c r="AD27" s="2267">
        <f t="shared" si="228"/>
        <v>0</v>
      </c>
      <c r="AE27" s="2268">
        <f t="shared" si="228"/>
        <v>8000</v>
      </c>
      <c r="AF27" s="2268">
        <f t="shared" si="228"/>
        <v>7200</v>
      </c>
      <c r="AG27" s="2267">
        <f t="shared" si="228"/>
        <v>6000</v>
      </c>
      <c r="AH27" s="2267">
        <f t="shared" si="228"/>
        <v>5400</v>
      </c>
      <c r="AI27" s="2267">
        <f>SUM(AI28:AI29)</f>
        <v>-2000</v>
      </c>
      <c r="AJ27" s="2267">
        <f>AG27/AE27*100</f>
        <v>75</v>
      </c>
      <c r="AK27" s="2267">
        <f>SUM(AK28:AK29)</f>
        <v>-1000</v>
      </c>
      <c r="AL27" s="2275">
        <f>AE27/AA27*100</f>
        <v>88.888888888888886</v>
      </c>
      <c r="AM27" s="2267">
        <f>SUM(AM28:AM29)</f>
        <v>600</v>
      </c>
      <c r="AN27" s="2267">
        <f t="shared" ref="AN27:AT27" si="229">SUM(AN28:AN29)</f>
        <v>540</v>
      </c>
      <c r="AO27" s="2267">
        <f t="shared" si="229"/>
        <v>0</v>
      </c>
      <c r="AP27" s="2267">
        <f t="shared" si="229"/>
        <v>0</v>
      </c>
      <c r="AQ27" s="2267">
        <f t="shared" si="229"/>
        <v>1000</v>
      </c>
      <c r="AR27" s="2267">
        <f t="shared" si="229"/>
        <v>900</v>
      </c>
      <c r="AS27" s="2267">
        <f t="shared" si="229"/>
        <v>1000</v>
      </c>
      <c r="AT27" s="2267">
        <f t="shared" si="229"/>
        <v>900</v>
      </c>
      <c r="AU27" s="2267">
        <f>SUM(AU28:AU29)</f>
        <v>0</v>
      </c>
      <c r="AV27" s="2267">
        <f>AS27/AQ27*100</f>
        <v>100</v>
      </c>
      <c r="AW27" s="2267">
        <f>SUM(AW28:AW29)</f>
        <v>400</v>
      </c>
      <c r="AX27" s="2275">
        <f>AQ27/AM27*100</f>
        <v>166.66666666666669</v>
      </c>
      <c r="AY27" s="2267">
        <f>SUM(AY28:AY29)</f>
        <v>1600</v>
      </c>
      <c r="AZ27" s="2267">
        <f t="shared" ref="AZ27:BF27" si="230">SUM(AZ28:AZ29)</f>
        <v>1440</v>
      </c>
      <c r="BA27" s="2267">
        <f t="shared" si="230"/>
        <v>0</v>
      </c>
      <c r="BB27" s="2267">
        <f t="shared" si="230"/>
        <v>0</v>
      </c>
      <c r="BC27" s="2267">
        <f t="shared" si="230"/>
        <v>8000</v>
      </c>
      <c r="BD27" s="2267">
        <f t="shared" si="230"/>
        <v>7200</v>
      </c>
      <c r="BE27" s="2267">
        <f t="shared" si="230"/>
        <v>2000</v>
      </c>
      <c r="BF27" s="2267">
        <f t="shared" si="230"/>
        <v>1800</v>
      </c>
      <c r="BG27" s="2267">
        <f>SUM(BG28:BG29)</f>
        <v>-6000</v>
      </c>
      <c r="BH27" s="2267">
        <f>BE27/BC27*100</f>
        <v>25</v>
      </c>
      <c r="BI27" s="2267">
        <f>SUM(BI28:BI29)</f>
        <v>6400</v>
      </c>
      <c r="BJ27" s="2275">
        <f>BC27/AY27*100</f>
        <v>500</v>
      </c>
      <c r="BK27" s="2267">
        <f>SUM(BK28:BK29)</f>
        <v>10000</v>
      </c>
      <c r="BL27" s="2267">
        <f t="shared" ref="BL27:BR27" si="231">SUM(BL28:BL29)</f>
        <v>9000</v>
      </c>
      <c r="BM27" s="2267">
        <f t="shared" si="231"/>
        <v>0</v>
      </c>
      <c r="BN27" s="2268">
        <f t="shared" si="231"/>
        <v>0</v>
      </c>
      <c r="BO27" s="2268">
        <f t="shared" si="231"/>
        <v>25000</v>
      </c>
      <c r="BP27" s="2268">
        <f t="shared" si="231"/>
        <v>22500</v>
      </c>
      <c r="BQ27" s="2268">
        <f t="shared" si="231"/>
        <v>10000</v>
      </c>
      <c r="BR27" s="2268">
        <f t="shared" si="231"/>
        <v>9000</v>
      </c>
      <c r="BS27" s="2267">
        <f>SUM(BS28:BS29)</f>
        <v>-15000</v>
      </c>
      <c r="BT27" s="2267">
        <f>BQ27/BO27*100</f>
        <v>40</v>
      </c>
      <c r="BU27" s="2267">
        <f>SUM(BU28:BU29)</f>
        <v>15000</v>
      </c>
      <c r="BV27" s="2275">
        <f>BO27/BK27*100</f>
        <v>250</v>
      </c>
      <c r="BW27" s="2267">
        <f>SUM(BW28:BW29)</f>
        <v>135000</v>
      </c>
      <c r="BX27" s="2267">
        <f t="shared" ref="BX27:CD27" si="232">SUM(BX28:BX29)</f>
        <v>121500</v>
      </c>
      <c r="BY27" s="2268">
        <f t="shared" si="232"/>
        <v>0</v>
      </c>
      <c r="BZ27" s="2268">
        <f t="shared" si="232"/>
        <v>0</v>
      </c>
      <c r="CA27" s="2268">
        <f t="shared" si="232"/>
        <v>65000</v>
      </c>
      <c r="CB27" s="2268">
        <f t="shared" si="232"/>
        <v>58500</v>
      </c>
      <c r="CC27" s="2268">
        <f t="shared" si="232"/>
        <v>145000</v>
      </c>
      <c r="CD27" s="2268">
        <f t="shared" si="232"/>
        <v>130500</v>
      </c>
      <c r="CE27" s="2267">
        <f>SUM(CE28:CE29)</f>
        <v>80000</v>
      </c>
      <c r="CF27" s="2267">
        <f>CC27/CA27*100</f>
        <v>223.07692307692309</v>
      </c>
      <c r="CG27" s="2270">
        <f>SUM(CG28:CG29)</f>
        <v>-70000</v>
      </c>
      <c r="CH27" s="2275">
        <f>CA27/BW27*100</f>
        <v>48.148148148148145</v>
      </c>
      <c r="CI27" s="2267">
        <f>SUM(CI28:CI29)</f>
        <v>15000</v>
      </c>
      <c r="CJ27" s="2268">
        <f t="shared" ref="CJ27:CP27" si="233">SUM(CJ28:CJ29)</f>
        <v>13500</v>
      </c>
      <c r="CK27" s="2268">
        <f t="shared" si="233"/>
        <v>0</v>
      </c>
      <c r="CL27" s="2268">
        <f t="shared" si="233"/>
        <v>0</v>
      </c>
      <c r="CM27" s="2268">
        <f t="shared" si="233"/>
        <v>5000</v>
      </c>
      <c r="CN27" s="2268">
        <f t="shared" si="233"/>
        <v>4500</v>
      </c>
      <c r="CO27" s="2268">
        <f t="shared" si="233"/>
        <v>4500</v>
      </c>
      <c r="CP27" s="2268">
        <f t="shared" si="233"/>
        <v>4050</v>
      </c>
      <c r="CQ27" s="2268">
        <f>SUM(CQ28:CQ29)</f>
        <v>-500</v>
      </c>
      <c r="CR27" s="2267">
        <f>CO27/CM27*100</f>
        <v>90</v>
      </c>
      <c r="CS27" s="2267">
        <f>SUM(CS28:CS29)</f>
        <v>-10000</v>
      </c>
      <c r="CT27" s="2275">
        <f>CM27/CI27*100</f>
        <v>33.333333333333329</v>
      </c>
      <c r="CU27" s="2267">
        <f>SUM(CU28:CU29)</f>
        <v>10000</v>
      </c>
      <c r="CV27" s="2267">
        <f t="shared" ref="CV27:DB27" si="234">SUM(CV28:CV29)</f>
        <v>9000</v>
      </c>
      <c r="CW27" s="2267">
        <f t="shared" si="234"/>
        <v>0</v>
      </c>
      <c r="CX27" s="2267">
        <f t="shared" si="234"/>
        <v>0</v>
      </c>
      <c r="CY27" s="2268">
        <f t="shared" si="234"/>
        <v>2500</v>
      </c>
      <c r="CZ27" s="2268">
        <f t="shared" si="234"/>
        <v>2250</v>
      </c>
      <c r="DA27" s="2268">
        <f t="shared" si="234"/>
        <v>2500</v>
      </c>
      <c r="DB27" s="2268">
        <f t="shared" si="234"/>
        <v>2250</v>
      </c>
      <c r="DC27" s="2267">
        <f>SUM(DC28:DC29)</f>
        <v>0</v>
      </c>
      <c r="DD27" s="2267">
        <f>DA27/CY27*100</f>
        <v>100</v>
      </c>
      <c r="DE27" s="2267">
        <f>SUM(DE28:DE29)</f>
        <v>-7500</v>
      </c>
      <c r="DF27" s="2275">
        <f>CY27/CU27*100</f>
        <v>25</v>
      </c>
      <c r="DG27" s="2267">
        <f>SUM(DG28:DG29)</f>
        <v>6000</v>
      </c>
      <c r="DH27" s="2267">
        <f t="shared" ref="DH27:DN27" si="235">SUM(DH28:DH29)</f>
        <v>5400</v>
      </c>
      <c r="DI27" s="2267">
        <f t="shared" si="235"/>
        <v>0</v>
      </c>
      <c r="DJ27" s="2267">
        <f t="shared" si="235"/>
        <v>0</v>
      </c>
      <c r="DK27" s="2267">
        <f t="shared" si="235"/>
        <v>7000</v>
      </c>
      <c r="DL27" s="2267">
        <f t="shared" si="235"/>
        <v>6300</v>
      </c>
      <c r="DM27" s="2267">
        <f t="shared" si="235"/>
        <v>5000</v>
      </c>
      <c r="DN27" s="2267">
        <f t="shared" si="235"/>
        <v>4500</v>
      </c>
      <c r="DO27" s="2267">
        <f>SUM(DO28:DO29)</f>
        <v>-2000</v>
      </c>
      <c r="DP27" s="2267">
        <f>DM27/DK27*100</f>
        <v>71.428571428571431</v>
      </c>
      <c r="DQ27" s="2267">
        <f>SUM(DQ28:DQ29)</f>
        <v>1000</v>
      </c>
      <c r="DR27" s="2275">
        <f>DK27/DG27*100</f>
        <v>116.66666666666667</v>
      </c>
      <c r="DS27" s="2267">
        <f>SUM(DS28:DS29)</f>
        <v>2200</v>
      </c>
      <c r="DT27" s="2267">
        <f t="shared" ref="DT27:DZ27" si="236">SUM(DT28:DT29)</f>
        <v>1980</v>
      </c>
      <c r="DU27" s="2267">
        <f t="shared" si="236"/>
        <v>0</v>
      </c>
      <c r="DV27" s="2267">
        <f t="shared" si="236"/>
        <v>0</v>
      </c>
      <c r="DW27" s="2268">
        <f>SUM(DW28:DW29)</f>
        <v>2000</v>
      </c>
      <c r="DX27" s="2268">
        <f t="shared" si="236"/>
        <v>1800</v>
      </c>
      <c r="DY27" s="2268">
        <f t="shared" si="236"/>
        <v>2000</v>
      </c>
      <c r="DZ27" s="2268">
        <f t="shared" si="236"/>
        <v>1800</v>
      </c>
      <c r="EA27" s="2267">
        <f>SUM(EA28:EA29)</f>
        <v>0</v>
      </c>
      <c r="EB27" s="2267">
        <f>DY27/DW27*100</f>
        <v>100</v>
      </c>
      <c r="EC27" s="2267">
        <f>SUM(EC28:EC29)</f>
        <v>-200</v>
      </c>
      <c r="ED27" s="2275">
        <f>DW27/DS27*100</f>
        <v>90.909090909090907</v>
      </c>
      <c r="EE27" s="2267">
        <f>SUM(EE28:EE29)</f>
        <v>61600</v>
      </c>
      <c r="EF27" s="2267">
        <f t="shared" ref="EF27:EL27" si="237">SUM(EF28:EF29)</f>
        <v>55440</v>
      </c>
      <c r="EG27" s="2269">
        <f t="shared" si="237"/>
        <v>0</v>
      </c>
      <c r="EH27" s="2269">
        <f t="shared" si="237"/>
        <v>0</v>
      </c>
      <c r="EI27" s="2267">
        <f t="shared" si="237"/>
        <v>46100</v>
      </c>
      <c r="EJ27" s="2267">
        <f t="shared" si="237"/>
        <v>41490</v>
      </c>
      <c r="EK27" s="2268">
        <f t="shared" si="237"/>
        <v>17000</v>
      </c>
      <c r="EL27" s="2268">
        <f t="shared" si="237"/>
        <v>15300</v>
      </c>
      <c r="EM27" s="2267">
        <f>SUM(EM28:EM29)</f>
        <v>-29100</v>
      </c>
      <c r="EN27" s="2267">
        <f>EK27/EI27*100</f>
        <v>36.876355748373101</v>
      </c>
      <c r="EO27" s="2267">
        <f>SUM(EO28:EO29)</f>
        <v>-15500</v>
      </c>
      <c r="EP27" s="2275">
        <f>EI27/EE27*100</f>
        <v>74.837662337662337</v>
      </c>
      <c r="EQ27" s="2267">
        <f>SUM(EQ28:EQ29)</f>
        <v>40000</v>
      </c>
      <c r="ER27" s="2267">
        <f t="shared" ref="ER27:EX27" si="238">SUM(ER28:ER29)</f>
        <v>36000</v>
      </c>
      <c r="ES27" s="2267">
        <f t="shared" si="238"/>
        <v>0</v>
      </c>
      <c r="ET27" s="2267">
        <f t="shared" si="238"/>
        <v>0</v>
      </c>
      <c r="EU27" s="2267">
        <f t="shared" si="238"/>
        <v>40000</v>
      </c>
      <c r="EV27" s="2267">
        <f t="shared" si="238"/>
        <v>36000</v>
      </c>
      <c r="EW27" s="2267">
        <f t="shared" si="238"/>
        <v>4000</v>
      </c>
      <c r="EX27" s="2267">
        <f t="shared" si="238"/>
        <v>3600</v>
      </c>
      <c r="EY27" s="2267">
        <f>SUM(EY28:EY29)</f>
        <v>-36000</v>
      </c>
      <c r="EZ27" s="2267">
        <f>EW27/EU27*100</f>
        <v>10</v>
      </c>
      <c r="FA27" s="2267">
        <f>SUM(FA28:FA29)</f>
        <v>0</v>
      </c>
      <c r="FB27" s="2275">
        <f>EU27/EQ27*100</f>
        <v>100</v>
      </c>
      <c r="FC27" s="2271">
        <f>E27/C27</f>
        <v>0</v>
      </c>
      <c r="FD27" s="2271">
        <f>F27/D27</f>
        <v>0</v>
      </c>
      <c r="FE27" s="2272">
        <f>E27-C27</f>
        <v>-315000</v>
      </c>
      <c r="FF27" s="2272">
        <f>F27-D27</f>
        <v>-269100</v>
      </c>
    </row>
    <row r="28" spans="1:162" s="596" customFormat="1" ht="27" customHeight="1">
      <c r="A28" s="2274" t="s">
        <v>29</v>
      </c>
      <c r="B28" s="43" t="s">
        <v>1481</v>
      </c>
      <c r="C28" s="2275">
        <f t="shared" si="79"/>
        <v>16000</v>
      </c>
      <c r="D28" s="2275">
        <f t="shared" si="79"/>
        <v>0</v>
      </c>
      <c r="E28" s="2275">
        <f t="shared" si="79"/>
        <v>0</v>
      </c>
      <c r="F28" s="2275">
        <f t="shared" si="79"/>
        <v>0</v>
      </c>
      <c r="G28" s="2275">
        <f t="shared" si="79"/>
        <v>16000</v>
      </c>
      <c r="H28" s="2275">
        <f t="shared" si="79"/>
        <v>0</v>
      </c>
      <c r="I28" s="2275">
        <f t="shared" si="79"/>
        <v>0</v>
      </c>
      <c r="J28" s="2275">
        <f t="shared" si="79"/>
        <v>0</v>
      </c>
      <c r="K28" s="2277">
        <f t="shared" ref="K28:K29" si="239">+I28-G28</f>
        <v>-16000</v>
      </c>
      <c r="L28" s="2277">
        <f t="shared" ref="L28:L29" si="240">+I28/G28*100</f>
        <v>0</v>
      </c>
      <c r="M28" s="2277">
        <f t="shared" ref="M28:M29" si="241">+G28-C28</f>
        <v>0</v>
      </c>
      <c r="N28" s="2277">
        <f t="shared" ref="N28:N29" si="242">+G28/C28*100</f>
        <v>100</v>
      </c>
      <c r="O28" s="2275">
        <v>16000</v>
      </c>
      <c r="P28" s="2275">
        <v>0</v>
      </c>
      <c r="Q28" s="2275"/>
      <c r="R28" s="2275">
        <v>0</v>
      </c>
      <c r="S28" s="2275">
        <v>16000</v>
      </c>
      <c r="T28" s="2275">
        <v>0</v>
      </c>
      <c r="U28" s="2980">
        <f>16000-16000</f>
        <v>0</v>
      </c>
      <c r="V28" s="2980">
        <v>0</v>
      </c>
      <c r="W28" s="2286">
        <f>U28-S28</f>
        <v>-16000</v>
      </c>
      <c r="X28" s="2275">
        <f t="shared" ref="X28:X29" si="243">U28/S28*100</f>
        <v>0</v>
      </c>
      <c r="Y28" s="2286">
        <f>S28-O28</f>
        <v>0</v>
      </c>
      <c r="Z28" s="2275">
        <f t="shared" ref="Z28" si="244">S28/O28*100</f>
        <v>100</v>
      </c>
      <c r="AA28" s="2275">
        <v>0</v>
      </c>
      <c r="AB28" s="2275">
        <v>0</v>
      </c>
      <c r="AC28" s="2275"/>
      <c r="AD28" s="2275"/>
      <c r="AE28" s="2277"/>
      <c r="AF28" s="2277">
        <v>0</v>
      </c>
      <c r="AG28" s="2275">
        <v>0</v>
      </c>
      <c r="AH28" s="2275">
        <v>0</v>
      </c>
      <c r="AI28" s="2286">
        <f>AG28-AE28</f>
        <v>0</v>
      </c>
      <c r="AJ28" s="2275" t="e">
        <f t="shared" ref="AJ28:AJ29" si="245">AG28/AE28*100</f>
        <v>#DIV/0!</v>
      </c>
      <c r="AK28" s="2286">
        <f>AE28-AA28</f>
        <v>0</v>
      </c>
      <c r="AL28" s="2275" t="e">
        <f t="shared" ref="AL28" si="246">AE28/AA28*100</f>
        <v>#DIV/0!</v>
      </c>
      <c r="AM28" s="2275">
        <v>0</v>
      </c>
      <c r="AN28" s="2275">
        <v>0</v>
      </c>
      <c r="AO28" s="2275"/>
      <c r="AP28" s="2275">
        <v>0</v>
      </c>
      <c r="AQ28" s="2275"/>
      <c r="AR28" s="2275">
        <v>0</v>
      </c>
      <c r="AS28" s="2275">
        <v>0</v>
      </c>
      <c r="AT28" s="2275">
        <v>0</v>
      </c>
      <c r="AU28" s="2286">
        <f>AS28-AQ28</f>
        <v>0</v>
      </c>
      <c r="AV28" s="2275" t="e">
        <f t="shared" ref="AV28:AV29" si="247">AS28/AQ28*100</f>
        <v>#DIV/0!</v>
      </c>
      <c r="AW28" s="2286">
        <f>AQ28-AM28</f>
        <v>0</v>
      </c>
      <c r="AX28" s="2275" t="e">
        <f t="shared" ref="AX28" si="248">AQ28/AM28*100</f>
        <v>#DIV/0!</v>
      </c>
      <c r="AY28" s="2275">
        <v>0</v>
      </c>
      <c r="AZ28" s="2275">
        <v>0</v>
      </c>
      <c r="BA28" s="2275"/>
      <c r="BB28" s="2275">
        <v>0</v>
      </c>
      <c r="BC28" s="2275"/>
      <c r="BD28" s="2275">
        <v>0</v>
      </c>
      <c r="BE28" s="2275">
        <v>0</v>
      </c>
      <c r="BF28" s="2275">
        <v>0</v>
      </c>
      <c r="BG28" s="2286">
        <f>BE28-BC28</f>
        <v>0</v>
      </c>
      <c r="BH28" s="2275" t="e">
        <f t="shared" ref="BH28:BH29" si="249">BE28/BC28*100</f>
        <v>#DIV/0!</v>
      </c>
      <c r="BI28" s="2286">
        <f>BC28-AY28</f>
        <v>0</v>
      </c>
      <c r="BJ28" s="2275" t="e">
        <f t="shared" ref="BJ28" si="250">BC28/AY28*100</f>
        <v>#DIV/0!</v>
      </c>
      <c r="BK28" s="2275">
        <v>0</v>
      </c>
      <c r="BL28" s="2275">
        <v>0</v>
      </c>
      <c r="BM28" s="2275"/>
      <c r="BN28" s="2277">
        <v>0</v>
      </c>
      <c r="BO28" s="2277"/>
      <c r="BP28" s="2277">
        <v>0</v>
      </c>
      <c r="BQ28" s="2277">
        <v>0</v>
      </c>
      <c r="BR28" s="2277">
        <v>0</v>
      </c>
      <c r="BS28" s="2286">
        <f>BQ28-BO28</f>
        <v>0</v>
      </c>
      <c r="BT28" s="2275" t="e">
        <f t="shared" ref="BT28:BT29" si="251">BQ28/BO28*100</f>
        <v>#DIV/0!</v>
      </c>
      <c r="BU28" s="2286">
        <f>BO28-BK28</f>
        <v>0</v>
      </c>
      <c r="BV28" s="2275" t="e">
        <f t="shared" ref="BV28" si="252">BO28/BK28*100</f>
        <v>#DIV/0!</v>
      </c>
      <c r="BW28" s="2275">
        <v>0</v>
      </c>
      <c r="BX28" s="2275">
        <v>0</v>
      </c>
      <c r="BY28" s="2275"/>
      <c r="BZ28" s="2275">
        <v>0</v>
      </c>
      <c r="CA28" s="2277"/>
      <c r="CB28" s="2277">
        <v>0</v>
      </c>
      <c r="CC28" s="2275">
        <v>0</v>
      </c>
      <c r="CD28" s="2275">
        <v>0</v>
      </c>
      <c r="CE28" s="2286">
        <f>CC28-CA28</f>
        <v>0</v>
      </c>
      <c r="CF28" s="2275" t="e">
        <f t="shared" ref="CF28:CF29" si="253">CC28/CA28*100</f>
        <v>#DIV/0!</v>
      </c>
      <c r="CG28" s="2270">
        <f>CA28-BW28</f>
        <v>0</v>
      </c>
      <c r="CH28" s="2275" t="e">
        <f t="shared" ref="CH28" si="254">CA28/BW28*100</f>
        <v>#DIV/0!</v>
      </c>
      <c r="CI28" s="2275">
        <v>0</v>
      </c>
      <c r="CJ28" s="2277">
        <v>0</v>
      </c>
      <c r="CK28" s="2277"/>
      <c r="CL28" s="2277">
        <v>0</v>
      </c>
      <c r="CM28" s="2277"/>
      <c r="CN28" s="2277">
        <v>0</v>
      </c>
      <c r="CO28" s="2277">
        <v>0</v>
      </c>
      <c r="CP28" s="2277">
        <v>0</v>
      </c>
      <c r="CQ28" s="2282">
        <f>CO28-CM28</f>
        <v>0</v>
      </c>
      <c r="CR28" s="2275" t="e">
        <f t="shared" ref="CR28:CR29" si="255">CO28/CM28*100</f>
        <v>#DIV/0!</v>
      </c>
      <c r="CS28" s="2286">
        <f>CM28-CI28</f>
        <v>0</v>
      </c>
      <c r="CT28" s="2275" t="e">
        <f t="shared" ref="CT28" si="256">CM28/CI28*100</f>
        <v>#DIV/0!</v>
      </c>
      <c r="CU28" s="2275">
        <v>0</v>
      </c>
      <c r="CV28" s="2275">
        <v>0</v>
      </c>
      <c r="CW28" s="2275"/>
      <c r="CX28" s="2275">
        <v>0</v>
      </c>
      <c r="CY28" s="2277"/>
      <c r="CZ28" s="2277">
        <v>0</v>
      </c>
      <c r="DA28" s="2277">
        <v>0</v>
      </c>
      <c r="DB28" s="2277">
        <v>0</v>
      </c>
      <c r="DC28" s="2286">
        <f>DA28-CY28</f>
        <v>0</v>
      </c>
      <c r="DD28" s="2275" t="e">
        <f t="shared" ref="DD28:DD29" si="257">DA28/CY28*100</f>
        <v>#DIV/0!</v>
      </c>
      <c r="DE28" s="2286">
        <f>CY28-CU28</f>
        <v>0</v>
      </c>
      <c r="DF28" s="2275" t="e">
        <f t="shared" ref="DF28" si="258">CY28/CU28*100</f>
        <v>#DIV/0!</v>
      </c>
      <c r="DG28" s="2275">
        <v>0</v>
      </c>
      <c r="DH28" s="2275">
        <v>0</v>
      </c>
      <c r="DI28" s="2275"/>
      <c r="DJ28" s="2275">
        <v>0</v>
      </c>
      <c r="DK28" s="2275"/>
      <c r="DL28" s="2275">
        <v>0</v>
      </c>
      <c r="DM28" s="2275">
        <v>0</v>
      </c>
      <c r="DN28" s="2275">
        <v>0</v>
      </c>
      <c r="DO28" s="2286">
        <f>DM28-DK28</f>
        <v>0</v>
      </c>
      <c r="DP28" s="2275" t="e">
        <f t="shared" ref="DP28:DP29" si="259">DM28/DK28*100</f>
        <v>#DIV/0!</v>
      </c>
      <c r="DQ28" s="2286">
        <f>DK28-DG28</f>
        <v>0</v>
      </c>
      <c r="DR28" s="2275" t="e">
        <f t="shared" ref="DR28" si="260">DK28/DG28*100</f>
        <v>#DIV/0!</v>
      </c>
      <c r="DS28" s="2275">
        <v>0</v>
      </c>
      <c r="DT28" s="2275">
        <v>0</v>
      </c>
      <c r="DU28" s="2275"/>
      <c r="DV28" s="2275">
        <v>0</v>
      </c>
      <c r="DW28" s="2277"/>
      <c r="DX28" s="2277">
        <v>0</v>
      </c>
      <c r="DY28" s="2277">
        <v>0</v>
      </c>
      <c r="DZ28" s="2277">
        <v>0</v>
      </c>
      <c r="EA28" s="2286">
        <f>DY28-DW28</f>
        <v>0</v>
      </c>
      <c r="EB28" s="2275" t="e">
        <f t="shared" ref="EB28:EB29" si="261">DY28/DW28*100</f>
        <v>#DIV/0!</v>
      </c>
      <c r="EC28" s="2286">
        <f>DW28-DS28</f>
        <v>0</v>
      </c>
      <c r="ED28" s="2275" t="e">
        <f t="shared" ref="ED28" si="262">DW28/DS28*100</f>
        <v>#DIV/0!</v>
      </c>
      <c r="EE28" s="2275">
        <v>0</v>
      </c>
      <c r="EF28" s="2275">
        <v>0</v>
      </c>
      <c r="EG28" s="2276"/>
      <c r="EH28" s="2276">
        <v>0</v>
      </c>
      <c r="EI28" s="2275"/>
      <c r="EJ28" s="2275">
        <v>0</v>
      </c>
      <c r="EK28" s="2277">
        <v>0</v>
      </c>
      <c r="EL28" s="2277">
        <v>0</v>
      </c>
      <c r="EM28" s="2286">
        <f>EK28-EI28</f>
        <v>0</v>
      </c>
      <c r="EN28" s="2275" t="e">
        <f t="shared" ref="EN28:EN29" si="263">EK28/EI28*100</f>
        <v>#DIV/0!</v>
      </c>
      <c r="EO28" s="2286">
        <f>EI28-EE28</f>
        <v>0</v>
      </c>
      <c r="EP28" s="2275" t="e">
        <f t="shared" ref="EP28" si="264">EI28/EE28*100</f>
        <v>#DIV/0!</v>
      </c>
      <c r="EQ28" s="2275">
        <v>0</v>
      </c>
      <c r="ER28" s="2275">
        <v>0</v>
      </c>
      <c r="ES28" s="2275"/>
      <c r="ET28" s="2275">
        <v>0</v>
      </c>
      <c r="EU28" s="2275">
        <v>0</v>
      </c>
      <c r="EV28" s="2275">
        <v>0</v>
      </c>
      <c r="EW28" s="2275">
        <v>0</v>
      </c>
      <c r="EX28" s="2275">
        <v>0</v>
      </c>
      <c r="EY28" s="2286">
        <f>EW28-EU28</f>
        <v>0</v>
      </c>
      <c r="EZ28" s="2275" t="e">
        <f t="shared" ref="EZ28:EZ29" si="265">EW28/EU28*100</f>
        <v>#DIV/0!</v>
      </c>
      <c r="FA28" s="2286">
        <f>EU28-EQ28</f>
        <v>0</v>
      </c>
      <c r="FB28" s="2275" t="e">
        <f t="shared" ref="FB28" si="266">EU28/EQ28*100</f>
        <v>#DIV/0!</v>
      </c>
      <c r="FC28" s="2278"/>
      <c r="FD28" s="2278"/>
      <c r="FE28" s="2279"/>
      <c r="FF28" s="2279"/>
    </row>
    <row r="29" spans="1:162" s="596" customFormat="1" ht="27" customHeight="1">
      <c r="A29" s="2274" t="s">
        <v>29</v>
      </c>
      <c r="B29" s="43" t="s">
        <v>791</v>
      </c>
      <c r="C29" s="2275">
        <f t="shared" si="79"/>
        <v>299000</v>
      </c>
      <c r="D29" s="2275">
        <f t="shared" si="79"/>
        <v>269100</v>
      </c>
      <c r="E29" s="2275">
        <f t="shared" si="79"/>
        <v>0</v>
      </c>
      <c r="F29" s="2275">
        <f t="shared" si="79"/>
        <v>0</v>
      </c>
      <c r="G29" s="2275">
        <f t="shared" si="79"/>
        <v>217600</v>
      </c>
      <c r="H29" s="2275">
        <f t="shared" si="79"/>
        <v>195840</v>
      </c>
      <c r="I29" s="2275">
        <f t="shared" si="79"/>
        <v>201000</v>
      </c>
      <c r="J29" s="2275">
        <f t="shared" si="79"/>
        <v>180900</v>
      </c>
      <c r="K29" s="2277">
        <f t="shared" si="239"/>
        <v>-16600</v>
      </c>
      <c r="L29" s="2277">
        <f t="shared" si="240"/>
        <v>92.371323529411768</v>
      </c>
      <c r="M29" s="2277">
        <f t="shared" si="241"/>
        <v>-81400</v>
      </c>
      <c r="N29" s="2277">
        <f t="shared" si="242"/>
        <v>72.77591973244148</v>
      </c>
      <c r="O29" s="2275">
        <v>8000</v>
      </c>
      <c r="P29" s="2276">
        <f>O29*P3</f>
        <v>7200</v>
      </c>
      <c r="Q29" s="2275"/>
      <c r="R29" s="2275">
        <f>Q29</f>
        <v>0</v>
      </c>
      <c r="S29" s="2275">
        <f>24000-S28</f>
        <v>8000</v>
      </c>
      <c r="T29" s="2275">
        <f>S29*T3</f>
        <v>7200</v>
      </c>
      <c r="U29" s="2979">
        <f>17000-U28-15000</f>
        <v>2000</v>
      </c>
      <c r="V29" s="2979">
        <f>U29*V3</f>
        <v>1800</v>
      </c>
      <c r="W29" s="2286">
        <f t="shared" ref="W29" si="267">U29-S29</f>
        <v>-6000</v>
      </c>
      <c r="X29" s="2275">
        <f t="shared" si="243"/>
        <v>25</v>
      </c>
      <c r="Y29" s="2286">
        <f t="shared" ref="Y29" si="268">S29-O29</f>
        <v>0</v>
      </c>
      <c r="Z29" s="2275">
        <f>S29/O29*100</f>
        <v>100</v>
      </c>
      <c r="AA29" s="2275">
        <v>9000</v>
      </c>
      <c r="AB29" s="2275">
        <f>AA29*AB3</f>
        <v>8100</v>
      </c>
      <c r="AC29" s="2275"/>
      <c r="AD29" s="2275"/>
      <c r="AE29" s="2277">
        <v>8000</v>
      </c>
      <c r="AF29" s="2277">
        <f>AE29*AF3</f>
        <v>7200</v>
      </c>
      <c r="AG29" s="2275">
        <f>6000-AG28</f>
        <v>6000</v>
      </c>
      <c r="AH29" s="2275">
        <f>AG29*AH3</f>
        <v>5400</v>
      </c>
      <c r="AI29" s="2286">
        <f t="shared" ref="AI29" si="269">AG29-AE29</f>
        <v>-2000</v>
      </c>
      <c r="AJ29" s="2275">
        <f t="shared" si="245"/>
        <v>75</v>
      </c>
      <c r="AK29" s="2286">
        <f t="shared" ref="AK29" si="270">AE29-AA29</f>
        <v>-1000</v>
      </c>
      <c r="AL29" s="2275">
        <f>AE29/AA29*100</f>
        <v>88.888888888888886</v>
      </c>
      <c r="AM29" s="2275">
        <v>600</v>
      </c>
      <c r="AN29" s="2275">
        <f>+AM29*AN3</f>
        <v>540</v>
      </c>
      <c r="AO29" s="2275"/>
      <c r="AP29" s="2275">
        <f>AO29</f>
        <v>0</v>
      </c>
      <c r="AQ29" s="2275">
        <f>1000-AQ28</f>
        <v>1000</v>
      </c>
      <c r="AR29" s="2275">
        <f>AQ29*AR3</f>
        <v>900</v>
      </c>
      <c r="AS29" s="2275">
        <v>1000</v>
      </c>
      <c r="AT29" s="2275">
        <f>AS29*AT3</f>
        <v>900</v>
      </c>
      <c r="AU29" s="2286">
        <f t="shared" ref="AU29" si="271">AS29-AQ29</f>
        <v>0</v>
      </c>
      <c r="AV29" s="2275">
        <f t="shared" si="247"/>
        <v>100</v>
      </c>
      <c r="AW29" s="2286">
        <f t="shared" ref="AW29" si="272">AQ29-AM29</f>
        <v>400</v>
      </c>
      <c r="AX29" s="2275">
        <f>AQ29/AM29*100</f>
        <v>166.66666666666669</v>
      </c>
      <c r="AY29" s="2275">
        <v>1600</v>
      </c>
      <c r="AZ29" s="2275">
        <f>AY29*AZ3</f>
        <v>1440</v>
      </c>
      <c r="BA29" s="2275"/>
      <c r="BB29" s="2275">
        <f>BA29</f>
        <v>0</v>
      </c>
      <c r="BC29" s="2275">
        <v>8000</v>
      </c>
      <c r="BD29" s="2275">
        <f>+BC29*BD3</f>
        <v>7200</v>
      </c>
      <c r="BE29" s="2275">
        <v>2000</v>
      </c>
      <c r="BF29" s="2275">
        <f>BE29*BF3</f>
        <v>1800</v>
      </c>
      <c r="BG29" s="2286">
        <f t="shared" ref="BG29" si="273">BE29-BC29</f>
        <v>-6000</v>
      </c>
      <c r="BH29" s="2275">
        <f t="shared" si="249"/>
        <v>25</v>
      </c>
      <c r="BI29" s="2286">
        <f t="shared" ref="BI29" si="274">BC29-AY29</f>
        <v>6400</v>
      </c>
      <c r="BJ29" s="2275">
        <f>BC29/AY29*100</f>
        <v>500</v>
      </c>
      <c r="BK29" s="2275">
        <v>10000</v>
      </c>
      <c r="BL29" s="2275">
        <f>BK29*BL3</f>
        <v>9000</v>
      </c>
      <c r="BM29" s="2275"/>
      <c r="BN29" s="2277">
        <f>BM29</f>
        <v>0</v>
      </c>
      <c r="BO29" s="2277">
        <v>25000</v>
      </c>
      <c r="BP29" s="2277">
        <f>BO29*BP3</f>
        <v>22500</v>
      </c>
      <c r="BQ29" s="2277">
        <f>25000-BQ28-15000</f>
        <v>10000</v>
      </c>
      <c r="BR29" s="2277">
        <f>BQ29*BR3</f>
        <v>9000</v>
      </c>
      <c r="BS29" s="2286">
        <f t="shared" ref="BS29" si="275">BQ29-BO29</f>
        <v>-15000</v>
      </c>
      <c r="BT29" s="2275">
        <f t="shared" si="251"/>
        <v>40</v>
      </c>
      <c r="BU29" s="2286">
        <f t="shared" ref="BU29" si="276">BO29-BK29</f>
        <v>15000</v>
      </c>
      <c r="BV29" s="2275">
        <f>BO29/BK29*100</f>
        <v>250</v>
      </c>
      <c r="BW29" s="2275">
        <v>135000</v>
      </c>
      <c r="BX29" s="2275">
        <f>BW29*BX3</f>
        <v>121500</v>
      </c>
      <c r="BY29" s="2275"/>
      <c r="BZ29" s="2275">
        <f>BY29</f>
        <v>0</v>
      </c>
      <c r="CA29" s="2277">
        <f>65000-CA28</f>
        <v>65000</v>
      </c>
      <c r="CB29" s="2277">
        <f>CA29*CB3</f>
        <v>58500</v>
      </c>
      <c r="CC29" s="2275">
        <f>145000-CC28</f>
        <v>145000</v>
      </c>
      <c r="CD29" s="2275">
        <f>CC29*CD3</f>
        <v>130500</v>
      </c>
      <c r="CE29" s="2286">
        <f t="shared" ref="CE29" si="277">CC29-CA29</f>
        <v>80000</v>
      </c>
      <c r="CF29" s="2275">
        <f t="shared" si="253"/>
        <v>223.07692307692309</v>
      </c>
      <c r="CG29" s="2270">
        <f t="shared" ref="CG29" si="278">CA29-BW29</f>
        <v>-70000</v>
      </c>
      <c r="CH29" s="2275">
        <f>CA29/BW29*100</f>
        <v>48.148148148148145</v>
      </c>
      <c r="CI29" s="2275">
        <v>15000</v>
      </c>
      <c r="CJ29" s="2277">
        <f>CI29*CJ3</f>
        <v>13500</v>
      </c>
      <c r="CK29" s="2277"/>
      <c r="CL29" s="2277">
        <f>CK29</f>
        <v>0</v>
      </c>
      <c r="CM29" s="2277">
        <v>5000</v>
      </c>
      <c r="CN29" s="2277">
        <f>CM29*CN3</f>
        <v>4500</v>
      </c>
      <c r="CO29" s="2277">
        <v>4500</v>
      </c>
      <c r="CP29" s="2277">
        <f>CO29*CP3</f>
        <v>4050</v>
      </c>
      <c r="CQ29" s="2282">
        <f t="shared" ref="CQ29" si="279">CO29-CM29</f>
        <v>-500</v>
      </c>
      <c r="CR29" s="2275">
        <f t="shared" si="255"/>
        <v>90</v>
      </c>
      <c r="CS29" s="2286">
        <f t="shared" ref="CS29" si="280">CM29-CI29</f>
        <v>-10000</v>
      </c>
      <c r="CT29" s="2275">
        <f>CM29/CI29*100</f>
        <v>33.333333333333329</v>
      </c>
      <c r="CU29" s="2275">
        <v>10000</v>
      </c>
      <c r="CV29" s="2275">
        <f>CU29*CV3</f>
        <v>9000</v>
      </c>
      <c r="CW29" s="2275"/>
      <c r="CX29" s="2275">
        <f>CW29</f>
        <v>0</v>
      </c>
      <c r="CY29" s="2277">
        <v>2500</v>
      </c>
      <c r="CZ29" s="2277">
        <f>CY29*CZ3</f>
        <v>2250</v>
      </c>
      <c r="DA29" s="2277">
        <v>2500</v>
      </c>
      <c r="DB29" s="2277">
        <f>DA29*DB3</f>
        <v>2250</v>
      </c>
      <c r="DC29" s="2286">
        <f t="shared" ref="DC29" si="281">DA29-CY29</f>
        <v>0</v>
      </c>
      <c r="DD29" s="2275">
        <f t="shared" si="257"/>
        <v>100</v>
      </c>
      <c r="DE29" s="2286">
        <f t="shared" ref="DE29" si="282">CY29-CU29</f>
        <v>-7500</v>
      </c>
      <c r="DF29" s="2275">
        <f>CY29/CU29*100</f>
        <v>25</v>
      </c>
      <c r="DG29" s="2275">
        <v>6000</v>
      </c>
      <c r="DH29" s="2275">
        <f>DG29*DH3</f>
        <v>5400</v>
      </c>
      <c r="DI29" s="2275"/>
      <c r="DJ29" s="2275">
        <f>DI29</f>
        <v>0</v>
      </c>
      <c r="DK29" s="2275">
        <f>7000-DK28</f>
        <v>7000</v>
      </c>
      <c r="DL29" s="2275">
        <f>DK29*DL3</f>
        <v>6300</v>
      </c>
      <c r="DM29" s="2275">
        <v>5000</v>
      </c>
      <c r="DN29" s="2275">
        <f>DM29*DN3</f>
        <v>4500</v>
      </c>
      <c r="DO29" s="2286">
        <f t="shared" ref="DO29" si="283">DM29-DK29</f>
        <v>-2000</v>
      </c>
      <c r="DP29" s="2275">
        <f t="shared" si="259"/>
        <v>71.428571428571431</v>
      </c>
      <c r="DQ29" s="2286">
        <f t="shared" ref="DQ29" si="284">DK29-DG29</f>
        <v>1000</v>
      </c>
      <c r="DR29" s="2275">
        <f>DK29/DG29*100</f>
        <v>116.66666666666667</v>
      </c>
      <c r="DS29" s="2275">
        <v>2200</v>
      </c>
      <c r="DT29" s="2275">
        <f>DS29*DT3</f>
        <v>1980</v>
      </c>
      <c r="DU29" s="2275"/>
      <c r="DV29" s="2275">
        <f>DU29</f>
        <v>0</v>
      </c>
      <c r="DW29" s="2277">
        <f>2000-DW28</f>
        <v>2000</v>
      </c>
      <c r="DX29" s="2277">
        <f>DW29*DX3</f>
        <v>1800</v>
      </c>
      <c r="DY29" s="2277">
        <v>2000</v>
      </c>
      <c r="DZ29" s="2277">
        <f>DY29*DZ3</f>
        <v>1800</v>
      </c>
      <c r="EA29" s="2286">
        <f t="shared" ref="EA29" si="285">DY29-DW29</f>
        <v>0</v>
      </c>
      <c r="EB29" s="2275">
        <f t="shared" si="261"/>
        <v>100</v>
      </c>
      <c r="EC29" s="2286">
        <f t="shared" ref="EC29" si="286">DW29-DS29</f>
        <v>-200</v>
      </c>
      <c r="ED29" s="2275">
        <f>DW29/DS29*100</f>
        <v>90.909090909090907</v>
      </c>
      <c r="EE29" s="2275">
        <v>61600</v>
      </c>
      <c r="EF29" s="2275">
        <f>EE29*EF3</f>
        <v>55440</v>
      </c>
      <c r="EG29" s="2276"/>
      <c r="EH29" s="2276">
        <f>EG29</f>
        <v>0</v>
      </c>
      <c r="EI29" s="2980">
        <f>46100-EI28</f>
        <v>46100</v>
      </c>
      <c r="EJ29" s="2275">
        <f>EI29*EJ3</f>
        <v>41490</v>
      </c>
      <c r="EK29" s="2981">
        <v>17000</v>
      </c>
      <c r="EL29" s="2277">
        <f>EK29*EL3</f>
        <v>15300</v>
      </c>
      <c r="EM29" s="2286">
        <f t="shared" ref="EM29" si="287">EK29-EI29</f>
        <v>-29100</v>
      </c>
      <c r="EN29" s="2275">
        <f t="shared" si="263"/>
        <v>36.876355748373101</v>
      </c>
      <c r="EO29" s="2286">
        <f t="shared" ref="EO29" si="288">EI29-EE29</f>
        <v>-15500</v>
      </c>
      <c r="EP29" s="2275">
        <f>EI29/EE29*100</f>
        <v>74.837662337662337</v>
      </c>
      <c r="EQ29" s="2275">
        <v>40000</v>
      </c>
      <c r="ER29" s="2275">
        <f>EQ29*ER3</f>
        <v>36000</v>
      </c>
      <c r="ES29" s="2275"/>
      <c r="ET29" s="2275">
        <f>ES29</f>
        <v>0</v>
      </c>
      <c r="EU29" s="2275">
        <f>40000-EU28</f>
        <v>40000</v>
      </c>
      <c r="EV29" s="2275">
        <f>EU29*EV3</f>
        <v>36000</v>
      </c>
      <c r="EW29" s="2980">
        <f>4000-EW28</f>
        <v>4000</v>
      </c>
      <c r="EX29" s="2275">
        <f>EW29*EX3</f>
        <v>3600</v>
      </c>
      <c r="EY29" s="2286">
        <f t="shared" ref="EY29" si="289">EW29-EU29</f>
        <v>-36000</v>
      </c>
      <c r="EZ29" s="2275">
        <f t="shared" si="265"/>
        <v>10</v>
      </c>
      <c r="FA29" s="2286">
        <f t="shared" ref="FA29" si="290">EU29-EQ29</f>
        <v>0</v>
      </c>
      <c r="FB29" s="2275">
        <f>EU29/EQ29*100</f>
        <v>100</v>
      </c>
      <c r="FC29" s="2278"/>
      <c r="FD29" s="2278"/>
      <c r="FE29" s="2279"/>
      <c r="FF29" s="2279"/>
    </row>
    <row r="30" spans="1:162" s="2273" customFormat="1" ht="27" customHeight="1">
      <c r="A30" s="2265">
        <v>8</v>
      </c>
      <c r="B30" s="2266" t="s">
        <v>242</v>
      </c>
      <c r="C30" s="2267">
        <f t="shared" si="79"/>
        <v>1770000</v>
      </c>
      <c r="D30" s="2267">
        <f t="shared" si="79"/>
        <v>1143000</v>
      </c>
      <c r="E30" s="2267">
        <f t="shared" si="79"/>
        <v>0</v>
      </c>
      <c r="F30" s="2267">
        <f t="shared" si="79"/>
        <v>0</v>
      </c>
      <c r="G30" s="2267">
        <f>SUM(S30,AE30,AQ30,BC30,BO30,CA30,CM30,CY30,DK30,DW30,EI30,EU30)</f>
        <v>1797500</v>
      </c>
      <c r="H30" s="2267">
        <f t="shared" si="80"/>
        <v>1167750</v>
      </c>
      <c r="I30" s="2267">
        <f>SUM(U30,AG30,AS30,BE30,BQ30,CC30,CO30,DA30,DM30,DY30,EK30,EW30)</f>
        <v>1600000</v>
      </c>
      <c r="J30" s="2267">
        <f t="shared" si="80"/>
        <v>1093500</v>
      </c>
      <c r="K30" s="2268">
        <f>+I30-G30</f>
        <v>-197500</v>
      </c>
      <c r="L30" s="2268">
        <f>+I30/G30*100</f>
        <v>89.012517385257311</v>
      </c>
      <c r="M30" s="2268">
        <f>+G30-C30</f>
        <v>27500</v>
      </c>
      <c r="N30" s="2268">
        <f>+G30/C30*100</f>
        <v>101.55367231638419</v>
      </c>
      <c r="O30" s="2267">
        <f>SUM(O31:O32)</f>
        <v>100000</v>
      </c>
      <c r="P30" s="2267">
        <f t="shared" ref="P30:V30" si="291">SUM(P31:P32)</f>
        <v>90000</v>
      </c>
      <c r="Q30" s="2267">
        <f t="shared" si="291"/>
        <v>0</v>
      </c>
      <c r="R30" s="2267">
        <f t="shared" si="291"/>
        <v>0</v>
      </c>
      <c r="S30" s="2267">
        <f t="shared" si="291"/>
        <v>100000</v>
      </c>
      <c r="T30" s="2267">
        <f t="shared" si="291"/>
        <v>90000</v>
      </c>
      <c r="U30" s="2267">
        <f t="shared" si="291"/>
        <v>60000</v>
      </c>
      <c r="V30" s="2267">
        <f t="shared" si="291"/>
        <v>54000</v>
      </c>
      <c r="W30" s="2267">
        <f>SUM(W31:W32)</f>
        <v>-40000</v>
      </c>
      <c r="X30" s="2267">
        <f>U30/S30*100</f>
        <v>60</v>
      </c>
      <c r="Y30" s="2267">
        <f>SUM(Y31:Y32)</f>
        <v>0</v>
      </c>
      <c r="Z30" s="2275">
        <f>S30/O30*100</f>
        <v>100</v>
      </c>
      <c r="AA30" s="2267">
        <f>SUM(AA31:AA32)</f>
        <v>300000</v>
      </c>
      <c r="AB30" s="2267">
        <f t="shared" ref="AB30:AH30" si="292">SUM(AB31:AB32)</f>
        <v>270000</v>
      </c>
      <c r="AC30" s="2267">
        <f t="shared" si="292"/>
        <v>0</v>
      </c>
      <c r="AD30" s="2267">
        <f t="shared" si="292"/>
        <v>0</v>
      </c>
      <c r="AE30" s="2268">
        <f t="shared" si="292"/>
        <v>300000</v>
      </c>
      <c r="AF30" s="2268">
        <f t="shared" si="292"/>
        <v>270000</v>
      </c>
      <c r="AG30" s="2267">
        <f t="shared" si="292"/>
        <v>290000</v>
      </c>
      <c r="AH30" s="2267">
        <f t="shared" si="292"/>
        <v>261000</v>
      </c>
      <c r="AI30" s="2267">
        <f>SUM(AI31:AI32)</f>
        <v>-10000</v>
      </c>
      <c r="AJ30" s="2267">
        <f>AG30/AE30*100</f>
        <v>96.666666666666671</v>
      </c>
      <c r="AK30" s="2267">
        <f>SUM(AK31:AK32)</f>
        <v>0</v>
      </c>
      <c r="AL30" s="2275">
        <f>AE30/AA30*100</f>
        <v>100</v>
      </c>
      <c r="AM30" s="2267">
        <f>SUM(AM31:AM32)</f>
        <v>30000</v>
      </c>
      <c r="AN30" s="2267">
        <f t="shared" ref="AN30:AT30" si="293">SUM(AN31:AN32)</f>
        <v>27000</v>
      </c>
      <c r="AO30" s="2267">
        <f t="shared" si="293"/>
        <v>0</v>
      </c>
      <c r="AP30" s="2267">
        <f t="shared" si="293"/>
        <v>0</v>
      </c>
      <c r="AQ30" s="2267">
        <f t="shared" si="293"/>
        <v>30000</v>
      </c>
      <c r="AR30" s="2267">
        <f t="shared" si="293"/>
        <v>27000</v>
      </c>
      <c r="AS30" s="2267">
        <f t="shared" si="293"/>
        <v>30000</v>
      </c>
      <c r="AT30" s="2267">
        <f t="shared" si="293"/>
        <v>27000</v>
      </c>
      <c r="AU30" s="2267">
        <f>SUM(AU31:AU32)</f>
        <v>0</v>
      </c>
      <c r="AV30" s="2267">
        <f>AS30/AQ30*100</f>
        <v>100</v>
      </c>
      <c r="AW30" s="2267">
        <f>SUM(AW31:AW32)</f>
        <v>0</v>
      </c>
      <c r="AX30" s="2275">
        <f>AQ30/AM30*100</f>
        <v>100</v>
      </c>
      <c r="AY30" s="2267">
        <f>SUM(AY31:AY32)</f>
        <v>60000</v>
      </c>
      <c r="AZ30" s="2267">
        <f t="shared" ref="AZ30:BF30" si="294">SUM(AZ31:AZ32)</f>
        <v>54000</v>
      </c>
      <c r="BA30" s="2267">
        <f t="shared" si="294"/>
        <v>0</v>
      </c>
      <c r="BB30" s="2267">
        <f t="shared" si="294"/>
        <v>0</v>
      </c>
      <c r="BC30" s="2267">
        <f t="shared" si="294"/>
        <v>63000</v>
      </c>
      <c r="BD30" s="2267">
        <f t="shared" si="294"/>
        <v>56700</v>
      </c>
      <c r="BE30" s="2267">
        <f t="shared" si="294"/>
        <v>60000</v>
      </c>
      <c r="BF30" s="2267">
        <f t="shared" si="294"/>
        <v>54000</v>
      </c>
      <c r="BG30" s="2267">
        <f>SUM(BG31:BG32)</f>
        <v>-3000</v>
      </c>
      <c r="BH30" s="2267">
        <f>BE30/BC30*100</f>
        <v>95.238095238095227</v>
      </c>
      <c r="BI30" s="2267">
        <f>SUM(BI31:BI32)</f>
        <v>3000</v>
      </c>
      <c r="BJ30" s="2275">
        <f>BC30/AY30*100</f>
        <v>105</v>
      </c>
      <c r="BK30" s="2267">
        <f>SUM(BK31:BK32)</f>
        <v>70000</v>
      </c>
      <c r="BL30" s="2267">
        <f t="shared" ref="BL30:BR30" si="295">SUM(BL31:BL32)</f>
        <v>63000</v>
      </c>
      <c r="BM30" s="2267">
        <f t="shared" si="295"/>
        <v>0</v>
      </c>
      <c r="BN30" s="2267">
        <f t="shared" si="295"/>
        <v>0</v>
      </c>
      <c r="BO30" s="2267">
        <f t="shared" si="295"/>
        <v>63000</v>
      </c>
      <c r="BP30" s="2267">
        <f t="shared" si="295"/>
        <v>56700</v>
      </c>
      <c r="BQ30" s="2267">
        <f t="shared" si="295"/>
        <v>50000</v>
      </c>
      <c r="BR30" s="2267">
        <f t="shared" si="295"/>
        <v>45000</v>
      </c>
      <c r="BS30" s="2267">
        <f>SUM(BS31:BS32)</f>
        <v>-13000</v>
      </c>
      <c r="BT30" s="2267">
        <f>BQ30/BO30*100</f>
        <v>79.365079365079367</v>
      </c>
      <c r="BU30" s="2267">
        <f>SUM(BU31:BU32)</f>
        <v>-7000</v>
      </c>
      <c r="BV30" s="2275">
        <f>BO30/BK30*100</f>
        <v>90</v>
      </c>
      <c r="BW30" s="2267">
        <f>SUM(BW31:BW32)</f>
        <v>310000</v>
      </c>
      <c r="BX30" s="2267">
        <f t="shared" ref="BX30:CD30" si="296">SUM(BX31:BX32)</f>
        <v>144000</v>
      </c>
      <c r="BY30" s="2267">
        <f t="shared" si="296"/>
        <v>0</v>
      </c>
      <c r="BZ30" s="2267">
        <f t="shared" si="296"/>
        <v>0</v>
      </c>
      <c r="CA30" s="2268">
        <f t="shared" si="296"/>
        <v>310000</v>
      </c>
      <c r="CB30" s="2268">
        <f t="shared" si="296"/>
        <v>144000</v>
      </c>
      <c r="CC30" s="2267">
        <f t="shared" si="296"/>
        <v>310000</v>
      </c>
      <c r="CD30" s="2267">
        <f t="shared" si="296"/>
        <v>144000</v>
      </c>
      <c r="CE30" s="2267">
        <f>SUM(CE31:CE32)</f>
        <v>0</v>
      </c>
      <c r="CF30" s="2267">
        <f>CC30/CA30*100</f>
        <v>100</v>
      </c>
      <c r="CG30" s="2270">
        <f>SUM(CG31:CG32)</f>
        <v>0</v>
      </c>
      <c r="CH30" s="2275">
        <f>CA30/BW30*100</f>
        <v>100</v>
      </c>
      <c r="CI30" s="2267">
        <f>SUM(CI31:CI32)</f>
        <v>60000</v>
      </c>
      <c r="CJ30" s="2268">
        <f t="shared" ref="CJ30:CP30" si="297">SUM(CJ31:CJ32)</f>
        <v>54000</v>
      </c>
      <c r="CK30" s="2268">
        <f t="shared" si="297"/>
        <v>0</v>
      </c>
      <c r="CL30" s="2268">
        <f t="shared" si="297"/>
        <v>0</v>
      </c>
      <c r="CM30" s="2268">
        <f t="shared" si="297"/>
        <v>90000</v>
      </c>
      <c r="CN30" s="2268">
        <f t="shared" si="297"/>
        <v>81000</v>
      </c>
      <c r="CO30" s="2268">
        <f t="shared" si="297"/>
        <v>75000</v>
      </c>
      <c r="CP30" s="2268">
        <f t="shared" si="297"/>
        <v>67500</v>
      </c>
      <c r="CQ30" s="2268">
        <f>SUM(CQ31:CQ32)</f>
        <v>-15000</v>
      </c>
      <c r="CR30" s="2267">
        <f>CO30/CM30*100</f>
        <v>83.333333333333343</v>
      </c>
      <c r="CS30" s="2267">
        <f>SUM(CS31:CS32)</f>
        <v>30000</v>
      </c>
      <c r="CT30" s="2275">
        <f>CM30/CI30*100</f>
        <v>150</v>
      </c>
      <c r="CU30" s="2267">
        <f>SUM(CU31:CU32)</f>
        <v>100000</v>
      </c>
      <c r="CV30" s="2267">
        <f t="shared" ref="CV30:DB30" si="298">SUM(CV31:CV32)</f>
        <v>90000</v>
      </c>
      <c r="CW30" s="2267">
        <f t="shared" si="298"/>
        <v>0</v>
      </c>
      <c r="CX30" s="2267">
        <f t="shared" si="298"/>
        <v>0</v>
      </c>
      <c r="CY30" s="2267">
        <f t="shared" si="298"/>
        <v>100000</v>
      </c>
      <c r="CZ30" s="2267">
        <f t="shared" si="298"/>
        <v>90000</v>
      </c>
      <c r="DA30" s="2267">
        <f t="shared" si="298"/>
        <v>100000</v>
      </c>
      <c r="DB30" s="2267">
        <f t="shared" si="298"/>
        <v>90000</v>
      </c>
      <c r="DC30" s="2267">
        <f>SUM(DC31:DC32)</f>
        <v>0</v>
      </c>
      <c r="DD30" s="2267">
        <f>DA30/CY30*100</f>
        <v>100</v>
      </c>
      <c r="DE30" s="2267">
        <f>SUM(DE31:DE32)</f>
        <v>0</v>
      </c>
      <c r="DF30" s="2275">
        <f>CY30/CU30*100</f>
        <v>100</v>
      </c>
      <c r="DG30" s="2267">
        <f>SUM(DG31:DG32)</f>
        <v>60000</v>
      </c>
      <c r="DH30" s="2267">
        <f t="shared" ref="DH30:DN30" si="299">SUM(DH31:DH32)</f>
        <v>54000</v>
      </c>
      <c r="DI30" s="2267">
        <f t="shared" si="299"/>
        <v>0</v>
      </c>
      <c r="DJ30" s="2267">
        <f t="shared" si="299"/>
        <v>0</v>
      </c>
      <c r="DK30" s="2267">
        <f t="shared" si="299"/>
        <v>61500</v>
      </c>
      <c r="DL30" s="2267">
        <f t="shared" si="299"/>
        <v>55350</v>
      </c>
      <c r="DM30" s="2268">
        <f t="shared" si="299"/>
        <v>60000</v>
      </c>
      <c r="DN30" s="2268">
        <f t="shared" si="299"/>
        <v>54000</v>
      </c>
      <c r="DO30" s="2267">
        <f>SUM(DO31:DO32)</f>
        <v>-1500</v>
      </c>
      <c r="DP30" s="2267">
        <f>DM30/DK30*100</f>
        <v>97.560975609756099</v>
      </c>
      <c r="DQ30" s="2267">
        <f>SUM(DQ31:DQ32)</f>
        <v>1500</v>
      </c>
      <c r="DR30" s="2275">
        <f>DK30/DG30*100</f>
        <v>102.49999999999999</v>
      </c>
      <c r="DS30" s="2267">
        <f>SUM(DS31:DS32)</f>
        <v>70000</v>
      </c>
      <c r="DT30" s="2267">
        <f t="shared" ref="DT30:DZ30" si="300">SUM(DT31:DT32)</f>
        <v>63000</v>
      </c>
      <c r="DU30" s="2267">
        <f t="shared" si="300"/>
        <v>0</v>
      </c>
      <c r="DV30" s="2267">
        <f t="shared" si="300"/>
        <v>0</v>
      </c>
      <c r="DW30" s="2268">
        <f t="shared" si="300"/>
        <v>70000</v>
      </c>
      <c r="DX30" s="2268">
        <f t="shared" si="300"/>
        <v>63000</v>
      </c>
      <c r="DY30" s="2268">
        <f t="shared" si="300"/>
        <v>70000</v>
      </c>
      <c r="DZ30" s="2268">
        <f t="shared" si="300"/>
        <v>63000</v>
      </c>
      <c r="EA30" s="2267">
        <f>SUM(EA31:EA32)</f>
        <v>0</v>
      </c>
      <c r="EB30" s="2267">
        <f>DY30/DW30*100</f>
        <v>100</v>
      </c>
      <c r="EC30" s="2267">
        <f>SUM(EC31:EC32)</f>
        <v>0</v>
      </c>
      <c r="ED30" s="2275">
        <f>DW30/DS30*100</f>
        <v>100</v>
      </c>
      <c r="EE30" s="2267">
        <f>SUM(EE31:EE32)</f>
        <v>510000</v>
      </c>
      <c r="EF30" s="2267">
        <f t="shared" ref="EF30:EL30" si="301">SUM(EF31:EF32)</f>
        <v>144000</v>
      </c>
      <c r="EG30" s="2269">
        <f t="shared" si="301"/>
        <v>0</v>
      </c>
      <c r="EH30" s="2269">
        <f t="shared" si="301"/>
        <v>0</v>
      </c>
      <c r="EI30" s="2267">
        <f t="shared" si="301"/>
        <v>510000</v>
      </c>
      <c r="EJ30" s="2267">
        <f t="shared" si="301"/>
        <v>144000</v>
      </c>
      <c r="EK30" s="2268">
        <f t="shared" si="301"/>
        <v>395000</v>
      </c>
      <c r="EL30" s="2268">
        <f t="shared" si="301"/>
        <v>144000</v>
      </c>
      <c r="EM30" s="2267">
        <f>SUM(EM31:EM32)</f>
        <v>-115000</v>
      </c>
      <c r="EN30" s="2267">
        <f>EK30/EI30*100</f>
        <v>77.450980392156865</v>
      </c>
      <c r="EO30" s="2267">
        <f>SUM(EO31:EO32)</f>
        <v>0</v>
      </c>
      <c r="EP30" s="2275">
        <f>EI30/EE30*100</f>
        <v>100</v>
      </c>
      <c r="EQ30" s="2267">
        <f>SUM(EQ31:EQ32)</f>
        <v>100000</v>
      </c>
      <c r="ER30" s="2267">
        <f t="shared" ref="ER30:EX30" si="302">SUM(ER31:ER32)</f>
        <v>90000</v>
      </c>
      <c r="ES30" s="2267">
        <f t="shared" si="302"/>
        <v>0</v>
      </c>
      <c r="ET30" s="2267">
        <f t="shared" si="302"/>
        <v>0</v>
      </c>
      <c r="EU30" s="2267">
        <f t="shared" si="302"/>
        <v>100000</v>
      </c>
      <c r="EV30" s="2267">
        <f t="shared" si="302"/>
        <v>90000</v>
      </c>
      <c r="EW30" s="2267">
        <f t="shared" si="302"/>
        <v>100000</v>
      </c>
      <c r="EX30" s="2267">
        <f t="shared" si="302"/>
        <v>90000</v>
      </c>
      <c r="EY30" s="2267">
        <f>SUM(EY31:EY32)</f>
        <v>0</v>
      </c>
      <c r="EZ30" s="2267">
        <f>EW30/EU30*100</f>
        <v>100</v>
      </c>
      <c r="FA30" s="2267">
        <f>SUM(FA31:FA32)</f>
        <v>0</v>
      </c>
      <c r="FB30" s="2275">
        <f>EU30/EQ30*100</f>
        <v>100</v>
      </c>
      <c r="FC30" s="2271">
        <f>E30/C30</f>
        <v>0</v>
      </c>
      <c r="FD30" s="2271">
        <f>F30/D30</f>
        <v>0</v>
      </c>
      <c r="FE30" s="2272">
        <f>E30-C30</f>
        <v>-1770000</v>
      </c>
      <c r="FF30" s="2272">
        <f>F30-D30</f>
        <v>-1143000</v>
      </c>
    </row>
    <row r="31" spans="1:162" s="596" customFormat="1" ht="27" customHeight="1">
      <c r="A31" s="2274" t="s">
        <v>29</v>
      </c>
      <c r="B31" s="43" t="s">
        <v>790</v>
      </c>
      <c r="C31" s="2275">
        <f t="shared" si="79"/>
        <v>500000</v>
      </c>
      <c r="D31" s="2275">
        <f t="shared" si="79"/>
        <v>0</v>
      </c>
      <c r="E31" s="2275">
        <f t="shared" si="79"/>
        <v>0</v>
      </c>
      <c r="F31" s="2275">
        <f t="shared" si="79"/>
        <v>0</v>
      </c>
      <c r="G31" s="2275">
        <f t="shared" si="79"/>
        <v>500000</v>
      </c>
      <c r="H31" s="2275">
        <f t="shared" si="79"/>
        <v>0</v>
      </c>
      <c r="I31" s="2275">
        <f>SUM(U31,AG31,AS31,BE31,BQ31,CC31,CO31,DA31,DM31,DY31,EK31,EW31)</f>
        <v>385000</v>
      </c>
      <c r="J31" s="2275">
        <f>SUM(V31,AH31,AT31,BF31,BR31,CD31,CP31,DB31,DN31,DZ31,EL31,EX31)</f>
        <v>0</v>
      </c>
      <c r="K31" s="2277">
        <f t="shared" ref="K31:K32" si="303">+I31-G31</f>
        <v>-115000</v>
      </c>
      <c r="L31" s="2277">
        <f t="shared" ref="L31:L32" si="304">+I31/G31*100</f>
        <v>77</v>
      </c>
      <c r="M31" s="2277">
        <f t="shared" ref="M31:M32" si="305">+G31-C31</f>
        <v>0</v>
      </c>
      <c r="N31" s="2277">
        <f t="shared" ref="N31:N32" si="306">+G31/C31*100</f>
        <v>100</v>
      </c>
      <c r="O31" s="2275"/>
      <c r="P31" s="2275">
        <v>0</v>
      </c>
      <c r="Q31" s="2275">
        <v>0</v>
      </c>
      <c r="R31" s="2275">
        <v>0</v>
      </c>
      <c r="S31" s="2275">
        <f>Q31/8*12</f>
        <v>0</v>
      </c>
      <c r="T31" s="2275">
        <v>0</v>
      </c>
      <c r="U31" s="2275"/>
      <c r="V31" s="2275">
        <v>0</v>
      </c>
      <c r="W31" s="2286">
        <f>U31-S31</f>
        <v>0</v>
      </c>
      <c r="X31" s="2275" t="e">
        <f t="shared" ref="X31:X32" si="307">U31/S31*100</f>
        <v>#DIV/0!</v>
      </c>
      <c r="Y31" s="2286">
        <f>S31-O31</f>
        <v>0</v>
      </c>
      <c r="Z31" s="2275" t="e">
        <f>S31/O31*100</f>
        <v>#DIV/0!</v>
      </c>
      <c r="AA31" s="2275">
        <v>0</v>
      </c>
      <c r="AB31" s="2275">
        <v>0</v>
      </c>
      <c r="AC31" s="2275">
        <v>0</v>
      </c>
      <c r="AD31" s="2275">
        <v>0</v>
      </c>
      <c r="AE31" s="2277">
        <f>AC31/8*12</f>
        <v>0</v>
      </c>
      <c r="AF31" s="2277">
        <v>0</v>
      </c>
      <c r="AG31" s="2275"/>
      <c r="AH31" s="2275">
        <v>0</v>
      </c>
      <c r="AI31" s="2286">
        <f>AG31-AE31</f>
        <v>0</v>
      </c>
      <c r="AJ31" s="2275" t="e">
        <f t="shared" ref="AJ31:AJ32" si="308">AG31/AE31*100</f>
        <v>#DIV/0!</v>
      </c>
      <c r="AK31" s="2286">
        <f>AE31-AA31</f>
        <v>0</v>
      </c>
      <c r="AL31" s="2275" t="e">
        <f>AE31/AA31*100</f>
        <v>#DIV/0!</v>
      </c>
      <c r="AM31" s="2275">
        <v>0</v>
      </c>
      <c r="AN31" s="2275">
        <v>0</v>
      </c>
      <c r="AO31" s="2275">
        <v>0</v>
      </c>
      <c r="AP31" s="2275">
        <v>0</v>
      </c>
      <c r="AQ31" s="2275">
        <f>AO31/8*12</f>
        <v>0</v>
      </c>
      <c r="AR31" s="2275">
        <v>0</v>
      </c>
      <c r="AS31" s="2275"/>
      <c r="AT31" s="2275">
        <v>0</v>
      </c>
      <c r="AU31" s="2286">
        <f>AS31-AQ31</f>
        <v>0</v>
      </c>
      <c r="AV31" s="2275" t="e">
        <f t="shared" ref="AV31:AV32" si="309">AS31/AQ31*100</f>
        <v>#DIV/0!</v>
      </c>
      <c r="AW31" s="2286">
        <f>AQ31-AM31</f>
        <v>0</v>
      </c>
      <c r="AX31" s="2275" t="e">
        <f>AQ31/AM31*100</f>
        <v>#DIV/0!</v>
      </c>
      <c r="AY31" s="2275">
        <v>0</v>
      </c>
      <c r="AZ31" s="2275">
        <v>0</v>
      </c>
      <c r="BA31" s="2275">
        <v>0</v>
      </c>
      <c r="BB31" s="2275">
        <v>0</v>
      </c>
      <c r="BC31" s="2275">
        <f>BA31/8*12</f>
        <v>0</v>
      </c>
      <c r="BD31" s="2275">
        <v>0</v>
      </c>
      <c r="BE31" s="2275"/>
      <c r="BF31" s="2275">
        <v>0</v>
      </c>
      <c r="BG31" s="2286">
        <f>BE31-BC31</f>
        <v>0</v>
      </c>
      <c r="BH31" s="2275" t="e">
        <f t="shared" ref="BH31:BH32" si="310">BE31/BC31*100</f>
        <v>#DIV/0!</v>
      </c>
      <c r="BI31" s="2286">
        <f>BC31-AY31</f>
        <v>0</v>
      </c>
      <c r="BJ31" s="2275" t="e">
        <f>BC31/AY31*100</f>
        <v>#DIV/0!</v>
      </c>
      <c r="BK31" s="2275">
        <v>0</v>
      </c>
      <c r="BL31" s="2275">
        <v>0</v>
      </c>
      <c r="BM31" s="2275">
        <v>0</v>
      </c>
      <c r="BN31" s="2275">
        <v>0</v>
      </c>
      <c r="BO31" s="2275">
        <f>BM31/8*12</f>
        <v>0</v>
      </c>
      <c r="BP31" s="2275">
        <v>0</v>
      </c>
      <c r="BQ31" s="2275"/>
      <c r="BR31" s="2275">
        <v>0</v>
      </c>
      <c r="BS31" s="2286">
        <f>BQ31-BO31</f>
        <v>0</v>
      </c>
      <c r="BT31" s="2275" t="e">
        <f t="shared" ref="BT31:BT32" si="311">BQ31/BO31*100</f>
        <v>#DIV/0!</v>
      </c>
      <c r="BU31" s="2286">
        <f>BO31-BK31</f>
        <v>0</v>
      </c>
      <c r="BV31" s="2275" t="e">
        <f>BO31/BK31*100</f>
        <v>#DIV/0!</v>
      </c>
      <c r="BW31" s="2275">
        <v>150000</v>
      </c>
      <c r="BX31" s="2275">
        <v>0</v>
      </c>
      <c r="BY31" s="2275">
        <v>0</v>
      </c>
      <c r="BZ31" s="2275">
        <v>0</v>
      </c>
      <c r="CA31" s="2277">
        <v>150000</v>
      </c>
      <c r="CB31" s="2277">
        <v>0</v>
      </c>
      <c r="CC31" s="2276">
        <v>150000</v>
      </c>
      <c r="CD31" s="2275">
        <v>0</v>
      </c>
      <c r="CE31" s="2286">
        <f>CC31-CA31</f>
        <v>0</v>
      </c>
      <c r="CF31" s="2275">
        <f t="shared" ref="CF31:CF32" si="312">CC31/CA31*100</f>
        <v>100</v>
      </c>
      <c r="CG31" s="2270">
        <f>CA31-BW31</f>
        <v>0</v>
      </c>
      <c r="CH31" s="2275">
        <f>CA31/BW31*100</f>
        <v>100</v>
      </c>
      <c r="CI31" s="2275">
        <v>0</v>
      </c>
      <c r="CJ31" s="2275">
        <v>0</v>
      </c>
      <c r="CK31" s="2277">
        <v>0</v>
      </c>
      <c r="CL31" s="2277">
        <v>0</v>
      </c>
      <c r="CM31" s="2277">
        <f>CK31/8*12</f>
        <v>0</v>
      </c>
      <c r="CN31" s="2277">
        <v>0</v>
      </c>
      <c r="CO31" s="2277">
        <v>0</v>
      </c>
      <c r="CP31" s="2277">
        <v>0</v>
      </c>
      <c r="CQ31" s="2282">
        <f>CO31-CM31</f>
        <v>0</v>
      </c>
      <c r="CR31" s="2275" t="e">
        <f t="shared" ref="CR31:CR32" si="313">CO31/CM31*100</f>
        <v>#DIV/0!</v>
      </c>
      <c r="CS31" s="2286">
        <f>CM31-CI31</f>
        <v>0</v>
      </c>
      <c r="CT31" s="2275" t="e">
        <f>CM31/CI31*100</f>
        <v>#DIV/0!</v>
      </c>
      <c r="CU31" s="2275">
        <v>0</v>
      </c>
      <c r="CV31" s="2275">
        <v>0</v>
      </c>
      <c r="CW31" s="2275">
        <v>0</v>
      </c>
      <c r="CX31" s="2275">
        <v>0</v>
      </c>
      <c r="CY31" s="2275">
        <f>CW31/8*12</f>
        <v>0</v>
      </c>
      <c r="CZ31" s="2275">
        <v>0</v>
      </c>
      <c r="DA31" s="2275">
        <v>0</v>
      </c>
      <c r="DB31" s="2275">
        <v>0</v>
      </c>
      <c r="DC31" s="2286">
        <f>DA31-CY31</f>
        <v>0</v>
      </c>
      <c r="DD31" s="2275" t="e">
        <f t="shared" ref="DD31:DD32" si="314">DA31/CY31*100</f>
        <v>#DIV/0!</v>
      </c>
      <c r="DE31" s="2286">
        <f>CY31-CU31</f>
        <v>0</v>
      </c>
      <c r="DF31" s="2275" t="e">
        <f>CY31/CU31*100</f>
        <v>#DIV/0!</v>
      </c>
      <c r="DG31" s="2275">
        <v>0</v>
      </c>
      <c r="DH31" s="2275">
        <v>0</v>
      </c>
      <c r="DI31" s="2275">
        <v>0</v>
      </c>
      <c r="DJ31" s="2275">
        <v>0</v>
      </c>
      <c r="DK31" s="2275">
        <f>DI31/8*12</f>
        <v>0</v>
      </c>
      <c r="DL31" s="2275">
        <v>0</v>
      </c>
      <c r="DM31" s="2277">
        <v>0</v>
      </c>
      <c r="DN31" s="2277">
        <v>0</v>
      </c>
      <c r="DO31" s="2286">
        <f>DM31-DK31</f>
        <v>0</v>
      </c>
      <c r="DP31" s="2275" t="e">
        <f t="shared" ref="DP31:DP32" si="315">DM31/DK31*100</f>
        <v>#DIV/0!</v>
      </c>
      <c r="DQ31" s="2286">
        <f>DK31-DG31</f>
        <v>0</v>
      </c>
      <c r="DR31" s="2275" t="e">
        <f>DK31/DG31*100</f>
        <v>#DIV/0!</v>
      </c>
      <c r="DS31" s="2275">
        <v>0</v>
      </c>
      <c r="DT31" s="2275">
        <v>0</v>
      </c>
      <c r="DU31" s="2275">
        <v>0</v>
      </c>
      <c r="DV31" s="2275">
        <v>0</v>
      </c>
      <c r="DW31" s="2277">
        <f>DU31/8*12</f>
        <v>0</v>
      </c>
      <c r="DX31" s="2277">
        <v>0</v>
      </c>
      <c r="DY31" s="2277">
        <v>0</v>
      </c>
      <c r="DZ31" s="2277">
        <v>0</v>
      </c>
      <c r="EA31" s="2286">
        <f>DY31-DW31</f>
        <v>0</v>
      </c>
      <c r="EB31" s="2275" t="e">
        <f t="shared" ref="EB31:EB32" si="316">DY31/DW31*100</f>
        <v>#DIV/0!</v>
      </c>
      <c r="EC31" s="2286">
        <f>DW31-DS31</f>
        <v>0</v>
      </c>
      <c r="ED31" s="2275" t="e">
        <f>DW31/DS31*100</f>
        <v>#DIV/0!</v>
      </c>
      <c r="EE31" s="2275">
        <v>350000</v>
      </c>
      <c r="EF31" s="2275">
        <v>0</v>
      </c>
      <c r="EG31" s="2276"/>
      <c r="EH31" s="2276">
        <v>0</v>
      </c>
      <c r="EI31" s="2275">
        <v>350000</v>
      </c>
      <c r="EJ31" s="2275">
        <v>0</v>
      </c>
      <c r="EK31" s="2287">
        <f>350000-115000</f>
        <v>235000</v>
      </c>
      <c r="EL31" s="2277">
        <v>0</v>
      </c>
      <c r="EM31" s="2286">
        <f>EK31-EI31</f>
        <v>-115000</v>
      </c>
      <c r="EN31" s="2275">
        <f t="shared" ref="EN31:EN32" si="317">EK31/EI31*100</f>
        <v>67.142857142857139</v>
      </c>
      <c r="EO31" s="2286">
        <f>EI31-EE31</f>
        <v>0</v>
      </c>
      <c r="EP31" s="2275">
        <f>EI31/EE31*100</f>
        <v>100</v>
      </c>
      <c r="EQ31" s="2275">
        <v>0</v>
      </c>
      <c r="ER31" s="2275">
        <v>0</v>
      </c>
      <c r="ES31" s="2275">
        <v>0</v>
      </c>
      <c r="ET31" s="2275">
        <v>0</v>
      </c>
      <c r="EU31" s="2275">
        <f>ES31/8*12</f>
        <v>0</v>
      </c>
      <c r="EV31" s="2275">
        <v>0</v>
      </c>
      <c r="EW31" s="2275">
        <v>0</v>
      </c>
      <c r="EX31" s="2275">
        <v>0</v>
      </c>
      <c r="EY31" s="2286">
        <f>EW31-EU31</f>
        <v>0</v>
      </c>
      <c r="EZ31" s="2275" t="e">
        <f t="shared" ref="EZ31:EZ32" si="318">EW31/EU31*100</f>
        <v>#DIV/0!</v>
      </c>
      <c r="FA31" s="2286">
        <f>EU31-EQ31</f>
        <v>0</v>
      </c>
      <c r="FB31" s="2275" t="e">
        <f>EU31/EQ31*100</f>
        <v>#DIV/0!</v>
      </c>
      <c r="FC31" s="2278"/>
      <c r="FD31" s="2278"/>
      <c r="FE31" s="2279"/>
      <c r="FF31" s="2279"/>
    </row>
    <row r="32" spans="1:162" s="596" customFormat="1" ht="27" customHeight="1">
      <c r="A32" s="2274" t="s">
        <v>29</v>
      </c>
      <c r="B32" s="43" t="s">
        <v>791</v>
      </c>
      <c r="C32" s="2275">
        <f t="shared" si="79"/>
        <v>1270000</v>
      </c>
      <c r="D32" s="2275">
        <f t="shared" si="79"/>
        <v>1143000</v>
      </c>
      <c r="E32" s="2275">
        <f t="shared" si="79"/>
        <v>0</v>
      </c>
      <c r="F32" s="2275">
        <f t="shared" si="79"/>
        <v>0</v>
      </c>
      <c r="G32" s="2275">
        <f>SUM(S32,AE32,AQ32,BC32,BO32,CA32,CM32,CY32,DK32,DW32,EI32,EU32)</f>
        <v>1297500</v>
      </c>
      <c r="H32" s="2275">
        <f t="shared" si="79"/>
        <v>1167750</v>
      </c>
      <c r="I32" s="2275">
        <f>SUM(U32,AG32,AS32,BE32,BQ32,CC32,CO32,DA32,DM32,DY32,EK32,EW32)</f>
        <v>1215000</v>
      </c>
      <c r="J32" s="2275">
        <f>SUM(V32,AH32,AT32,BF32,BR32,CD32,CP32,DB32,DN32,DZ32,EL32,EX32)</f>
        <v>1093500</v>
      </c>
      <c r="K32" s="2277">
        <f t="shared" si="303"/>
        <v>-82500</v>
      </c>
      <c r="L32" s="2277">
        <f t="shared" si="304"/>
        <v>93.641618497109818</v>
      </c>
      <c r="M32" s="2277">
        <f t="shared" si="305"/>
        <v>27500</v>
      </c>
      <c r="N32" s="2277">
        <f t="shared" si="306"/>
        <v>102.16535433070865</v>
      </c>
      <c r="O32" s="2275">
        <v>100000</v>
      </c>
      <c r="P32" s="2276">
        <f>O32*P3</f>
        <v>90000</v>
      </c>
      <c r="Q32" s="2275"/>
      <c r="R32" s="2275">
        <f>Q32</f>
        <v>0</v>
      </c>
      <c r="S32" s="2275">
        <f>100000-S31</f>
        <v>100000</v>
      </c>
      <c r="T32" s="2275">
        <f>S32*T3</f>
        <v>90000</v>
      </c>
      <c r="U32" s="2276">
        <f>100000-U31-40000</f>
        <v>60000</v>
      </c>
      <c r="V32" s="2275">
        <f>U32*V3</f>
        <v>54000</v>
      </c>
      <c r="W32" s="2286">
        <f>U32-S32</f>
        <v>-40000</v>
      </c>
      <c r="X32" s="2275">
        <f t="shared" si="307"/>
        <v>60</v>
      </c>
      <c r="Y32" s="2286">
        <f>S32-O32</f>
        <v>0</v>
      </c>
      <c r="Z32" s="2275">
        <f>S32/O32*100</f>
        <v>100</v>
      </c>
      <c r="AA32" s="2275">
        <v>300000</v>
      </c>
      <c r="AB32" s="2275">
        <f>AA32*AB3</f>
        <v>270000</v>
      </c>
      <c r="AC32" s="2275"/>
      <c r="AD32" s="2275"/>
      <c r="AE32" s="2277">
        <f>300000-AE31</f>
        <v>300000</v>
      </c>
      <c r="AF32" s="2277">
        <f>AE32*AF3</f>
        <v>270000</v>
      </c>
      <c r="AG32" s="2276">
        <f>300000-10000</f>
        <v>290000</v>
      </c>
      <c r="AH32" s="2275">
        <f>AG32*AH3</f>
        <v>261000</v>
      </c>
      <c r="AI32" s="2286">
        <f>AG32-AE32</f>
        <v>-10000</v>
      </c>
      <c r="AJ32" s="2275">
        <f t="shared" si="308"/>
        <v>96.666666666666671</v>
      </c>
      <c r="AK32" s="2286">
        <f>AE32-AA32</f>
        <v>0</v>
      </c>
      <c r="AL32" s="2275">
        <f>AE32/AA32*100</f>
        <v>100</v>
      </c>
      <c r="AM32" s="2275">
        <v>30000</v>
      </c>
      <c r="AN32" s="2275">
        <f>AM32*AN3</f>
        <v>27000</v>
      </c>
      <c r="AO32" s="2275"/>
      <c r="AP32" s="2275">
        <f>AO32</f>
        <v>0</v>
      </c>
      <c r="AQ32" s="2275">
        <f>30000-AQ31</f>
        <v>30000</v>
      </c>
      <c r="AR32" s="2275">
        <f>AQ32*AR3</f>
        <v>27000</v>
      </c>
      <c r="AS32" s="2287">
        <f>30000-AS31</f>
        <v>30000</v>
      </c>
      <c r="AT32" s="2275">
        <f>AS32*AT3</f>
        <v>27000</v>
      </c>
      <c r="AU32" s="2286">
        <f>AS32-AQ32</f>
        <v>0</v>
      </c>
      <c r="AV32" s="2275">
        <f t="shared" si="309"/>
        <v>100</v>
      </c>
      <c r="AW32" s="2286">
        <f>AQ32-AM32</f>
        <v>0</v>
      </c>
      <c r="AX32" s="2275">
        <f>AQ32/AM32*100</f>
        <v>100</v>
      </c>
      <c r="AY32" s="2275">
        <v>60000</v>
      </c>
      <c r="AZ32" s="2275">
        <f>AY32*AZ3</f>
        <v>54000</v>
      </c>
      <c r="BA32" s="2275"/>
      <c r="BB32" s="2275">
        <f>BA32</f>
        <v>0</v>
      </c>
      <c r="BC32" s="2275">
        <f>63000-BC31</f>
        <v>63000</v>
      </c>
      <c r="BD32" s="2275">
        <f>BC32*BD3</f>
        <v>56700</v>
      </c>
      <c r="BE32" s="2276">
        <f>60000-BE31</f>
        <v>60000</v>
      </c>
      <c r="BF32" s="2275">
        <f>BE32*BF3</f>
        <v>54000</v>
      </c>
      <c r="BG32" s="2286">
        <f>BE32-BC32</f>
        <v>-3000</v>
      </c>
      <c r="BH32" s="2275">
        <f t="shared" si="310"/>
        <v>95.238095238095227</v>
      </c>
      <c r="BI32" s="2286">
        <f>BC32-AY32</f>
        <v>3000</v>
      </c>
      <c r="BJ32" s="2275">
        <f>BC32/AY32*100</f>
        <v>105</v>
      </c>
      <c r="BK32" s="2275">
        <v>70000</v>
      </c>
      <c r="BL32" s="2275">
        <f>BK32*BL3</f>
        <v>63000</v>
      </c>
      <c r="BM32" s="2275"/>
      <c r="BN32" s="2275">
        <f>BM32</f>
        <v>0</v>
      </c>
      <c r="BO32" s="2275">
        <v>63000</v>
      </c>
      <c r="BP32" s="2275">
        <f>BO32*BP3</f>
        <v>56700</v>
      </c>
      <c r="BQ32" s="2287">
        <f>75000-BQ31-25000</f>
        <v>50000</v>
      </c>
      <c r="BR32" s="2275">
        <f>BQ32*BR3</f>
        <v>45000</v>
      </c>
      <c r="BS32" s="2286">
        <f>BQ32-BO32</f>
        <v>-13000</v>
      </c>
      <c r="BT32" s="2275">
        <f t="shared" si="311"/>
        <v>79.365079365079367</v>
      </c>
      <c r="BU32" s="2286">
        <f>BO32-BK32</f>
        <v>-7000</v>
      </c>
      <c r="BV32" s="2275">
        <f>BO32/BK32*100</f>
        <v>90</v>
      </c>
      <c r="BW32" s="2275">
        <v>160000</v>
      </c>
      <c r="BX32" s="2275">
        <f>BW32*BX3</f>
        <v>144000</v>
      </c>
      <c r="BY32" s="2275"/>
      <c r="BZ32" s="2275">
        <f>BY32</f>
        <v>0</v>
      </c>
      <c r="CA32" s="2277">
        <f>310000-CA31</f>
        <v>160000</v>
      </c>
      <c r="CB32" s="2277">
        <f>CA32*CB3</f>
        <v>144000</v>
      </c>
      <c r="CC32" s="2276">
        <f>310000-CC31</f>
        <v>160000</v>
      </c>
      <c r="CD32" s="2275">
        <f>CC32*CD3</f>
        <v>144000</v>
      </c>
      <c r="CE32" s="2286">
        <f>CC32-CA32</f>
        <v>0</v>
      </c>
      <c r="CF32" s="2275">
        <f t="shared" si="312"/>
        <v>100</v>
      </c>
      <c r="CG32" s="2270">
        <f>CA32-BW32</f>
        <v>0</v>
      </c>
      <c r="CH32" s="2275">
        <f>CA32/BW32*100</f>
        <v>100</v>
      </c>
      <c r="CI32" s="2275">
        <v>60000</v>
      </c>
      <c r="CJ32" s="2275">
        <f>CI32*CJ3</f>
        <v>54000</v>
      </c>
      <c r="CK32" s="2277"/>
      <c r="CL32" s="2277">
        <f>CK32</f>
        <v>0</v>
      </c>
      <c r="CM32" s="2277">
        <f>90000-CM31</f>
        <v>90000</v>
      </c>
      <c r="CN32" s="2277">
        <f>CM32*CN3</f>
        <v>81000</v>
      </c>
      <c r="CO32" s="2276">
        <f>65000-CO31+10000</f>
        <v>75000</v>
      </c>
      <c r="CP32" s="2277">
        <f>CO32*CP3</f>
        <v>67500</v>
      </c>
      <c r="CQ32" s="2282">
        <f>CO32-CM32</f>
        <v>-15000</v>
      </c>
      <c r="CR32" s="2275">
        <f t="shared" si="313"/>
        <v>83.333333333333343</v>
      </c>
      <c r="CS32" s="2286">
        <f>CM32-CI32</f>
        <v>30000</v>
      </c>
      <c r="CT32" s="2275">
        <f>CM32/CI32*100</f>
        <v>150</v>
      </c>
      <c r="CU32" s="2275">
        <v>100000</v>
      </c>
      <c r="CV32" s="2277">
        <f>CU32*CV3</f>
        <v>90000</v>
      </c>
      <c r="CW32" s="2277"/>
      <c r="CX32" s="2277">
        <f>CW32</f>
        <v>0</v>
      </c>
      <c r="CY32" s="2277">
        <f>100000-CY31</f>
        <v>100000</v>
      </c>
      <c r="CZ32" s="2277">
        <f>CY32*CZ3</f>
        <v>90000</v>
      </c>
      <c r="DA32" s="2276">
        <f>100000-DA31</f>
        <v>100000</v>
      </c>
      <c r="DB32" s="2277">
        <f>DA32*DB3</f>
        <v>90000</v>
      </c>
      <c r="DC32" s="2282">
        <f>DA32-CY32</f>
        <v>0</v>
      </c>
      <c r="DD32" s="2275">
        <f t="shared" si="314"/>
        <v>100</v>
      </c>
      <c r="DE32" s="2286">
        <f>CY32-CU32</f>
        <v>0</v>
      </c>
      <c r="DF32" s="2275">
        <f>CY32/CU32*100</f>
        <v>100</v>
      </c>
      <c r="DG32" s="2275">
        <v>60000</v>
      </c>
      <c r="DH32" s="2275">
        <f>DG32*DH3</f>
        <v>54000</v>
      </c>
      <c r="DI32" s="2275"/>
      <c r="DJ32" s="2275">
        <f>DI32</f>
        <v>0</v>
      </c>
      <c r="DK32" s="2275">
        <f>61500-DK31</f>
        <v>61500</v>
      </c>
      <c r="DL32" s="2275">
        <f>DK32*DL3</f>
        <v>55350</v>
      </c>
      <c r="DM32" s="2287">
        <f>60000-DM31</f>
        <v>60000</v>
      </c>
      <c r="DN32" s="2277">
        <f>DM32*DN3</f>
        <v>54000</v>
      </c>
      <c r="DO32" s="2286">
        <f>DM32-DK32</f>
        <v>-1500</v>
      </c>
      <c r="DP32" s="2275">
        <f t="shared" si="315"/>
        <v>97.560975609756099</v>
      </c>
      <c r="DQ32" s="2286">
        <f>DK32-DG32</f>
        <v>1500</v>
      </c>
      <c r="DR32" s="2275">
        <f>DK32/DG32*100</f>
        <v>102.49999999999999</v>
      </c>
      <c r="DS32" s="2275">
        <v>70000</v>
      </c>
      <c r="DT32" s="2275">
        <f>DS32*DT3</f>
        <v>63000</v>
      </c>
      <c r="DU32" s="2275"/>
      <c r="DV32" s="2275">
        <f>DU32</f>
        <v>0</v>
      </c>
      <c r="DW32" s="2277">
        <f>70000-DW31</f>
        <v>70000</v>
      </c>
      <c r="DX32" s="2277">
        <f>DW32*DX3</f>
        <v>63000</v>
      </c>
      <c r="DY32" s="2276">
        <f>70000-DY31</f>
        <v>70000</v>
      </c>
      <c r="DZ32" s="2277">
        <f>DY32*DZ3</f>
        <v>63000</v>
      </c>
      <c r="EA32" s="2286">
        <f>DY32-DW32</f>
        <v>0</v>
      </c>
      <c r="EB32" s="2275">
        <f t="shared" si="316"/>
        <v>100</v>
      </c>
      <c r="EC32" s="2286">
        <f>DW32-DS32</f>
        <v>0</v>
      </c>
      <c r="ED32" s="2275">
        <f>DW32/DS32*100</f>
        <v>100</v>
      </c>
      <c r="EE32" s="2275">
        <v>160000</v>
      </c>
      <c r="EF32" s="2275">
        <f>EE32*EF3</f>
        <v>144000</v>
      </c>
      <c r="EG32" s="2276"/>
      <c r="EH32" s="2276">
        <f>EG32</f>
        <v>0</v>
      </c>
      <c r="EI32" s="2275">
        <f>510000-EI31</f>
        <v>160000</v>
      </c>
      <c r="EJ32" s="2275">
        <f>EI32*EJ3</f>
        <v>144000</v>
      </c>
      <c r="EK32" s="2277">
        <f>395000-EK31</f>
        <v>160000</v>
      </c>
      <c r="EL32" s="2277">
        <f>EK32*EL3</f>
        <v>144000</v>
      </c>
      <c r="EM32" s="2286">
        <f>EK32-EI32</f>
        <v>0</v>
      </c>
      <c r="EN32" s="2275">
        <f t="shared" si="317"/>
        <v>100</v>
      </c>
      <c r="EO32" s="2286">
        <f>EI32-EE32</f>
        <v>0</v>
      </c>
      <c r="EP32" s="2275">
        <f>EI32/EE32*100</f>
        <v>100</v>
      </c>
      <c r="EQ32" s="2275">
        <v>100000</v>
      </c>
      <c r="ER32" s="2275">
        <f>EQ32*ER3</f>
        <v>90000</v>
      </c>
      <c r="ES32" s="2275"/>
      <c r="ET32" s="2275">
        <f>ES32</f>
        <v>0</v>
      </c>
      <c r="EU32" s="2275">
        <f>100000-EU31</f>
        <v>100000</v>
      </c>
      <c r="EV32" s="2275">
        <f>EU32*EV3</f>
        <v>90000</v>
      </c>
      <c r="EW32" s="2287">
        <f>100000-EW31</f>
        <v>100000</v>
      </c>
      <c r="EX32" s="2275">
        <f>EW32*EX3</f>
        <v>90000</v>
      </c>
      <c r="EY32" s="2286">
        <f>EW32-EU32</f>
        <v>0</v>
      </c>
      <c r="EZ32" s="2275">
        <f t="shared" si="318"/>
        <v>100</v>
      </c>
      <c r="FA32" s="2286">
        <f>EU32-EQ32</f>
        <v>0</v>
      </c>
      <c r="FB32" s="2275">
        <f>EU32/EQ32*100</f>
        <v>100</v>
      </c>
      <c r="FC32" s="2278"/>
      <c r="FD32" s="2278"/>
      <c r="FE32" s="2279"/>
      <c r="FF32" s="2279"/>
    </row>
    <row r="33" spans="1:162" s="2273" customFormat="1" ht="27" customHeight="1">
      <c r="A33" s="2265">
        <v>9</v>
      </c>
      <c r="B33" s="2266" t="s">
        <v>26</v>
      </c>
      <c r="C33" s="2267">
        <f t="shared" si="79"/>
        <v>262000</v>
      </c>
      <c r="D33" s="2267">
        <f t="shared" si="79"/>
        <v>145500</v>
      </c>
      <c r="E33" s="2267">
        <f t="shared" si="79"/>
        <v>0</v>
      </c>
      <c r="F33" s="2267">
        <f t="shared" si="79"/>
        <v>0</v>
      </c>
      <c r="G33" s="2267">
        <f t="shared" si="79"/>
        <v>329197</v>
      </c>
      <c r="H33" s="2267">
        <f t="shared" si="80"/>
        <v>181497</v>
      </c>
      <c r="I33" s="2267">
        <f>SUM(U33,AG33,AS33,BE33,BQ33,CC33,CO33,DA33,DM33,DY33,EK33,EW33)</f>
        <v>330000</v>
      </c>
      <c r="J33" s="2267">
        <f t="shared" si="80"/>
        <v>206500</v>
      </c>
      <c r="K33" s="2268">
        <f>+I33-G33</f>
        <v>803</v>
      </c>
      <c r="L33" s="2268">
        <f>+I33/G33*100</f>
        <v>100.24392688876264</v>
      </c>
      <c r="M33" s="2268">
        <f>+G33-C33</f>
        <v>67197</v>
      </c>
      <c r="N33" s="2268">
        <f>+G33/C33*100</f>
        <v>125.64770992366412</v>
      </c>
      <c r="O33" s="2267">
        <f>SUM(O34:O36)</f>
        <v>14000</v>
      </c>
      <c r="P33" s="2267">
        <f t="shared" ref="P33:V33" si="319">SUM(P34:P36)</f>
        <v>13000</v>
      </c>
      <c r="Q33" s="2267">
        <f t="shared" si="319"/>
        <v>0</v>
      </c>
      <c r="R33" s="2267">
        <f t="shared" si="319"/>
        <v>0</v>
      </c>
      <c r="S33" s="2267">
        <f t="shared" si="319"/>
        <v>15000</v>
      </c>
      <c r="T33" s="2267">
        <f t="shared" si="319"/>
        <v>13500</v>
      </c>
      <c r="U33" s="2267">
        <f t="shared" si="319"/>
        <v>29000</v>
      </c>
      <c r="V33" s="2267">
        <f t="shared" si="319"/>
        <v>27000</v>
      </c>
      <c r="W33" s="2267">
        <f>SUM(W34:W35)</f>
        <v>500</v>
      </c>
      <c r="X33" s="2267">
        <f>U33/S33*100</f>
        <v>193.33333333333334</v>
      </c>
      <c r="Y33" s="2267">
        <f>SUM(Y34:Y35)</f>
        <v>500</v>
      </c>
      <c r="Z33" s="2275">
        <f>S33/O33*100</f>
        <v>107.14285714285714</v>
      </c>
      <c r="AA33" s="2267">
        <f>SUM(AA34:AA36)</f>
        <v>17000</v>
      </c>
      <c r="AB33" s="2267">
        <f t="shared" ref="AB33:AH33" si="320">SUM(AB34:AB36)</f>
        <v>7000</v>
      </c>
      <c r="AC33" s="2267">
        <f t="shared" si="320"/>
        <v>0</v>
      </c>
      <c r="AD33" s="2267">
        <f t="shared" si="320"/>
        <v>0</v>
      </c>
      <c r="AE33" s="2268">
        <f t="shared" si="320"/>
        <v>23015</v>
      </c>
      <c r="AF33" s="2268">
        <f t="shared" si="320"/>
        <v>10015</v>
      </c>
      <c r="AG33" s="2267">
        <f t="shared" si="320"/>
        <v>14000</v>
      </c>
      <c r="AH33" s="2267">
        <f t="shared" si="320"/>
        <v>8000</v>
      </c>
      <c r="AI33" s="2267">
        <f>SUM(AI34:AI35)</f>
        <v>-7000</v>
      </c>
      <c r="AJ33" s="2267">
        <f>AG33/AE33*100</f>
        <v>60.829893547686289</v>
      </c>
      <c r="AK33" s="2267">
        <f>SUM(AK34:AK35)</f>
        <v>3000</v>
      </c>
      <c r="AL33" s="2275">
        <f>AE33/AA33*100</f>
        <v>135.38235294117646</v>
      </c>
      <c r="AM33" s="2267">
        <f>SUM(AM34:AM36)</f>
        <v>7000</v>
      </c>
      <c r="AN33" s="2267">
        <f t="shared" ref="AN33:AT33" si="321">SUM(AN34:AN36)</f>
        <v>7000</v>
      </c>
      <c r="AO33" s="2267">
        <f t="shared" si="321"/>
        <v>0</v>
      </c>
      <c r="AP33" s="2267">
        <f t="shared" si="321"/>
        <v>0</v>
      </c>
      <c r="AQ33" s="2267">
        <f t="shared" si="321"/>
        <v>25654</v>
      </c>
      <c r="AR33" s="2267">
        <f t="shared" si="321"/>
        <v>11354</v>
      </c>
      <c r="AS33" s="2267">
        <f t="shared" si="321"/>
        <v>10000</v>
      </c>
      <c r="AT33" s="2267">
        <f t="shared" si="321"/>
        <v>9000</v>
      </c>
      <c r="AU33" s="2267">
        <f>SUM(AU34:AU35)</f>
        <v>1000</v>
      </c>
      <c r="AV33" s="2267">
        <f>AS33/AQ33*100</f>
        <v>38.980275980353937</v>
      </c>
      <c r="AW33" s="2267">
        <f>SUM(AW34:AW35)</f>
        <v>0</v>
      </c>
      <c r="AX33" s="2275">
        <f>AQ33/AM33*100</f>
        <v>366.48571428571432</v>
      </c>
      <c r="AY33" s="2267">
        <f>SUM(AY34:AY36)</f>
        <v>14000</v>
      </c>
      <c r="AZ33" s="2267">
        <f t="shared" ref="AZ33:BF33" si="322">SUM(AZ34:AZ36)</f>
        <v>8500</v>
      </c>
      <c r="BA33" s="2267">
        <f t="shared" si="322"/>
        <v>0</v>
      </c>
      <c r="BB33" s="2267">
        <f t="shared" si="322"/>
        <v>0</v>
      </c>
      <c r="BC33" s="2267">
        <f t="shared" si="322"/>
        <v>22000</v>
      </c>
      <c r="BD33" s="2267">
        <f t="shared" si="322"/>
        <v>12650</v>
      </c>
      <c r="BE33" s="2267">
        <f t="shared" si="322"/>
        <v>22000</v>
      </c>
      <c r="BF33" s="2267">
        <f t="shared" si="322"/>
        <v>13000</v>
      </c>
      <c r="BG33" s="2267">
        <f>SUM(BG34:BG35)</f>
        <v>-350</v>
      </c>
      <c r="BH33" s="2267">
        <f>BE33/BC33*100</f>
        <v>100</v>
      </c>
      <c r="BI33" s="2267">
        <f>SUM(BI34:BI35)</f>
        <v>3850</v>
      </c>
      <c r="BJ33" s="2275">
        <f>BC33/AY33*100</f>
        <v>157.14285714285714</v>
      </c>
      <c r="BK33" s="2267">
        <f>SUM(BK34:BK36)</f>
        <v>25000</v>
      </c>
      <c r="BL33" s="2267">
        <f t="shared" ref="BL33:BR33" si="323">SUM(BL34:BL36)</f>
        <v>18500</v>
      </c>
      <c r="BM33" s="2267">
        <f t="shared" si="323"/>
        <v>0</v>
      </c>
      <c r="BN33" s="2267">
        <f t="shared" si="323"/>
        <v>0</v>
      </c>
      <c r="BO33" s="2267">
        <f t="shared" si="323"/>
        <v>30000</v>
      </c>
      <c r="BP33" s="2267">
        <f t="shared" si="323"/>
        <v>22800</v>
      </c>
      <c r="BQ33" s="2267">
        <f t="shared" si="323"/>
        <v>25000</v>
      </c>
      <c r="BR33" s="2267">
        <f t="shared" si="323"/>
        <v>18500</v>
      </c>
      <c r="BS33" s="2267">
        <f>SUM(BS34:BS35)</f>
        <v>-700</v>
      </c>
      <c r="BT33" s="2267">
        <f>BQ33/BO33*100</f>
        <v>83.333333333333343</v>
      </c>
      <c r="BU33" s="2267">
        <f>SUM(BU34:BU35)</f>
        <v>700</v>
      </c>
      <c r="BV33" s="2275">
        <f>BO33/BK33*100</f>
        <v>120</v>
      </c>
      <c r="BW33" s="2267">
        <f>SUM(BW34:BW36)</f>
        <v>80000</v>
      </c>
      <c r="BX33" s="2268">
        <f t="shared" ref="BX33:CD33" si="324">SUM(BX34:BX36)</f>
        <v>21500</v>
      </c>
      <c r="BY33" s="2268">
        <f t="shared" si="324"/>
        <v>0</v>
      </c>
      <c r="BZ33" s="2268">
        <f t="shared" si="324"/>
        <v>0</v>
      </c>
      <c r="CA33" s="2268">
        <f t="shared" si="324"/>
        <v>80000</v>
      </c>
      <c r="CB33" s="2268">
        <f t="shared" si="324"/>
        <v>21500</v>
      </c>
      <c r="CC33" s="2268">
        <f t="shared" si="324"/>
        <v>90000</v>
      </c>
      <c r="CD33" s="2268">
        <f t="shared" si="324"/>
        <v>25499.999999999993</v>
      </c>
      <c r="CE33" s="2267">
        <f>SUM(CE34:CE35)</f>
        <v>6000.0000000000073</v>
      </c>
      <c r="CF33" s="2267">
        <f>CC33/CA33*100</f>
        <v>112.5</v>
      </c>
      <c r="CG33" s="2270">
        <f>SUM(CG34:CG35)</f>
        <v>0</v>
      </c>
      <c r="CH33" s="2275">
        <f>CA33/BW33*100</f>
        <v>100</v>
      </c>
      <c r="CI33" s="2267">
        <f>SUM(CI34:CI36)</f>
        <v>26000</v>
      </c>
      <c r="CJ33" s="2267">
        <f t="shared" ref="CJ33:CP33" si="325">SUM(CJ34:CJ36)</f>
        <v>16000</v>
      </c>
      <c r="CK33" s="2268">
        <f t="shared" si="325"/>
        <v>0</v>
      </c>
      <c r="CL33" s="2268">
        <f t="shared" si="325"/>
        <v>0</v>
      </c>
      <c r="CM33" s="2268">
        <f t="shared" si="325"/>
        <v>24000</v>
      </c>
      <c r="CN33" s="2268">
        <f t="shared" si="325"/>
        <v>15000</v>
      </c>
      <c r="CO33" s="2268">
        <f t="shared" si="325"/>
        <v>26000</v>
      </c>
      <c r="CP33" s="2268">
        <f t="shared" si="325"/>
        <v>16000</v>
      </c>
      <c r="CQ33" s="2268">
        <f>SUM(CQ34:CQ35)</f>
        <v>1000</v>
      </c>
      <c r="CR33" s="2267">
        <f>CO33/CM33*100</f>
        <v>108.33333333333333</v>
      </c>
      <c r="CS33" s="2267">
        <f>SUM(CS34:CS35)</f>
        <v>-1000</v>
      </c>
      <c r="CT33" s="2275">
        <f>CM33/CI33*100</f>
        <v>92.307692307692307</v>
      </c>
      <c r="CU33" s="2267">
        <f>SUM(CU34:CU36)</f>
        <v>12000</v>
      </c>
      <c r="CV33" s="2268">
        <f t="shared" ref="CV33:DB33" si="326">SUM(CV34:CV36)</f>
        <v>8000</v>
      </c>
      <c r="CW33" s="2268">
        <f t="shared" si="326"/>
        <v>0</v>
      </c>
      <c r="CX33" s="2268">
        <f t="shared" si="326"/>
        <v>0</v>
      </c>
      <c r="CY33" s="2268">
        <f t="shared" si="326"/>
        <v>20000</v>
      </c>
      <c r="CZ33" s="2268">
        <f t="shared" si="326"/>
        <v>13600</v>
      </c>
      <c r="DA33" s="2268">
        <f t="shared" si="326"/>
        <v>20000</v>
      </c>
      <c r="DB33" s="2268">
        <f t="shared" si="326"/>
        <v>14500</v>
      </c>
      <c r="DC33" s="2268">
        <f>SUM(DC34:DC35)</f>
        <v>-900</v>
      </c>
      <c r="DD33" s="2267">
        <f>DA33/CY33*100</f>
        <v>100</v>
      </c>
      <c r="DE33" s="2267">
        <f>SUM(DE34:DE35)</f>
        <v>2400</v>
      </c>
      <c r="DF33" s="2275">
        <f>CY33/CU33*100</f>
        <v>166.66666666666669</v>
      </c>
      <c r="DG33" s="2267">
        <f>SUM(DG34:DG36)</f>
        <v>18000</v>
      </c>
      <c r="DH33" s="2267">
        <f t="shared" ref="DH33:DN33" si="327">SUM(DH34:DH36)</f>
        <v>14000</v>
      </c>
      <c r="DI33" s="2267">
        <f t="shared" si="327"/>
        <v>0</v>
      </c>
      <c r="DJ33" s="2267">
        <f t="shared" si="327"/>
        <v>0</v>
      </c>
      <c r="DK33" s="2267">
        <f t="shared" si="327"/>
        <v>24000</v>
      </c>
      <c r="DL33" s="2267">
        <f t="shared" si="327"/>
        <v>18900</v>
      </c>
      <c r="DM33" s="2268">
        <f t="shared" si="327"/>
        <v>25000</v>
      </c>
      <c r="DN33" s="2268">
        <f t="shared" si="327"/>
        <v>20000</v>
      </c>
      <c r="DO33" s="2267">
        <f>SUM(DO34:DO35)</f>
        <v>-100</v>
      </c>
      <c r="DP33" s="2267">
        <f>DM33/DK33*100</f>
        <v>104.16666666666667</v>
      </c>
      <c r="DQ33" s="2267">
        <f>SUM(DQ34:DQ35)</f>
        <v>1100</v>
      </c>
      <c r="DR33" s="2275">
        <f>DK33/DG33*100</f>
        <v>133.33333333333331</v>
      </c>
      <c r="DS33" s="2267">
        <f>SUM(DS34:DS36)</f>
        <v>18000</v>
      </c>
      <c r="DT33" s="2267">
        <f t="shared" ref="DT33:DZ33" si="328">SUM(DT34:DT36)</f>
        <v>10000</v>
      </c>
      <c r="DU33" s="2267">
        <f t="shared" si="328"/>
        <v>0</v>
      </c>
      <c r="DV33" s="2267">
        <f t="shared" si="328"/>
        <v>0</v>
      </c>
      <c r="DW33" s="2268">
        <f t="shared" si="328"/>
        <v>19000</v>
      </c>
      <c r="DX33" s="2268">
        <f t="shared" si="328"/>
        <v>10400</v>
      </c>
      <c r="DY33" s="2268">
        <f t="shared" si="328"/>
        <v>21000</v>
      </c>
      <c r="DZ33" s="2268">
        <f t="shared" si="328"/>
        <v>18000</v>
      </c>
      <c r="EA33" s="2267">
        <f>SUM(EA34:EA35)</f>
        <v>-5600</v>
      </c>
      <c r="EB33" s="2267">
        <f>DY33/DW33*100</f>
        <v>110.5263157894737</v>
      </c>
      <c r="EC33" s="2267">
        <f>SUM(EC34:EC35)</f>
        <v>600</v>
      </c>
      <c r="ED33" s="2275">
        <f>DW33/DS33*100</f>
        <v>105.55555555555556</v>
      </c>
      <c r="EE33" s="2267">
        <f>SUM(EE34:EE36)</f>
        <v>18000</v>
      </c>
      <c r="EF33" s="2267">
        <f t="shared" ref="EF33:EL33" si="329">SUM(EF34:EF36)</f>
        <v>11500</v>
      </c>
      <c r="EG33" s="2269">
        <f t="shared" si="329"/>
        <v>0</v>
      </c>
      <c r="EH33" s="2269">
        <f t="shared" si="329"/>
        <v>0</v>
      </c>
      <c r="EI33" s="2267">
        <f t="shared" si="329"/>
        <v>31528</v>
      </c>
      <c r="EJ33" s="2267">
        <f t="shared" si="329"/>
        <v>20278</v>
      </c>
      <c r="EK33" s="2268">
        <f t="shared" si="329"/>
        <v>33000</v>
      </c>
      <c r="EL33" s="2268">
        <f t="shared" si="329"/>
        <v>25000</v>
      </c>
      <c r="EM33" s="2267">
        <f>SUM(EM34:EM35)</f>
        <v>-3250</v>
      </c>
      <c r="EN33" s="2267">
        <f>EK33/EI33*100</f>
        <v>104.66886577010909</v>
      </c>
      <c r="EO33" s="2267">
        <f>SUM(EO34:EO35)</f>
        <v>4750</v>
      </c>
      <c r="EP33" s="2275">
        <f>EI33/EE33*100</f>
        <v>175.15555555555557</v>
      </c>
      <c r="EQ33" s="2267">
        <f>SUM(EQ34:EQ36)</f>
        <v>13000</v>
      </c>
      <c r="ER33" s="2267">
        <f t="shared" ref="ER33:EX33" si="330">SUM(ER34:ER36)</f>
        <v>10500</v>
      </c>
      <c r="ES33" s="2267">
        <f t="shared" si="330"/>
        <v>0</v>
      </c>
      <c r="ET33" s="2267">
        <f t="shared" si="330"/>
        <v>0</v>
      </c>
      <c r="EU33" s="2267">
        <f t="shared" si="330"/>
        <v>15000</v>
      </c>
      <c r="EV33" s="2267">
        <f t="shared" si="330"/>
        <v>11500</v>
      </c>
      <c r="EW33" s="2267">
        <f t="shared" si="330"/>
        <v>15000</v>
      </c>
      <c r="EX33" s="2267">
        <f t="shared" si="330"/>
        <v>12000</v>
      </c>
      <c r="EY33" s="2267">
        <f>SUM(EY34:EY35)</f>
        <v>-500</v>
      </c>
      <c r="EZ33" s="2267">
        <f>EW33/EU33*100</f>
        <v>100</v>
      </c>
      <c r="FA33" s="2267">
        <f>SUM(FA34:FA35)</f>
        <v>1000</v>
      </c>
      <c r="FB33" s="2275">
        <f>EU33/EQ33*100</f>
        <v>115.38461538461537</v>
      </c>
      <c r="FC33" s="2271">
        <f>E33/C33</f>
        <v>0</v>
      </c>
      <c r="FD33" s="2271">
        <f>F33/D33</f>
        <v>0</v>
      </c>
      <c r="FE33" s="2272">
        <f>E33-C33</f>
        <v>-262000</v>
      </c>
      <c r="FF33" s="2272">
        <f>F33-D33</f>
        <v>-145500</v>
      </c>
    </row>
    <row r="34" spans="1:162" s="596" customFormat="1" ht="27" customHeight="1">
      <c r="A34" s="2288" t="s">
        <v>29</v>
      </c>
      <c r="B34" s="2289" t="s">
        <v>799</v>
      </c>
      <c r="C34" s="2275">
        <f t="shared" si="79"/>
        <v>84000</v>
      </c>
      <c r="D34" s="2275">
        <f t="shared" si="79"/>
        <v>0</v>
      </c>
      <c r="E34" s="2275">
        <f t="shared" si="79"/>
        <v>0</v>
      </c>
      <c r="F34" s="2275">
        <f t="shared" si="79"/>
        <v>0</v>
      </c>
      <c r="G34" s="2275">
        <f t="shared" si="79"/>
        <v>94550</v>
      </c>
      <c r="H34" s="2275">
        <f t="shared" si="79"/>
        <v>0</v>
      </c>
      <c r="I34" s="2275">
        <f t="shared" si="79"/>
        <v>89000</v>
      </c>
      <c r="J34" s="2275">
        <f t="shared" si="79"/>
        <v>0</v>
      </c>
      <c r="K34" s="2841">
        <f>I34-G34</f>
        <v>-5550</v>
      </c>
      <c r="L34" s="2277">
        <f>+I34/G34*100</f>
        <v>94.130089899524066</v>
      </c>
      <c r="M34" s="2277">
        <f t="shared" ref="M34:M36" si="331">+G34-C34</f>
        <v>10550</v>
      </c>
      <c r="N34" s="2277">
        <f t="shared" ref="N34:N36" si="332">+G34/C34*100</f>
        <v>112.55952380952381</v>
      </c>
      <c r="O34" s="2275">
        <v>1000</v>
      </c>
      <c r="P34" s="2275">
        <v>0</v>
      </c>
      <c r="Q34" s="2275"/>
      <c r="R34" s="2275">
        <v>0</v>
      </c>
      <c r="S34" s="2275">
        <v>1500</v>
      </c>
      <c r="T34" s="2275">
        <v>0</v>
      </c>
      <c r="U34" s="2285">
        <f>1000*2</f>
        <v>2000</v>
      </c>
      <c r="V34" s="2275">
        <v>0</v>
      </c>
      <c r="W34" s="2286">
        <f>U34-S34</f>
        <v>500</v>
      </c>
      <c r="X34" s="2275">
        <f t="shared" ref="X34:X36" si="333">U34/S34*100</f>
        <v>133.33333333333331</v>
      </c>
      <c r="Y34" s="2286">
        <f>S34-O34</f>
        <v>500</v>
      </c>
      <c r="Z34" s="2275">
        <f t="shared" ref="Z34:Z36" si="334">S34/O34*100</f>
        <v>150</v>
      </c>
      <c r="AA34" s="2275">
        <v>6000</v>
      </c>
      <c r="AB34" s="2275">
        <v>0</v>
      </c>
      <c r="AC34" s="2275"/>
      <c r="AD34" s="2275"/>
      <c r="AE34" s="2277">
        <f>6000*1.3</f>
        <v>7800</v>
      </c>
      <c r="AF34" s="2277">
        <v>0</v>
      </c>
      <c r="AG34" s="5169">
        <f>3000</f>
        <v>3000</v>
      </c>
      <c r="AH34" s="2277">
        <v>0</v>
      </c>
      <c r="AI34" s="2286">
        <f>AG34-AE34</f>
        <v>-4800</v>
      </c>
      <c r="AJ34" s="2275">
        <f t="shared" ref="AJ34:AJ36" si="335">AG34/AE34*100</f>
        <v>38.461538461538467</v>
      </c>
      <c r="AK34" s="2286">
        <f>AE34-AA34</f>
        <v>1800</v>
      </c>
      <c r="AL34" s="2275">
        <f t="shared" ref="AL34:AL36" si="336">AE34/AA34*100</f>
        <v>130</v>
      </c>
      <c r="AM34" s="2275">
        <v>0</v>
      </c>
      <c r="AN34" s="2277">
        <v>0</v>
      </c>
      <c r="AO34" s="2277"/>
      <c r="AP34" s="2277">
        <v>0</v>
      </c>
      <c r="AQ34" s="2277">
        <f>AO34/8*12</f>
        <v>0</v>
      </c>
      <c r="AR34" s="2277">
        <v>0</v>
      </c>
      <c r="AS34" s="2277">
        <v>500</v>
      </c>
      <c r="AT34" s="2277">
        <v>0</v>
      </c>
      <c r="AU34" s="2286">
        <f>AS34-AQ34</f>
        <v>500</v>
      </c>
      <c r="AV34" s="2275" t="e">
        <f t="shared" ref="AV34:AV36" si="337">AS34/AQ34*100</f>
        <v>#DIV/0!</v>
      </c>
      <c r="AW34" s="2286">
        <f>AQ34-AM34</f>
        <v>0</v>
      </c>
      <c r="AX34" s="2275" t="e">
        <f t="shared" ref="AX34:AX36" si="338">AQ34/AM34*100</f>
        <v>#DIV/0!</v>
      </c>
      <c r="AY34" s="2275">
        <v>2500</v>
      </c>
      <c r="AZ34" s="2275">
        <v>0</v>
      </c>
      <c r="BA34" s="2275"/>
      <c r="BB34" s="2275">
        <v>0</v>
      </c>
      <c r="BC34" s="2275">
        <f>2500*1.7</f>
        <v>4250</v>
      </c>
      <c r="BD34" s="2277">
        <v>0</v>
      </c>
      <c r="BE34" s="5169">
        <f>2500*1.5+250-1000+1000</f>
        <v>4000</v>
      </c>
      <c r="BF34" s="2277">
        <v>0</v>
      </c>
      <c r="BG34" s="2286">
        <f>BE34-BC34</f>
        <v>-250</v>
      </c>
      <c r="BH34" s="2275">
        <f t="shared" ref="BH34:BH36" si="339">BE34/BC34*100</f>
        <v>94.117647058823522</v>
      </c>
      <c r="BI34" s="2286">
        <f>BC34-AY34</f>
        <v>1750</v>
      </c>
      <c r="BJ34" s="2275">
        <f t="shared" ref="BJ34:BJ36" si="340">BC34/AY34*100</f>
        <v>170</v>
      </c>
      <c r="BK34" s="2275">
        <v>3500</v>
      </c>
      <c r="BL34" s="2275">
        <v>0</v>
      </c>
      <c r="BM34" s="2275"/>
      <c r="BN34" s="2275">
        <v>0</v>
      </c>
      <c r="BO34" s="2275">
        <v>4200</v>
      </c>
      <c r="BP34" s="2277">
        <v>0</v>
      </c>
      <c r="BQ34" s="2277">
        <f>3500</f>
        <v>3500</v>
      </c>
      <c r="BR34" s="2277">
        <v>0</v>
      </c>
      <c r="BS34" s="2286">
        <f>BQ34-BO34</f>
        <v>-700</v>
      </c>
      <c r="BT34" s="2275">
        <f t="shared" ref="BT34:BT36" si="341">BQ34/BO34*100</f>
        <v>83.333333333333343</v>
      </c>
      <c r="BU34" s="2286">
        <f>BO34-BK34</f>
        <v>700</v>
      </c>
      <c r="BV34" s="2275">
        <f t="shared" ref="BV34:BV36" si="342">BO34/BK34*100</f>
        <v>120</v>
      </c>
      <c r="BW34" s="2275">
        <v>50000</v>
      </c>
      <c r="BX34" s="2277">
        <v>0</v>
      </c>
      <c r="BY34" s="2277"/>
      <c r="BZ34" s="2277">
        <v>0</v>
      </c>
      <c r="CA34" s="2277">
        <v>50000</v>
      </c>
      <c r="CB34" s="2277">
        <v>0</v>
      </c>
      <c r="CC34" s="2277">
        <f>50000*1.1</f>
        <v>55000.000000000007</v>
      </c>
      <c r="CD34" s="2277">
        <v>0</v>
      </c>
      <c r="CE34" s="2286">
        <f>CC34-CA34</f>
        <v>5000.0000000000073</v>
      </c>
      <c r="CF34" s="2275">
        <f t="shared" ref="CF34:CF35" si="343">CC34/CA34*100</f>
        <v>110.00000000000001</v>
      </c>
      <c r="CG34" s="2270">
        <f>CA34-BW34</f>
        <v>0</v>
      </c>
      <c r="CH34" s="2275">
        <f t="shared" ref="CH34:CH35" si="344">CA34/BW34*100</f>
        <v>100</v>
      </c>
      <c r="CI34" s="2275">
        <v>5500</v>
      </c>
      <c r="CJ34" s="2275">
        <v>0</v>
      </c>
      <c r="CK34" s="2277"/>
      <c r="CL34" s="2277">
        <v>0</v>
      </c>
      <c r="CM34" s="2277">
        <v>5000</v>
      </c>
      <c r="CN34" s="2277">
        <v>0</v>
      </c>
      <c r="CO34" s="2277">
        <v>5500</v>
      </c>
      <c r="CP34" s="2277">
        <v>0</v>
      </c>
      <c r="CQ34" s="2282">
        <f>CO34-CM34</f>
        <v>500</v>
      </c>
      <c r="CR34" s="2275">
        <f t="shared" ref="CR34:CR36" si="345">CO34/CM34*100</f>
        <v>110.00000000000001</v>
      </c>
      <c r="CS34" s="2286">
        <f>CM34-CI34</f>
        <v>-500</v>
      </c>
      <c r="CT34" s="2275">
        <f t="shared" ref="CT34:CT36" si="346">CM34/CI34*100</f>
        <v>90.909090909090907</v>
      </c>
      <c r="CU34" s="2275">
        <v>3000</v>
      </c>
      <c r="CV34" s="2277">
        <v>0</v>
      </c>
      <c r="CW34" s="2277"/>
      <c r="CX34" s="2277">
        <v>0</v>
      </c>
      <c r="CY34" s="2277">
        <f>3000*1.6</f>
        <v>4800</v>
      </c>
      <c r="CZ34" s="2277">
        <v>0</v>
      </c>
      <c r="DA34" s="2277">
        <v>4000</v>
      </c>
      <c r="DB34" s="2277">
        <v>0</v>
      </c>
      <c r="DC34" s="2282">
        <f>DA34-CY34</f>
        <v>-800</v>
      </c>
      <c r="DD34" s="2275">
        <f t="shared" ref="DD34:DD36" si="347">DA34/CY34*100</f>
        <v>83.333333333333343</v>
      </c>
      <c r="DE34" s="2286">
        <f>CY34-CU34</f>
        <v>1800</v>
      </c>
      <c r="DF34" s="2275">
        <f t="shared" ref="DF34:DF36" si="348">CY34/CU34*100</f>
        <v>160</v>
      </c>
      <c r="DG34" s="2275">
        <v>2500</v>
      </c>
      <c r="DH34" s="2275">
        <v>0</v>
      </c>
      <c r="DI34" s="2276"/>
      <c r="DJ34" s="2276">
        <v>0</v>
      </c>
      <c r="DK34" s="2276">
        <f>2500*1.3-50</f>
        <v>3200</v>
      </c>
      <c r="DL34" s="2276">
        <v>0</v>
      </c>
      <c r="DM34" s="2981">
        <f>2500*1.3+50-300</f>
        <v>3000</v>
      </c>
      <c r="DN34" s="2277">
        <v>0</v>
      </c>
      <c r="DO34" s="2286">
        <f>DM34-DK34</f>
        <v>-200</v>
      </c>
      <c r="DP34" s="2275">
        <f t="shared" ref="DP34:DP36" si="349">DM34/DK34*100</f>
        <v>93.75</v>
      </c>
      <c r="DQ34" s="2286">
        <f>DK34-DG34</f>
        <v>700</v>
      </c>
      <c r="DR34" s="2275">
        <f t="shared" ref="DR34:DR36" si="350">DK34/DG34*100</f>
        <v>128</v>
      </c>
      <c r="DS34" s="2275">
        <v>4000</v>
      </c>
      <c r="DT34" s="2275">
        <v>0</v>
      </c>
      <c r="DU34" s="2275"/>
      <c r="DV34" s="2275">
        <v>0</v>
      </c>
      <c r="DW34" s="2277">
        <v>4300</v>
      </c>
      <c r="DX34" s="2277">
        <v>0</v>
      </c>
      <c r="DY34" s="2277">
        <v>1500</v>
      </c>
      <c r="DZ34" s="2277">
        <v>0</v>
      </c>
      <c r="EA34" s="2286">
        <f>DY34-DW34</f>
        <v>-2800</v>
      </c>
      <c r="EB34" s="2275">
        <f t="shared" ref="EB34:EB36" si="351">DY34/DW34*100</f>
        <v>34.883720930232556</v>
      </c>
      <c r="EC34" s="2286">
        <f>DW34-DS34</f>
        <v>300</v>
      </c>
      <c r="ED34" s="2275">
        <f t="shared" ref="ED34:ED36" si="352">DW34/DS34*100</f>
        <v>107.5</v>
      </c>
      <c r="EE34" s="2275">
        <v>4000</v>
      </c>
      <c r="EF34" s="2275">
        <v>0</v>
      </c>
      <c r="EG34" s="2276"/>
      <c r="EH34" s="2276">
        <v>0</v>
      </c>
      <c r="EI34" s="2277">
        <f>4000*1.75</f>
        <v>7000</v>
      </c>
      <c r="EJ34" s="2275">
        <v>0</v>
      </c>
      <c r="EK34" s="2276">
        <v>5000</v>
      </c>
      <c r="EL34" s="2277">
        <v>0</v>
      </c>
      <c r="EM34" s="2286">
        <f>EK34-EI34</f>
        <v>-2000</v>
      </c>
      <c r="EN34" s="2275">
        <f t="shared" ref="EN34:EN36" si="353">EK34/EI34*100</f>
        <v>71.428571428571431</v>
      </c>
      <c r="EO34" s="2286">
        <f>EI34-EE34</f>
        <v>3000</v>
      </c>
      <c r="EP34" s="2275">
        <f t="shared" ref="EP34:EP36" si="354">EI34/EE34*100</f>
        <v>175</v>
      </c>
      <c r="EQ34" s="2275">
        <v>2000</v>
      </c>
      <c r="ER34" s="2275">
        <v>0</v>
      </c>
      <c r="ES34" s="2275"/>
      <c r="ET34" s="2275">
        <v>0</v>
      </c>
      <c r="EU34" s="2275">
        <v>2500</v>
      </c>
      <c r="EV34" s="2275">
        <v>0</v>
      </c>
      <c r="EW34" s="2275">
        <v>2000</v>
      </c>
      <c r="EX34" s="2275">
        <v>0</v>
      </c>
      <c r="EY34" s="2286">
        <f>EW34-EU34</f>
        <v>-500</v>
      </c>
      <c r="EZ34" s="2275">
        <f t="shared" ref="EZ34:EZ36" si="355">EW34/EU34*100</f>
        <v>80</v>
      </c>
      <c r="FA34" s="2286">
        <f>EU34-EQ34</f>
        <v>500</v>
      </c>
      <c r="FB34" s="2275">
        <f t="shared" ref="FB34:FB36" si="356">EU34/EQ34*100</f>
        <v>125</v>
      </c>
      <c r="FC34" s="2278"/>
      <c r="FD34" s="2278"/>
      <c r="FE34" s="2279"/>
      <c r="FF34" s="2279"/>
    </row>
    <row r="35" spans="1:162" s="596" customFormat="1" ht="27" customHeight="1">
      <c r="A35" s="2288" t="s">
        <v>29</v>
      </c>
      <c r="B35" s="2289" t="s">
        <v>800</v>
      </c>
      <c r="C35" s="2275">
        <f t="shared" si="79"/>
        <v>32500</v>
      </c>
      <c r="D35" s="2275">
        <f t="shared" si="79"/>
        <v>0</v>
      </c>
      <c r="E35" s="2275">
        <f t="shared" si="79"/>
        <v>0</v>
      </c>
      <c r="F35" s="2275">
        <f t="shared" si="79"/>
        <v>0</v>
      </c>
      <c r="G35" s="2275">
        <f t="shared" si="79"/>
        <v>38850</v>
      </c>
      <c r="H35" s="2275">
        <f t="shared" si="79"/>
        <v>0</v>
      </c>
      <c r="I35" s="2275">
        <f t="shared" si="79"/>
        <v>34500</v>
      </c>
      <c r="J35" s="2275">
        <f t="shared" si="79"/>
        <v>0</v>
      </c>
      <c r="K35" s="2841">
        <f t="shared" ref="K35:K36" si="357">I35-G35</f>
        <v>-4350</v>
      </c>
      <c r="L35" s="2277">
        <f t="shared" ref="L35:L36" si="358">+I35/G35*100</f>
        <v>88.803088803088798</v>
      </c>
      <c r="M35" s="2277">
        <f t="shared" si="331"/>
        <v>6350</v>
      </c>
      <c r="N35" s="2277">
        <f t="shared" si="332"/>
        <v>119.53846153846155</v>
      </c>
      <c r="O35" s="2275">
        <v>0</v>
      </c>
      <c r="P35" s="2275">
        <v>0</v>
      </c>
      <c r="Q35" s="2275"/>
      <c r="R35" s="2275">
        <v>0</v>
      </c>
      <c r="S35" s="2275">
        <f>Q35/8*12</f>
        <v>0</v>
      </c>
      <c r="T35" s="2275">
        <v>0</v>
      </c>
      <c r="U35" s="2285"/>
      <c r="V35" s="2275">
        <v>0</v>
      </c>
      <c r="W35" s="2286">
        <f t="shared" ref="W35" si="359">U35-S35</f>
        <v>0</v>
      </c>
      <c r="X35" s="2275" t="e">
        <f t="shared" si="333"/>
        <v>#DIV/0!</v>
      </c>
      <c r="Y35" s="2286">
        <f t="shared" ref="Y35:Y36" si="360">S35-O35</f>
        <v>0</v>
      </c>
      <c r="Z35" s="2275" t="e">
        <f t="shared" si="334"/>
        <v>#DIV/0!</v>
      </c>
      <c r="AA35" s="2275">
        <v>4000</v>
      </c>
      <c r="AB35" s="2275">
        <v>0</v>
      </c>
      <c r="AC35" s="2275"/>
      <c r="AD35" s="2275"/>
      <c r="AE35" s="2277">
        <f>4000*1.3</f>
        <v>5200</v>
      </c>
      <c r="AF35" s="2277">
        <v>0</v>
      </c>
      <c r="AG35" s="2277">
        <f>3000</f>
        <v>3000</v>
      </c>
      <c r="AH35" s="2277">
        <v>0</v>
      </c>
      <c r="AI35" s="2286">
        <f t="shared" ref="AI35:AI36" si="361">AG35-AE35</f>
        <v>-2200</v>
      </c>
      <c r="AJ35" s="2275">
        <f t="shared" si="335"/>
        <v>57.692307692307686</v>
      </c>
      <c r="AK35" s="2286">
        <f t="shared" ref="AK35:AK36" si="362">AE35-AA35</f>
        <v>1200</v>
      </c>
      <c r="AL35" s="2275">
        <f t="shared" si="336"/>
        <v>130</v>
      </c>
      <c r="AM35" s="2275">
        <v>0</v>
      </c>
      <c r="AN35" s="2277">
        <v>0</v>
      </c>
      <c r="AO35" s="2277"/>
      <c r="AP35" s="2277">
        <v>0</v>
      </c>
      <c r="AQ35" s="2277">
        <f>AO35/8*12</f>
        <v>0</v>
      </c>
      <c r="AR35" s="2277">
        <v>0</v>
      </c>
      <c r="AS35" s="2277">
        <v>500</v>
      </c>
      <c r="AT35" s="2277">
        <v>0</v>
      </c>
      <c r="AU35" s="2286">
        <f t="shared" ref="AU35:AU36" si="363">AS35-AQ35</f>
        <v>500</v>
      </c>
      <c r="AV35" s="2275" t="e">
        <f t="shared" si="337"/>
        <v>#DIV/0!</v>
      </c>
      <c r="AW35" s="2286">
        <f t="shared" ref="AW35:AW36" si="364">AQ35-AM35</f>
        <v>0</v>
      </c>
      <c r="AX35" s="2275" t="e">
        <f t="shared" si="338"/>
        <v>#DIV/0!</v>
      </c>
      <c r="AY35" s="2275">
        <v>3000</v>
      </c>
      <c r="AZ35" s="2275">
        <v>0</v>
      </c>
      <c r="BA35" s="2275"/>
      <c r="BB35" s="2275">
        <v>0</v>
      </c>
      <c r="BC35" s="2275">
        <f>3000*1.7</f>
        <v>5100</v>
      </c>
      <c r="BD35" s="2277">
        <v>0</v>
      </c>
      <c r="BE35" s="2277">
        <f>3000*1.5+500</f>
        <v>5000</v>
      </c>
      <c r="BF35" s="2277">
        <v>0</v>
      </c>
      <c r="BG35" s="2286">
        <f t="shared" ref="BG35:BG36" si="365">BE35-BC35</f>
        <v>-100</v>
      </c>
      <c r="BH35" s="2275">
        <f t="shared" si="339"/>
        <v>98.039215686274503</v>
      </c>
      <c r="BI35" s="2286">
        <f t="shared" ref="BI35:BI36" si="366">BC35-AY35</f>
        <v>2100</v>
      </c>
      <c r="BJ35" s="2275">
        <f t="shared" si="340"/>
        <v>170</v>
      </c>
      <c r="BK35" s="2275">
        <v>3000</v>
      </c>
      <c r="BL35" s="2275">
        <v>0</v>
      </c>
      <c r="BM35" s="2275"/>
      <c r="BN35" s="2275">
        <v>0</v>
      </c>
      <c r="BO35" s="2275">
        <v>3000</v>
      </c>
      <c r="BP35" s="2277">
        <v>0</v>
      </c>
      <c r="BQ35" s="2277">
        <v>3000</v>
      </c>
      <c r="BR35" s="2277">
        <v>0</v>
      </c>
      <c r="BS35" s="2286">
        <f t="shared" ref="BS35:BS36" si="367">BQ35-BO35</f>
        <v>0</v>
      </c>
      <c r="BT35" s="2275">
        <f t="shared" si="341"/>
        <v>100</v>
      </c>
      <c r="BU35" s="2286">
        <f t="shared" ref="BU35:BU36" si="368">BO35-BK35</f>
        <v>0</v>
      </c>
      <c r="BV35" s="2275">
        <f t="shared" si="342"/>
        <v>100</v>
      </c>
      <c r="BW35" s="2275">
        <v>8500</v>
      </c>
      <c r="BX35" s="2277">
        <v>0</v>
      </c>
      <c r="BY35" s="2277"/>
      <c r="BZ35" s="2277">
        <v>0</v>
      </c>
      <c r="CA35" s="2277">
        <v>8500</v>
      </c>
      <c r="CB35" s="2277">
        <v>0</v>
      </c>
      <c r="CC35" s="2277">
        <f>8500*1.1+150</f>
        <v>9500</v>
      </c>
      <c r="CD35" s="2277">
        <v>0</v>
      </c>
      <c r="CE35" s="2286">
        <f t="shared" ref="CE35:CE36" si="369">CC35-CA35</f>
        <v>1000</v>
      </c>
      <c r="CF35" s="2275">
        <f t="shared" si="343"/>
        <v>111.76470588235294</v>
      </c>
      <c r="CG35" s="2270">
        <f t="shared" ref="CG35" si="370">CA35-BW35</f>
        <v>0</v>
      </c>
      <c r="CH35" s="2275">
        <f t="shared" si="344"/>
        <v>100</v>
      </c>
      <c r="CI35" s="2275">
        <v>4500</v>
      </c>
      <c r="CJ35" s="2275">
        <v>0</v>
      </c>
      <c r="CK35" s="2277"/>
      <c r="CL35" s="2277">
        <v>0</v>
      </c>
      <c r="CM35" s="2277">
        <v>4000</v>
      </c>
      <c r="CN35" s="2277">
        <v>0</v>
      </c>
      <c r="CO35" s="2277">
        <f>4500</f>
        <v>4500</v>
      </c>
      <c r="CP35" s="2277">
        <v>0</v>
      </c>
      <c r="CQ35" s="2282">
        <f t="shared" ref="CQ35" si="371">CO35-CM35</f>
        <v>500</v>
      </c>
      <c r="CR35" s="2275">
        <f t="shared" si="345"/>
        <v>112.5</v>
      </c>
      <c r="CS35" s="2286">
        <f t="shared" ref="CS35:CS36" si="372">CM35-CI35</f>
        <v>-500</v>
      </c>
      <c r="CT35" s="2275">
        <f t="shared" si="346"/>
        <v>88.888888888888886</v>
      </c>
      <c r="CU35" s="2275">
        <v>1000</v>
      </c>
      <c r="CV35" s="2277">
        <v>0</v>
      </c>
      <c r="CW35" s="2277"/>
      <c r="CX35" s="2277">
        <v>0</v>
      </c>
      <c r="CY35" s="2277">
        <f>1000*1.6</f>
        <v>1600</v>
      </c>
      <c r="CZ35" s="2277">
        <v>0</v>
      </c>
      <c r="DA35" s="2277">
        <v>1500</v>
      </c>
      <c r="DB35" s="2277">
        <v>0</v>
      </c>
      <c r="DC35" s="2282">
        <f t="shared" ref="DC35:DC36" si="373">DA35-CY35</f>
        <v>-100</v>
      </c>
      <c r="DD35" s="2275">
        <f t="shared" si="347"/>
        <v>93.75</v>
      </c>
      <c r="DE35" s="2286">
        <f t="shared" ref="DE35:DE36" si="374">CY35-CU35</f>
        <v>600</v>
      </c>
      <c r="DF35" s="2275">
        <f t="shared" si="348"/>
        <v>160</v>
      </c>
      <c r="DG35" s="2275">
        <v>1500</v>
      </c>
      <c r="DH35" s="2275">
        <v>0</v>
      </c>
      <c r="DI35" s="2276"/>
      <c r="DJ35" s="2276">
        <v>0</v>
      </c>
      <c r="DK35" s="2276">
        <f>1500*1.3-50</f>
        <v>1900</v>
      </c>
      <c r="DL35" s="2276">
        <v>0</v>
      </c>
      <c r="DM35" s="2981">
        <f>1500*1.3+50</f>
        <v>2000</v>
      </c>
      <c r="DN35" s="2277">
        <v>0</v>
      </c>
      <c r="DO35" s="2286">
        <f t="shared" ref="DO35:DO36" si="375">DM35-DK35</f>
        <v>100</v>
      </c>
      <c r="DP35" s="2275">
        <f t="shared" si="349"/>
        <v>105.26315789473684</v>
      </c>
      <c r="DQ35" s="2286">
        <f t="shared" ref="DQ35:DQ36" si="376">DK35-DG35</f>
        <v>400</v>
      </c>
      <c r="DR35" s="2275">
        <f t="shared" si="350"/>
        <v>126.66666666666666</v>
      </c>
      <c r="DS35" s="2275">
        <v>4000</v>
      </c>
      <c r="DT35" s="2275">
        <v>0</v>
      </c>
      <c r="DU35" s="2275"/>
      <c r="DV35" s="2275">
        <v>0</v>
      </c>
      <c r="DW35" s="2277">
        <v>4300</v>
      </c>
      <c r="DX35" s="2277">
        <v>0</v>
      </c>
      <c r="DY35" s="2277">
        <v>1500</v>
      </c>
      <c r="DZ35" s="2277">
        <v>0</v>
      </c>
      <c r="EA35" s="2286">
        <f t="shared" ref="EA35:EA36" si="377">DY35-DW35</f>
        <v>-2800</v>
      </c>
      <c r="EB35" s="2275">
        <f t="shared" si="351"/>
        <v>34.883720930232556</v>
      </c>
      <c r="EC35" s="2286">
        <f t="shared" ref="EC35:EC36" si="378">DW35-DS35</f>
        <v>300</v>
      </c>
      <c r="ED35" s="2275">
        <f t="shared" si="352"/>
        <v>107.5</v>
      </c>
      <c r="EE35" s="2275">
        <v>2500</v>
      </c>
      <c r="EF35" s="2275">
        <v>0</v>
      </c>
      <c r="EG35" s="2276"/>
      <c r="EH35" s="2276">
        <v>0</v>
      </c>
      <c r="EI35" s="2277">
        <f>2500*1.7</f>
        <v>4250</v>
      </c>
      <c r="EJ35" s="2275">
        <v>0</v>
      </c>
      <c r="EK35" s="2276">
        <v>3000</v>
      </c>
      <c r="EL35" s="2277">
        <v>0</v>
      </c>
      <c r="EM35" s="2286">
        <f t="shared" ref="EM35:EM36" si="379">EK35-EI35</f>
        <v>-1250</v>
      </c>
      <c r="EN35" s="2275">
        <f t="shared" si="353"/>
        <v>70.588235294117652</v>
      </c>
      <c r="EO35" s="2286">
        <f t="shared" ref="EO35:EO36" si="380">EI35-EE35</f>
        <v>1750</v>
      </c>
      <c r="EP35" s="2275">
        <f t="shared" si="354"/>
        <v>170</v>
      </c>
      <c r="EQ35" s="2275">
        <v>500</v>
      </c>
      <c r="ER35" s="2275">
        <v>0</v>
      </c>
      <c r="ES35" s="2275"/>
      <c r="ET35" s="2275">
        <v>0</v>
      </c>
      <c r="EU35" s="2275">
        <v>1000</v>
      </c>
      <c r="EV35" s="2275">
        <v>0</v>
      </c>
      <c r="EW35" s="2275">
        <v>1000</v>
      </c>
      <c r="EX35" s="2275">
        <v>0</v>
      </c>
      <c r="EY35" s="2286">
        <f t="shared" ref="EY35:EY36" si="381">EW35-EU35</f>
        <v>0</v>
      </c>
      <c r="EZ35" s="2275">
        <f t="shared" si="355"/>
        <v>100</v>
      </c>
      <c r="FA35" s="2286">
        <f t="shared" ref="FA35:FA36" si="382">EU35-EQ35</f>
        <v>500</v>
      </c>
      <c r="FB35" s="2275">
        <f t="shared" si="356"/>
        <v>200</v>
      </c>
      <c r="FC35" s="2278"/>
      <c r="FD35" s="2278"/>
      <c r="FE35" s="2279"/>
      <c r="FF35" s="2279"/>
    </row>
    <row r="36" spans="1:162" s="596" customFormat="1" ht="27" customHeight="1">
      <c r="A36" s="2288" t="s">
        <v>29</v>
      </c>
      <c r="B36" s="2289" t="s">
        <v>801</v>
      </c>
      <c r="C36" s="2275">
        <f t="shared" si="79"/>
        <v>145500</v>
      </c>
      <c r="D36" s="2275">
        <f t="shared" si="79"/>
        <v>145500</v>
      </c>
      <c r="E36" s="2275">
        <f t="shared" si="79"/>
        <v>0</v>
      </c>
      <c r="F36" s="2275">
        <f t="shared" si="79"/>
        <v>0</v>
      </c>
      <c r="G36" s="2275">
        <f t="shared" si="79"/>
        <v>195797</v>
      </c>
      <c r="H36" s="2275">
        <f t="shared" si="79"/>
        <v>181497</v>
      </c>
      <c r="I36" s="2275">
        <f t="shared" si="79"/>
        <v>206500</v>
      </c>
      <c r="J36" s="2275">
        <f>SUM(V36,AH36,AT36,BF36,BR36,CD36,CP36,DB36,DN36,DZ36,EL36,EX36)</f>
        <v>206500</v>
      </c>
      <c r="K36" s="2841">
        <f t="shared" si="357"/>
        <v>10703</v>
      </c>
      <c r="L36" s="2277">
        <f t="shared" si="358"/>
        <v>105.46637588931394</v>
      </c>
      <c r="M36" s="2277">
        <f t="shared" si="331"/>
        <v>50297</v>
      </c>
      <c r="N36" s="2277">
        <f t="shared" si="332"/>
        <v>134.5683848797251</v>
      </c>
      <c r="O36" s="2275">
        <v>13000</v>
      </c>
      <c r="P36" s="2275">
        <f>O36</f>
        <v>13000</v>
      </c>
      <c r="Q36" s="2275"/>
      <c r="R36" s="2275">
        <f>Q36</f>
        <v>0</v>
      </c>
      <c r="S36" s="2275">
        <f>15000-S34-S35</f>
        <v>13500</v>
      </c>
      <c r="T36" s="2275">
        <f>S36</f>
        <v>13500</v>
      </c>
      <c r="U36" s="2276">
        <f>29000-U34-U35</f>
        <v>27000</v>
      </c>
      <c r="V36" s="2275">
        <f>U36</f>
        <v>27000</v>
      </c>
      <c r="W36" s="2286">
        <f>U36-S36</f>
        <v>13500</v>
      </c>
      <c r="X36" s="2275">
        <f t="shared" si="333"/>
        <v>200</v>
      </c>
      <c r="Y36" s="2286">
        <f t="shared" si="360"/>
        <v>500</v>
      </c>
      <c r="Z36" s="2275">
        <f t="shared" si="334"/>
        <v>103.84615384615385</v>
      </c>
      <c r="AA36" s="2275">
        <v>7000</v>
      </c>
      <c r="AB36" s="2275">
        <f>AA36</f>
        <v>7000</v>
      </c>
      <c r="AC36" s="2275"/>
      <c r="AD36" s="2275"/>
      <c r="AE36" s="2277">
        <f>23000-AE34-AE35+15</f>
        <v>10015</v>
      </c>
      <c r="AF36" s="2277">
        <f>AE36</f>
        <v>10015</v>
      </c>
      <c r="AG36" s="2277">
        <f>14000-AG34-AG35</f>
        <v>8000</v>
      </c>
      <c r="AH36" s="2276">
        <f>AG36</f>
        <v>8000</v>
      </c>
      <c r="AI36" s="2286">
        <f t="shared" si="361"/>
        <v>-2015</v>
      </c>
      <c r="AJ36" s="2275">
        <f t="shared" si="335"/>
        <v>79.880179730404393</v>
      </c>
      <c r="AK36" s="2286">
        <f t="shared" si="362"/>
        <v>3015</v>
      </c>
      <c r="AL36" s="2275">
        <f t="shared" si="336"/>
        <v>143.07142857142856</v>
      </c>
      <c r="AM36" s="2275">
        <f>7000-AM34-AM35</f>
        <v>7000</v>
      </c>
      <c r="AN36" s="2277">
        <f>AM36</f>
        <v>7000</v>
      </c>
      <c r="AO36" s="2277"/>
      <c r="AP36" s="2277">
        <f>AO36</f>
        <v>0</v>
      </c>
      <c r="AQ36" s="2277">
        <f>25650-AQ34-AQ35+4</f>
        <v>25654</v>
      </c>
      <c r="AR36" s="2277">
        <f>AQ36-14300</f>
        <v>11354</v>
      </c>
      <c r="AS36" s="2277">
        <f>10000-AS34-AS35</f>
        <v>9000</v>
      </c>
      <c r="AT36" s="2277">
        <f>AS36</f>
        <v>9000</v>
      </c>
      <c r="AU36" s="2286">
        <f t="shared" si="363"/>
        <v>-16654</v>
      </c>
      <c r="AV36" s="2275">
        <f t="shared" si="337"/>
        <v>35.082248382318546</v>
      </c>
      <c r="AW36" s="2286">
        <f t="shared" si="364"/>
        <v>18654</v>
      </c>
      <c r="AX36" s="2275">
        <f t="shared" si="338"/>
        <v>366.48571428571432</v>
      </c>
      <c r="AY36" s="2275">
        <v>8500</v>
      </c>
      <c r="AZ36" s="2275">
        <f>AY36</f>
        <v>8500</v>
      </c>
      <c r="BA36" s="2275"/>
      <c r="BB36" s="2275">
        <f>BA36</f>
        <v>0</v>
      </c>
      <c r="BC36" s="2275">
        <f>22000-BC34-BC35</f>
        <v>12650</v>
      </c>
      <c r="BD36" s="2277">
        <f>BC36</f>
        <v>12650</v>
      </c>
      <c r="BE36" s="2277">
        <f>22000-BE34-BE35</f>
        <v>13000</v>
      </c>
      <c r="BF36" s="2277">
        <f>BE36</f>
        <v>13000</v>
      </c>
      <c r="BG36" s="2286">
        <f t="shared" si="365"/>
        <v>350</v>
      </c>
      <c r="BH36" s="2275">
        <f t="shared" si="339"/>
        <v>102.76679841897234</v>
      </c>
      <c r="BI36" s="2286">
        <f t="shared" si="366"/>
        <v>4150</v>
      </c>
      <c r="BJ36" s="2275">
        <f t="shared" si="340"/>
        <v>148.8235294117647</v>
      </c>
      <c r="BK36" s="2275">
        <f>25000-BK34-BK35</f>
        <v>18500</v>
      </c>
      <c r="BL36" s="2275">
        <f>BK36</f>
        <v>18500</v>
      </c>
      <c r="BM36" s="2275"/>
      <c r="BN36" s="2275">
        <f>BM36</f>
        <v>0</v>
      </c>
      <c r="BO36" s="2275">
        <f>30000-BO34-BO35</f>
        <v>22800</v>
      </c>
      <c r="BP36" s="2277">
        <f>BO36</f>
        <v>22800</v>
      </c>
      <c r="BQ36" s="2277">
        <f>25000-BQ34-BQ35</f>
        <v>18500</v>
      </c>
      <c r="BR36" s="2277">
        <f>BQ36</f>
        <v>18500</v>
      </c>
      <c r="BS36" s="2286">
        <f t="shared" si="367"/>
        <v>-4300</v>
      </c>
      <c r="BT36" s="2275">
        <f t="shared" si="341"/>
        <v>81.140350877192986</v>
      </c>
      <c r="BU36" s="2286">
        <f t="shared" si="368"/>
        <v>4300</v>
      </c>
      <c r="BV36" s="2275">
        <f t="shared" si="342"/>
        <v>123.24324324324326</v>
      </c>
      <c r="BW36" s="2275">
        <f>80000-BW34-BW35</f>
        <v>21500</v>
      </c>
      <c r="BX36" s="2277">
        <f>BW36</f>
        <v>21500</v>
      </c>
      <c r="BY36" s="2277"/>
      <c r="BZ36" s="2277">
        <f>BY36</f>
        <v>0</v>
      </c>
      <c r="CA36" s="2277">
        <f>80000-CA34-CA35</f>
        <v>21500</v>
      </c>
      <c r="CB36" s="2277">
        <f>CA36</f>
        <v>21500</v>
      </c>
      <c r="CC36" s="2277">
        <f>90000-CC34-CC35</f>
        <v>25499.999999999993</v>
      </c>
      <c r="CD36" s="2277">
        <f>CC36</f>
        <v>25499.999999999993</v>
      </c>
      <c r="CE36" s="2286">
        <f t="shared" si="369"/>
        <v>3999.9999999999927</v>
      </c>
      <c r="CF36" s="2275">
        <f>CC36/CA36*100</f>
        <v>118.60465116279066</v>
      </c>
      <c r="CG36" s="2270">
        <f>CA36-BW36</f>
        <v>0</v>
      </c>
      <c r="CH36" s="2275">
        <f>CA36/BW36*100</f>
        <v>100</v>
      </c>
      <c r="CI36" s="2275">
        <f>26000-CI35-CI34</f>
        <v>16000</v>
      </c>
      <c r="CJ36" s="2275">
        <f>CI36</f>
        <v>16000</v>
      </c>
      <c r="CK36" s="2277"/>
      <c r="CL36" s="2277">
        <f>CK36</f>
        <v>0</v>
      </c>
      <c r="CM36" s="2277">
        <f>24000-CM34-CM35</f>
        <v>15000</v>
      </c>
      <c r="CN36" s="2277">
        <f>CM36</f>
        <v>15000</v>
      </c>
      <c r="CO36" s="2277">
        <f>26000-CO34-CO35</f>
        <v>16000</v>
      </c>
      <c r="CP36" s="2277">
        <f>CO36</f>
        <v>16000</v>
      </c>
      <c r="CQ36" s="2282">
        <f>CO36-CM36</f>
        <v>1000</v>
      </c>
      <c r="CR36" s="2275">
        <f t="shared" si="345"/>
        <v>106.66666666666667</v>
      </c>
      <c r="CS36" s="2286">
        <f t="shared" si="372"/>
        <v>-1000</v>
      </c>
      <c r="CT36" s="2275">
        <f t="shared" si="346"/>
        <v>93.75</v>
      </c>
      <c r="CU36" s="2275">
        <f>12000-CU34-CU35</f>
        <v>8000</v>
      </c>
      <c r="CV36" s="2277">
        <f>CU36</f>
        <v>8000</v>
      </c>
      <c r="CW36" s="2277"/>
      <c r="CX36" s="2277">
        <f>CW36</f>
        <v>0</v>
      </c>
      <c r="CY36" s="2277">
        <f>20000-CY34-CY35</f>
        <v>13600</v>
      </c>
      <c r="CZ36" s="2277">
        <f>CY36</f>
        <v>13600</v>
      </c>
      <c r="DA36" s="2277">
        <f>20000-DA34-DA35</f>
        <v>14500</v>
      </c>
      <c r="DB36" s="2277">
        <f>DA36</f>
        <v>14500</v>
      </c>
      <c r="DC36" s="2282">
        <f t="shared" si="373"/>
        <v>900</v>
      </c>
      <c r="DD36" s="2275">
        <f t="shared" si="347"/>
        <v>106.61764705882352</v>
      </c>
      <c r="DE36" s="2286">
        <f t="shared" si="374"/>
        <v>5600</v>
      </c>
      <c r="DF36" s="2275">
        <f t="shared" si="348"/>
        <v>170</v>
      </c>
      <c r="DG36" s="2275">
        <f>18000-DG34-DG35</f>
        <v>14000</v>
      </c>
      <c r="DH36" s="2275">
        <f>DG36</f>
        <v>14000</v>
      </c>
      <c r="DI36" s="2276"/>
      <c r="DJ36" s="2276">
        <f>DI36</f>
        <v>0</v>
      </c>
      <c r="DK36" s="2276">
        <f>24000-DK34-DK35</f>
        <v>18900</v>
      </c>
      <c r="DL36" s="2276">
        <f>DK36</f>
        <v>18900</v>
      </c>
      <c r="DM36" s="2277">
        <f>25000-DM34-DM35</f>
        <v>20000</v>
      </c>
      <c r="DN36" s="2277">
        <f>DM36</f>
        <v>20000</v>
      </c>
      <c r="DO36" s="2286">
        <f t="shared" si="375"/>
        <v>1100</v>
      </c>
      <c r="DP36" s="2275">
        <f t="shared" si="349"/>
        <v>105.82010582010581</v>
      </c>
      <c r="DQ36" s="2286">
        <f t="shared" si="376"/>
        <v>4900</v>
      </c>
      <c r="DR36" s="2275">
        <f t="shared" si="350"/>
        <v>135</v>
      </c>
      <c r="DS36" s="2275">
        <f>18000-DS34-DS35</f>
        <v>10000</v>
      </c>
      <c r="DT36" s="2275">
        <f>DS36</f>
        <v>10000</v>
      </c>
      <c r="DU36" s="2275"/>
      <c r="DV36" s="2275">
        <f>DU36</f>
        <v>0</v>
      </c>
      <c r="DW36" s="2277">
        <f>19000-DW34-DW35</f>
        <v>10400</v>
      </c>
      <c r="DX36" s="2277">
        <f>DW36</f>
        <v>10400</v>
      </c>
      <c r="DY36" s="2277">
        <f>21000-DY34-DY35</f>
        <v>18000</v>
      </c>
      <c r="DZ36" s="2277">
        <f>DY36</f>
        <v>18000</v>
      </c>
      <c r="EA36" s="2286">
        <f t="shared" si="377"/>
        <v>7600</v>
      </c>
      <c r="EB36" s="2275">
        <f t="shared" si="351"/>
        <v>173.07692307692309</v>
      </c>
      <c r="EC36" s="2286">
        <f t="shared" si="378"/>
        <v>400</v>
      </c>
      <c r="ED36" s="2275">
        <f t="shared" si="352"/>
        <v>104</v>
      </c>
      <c r="EE36" s="2275">
        <f>18000-EE34-EE35</f>
        <v>11500</v>
      </c>
      <c r="EF36" s="2275">
        <f>EE36</f>
        <v>11500</v>
      </c>
      <c r="EG36" s="2276"/>
      <c r="EH36" s="2276">
        <f>EG36</f>
        <v>0</v>
      </c>
      <c r="EI36" s="2275">
        <f>31500-EI34-EI35+23+5</f>
        <v>20278</v>
      </c>
      <c r="EJ36" s="2275">
        <f>EI36</f>
        <v>20278</v>
      </c>
      <c r="EK36" s="2277">
        <f>33000-EK34-EK35</f>
        <v>25000</v>
      </c>
      <c r="EL36" s="2277">
        <f>EK36</f>
        <v>25000</v>
      </c>
      <c r="EM36" s="2286">
        <f t="shared" si="379"/>
        <v>4722</v>
      </c>
      <c r="EN36" s="2275">
        <f t="shared" si="353"/>
        <v>123.28632014991616</v>
      </c>
      <c r="EO36" s="2286">
        <f t="shared" si="380"/>
        <v>8778</v>
      </c>
      <c r="EP36" s="2275">
        <f t="shared" si="354"/>
        <v>176.33043478260871</v>
      </c>
      <c r="EQ36" s="2275">
        <f>13000-EQ34-EQ35</f>
        <v>10500</v>
      </c>
      <c r="ER36" s="2275">
        <f>EQ36</f>
        <v>10500</v>
      </c>
      <c r="ES36" s="2275"/>
      <c r="ET36" s="2275">
        <f>ES36</f>
        <v>0</v>
      </c>
      <c r="EU36" s="2275">
        <f>15000-EU34-EU35</f>
        <v>11500</v>
      </c>
      <c r="EV36" s="2275">
        <f>EU36</f>
        <v>11500</v>
      </c>
      <c r="EW36" s="2275">
        <f>15000-EW34-EW35</f>
        <v>12000</v>
      </c>
      <c r="EX36" s="2275">
        <f>EW36</f>
        <v>12000</v>
      </c>
      <c r="EY36" s="2286">
        <f t="shared" si="381"/>
        <v>500</v>
      </c>
      <c r="EZ36" s="2275">
        <f t="shared" si="355"/>
        <v>104.34782608695652</v>
      </c>
      <c r="FA36" s="2286">
        <f t="shared" si="382"/>
        <v>1000</v>
      </c>
      <c r="FB36" s="2275">
        <f t="shared" si="356"/>
        <v>109.52380952380953</v>
      </c>
      <c r="FC36" s="2278"/>
      <c r="FD36" s="2278"/>
      <c r="FE36" s="2279"/>
      <c r="FF36" s="2279"/>
    </row>
    <row r="37" spans="1:162" s="2273" customFormat="1" ht="27" customHeight="1">
      <c r="A37" s="2265">
        <v>10</v>
      </c>
      <c r="B37" s="2266" t="s">
        <v>31</v>
      </c>
      <c r="C37" s="2267">
        <f t="shared" si="79"/>
        <v>2000</v>
      </c>
      <c r="D37" s="2267">
        <f t="shared" si="79"/>
        <v>2000</v>
      </c>
      <c r="E37" s="2267">
        <f t="shared" si="79"/>
        <v>0</v>
      </c>
      <c r="F37" s="2267">
        <f t="shared" si="79"/>
        <v>0</v>
      </c>
      <c r="G37" s="2267">
        <f t="shared" si="79"/>
        <v>2350</v>
      </c>
      <c r="H37" s="2267">
        <f t="shared" si="80"/>
        <v>2350</v>
      </c>
      <c r="I37" s="2267">
        <f t="shared" si="80"/>
        <v>2000</v>
      </c>
      <c r="J37" s="2267">
        <f t="shared" si="80"/>
        <v>2000</v>
      </c>
      <c r="K37" s="2268">
        <f>+I37-G37</f>
        <v>-350</v>
      </c>
      <c r="L37" s="2268">
        <f>+I37/G37*100</f>
        <v>85.106382978723403</v>
      </c>
      <c r="M37" s="2268">
        <f>+G37-C37</f>
        <v>350</v>
      </c>
      <c r="N37" s="2268">
        <f>+G37/C37*100</f>
        <v>117.5</v>
      </c>
      <c r="O37" s="2267">
        <v>200</v>
      </c>
      <c r="P37" s="2267">
        <f>O37</f>
        <v>200</v>
      </c>
      <c r="Q37" s="2267"/>
      <c r="R37" s="2267">
        <f>+Q37</f>
        <v>0</v>
      </c>
      <c r="S37" s="2267">
        <v>200</v>
      </c>
      <c r="T37" s="2267">
        <f>+S37</f>
        <v>200</v>
      </c>
      <c r="U37" s="2267">
        <v>150</v>
      </c>
      <c r="V37" s="2267">
        <f>U37</f>
        <v>150</v>
      </c>
      <c r="W37" s="2267">
        <f>+U37-S37</f>
        <v>-50</v>
      </c>
      <c r="X37" s="2267"/>
      <c r="Y37" s="2267">
        <f>+S37-O37</f>
        <v>0</v>
      </c>
      <c r="Z37" s="2267"/>
      <c r="AA37" s="2267">
        <v>100</v>
      </c>
      <c r="AB37" s="2267">
        <f>AA37</f>
        <v>100</v>
      </c>
      <c r="AC37" s="2267"/>
      <c r="AD37" s="2267"/>
      <c r="AE37" s="2268">
        <v>100</v>
      </c>
      <c r="AF37" s="2268">
        <f>AE37</f>
        <v>100</v>
      </c>
      <c r="AG37" s="2267">
        <v>100</v>
      </c>
      <c r="AH37" s="2267">
        <f>AG37</f>
        <v>100</v>
      </c>
      <c r="AI37" s="2267">
        <f>+AG37-AE37</f>
        <v>0</v>
      </c>
      <c r="AJ37" s="2267"/>
      <c r="AK37" s="2267">
        <f>+AE37-AA37</f>
        <v>0</v>
      </c>
      <c r="AL37" s="2267"/>
      <c r="AM37" s="2267">
        <v>0</v>
      </c>
      <c r="AN37" s="2267">
        <f>AM37</f>
        <v>0</v>
      </c>
      <c r="AO37" s="2267">
        <v>0</v>
      </c>
      <c r="AP37" s="2267">
        <f>+AO37</f>
        <v>0</v>
      </c>
      <c r="AQ37" s="2267">
        <v>0</v>
      </c>
      <c r="AR37" s="2267">
        <f>+AQ37</f>
        <v>0</v>
      </c>
      <c r="AS37" s="2267">
        <v>0</v>
      </c>
      <c r="AT37" s="2267">
        <f>AS37</f>
        <v>0</v>
      </c>
      <c r="AU37" s="2267">
        <f>+AS37-AQ37</f>
        <v>0</v>
      </c>
      <c r="AV37" s="2267"/>
      <c r="AW37" s="2267">
        <f>+AQ37-AM37</f>
        <v>0</v>
      </c>
      <c r="AX37" s="2267"/>
      <c r="AY37" s="2267">
        <v>0</v>
      </c>
      <c r="AZ37" s="2267">
        <f>AY37</f>
        <v>0</v>
      </c>
      <c r="BA37" s="2267"/>
      <c r="BB37" s="2267">
        <f>+BA37</f>
        <v>0</v>
      </c>
      <c r="BC37" s="2267">
        <v>0</v>
      </c>
      <c r="BD37" s="2267">
        <f>+BC37</f>
        <v>0</v>
      </c>
      <c r="BE37" s="2267">
        <v>0</v>
      </c>
      <c r="BF37" s="2267">
        <f>BE37</f>
        <v>0</v>
      </c>
      <c r="BG37" s="2267">
        <f>+BE37-BC37</f>
        <v>0</v>
      </c>
      <c r="BH37" s="2267"/>
      <c r="BI37" s="2267">
        <f>+BC37-AY37</f>
        <v>0</v>
      </c>
      <c r="BJ37" s="2267"/>
      <c r="BK37" s="2267">
        <v>0</v>
      </c>
      <c r="BL37" s="2267">
        <f>BK37</f>
        <v>0</v>
      </c>
      <c r="BM37" s="2267">
        <v>0</v>
      </c>
      <c r="BN37" s="2267">
        <f>+BM37</f>
        <v>0</v>
      </c>
      <c r="BO37" s="2267">
        <v>0</v>
      </c>
      <c r="BP37" s="2267">
        <f>+BO37</f>
        <v>0</v>
      </c>
      <c r="BQ37" s="2267">
        <v>0</v>
      </c>
      <c r="BR37" s="2267">
        <f>BQ37</f>
        <v>0</v>
      </c>
      <c r="BS37" s="2267">
        <f>+BQ37-BO37</f>
        <v>0</v>
      </c>
      <c r="BT37" s="2267"/>
      <c r="BU37" s="2267">
        <f>+BO37-BK37</f>
        <v>0</v>
      </c>
      <c r="BV37" s="2267"/>
      <c r="BW37" s="2267">
        <v>100</v>
      </c>
      <c r="BX37" s="2267">
        <f>BW37</f>
        <v>100</v>
      </c>
      <c r="BY37" s="2267"/>
      <c r="BZ37" s="2267">
        <f>+BY37</f>
        <v>0</v>
      </c>
      <c r="CA37" s="2268">
        <v>500</v>
      </c>
      <c r="CB37" s="2268">
        <f>+CA37</f>
        <v>500</v>
      </c>
      <c r="CC37" s="2267">
        <v>200</v>
      </c>
      <c r="CD37" s="2267">
        <f>CC37</f>
        <v>200</v>
      </c>
      <c r="CE37" s="2267">
        <f>+CC37-CA37</f>
        <v>-300</v>
      </c>
      <c r="CF37" s="2267"/>
      <c r="CG37" s="2267">
        <f>+CA37-BW37</f>
        <v>400</v>
      </c>
      <c r="CH37" s="2267"/>
      <c r="CI37" s="2267">
        <v>250</v>
      </c>
      <c r="CJ37" s="2267">
        <f>CI37</f>
        <v>250</v>
      </c>
      <c r="CK37" s="2268"/>
      <c r="CL37" s="2268">
        <f>+CK37</f>
        <v>0</v>
      </c>
      <c r="CM37" s="2268">
        <v>200</v>
      </c>
      <c r="CN37" s="2268">
        <f>+CM37</f>
        <v>200</v>
      </c>
      <c r="CO37" s="2268">
        <v>200</v>
      </c>
      <c r="CP37" s="2268">
        <f>CO37</f>
        <v>200</v>
      </c>
      <c r="CQ37" s="2268">
        <f>+CO37-CM37</f>
        <v>0</v>
      </c>
      <c r="CR37" s="2267"/>
      <c r="CS37" s="2267">
        <f>+CM37-CI37</f>
        <v>-50</v>
      </c>
      <c r="CT37" s="2267"/>
      <c r="CU37" s="2267">
        <v>800</v>
      </c>
      <c r="CV37" s="2268">
        <f>CU37</f>
        <v>800</v>
      </c>
      <c r="CW37" s="2268"/>
      <c r="CX37" s="2268">
        <f>+CW37</f>
        <v>0</v>
      </c>
      <c r="CY37" s="2268">
        <v>800</v>
      </c>
      <c r="CZ37" s="2268">
        <f>+CY37</f>
        <v>800</v>
      </c>
      <c r="DA37" s="2268">
        <v>800</v>
      </c>
      <c r="DB37" s="2268">
        <f>DA37</f>
        <v>800</v>
      </c>
      <c r="DC37" s="2268">
        <f>+DA37-CY37</f>
        <v>0</v>
      </c>
      <c r="DD37" s="2267"/>
      <c r="DE37" s="2267">
        <f>+CY37-CU37</f>
        <v>0</v>
      </c>
      <c r="DF37" s="2267"/>
      <c r="DG37" s="2267">
        <v>0</v>
      </c>
      <c r="DH37" s="2267">
        <f>DG37</f>
        <v>0</v>
      </c>
      <c r="DI37" s="2267">
        <v>0</v>
      </c>
      <c r="DJ37" s="2267">
        <f>+DI37</f>
        <v>0</v>
      </c>
      <c r="DK37" s="2267">
        <v>0</v>
      </c>
      <c r="DL37" s="2267">
        <f>+DK37</f>
        <v>0</v>
      </c>
      <c r="DM37" s="2268">
        <v>0</v>
      </c>
      <c r="DN37" s="2268">
        <f>DM37</f>
        <v>0</v>
      </c>
      <c r="DO37" s="2267">
        <f>+DM37-DK37</f>
        <v>0</v>
      </c>
      <c r="DP37" s="2267"/>
      <c r="DQ37" s="2267">
        <f>+DK37-DG37</f>
        <v>0</v>
      </c>
      <c r="DR37" s="2267"/>
      <c r="DS37" s="2267">
        <v>0</v>
      </c>
      <c r="DT37" s="2267">
        <f>DS37</f>
        <v>0</v>
      </c>
      <c r="DU37" s="2267">
        <v>0</v>
      </c>
      <c r="DV37" s="2267">
        <f>+DU37</f>
        <v>0</v>
      </c>
      <c r="DW37" s="2268">
        <v>0</v>
      </c>
      <c r="DX37" s="2268">
        <f>+DW37</f>
        <v>0</v>
      </c>
      <c r="DY37" s="2268">
        <v>0</v>
      </c>
      <c r="DZ37" s="2268">
        <f>DY37</f>
        <v>0</v>
      </c>
      <c r="EA37" s="2267">
        <f>+DY37-DW37</f>
        <v>0</v>
      </c>
      <c r="EB37" s="2267"/>
      <c r="EC37" s="2267">
        <f>+DW37-DS37</f>
        <v>0</v>
      </c>
      <c r="ED37" s="2267"/>
      <c r="EE37" s="2267">
        <v>500</v>
      </c>
      <c r="EF37" s="2267">
        <f>EE37</f>
        <v>500</v>
      </c>
      <c r="EG37" s="2269"/>
      <c r="EH37" s="2269">
        <f>+EG37</f>
        <v>0</v>
      </c>
      <c r="EI37" s="2267">
        <v>500</v>
      </c>
      <c r="EJ37" s="2267">
        <f>+EI37</f>
        <v>500</v>
      </c>
      <c r="EK37" s="2268">
        <v>500</v>
      </c>
      <c r="EL37" s="2268">
        <f>EK37</f>
        <v>500</v>
      </c>
      <c r="EM37" s="2267">
        <f>+EK37-EI37</f>
        <v>0</v>
      </c>
      <c r="EN37" s="2267"/>
      <c r="EO37" s="2267">
        <f>+EI37-EE37</f>
        <v>0</v>
      </c>
      <c r="EP37" s="2267"/>
      <c r="EQ37" s="2267">
        <v>50</v>
      </c>
      <c r="ER37" s="2267">
        <f>EQ37</f>
        <v>50</v>
      </c>
      <c r="ES37" s="2267"/>
      <c r="ET37" s="2267">
        <f>+ES37</f>
        <v>0</v>
      </c>
      <c r="EU37" s="2267">
        <v>50</v>
      </c>
      <c r="EV37" s="2267">
        <f>+EU37</f>
        <v>50</v>
      </c>
      <c r="EW37" s="2267">
        <v>50</v>
      </c>
      <c r="EX37" s="2267">
        <f>EW37</f>
        <v>50</v>
      </c>
      <c r="EY37" s="2267">
        <f>+EW37-EU37</f>
        <v>0</v>
      </c>
      <c r="EZ37" s="2267"/>
      <c r="FA37" s="2267">
        <f>+EU37-EQ37</f>
        <v>0</v>
      </c>
      <c r="FB37" s="2267"/>
      <c r="FC37" s="2290">
        <f>E37/C37</f>
        <v>0</v>
      </c>
      <c r="FD37" s="2290">
        <f>F37/D37</f>
        <v>0</v>
      </c>
      <c r="FE37" s="2291">
        <f>E37-C37</f>
        <v>-2000</v>
      </c>
      <c r="FF37" s="2291">
        <f>F37-D37</f>
        <v>-2000</v>
      </c>
    </row>
    <row r="38" spans="1:162" s="2257" customFormat="1" ht="27" customHeight="1">
      <c r="A38" s="2292" t="s">
        <v>33</v>
      </c>
      <c r="B38" s="2293" t="s">
        <v>1482</v>
      </c>
      <c r="C38" s="2261"/>
      <c r="D38" s="2261"/>
      <c r="E38" s="2261"/>
      <c r="F38" s="2261"/>
      <c r="G38" s="2261"/>
      <c r="H38" s="2261"/>
      <c r="I38" s="2261"/>
      <c r="J38" s="2261"/>
      <c r="K38" s="2268"/>
      <c r="L38" s="2268"/>
      <c r="M38" s="2268"/>
      <c r="N38" s="2284"/>
      <c r="O38" s="2261"/>
      <c r="P38" s="2261"/>
      <c r="Q38" s="2261"/>
      <c r="R38" s="2261"/>
      <c r="S38" s="2261"/>
      <c r="T38" s="2261"/>
      <c r="U38" s="2261"/>
      <c r="V38" s="2261"/>
      <c r="W38" s="2267"/>
      <c r="X38" s="2267"/>
      <c r="Y38" s="2267"/>
      <c r="Z38" s="2261"/>
      <c r="AA38" s="2261"/>
      <c r="AB38" s="2261"/>
      <c r="AC38" s="2261"/>
      <c r="AD38" s="2261"/>
      <c r="AE38" s="2284"/>
      <c r="AF38" s="2284"/>
      <c r="AG38" s="2261"/>
      <c r="AH38" s="2261"/>
      <c r="AI38" s="2267"/>
      <c r="AJ38" s="2267"/>
      <c r="AK38" s="2267"/>
      <c r="AL38" s="2261"/>
      <c r="AM38" s="2261"/>
      <c r="AN38" s="2261"/>
      <c r="AO38" s="2261"/>
      <c r="AP38" s="2261"/>
      <c r="AQ38" s="2294"/>
      <c r="AR38" s="2294"/>
      <c r="AS38" s="2294"/>
      <c r="AT38" s="2294"/>
      <c r="AU38" s="2267"/>
      <c r="AV38" s="2267"/>
      <c r="AW38" s="2267"/>
      <c r="AX38" s="2261"/>
      <c r="AY38" s="2261"/>
      <c r="AZ38" s="2261"/>
      <c r="BA38" s="2261"/>
      <c r="BB38" s="2261"/>
      <c r="BC38" s="2261"/>
      <c r="BD38" s="2261"/>
      <c r="BE38" s="2261"/>
      <c r="BF38" s="2261"/>
      <c r="BG38" s="2267"/>
      <c r="BH38" s="2267"/>
      <c r="BI38" s="2267"/>
      <c r="BJ38" s="2261"/>
      <c r="BK38" s="2261"/>
      <c r="BL38" s="2261"/>
      <c r="BM38" s="2261"/>
      <c r="BN38" s="2261"/>
      <c r="BO38" s="2261"/>
      <c r="BP38" s="2261"/>
      <c r="BQ38" s="2261"/>
      <c r="BR38" s="2261"/>
      <c r="BS38" s="2267"/>
      <c r="BT38" s="2267"/>
      <c r="BU38" s="2267"/>
      <c r="BV38" s="2261"/>
      <c r="BW38" s="2261"/>
      <c r="BX38" s="2261"/>
      <c r="BY38" s="2261"/>
      <c r="BZ38" s="2261"/>
      <c r="CA38" s="2284"/>
      <c r="CB38" s="2284"/>
      <c r="CC38" s="2261"/>
      <c r="CD38" s="2261"/>
      <c r="CE38" s="2267"/>
      <c r="CF38" s="2267"/>
      <c r="CG38" s="2267"/>
      <c r="CH38" s="2261"/>
      <c r="CI38" s="2261"/>
      <c r="CJ38" s="2261"/>
      <c r="CK38" s="2261"/>
      <c r="CL38" s="2261"/>
      <c r="CM38" s="2261"/>
      <c r="CN38" s="2261"/>
      <c r="CO38" s="2261"/>
      <c r="CP38" s="2295"/>
      <c r="CQ38" s="2267"/>
      <c r="CR38" s="2267"/>
      <c r="CS38" s="2267"/>
      <c r="CT38" s="2261"/>
      <c r="CU38" s="2261"/>
      <c r="CV38" s="2261"/>
      <c r="CW38" s="2261"/>
      <c r="CX38" s="2261"/>
      <c r="CY38" s="2261"/>
      <c r="CZ38" s="2261"/>
      <c r="DA38" s="2261"/>
      <c r="DB38" s="2261"/>
      <c r="DC38" s="2267"/>
      <c r="DD38" s="2267"/>
      <c r="DE38" s="2267"/>
      <c r="DF38" s="2261"/>
      <c r="DG38" s="2261"/>
      <c r="DH38" s="2261"/>
      <c r="DI38" s="2261"/>
      <c r="DJ38" s="2261"/>
      <c r="DK38" s="2261"/>
      <c r="DL38" s="2261"/>
      <c r="DM38" s="2284"/>
      <c r="DN38" s="2296"/>
      <c r="DO38" s="2267"/>
      <c r="DP38" s="2267"/>
      <c r="DQ38" s="2267"/>
      <c r="DR38" s="2261"/>
      <c r="DS38" s="2261"/>
      <c r="DT38" s="2261"/>
      <c r="DU38" s="2261"/>
      <c r="DV38" s="2261"/>
      <c r="DW38" s="2284"/>
      <c r="DX38" s="2284"/>
      <c r="DY38" s="2284"/>
      <c r="DZ38" s="2284"/>
      <c r="EA38" s="2267"/>
      <c r="EB38" s="2267"/>
      <c r="EC38" s="2267"/>
      <c r="ED38" s="2261"/>
      <c r="EE38" s="2261"/>
      <c r="EF38" s="2261"/>
      <c r="EG38" s="2297"/>
      <c r="EH38" s="2297"/>
      <c r="EI38" s="2261"/>
      <c r="EJ38" s="2261"/>
      <c r="EK38" s="2284"/>
      <c r="EL38" s="2296"/>
      <c r="EM38" s="2267"/>
      <c r="EN38" s="2267"/>
      <c r="EO38" s="2267"/>
      <c r="EP38" s="2261"/>
      <c r="EQ38" s="2261"/>
      <c r="ER38" s="2261"/>
      <c r="ES38" s="2261"/>
      <c r="ET38" s="2261"/>
      <c r="EU38" s="2261"/>
      <c r="EV38" s="2261"/>
      <c r="EW38" s="2261"/>
      <c r="EX38" s="2261"/>
      <c r="EY38" s="2267"/>
      <c r="EZ38" s="2267"/>
      <c r="FA38" s="2267"/>
      <c r="FB38" s="2261"/>
    </row>
    <row r="39" spans="1:162" s="380" customFormat="1" ht="27" customHeight="1">
      <c r="A39" s="2298" t="s">
        <v>29</v>
      </c>
      <c r="B39" s="2299" t="s">
        <v>1483</v>
      </c>
      <c r="C39" s="2281"/>
      <c r="D39" s="2275">
        <f>SUM(AB39,AN39,AZ39,BL39,BX39,CJ39,CV39,DH39,DT39,EF39,ER39,P39)</f>
        <v>3939080</v>
      </c>
      <c r="E39" s="2281"/>
      <c r="F39" s="2281"/>
      <c r="G39" s="2281"/>
      <c r="H39" s="2275">
        <f>SUM(AF39,AR39,BD39,BP39,CB39,CN39,CZ39,DL39,DX39,EJ39,EV39,T39)</f>
        <v>3606481</v>
      </c>
      <c r="I39" s="2281"/>
      <c r="J39" s="2275">
        <f>+J9</f>
        <v>3732300</v>
      </c>
      <c r="K39" s="2277"/>
      <c r="L39" s="2277"/>
      <c r="M39" s="2277"/>
      <c r="N39" s="2280"/>
      <c r="O39" s="2281"/>
      <c r="P39" s="2275">
        <f>+P9</f>
        <v>157900</v>
      </c>
      <c r="Q39" s="2281"/>
      <c r="R39" s="2281"/>
      <c r="S39" s="2281"/>
      <c r="T39" s="2275">
        <f>+T9</f>
        <v>161340</v>
      </c>
      <c r="U39" s="2281"/>
      <c r="V39" s="2275">
        <f>+V9</f>
        <v>134750</v>
      </c>
      <c r="W39" s="2275"/>
      <c r="X39" s="2275"/>
      <c r="Y39" s="2275"/>
      <c r="Z39" s="2281"/>
      <c r="AA39" s="2281"/>
      <c r="AB39" s="2275">
        <f>+AB9</f>
        <v>384130</v>
      </c>
      <c r="AC39" s="2281"/>
      <c r="AD39" s="2281"/>
      <c r="AE39" s="2280"/>
      <c r="AF39" s="2277">
        <f>+AF9</f>
        <v>358465</v>
      </c>
      <c r="AG39" s="2281"/>
      <c r="AH39" s="2275">
        <f>+AH9</f>
        <v>353410</v>
      </c>
      <c r="AI39" s="2275"/>
      <c r="AJ39" s="2275"/>
      <c r="AK39" s="2275"/>
      <c r="AL39" s="2281"/>
      <c r="AM39" s="2281"/>
      <c r="AN39" s="2275">
        <f>+AN9</f>
        <v>96340</v>
      </c>
      <c r="AO39" s="2281"/>
      <c r="AP39" s="2281"/>
      <c r="AQ39" s="2281"/>
      <c r="AR39" s="2275">
        <f>+AR9</f>
        <v>99073</v>
      </c>
      <c r="AS39" s="2281"/>
      <c r="AT39" s="2275">
        <f>+AT9</f>
        <v>98950</v>
      </c>
      <c r="AU39" s="2275"/>
      <c r="AV39" s="2275"/>
      <c r="AW39" s="2275"/>
      <c r="AX39" s="2281"/>
      <c r="AY39" s="2281"/>
      <c r="AZ39" s="2275">
        <f>+AZ9</f>
        <v>140940</v>
      </c>
      <c r="BA39" s="2281"/>
      <c r="BB39" s="2281"/>
      <c r="BC39" s="2281"/>
      <c r="BD39" s="2275">
        <f>+BD9</f>
        <v>137050</v>
      </c>
      <c r="BE39" s="2281"/>
      <c r="BF39" s="2275">
        <f>+BF9</f>
        <v>137300</v>
      </c>
      <c r="BG39" s="2275"/>
      <c r="BH39" s="2275"/>
      <c r="BI39" s="2275"/>
      <c r="BJ39" s="2281"/>
      <c r="BK39" s="2281"/>
      <c r="BL39" s="2275">
        <f>+BL9</f>
        <v>241850</v>
      </c>
      <c r="BM39" s="2281"/>
      <c r="BN39" s="2281"/>
      <c r="BO39" s="2281"/>
      <c r="BP39" s="2275">
        <f>+BP9</f>
        <v>202850</v>
      </c>
      <c r="BQ39" s="2281"/>
      <c r="BR39" s="2275">
        <f>+BR9</f>
        <v>180900</v>
      </c>
      <c r="BS39" s="2275"/>
      <c r="BT39" s="2275"/>
      <c r="BU39" s="2275"/>
      <c r="BV39" s="2281"/>
      <c r="BW39" s="2281"/>
      <c r="BX39" s="2275">
        <f>+BX9</f>
        <v>1146450</v>
      </c>
      <c r="BY39" s="2281"/>
      <c r="BZ39" s="2281"/>
      <c r="CA39" s="2280"/>
      <c r="CB39" s="2277">
        <f>+CB9</f>
        <v>1023450</v>
      </c>
      <c r="CC39" s="2281"/>
      <c r="CD39" s="2275">
        <f>+CD9</f>
        <v>1200500</v>
      </c>
      <c r="CE39" s="2275"/>
      <c r="CF39" s="2275"/>
      <c r="CG39" s="2275"/>
      <c r="CH39" s="2281"/>
      <c r="CI39" s="2281"/>
      <c r="CJ39" s="2275">
        <f>+CJ9</f>
        <v>259140</v>
      </c>
      <c r="CK39" s="2281"/>
      <c r="CL39" s="2281"/>
      <c r="CM39" s="2281"/>
      <c r="CN39" s="2275">
        <f>+CN9</f>
        <v>245950</v>
      </c>
      <c r="CO39" s="2281"/>
      <c r="CP39" s="2275">
        <f>+CP9</f>
        <v>243800</v>
      </c>
      <c r="CQ39" s="2275"/>
      <c r="CR39" s="2275"/>
      <c r="CS39" s="2275"/>
      <c r="CT39" s="2281"/>
      <c r="CU39" s="2281"/>
      <c r="CV39" s="2275">
        <f>+CV9</f>
        <v>257750</v>
      </c>
      <c r="CW39" s="2281"/>
      <c r="CX39" s="2281"/>
      <c r="CY39" s="2281"/>
      <c r="CZ39" s="2275">
        <f>+CZ9</f>
        <v>249900</v>
      </c>
      <c r="DA39" s="2281"/>
      <c r="DB39" s="2275">
        <f>+DB9</f>
        <v>258700</v>
      </c>
      <c r="DC39" s="2275"/>
      <c r="DD39" s="2275"/>
      <c r="DE39" s="2275"/>
      <c r="DF39" s="2281"/>
      <c r="DG39" s="2281"/>
      <c r="DH39" s="2275">
        <f>+DH9</f>
        <v>269200</v>
      </c>
      <c r="DI39" s="2281"/>
      <c r="DJ39" s="2281"/>
      <c r="DK39" s="2281"/>
      <c r="DL39" s="2275">
        <f>+DL9</f>
        <v>249300</v>
      </c>
      <c r="DM39" s="2280"/>
      <c r="DN39" s="2277">
        <f>+DN9</f>
        <v>256900</v>
      </c>
      <c r="DO39" s="2275"/>
      <c r="DP39" s="2275"/>
      <c r="DQ39" s="2275"/>
      <c r="DR39" s="2281"/>
      <c r="DS39" s="2281"/>
      <c r="DT39" s="2275">
        <f>+DT9</f>
        <v>175430</v>
      </c>
      <c r="DU39" s="2281"/>
      <c r="DV39" s="2281"/>
      <c r="DW39" s="2280"/>
      <c r="DX39" s="2277">
        <f>+DX9</f>
        <v>190380</v>
      </c>
      <c r="DY39" s="2280"/>
      <c r="DZ39" s="2277">
        <f>+DZ9</f>
        <v>207080</v>
      </c>
      <c r="EA39" s="2275"/>
      <c r="EB39" s="2275"/>
      <c r="EC39" s="2275"/>
      <c r="ED39" s="2281"/>
      <c r="EE39" s="2281"/>
      <c r="EF39" s="2275">
        <f>+EF9</f>
        <v>544440</v>
      </c>
      <c r="EG39" s="2287"/>
      <c r="EH39" s="2287"/>
      <c r="EI39" s="2281"/>
      <c r="EJ39" s="2275">
        <f>+EJ9</f>
        <v>443233</v>
      </c>
      <c r="EK39" s="2281"/>
      <c r="EL39" s="2275">
        <f>+EL9</f>
        <v>439400</v>
      </c>
      <c r="EM39" s="2275"/>
      <c r="EN39" s="2275"/>
      <c r="EO39" s="2275"/>
      <c r="EP39" s="2281"/>
      <c r="EQ39" s="2281"/>
      <c r="ER39" s="2275">
        <f>+ER9</f>
        <v>265510</v>
      </c>
      <c r="ES39" s="2281"/>
      <c r="ET39" s="2281"/>
      <c r="EU39" s="2281"/>
      <c r="EV39" s="2275">
        <f>+EV9</f>
        <v>245490</v>
      </c>
      <c r="EW39" s="2281"/>
      <c r="EX39" s="2275">
        <f>+EX9</f>
        <v>220610</v>
      </c>
      <c r="EY39" s="2275"/>
      <c r="EZ39" s="2275"/>
      <c r="FA39" s="2275"/>
      <c r="FB39" s="2281"/>
    </row>
    <row r="40" spans="1:162" s="380" customFormat="1" ht="27" customHeight="1">
      <c r="A40" s="2298"/>
      <c r="B40" s="2299" t="s">
        <v>1484</v>
      </c>
      <c r="C40" s="2281"/>
      <c r="D40" s="2275">
        <f>+D30</f>
        <v>1143000</v>
      </c>
      <c r="E40" s="2281"/>
      <c r="F40" s="2281"/>
      <c r="G40" s="2281"/>
      <c r="H40" s="2275">
        <f>+H30</f>
        <v>1167750</v>
      </c>
      <c r="I40" s="2281"/>
      <c r="J40" s="2275">
        <f>+J30</f>
        <v>1093500</v>
      </c>
      <c r="K40" s="2277"/>
      <c r="L40" s="2277"/>
      <c r="M40" s="2277"/>
      <c r="N40" s="2280"/>
      <c r="O40" s="2281"/>
      <c r="P40" s="2275">
        <f>+P30</f>
        <v>90000</v>
      </c>
      <c r="Q40" s="2281"/>
      <c r="R40" s="2281"/>
      <c r="S40" s="2281"/>
      <c r="T40" s="2275">
        <f>+T30</f>
        <v>90000</v>
      </c>
      <c r="U40" s="2281"/>
      <c r="V40" s="2275">
        <f>+V30</f>
        <v>54000</v>
      </c>
      <c r="W40" s="2275"/>
      <c r="X40" s="2275"/>
      <c r="Y40" s="2275"/>
      <c r="Z40" s="2281"/>
      <c r="AA40" s="2281"/>
      <c r="AB40" s="2275">
        <f>+AB30</f>
        <v>270000</v>
      </c>
      <c r="AC40" s="2281"/>
      <c r="AD40" s="2281"/>
      <c r="AE40" s="2280"/>
      <c r="AF40" s="2277">
        <f>+AF30</f>
        <v>270000</v>
      </c>
      <c r="AG40" s="2281"/>
      <c r="AH40" s="2275">
        <f>+AH30</f>
        <v>261000</v>
      </c>
      <c r="AI40" s="2275"/>
      <c r="AJ40" s="2275"/>
      <c r="AK40" s="2275"/>
      <c r="AL40" s="2281"/>
      <c r="AM40" s="2281"/>
      <c r="AN40" s="2275">
        <f>+AN30</f>
        <v>27000</v>
      </c>
      <c r="AO40" s="2281"/>
      <c r="AP40" s="2281"/>
      <c r="AQ40" s="2281"/>
      <c r="AR40" s="2275">
        <f>+AR30</f>
        <v>27000</v>
      </c>
      <c r="AS40" s="2281"/>
      <c r="AT40" s="2275">
        <f>+AT30</f>
        <v>27000</v>
      </c>
      <c r="AU40" s="2275"/>
      <c r="AV40" s="2275"/>
      <c r="AW40" s="2275"/>
      <c r="AX40" s="2281"/>
      <c r="AY40" s="2281"/>
      <c r="AZ40" s="2275">
        <f>+AZ30</f>
        <v>54000</v>
      </c>
      <c r="BA40" s="2281"/>
      <c r="BB40" s="2281"/>
      <c r="BC40" s="2281"/>
      <c r="BD40" s="2275">
        <f>+BD30</f>
        <v>56700</v>
      </c>
      <c r="BE40" s="2281"/>
      <c r="BF40" s="2275">
        <f>+BF30</f>
        <v>54000</v>
      </c>
      <c r="BG40" s="2275"/>
      <c r="BH40" s="2275"/>
      <c r="BI40" s="2275"/>
      <c r="BJ40" s="2281"/>
      <c r="BK40" s="2281"/>
      <c r="BL40" s="2275">
        <f>+BL30</f>
        <v>63000</v>
      </c>
      <c r="BM40" s="2281"/>
      <c r="BN40" s="2281"/>
      <c r="BO40" s="2281"/>
      <c r="BP40" s="2275">
        <f>+BP30</f>
        <v>56700</v>
      </c>
      <c r="BQ40" s="2281"/>
      <c r="BR40" s="2275">
        <f>+BR30</f>
        <v>45000</v>
      </c>
      <c r="BS40" s="2275"/>
      <c r="BT40" s="2275"/>
      <c r="BU40" s="2275"/>
      <c r="BV40" s="2281"/>
      <c r="BW40" s="2281"/>
      <c r="BX40" s="2275">
        <f>+BX30</f>
        <v>144000</v>
      </c>
      <c r="BY40" s="2281"/>
      <c r="BZ40" s="2281"/>
      <c r="CA40" s="2280"/>
      <c r="CB40" s="2277">
        <f>+CB30</f>
        <v>144000</v>
      </c>
      <c r="CC40" s="2281"/>
      <c r="CD40" s="2275">
        <f>+CD30</f>
        <v>144000</v>
      </c>
      <c r="CE40" s="2275"/>
      <c r="CF40" s="2275"/>
      <c r="CG40" s="2275"/>
      <c r="CH40" s="2281"/>
      <c r="CI40" s="2281"/>
      <c r="CJ40" s="2275">
        <f>+CJ30</f>
        <v>54000</v>
      </c>
      <c r="CK40" s="2281"/>
      <c r="CL40" s="2281"/>
      <c r="CM40" s="2281"/>
      <c r="CN40" s="2275">
        <f>+CN30</f>
        <v>81000</v>
      </c>
      <c r="CO40" s="2281"/>
      <c r="CP40" s="2275">
        <f>+CP30</f>
        <v>67500</v>
      </c>
      <c r="CQ40" s="2275"/>
      <c r="CR40" s="2275"/>
      <c r="CS40" s="2275"/>
      <c r="CT40" s="2281"/>
      <c r="CU40" s="2281"/>
      <c r="CV40" s="2275">
        <f>+CV30</f>
        <v>90000</v>
      </c>
      <c r="CW40" s="2281"/>
      <c r="CX40" s="2281"/>
      <c r="CY40" s="2281"/>
      <c r="CZ40" s="2275">
        <f>+CZ30</f>
        <v>90000</v>
      </c>
      <c r="DA40" s="2281"/>
      <c r="DB40" s="2275">
        <f>+DB30</f>
        <v>90000</v>
      </c>
      <c r="DC40" s="2275"/>
      <c r="DD40" s="2275"/>
      <c r="DE40" s="2275"/>
      <c r="DF40" s="2281"/>
      <c r="DG40" s="2281"/>
      <c r="DH40" s="2275">
        <f>+DH30</f>
        <v>54000</v>
      </c>
      <c r="DI40" s="2281"/>
      <c r="DJ40" s="2281"/>
      <c r="DK40" s="2281"/>
      <c r="DL40" s="2275">
        <f>+DL30</f>
        <v>55350</v>
      </c>
      <c r="DM40" s="2281"/>
      <c r="DN40" s="2275">
        <f>+DN30</f>
        <v>54000</v>
      </c>
      <c r="DO40" s="2275"/>
      <c r="DP40" s="2275"/>
      <c r="DQ40" s="2275"/>
      <c r="DR40" s="2281"/>
      <c r="DS40" s="2281"/>
      <c r="DT40" s="2275">
        <f>+DT30</f>
        <v>63000</v>
      </c>
      <c r="DU40" s="2281"/>
      <c r="DV40" s="2281"/>
      <c r="DW40" s="2280"/>
      <c r="DX40" s="2277">
        <f>+DX30</f>
        <v>63000</v>
      </c>
      <c r="DY40" s="2280"/>
      <c r="DZ40" s="2277">
        <f>+DZ30</f>
        <v>63000</v>
      </c>
      <c r="EA40" s="2275"/>
      <c r="EB40" s="2275"/>
      <c r="EC40" s="2275"/>
      <c r="ED40" s="2281"/>
      <c r="EE40" s="2281"/>
      <c r="EF40" s="2275">
        <f>+EF30</f>
        <v>144000</v>
      </c>
      <c r="EG40" s="2287"/>
      <c r="EH40" s="2287"/>
      <c r="EI40" s="2281"/>
      <c r="EJ40" s="2275">
        <f>+EJ30</f>
        <v>144000</v>
      </c>
      <c r="EK40" s="2281"/>
      <c r="EL40" s="2275">
        <f>+EL30</f>
        <v>144000</v>
      </c>
      <c r="EM40" s="2275"/>
      <c r="EN40" s="2275"/>
      <c r="EO40" s="2275"/>
      <c r="EP40" s="2281"/>
      <c r="EQ40" s="2281"/>
      <c r="ER40" s="2275">
        <f>+ER30</f>
        <v>90000</v>
      </c>
      <c r="ES40" s="2281"/>
      <c r="ET40" s="2281"/>
      <c r="EU40" s="2281"/>
      <c r="EV40" s="2275">
        <f>+EV30</f>
        <v>90000</v>
      </c>
      <c r="EW40" s="2281"/>
      <c r="EX40" s="2275">
        <f>+EX30</f>
        <v>90000</v>
      </c>
      <c r="EY40" s="2275"/>
      <c r="EZ40" s="2275"/>
      <c r="FA40" s="2275"/>
      <c r="FB40" s="2281"/>
    </row>
    <row r="41" spans="1:162" s="380" customFormat="1" ht="27" customHeight="1">
      <c r="A41" s="2298" t="s">
        <v>29</v>
      </c>
      <c r="B41" s="2299" t="s">
        <v>1751</v>
      </c>
      <c r="C41" s="2281"/>
      <c r="D41" s="2275">
        <f>+D39-D40</f>
        <v>2796080</v>
      </c>
      <c r="E41" s="2281"/>
      <c r="F41" s="2281"/>
      <c r="G41" s="2281"/>
      <c r="H41" s="2275">
        <f>+H39-H40</f>
        <v>2438731</v>
      </c>
      <c r="I41" s="2281"/>
      <c r="J41" s="2275">
        <f>+J39-J40</f>
        <v>2638800</v>
      </c>
      <c r="K41" s="2277"/>
      <c r="L41" s="2277"/>
      <c r="M41" s="2277"/>
      <c r="N41" s="2280"/>
      <c r="O41" s="2281"/>
      <c r="P41" s="2276">
        <f>+P39-P40-P37</f>
        <v>67700</v>
      </c>
      <c r="Q41" s="2281"/>
      <c r="R41" s="2281"/>
      <c r="S41" s="2281"/>
      <c r="T41" s="2275">
        <f>+T39-T40-T37</f>
        <v>71140</v>
      </c>
      <c r="U41" s="2281"/>
      <c r="V41" s="2275">
        <f>+V39-V40-V37</f>
        <v>80600</v>
      </c>
      <c r="W41" s="2275"/>
      <c r="X41" s="2275"/>
      <c r="Y41" s="2275"/>
      <c r="Z41" s="2281"/>
      <c r="AA41" s="2281"/>
      <c r="AB41" s="2276">
        <f>+AB39-AB40-AB37</f>
        <v>114030</v>
      </c>
      <c r="AC41" s="2281"/>
      <c r="AD41" s="2281"/>
      <c r="AE41" s="2280"/>
      <c r="AF41" s="2277">
        <f>+AF39-AF40-AF37</f>
        <v>88365</v>
      </c>
      <c r="AG41" s="2281"/>
      <c r="AH41" s="2275">
        <f>+AH39-AH40-AH37</f>
        <v>92310</v>
      </c>
      <c r="AI41" s="2275"/>
      <c r="AJ41" s="2275"/>
      <c r="AK41" s="2275"/>
      <c r="AL41" s="2281"/>
      <c r="AM41" s="2281"/>
      <c r="AN41" s="2276">
        <f>+AN39-AN40-AN37</f>
        <v>69340</v>
      </c>
      <c r="AO41" s="2281"/>
      <c r="AP41" s="2281"/>
      <c r="AQ41" s="2281"/>
      <c r="AR41" s="2277">
        <f>+AR39-AR40-AR37</f>
        <v>72073</v>
      </c>
      <c r="AS41" s="2281"/>
      <c r="AT41" s="2275">
        <f>+AT39-AT40-AT37</f>
        <v>71950</v>
      </c>
      <c r="AU41" s="2275"/>
      <c r="AV41" s="2275"/>
      <c r="AW41" s="2275"/>
      <c r="AX41" s="2281"/>
      <c r="AY41" s="2281"/>
      <c r="AZ41" s="2276">
        <f>+AZ39-AZ40-AZ37</f>
        <v>86940</v>
      </c>
      <c r="BA41" s="2281"/>
      <c r="BB41" s="2281"/>
      <c r="BC41" s="2281"/>
      <c r="BD41" s="2277">
        <f>+BD39-BD40-BD37</f>
        <v>80350</v>
      </c>
      <c r="BE41" s="2281"/>
      <c r="BF41" s="2275">
        <f>+BF39-BF40-BF37</f>
        <v>83300</v>
      </c>
      <c r="BG41" s="2275"/>
      <c r="BH41" s="2275"/>
      <c r="BI41" s="2275"/>
      <c r="BJ41" s="2281"/>
      <c r="BK41" s="2281"/>
      <c r="BL41" s="2276">
        <f>+BL39-BL40-BL37</f>
        <v>178850</v>
      </c>
      <c r="BM41" s="2281"/>
      <c r="BN41" s="2281"/>
      <c r="BO41" s="2281"/>
      <c r="BP41" s="2277">
        <f>+BP39-BP40-BP37</f>
        <v>146150</v>
      </c>
      <c r="BQ41" s="2281"/>
      <c r="BR41" s="2275">
        <f>+BR39-BR40-BR37</f>
        <v>135900</v>
      </c>
      <c r="BS41" s="2275"/>
      <c r="BT41" s="2275"/>
      <c r="BU41" s="2275"/>
      <c r="BV41" s="2281"/>
      <c r="BW41" s="2281"/>
      <c r="BX41" s="2276">
        <f>+BX39-BX40-BX37</f>
        <v>1002350</v>
      </c>
      <c r="BY41" s="2281"/>
      <c r="BZ41" s="2281"/>
      <c r="CA41" s="2281"/>
      <c r="CB41" s="2277">
        <f>+CB39-CB40-CB37</f>
        <v>878950</v>
      </c>
      <c r="CC41" s="2281"/>
      <c r="CD41" s="2275">
        <f>+CD39-CD40-CD37</f>
        <v>1056300</v>
      </c>
      <c r="CE41" s="2275"/>
      <c r="CF41" s="2275"/>
      <c r="CG41" s="2275"/>
      <c r="CH41" s="2281"/>
      <c r="CI41" s="2281"/>
      <c r="CJ41" s="2276">
        <f>+CJ39-CJ40-CJ37</f>
        <v>204890</v>
      </c>
      <c r="CK41" s="2281"/>
      <c r="CL41" s="2281"/>
      <c r="CM41" s="2281"/>
      <c r="CN41" s="2277">
        <f>+CN39-CN40-CN37</f>
        <v>164750</v>
      </c>
      <c r="CO41" s="2281"/>
      <c r="CP41" s="2275">
        <f>+CP39-CP40-CP37</f>
        <v>176100</v>
      </c>
      <c r="CQ41" s="2275"/>
      <c r="CR41" s="2275"/>
      <c r="CS41" s="2275"/>
      <c r="CT41" s="2281"/>
      <c r="CU41" s="2281"/>
      <c r="CV41" s="2276">
        <f>+CV39-CV40-CV37</f>
        <v>166950</v>
      </c>
      <c r="CW41" s="2281"/>
      <c r="CX41" s="2281"/>
      <c r="CY41" s="2281"/>
      <c r="CZ41" s="2277">
        <f>+CZ39-CZ40-CZ37</f>
        <v>159100</v>
      </c>
      <c r="DA41" s="2281"/>
      <c r="DB41" s="2275">
        <f>+DB39-DB40-DB37</f>
        <v>167900</v>
      </c>
      <c r="DC41" s="2275"/>
      <c r="DD41" s="2275"/>
      <c r="DE41" s="2275"/>
      <c r="DF41" s="2281"/>
      <c r="DG41" s="2281"/>
      <c r="DH41" s="2276">
        <f>+DH39-DH40-DH37</f>
        <v>215200</v>
      </c>
      <c r="DI41" s="2281"/>
      <c r="DJ41" s="2281"/>
      <c r="DK41" s="2281"/>
      <c r="DL41" s="2277">
        <f>+DL39-DL40-DL37</f>
        <v>193950</v>
      </c>
      <c r="DM41" s="2281"/>
      <c r="DN41" s="2275">
        <f>+DN39-DN40-DN37</f>
        <v>202900</v>
      </c>
      <c r="DO41" s="2275"/>
      <c r="DP41" s="2275"/>
      <c r="DQ41" s="2275"/>
      <c r="DR41" s="2281"/>
      <c r="DS41" s="2281"/>
      <c r="DT41" s="2276">
        <f>+DT39-DT40-DT37</f>
        <v>112430</v>
      </c>
      <c r="DU41" s="2281"/>
      <c r="DV41" s="2281"/>
      <c r="DW41" s="2281"/>
      <c r="DX41" s="2277">
        <f>+DX39-DX40-DX37</f>
        <v>127380</v>
      </c>
      <c r="DY41" s="2281"/>
      <c r="DZ41" s="2275">
        <f>+DZ39-DZ40-DZ37</f>
        <v>144080</v>
      </c>
      <c r="EA41" s="2275"/>
      <c r="EB41" s="2275"/>
      <c r="EC41" s="2275"/>
      <c r="ED41" s="2281"/>
      <c r="EE41" s="2281"/>
      <c r="EF41" s="2276">
        <f>+EF39-EF40-EF37</f>
        <v>399940</v>
      </c>
      <c r="EG41" s="2281"/>
      <c r="EH41" s="2281"/>
      <c r="EI41" s="2281"/>
      <c r="EJ41" s="2277">
        <f>+EJ39-EJ40-EJ37</f>
        <v>298733</v>
      </c>
      <c r="EK41" s="2281"/>
      <c r="EL41" s="2275">
        <f>+EL39-EL40-EL37</f>
        <v>294900</v>
      </c>
      <c r="EM41" s="2275"/>
      <c r="EN41" s="2275"/>
      <c r="EO41" s="2275"/>
      <c r="EP41" s="2281"/>
      <c r="EQ41" s="2281"/>
      <c r="ER41" s="2276">
        <f>+ER39-ER40-ER37</f>
        <v>175460</v>
      </c>
      <c r="ES41" s="2281"/>
      <c r="ET41" s="2281"/>
      <c r="EU41" s="2281"/>
      <c r="EV41" s="2277">
        <f>+EV39-EV40-EV37</f>
        <v>155440</v>
      </c>
      <c r="EW41" s="2281"/>
      <c r="EX41" s="2275">
        <f>+EX39-EX40-EX37</f>
        <v>130560</v>
      </c>
      <c r="EY41" s="2275"/>
      <c r="EZ41" s="2275"/>
      <c r="FA41" s="2275"/>
      <c r="FB41" s="2281"/>
    </row>
    <row r="42" spans="1:162" s="380" customFormat="1" ht="27" customHeight="1">
      <c r="A42" s="2298" t="s">
        <v>29</v>
      </c>
      <c r="B42" s="2300" t="s">
        <v>1754</v>
      </c>
      <c r="C42" s="2281"/>
      <c r="D42" s="2281"/>
      <c r="E42" s="2281"/>
      <c r="F42" s="2281"/>
      <c r="G42" s="2281"/>
      <c r="H42" s="2261">
        <f>SUM(AF42,AR42,BD42,BP42,CB42,CN42,CZ42,DL42,DX42,EJ42,EV42,T42)</f>
        <v>-357999</v>
      </c>
      <c r="I42" s="2281"/>
      <c r="J42" s="2281"/>
      <c r="K42" s="2280"/>
      <c r="L42" s="2280"/>
      <c r="M42" s="2280"/>
      <c r="N42" s="2280"/>
      <c r="O42" s="2281"/>
      <c r="P42" s="2281"/>
      <c r="Q42" s="2281"/>
      <c r="R42" s="2281"/>
      <c r="S42" s="2281"/>
      <c r="T42" s="2281">
        <f>T41-P41-T37</f>
        <v>3240</v>
      </c>
      <c r="U42" s="2281"/>
      <c r="V42" s="2281"/>
      <c r="W42" s="2281"/>
      <c r="X42" s="2281"/>
      <c r="Y42" s="2281"/>
      <c r="Z42" s="2281"/>
      <c r="AA42" s="2281"/>
      <c r="AB42" s="2281"/>
      <c r="AC42" s="2281"/>
      <c r="AD42" s="2281"/>
      <c r="AE42" s="2280"/>
      <c r="AF42" s="2281">
        <f>AF41-AB41-AF37</f>
        <v>-25765</v>
      </c>
      <c r="AG42" s="2281"/>
      <c r="AH42" s="2281"/>
      <c r="AI42" s="2281"/>
      <c r="AJ42" s="2281"/>
      <c r="AK42" s="2281"/>
      <c r="AL42" s="2281"/>
      <c r="AM42" s="2281"/>
      <c r="AN42" s="2281"/>
      <c r="AO42" s="2281"/>
      <c r="AP42" s="2281"/>
      <c r="AQ42" s="2281"/>
      <c r="AR42" s="2281">
        <f>AR41-AN41</f>
        <v>2733</v>
      </c>
      <c r="AS42" s="2281"/>
      <c r="AT42" s="2281"/>
      <c r="AU42" s="2281"/>
      <c r="AV42" s="2281"/>
      <c r="AW42" s="2281"/>
      <c r="AX42" s="2281"/>
      <c r="AY42" s="2281"/>
      <c r="AZ42" s="2281"/>
      <c r="BA42" s="2281"/>
      <c r="BB42" s="2281"/>
      <c r="BC42" s="2281"/>
      <c r="BD42" s="2281">
        <f>BD41-AZ41</f>
        <v>-6590</v>
      </c>
      <c r="BE42" s="2281"/>
      <c r="BF42" s="2281"/>
      <c r="BG42" s="2281"/>
      <c r="BH42" s="2281"/>
      <c r="BI42" s="2281"/>
      <c r="BJ42" s="2281"/>
      <c r="BK42" s="2281"/>
      <c r="BL42" s="2281"/>
      <c r="BM42" s="2281"/>
      <c r="BN42" s="2281"/>
      <c r="BO42" s="2281"/>
      <c r="BP42" s="2995">
        <f>BP41-BL41</f>
        <v>-32700</v>
      </c>
      <c r="BQ42" s="2281"/>
      <c r="BR42" s="2281"/>
      <c r="BS42" s="2281"/>
      <c r="BT42" s="2281"/>
      <c r="BU42" s="2281"/>
      <c r="BV42" s="2281"/>
      <c r="BW42" s="2281"/>
      <c r="BX42" s="2281"/>
      <c r="BY42" s="2281"/>
      <c r="BZ42" s="2281"/>
      <c r="CA42" s="2280"/>
      <c r="CB42" s="2280">
        <f>CB41-BX41</f>
        <v>-123400</v>
      </c>
      <c r="CC42" s="2281"/>
      <c r="CD42" s="2281"/>
      <c r="CE42" s="2281"/>
      <c r="CF42" s="2281"/>
      <c r="CG42" s="2281"/>
      <c r="CH42" s="2281"/>
      <c r="CI42" s="2281"/>
      <c r="CJ42" s="2281"/>
      <c r="CK42" s="2281"/>
      <c r="CL42" s="2281"/>
      <c r="CM42" s="2281"/>
      <c r="CN42" s="2281">
        <f>CN41-CJ41</f>
        <v>-40140</v>
      </c>
      <c r="CO42" s="2281"/>
      <c r="CP42" s="2281"/>
      <c r="CQ42" s="2281"/>
      <c r="CR42" s="2281"/>
      <c r="CS42" s="2281"/>
      <c r="CT42" s="2281"/>
      <c r="CU42" s="2281"/>
      <c r="CV42" s="2281"/>
      <c r="CW42" s="2281"/>
      <c r="CX42" s="2281"/>
      <c r="CY42" s="2281"/>
      <c r="CZ42" s="2281">
        <f>CZ41-CV41</f>
        <v>-7850</v>
      </c>
      <c r="DA42" s="2281"/>
      <c r="DB42" s="2281"/>
      <c r="DC42" s="2281"/>
      <c r="DD42" s="2281"/>
      <c r="DE42" s="2281"/>
      <c r="DF42" s="2281"/>
      <c r="DG42" s="2281"/>
      <c r="DH42" s="2281"/>
      <c r="DI42" s="2281"/>
      <c r="DJ42" s="2281"/>
      <c r="DK42" s="2281"/>
      <c r="DL42" s="2281">
        <f>DL41-DH41</f>
        <v>-21250</v>
      </c>
      <c r="DM42" s="2281"/>
      <c r="DN42" s="2281"/>
      <c r="DO42" s="2281"/>
      <c r="DP42" s="2281"/>
      <c r="DQ42" s="2281"/>
      <c r="DR42" s="2281"/>
      <c r="DS42" s="2281"/>
      <c r="DT42" s="2281"/>
      <c r="DU42" s="2281"/>
      <c r="DV42" s="2281"/>
      <c r="DW42" s="2280"/>
      <c r="DX42" s="2280">
        <f>DX41-DT41</f>
        <v>14950</v>
      </c>
      <c r="DY42" s="2280"/>
      <c r="DZ42" s="2280"/>
      <c r="EA42" s="2281"/>
      <c r="EB42" s="2281"/>
      <c r="EC42" s="2281"/>
      <c r="ED42" s="2281"/>
      <c r="EE42" s="2281"/>
      <c r="EF42" s="2281"/>
      <c r="EG42" s="2287"/>
      <c r="EH42" s="2287"/>
      <c r="EI42" s="2281"/>
      <c r="EJ42" s="2281">
        <f>EJ41-EF41</f>
        <v>-101207</v>
      </c>
      <c r="EK42" s="2281"/>
      <c r="EL42" s="2281"/>
      <c r="EM42" s="2281"/>
      <c r="EN42" s="2281"/>
      <c r="EO42" s="2281"/>
      <c r="EP42" s="2281"/>
      <c r="EQ42" s="2281"/>
      <c r="ER42" s="2281"/>
      <c r="ES42" s="2281"/>
      <c r="ET42" s="2281"/>
      <c r="EU42" s="2281"/>
      <c r="EV42" s="2281">
        <f>EV41-ER41</f>
        <v>-20020</v>
      </c>
      <c r="EW42" s="2281"/>
      <c r="EX42" s="2281"/>
      <c r="EY42" s="2281"/>
      <c r="EZ42" s="2281"/>
      <c r="FA42" s="2281"/>
      <c r="FB42" s="2281"/>
    </row>
    <row r="43" spans="1:162" s="2257" customFormat="1" ht="27" customHeight="1">
      <c r="A43" s="2292"/>
      <c r="B43" s="2301" t="s">
        <v>1755</v>
      </c>
      <c r="C43" s="2261"/>
      <c r="D43" s="2261"/>
      <c r="E43" s="2261"/>
      <c r="F43" s="2261"/>
      <c r="G43" s="2261"/>
      <c r="H43" s="2261">
        <f>SUM(AF43,AR43,BD43,BP43,CB43,CN43,CZ43,DL43,DX43,EJ43,EV43,T43)</f>
        <v>-174814.9</v>
      </c>
      <c r="I43" s="2261"/>
      <c r="J43" s="2261"/>
      <c r="K43" s="2268"/>
      <c r="L43" s="2284"/>
      <c r="M43" s="2284"/>
      <c r="N43" s="2284"/>
      <c r="O43" s="2261"/>
      <c r="P43" s="2261"/>
      <c r="Q43" s="2261"/>
      <c r="R43" s="2261"/>
      <c r="S43" s="2261"/>
      <c r="T43" s="2284">
        <f>IF(T42&lt;0,T42*50%,T42*70%)</f>
        <v>2268</v>
      </c>
      <c r="U43" s="2261"/>
      <c r="V43" s="2261"/>
      <c r="W43" s="2261"/>
      <c r="X43" s="2261"/>
      <c r="Y43" s="2261"/>
      <c r="Z43" s="2261"/>
      <c r="AA43" s="2261"/>
      <c r="AB43" s="2261"/>
      <c r="AC43" s="2261"/>
      <c r="AD43" s="2261"/>
      <c r="AE43" s="2284"/>
      <c r="AF43" s="2284">
        <f>IF(AF42&lt;0,AF42*50%,AF42*70%)</f>
        <v>-12882.5</v>
      </c>
      <c r="AG43" s="2261"/>
      <c r="AH43" s="2261"/>
      <c r="AI43" s="2261"/>
      <c r="AJ43" s="2261"/>
      <c r="AK43" s="2261"/>
      <c r="AL43" s="2261"/>
      <c r="AM43" s="2261"/>
      <c r="AN43" s="2261"/>
      <c r="AO43" s="2261"/>
      <c r="AP43" s="2261"/>
      <c r="AQ43" s="2261"/>
      <c r="AR43" s="2284">
        <f>IF(AR42&lt;0,AR42*50%,AR42*70%)</f>
        <v>1913.1</v>
      </c>
      <c r="AS43" s="2261"/>
      <c r="AT43" s="2261"/>
      <c r="AU43" s="2261"/>
      <c r="AV43" s="2261"/>
      <c r="AW43" s="2261"/>
      <c r="AX43" s="2261"/>
      <c r="AY43" s="2261"/>
      <c r="AZ43" s="2261"/>
      <c r="BA43" s="2261"/>
      <c r="BB43" s="2261"/>
      <c r="BC43" s="2261"/>
      <c r="BD43" s="2284">
        <f>IF(BD42&lt;0,BD42*50%,BD42*70%)</f>
        <v>-3295</v>
      </c>
      <c r="BE43" s="2261"/>
      <c r="BF43" s="2261"/>
      <c r="BG43" s="2261"/>
      <c r="BH43" s="2261"/>
      <c r="BI43" s="2261"/>
      <c r="BJ43" s="2261"/>
      <c r="BK43" s="2261"/>
      <c r="BL43" s="2261"/>
      <c r="BM43" s="2261"/>
      <c r="BN43" s="2261"/>
      <c r="BO43" s="2261"/>
      <c r="BP43" s="2284">
        <f>IF(BP42&lt;0,BP42*50%,BP42*70%)</f>
        <v>-16350</v>
      </c>
      <c r="BQ43" s="2261"/>
      <c r="BR43" s="2261"/>
      <c r="BS43" s="2261"/>
      <c r="BT43" s="2261"/>
      <c r="BU43" s="2261"/>
      <c r="BV43" s="2261"/>
      <c r="BW43" s="2261"/>
      <c r="BX43" s="2261"/>
      <c r="BY43" s="2261"/>
      <c r="BZ43" s="2261"/>
      <c r="CA43" s="2284"/>
      <c r="CB43" s="2284">
        <f>IF(CB42&lt;0,CB42*50%,CB42*70%)</f>
        <v>-61700</v>
      </c>
      <c r="CC43" s="2261"/>
      <c r="CD43" s="2261"/>
      <c r="CE43" s="2261"/>
      <c r="CF43" s="2261"/>
      <c r="CG43" s="2261"/>
      <c r="CH43" s="2261"/>
      <c r="CI43" s="2261"/>
      <c r="CJ43" s="2261"/>
      <c r="CK43" s="2261"/>
      <c r="CL43" s="2261"/>
      <c r="CM43" s="2261"/>
      <c r="CN43" s="2284">
        <f>IF(CN42&lt;0,CN42*50%,CN42*70%)</f>
        <v>-20070</v>
      </c>
      <c r="CO43" s="2261"/>
      <c r="CP43" s="2261"/>
      <c r="CQ43" s="2261"/>
      <c r="CR43" s="2261"/>
      <c r="CS43" s="2261"/>
      <c r="CT43" s="2261"/>
      <c r="CU43" s="2261"/>
      <c r="CV43" s="2261"/>
      <c r="CW43" s="2261"/>
      <c r="CX43" s="2261"/>
      <c r="CY43" s="2261"/>
      <c r="CZ43" s="2284">
        <f>IF(CZ42&lt;0,CZ42*50%,CZ42*70%)</f>
        <v>-3925</v>
      </c>
      <c r="DA43" s="2261"/>
      <c r="DB43" s="2261"/>
      <c r="DC43" s="2261"/>
      <c r="DD43" s="2261"/>
      <c r="DE43" s="2261"/>
      <c r="DF43" s="2261"/>
      <c r="DG43" s="2261"/>
      <c r="DH43" s="2261"/>
      <c r="DI43" s="2261"/>
      <c r="DJ43" s="2261"/>
      <c r="DK43" s="2261"/>
      <c r="DL43" s="2284">
        <f>IF(DL42&lt;0,DL42*50%,DL42*70%)</f>
        <v>-10625</v>
      </c>
      <c r="DM43" s="2261"/>
      <c r="DN43" s="2261"/>
      <c r="DO43" s="2261"/>
      <c r="DP43" s="2261"/>
      <c r="DQ43" s="2261"/>
      <c r="DR43" s="2261"/>
      <c r="DS43" s="2261"/>
      <c r="DT43" s="2261"/>
      <c r="DU43" s="2261"/>
      <c r="DV43" s="2261"/>
      <c r="DW43" s="2284"/>
      <c r="DX43" s="2284">
        <f>IF(DX42&lt;0,DX42*50%,DX42*70%)</f>
        <v>10465</v>
      </c>
      <c r="DY43" s="2284"/>
      <c r="DZ43" s="2284"/>
      <c r="EA43" s="2261"/>
      <c r="EB43" s="2261"/>
      <c r="EC43" s="2261"/>
      <c r="ED43" s="2261"/>
      <c r="EE43" s="2261"/>
      <c r="EF43" s="2261"/>
      <c r="EG43" s="2297"/>
      <c r="EH43" s="2297"/>
      <c r="EI43" s="2261"/>
      <c r="EJ43" s="2284">
        <f>IF(EJ42&lt;0,EJ42*50%,EJ42*70%)</f>
        <v>-50603.5</v>
      </c>
      <c r="EK43" s="2261"/>
      <c r="EL43" s="2261"/>
      <c r="EM43" s="2261"/>
      <c r="EN43" s="2261"/>
      <c r="EO43" s="2261"/>
      <c r="EP43" s="2261"/>
      <c r="EQ43" s="2261"/>
      <c r="ER43" s="2261"/>
      <c r="ES43" s="2261"/>
      <c r="ET43" s="2261"/>
      <c r="EU43" s="2261"/>
      <c r="EV43" s="2284">
        <f>IF(EV42&lt;0,EV42*50%,EV42*70%)</f>
        <v>-10010</v>
      </c>
      <c r="EW43" s="2261"/>
      <c r="EX43" s="2261"/>
      <c r="EY43" s="2261"/>
      <c r="EZ43" s="2261"/>
      <c r="FA43" s="2261"/>
      <c r="FB43" s="2261"/>
    </row>
    <row r="44" spans="1:162" s="380" customFormat="1" ht="27" customHeight="1">
      <c r="A44" s="2298" t="s">
        <v>29</v>
      </c>
      <c r="B44" s="2300" t="s">
        <v>1756</v>
      </c>
      <c r="C44" s="2281"/>
      <c r="D44" s="2281"/>
      <c r="E44" s="2281"/>
      <c r="F44" s="2281"/>
      <c r="G44" s="2281"/>
      <c r="H44" s="2281"/>
      <c r="I44" s="2281"/>
      <c r="J44" s="2275">
        <f>SUM(V44,AH44,AT44,BF44,BR44,CD44,CP44,DB44,DN44,DZ44,EL44,EX44)</f>
        <v>-157280</v>
      </c>
      <c r="K44" s="2277"/>
      <c r="L44" s="2280"/>
      <c r="M44" s="2280"/>
      <c r="N44" s="2280"/>
      <c r="O44" s="2281"/>
      <c r="P44" s="2281"/>
      <c r="Q44" s="2281"/>
      <c r="R44" s="2281"/>
      <c r="S44" s="2281"/>
      <c r="T44" s="2281"/>
      <c r="U44" s="2281"/>
      <c r="V44" s="2281">
        <f>V41-P41</f>
        <v>12900</v>
      </c>
      <c r="W44" s="2281"/>
      <c r="X44" s="2281"/>
      <c r="Y44" s="2281"/>
      <c r="Z44" s="2281"/>
      <c r="AA44" s="2281"/>
      <c r="AB44" s="2281"/>
      <c r="AC44" s="2281"/>
      <c r="AD44" s="2281"/>
      <c r="AE44" s="2281"/>
      <c r="AF44" s="2281"/>
      <c r="AG44" s="2281"/>
      <c r="AH44" s="2281">
        <f>AH41-AB41</f>
        <v>-21720</v>
      </c>
      <c r="AI44" s="2281"/>
      <c r="AJ44" s="2281"/>
      <c r="AK44" s="2281"/>
      <c r="AL44" s="2281"/>
      <c r="AM44" s="2281"/>
      <c r="AN44" s="2281"/>
      <c r="AO44" s="2281"/>
      <c r="AP44" s="2281"/>
      <c r="AQ44" s="2281"/>
      <c r="AR44" s="2281"/>
      <c r="AS44" s="2281"/>
      <c r="AT44" s="2281">
        <f>AT41-AN41</f>
        <v>2610</v>
      </c>
      <c r="AU44" s="2281"/>
      <c r="AV44" s="2281"/>
      <c r="AW44" s="2281"/>
      <c r="AX44" s="2281"/>
      <c r="AY44" s="2281"/>
      <c r="AZ44" s="2281"/>
      <c r="BA44" s="2281"/>
      <c r="BB44" s="2281"/>
      <c r="BC44" s="2281"/>
      <c r="BD44" s="2281"/>
      <c r="BE44" s="2281"/>
      <c r="BF44" s="2281">
        <f>BF41-AZ41</f>
        <v>-3640</v>
      </c>
      <c r="BG44" s="2281"/>
      <c r="BH44" s="2281"/>
      <c r="BI44" s="2281"/>
      <c r="BJ44" s="2281"/>
      <c r="BK44" s="2281"/>
      <c r="BL44" s="2281"/>
      <c r="BM44" s="2281"/>
      <c r="BN44" s="2281"/>
      <c r="BO44" s="2281"/>
      <c r="BP44" s="2281"/>
      <c r="BQ44" s="2281"/>
      <c r="BR44" s="2281">
        <f>BR41-BL41</f>
        <v>-42950</v>
      </c>
      <c r="BS44" s="2281"/>
      <c r="BT44" s="2281"/>
      <c r="BU44" s="2281"/>
      <c r="BV44" s="2281"/>
      <c r="BW44" s="2281"/>
      <c r="BX44" s="2281"/>
      <c r="BY44" s="2281"/>
      <c r="BZ44" s="2281"/>
      <c r="CA44" s="2281"/>
      <c r="CB44" s="2281"/>
      <c r="CC44" s="2281"/>
      <c r="CD44" s="2281">
        <f>CD41-BX41</f>
        <v>53950</v>
      </c>
      <c r="CE44" s="2281"/>
      <c r="CF44" s="2281"/>
      <c r="CG44" s="2281"/>
      <c r="CH44" s="2281"/>
      <c r="CI44" s="2281"/>
      <c r="CJ44" s="2281"/>
      <c r="CK44" s="2281"/>
      <c r="CL44" s="2281"/>
      <c r="CM44" s="2281"/>
      <c r="CN44" s="2281"/>
      <c r="CO44" s="2281"/>
      <c r="CP44" s="2281">
        <f>CP41-CJ41</f>
        <v>-28790</v>
      </c>
      <c r="CQ44" s="2281"/>
      <c r="CR44" s="2281"/>
      <c r="CS44" s="2281"/>
      <c r="CT44" s="2281"/>
      <c r="CU44" s="2281"/>
      <c r="CV44" s="2281"/>
      <c r="CW44" s="2281"/>
      <c r="CX44" s="2281"/>
      <c r="CY44" s="2281"/>
      <c r="CZ44" s="2281"/>
      <c r="DA44" s="2281"/>
      <c r="DB44" s="2281">
        <f>DB41-CV41</f>
        <v>950</v>
      </c>
      <c r="DC44" s="2281"/>
      <c r="DD44" s="2281"/>
      <c r="DE44" s="2281"/>
      <c r="DF44" s="2281"/>
      <c r="DG44" s="2281"/>
      <c r="DH44" s="2281"/>
      <c r="DI44" s="2281"/>
      <c r="DJ44" s="2281"/>
      <c r="DK44" s="2281"/>
      <c r="DL44" s="2281"/>
      <c r="DM44" s="2281"/>
      <c r="DN44" s="2281">
        <f>DN41-DH41</f>
        <v>-12300</v>
      </c>
      <c r="DO44" s="2281"/>
      <c r="DP44" s="2281"/>
      <c r="DQ44" s="2281"/>
      <c r="DR44" s="2281"/>
      <c r="DS44" s="2281"/>
      <c r="DT44" s="2281"/>
      <c r="DU44" s="2281"/>
      <c r="DV44" s="2281"/>
      <c r="DW44" s="2280"/>
      <c r="DX44" s="2280"/>
      <c r="DY44" s="2280"/>
      <c r="DZ44" s="2280">
        <f>DZ41-DT41</f>
        <v>31650</v>
      </c>
      <c r="EA44" s="2281"/>
      <c r="EB44" s="2281"/>
      <c r="EC44" s="2281"/>
      <c r="ED44" s="2281"/>
      <c r="EE44" s="2281"/>
      <c r="EF44" s="2281"/>
      <c r="EG44" s="2281"/>
      <c r="EH44" s="2281"/>
      <c r="EI44" s="2281"/>
      <c r="EJ44" s="2281"/>
      <c r="EK44" s="2281"/>
      <c r="EL44" s="2281">
        <f>EL41-EF41</f>
        <v>-105040</v>
      </c>
      <c r="EM44" s="2281"/>
      <c r="EN44" s="2281"/>
      <c r="EO44" s="2281"/>
      <c r="EP44" s="2281"/>
      <c r="EQ44" s="2281"/>
      <c r="ER44" s="2281"/>
      <c r="ES44" s="2281"/>
      <c r="ET44" s="2281"/>
      <c r="EU44" s="2281"/>
      <c r="EV44" s="2281"/>
      <c r="EW44" s="2281"/>
      <c r="EX44" s="2281">
        <f>EX41-ER41</f>
        <v>-44900</v>
      </c>
      <c r="EY44" s="2281"/>
      <c r="EZ44" s="2281"/>
      <c r="FA44" s="2281"/>
      <c r="FB44" s="2281"/>
    </row>
    <row r="45" spans="1:162" s="2257" customFormat="1" ht="27" customHeight="1">
      <c r="A45" s="2302"/>
      <c r="B45" s="2303" t="s">
        <v>1757</v>
      </c>
      <c r="C45" s="2304"/>
      <c r="D45" s="2304"/>
      <c r="E45" s="2304"/>
      <c r="F45" s="2304"/>
      <c r="G45" s="2304"/>
      <c r="H45" s="2304"/>
      <c r="I45" s="2304"/>
      <c r="J45" s="2990">
        <f>SUM(V45,AH45,AT45,BF45,BR45,CD45,CP45,DB45,DN45,DZ45,EL45,EX45)</f>
        <v>-78640</v>
      </c>
      <c r="K45" s="2842"/>
      <c r="L45" s="2305"/>
      <c r="M45" s="2305"/>
      <c r="N45" s="2305"/>
      <c r="O45" s="2304"/>
      <c r="P45" s="2304"/>
      <c r="Q45" s="2304"/>
      <c r="R45" s="2304"/>
      <c r="S45" s="2304"/>
      <c r="T45" s="2304"/>
      <c r="U45" s="2304"/>
      <c r="V45" s="2304">
        <f>INT(V44/2)</f>
        <v>6450</v>
      </c>
      <c r="W45" s="2304"/>
      <c r="X45" s="2304"/>
      <c r="Y45" s="2304"/>
      <c r="Z45" s="2304"/>
      <c r="AA45" s="2304"/>
      <c r="AB45" s="2304"/>
      <c r="AC45" s="2304"/>
      <c r="AD45" s="2304"/>
      <c r="AE45" s="2304"/>
      <c r="AF45" s="2304"/>
      <c r="AG45" s="2304"/>
      <c r="AH45" s="2304">
        <f>INT(AH44/2)</f>
        <v>-10860</v>
      </c>
      <c r="AI45" s="2304"/>
      <c r="AJ45" s="2304"/>
      <c r="AK45" s="2304"/>
      <c r="AL45" s="2304"/>
      <c r="AM45" s="2304"/>
      <c r="AN45" s="2304"/>
      <c r="AO45" s="2304"/>
      <c r="AP45" s="2304"/>
      <c r="AQ45" s="2304"/>
      <c r="AR45" s="2304"/>
      <c r="AS45" s="2304"/>
      <c r="AT45" s="2844">
        <f>INT(AT44/2)</f>
        <v>1305</v>
      </c>
      <c r="AU45" s="2304"/>
      <c r="AV45" s="2304"/>
      <c r="AW45" s="2304"/>
      <c r="AX45" s="2304"/>
      <c r="AY45" s="2304"/>
      <c r="AZ45" s="2304"/>
      <c r="BA45" s="2304"/>
      <c r="BB45" s="2304"/>
      <c r="BC45" s="2304"/>
      <c r="BD45" s="2304"/>
      <c r="BE45" s="2304"/>
      <c r="BF45" s="2304">
        <f>INT(BF44/2)</f>
        <v>-1820</v>
      </c>
      <c r="BG45" s="2304"/>
      <c r="BH45" s="2304"/>
      <c r="BI45" s="2304"/>
      <c r="BJ45" s="2304"/>
      <c r="BK45" s="2304"/>
      <c r="BL45" s="2304"/>
      <c r="BM45" s="2304"/>
      <c r="BN45" s="2304"/>
      <c r="BO45" s="2304"/>
      <c r="BP45" s="2304"/>
      <c r="BQ45" s="2304"/>
      <c r="BR45" s="2304">
        <f>INT(BR44/2)</f>
        <v>-21475</v>
      </c>
      <c r="BS45" s="2304"/>
      <c r="BT45" s="2304"/>
      <c r="BU45" s="2304"/>
      <c r="BV45" s="2304"/>
      <c r="BW45" s="2304"/>
      <c r="BX45" s="2304"/>
      <c r="BY45" s="2304"/>
      <c r="BZ45" s="2304"/>
      <c r="CA45" s="2304"/>
      <c r="CB45" s="2304"/>
      <c r="CC45" s="2304"/>
      <c r="CD45" s="2304">
        <f>INT(CD44/2)</f>
        <v>26975</v>
      </c>
      <c r="CE45" s="2304"/>
      <c r="CF45" s="2304"/>
      <c r="CG45" s="2304"/>
      <c r="CH45" s="2304"/>
      <c r="CI45" s="2304"/>
      <c r="CJ45" s="2304"/>
      <c r="CK45" s="2304"/>
      <c r="CL45" s="2304"/>
      <c r="CM45" s="2304"/>
      <c r="CN45" s="2304"/>
      <c r="CO45" s="2304"/>
      <c r="CP45" s="2304">
        <f>INT(CP44/2)</f>
        <v>-14395</v>
      </c>
      <c r="CQ45" s="2304"/>
      <c r="CR45" s="2304"/>
      <c r="CS45" s="2304"/>
      <c r="CT45" s="2304"/>
      <c r="CU45" s="2304"/>
      <c r="CV45" s="2304"/>
      <c r="CW45" s="2304"/>
      <c r="CX45" s="2304"/>
      <c r="CY45" s="2304"/>
      <c r="CZ45" s="2304"/>
      <c r="DA45" s="2304"/>
      <c r="DB45" s="2305">
        <f>INT(DB44/2)</f>
        <v>475</v>
      </c>
      <c r="DC45" s="2304"/>
      <c r="DD45" s="2304"/>
      <c r="DE45" s="2304"/>
      <c r="DF45" s="2304"/>
      <c r="DG45" s="2304"/>
      <c r="DH45" s="2304"/>
      <c r="DI45" s="2304"/>
      <c r="DJ45" s="2304"/>
      <c r="DK45" s="2304"/>
      <c r="DL45" s="2304"/>
      <c r="DM45" s="2304"/>
      <c r="DN45" s="2304">
        <f>INT(DN44/2)</f>
        <v>-6150</v>
      </c>
      <c r="DO45" s="2304"/>
      <c r="DP45" s="2304"/>
      <c r="DQ45" s="2304"/>
      <c r="DR45" s="2304"/>
      <c r="DS45" s="2304"/>
      <c r="DT45" s="2304"/>
      <c r="DU45" s="2304"/>
      <c r="DV45" s="2304"/>
      <c r="DW45" s="2305"/>
      <c r="DX45" s="2305"/>
      <c r="DY45" s="2305"/>
      <c r="DZ45" s="2305">
        <f>INT(DZ44/2)</f>
        <v>15825</v>
      </c>
      <c r="EA45" s="2304"/>
      <c r="EB45" s="2304"/>
      <c r="EC45" s="2304"/>
      <c r="ED45" s="2304"/>
      <c r="EE45" s="2304"/>
      <c r="EF45" s="2304"/>
      <c r="EG45" s="2304"/>
      <c r="EH45" s="2304"/>
      <c r="EI45" s="2304"/>
      <c r="EJ45" s="2304"/>
      <c r="EK45" s="2304"/>
      <c r="EL45" s="2304">
        <f>INT(EL44/2)</f>
        <v>-52520</v>
      </c>
      <c r="EM45" s="2304"/>
      <c r="EN45" s="2304"/>
      <c r="EO45" s="2304"/>
      <c r="EP45" s="2304"/>
      <c r="EQ45" s="2304"/>
      <c r="ER45" s="2304"/>
      <c r="ES45" s="2304"/>
      <c r="ET45" s="2304"/>
      <c r="EU45" s="2304"/>
      <c r="EV45" s="2304"/>
      <c r="EW45" s="2304"/>
      <c r="EX45" s="2304">
        <f>INT(EX44/2)</f>
        <v>-22450</v>
      </c>
      <c r="EY45" s="2304"/>
      <c r="EZ45" s="2304"/>
      <c r="FA45" s="2304"/>
      <c r="FB45" s="2304"/>
    </row>
    <row r="46" spans="1:162" s="2257" customFormat="1">
      <c r="A46" s="2319"/>
      <c r="B46" s="2320"/>
      <c r="C46" s="2321"/>
      <c r="D46" s="2321"/>
      <c r="E46" s="2321"/>
      <c r="F46" s="2321"/>
      <c r="G46" s="2321"/>
      <c r="H46" s="2321"/>
      <c r="I46" s="2321"/>
      <c r="J46" s="2321"/>
      <c r="K46" s="2322"/>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2321"/>
      <c r="CI46" s="2321"/>
      <c r="CJ46" s="2321"/>
      <c r="CK46" s="2321"/>
      <c r="CL46" s="2321"/>
      <c r="CM46" s="2321"/>
      <c r="CN46" s="2321"/>
      <c r="CO46" s="2321"/>
      <c r="CP46" s="2321"/>
      <c r="CQ46" s="2321"/>
      <c r="CR46" s="2321"/>
      <c r="CS46" s="2321"/>
      <c r="CT46" s="2321"/>
      <c r="CU46" s="2321"/>
      <c r="CV46" s="2321"/>
      <c r="CW46" s="2321"/>
      <c r="CX46" s="2321"/>
      <c r="CY46" s="2321"/>
      <c r="CZ46" s="2321"/>
      <c r="DA46" s="2321"/>
      <c r="DB46" s="2323"/>
      <c r="DC46" s="2321"/>
      <c r="DD46" s="2321"/>
      <c r="DE46" s="2321"/>
      <c r="DF46" s="2321"/>
      <c r="DG46" s="2321"/>
      <c r="DH46" s="2321"/>
      <c r="DI46" s="2321"/>
      <c r="DJ46" s="2321"/>
      <c r="DK46" s="2321"/>
      <c r="DL46" s="2321"/>
      <c r="DM46" s="2321"/>
      <c r="DN46" s="2321"/>
      <c r="DO46" s="2321"/>
      <c r="DP46" s="2321"/>
      <c r="DQ46" s="2321"/>
      <c r="DR46" s="2321"/>
      <c r="DS46" s="2321"/>
      <c r="DT46" s="2321"/>
      <c r="DU46" s="2321"/>
      <c r="DV46" s="2321"/>
      <c r="DW46" s="2323"/>
      <c r="DX46" s="2323"/>
      <c r="DY46" s="2323"/>
      <c r="DZ46" s="2323"/>
      <c r="EA46" s="2321"/>
      <c r="EB46" s="2321"/>
      <c r="EC46" s="2321"/>
      <c r="ED46" s="2321"/>
      <c r="EE46" s="2321"/>
      <c r="EF46" s="2321"/>
      <c r="EG46" s="2321"/>
      <c r="EH46" s="2321"/>
      <c r="EI46" s="2321"/>
      <c r="EJ46" s="2321"/>
      <c r="EK46" s="2321"/>
      <c r="EL46" s="2321"/>
      <c r="EM46" s="2321"/>
      <c r="EN46" s="2321"/>
      <c r="EO46" s="2321"/>
      <c r="EP46" s="2321"/>
      <c r="EQ46" s="2321"/>
      <c r="ER46" s="2321"/>
      <c r="ES46" s="2321"/>
      <c r="ET46" s="2321"/>
      <c r="EU46" s="2321"/>
      <c r="EV46" s="2321"/>
      <c r="EW46" s="2321"/>
      <c r="EX46" s="2321"/>
      <c r="EY46" s="2321"/>
      <c r="EZ46" s="2321"/>
      <c r="FA46" s="2321"/>
      <c r="FB46" s="2321"/>
    </row>
    <row r="47" spans="1:162" s="2257" customFormat="1">
      <c r="A47" s="2319"/>
      <c r="B47" s="2320"/>
      <c r="C47" s="2321"/>
      <c r="D47" s="2321"/>
      <c r="E47" s="2321"/>
      <c r="F47" s="2321"/>
      <c r="G47" s="2321"/>
      <c r="H47" s="2321"/>
      <c r="I47" s="2321"/>
      <c r="J47" s="2281">
        <f>SUM(V47,AH47,AT47,BF47,BR47,CD47,CP47,DB47,DN47,DZ47,EL47,EX47)</f>
        <v>-129670</v>
      </c>
      <c r="K47" s="2322"/>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f>+AH45</f>
        <v>-10860</v>
      </c>
      <c r="AI47" s="2321"/>
      <c r="AJ47" s="2321"/>
      <c r="AK47" s="2321"/>
      <c r="AL47" s="2321"/>
      <c r="AM47" s="2321"/>
      <c r="AN47" s="2321"/>
      <c r="AO47" s="2321"/>
      <c r="AP47" s="2321"/>
      <c r="AQ47" s="2321"/>
      <c r="AR47" s="2321"/>
      <c r="AS47" s="2321"/>
      <c r="AT47" s="2321"/>
      <c r="AU47" s="2321"/>
      <c r="AV47" s="2321"/>
      <c r="AW47" s="2321"/>
      <c r="AX47" s="2321"/>
      <c r="AY47" s="2321"/>
      <c r="AZ47" s="2321"/>
      <c r="BA47" s="2321"/>
      <c r="BB47" s="2321"/>
      <c r="BC47" s="2321"/>
      <c r="BD47" s="2321"/>
      <c r="BE47" s="2321"/>
      <c r="BF47" s="2321">
        <f>BF45</f>
        <v>-1820</v>
      </c>
      <c r="BG47" s="2321"/>
      <c r="BH47" s="2321"/>
      <c r="BI47" s="2321"/>
      <c r="BJ47" s="2321"/>
      <c r="BK47" s="2321"/>
      <c r="BL47" s="2321"/>
      <c r="BM47" s="2321"/>
      <c r="BN47" s="2321"/>
      <c r="BO47" s="2321"/>
      <c r="BP47" s="2321"/>
      <c r="BQ47" s="2321"/>
      <c r="BR47" s="2321">
        <f>+BR45</f>
        <v>-21475</v>
      </c>
      <c r="BS47" s="2321"/>
      <c r="BT47" s="2321"/>
      <c r="BU47" s="2321"/>
      <c r="BV47" s="2321"/>
      <c r="BW47" s="2321"/>
      <c r="BX47" s="2321"/>
      <c r="BY47" s="2321"/>
      <c r="BZ47" s="2321"/>
      <c r="CA47" s="2321"/>
      <c r="CB47" s="2321"/>
      <c r="CC47" s="2321"/>
      <c r="CD47" s="2321"/>
      <c r="CE47" s="2321"/>
      <c r="CF47" s="2321"/>
      <c r="CG47" s="2321"/>
      <c r="CH47" s="2321"/>
      <c r="CI47" s="2321"/>
      <c r="CJ47" s="2321"/>
      <c r="CK47" s="2321"/>
      <c r="CL47" s="2321"/>
      <c r="CM47" s="2321"/>
      <c r="CN47" s="2321"/>
      <c r="CO47" s="2321"/>
      <c r="CP47" s="2321">
        <f>+CP45</f>
        <v>-14395</v>
      </c>
      <c r="CQ47" s="2321"/>
      <c r="CR47" s="2321"/>
      <c r="CS47" s="2321"/>
      <c r="CT47" s="2321"/>
      <c r="CU47" s="2321"/>
      <c r="CV47" s="2321"/>
      <c r="CW47" s="2321"/>
      <c r="CX47" s="2321"/>
      <c r="CY47" s="2321"/>
      <c r="CZ47" s="2321"/>
      <c r="DA47" s="2321"/>
      <c r="DB47" s="2323"/>
      <c r="DC47" s="2321"/>
      <c r="DD47" s="2321"/>
      <c r="DE47" s="2321"/>
      <c r="DF47" s="2321"/>
      <c r="DG47" s="2321"/>
      <c r="DH47" s="2321"/>
      <c r="DI47" s="2321"/>
      <c r="DJ47" s="2321"/>
      <c r="DK47" s="2321"/>
      <c r="DL47" s="2321"/>
      <c r="DM47" s="2321"/>
      <c r="DN47" s="2321">
        <f>+DN45</f>
        <v>-6150</v>
      </c>
      <c r="DO47" s="2321"/>
      <c r="DP47" s="2321"/>
      <c r="DQ47" s="2321"/>
      <c r="DR47" s="2321"/>
      <c r="DS47" s="2321"/>
      <c r="DT47" s="2321"/>
      <c r="DU47" s="2321"/>
      <c r="DV47" s="2321"/>
      <c r="DW47" s="2323"/>
      <c r="DX47" s="2323"/>
      <c r="DY47" s="2323"/>
      <c r="DZ47" s="2323"/>
      <c r="EA47" s="2321"/>
      <c r="EB47" s="2321"/>
      <c r="EC47" s="2321"/>
      <c r="ED47" s="2321"/>
      <c r="EE47" s="2321"/>
      <c r="EF47" s="2321"/>
      <c r="EG47" s="2321"/>
      <c r="EH47" s="2321"/>
      <c r="EI47" s="2321"/>
      <c r="EJ47" s="2321"/>
      <c r="EK47" s="2321"/>
      <c r="EL47" s="2321">
        <f>+EL45</f>
        <v>-52520</v>
      </c>
      <c r="EM47" s="2321"/>
      <c r="EN47" s="2321"/>
      <c r="EO47" s="2321"/>
      <c r="EP47" s="2321"/>
      <c r="EQ47" s="2321"/>
      <c r="ER47" s="2321"/>
      <c r="ES47" s="2321"/>
      <c r="ET47" s="2321"/>
      <c r="EU47" s="2321"/>
      <c r="EV47" s="2321"/>
      <c r="EW47" s="2321"/>
      <c r="EX47" s="2321">
        <f>+EX45</f>
        <v>-22450</v>
      </c>
      <c r="EY47" s="2321"/>
      <c r="EZ47" s="2321"/>
      <c r="FA47" s="2321"/>
      <c r="FB47" s="2321"/>
    </row>
    <row r="48" spans="1:162" s="2257" customFormat="1">
      <c r="A48" s="2319"/>
      <c r="B48" s="2320"/>
      <c r="C48" s="2321"/>
      <c r="D48" s="2321"/>
      <c r="E48" s="2321"/>
      <c r="F48" s="2321"/>
      <c r="G48" s="2321"/>
      <c r="H48" s="2321"/>
      <c r="I48" s="2321"/>
      <c r="J48" s="2281">
        <f>SUM(V48,AH48,AT48,BF48,BR48,CD48,CP48,DB48,DN48,DZ48,EL48,EX48)</f>
        <v>44880</v>
      </c>
      <c r="K48" s="2322"/>
      <c r="L48" s="2321"/>
      <c r="M48" s="2321"/>
      <c r="N48" s="2321"/>
      <c r="O48" s="2321"/>
      <c r="P48" s="2321"/>
      <c r="Q48" s="2321"/>
      <c r="R48" s="2321"/>
      <c r="S48" s="2321"/>
      <c r="T48" s="2321"/>
      <c r="U48" s="2321"/>
      <c r="V48" s="2321">
        <f>V45</f>
        <v>6450</v>
      </c>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c r="AS48" s="2321"/>
      <c r="AT48" s="2321">
        <f>AT45</f>
        <v>1305</v>
      </c>
      <c r="AU48" s="2321"/>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f>CD45</f>
        <v>26975</v>
      </c>
      <c r="CE48" s="2321"/>
      <c r="CF48" s="2321"/>
      <c r="CG48" s="2321"/>
      <c r="CH48" s="2321"/>
      <c r="CI48" s="2321"/>
      <c r="CJ48" s="2321"/>
      <c r="CK48" s="2321"/>
      <c r="CL48" s="2321"/>
      <c r="CM48" s="2321"/>
      <c r="CN48" s="2321"/>
      <c r="CO48" s="2321"/>
      <c r="CP48" s="2321"/>
      <c r="CQ48" s="2321"/>
      <c r="CR48" s="2321"/>
      <c r="CS48" s="2321"/>
      <c r="CT48" s="2321"/>
      <c r="CU48" s="2321"/>
      <c r="CV48" s="2321"/>
      <c r="CW48" s="2321"/>
      <c r="CX48" s="2321"/>
      <c r="CY48" s="2321"/>
      <c r="CZ48" s="2321"/>
      <c r="DA48" s="2321"/>
      <c r="DB48" s="2323">
        <f>DB45</f>
        <v>475</v>
      </c>
      <c r="DC48" s="2321"/>
      <c r="DD48" s="2321"/>
      <c r="DE48" s="2321"/>
      <c r="DF48" s="2321"/>
      <c r="DG48" s="2321"/>
      <c r="DH48" s="2321"/>
      <c r="DI48" s="2321"/>
      <c r="DJ48" s="2321"/>
      <c r="DK48" s="2321"/>
      <c r="DL48" s="2321"/>
      <c r="DM48" s="2321"/>
      <c r="DN48" s="2321">
        <f>DN45</f>
        <v>-6150</v>
      </c>
      <c r="DO48" s="2321"/>
      <c r="DP48" s="2321"/>
      <c r="DQ48" s="2321"/>
      <c r="DR48" s="2321"/>
      <c r="DS48" s="2321"/>
      <c r="DT48" s="2321"/>
      <c r="DU48" s="2321"/>
      <c r="DV48" s="2321"/>
      <c r="DW48" s="2323"/>
      <c r="DX48" s="2323"/>
      <c r="DY48" s="2323"/>
      <c r="DZ48" s="2323">
        <f>DZ45</f>
        <v>15825</v>
      </c>
      <c r="EA48" s="2321"/>
      <c r="EB48" s="2321"/>
      <c r="EC48" s="2321"/>
      <c r="ED48" s="2321"/>
      <c r="EE48" s="2321"/>
      <c r="EF48" s="2321"/>
      <c r="EG48" s="2321"/>
      <c r="EH48" s="2321"/>
      <c r="EI48" s="2321"/>
      <c r="EJ48" s="2321"/>
      <c r="EK48" s="2321"/>
      <c r="EL48" s="2321"/>
      <c r="EM48" s="2321"/>
      <c r="EN48" s="2321"/>
      <c r="EO48" s="2321"/>
      <c r="EP48" s="2321"/>
      <c r="EQ48" s="2321"/>
      <c r="ER48" s="2321"/>
      <c r="ES48" s="2321"/>
      <c r="ET48" s="2321"/>
      <c r="EU48" s="2321"/>
      <c r="EV48" s="2321"/>
      <c r="EW48" s="2321"/>
      <c r="EX48" s="2321"/>
      <c r="EY48" s="2321"/>
      <c r="EZ48" s="2321"/>
      <c r="FA48" s="2321"/>
      <c r="FB48" s="2321"/>
    </row>
    <row r="49" spans="1:158" s="2257" customFormat="1">
      <c r="A49" s="2319"/>
      <c r="B49" s="2320"/>
      <c r="C49" s="2321"/>
      <c r="D49" s="2321"/>
      <c r="E49" s="2321"/>
      <c r="F49" s="2321"/>
      <c r="G49" s="2321"/>
      <c r="H49" s="2321"/>
      <c r="I49" s="2321"/>
      <c r="J49" s="2321"/>
      <c r="K49" s="2322"/>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c r="AS49" s="2321"/>
      <c r="AT49" s="2321"/>
      <c r="AU49" s="2321"/>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2321"/>
      <c r="CI49" s="2321"/>
      <c r="CJ49" s="2321"/>
      <c r="CK49" s="2321"/>
      <c r="CL49" s="2321"/>
      <c r="CM49" s="2321"/>
      <c r="CN49" s="2321"/>
      <c r="CO49" s="2321"/>
      <c r="CP49" s="2321"/>
      <c r="CQ49" s="2321"/>
      <c r="CR49" s="2321"/>
      <c r="CS49" s="2321"/>
      <c r="CT49" s="2321"/>
      <c r="CU49" s="2321"/>
      <c r="CV49" s="2321"/>
      <c r="CW49" s="2321"/>
      <c r="CX49" s="2321"/>
      <c r="CY49" s="2321"/>
      <c r="CZ49" s="2321"/>
      <c r="DA49" s="2321"/>
      <c r="DB49" s="2323"/>
      <c r="DC49" s="2321"/>
      <c r="DD49" s="2321"/>
      <c r="DE49" s="2321"/>
      <c r="DF49" s="2321"/>
      <c r="DG49" s="2321"/>
      <c r="DH49" s="2321"/>
      <c r="DI49" s="2321"/>
      <c r="DJ49" s="2321"/>
      <c r="DK49" s="2321"/>
      <c r="DL49" s="2321"/>
      <c r="DM49" s="2321"/>
      <c r="DN49" s="2321"/>
      <c r="DO49" s="2321"/>
      <c r="DP49" s="2321"/>
      <c r="DQ49" s="2321"/>
      <c r="DR49" s="2321"/>
      <c r="DS49" s="2321"/>
      <c r="DT49" s="2321"/>
      <c r="DU49" s="2321"/>
      <c r="DV49" s="2321"/>
      <c r="DW49" s="2323"/>
      <c r="DX49" s="2323"/>
      <c r="DY49" s="2323"/>
      <c r="DZ49" s="2323"/>
      <c r="EA49" s="2321"/>
      <c r="EB49" s="2321"/>
      <c r="EC49" s="2321"/>
      <c r="ED49" s="2321"/>
      <c r="EE49" s="2321"/>
      <c r="EF49" s="2321"/>
      <c r="EG49" s="2321"/>
      <c r="EH49" s="2321"/>
      <c r="EI49" s="2321"/>
      <c r="EJ49" s="2321"/>
      <c r="EK49" s="2321"/>
      <c r="EL49" s="2321"/>
      <c r="EM49" s="2321"/>
      <c r="EN49" s="2321"/>
      <c r="EO49" s="2321"/>
      <c r="EP49" s="2321"/>
      <c r="EQ49" s="2321"/>
      <c r="ER49" s="2321"/>
      <c r="ES49" s="2321"/>
      <c r="ET49" s="2321"/>
      <c r="EU49" s="2321"/>
      <c r="EV49" s="2321"/>
      <c r="EW49" s="2321"/>
      <c r="EX49" s="2321"/>
      <c r="EY49" s="2321"/>
      <c r="EZ49" s="2321"/>
      <c r="FA49" s="2321"/>
      <c r="FB49" s="2321"/>
    </row>
    <row r="50" spans="1:158" s="2257" customFormat="1">
      <c r="A50" s="2319"/>
      <c r="B50" s="2320"/>
      <c r="C50" s="2321"/>
      <c r="D50" s="2321"/>
      <c r="E50" s="2321"/>
      <c r="F50" s="2321"/>
      <c r="G50" s="2321"/>
      <c r="H50" s="2321"/>
      <c r="I50" s="2321"/>
      <c r="J50" s="2321"/>
      <c r="K50" s="2322"/>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c r="AS50" s="2321"/>
      <c r="AT50" s="2321"/>
      <c r="AU50" s="2321"/>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2321"/>
      <c r="CI50" s="2321"/>
      <c r="CJ50" s="2321"/>
      <c r="CK50" s="2321"/>
      <c r="CL50" s="2321"/>
      <c r="CM50" s="2321"/>
      <c r="CN50" s="2321"/>
      <c r="CO50" s="2321"/>
      <c r="CP50" s="2321"/>
      <c r="CQ50" s="2321"/>
      <c r="CR50" s="2321"/>
      <c r="CS50" s="2321"/>
      <c r="CT50" s="2321"/>
      <c r="CU50" s="2321"/>
      <c r="CV50" s="2321"/>
      <c r="CW50" s="2321"/>
      <c r="CX50" s="2321"/>
      <c r="CY50" s="2321"/>
      <c r="CZ50" s="2321"/>
      <c r="DA50" s="2321"/>
      <c r="DB50" s="2323"/>
      <c r="DC50" s="2321"/>
      <c r="DD50" s="2321"/>
      <c r="DE50" s="2321"/>
      <c r="DF50" s="2321"/>
      <c r="DG50" s="2321"/>
      <c r="DH50" s="2321"/>
      <c r="DI50" s="2321"/>
      <c r="DJ50" s="2321"/>
      <c r="DK50" s="2321"/>
      <c r="DL50" s="2321"/>
      <c r="DM50" s="2321"/>
      <c r="DN50" s="2321"/>
      <c r="DO50" s="2321"/>
      <c r="DP50" s="2321"/>
      <c r="DQ50" s="2321"/>
      <c r="DR50" s="2321"/>
      <c r="DS50" s="2321"/>
      <c r="DT50" s="2321"/>
      <c r="DU50" s="2321"/>
      <c r="DV50" s="2321"/>
      <c r="DW50" s="2323"/>
      <c r="DX50" s="2323"/>
      <c r="DY50" s="2323"/>
      <c r="DZ50" s="2323"/>
      <c r="EA50" s="2321"/>
      <c r="EB50" s="2321"/>
      <c r="EC50" s="2321"/>
      <c r="ED50" s="2321"/>
      <c r="EE50" s="2321"/>
      <c r="EF50" s="2321"/>
      <c r="EG50" s="2321"/>
      <c r="EH50" s="2321"/>
      <c r="EI50" s="2321"/>
      <c r="EJ50" s="2321"/>
      <c r="EK50" s="2321"/>
      <c r="EL50" s="2321"/>
      <c r="EM50" s="2321"/>
      <c r="EN50" s="2321"/>
      <c r="EO50" s="2321"/>
      <c r="EP50" s="2321"/>
      <c r="EQ50" s="2321"/>
      <c r="ER50" s="2321"/>
      <c r="ES50" s="2321"/>
      <c r="ET50" s="2321"/>
      <c r="EU50" s="2321"/>
      <c r="EV50" s="2321"/>
      <c r="EW50" s="2321"/>
      <c r="EX50" s="2321"/>
      <c r="EY50" s="2321"/>
      <c r="EZ50" s="2321"/>
      <c r="FA50" s="2321"/>
      <c r="FB50" s="2321"/>
    </row>
    <row r="51" spans="1:158" s="2257" customFormat="1">
      <c r="A51" s="2319"/>
      <c r="B51" s="2320"/>
      <c r="C51" s="2321"/>
      <c r="D51" s="2321"/>
      <c r="E51" s="2321"/>
      <c r="F51" s="2321"/>
      <c r="G51" s="2321"/>
      <c r="H51" s="2321"/>
      <c r="I51" s="2321"/>
      <c r="J51" s="2321"/>
      <c r="K51" s="2322"/>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c r="AS51" s="2321"/>
      <c r="AT51" s="2321"/>
      <c r="AU51" s="2321"/>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2321"/>
      <c r="CI51" s="2321"/>
      <c r="CJ51" s="2321"/>
      <c r="CK51" s="2321"/>
      <c r="CL51" s="2321"/>
      <c r="CM51" s="2321"/>
      <c r="CN51" s="2321"/>
      <c r="CO51" s="2321"/>
      <c r="CP51" s="2321"/>
      <c r="CQ51" s="2321"/>
      <c r="CR51" s="2321"/>
      <c r="CS51" s="2321"/>
      <c r="CT51" s="2321"/>
      <c r="CU51" s="2321"/>
      <c r="CV51" s="2321"/>
      <c r="CW51" s="2321"/>
      <c r="CX51" s="2321"/>
      <c r="CY51" s="2321"/>
      <c r="CZ51" s="2321"/>
      <c r="DA51" s="2321"/>
      <c r="DB51" s="2323"/>
      <c r="DC51" s="2321"/>
      <c r="DD51" s="2321"/>
      <c r="DE51" s="2321"/>
      <c r="DF51" s="2321"/>
      <c r="DG51" s="2321"/>
      <c r="DH51" s="2321"/>
      <c r="DI51" s="2321"/>
      <c r="DJ51" s="2321"/>
      <c r="DK51" s="2321"/>
      <c r="DL51" s="2321"/>
      <c r="DM51" s="2321"/>
      <c r="DN51" s="2321"/>
      <c r="DO51" s="2321"/>
      <c r="DP51" s="2321"/>
      <c r="DQ51" s="2321"/>
      <c r="DR51" s="2321"/>
      <c r="DS51" s="2321"/>
      <c r="DT51" s="2321"/>
      <c r="DU51" s="2321"/>
      <c r="DV51" s="2321"/>
      <c r="DW51" s="2323"/>
      <c r="DX51" s="2323"/>
      <c r="DY51" s="2323"/>
      <c r="DZ51" s="2323"/>
      <c r="EA51" s="2321"/>
      <c r="EB51" s="2321"/>
      <c r="EC51" s="2321"/>
      <c r="ED51" s="2321"/>
      <c r="EE51" s="2321"/>
      <c r="EF51" s="2321"/>
      <c r="EG51" s="2321"/>
      <c r="EH51" s="2321"/>
      <c r="EI51" s="2321"/>
      <c r="EJ51" s="2321"/>
      <c r="EK51" s="2321"/>
      <c r="EL51" s="2321"/>
      <c r="EM51" s="2321"/>
      <c r="EN51" s="2321"/>
      <c r="EO51" s="2321"/>
      <c r="EP51" s="2321"/>
      <c r="EQ51" s="2321"/>
      <c r="ER51" s="2321"/>
      <c r="ES51" s="2321"/>
      <c r="ET51" s="2321"/>
      <c r="EU51" s="2321"/>
      <c r="EV51" s="2321"/>
      <c r="EW51" s="2321"/>
      <c r="EX51" s="2321"/>
      <c r="EY51" s="2321"/>
      <c r="EZ51" s="2321"/>
      <c r="FA51" s="2321"/>
      <c r="FB51" s="2321"/>
    </row>
    <row r="52" spans="1:158" s="2257" customFormat="1">
      <c r="A52" s="2319"/>
      <c r="B52" s="2320"/>
      <c r="C52" s="2321"/>
      <c r="D52" s="2321"/>
      <c r="E52" s="2321"/>
      <c r="F52" s="2321"/>
      <c r="G52" s="2321"/>
      <c r="H52" s="2321"/>
      <c r="I52" s="2321"/>
      <c r="J52" s="2321"/>
      <c r="K52" s="2322"/>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c r="AS52" s="2321"/>
      <c r="AT52" s="2321"/>
      <c r="AU52" s="2321"/>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2321"/>
      <c r="CI52" s="2321"/>
      <c r="CJ52" s="2321"/>
      <c r="CK52" s="2321"/>
      <c r="CL52" s="2321"/>
      <c r="CM52" s="2321"/>
      <c r="CN52" s="2321"/>
      <c r="CO52" s="2321"/>
      <c r="CP52" s="2321"/>
      <c r="CQ52" s="2321"/>
      <c r="CR52" s="2321"/>
      <c r="CS52" s="2321"/>
      <c r="CT52" s="2321"/>
      <c r="CU52" s="2321"/>
      <c r="CV52" s="2321"/>
      <c r="CW52" s="2321"/>
      <c r="CX52" s="2321"/>
      <c r="CY52" s="2321"/>
      <c r="CZ52" s="2321"/>
      <c r="DA52" s="2321"/>
      <c r="DB52" s="2323"/>
      <c r="DC52" s="2321"/>
      <c r="DD52" s="2321"/>
      <c r="DE52" s="2321"/>
      <c r="DF52" s="2321"/>
      <c r="DG52" s="2321"/>
      <c r="DH52" s="2321"/>
      <c r="DI52" s="2321"/>
      <c r="DJ52" s="2321"/>
      <c r="DK52" s="2321"/>
      <c r="DL52" s="2321"/>
      <c r="DM52" s="2321"/>
      <c r="DN52" s="2321"/>
      <c r="DO52" s="2321"/>
      <c r="DP52" s="2321"/>
      <c r="DQ52" s="2321"/>
      <c r="DR52" s="2321"/>
      <c r="DS52" s="2321"/>
      <c r="DT52" s="2321"/>
      <c r="DU52" s="2321"/>
      <c r="DV52" s="2321"/>
      <c r="DW52" s="2323"/>
      <c r="DX52" s="2323"/>
      <c r="DY52" s="2323"/>
      <c r="DZ52" s="2323"/>
      <c r="EA52" s="2321"/>
      <c r="EB52" s="2321"/>
      <c r="EC52" s="2321"/>
      <c r="ED52" s="2321"/>
      <c r="EE52" s="2321"/>
      <c r="EF52" s="2321"/>
      <c r="EG52" s="2321"/>
      <c r="EH52" s="2321"/>
      <c r="EI52" s="2321"/>
      <c r="EJ52" s="2321"/>
      <c r="EK52" s="2321"/>
      <c r="EL52" s="2321"/>
      <c r="EM52" s="2321"/>
      <c r="EN52" s="2321"/>
      <c r="EO52" s="2321"/>
      <c r="EP52" s="2321"/>
      <c r="EQ52" s="2321"/>
      <c r="ER52" s="2321"/>
      <c r="ES52" s="2321"/>
      <c r="ET52" s="2321"/>
      <c r="EU52" s="2321"/>
      <c r="EV52" s="2321"/>
      <c r="EW52" s="2321"/>
      <c r="EX52" s="2321"/>
      <c r="EY52" s="2321"/>
      <c r="EZ52" s="2321"/>
      <c r="FA52" s="2321"/>
      <c r="FB52" s="2321"/>
    </row>
    <row r="53" spans="1:158" s="2257" customFormat="1">
      <c r="A53" s="2319"/>
      <c r="B53" s="2320"/>
      <c r="C53" s="2321"/>
      <c r="D53" s="2321"/>
      <c r="E53" s="2321"/>
      <c r="F53" s="2321"/>
      <c r="G53" s="2321"/>
      <c r="H53" s="2321"/>
      <c r="I53" s="2321"/>
      <c r="J53" s="2321"/>
      <c r="K53" s="2322"/>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c r="AS53" s="2321"/>
      <c r="AT53" s="2321"/>
      <c r="AU53" s="2321"/>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2321"/>
      <c r="CI53" s="2321"/>
      <c r="CJ53" s="2321"/>
      <c r="CK53" s="2321"/>
      <c r="CL53" s="2321"/>
      <c r="CM53" s="2321"/>
      <c r="CN53" s="2321"/>
      <c r="CO53" s="2321"/>
      <c r="CP53" s="2321"/>
      <c r="CQ53" s="2321"/>
      <c r="CR53" s="2321"/>
      <c r="CS53" s="2321"/>
      <c r="CT53" s="2321"/>
      <c r="CU53" s="2321"/>
      <c r="CV53" s="2321"/>
      <c r="CW53" s="2321"/>
      <c r="CX53" s="2321"/>
      <c r="CY53" s="2321"/>
      <c r="CZ53" s="2321"/>
      <c r="DA53" s="2321"/>
      <c r="DB53" s="2323"/>
      <c r="DC53" s="2321"/>
      <c r="DD53" s="2321"/>
      <c r="DE53" s="2321"/>
      <c r="DF53" s="2321"/>
      <c r="DG53" s="2321"/>
      <c r="DH53" s="2321"/>
      <c r="DI53" s="2321"/>
      <c r="DJ53" s="2321"/>
      <c r="DK53" s="2321"/>
      <c r="DL53" s="2321"/>
      <c r="DM53" s="2321"/>
      <c r="DN53" s="2321"/>
      <c r="DO53" s="2321"/>
      <c r="DP53" s="2321"/>
      <c r="DQ53" s="2321"/>
      <c r="DR53" s="2321"/>
      <c r="DS53" s="2321"/>
      <c r="DT53" s="2321"/>
      <c r="DU53" s="2321"/>
      <c r="DV53" s="2321"/>
      <c r="DW53" s="2323"/>
      <c r="DX53" s="2323"/>
      <c r="DY53" s="2323"/>
      <c r="DZ53" s="2323"/>
      <c r="EA53" s="2321"/>
      <c r="EB53" s="2321"/>
      <c r="EC53" s="2321"/>
      <c r="ED53" s="2321"/>
      <c r="EE53" s="2321"/>
      <c r="EF53" s="2321"/>
      <c r="EG53" s="2321"/>
      <c r="EH53" s="2321"/>
      <c r="EI53" s="2321"/>
      <c r="EJ53" s="2321"/>
      <c r="EK53" s="2321"/>
      <c r="EL53" s="2321"/>
      <c r="EM53" s="2321"/>
      <c r="EN53" s="2321"/>
      <c r="EO53" s="2321"/>
      <c r="EP53" s="2321"/>
      <c r="EQ53" s="2321"/>
      <c r="ER53" s="2321"/>
      <c r="ES53" s="2321"/>
      <c r="ET53" s="2321"/>
      <c r="EU53" s="2321"/>
      <c r="EV53" s="2321"/>
      <c r="EW53" s="2321"/>
      <c r="EX53" s="2321"/>
      <c r="EY53" s="2321"/>
      <c r="EZ53" s="2321"/>
      <c r="FA53" s="2321"/>
      <c r="FB53" s="2321"/>
    </row>
    <row r="54" spans="1:158" s="2257" customFormat="1">
      <c r="A54" s="2319"/>
      <c r="B54" s="2320"/>
      <c r="C54" s="2321"/>
      <c r="D54" s="2321"/>
      <c r="E54" s="2321"/>
      <c r="F54" s="2321"/>
      <c r="G54" s="2321"/>
      <c r="H54" s="2321"/>
      <c r="I54" s="2321"/>
      <c r="J54" s="2321"/>
      <c r="K54" s="2322"/>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c r="AS54" s="2321"/>
      <c r="AT54" s="2321"/>
      <c r="AU54" s="2321"/>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2321"/>
      <c r="CI54" s="2321"/>
      <c r="CJ54" s="2321"/>
      <c r="CK54" s="2321"/>
      <c r="CL54" s="2321"/>
      <c r="CM54" s="2321"/>
      <c r="CN54" s="2321"/>
      <c r="CO54" s="2321"/>
      <c r="CP54" s="2321"/>
      <c r="CQ54" s="2321"/>
      <c r="CR54" s="2321"/>
      <c r="CS54" s="2321"/>
      <c r="CT54" s="2321"/>
      <c r="CU54" s="2321"/>
      <c r="CV54" s="2321"/>
      <c r="CW54" s="2321"/>
      <c r="CX54" s="2321"/>
      <c r="CY54" s="2321"/>
      <c r="CZ54" s="2321"/>
      <c r="DA54" s="2321"/>
      <c r="DB54" s="2323"/>
      <c r="DC54" s="2321"/>
      <c r="DD54" s="2321"/>
      <c r="DE54" s="2321"/>
      <c r="DF54" s="2321"/>
      <c r="DG54" s="2321"/>
      <c r="DH54" s="2321"/>
      <c r="DI54" s="2321"/>
      <c r="DJ54" s="2321"/>
      <c r="DK54" s="2321"/>
      <c r="DL54" s="2321"/>
      <c r="DM54" s="2321"/>
      <c r="DN54" s="2321"/>
      <c r="DO54" s="2321"/>
      <c r="DP54" s="2321"/>
      <c r="DQ54" s="2321"/>
      <c r="DR54" s="2321"/>
      <c r="DS54" s="2321"/>
      <c r="DT54" s="2321"/>
      <c r="DU54" s="2321"/>
      <c r="DV54" s="2321"/>
      <c r="DW54" s="2323"/>
      <c r="DX54" s="2323"/>
      <c r="DY54" s="2323"/>
      <c r="DZ54" s="2323"/>
      <c r="EA54" s="2321"/>
      <c r="EB54" s="2321"/>
      <c r="EC54" s="2321"/>
      <c r="ED54" s="2321"/>
      <c r="EE54" s="2321"/>
      <c r="EF54" s="2321"/>
      <c r="EG54" s="2321"/>
      <c r="EH54" s="2321"/>
      <c r="EI54" s="2321"/>
      <c r="EJ54" s="2321"/>
      <c r="EK54" s="2321"/>
      <c r="EL54" s="2321"/>
      <c r="EM54" s="2321"/>
      <c r="EN54" s="2321"/>
      <c r="EO54" s="2321"/>
      <c r="EP54" s="2321"/>
      <c r="EQ54" s="2321"/>
      <c r="ER54" s="2321"/>
      <c r="ES54" s="2321"/>
      <c r="ET54" s="2321"/>
      <c r="EU54" s="2321"/>
      <c r="EV54" s="2321"/>
      <c r="EW54" s="2321"/>
      <c r="EX54" s="2321"/>
      <c r="EY54" s="2321"/>
      <c r="EZ54" s="2321"/>
      <c r="FA54" s="2321"/>
      <c r="FB54" s="2321"/>
    </row>
    <row r="55" spans="1:158" s="2257" customFormat="1">
      <c r="A55" s="2319"/>
      <c r="B55" s="2320"/>
      <c r="C55" s="2321"/>
      <c r="D55" s="2321"/>
      <c r="E55" s="2321"/>
      <c r="F55" s="2321"/>
      <c r="G55" s="2321"/>
      <c r="H55" s="2321"/>
      <c r="I55" s="2321"/>
      <c r="J55" s="2321"/>
      <c r="K55" s="2322"/>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c r="AS55" s="2321"/>
      <c r="AT55" s="2321"/>
      <c r="AU55" s="2321"/>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2321"/>
      <c r="CI55" s="2321"/>
      <c r="CJ55" s="2321"/>
      <c r="CK55" s="2321"/>
      <c r="CL55" s="2321"/>
      <c r="CM55" s="2321"/>
      <c r="CN55" s="2321"/>
      <c r="CO55" s="2321"/>
      <c r="CP55" s="2321"/>
      <c r="CQ55" s="2321"/>
      <c r="CR55" s="2321"/>
      <c r="CS55" s="2321"/>
      <c r="CT55" s="2321"/>
      <c r="CU55" s="2321"/>
      <c r="CV55" s="2321"/>
      <c r="CW55" s="2321"/>
      <c r="CX55" s="2321"/>
      <c r="CY55" s="2321"/>
      <c r="CZ55" s="2321"/>
      <c r="DA55" s="2321"/>
      <c r="DB55" s="2323"/>
      <c r="DC55" s="2321"/>
      <c r="DD55" s="2321"/>
      <c r="DE55" s="2321"/>
      <c r="DF55" s="2321"/>
      <c r="DG55" s="2321"/>
      <c r="DH55" s="2321"/>
      <c r="DI55" s="2321"/>
      <c r="DJ55" s="2321"/>
      <c r="DK55" s="2321"/>
      <c r="DL55" s="2321"/>
      <c r="DM55" s="2321"/>
      <c r="DN55" s="2321"/>
      <c r="DO55" s="2321"/>
      <c r="DP55" s="2321"/>
      <c r="DQ55" s="2321"/>
      <c r="DR55" s="2321"/>
      <c r="DS55" s="2321"/>
      <c r="DT55" s="2321"/>
      <c r="DU55" s="2321"/>
      <c r="DV55" s="2321"/>
      <c r="DW55" s="2323"/>
      <c r="DX55" s="2323"/>
      <c r="DY55" s="2323"/>
      <c r="DZ55" s="2323"/>
      <c r="EA55" s="2321"/>
      <c r="EB55" s="2321"/>
      <c r="EC55" s="2321"/>
      <c r="ED55" s="2321"/>
      <c r="EE55" s="2321"/>
      <c r="EF55" s="2321"/>
      <c r="EG55" s="2321"/>
      <c r="EH55" s="2321"/>
      <c r="EI55" s="2321"/>
      <c r="EJ55" s="2321"/>
      <c r="EK55" s="2321"/>
      <c r="EL55" s="2321"/>
      <c r="EM55" s="2321"/>
      <c r="EN55" s="2321"/>
      <c r="EO55" s="2321"/>
      <c r="EP55" s="2321"/>
      <c r="EQ55" s="2321"/>
      <c r="ER55" s="2321"/>
      <c r="ES55" s="2321"/>
      <c r="ET55" s="2321"/>
      <c r="EU55" s="2321"/>
      <c r="EV55" s="2321"/>
      <c r="EW55" s="2321"/>
      <c r="EX55" s="2321"/>
      <c r="EY55" s="2321"/>
      <c r="EZ55" s="2321"/>
      <c r="FA55" s="2321"/>
      <c r="FB55" s="2321"/>
    </row>
    <row r="56" spans="1:158" s="2257" customFormat="1">
      <c r="A56" s="2319"/>
      <c r="B56" s="2320"/>
      <c r="C56" s="2321"/>
      <c r="D56" s="2321"/>
      <c r="E56" s="2321"/>
      <c r="F56" s="2321"/>
      <c r="G56" s="2321"/>
      <c r="H56" s="2321"/>
      <c r="I56" s="2321"/>
      <c r="J56" s="2321"/>
      <c r="K56" s="2322"/>
      <c r="L56" s="2321"/>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T56" s="2321"/>
      <c r="AU56" s="2321"/>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2321"/>
      <c r="CI56" s="2321"/>
      <c r="CJ56" s="2321"/>
      <c r="CK56" s="2321"/>
      <c r="CL56" s="2321"/>
      <c r="CM56" s="2321"/>
      <c r="CN56" s="2321"/>
      <c r="CO56" s="2321"/>
      <c r="CP56" s="2321"/>
      <c r="CQ56" s="2321"/>
      <c r="CR56" s="2321"/>
      <c r="CS56" s="2321"/>
      <c r="CT56" s="2321"/>
      <c r="CU56" s="2321"/>
      <c r="CV56" s="2321"/>
      <c r="CW56" s="2321"/>
      <c r="CX56" s="2321"/>
      <c r="CY56" s="2321"/>
      <c r="CZ56" s="2321"/>
      <c r="DA56" s="2321"/>
      <c r="DB56" s="2323"/>
      <c r="DC56" s="2321"/>
      <c r="DD56" s="2321"/>
      <c r="DE56" s="2321"/>
      <c r="DF56" s="2321"/>
      <c r="DG56" s="2321"/>
      <c r="DH56" s="2321"/>
      <c r="DI56" s="2321"/>
      <c r="DJ56" s="2321"/>
      <c r="DK56" s="2321"/>
      <c r="DL56" s="2321"/>
      <c r="DM56" s="2321"/>
      <c r="DN56" s="2321"/>
      <c r="DO56" s="2321"/>
      <c r="DP56" s="2321"/>
      <c r="DQ56" s="2321"/>
      <c r="DR56" s="2321"/>
      <c r="DS56" s="2321"/>
      <c r="DT56" s="2321"/>
      <c r="DU56" s="2321"/>
      <c r="DV56" s="2321"/>
      <c r="DW56" s="2323"/>
      <c r="DX56" s="2323"/>
      <c r="DY56" s="2323"/>
      <c r="DZ56" s="2323"/>
      <c r="EA56" s="2321"/>
      <c r="EB56" s="2321"/>
      <c r="EC56" s="2321"/>
      <c r="ED56" s="2321"/>
      <c r="EE56" s="2321"/>
      <c r="EF56" s="2321"/>
      <c r="EG56" s="2321"/>
      <c r="EH56" s="2321"/>
      <c r="EI56" s="2321"/>
      <c r="EJ56" s="2321"/>
      <c r="EK56" s="2321"/>
      <c r="EL56" s="2321"/>
      <c r="EM56" s="2321"/>
      <c r="EN56" s="2321"/>
      <c r="EO56" s="2321"/>
      <c r="EP56" s="2321"/>
      <c r="EQ56" s="2321"/>
      <c r="ER56" s="2321"/>
      <c r="ES56" s="2321"/>
      <c r="ET56" s="2321"/>
      <c r="EU56" s="2321"/>
      <c r="EV56" s="2321"/>
      <c r="EW56" s="2321"/>
      <c r="EX56" s="2321"/>
      <c r="EY56" s="2321"/>
      <c r="EZ56" s="2321"/>
      <c r="FA56" s="2321"/>
      <c r="FB56" s="2321"/>
    </row>
    <row r="57" spans="1:158" s="2257" customFormat="1">
      <c r="A57" s="2319"/>
      <c r="B57" s="2320"/>
      <c r="C57" s="2321"/>
      <c r="D57" s="2321"/>
      <c r="E57" s="2321"/>
      <c r="F57" s="2321"/>
      <c r="G57" s="2321"/>
      <c r="H57" s="2321"/>
      <c r="I57" s="2321"/>
      <c r="J57" s="2321"/>
      <c r="K57" s="2322"/>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c r="AS57" s="2321"/>
      <c r="AT57" s="2321"/>
      <c r="AU57" s="2321"/>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2321"/>
      <c r="CI57" s="2321"/>
      <c r="CJ57" s="2321"/>
      <c r="CK57" s="2321"/>
      <c r="CL57" s="2321"/>
      <c r="CM57" s="2321"/>
      <c r="CN57" s="2321"/>
      <c r="CO57" s="2321"/>
      <c r="CP57" s="2321"/>
      <c r="CQ57" s="2321"/>
      <c r="CR57" s="2321"/>
      <c r="CS57" s="2321"/>
      <c r="CT57" s="2321"/>
      <c r="CU57" s="2321"/>
      <c r="CV57" s="2321"/>
      <c r="CW57" s="2321"/>
      <c r="CX57" s="2321"/>
      <c r="CY57" s="2321"/>
      <c r="CZ57" s="2321"/>
      <c r="DA57" s="2321"/>
      <c r="DB57" s="2323"/>
      <c r="DC57" s="2321"/>
      <c r="DD57" s="2321"/>
      <c r="DE57" s="2321"/>
      <c r="DF57" s="2321"/>
      <c r="DG57" s="2321"/>
      <c r="DH57" s="2321"/>
      <c r="DI57" s="2321"/>
      <c r="DJ57" s="2321"/>
      <c r="DK57" s="2321"/>
      <c r="DL57" s="2321"/>
      <c r="DM57" s="2321"/>
      <c r="DN57" s="2321"/>
      <c r="DO57" s="2321"/>
      <c r="DP57" s="2321"/>
      <c r="DQ57" s="2321"/>
      <c r="DR57" s="2321"/>
      <c r="DS57" s="2321"/>
      <c r="DT57" s="2321"/>
      <c r="DU57" s="2321"/>
      <c r="DV57" s="2321"/>
      <c r="DW57" s="2323"/>
      <c r="DX57" s="2323"/>
      <c r="DY57" s="2323"/>
      <c r="DZ57" s="2323"/>
      <c r="EA57" s="2321"/>
      <c r="EB57" s="2321"/>
      <c r="EC57" s="2321"/>
      <c r="ED57" s="2321"/>
      <c r="EE57" s="2321"/>
      <c r="EF57" s="2321"/>
      <c r="EG57" s="2321"/>
      <c r="EH57" s="2321"/>
      <c r="EI57" s="2321"/>
      <c r="EJ57" s="2321"/>
      <c r="EK57" s="2321"/>
      <c r="EL57" s="2321"/>
      <c r="EM57" s="2321"/>
      <c r="EN57" s="2321"/>
      <c r="EO57" s="2321"/>
      <c r="EP57" s="2321"/>
      <c r="EQ57" s="2321"/>
      <c r="ER57" s="2321"/>
      <c r="ES57" s="2321"/>
      <c r="ET57" s="2321"/>
      <c r="EU57" s="2321"/>
      <c r="EV57" s="2321"/>
      <c r="EW57" s="2321"/>
      <c r="EX57" s="2321"/>
      <c r="EY57" s="2321"/>
      <c r="EZ57" s="2321"/>
      <c r="FA57" s="2321"/>
      <c r="FB57" s="2321"/>
    </row>
    <row r="58" spans="1:158" s="2257" customFormat="1">
      <c r="A58" s="2319"/>
      <c r="B58" s="2320"/>
      <c r="C58" s="2321"/>
      <c r="D58" s="2321"/>
      <c r="E58" s="2321"/>
      <c r="F58" s="2321"/>
      <c r="G58" s="2321"/>
      <c r="H58" s="2321"/>
      <c r="I58" s="2321"/>
      <c r="J58" s="2321"/>
      <c r="K58" s="2322"/>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2321"/>
      <c r="CI58" s="2321"/>
      <c r="CJ58" s="2321"/>
      <c r="CK58" s="2321"/>
      <c r="CL58" s="2321"/>
      <c r="CM58" s="2321"/>
      <c r="CN58" s="2321"/>
      <c r="CO58" s="2321"/>
      <c r="CP58" s="2321"/>
      <c r="CQ58" s="2321"/>
      <c r="CR58" s="2321"/>
      <c r="CS58" s="2321"/>
      <c r="CT58" s="2321"/>
      <c r="CU58" s="2321"/>
      <c r="CV58" s="2321"/>
      <c r="CW58" s="2321"/>
      <c r="CX58" s="2321"/>
      <c r="CY58" s="2321"/>
      <c r="CZ58" s="2321"/>
      <c r="DA58" s="2321"/>
      <c r="DB58" s="2323"/>
      <c r="DC58" s="2321"/>
      <c r="DD58" s="2321"/>
      <c r="DE58" s="2321"/>
      <c r="DF58" s="2321"/>
      <c r="DG58" s="2321"/>
      <c r="DH58" s="2321"/>
      <c r="DI58" s="2321"/>
      <c r="DJ58" s="2321"/>
      <c r="DK58" s="2321"/>
      <c r="DL58" s="2321"/>
      <c r="DM58" s="2321"/>
      <c r="DN58" s="2321"/>
      <c r="DO58" s="2321"/>
      <c r="DP58" s="2321"/>
      <c r="DQ58" s="2321"/>
      <c r="DR58" s="2321"/>
      <c r="DS58" s="2321"/>
      <c r="DT58" s="2321"/>
      <c r="DU58" s="2321"/>
      <c r="DV58" s="2321"/>
      <c r="DW58" s="2323"/>
      <c r="DX58" s="2323"/>
      <c r="DY58" s="2323"/>
      <c r="DZ58" s="2323"/>
      <c r="EA58" s="2321"/>
      <c r="EB58" s="2321"/>
      <c r="EC58" s="2321"/>
      <c r="ED58" s="2321"/>
      <c r="EE58" s="2321"/>
      <c r="EF58" s="2321"/>
      <c r="EG58" s="2321"/>
      <c r="EH58" s="2321"/>
      <c r="EI58" s="2321"/>
      <c r="EJ58" s="2321"/>
      <c r="EK58" s="2321"/>
      <c r="EL58" s="2321"/>
      <c r="EM58" s="2321"/>
      <c r="EN58" s="2321"/>
      <c r="EO58" s="2321"/>
      <c r="EP58" s="2321"/>
      <c r="EQ58" s="2321"/>
      <c r="ER58" s="2321"/>
      <c r="ES58" s="2321"/>
      <c r="ET58" s="2321"/>
      <c r="EU58" s="2321"/>
      <c r="EV58" s="2321"/>
      <c r="EW58" s="2321"/>
      <c r="EX58" s="2321"/>
      <c r="EY58" s="2321"/>
      <c r="EZ58" s="2321"/>
      <c r="FA58" s="2321"/>
      <c r="FB58" s="2321"/>
    </row>
    <row r="59" spans="1:158" s="2257" customFormat="1">
      <c r="A59" s="2319"/>
      <c r="B59" s="2320"/>
      <c r="C59" s="2321"/>
      <c r="D59" s="2321"/>
      <c r="E59" s="2321"/>
      <c r="F59" s="2321"/>
      <c r="G59" s="2321"/>
      <c r="H59" s="2321"/>
      <c r="I59" s="2321"/>
      <c r="J59" s="2321"/>
      <c r="K59" s="2322"/>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2321"/>
      <c r="CI59" s="2321"/>
      <c r="CJ59" s="2321"/>
      <c r="CK59" s="2321"/>
      <c r="CL59" s="2321"/>
      <c r="CM59" s="2321"/>
      <c r="CN59" s="2321"/>
      <c r="CO59" s="2321"/>
      <c r="CP59" s="2321"/>
      <c r="CQ59" s="2321"/>
      <c r="CR59" s="2321"/>
      <c r="CS59" s="2321"/>
      <c r="CT59" s="2321"/>
      <c r="CU59" s="2321"/>
      <c r="CV59" s="2321"/>
      <c r="CW59" s="2321"/>
      <c r="CX59" s="2321"/>
      <c r="CY59" s="2321"/>
      <c r="CZ59" s="2321"/>
      <c r="DA59" s="2321"/>
      <c r="DB59" s="2323"/>
      <c r="DC59" s="2321"/>
      <c r="DD59" s="2321"/>
      <c r="DE59" s="2321"/>
      <c r="DF59" s="2321"/>
      <c r="DG59" s="2321"/>
      <c r="DH59" s="2321"/>
      <c r="DI59" s="2321"/>
      <c r="DJ59" s="2321"/>
      <c r="DK59" s="2321"/>
      <c r="DL59" s="2321"/>
      <c r="DM59" s="2321"/>
      <c r="DN59" s="2321"/>
      <c r="DO59" s="2321"/>
      <c r="DP59" s="2321"/>
      <c r="DQ59" s="2321"/>
      <c r="DR59" s="2321"/>
      <c r="DS59" s="2321"/>
      <c r="DT59" s="2321"/>
      <c r="DU59" s="2321"/>
      <c r="DV59" s="2321"/>
      <c r="DW59" s="2323"/>
      <c r="DX59" s="2323"/>
      <c r="DY59" s="2323"/>
      <c r="DZ59" s="2323"/>
      <c r="EA59" s="2321"/>
      <c r="EB59" s="2321"/>
      <c r="EC59" s="2321"/>
      <c r="ED59" s="2321"/>
      <c r="EE59" s="2321"/>
      <c r="EF59" s="2321"/>
      <c r="EG59" s="2321"/>
      <c r="EH59" s="2321"/>
      <c r="EI59" s="2321"/>
      <c r="EJ59" s="2321"/>
      <c r="EK59" s="2321"/>
      <c r="EL59" s="2321"/>
      <c r="EM59" s="2321"/>
      <c r="EN59" s="2321"/>
      <c r="EO59" s="2321"/>
      <c r="EP59" s="2321"/>
      <c r="EQ59" s="2321"/>
      <c r="ER59" s="2321"/>
      <c r="ES59" s="2321"/>
      <c r="ET59" s="2321"/>
      <c r="EU59" s="2321"/>
      <c r="EV59" s="2321"/>
      <c r="EW59" s="2321"/>
      <c r="EX59" s="2321"/>
      <c r="EY59" s="2321"/>
      <c r="EZ59" s="2321"/>
      <c r="FA59" s="2321"/>
      <c r="FB59" s="2321"/>
    </row>
    <row r="60" spans="1:158" s="2257" customFormat="1">
      <c r="A60" s="2319"/>
      <c r="B60" s="2320"/>
      <c r="C60" s="2321"/>
      <c r="D60" s="2321"/>
      <c r="E60" s="2321"/>
      <c r="F60" s="2321"/>
      <c r="G60" s="2321"/>
      <c r="H60" s="2321"/>
      <c r="I60" s="2321"/>
      <c r="J60" s="2321"/>
      <c r="K60" s="2322"/>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c r="CE60" s="2321"/>
      <c r="CF60" s="2321"/>
      <c r="CG60" s="2321"/>
      <c r="CH60" s="2321"/>
      <c r="CI60" s="2321"/>
      <c r="CJ60" s="2321"/>
      <c r="CK60" s="2321"/>
      <c r="CL60" s="2321"/>
      <c r="CM60" s="2321"/>
      <c r="CN60" s="2321"/>
      <c r="CO60" s="2321"/>
      <c r="CP60" s="2321"/>
      <c r="CQ60" s="2321"/>
      <c r="CR60" s="2321"/>
      <c r="CS60" s="2321"/>
      <c r="CT60" s="2321"/>
      <c r="CU60" s="2321"/>
      <c r="CV60" s="2321"/>
      <c r="CW60" s="2321"/>
      <c r="CX60" s="2321"/>
      <c r="CY60" s="2321"/>
      <c r="CZ60" s="2321"/>
      <c r="DA60" s="2321"/>
      <c r="DB60" s="2323"/>
      <c r="DC60" s="2321"/>
      <c r="DD60" s="2321"/>
      <c r="DE60" s="2321"/>
      <c r="DF60" s="2321"/>
      <c r="DG60" s="2321"/>
      <c r="DH60" s="2321"/>
      <c r="DI60" s="2321"/>
      <c r="DJ60" s="2321"/>
      <c r="DK60" s="2321"/>
      <c r="DL60" s="2321"/>
      <c r="DM60" s="2321"/>
      <c r="DN60" s="2321"/>
      <c r="DO60" s="2321"/>
      <c r="DP60" s="2321"/>
      <c r="DQ60" s="2321"/>
      <c r="DR60" s="2321"/>
      <c r="DS60" s="2321"/>
      <c r="DT60" s="2321"/>
      <c r="DU60" s="2321"/>
      <c r="DV60" s="2321"/>
      <c r="DW60" s="2323"/>
      <c r="DX60" s="2323"/>
      <c r="DY60" s="2323"/>
      <c r="DZ60" s="2323"/>
      <c r="EA60" s="2321"/>
      <c r="EB60" s="2321"/>
      <c r="EC60" s="2321"/>
      <c r="ED60" s="2321"/>
      <c r="EE60" s="2321"/>
      <c r="EF60" s="2321"/>
      <c r="EG60" s="2321"/>
      <c r="EH60" s="2321"/>
      <c r="EI60" s="2321"/>
      <c r="EJ60" s="2321"/>
      <c r="EK60" s="2321"/>
      <c r="EL60" s="2321"/>
      <c r="EM60" s="2321"/>
      <c r="EN60" s="2321"/>
      <c r="EO60" s="2321"/>
      <c r="EP60" s="2321"/>
      <c r="EQ60" s="2321"/>
      <c r="ER60" s="2321"/>
      <c r="ES60" s="2321"/>
      <c r="ET60" s="2321"/>
      <c r="EU60" s="2321"/>
      <c r="EV60" s="2321"/>
      <c r="EW60" s="2321"/>
      <c r="EX60" s="2321"/>
      <c r="EY60" s="2321"/>
      <c r="EZ60" s="2321"/>
      <c r="FA60" s="2321"/>
      <c r="FB60" s="2321"/>
    </row>
    <row r="61" spans="1:158" s="2257" customFormat="1">
      <c r="A61" s="2319"/>
      <c r="B61" s="2320"/>
      <c r="C61" s="2321"/>
      <c r="D61" s="2321"/>
      <c r="E61" s="2321"/>
      <c r="F61" s="2321"/>
      <c r="G61" s="2321"/>
      <c r="H61" s="2321"/>
      <c r="I61" s="2321"/>
      <c r="J61" s="2321"/>
      <c r="K61" s="2322"/>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c r="AS61" s="2321"/>
      <c r="AT61" s="2321"/>
      <c r="AU61" s="2321"/>
      <c r="AV61" s="2321"/>
      <c r="AW61" s="2321"/>
      <c r="AX61" s="2321"/>
      <c r="AY61" s="2321"/>
      <c r="AZ61" s="2321"/>
      <c r="BA61" s="2321"/>
      <c r="BB61" s="2321"/>
      <c r="BC61" s="2321"/>
      <c r="BD61" s="2321"/>
      <c r="BE61" s="2321"/>
      <c r="BF61" s="2321"/>
      <c r="BG61" s="2321"/>
      <c r="BH61" s="2321"/>
      <c r="BI61" s="2321"/>
      <c r="BJ61" s="2321"/>
      <c r="BK61" s="2321"/>
      <c r="BL61" s="2321"/>
      <c r="BM61" s="2321"/>
      <c r="BN61" s="2321"/>
      <c r="BO61" s="2321"/>
      <c r="BP61" s="2321"/>
      <c r="BQ61" s="2321"/>
      <c r="BR61" s="2321"/>
      <c r="BS61" s="2321"/>
      <c r="BT61" s="2321"/>
      <c r="BU61" s="2321"/>
      <c r="BV61" s="2321"/>
      <c r="BW61" s="2321"/>
      <c r="BX61" s="2321"/>
      <c r="BY61" s="2321"/>
      <c r="BZ61" s="2321"/>
      <c r="CA61" s="2321"/>
      <c r="CB61" s="2321"/>
      <c r="CC61" s="2321"/>
      <c r="CD61" s="2321"/>
      <c r="CE61" s="2321"/>
      <c r="CF61" s="2321"/>
      <c r="CG61" s="2321"/>
      <c r="CH61" s="2321"/>
      <c r="CI61" s="2321"/>
      <c r="CJ61" s="2321"/>
      <c r="CK61" s="2321"/>
      <c r="CL61" s="2321"/>
      <c r="CM61" s="2321"/>
      <c r="CN61" s="2321"/>
      <c r="CO61" s="2321"/>
      <c r="CP61" s="2321"/>
      <c r="CQ61" s="2321"/>
      <c r="CR61" s="2321"/>
      <c r="CS61" s="2321"/>
      <c r="CT61" s="2321"/>
      <c r="CU61" s="2321"/>
      <c r="CV61" s="2321"/>
      <c r="CW61" s="2321"/>
      <c r="CX61" s="2321"/>
      <c r="CY61" s="2321"/>
      <c r="CZ61" s="2321"/>
      <c r="DA61" s="2321"/>
      <c r="DB61" s="2323"/>
      <c r="DC61" s="2321"/>
      <c r="DD61" s="2321"/>
      <c r="DE61" s="2321"/>
      <c r="DF61" s="2321"/>
      <c r="DG61" s="2321"/>
      <c r="DH61" s="2321"/>
      <c r="DI61" s="2321"/>
      <c r="DJ61" s="2321"/>
      <c r="DK61" s="2321"/>
      <c r="DL61" s="2321"/>
      <c r="DM61" s="2321"/>
      <c r="DN61" s="2321"/>
      <c r="DO61" s="2321"/>
      <c r="DP61" s="2321"/>
      <c r="DQ61" s="2321"/>
      <c r="DR61" s="2321"/>
      <c r="DS61" s="2321"/>
      <c r="DT61" s="2321"/>
      <c r="DU61" s="2321"/>
      <c r="DV61" s="2321"/>
      <c r="DW61" s="2323"/>
      <c r="DX61" s="2323"/>
      <c r="DY61" s="2323"/>
      <c r="DZ61" s="2323"/>
      <c r="EA61" s="2321"/>
      <c r="EB61" s="2321"/>
      <c r="EC61" s="2321"/>
      <c r="ED61" s="2321"/>
      <c r="EE61" s="2321"/>
      <c r="EF61" s="2321"/>
      <c r="EG61" s="2321"/>
      <c r="EH61" s="2321"/>
      <c r="EI61" s="2321"/>
      <c r="EJ61" s="2321"/>
      <c r="EK61" s="2321"/>
      <c r="EL61" s="2321"/>
      <c r="EM61" s="2321"/>
      <c r="EN61" s="2321"/>
      <c r="EO61" s="2321"/>
      <c r="EP61" s="2321"/>
      <c r="EQ61" s="2321"/>
      <c r="ER61" s="2321"/>
      <c r="ES61" s="2321"/>
      <c r="ET61" s="2321"/>
      <c r="EU61" s="2321"/>
      <c r="EV61" s="2321"/>
      <c r="EW61" s="2321"/>
      <c r="EX61" s="2321"/>
      <c r="EY61" s="2321"/>
      <c r="EZ61" s="2321"/>
      <c r="FA61" s="2321"/>
      <c r="FB61" s="2321"/>
    </row>
    <row r="62" spans="1:158" s="2257" customFormat="1">
      <c r="A62" s="2319"/>
      <c r="B62" s="2320"/>
      <c r="C62" s="2321"/>
      <c r="D62" s="2321"/>
      <c r="E62" s="2321"/>
      <c r="F62" s="2321"/>
      <c r="G62" s="2321"/>
      <c r="H62" s="2321"/>
      <c r="I62" s="2321"/>
      <c r="J62" s="2321"/>
      <c r="K62" s="2322"/>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1"/>
      <c r="BM62" s="2321"/>
      <c r="BN62" s="2321"/>
      <c r="BO62" s="2321"/>
      <c r="BP62" s="2321"/>
      <c r="BQ62" s="2321"/>
      <c r="BR62" s="2321"/>
      <c r="BS62" s="2321"/>
      <c r="BT62" s="2321"/>
      <c r="BU62" s="2321"/>
      <c r="BV62" s="2321"/>
      <c r="BW62" s="2321"/>
      <c r="BX62" s="2321"/>
      <c r="BY62" s="2321"/>
      <c r="BZ62" s="2321"/>
      <c r="CA62" s="2321"/>
      <c r="CB62" s="2321"/>
      <c r="CC62" s="2321"/>
      <c r="CD62" s="2321"/>
      <c r="CE62" s="2321"/>
      <c r="CF62" s="2321"/>
      <c r="CG62" s="2321"/>
      <c r="CH62" s="2321"/>
      <c r="CI62" s="2321"/>
      <c r="CJ62" s="2321"/>
      <c r="CK62" s="2321"/>
      <c r="CL62" s="2321"/>
      <c r="CM62" s="2321"/>
      <c r="CN62" s="2321"/>
      <c r="CO62" s="2321"/>
      <c r="CP62" s="2321"/>
      <c r="CQ62" s="2321"/>
      <c r="CR62" s="2321"/>
      <c r="CS62" s="2321"/>
      <c r="CT62" s="2321"/>
      <c r="CU62" s="2321"/>
      <c r="CV62" s="2321"/>
      <c r="CW62" s="2321"/>
      <c r="CX62" s="2321"/>
      <c r="CY62" s="2321"/>
      <c r="CZ62" s="2321"/>
      <c r="DA62" s="2321"/>
      <c r="DB62" s="2323"/>
      <c r="DC62" s="2321"/>
      <c r="DD62" s="2321"/>
      <c r="DE62" s="2321"/>
      <c r="DF62" s="2321"/>
      <c r="DG62" s="2321"/>
      <c r="DH62" s="2321"/>
      <c r="DI62" s="2321"/>
      <c r="DJ62" s="2321"/>
      <c r="DK62" s="2321"/>
      <c r="DL62" s="2321"/>
      <c r="DM62" s="2321"/>
      <c r="DN62" s="2321"/>
      <c r="DO62" s="2321"/>
      <c r="DP62" s="2321"/>
      <c r="DQ62" s="2321"/>
      <c r="DR62" s="2321"/>
      <c r="DS62" s="2321"/>
      <c r="DT62" s="2321"/>
      <c r="DU62" s="2321"/>
      <c r="DV62" s="2321"/>
      <c r="DW62" s="2323"/>
      <c r="DX62" s="2323"/>
      <c r="DY62" s="2323"/>
      <c r="DZ62" s="2323"/>
      <c r="EA62" s="2321"/>
      <c r="EB62" s="2321"/>
      <c r="EC62" s="2321"/>
      <c r="ED62" s="2321"/>
      <c r="EE62" s="2321"/>
      <c r="EF62" s="2321"/>
      <c r="EG62" s="2321"/>
      <c r="EH62" s="2321"/>
      <c r="EI62" s="2321"/>
      <c r="EJ62" s="2321"/>
      <c r="EK62" s="2321"/>
      <c r="EL62" s="2321"/>
      <c r="EM62" s="2321"/>
      <c r="EN62" s="2321"/>
      <c r="EO62" s="2321"/>
      <c r="EP62" s="2321"/>
      <c r="EQ62" s="2321"/>
      <c r="ER62" s="2321"/>
      <c r="ES62" s="2321"/>
      <c r="ET62" s="2321"/>
      <c r="EU62" s="2321"/>
      <c r="EV62" s="2321"/>
      <c r="EW62" s="2321"/>
      <c r="EX62" s="2321"/>
      <c r="EY62" s="2321"/>
      <c r="EZ62" s="2321"/>
      <c r="FA62" s="2321"/>
      <c r="FB62" s="2321"/>
    </row>
    <row r="63" spans="1:158" s="2257" customFormat="1">
      <c r="A63" s="2319"/>
      <c r="B63" s="2320"/>
      <c r="C63" s="2321"/>
      <c r="D63" s="2321"/>
      <c r="E63" s="2321"/>
      <c r="F63" s="2321"/>
      <c r="G63" s="2321"/>
      <c r="H63" s="2321"/>
      <c r="I63" s="2321"/>
      <c r="J63" s="2321"/>
      <c r="K63" s="2322"/>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2321"/>
      <c r="BO63" s="2321"/>
      <c r="BP63" s="2321"/>
      <c r="BQ63" s="2321"/>
      <c r="BR63" s="2321"/>
      <c r="BS63" s="2321"/>
      <c r="BT63" s="2321"/>
      <c r="BU63" s="2321"/>
      <c r="BV63" s="2321"/>
      <c r="BW63" s="2321"/>
      <c r="BX63" s="2321"/>
      <c r="BY63" s="2321"/>
      <c r="BZ63" s="2321"/>
      <c r="CA63" s="2321"/>
      <c r="CB63" s="2321"/>
      <c r="CC63" s="2321"/>
      <c r="CD63" s="2321"/>
      <c r="CE63" s="2321"/>
      <c r="CF63" s="2321"/>
      <c r="CG63" s="2321"/>
      <c r="CH63" s="2321"/>
      <c r="CI63" s="2321"/>
      <c r="CJ63" s="2321"/>
      <c r="CK63" s="2321"/>
      <c r="CL63" s="2321"/>
      <c r="CM63" s="2321"/>
      <c r="CN63" s="2321"/>
      <c r="CO63" s="2321"/>
      <c r="CP63" s="2321"/>
      <c r="CQ63" s="2321"/>
      <c r="CR63" s="2321"/>
      <c r="CS63" s="2321"/>
      <c r="CT63" s="2321"/>
      <c r="CU63" s="2321"/>
      <c r="CV63" s="2321"/>
      <c r="CW63" s="2321"/>
      <c r="CX63" s="2321"/>
      <c r="CY63" s="2321"/>
      <c r="CZ63" s="2321"/>
      <c r="DA63" s="2321"/>
      <c r="DB63" s="2323"/>
      <c r="DC63" s="2321"/>
      <c r="DD63" s="2321"/>
      <c r="DE63" s="2321"/>
      <c r="DF63" s="2321"/>
      <c r="DG63" s="2321"/>
      <c r="DH63" s="2321"/>
      <c r="DI63" s="2321"/>
      <c r="DJ63" s="2321"/>
      <c r="DK63" s="2321"/>
      <c r="DL63" s="2321"/>
      <c r="DM63" s="2321"/>
      <c r="DN63" s="2321"/>
      <c r="DO63" s="2321"/>
      <c r="DP63" s="2321"/>
      <c r="DQ63" s="2321"/>
      <c r="DR63" s="2321"/>
      <c r="DS63" s="2321"/>
      <c r="DT63" s="2321"/>
      <c r="DU63" s="2321"/>
      <c r="DV63" s="2321"/>
      <c r="DW63" s="2323"/>
      <c r="DX63" s="2323"/>
      <c r="DY63" s="2323"/>
      <c r="DZ63" s="2323"/>
      <c r="EA63" s="2321"/>
      <c r="EB63" s="2321"/>
      <c r="EC63" s="2321"/>
      <c r="ED63" s="2321"/>
      <c r="EE63" s="2321"/>
      <c r="EF63" s="2321"/>
      <c r="EG63" s="2321"/>
      <c r="EH63" s="2321"/>
      <c r="EI63" s="2321"/>
      <c r="EJ63" s="2321"/>
      <c r="EK63" s="2321"/>
      <c r="EL63" s="2321"/>
      <c r="EM63" s="2321"/>
      <c r="EN63" s="2321"/>
      <c r="EO63" s="2321"/>
      <c r="EP63" s="2321"/>
      <c r="EQ63" s="2321"/>
      <c r="ER63" s="2321"/>
      <c r="ES63" s="2321"/>
      <c r="ET63" s="2321"/>
      <c r="EU63" s="2321"/>
      <c r="EV63" s="2321"/>
      <c r="EW63" s="2321"/>
      <c r="EX63" s="2321"/>
      <c r="EY63" s="2321"/>
      <c r="EZ63" s="2321"/>
      <c r="FA63" s="2321"/>
      <c r="FB63" s="2321"/>
    </row>
    <row r="64" spans="1:158" s="2257" customFormat="1">
      <c r="A64" s="2319"/>
      <c r="B64" s="2320"/>
      <c r="C64" s="2321"/>
      <c r="D64" s="2321"/>
      <c r="E64" s="2321"/>
      <c r="F64" s="2321"/>
      <c r="G64" s="2321"/>
      <c r="H64" s="2321"/>
      <c r="I64" s="2321"/>
      <c r="J64" s="2321"/>
      <c r="K64" s="2322"/>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2321"/>
      <c r="BO64" s="2321"/>
      <c r="BP64" s="2321"/>
      <c r="BQ64" s="2321"/>
      <c r="BR64" s="2321"/>
      <c r="BS64" s="2321"/>
      <c r="BT64" s="2321"/>
      <c r="BU64" s="2321"/>
      <c r="BV64" s="2321"/>
      <c r="BW64" s="2321"/>
      <c r="BX64" s="2321"/>
      <c r="BY64" s="2321"/>
      <c r="BZ64" s="2321"/>
      <c r="CA64" s="2321"/>
      <c r="CB64" s="2321"/>
      <c r="CC64" s="2321"/>
      <c r="CD64" s="2321"/>
      <c r="CE64" s="2321"/>
      <c r="CF64" s="2321"/>
      <c r="CG64" s="2321"/>
      <c r="CH64" s="2321"/>
      <c r="CI64" s="2321"/>
      <c r="CJ64" s="2321"/>
      <c r="CK64" s="2321"/>
      <c r="CL64" s="2321"/>
      <c r="CM64" s="2321"/>
      <c r="CN64" s="2321"/>
      <c r="CO64" s="2321"/>
      <c r="CP64" s="2321"/>
      <c r="CQ64" s="2321"/>
      <c r="CR64" s="2321"/>
      <c r="CS64" s="2321"/>
      <c r="CT64" s="2321"/>
      <c r="CU64" s="2321"/>
      <c r="CV64" s="2321"/>
      <c r="CW64" s="2321"/>
      <c r="CX64" s="2321"/>
      <c r="CY64" s="2321"/>
      <c r="CZ64" s="2321"/>
      <c r="DA64" s="2321"/>
      <c r="DB64" s="2323"/>
      <c r="DC64" s="2321"/>
      <c r="DD64" s="2321"/>
      <c r="DE64" s="2321"/>
      <c r="DF64" s="2321"/>
      <c r="DG64" s="2321"/>
      <c r="DH64" s="2321"/>
      <c r="DI64" s="2321"/>
      <c r="DJ64" s="2321"/>
      <c r="DK64" s="2321"/>
      <c r="DL64" s="2321"/>
      <c r="DM64" s="2321"/>
      <c r="DN64" s="2321"/>
      <c r="DO64" s="2321"/>
      <c r="DP64" s="2321"/>
      <c r="DQ64" s="2321"/>
      <c r="DR64" s="2321"/>
      <c r="DS64" s="2321"/>
      <c r="DT64" s="2321"/>
      <c r="DU64" s="2321"/>
      <c r="DV64" s="2321"/>
      <c r="DW64" s="2323"/>
      <c r="DX64" s="2323"/>
      <c r="DY64" s="2323"/>
      <c r="DZ64" s="2323"/>
      <c r="EA64" s="2321"/>
      <c r="EB64" s="2321"/>
      <c r="EC64" s="2321"/>
      <c r="ED64" s="2321"/>
      <c r="EE64" s="2321"/>
      <c r="EF64" s="2321"/>
      <c r="EG64" s="2321"/>
      <c r="EH64" s="2321"/>
      <c r="EI64" s="2321"/>
      <c r="EJ64" s="2321"/>
      <c r="EK64" s="2321"/>
      <c r="EL64" s="2321"/>
      <c r="EM64" s="2321"/>
      <c r="EN64" s="2321"/>
      <c r="EO64" s="2321"/>
      <c r="EP64" s="2321"/>
      <c r="EQ64" s="2321"/>
      <c r="ER64" s="2321"/>
      <c r="ES64" s="2321"/>
      <c r="ET64" s="2321"/>
      <c r="EU64" s="2321"/>
      <c r="EV64" s="2321"/>
      <c r="EW64" s="2321"/>
      <c r="EX64" s="2321"/>
      <c r="EY64" s="2321"/>
      <c r="EZ64" s="2321"/>
      <c r="FA64" s="2321"/>
      <c r="FB64" s="2321"/>
    </row>
    <row r="65" spans="8:156">
      <c r="H65" s="2307"/>
      <c r="I65" s="2306"/>
      <c r="K65" s="2308"/>
      <c r="U65" s="4794"/>
      <c r="V65" s="2307"/>
      <c r="AH65" s="2307"/>
      <c r="AT65" s="2307"/>
      <c r="BF65" s="2307"/>
      <c r="BR65" s="2307"/>
      <c r="CD65" s="2307"/>
      <c r="CP65" s="2307"/>
      <c r="DB65" s="2307"/>
      <c r="DN65" s="2307"/>
      <c r="DZ65" s="2307"/>
      <c r="EL65" s="2307"/>
      <c r="EX65" s="2307"/>
    </row>
    <row r="66" spans="8:156">
      <c r="H66" s="2307"/>
      <c r="I66" s="2306"/>
      <c r="V66" s="2307"/>
      <c r="AH66" s="2307"/>
      <c r="AT66" s="2307"/>
      <c r="BF66" s="2307"/>
      <c r="BR66" s="2307"/>
      <c r="CD66" s="2307"/>
      <c r="CP66" s="2307"/>
      <c r="DB66" s="2307"/>
      <c r="DN66" s="2307"/>
      <c r="DZ66" s="2307"/>
      <c r="EL66" s="2307"/>
      <c r="EX66" s="2307"/>
    </row>
    <row r="67" spans="8:156">
      <c r="I67" s="2306"/>
    </row>
    <row r="68" spans="8:156">
      <c r="I68" s="2306"/>
    </row>
    <row r="69" spans="8:156">
      <c r="I69" s="2306"/>
    </row>
    <row r="70" spans="8:156">
      <c r="I70" s="2306"/>
      <c r="J70" s="2309"/>
      <c r="V70" s="2309"/>
      <c r="AH70" s="2309"/>
      <c r="AT70" s="2309"/>
      <c r="BF70" s="2309"/>
      <c r="BR70" s="2309"/>
      <c r="CD70" s="2309"/>
      <c r="CP70" s="2309"/>
      <c r="DB70" s="2309"/>
      <c r="DN70" s="2309"/>
      <c r="DZ70" s="2309"/>
      <c r="EL70" s="2309"/>
      <c r="EX70" s="2310"/>
    </row>
    <row r="71" spans="8:156">
      <c r="I71" s="2306"/>
      <c r="J71" s="2309"/>
      <c r="V71" s="2309"/>
      <c r="AH71" s="2309"/>
      <c r="AT71" s="2309"/>
      <c r="BF71" s="2309"/>
      <c r="BR71" s="2309"/>
      <c r="CD71" s="2309"/>
      <c r="CP71" s="2309"/>
      <c r="DB71" s="2309"/>
      <c r="DN71" s="2309"/>
      <c r="DZ71" s="2309"/>
      <c r="EL71" s="2309"/>
      <c r="EX71" s="2310"/>
    </row>
    <row r="72" spans="8:156">
      <c r="I72" s="2306"/>
      <c r="J72" s="2309"/>
      <c r="V72" s="2309"/>
      <c r="AH72" s="2309"/>
      <c r="AT72" s="2309"/>
      <c r="BF72" s="2309"/>
      <c r="BR72" s="2309"/>
      <c r="CD72" s="2309"/>
      <c r="CP72" s="2309"/>
      <c r="DB72" s="2309"/>
      <c r="DN72" s="2309"/>
      <c r="DZ72" s="2309"/>
      <c r="EL72" s="2309"/>
      <c r="EX72" s="2310"/>
    </row>
    <row r="73" spans="8:156">
      <c r="I73" s="2306"/>
      <c r="J73" s="2311"/>
      <c r="V73" s="2311"/>
      <c r="AH73" s="2311"/>
      <c r="AT73" s="2311"/>
      <c r="BF73" s="2311"/>
      <c r="BR73" s="2311"/>
      <c r="CD73" s="2311"/>
      <c r="CP73" s="2311"/>
      <c r="DB73" s="2311"/>
      <c r="DN73" s="2311"/>
      <c r="DZ73" s="2311"/>
      <c r="EL73" s="2311"/>
      <c r="EN73" s="2312"/>
      <c r="EX73" s="2313"/>
      <c r="EZ73" s="2312"/>
    </row>
    <row r="74" spans="8:156">
      <c r="I74" s="2306"/>
      <c r="K74" s="2314"/>
      <c r="DO74" s="2307"/>
    </row>
    <row r="75" spans="8:156">
      <c r="K75" s="2314"/>
      <c r="V75" s="2311"/>
      <c r="AG75" s="2315"/>
      <c r="AI75" s="2316"/>
      <c r="AU75" s="2307"/>
      <c r="EX75" s="2317"/>
      <c r="EY75" s="2312"/>
    </row>
    <row r="76" spans="8:156">
      <c r="H76" s="666"/>
      <c r="J76" s="2316"/>
      <c r="EX76" s="2314"/>
      <c r="EY76" s="2245"/>
      <c r="EZ76" s="667"/>
    </row>
    <row r="77" spans="8:156">
      <c r="H77" s="2316"/>
      <c r="J77" s="2318"/>
      <c r="K77" s="2314"/>
      <c r="V77" s="2318"/>
      <c r="AH77" s="2318"/>
      <c r="AT77" s="2318"/>
      <c r="BF77" s="2318"/>
      <c r="BR77" s="2318"/>
      <c r="CD77" s="2318"/>
      <c r="CP77" s="2318"/>
      <c r="DB77" s="2318"/>
      <c r="DN77" s="2318"/>
      <c r="DZ77" s="2318"/>
      <c r="EL77" s="2318"/>
      <c r="EX77" s="2318"/>
      <c r="EY77" s="667"/>
      <c r="EZ77" s="692"/>
    </row>
    <row r="78" spans="8:156">
      <c r="H78" s="2307"/>
      <c r="J78" s="2316"/>
      <c r="AH78" s="2317"/>
      <c r="AI78" s="692"/>
      <c r="EX78" s="2318"/>
      <c r="EY78" s="667"/>
      <c r="EZ78" s="692"/>
    </row>
    <row r="79" spans="8:156">
      <c r="J79" s="2318"/>
      <c r="K79" s="2316"/>
      <c r="AI79" s="2318"/>
      <c r="EZ79" s="667"/>
    </row>
    <row r="80" spans="8:156">
      <c r="J80" s="2316"/>
      <c r="EZ80" s="667"/>
    </row>
    <row r="81" spans="2:156">
      <c r="J81" s="2318"/>
      <c r="K81" s="2314"/>
      <c r="EZ81" s="667"/>
    </row>
    <row r="82" spans="2:156">
      <c r="B82" s="666"/>
      <c r="EZ82" s="2307"/>
    </row>
    <row r="83" spans="2:156">
      <c r="J83" s="2318"/>
      <c r="EY83" s="426"/>
    </row>
    <row r="84" spans="2:156">
      <c r="J84" s="2318"/>
      <c r="K84" s="2314"/>
      <c r="EY84" s="426"/>
    </row>
    <row r="86" spans="2:156">
      <c r="K86" s="2318"/>
      <c r="AI86" s="2318"/>
    </row>
    <row r="87" spans="2:156">
      <c r="AI87" s="2316">
        <f>AI75-AI76-AI79-AI86</f>
        <v>0</v>
      </c>
      <c r="AT87" s="381">
        <f>AT86-AT85</f>
        <v>0</v>
      </c>
    </row>
    <row r="88" spans="2:156">
      <c r="AU88" s="2307">
        <f>AU75-AU76-AT87</f>
        <v>0</v>
      </c>
    </row>
  </sheetData>
  <mergeCells count="228">
    <mergeCell ref="DS4:ED4"/>
    <mergeCell ref="EE4:EP4"/>
    <mergeCell ref="EQ4:FB4"/>
    <mergeCell ref="EQ1:FB1"/>
    <mergeCell ref="A4:A7"/>
    <mergeCell ref="B4:B7"/>
    <mergeCell ref="C4:N4"/>
    <mergeCell ref="O4:Z4"/>
    <mergeCell ref="AA4:AL4"/>
    <mergeCell ref="AM4:AX4"/>
    <mergeCell ref="AY4:BJ4"/>
    <mergeCell ref="BK4:BV4"/>
    <mergeCell ref="BW4:CH4"/>
    <mergeCell ref="BW1:CH1"/>
    <mergeCell ref="CI1:CT1"/>
    <mergeCell ref="CU1:DF1"/>
    <mergeCell ref="DG1:DR1"/>
    <mergeCell ref="DS1:ED1"/>
    <mergeCell ref="EE1:EP1"/>
    <mergeCell ref="C1:N1"/>
    <mergeCell ref="O1:Z1"/>
    <mergeCell ref="AA1:AL1"/>
    <mergeCell ref="AM1:AX1"/>
    <mergeCell ref="AY1:BJ1"/>
    <mergeCell ref="C5:D5"/>
    <mergeCell ref="E5:F5"/>
    <mergeCell ref="G5:H5"/>
    <mergeCell ref="I5:J5"/>
    <mergeCell ref="K5:N5"/>
    <mergeCell ref="O5:P5"/>
    <mergeCell ref="CI4:CT4"/>
    <mergeCell ref="CU4:DF4"/>
    <mergeCell ref="BE5:BF5"/>
    <mergeCell ref="CK5:CL5"/>
    <mergeCell ref="CM5:CN5"/>
    <mergeCell ref="CO5:CP5"/>
    <mergeCell ref="CQ5:CT5"/>
    <mergeCell ref="CU5:CV5"/>
    <mergeCell ref="CW5:CX5"/>
    <mergeCell ref="BW5:BX5"/>
    <mergeCell ref="BY5:BZ5"/>
    <mergeCell ref="CA5:CB5"/>
    <mergeCell ref="CC5:CD5"/>
    <mergeCell ref="CE5:CH5"/>
    <mergeCell ref="CI5:CJ5"/>
    <mergeCell ref="BC5:BD5"/>
    <mergeCell ref="BK1:BV1"/>
    <mergeCell ref="DG4:DR4"/>
    <mergeCell ref="AE5:AF5"/>
    <mergeCell ref="AG5:AH5"/>
    <mergeCell ref="AI5:AL5"/>
    <mergeCell ref="AM5:AN5"/>
    <mergeCell ref="AO5:AP5"/>
    <mergeCell ref="AQ5:AR5"/>
    <mergeCell ref="Q5:R5"/>
    <mergeCell ref="S5:T5"/>
    <mergeCell ref="U5:V5"/>
    <mergeCell ref="W5:Z5"/>
    <mergeCell ref="AA5:AB5"/>
    <mergeCell ref="AC5:AD5"/>
    <mergeCell ref="BG5:BJ5"/>
    <mergeCell ref="BK5:BL5"/>
    <mergeCell ref="BM5:BN5"/>
    <mergeCell ref="BO5:BP5"/>
    <mergeCell ref="BQ5:BR5"/>
    <mergeCell ref="BS5:BV5"/>
    <mergeCell ref="AS5:AT5"/>
    <mergeCell ref="AU5:AX5"/>
    <mergeCell ref="AY5:AZ5"/>
    <mergeCell ref="BA5:BB5"/>
    <mergeCell ref="DM5:DN5"/>
    <mergeCell ref="DO5:DR5"/>
    <mergeCell ref="DS5:DT5"/>
    <mergeCell ref="DU5:DV5"/>
    <mergeCell ref="DW5:DX5"/>
    <mergeCell ref="DY5:DZ5"/>
    <mergeCell ref="CY5:CZ5"/>
    <mergeCell ref="DA5:DB5"/>
    <mergeCell ref="DC5:DF5"/>
    <mergeCell ref="DG5:DH5"/>
    <mergeCell ref="DI5:DJ5"/>
    <mergeCell ref="DK5:DL5"/>
    <mergeCell ref="EQ5:ER5"/>
    <mergeCell ref="ES5:ET5"/>
    <mergeCell ref="EU5:EV5"/>
    <mergeCell ref="EW5:EX5"/>
    <mergeCell ref="EY5:FB5"/>
    <mergeCell ref="FC5:FF5"/>
    <mergeCell ref="EA5:ED5"/>
    <mergeCell ref="EE5:EF5"/>
    <mergeCell ref="EG5:EH5"/>
    <mergeCell ref="EI5:EJ5"/>
    <mergeCell ref="EK5:EL5"/>
    <mergeCell ref="EM5:EP5"/>
    <mergeCell ref="I6:I7"/>
    <mergeCell ref="J6:J7"/>
    <mergeCell ref="K6:L6"/>
    <mergeCell ref="M6:N6"/>
    <mergeCell ref="O6:O7"/>
    <mergeCell ref="P6:P7"/>
    <mergeCell ref="C6:C7"/>
    <mergeCell ref="D6:D7"/>
    <mergeCell ref="E6:E7"/>
    <mergeCell ref="F6:F7"/>
    <mergeCell ref="G6:G7"/>
    <mergeCell ref="H6:H7"/>
    <mergeCell ref="W6:X6"/>
    <mergeCell ref="Y6:Z6"/>
    <mergeCell ref="AA6:AA7"/>
    <mergeCell ref="AB6:AB7"/>
    <mergeCell ref="AC6:AC7"/>
    <mergeCell ref="AD6:AD7"/>
    <mergeCell ref="Q6:Q7"/>
    <mergeCell ref="R6:R7"/>
    <mergeCell ref="S6:S7"/>
    <mergeCell ref="T6:T7"/>
    <mergeCell ref="U6:U7"/>
    <mergeCell ref="V6:V7"/>
    <mergeCell ref="AM6:AM7"/>
    <mergeCell ref="AN6:AN7"/>
    <mergeCell ref="AO6:AO7"/>
    <mergeCell ref="AP6:AP7"/>
    <mergeCell ref="AQ6:AQ7"/>
    <mergeCell ref="AR6:AR7"/>
    <mergeCell ref="AE6:AE7"/>
    <mergeCell ref="AF6:AF7"/>
    <mergeCell ref="AG6:AG7"/>
    <mergeCell ref="AH6:AH7"/>
    <mergeCell ref="AI6:AJ6"/>
    <mergeCell ref="AK6:AL6"/>
    <mergeCell ref="BA6:BA7"/>
    <mergeCell ref="BB6:BB7"/>
    <mergeCell ref="BC6:BC7"/>
    <mergeCell ref="BD6:BD7"/>
    <mergeCell ref="BE6:BE7"/>
    <mergeCell ref="BF6:BF7"/>
    <mergeCell ref="AS6:AS7"/>
    <mergeCell ref="AT6:AT7"/>
    <mergeCell ref="AU6:AV6"/>
    <mergeCell ref="AW6:AX6"/>
    <mergeCell ref="AY6:AY7"/>
    <mergeCell ref="AZ6:AZ7"/>
    <mergeCell ref="BO6:BO7"/>
    <mergeCell ref="BP6:BP7"/>
    <mergeCell ref="BQ6:BQ7"/>
    <mergeCell ref="BR6:BR7"/>
    <mergeCell ref="BS6:BT6"/>
    <mergeCell ref="BU6:BV6"/>
    <mergeCell ref="BG6:BH6"/>
    <mergeCell ref="BI6:BJ6"/>
    <mergeCell ref="BK6:BK7"/>
    <mergeCell ref="BL6:BL7"/>
    <mergeCell ref="BM6:BM7"/>
    <mergeCell ref="BN6:BN7"/>
    <mergeCell ref="CC6:CC7"/>
    <mergeCell ref="CD6:CD7"/>
    <mergeCell ref="CE6:CF6"/>
    <mergeCell ref="CG6:CH6"/>
    <mergeCell ref="CI6:CI7"/>
    <mergeCell ref="CJ6:CJ7"/>
    <mergeCell ref="BW6:BW7"/>
    <mergeCell ref="BX6:BX7"/>
    <mergeCell ref="BY6:BY7"/>
    <mergeCell ref="BZ6:BZ7"/>
    <mergeCell ref="CA6:CA7"/>
    <mergeCell ref="CB6:CB7"/>
    <mergeCell ref="CQ6:CR6"/>
    <mergeCell ref="CS6:CT6"/>
    <mergeCell ref="CU6:CU7"/>
    <mergeCell ref="CV6:CV7"/>
    <mergeCell ref="CW6:CW7"/>
    <mergeCell ref="CX6:CX7"/>
    <mergeCell ref="CK6:CK7"/>
    <mergeCell ref="CL6:CL7"/>
    <mergeCell ref="CM6:CM7"/>
    <mergeCell ref="CN6:CN7"/>
    <mergeCell ref="CO6:CO7"/>
    <mergeCell ref="CP6:CP7"/>
    <mergeCell ref="DG6:DG7"/>
    <mergeCell ref="DH6:DH7"/>
    <mergeCell ref="DI6:DI7"/>
    <mergeCell ref="DJ6:DJ7"/>
    <mergeCell ref="DK6:DK7"/>
    <mergeCell ref="DL6:DL7"/>
    <mergeCell ref="CY6:CY7"/>
    <mergeCell ref="CZ6:CZ7"/>
    <mergeCell ref="DA6:DA7"/>
    <mergeCell ref="DB6:DB7"/>
    <mergeCell ref="DC6:DD6"/>
    <mergeCell ref="DE6:DF6"/>
    <mergeCell ref="DU6:DU7"/>
    <mergeCell ref="DV6:DV7"/>
    <mergeCell ref="DW6:DW7"/>
    <mergeCell ref="DX6:DX7"/>
    <mergeCell ref="DY6:DY7"/>
    <mergeCell ref="DZ6:DZ7"/>
    <mergeCell ref="DM6:DM7"/>
    <mergeCell ref="DN6:DN7"/>
    <mergeCell ref="DO6:DP6"/>
    <mergeCell ref="DQ6:DR6"/>
    <mergeCell ref="DS6:DS7"/>
    <mergeCell ref="DT6:DT7"/>
    <mergeCell ref="EI6:EI7"/>
    <mergeCell ref="EJ6:EJ7"/>
    <mergeCell ref="EK6:EK7"/>
    <mergeCell ref="EL6:EL7"/>
    <mergeCell ref="EM6:EN6"/>
    <mergeCell ref="EO6:EP6"/>
    <mergeCell ref="EA6:EB6"/>
    <mergeCell ref="EC6:ED6"/>
    <mergeCell ref="EE6:EE7"/>
    <mergeCell ref="EF6:EF7"/>
    <mergeCell ref="EG6:EG7"/>
    <mergeCell ref="EH6:EH7"/>
    <mergeCell ref="FE6:FE7"/>
    <mergeCell ref="FF6:FF7"/>
    <mergeCell ref="EW6:EW7"/>
    <mergeCell ref="EX6:EX7"/>
    <mergeCell ref="EY6:EZ6"/>
    <mergeCell ref="FA6:FB6"/>
    <mergeCell ref="FC6:FC7"/>
    <mergeCell ref="FD6:FD7"/>
    <mergeCell ref="EQ6:EQ7"/>
    <mergeCell ref="ER6:ER7"/>
    <mergeCell ref="ES6:ES7"/>
    <mergeCell ref="ET6:ET7"/>
    <mergeCell ref="EU6:EU7"/>
    <mergeCell ref="EV6:EV7"/>
  </mergeCells>
  <hyperlinks>
    <hyperlink ref="A4:A7" location="'Danh mục file'!A1" display="STT"/>
  </hyperlinks>
  <printOptions horizontalCentered="1"/>
  <pageMargins left="0" right="0" top="0.39370078740157483" bottom="0" header="0" footer="0"/>
  <pageSetup paperSize="9" scale="50" orientation="portrait" r:id="rId1"/>
  <headerFooter>
    <oddHeader>&amp;R&amp;"Times New Roman,Regular"&amp;10&amp;A</oddHeader>
    <oddFooter>&amp;C&amp;"Times New Roman,Regular"&amp;10&amp;P/&amp;N</oddFooter>
  </headerFooter>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Y49"/>
  <sheetViews>
    <sheetView workbookViewId="0">
      <selection activeCell="U14" sqref="U14"/>
    </sheetView>
  </sheetViews>
  <sheetFormatPr defaultColWidth="10.33203125" defaultRowHeight="18"/>
  <cols>
    <col min="1" max="1" width="6.5546875" style="583" customWidth="1"/>
    <col min="2" max="2" width="48.5546875" style="381" customWidth="1"/>
    <col min="3" max="5" width="18" style="2510" customWidth="1"/>
    <col min="6" max="11" width="11.6640625" style="2510" hidden="1" customWidth="1"/>
    <col min="12" max="12" width="51.109375" style="381" customWidth="1"/>
    <col min="13" max="13" width="10.33203125" style="381"/>
    <col min="14" max="19" width="14.88671875" style="583" hidden="1" customWidth="1"/>
    <col min="20" max="16384" width="10.33203125" style="381"/>
  </cols>
  <sheetData>
    <row r="1" spans="1:19">
      <c r="A1" s="6281" t="s">
        <v>3154</v>
      </c>
      <c r="B1" s="6281"/>
      <c r="C1" s="6281"/>
      <c r="D1" s="6281"/>
      <c r="E1" s="6281"/>
      <c r="F1" s="6281"/>
      <c r="G1" s="6281"/>
      <c r="H1" s="6281"/>
      <c r="I1" s="6281"/>
      <c r="J1" s="6281"/>
      <c r="K1" s="6281"/>
      <c r="L1" s="6281"/>
    </row>
    <row r="2" spans="1:19">
      <c r="A2" s="6325" t="str">
        <f>'[31]Phụ lục số 6'!A2:O2</f>
        <v>(Kèm theo Báo cáo số         /BC-UBND ngày      tháng 11 năm 2023 của Ủy ban nhân dân tỉnh Đồng Tháp)</v>
      </c>
      <c r="B2" s="6325"/>
      <c r="C2" s="6325"/>
      <c r="D2" s="6325"/>
      <c r="E2" s="6325"/>
      <c r="F2" s="6325"/>
      <c r="G2" s="6325"/>
      <c r="H2" s="6325"/>
      <c r="I2" s="6325"/>
      <c r="J2" s="6325"/>
      <c r="K2" s="6325"/>
      <c r="L2" s="6325"/>
    </row>
    <row r="3" spans="1:19">
      <c r="A3" s="641"/>
      <c r="B3" s="641"/>
    </row>
    <row r="5" spans="1:19" s="386" customFormat="1" ht="17.399999999999999">
      <c r="A5" s="6073" t="s">
        <v>247</v>
      </c>
      <c r="B5" s="6044" t="s">
        <v>1526</v>
      </c>
      <c r="C5" s="6044" t="s">
        <v>1614</v>
      </c>
      <c r="D5" s="6044"/>
      <c r="E5" s="6044"/>
      <c r="F5" s="6044" t="s">
        <v>1615</v>
      </c>
      <c r="G5" s="6044"/>
      <c r="H5" s="6044"/>
      <c r="I5" s="6369" t="s">
        <v>1616</v>
      </c>
      <c r="J5" s="6369"/>
      <c r="K5" s="6369"/>
      <c r="L5" s="6465" t="s">
        <v>861</v>
      </c>
      <c r="N5" s="6281">
        <v>1</v>
      </c>
      <c r="O5" s="6281"/>
      <c r="P5" s="6281"/>
      <c r="Q5" s="6281">
        <v>2</v>
      </c>
      <c r="R5" s="6281"/>
      <c r="S5" s="6281"/>
    </row>
    <row r="6" spans="1:19" s="380" customFormat="1" ht="52.2">
      <c r="A6" s="6073"/>
      <c r="B6" s="6044"/>
      <c r="C6" s="430" t="s">
        <v>1464</v>
      </c>
      <c r="D6" s="430" t="s">
        <v>1617</v>
      </c>
      <c r="E6" s="430" t="s">
        <v>1618</v>
      </c>
      <c r="F6" s="430" t="s">
        <v>1464</v>
      </c>
      <c r="G6" s="430" t="s">
        <v>1617</v>
      </c>
      <c r="H6" s="430" t="s">
        <v>1618</v>
      </c>
      <c r="I6" s="430" t="s">
        <v>1464</v>
      </c>
      <c r="J6" s="430" t="s">
        <v>1617</v>
      </c>
      <c r="K6" s="430" t="s">
        <v>1618</v>
      </c>
      <c r="L6" s="6339"/>
      <c r="N6" s="382" t="s">
        <v>3138</v>
      </c>
      <c r="O6" s="382" t="s">
        <v>3139</v>
      </c>
      <c r="P6" s="382" t="s">
        <v>3140</v>
      </c>
      <c r="Q6" s="382" t="s">
        <v>3138</v>
      </c>
      <c r="R6" s="382" t="s">
        <v>3139</v>
      </c>
      <c r="S6" s="382" t="s">
        <v>3140</v>
      </c>
    </row>
    <row r="7" spans="1:19" s="386" customFormat="1" ht="17.399999999999999">
      <c r="A7" s="2248">
        <v>1</v>
      </c>
      <c r="B7" s="2248">
        <v>2</v>
      </c>
      <c r="C7" s="2238">
        <v>3</v>
      </c>
      <c r="D7" s="2238">
        <v>4</v>
      </c>
      <c r="E7" s="2238">
        <v>5</v>
      </c>
      <c r="F7" s="2238">
        <v>6</v>
      </c>
      <c r="G7" s="2238">
        <v>7</v>
      </c>
      <c r="H7" s="2238">
        <v>8</v>
      </c>
      <c r="I7" s="2238" t="s">
        <v>1619</v>
      </c>
      <c r="J7" s="2238" t="s">
        <v>1620</v>
      </c>
      <c r="K7" s="2238" t="s">
        <v>1621</v>
      </c>
      <c r="L7" s="2239">
        <v>12</v>
      </c>
      <c r="N7" s="641"/>
      <c r="O7" s="641"/>
      <c r="P7" s="641"/>
      <c r="Q7" s="641"/>
      <c r="R7" s="641"/>
      <c r="S7" s="641"/>
    </row>
    <row r="8" spans="1:19" s="596" customFormat="1">
      <c r="A8" s="2556">
        <v>1</v>
      </c>
      <c r="B8" s="388" t="s">
        <v>811</v>
      </c>
      <c r="C8" s="2557">
        <f>+'Phụ lục số 7.1'!U32</f>
        <v>60000</v>
      </c>
      <c r="D8" s="2557">
        <f>C8*10%</f>
        <v>6000</v>
      </c>
      <c r="E8" s="2557">
        <f>C8*90%</f>
        <v>54000</v>
      </c>
      <c r="F8" s="2557"/>
      <c r="G8" s="2557"/>
      <c r="H8" s="2557"/>
      <c r="I8" s="4819">
        <f>F8-C8</f>
        <v>-60000</v>
      </c>
      <c r="J8" s="4819">
        <f>G8-D8</f>
        <v>-6000</v>
      </c>
      <c r="K8" s="4819">
        <f>H8-E8</f>
        <v>-54000</v>
      </c>
      <c r="L8" s="2558"/>
      <c r="N8" s="4786">
        <f>+E8/90%</f>
        <v>60000</v>
      </c>
      <c r="O8" s="2510"/>
      <c r="P8" s="4787">
        <f t="shared" ref="P8:P19" si="0">+O8+N8</f>
        <v>60000</v>
      </c>
      <c r="Q8" s="4786">
        <f>+H8/90%</f>
        <v>0</v>
      </c>
      <c r="R8" s="2510"/>
      <c r="S8" s="4787">
        <f>+R8+Q8</f>
        <v>0</v>
      </c>
    </row>
    <row r="9" spans="1:19" s="596" customFormat="1">
      <c r="A9" s="1016">
        <v>2</v>
      </c>
      <c r="B9" s="43" t="s">
        <v>252</v>
      </c>
      <c r="C9" s="2559">
        <f>+'Phụ lục số 7.1'!AG32</f>
        <v>290000</v>
      </c>
      <c r="D9" s="2559">
        <f t="shared" ref="D9:D19" si="1">C9*10%</f>
        <v>29000</v>
      </c>
      <c r="E9" s="2559">
        <f t="shared" ref="E9:E12" si="2">C9*90%</f>
        <v>261000</v>
      </c>
      <c r="F9" s="2559"/>
      <c r="G9" s="2559"/>
      <c r="H9" s="2559"/>
      <c r="I9" s="4820">
        <f t="shared" ref="I9:K19" si="3">F9-C9</f>
        <v>-290000</v>
      </c>
      <c r="J9" s="4820">
        <f t="shared" si="3"/>
        <v>-29000</v>
      </c>
      <c r="K9" s="4820">
        <f t="shared" si="3"/>
        <v>-261000</v>
      </c>
      <c r="L9" s="605"/>
      <c r="N9" s="4786">
        <f t="shared" ref="N9:N19" si="4">+E9/90%</f>
        <v>290000</v>
      </c>
      <c r="O9" s="2510"/>
      <c r="P9" s="4787">
        <f t="shared" si="0"/>
        <v>290000</v>
      </c>
      <c r="Q9" s="4786">
        <f t="shared" ref="Q9:Q19" si="5">+H9/90%</f>
        <v>0</v>
      </c>
      <c r="R9" s="2510"/>
      <c r="S9" s="4787">
        <f t="shared" ref="S9:S19" si="6">+R9+Q9</f>
        <v>0</v>
      </c>
    </row>
    <row r="10" spans="1:19" s="596" customFormat="1">
      <c r="A10" s="1016">
        <v>3</v>
      </c>
      <c r="B10" s="43" t="s">
        <v>812</v>
      </c>
      <c r="C10" s="2559">
        <v>30000</v>
      </c>
      <c r="D10" s="2559">
        <f t="shared" si="1"/>
        <v>3000</v>
      </c>
      <c r="E10" s="2559">
        <f t="shared" si="2"/>
        <v>27000</v>
      </c>
      <c r="F10" s="2559"/>
      <c r="G10" s="2559"/>
      <c r="H10" s="2559"/>
      <c r="I10" s="4820">
        <f t="shared" si="3"/>
        <v>-30000</v>
      </c>
      <c r="J10" s="4820">
        <f t="shared" si="3"/>
        <v>-3000</v>
      </c>
      <c r="K10" s="4820">
        <f t="shared" si="3"/>
        <v>-27000</v>
      </c>
      <c r="L10" s="605"/>
      <c r="N10" s="4786">
        <f>+E10/90%</f>
        <v>30000</v>
      </c>
      <c r="O10" s="2510"/>
      <c r="P10" s="4787">
        <f t="shared" si="0"/>
        <v>30000</v>
      </c>
      <c r="Q10" s="4786">
        <f t="shared" si="5"/>
        <v>0</v>
      </c>
      <c r="R10" s="2510"/>
      <c r="S10" s="4787">
        <f t="shared" si="6"/>
        <v>0</v>
      </c>
    </row>
    <row r="11" spans="1:19" s="596" customFormat="1">
      <c r="A11" s="1016">
        <v>4</v>
      </c>
      <c r="B11" s="43" t="s">
        <v>813</v>
      </c>
      <c r="C11" s="2559">
        <v>60000</v>
      </c>
      <c r="D11" s="2559">
        <f t="shared" si="1"/>
        <v>6000</v>
      </c>
      <c r="E11" s="2559">
        <f t="shared" si="2"/>
        <v>54000</v>
      </c>
      <c r="F11" s="2559"/>
      <c r="G11" s="2559"/>
      <c r="H11" s="2559"/>
      <c r="I11" s="4820">
        <f t="shared" si="3"/>
        <v>-60000</v>
      </c>
      <c r="J11" s="4820">
        <f t="shared" si="3"/>
        <v>-6000</v>
      </c>
      <c r="K11" s="4820">
        <f t="shared" si="3"/>
        <v>-54000</v>
      </c>
      <c r="L11" s="605"/>
      <c r="N11" s="4786">
        <f t="shared" si="4"/>
        <v>60000</v>
      </c>
      <c r="O11" s="2510"/>
      <c r="P11" s="4787">
        <f t="shared" si="0"/>
        <v>60000</v>
      </c>
      <c r="Q11" s="4786">
        <f t="shared" si="5"/>
        <v>0</v>
      </c>
      <c r="R11" s="2510"/>
      <c r="S11" s="4787">
        <f t="shared" si="6"/>
        <v>0</v>
      </c>
    </row>
    <row r="12" spans="1:19" s="596" customFormat="1">
      <c r="A12" s="1016">
        <v>5</v>
      </c>
      <c r="B12" s="43" t="s">
        <v>814</v>
      </c>
      <c r="C12" s="2559">
        <v>50000</v>
      </c>
      <c r="D12" s="2559">
        <f t="shared" si="1"/>
        <v>5000</v>
      </c>
      <c r="E12" s="2559">
        <f t="shared" si="2"/>
        <v>45000</v>
      </c>
      <c r="F12" s="2559"/>
      <c r="G12" s="2559"/>
      <c r="H12" s="2559"/>
      <c r="I12" s="4820">
        <f t="shared" si="3"/>
        <v>-50000</v>
      </c>
      <c r="J12" s="4820">
        <f t="shared" si="3"/>
        <v>-5000</v>
      </c>
      <c r="K12" s="4820">
        <f t="shared" si="3"/>
        <v>-45000</v>
      </c>
      <c r="L12" s="605"/>
      <c r="N12" s="4786">
        <f t="shared" si="4"/>
        <v>50000</v>
      </c>
      <c r="O12" s="2510"/>
      <c r="P12" s="4787">
        <f t="shared" si="0"/>
        <v>50000</v>
      </c>
      <c r="Q12" s="4786">
        <f t="shared" si="5"/>
        <v>0</v>
      </c>
      <c r="R12" s="2510"/>
      <c r="S12" s="4787">
        <f t="shared" si="6"/>
        <v>0</v>
      </c>
    </row>
    <row r="13" spans="1:19" s="596" customFormat="1">
      <c r="A13" s="1016">
        <v>6</v>
      </c>
      <c r="B13" s="43" t="s">
        <v>815</v>
      </c>
      <c r="C13" s="2559">
        <v>310000</v>
      </c>
      <c r="D13" s="2559">
        <f>C13-E13</f>
        <v>166000</v>
      </c>
      <c r="E13" s="2559">
        <f>160000*90%</f>
        <v>144000</v>
      </c>
      <c r="F13" s="2559"/>
      <c r="G13" s="2559"/>
      <c r="H13" s="2559"/>
      <c r="I13" s="4820">
        <f t="shared" si="3"/>
        <v>-310000</v>
      </c>
      <c r="J13" s="4820">
        <f>G13-D13</f>
        <v>-166000</v>
      </c>
      <c r="K13" s="4820">
        <f t="shared" si="3"/>
        <v>-144000</v>
      </c>
      <c r="L13" s="605"/>
      <c r="N13" s="4786">
        <f t="shared" si="4"/>
        <v>160000</v>
      </c>
      <c r="O13" s="4786">
        <v>150000</v>
      </c>
      <c r="P13" s="4787">
        <f t="shared" si="0"/>
        <v>310000</v>
      </c>
      <c r="Q13" s="4786">
        <f t="shared" si="5"/>
        <v>0</v>
      </c>
      <c r="R13" s="4787">
        <f>+O13</f>
        <v>150000</v>
      </c>
      <c r="S13" s="4787">
        <f t="shared" si="6"/>
        <v>150000</v>
      </c>
    </row>
    <row r="14" spans="1:19" s="596" customFormat="1">
      <c r="A14" s="1016">
        <v>7</v>
      </c>
      <c r="B14" s="43" t="s">
        <v>816</v>
      </c>
      <c r="C14" s="2559">
        <v>75000</v>
      </c>
      <c r="D14" s="2559">
        <f t="shared" si="1"/>
        <v>7500</v>
      </c>
      <c r="E14" s="2559">
        <f t="shared" ref="E14:E19" si="7">C14*90%</f>
        <v>67500</v>
      </c>
      <c r="F14" s="2559"/>
      <c r="G14" s="2559"/>
      <c r="H14" s="2559"/>
      <c r="I14" s="4820">
        <f t="shared" si="3"/>
        <v>-75000</v>
      </c>
      <c r="J14" s="4820">
        <f t="shared" si="3"/>
        <v>-7500</v>
      </c>
      <c r="K14" s="4820">
        <f t="shared" si="3"/>
        <v>-67500</v>
      </c>
      <c r="L14" s="605"/>
      <c r="N14" s="4786">
        <f t="shared" si="4"/>
        <v>75000</v>
      </c>
      <c r="O14" s="2510"/>
      <c r="P14" s="4787">
        <f t="shared" si="0"/>
        <v>75000</v>
      </c>
      <c r="Q14" s="4786">
        <f t="shared" si="5"/>
        <v>0</v>
      </c>
      <c r="R14" s="4787">
        <f t="shared" ref="R14:R18" si="8">+O14</f>
        <v>0</v>
      </c>
      <c r="S14" s="4787">
        <f t="shared" si="6"/>
        <v>0</v>
      </c>
    </row>
    <row r="15" spans="1:19" s="596" customFormat="1">
      <c r="A15" s="1016">
        <v>8</v>
      </c>
      <c r="B15" s="43" t="s">
        <v>258</v>
      </c>
      <c r="C15" s="2559">
        <v>100000</v>
      </c>
      <c r="D15" s="2559">
        <f t="shared" si="1"/>
        <v>10000</v>
      </c>
      <c r="E15" s="2559">
        <f t="shared" si="7"/>
        <v>90000</v>
      </c>
      <c r="F15" s="2559"/>
      <c r="G15" s="2559"/>
      <c r="H15" s="2559"/>
      <c r="I15" s="4820">
        <f t="shared" si="3"/>
        <v>-100000</v>
      </c>
      <c r="J15" s="4820">
        <f t="shared" si="3"/>
        <v>-10000</v>
      </c>
      <c r="K15" s="4820">
        <f t="shared" si="3"/>
        <v>-90000</v>
      </c>
      <c r="L15" s="605"/>
      <c r="N15" s="4786">
        <f t="shared" si="4"/>
        <v>100000</v>
      </c>
      <c r="O15" s="2510"/>
      <c r="P15" s="4787">
        <f t="shared" si="0"/>
        <v>100000</v>
      </c>
      <c r="Q15" s="4786">
        <f t="shared" si="5"/>
        <v>0</v>
      </c>
      <c r="R15" s="4787">
        <f t="shared" si="8"/>
        <v>0</v>
      </c>
      <c r="S15" s="4787">
        <f t="shared" si="6"/>
        <v>0</v>
      </c>
    </row>
    <row r="16" spans="1:19" s="596" customFormat="1">
      <c r="A16" s="1016">
        <v>9</v>
      </c>
      <c r="B16" s="43" t="s">
        <v>259</v>
      </c>
      <c r="C16" s="2559">
        <v>60000</v>
      </c>
      <c r="D16" s="2559">
        <f t="shared" si="1"/>
        <v>6000</v>
      </c>
      <c r="E16" s="2559">
        <f t="shared" si="7"/>
        <v>54000</v>
      </c>
      <c r="F16" s="2559"/>
      <c r="G16" s="2559"/>
      <c r="H16" s="2559"/>
      <c r="I16" s="4820">
        <f t="shared" si="3"/>
        <v>-60000</v>
      </c>
      <c r="J16" s="4820">
        <f t="shared" si="3"/>
        <v>-6000</v>
      </c>
      <c r="K16" s="4820">
        <f t="shared" si="3"/>
        <v>-54000</v>
      </c>
      <c r="L16" s="605"/>
      <c r="N16" s="4786">
        <f t="shared" si="4"/>
        <v>60000</v>
      </c>
      <c r="O16" s="2510"/>
      <c r="P16" s="4787">
        <f t="shared" si="0"/>
        <v>60000</v>
      </c>
      <c r="Q16" s="4786">
        <f t="shared" si="5"/>
        <v>0</v>
      </c>
      <c r="R16" s="4787">
        <f t="shared" si="8"/>
        <v>0</v>
      </c>
      <c r="S16" s="4787">
        <f t="shared" si="6"/>
        <v>0</v>
      </c>
    </row>
    <row r="17" spans="1:19" s="596" customFormat="1">
      <c r="A17" s="1016">
        <v>10</v>
      </c>
      <c r="B17" s="43" t="s">
        <v>818</v>
      </c>
      <c r="C17" s="2559">
        <v>70000</v>
      </c>
      <c r="D17" s="2559">
        <f t="shared" si="1"/>
        <v>7000</v>
      </c>
      <c r="E17" s="2559">
        <f t="shared" si="7"/>
        <v>63000</v>
      </c>
      <c r="F17" s="2559"/>
      <c r="G17" s="2559"/>
      <c r="H17" s="2559"/>
      <c r="I17" s="4820">
        <f t="shared" si="3"/>
        <v>-70000</v>
      </c>
      <c r="J17" s="4820">
        <f t="shared" si="3"/>
        <v>-7000</v>
      </c>
      <c r="K17" s="4820">
        <f t="shared" si="3"/>
        <v>-63000</v>
      </c>
      <c r="L17" s="605"/>
      <c r="N17" s="4786">
        <f t="shared" si="4"/>
        <v>70000</v>
      </c>
      <c r="O17" s="2510"/>
      <c r="P17" s="4787">
        <f t="shared" si="0"/>
        <v>70000</v>
      </c>
      <c r="Q17" s="4786">
        <f t="shared" si="5"/>
        <v>0</v>
      </c>
      <c r="R17" s="4787">
        <f t="shared" si="8"/>
        <v>0</v>
      </c>
      <c r="S17" s="4787">
        <f t="shared" si="6"/>
        <v>0</v>
      </c>
    </row>
    <row r="18" spans="1:19" s="596" customFormat="1">
      <c r="A18" s="1016">
        <v>11</v>
      </c>
      <c r="B18" s="43" t="s">
        <v>819</v>
      </c>
      <c r="C18" s="2559">
        <f>160000+350000-115000</f>
        <v>395000</v>
      </c>
      <c r="D18" s="2559">
        <f>C18-E18</f>
        <v>251000</v>
      </c>
      <c r="E18" s="2559">
        <f>160000*90%</f>
        <v>144000</v>
      </c>
      <c r="F18" s="2559"/>
      <c r="G18" s="2559"/>
      <c r="H18" s="2559"/>
      <c r="I18" s="4820">
        <f t="shared" si="3"/>
        <v>-395000</v>
      </c>
      <c r="J18" s="4820">
        <f t="shared" si="3"/>
        <v>-251000</v>
      </c>
      <c r="K18" s="4820">
        <f t="shared" si="3"/>
        <v>-144000</v>
      </c>
      <c r="L18" s="605"/>
      <c r="N18" s="4786">
        <f t="shared" si="4"/>
        <v>160000</v>
      </c>
      <c r="O18" s="4786">
        <v>350000</v>
      </c>
      <c r="P18" s="4787">
        <f t="shared" si="0"/>
        <v>510000</v>
      </c>
      <c r="Q18" s="4786">
        <f t="shared" si="5"/>
        <v>0</v>
      </c>
      <c r="R18" s="4787">
        <f t="shared" si="8"/>
        <v>350000</v>
      </c>
      <c r="S18" s="4787">
        <f t="shared" si="6"/>
        <v>350000</v>
      </c>
    </row>
    <row r="19" spans="1:19" s="596" customFormat="1">
      <c r="A19" s="1035">
        <v>12</v>
      </c>
      <c r="B19" s="2419" t="s">
        <v>262</v>
      </c>
      <c r="C19" s="2560">
        <v>100000</v>
      </c>
      <c r="D19" s="2560">
        <f t="shared" si="1"/>
        <v>10000</v>
      </c>
      <c r="E19" s="2560">
        <f t="shared" si="7"/>
        <v>90000</v>
      </c>
      <c r="F19" s="2560"/>
      <c r="G19" s="2560"/>
      <c r="H19" s="2560"/>
      <c r="I19" s="4821">
        <f t="shared" si="3"/>
        <v>-100000</v>
      </c>
      <c r="J19" s="4821">
        <f t="shared" si="3"/>
        <v>-10000</v>
      </c>
      <c r="K19" s="4821">
        <f t="shared" si="3"/>
        <v>-90000</v>
      </c>
      <c r="L19" s="2561"/>
      <c r="N19" s="4786">
        <f t="shared" si="4"/>
        <v>100000</v>
      </c>
      <c r="O19" s="2510"/>
      <c r="P19" s="4787">
        <f t="shared" si="0"/>
        <v>100000</v>
      </c>
      <c r="Q19" s="4786">
        <f t="shared" si="5"/>
        <v>0</v>
      </c>
      <c r="R19" s="2510"/>
      <c r="S19" s="4787">
        <f t="shared" si="6"/>
        <v>0</v>
      </c>
    </row>
    <row r="20" spans="1:19" s="380" customFormat="1" ht="17.399999999999999">
      <c r="A20" s="2562" t="s">
        <v>1538</v>
      </c>
      <c r="B20" s="2562"/>
      <c r="C20" s="2563">
        <f>SUM(C8:C19)</f>
        <v>1600000</v>
      </c>
      <c r="D20" s="2563">
        <f t="shared" ref="D20:E20" si="9">SUM(D8:D19)</f>
        <v>506500</v>
      </c>
      <c r="E20" s="2563">
        <f t="shared" si="9"/>
        <v>1093500</v>
      </c>
      <c r="F20" s="2563">
        <f>SUM(F8:F19)</f>
        <v>0</v>
      </c>
      <c r="G20" s="2563">
        <f t="shared" ref="G20:K20" si="10">SUM(G8:G19)</f>
        <v>0</v>
      </c>
      <c r="H20" s="2563">
        <f t="shared" si="10"/>
        <v>0</v>
      </c>
      <c r="I20" s="4822">
        <f t="shared" si="10"/>
        <v>-1600000</v>
      </c>
      <c r="J20" s="4822">
        <f t="shared" si="10"/>
        <v>-506500</v>
      </c>
      <c r="K20" s="4822">
        <f t="shared" si="10"/>
        <v>-1093500</v>
      </c>
      <c r="L20" s="2564"/>
      <c r="N20" s="2563">
        <f t="shared" ref="N20:S20" si="11">SUM(N8:N19)</f>
        <v>1215000</v>
      </c>
      <c r="O20" s="2563">
        <f t="shared" si="11"/>
        <v>500000</v>
      </c>
      <c r="P20" s="2563">
        <f t="shared" si="11"/>
        <v>1715000</v>
      </c>
      <c r="Q20" s="2563">
        <f t="shared" si="11"/>
        <v>0</v>
      </c>
      <c r="R20" s="2563">
        <f t="shared" si="11"/>
        <v>500000</v>
      </c>
      <c r="S20" s="2563">
        <f t="shared" si="11"/>
        <v>500000</v>
      </c>
    </row>
    <row r="22" spans="1:19">
      <c r="B22" s="381" t="s">
        <v>3149</v>
      </c>
      <c r="D22" s="4823">
        <f>+C20*10%</f>
        <v>160000</v>
      </c>
      <c r="G22" s="4788"/>
      <c r="J22" s="2863"/>
    </row>
    <row r="23" spans="1:19">
      <c r="B23" s="381" t="s">
        <v>3150</v>
      </c>
      <c r="D23" s="4824">
        <f>+E20/90%</f>
        <v>1215000</v>
      </c>
    </row>
    <row r="24" spans="1:19">
      <c r="B24" s="381" t="s">
        <v>3151</v>
      </c>
      <c r="D24" s="4825">
        <f>D23*10%</f>
        <v>121500</v>
      </c>
    </row>
    <row r="25" spans="1:19">
      <c r="B25" s="381" t="s">
        <v>3152</v>
      </c>
      <c r="D25" s="4826">
        <f>1600000-D23</f>
        <v>385000</v>
      </c>
    </row>
    <row r="26" spans="1:19">
      <c r="B26" s="666" t="s">
        <v>3153</v>
      </c>
      <c r="D26" s="4826">
        <f>+D25+D24</f>
        <v>506500</v>
      </c>
    </row>
    <row r="44" spans="2:25" s="583" customFormat="1" hidden="1">
      <c r="B44" s="381"/>
      <c r="C44" s="2510"/>
      <c r="D44" s="2510"/>
      <c r="E44" s="2510"/>
      <c r="F44" s="2510"/>
      <c r="G44" s="2510"/>
      <c r="H44" s="2510"/>
      <c r="I44" s="2510"/>
      <c r="J44" s="2510"/>
      <c r="K44" s="2510"/>
      <c r="L44" s="381"/>
      <c r="M44" s="381"/>
      <c r="T44" s="381"/>
      <c r="U44" s="381"/>
      <c r="V44" s="381"/>
      <c r="W44" s="381"/>
      <c r="X44" s="381"/>
      <c r="Y44" s="381"/>
    </row>
    <row r="48" spans="2:25" s="583" customFormat="1" hidden="1">
      <c r="B48" s="381"/>
      <c r="C48" s="2510"/>
      <c r="D48" s="2510"/>
      <c r="E48" s="2510"/>
      <c r="F48" s="2510"/>
      <c r="G48" s="2510"/>
      <c r="H48" s="2510"/>
      <c r="I48" s="2510"/>
      <c r="J48" s="2510"/>
      <c r="K48" s="2510"/>
      <c r="L48" s="381"/>
      <c r="M48" s="381"/>
      <c r="T48" s="381"/>
      <c r="U48" s="381"/>
      <c r="V48" s="381"/>
      <c r="W48" s="381"/>
      <c r="X48" s="381"/>
      <c r="Y48" s="381"/>
    </row>
    <row r="49" spans="2:25" s="583" customFormat="1" hidden="1">
      <c r="B49" s="381"/>
      <c r="C49" s="2510"/>
      <c r="D49" s="2510"/>
      <c r="E49" s="2510"/>
      <c r="F49" s="2510"/>
      <c r="G49" s="2510"/>
      <c r="H49" s="2510"/>
      <c r="I49" s="2510"/>
      <c r="J49" s="2510"/>
      <c r="K49" s="2510"/>
      <c r="L49" s="381"/>
      <c r="M49" s="381"/>
      <c r="T49" s="381"/>
      <c r="U49" s="381"/>
      <c r="V49" s="381"/>
      <c r="W49" s="381"/>
      <c r="X49" s="381"/>
      <c r="Y49" s="381"/>
    </row>
  </sheetData>
  <mergeCells count="10">
    <mergeCell ref="N5:P5"/>
    <mergeCell ref="Q5:S5"/>
    <mergeCell ref="A1:L1"/>
    <mergeCell ref="A2:L2"/>
    <mergeCell ref="A5:A6"/>
    <mergeCell ref="B5:B6"/>
    <mergeCell ref="C5:E5"/>
    <mergeCell ref="F5:H5"/>
    <mergeCell ref="I5:K5"/>
    <mergeCell ref="L5:L6"/>
  </mergeCells>
  <hyperlinks>
    <hyperlink ref="A5:A6" location="'Danh mục file'!A1" display="STT"/>
  </hyperlinks>
  <printOptions horizontalCentered="1"/>
  <pageMargins left="0" right="0" top="0.39370078740157483" bottom="0" header="0" footer="0"/>
  <pageSetup paperSize="9" scale="85" orientation="landscape" verticalDpi="0" r:id="rId1"/>
  <headerFooter>
    <oddHeader>&amp;R&amp;A</oddHeader>
    <oddFooter>&amp;C&amp;P/&amp;N</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O30"/>
  <sheetViews>
    <sheetView workbookViewId="0">
      <selection activeCell="E9" sqref="E9"/>
    </sheetView>
  </sheetViews>
  <sheetFormatPr defaultColWidth="10.33203125" defaultRowHeight="18"/>
  <cols>
    <col min="1" max="1" width="5.109375" style="717" customWidth="1"/>
    <col min="2" max="2" width="46.33203125" style="667" customWidth="1"/>
    <col min="3" max="15" width="9.109375" style="667" customWidth="1"/>
    <col min="16" max="16384" width="10.33203125" style="667"/>
  </cols>
  <sheetData>
    <row r="1" spans="1:15" ht="18.75" customHeight="1">
      <c r="A1" s="6335" t="s">
        <v>3193</v>
      </c>
      <c r="B1" s="6335"/>
      <c r="C1" s="6335"/>
      <c r="D1" s="6335"/>
      <c r="E1" s="6335"/>
      <c r="F1" s="6335"/>
      <c r="G1" s="6335"/>
      <c r="H1" s="6335"/>
      <c r="I1" s="6335"/>
      <c r="J1" s="6335"/>
      <c r="K1" s="6335"/>
      <c r="L1" s="6335"/>
      <c r="M1" s="6335"/>
      <c r="N1" s="6335"/>
      <c r="O1" s="6335"/>
    </row>
    <row r="2" spans="1:15" ht="18.75" customHeight="1">
      <c r="A2" s="6325" t="str">
        <f>+'Phụ lục số 6'!A2:E2</f>
        <v>(Kèm theo Báo cáo số     462/BC-UBND ngày 22 tháng 11 năm 2024 của Ủy ban nhân dân tỉnh Đồng Tháp)</v>
      </c>
      <c r="B2" s="6325"/>
      <c r="C2" s="6325"/>
      <c r="D2" s="6325"/>
      <c r="E2" s="6325"/>
      <c r="F2" s="6325"/>
      <c r="G2" s="6325"/>
      <c r="H2" s="6325"/>
      <c r="I2" s="6325"/>
      <c r="J2" s="6325"/>
      <c r="K2" s="6325"/>
      <c r="L2" s="6325"/>
      <c r="M2" s="6325"/>
      <c r="N2" s="6325"/>
      <c r="O2" s="6325"/>
    </row>
    <row r="3" spans="1:15" ht="18.75" customHeight="1" thickBot="1">
      <c r="M3" s="6305" t="s">
        <v>638</v>
      </c>
      <c r="N3" s="6305"/>
      <c r="O3" s="6305"/>
    </row>
    <row r="4" spans="1:15" ht="52.8" thickTop="1">
      <c r="A4" s="5915" t="s">
        <v>136</v>
      </c>
      <c r="B4" s="4850" t="s">
        <v>810</v>
      </c>
      <c r="C4" s="5910" t="s">
        <v>220</v>
      </c>
      <c r="D4" s="5910" t="s">
        <v>811</v>
      </c>
      <c r="E4" s="5910" t="s">
        <v>252</v>
      </c>
      <c r="F4" s="5910" t="s">
        <v>812</v>
      </c>
      <c r="G4" s="5910" t="s">
        <v>813</v>
      </c>
      <c r="H4" s="5910" t="s">
        <v>814</v>
      </c>
      <c r="I4" s="5910" t="s">
        <v>815</v>
      </c>
      <c r="J4" s="5375" t="s">
        <v>816</v>
      </c>
      <c r="K4" s="5375" t="s">
        <v>817</v>
      </c>
      <c r="L4" s="5375" t="s">
        <v>259</v>
      </c>
      <c r="M4" s="5910" t="s">
        <v>818</v>
      </c>
      <c r="N4" s="5910" t="s">
        <v>819</v>
      </c>
      <c r="O4" s="5911" t="s">
        <v>820</v>
      </c>
    </row>
    <row r="5" spans="1:15" s="708" customFormat="1" ht="18.75" customHeight="1">
      <c r="A5" s="5049"/>
      <c r="B5" s="693" t="s">
        <v>821</v>
      </c>
      <c r="C5" s="718">
        <f t="shared" ref="C5:N5" si="0">SUM(C6,C10,C14,C15,C16)</f>
        <v>11751651.907000002</v>
      </c>
      <c r="D5" s="2754">
        <f>SUM(D6,D10,D14,D15,D16)</f>
        <v>800543.99</v>
      </c>
      <c r="E5" s="2754">
        <f t="shared" si="0"/>
        <v>767830.17399999988</v>
      </c>
      <c r="F5" s="2754">
        <f t="shared" si="0"/>
        <v>713376.21900000004</v>
      </c>
      <c r="G5" s="2754">
        <f>SUM(G6,G10,G14,G15,G16)</f>
        <v>778427.45200000005</v>
      </c>
      <c r="H5" s="2754">
        <f>SUM(H6,H10,H14,H15,H16)</f>
        <v>950436.22600000002</v>
      </c>
      <c r="I5" s="2754">
        <f t="shared" si="0"/>
        <v>1814306.929</v>
      </c>
      <c r="J5" s="2754">
        <f t="shared" si="0"/>
        <v>1193776.621</v>
      </c>
      <c r="K5" s="2754">
        <f>SUM(K6,K10,K14,K15,K16)</f>
        <v>1015582.879</v>
      </c>
      <c r="L5" s="2754">
        <f t="shared" si="0"/>
        <v>1007609.827</v>
      </c>
      <c r="M5" s="718">
        <f>SUM(M6,M10,M14,M15,M16)</f>
        <v>891369.38300000003</v>
      </c>
      <c r="N5" s="718">
        <f t="shared" si="0"/>
        <v>946873.73499999999</v>
      </c>
      <c r="O5" s="4457">
        <f>SUM(O6,O10,O14,O15,O16)</f>
        <v>871518.47200000007</v>
      </c>
    </row>
    <row r="6" spans="1:15" s="708" customFormat="1" ht="18.75" customHeight="1">
      <c r="A6" s="5916" t="s">
        <v>3</v>
      </c>
      <c r="B6" s="701" t="s">
        <v>208</v>
      </c>
      <c r="C6" s="719">
        <f t="shared" ref="C6:O6" si="1">SUM(C8:C9)</f>
        <v>1683500</v>
      </c>
      <c r="D6" s="4827">
        <f>SUM(D8:D9)</f>
        <v>82000</v>
      </c>
      <c r="E6" s="4827">
        <f t="shared" si="1"/>
        <v>289000</v>
      </c>
      <c r="F6" s="4827">
        <f t="shared" si="1"/>
        <v>59000</v>
      </c>
      <c r="G6" s="4827">
        <f t="shared" si="1"/>
        <v>84000</v>
      </c>
      <c r="H6" s="4827">
        <f t="shared" si="1"/>
        <v>89000</v>
      </c>
      <c r="I6" s="4827">
        <f t="shared" si="1"/>
        <v>292000</v>
      </c>
      <c r="J6" s="4827">
        <f t="shared" si="1"/>
        <v>114500</v>
      </c>
      <c r="K6" s="4827">
        <f t="shared" si="1"/>
        <v>130000</v>
      </c>
      <c r="L6" s="4827">
        <f t="shared" si="1"/>
        <v>96000</v>
      </c>
      <c r="M6" s="719">
        <f t="shared" si="1"/>
        <v>98000</v>
      </c>
      <c r="N6" s="719">
        <f t="shared" si="1"/>
        <v>227000</v>
      </c>
      <c r="O6" s="4460">
        <f t="shared" si="1"/>
        <v>123000</v>
      </c>
    </row>
    <row r="7" spans="1:15" s="688" customFormat="1">
      <c r="A7" s="5917"/>
      <c r="B7" s="720" t="s">
        <v>822</v>
      </c>
      <c r="C7" s="721">
        <f t="shared" ref="C7:C13" si="2">SUM(D7:O7)</f>
        <v>0</v>
      </c>
      <c r="D7" s="4828"/>
      <c r="E7" s="4828"/>
      <c r="F7" s="4828"/>
      <c r="G7" s="4828"/>
      <c r="H7" s="4828"/>
      <c r="I7" s="4828"/>
      <c r="J7" s="4828"/>
      <c r="K7" s="4828"/>
      <c r="L7" s="4828"/>
      <c r="M7" s="721"/>
      <c r="N7" s="721"/>
      <c r="O7" s="5918"/>
    </row>
    <row r="8" spans="1:15" ht="18.75" customHeight="1">
      <c r="A8" s="5919">
        <v>1</v>
      </c>
      <c r="B8" s="722" t="s">
        <v>143</v>
      </c>
      <c r="C8" s="723">
        <f t="shared" si="2"/>
        <v>590000</v>
      </c>
      <c r="D8" s="4831">
        <f>+'Phụ lục số 8.1'!P27</f>
        <v>28000</v>
      </c>
      <c r="E8" s="4796">
        <f>+'Phụ lục số 8.1'!X27</f>
        <v>28000</v>
      </c>
      <c r="F8" s="4796">
        <f>+'Phụ lục số 8.1'!AF27</f>
        <v>32000</v>
      </c>
      <c r="G8" s="4796">
        <f>+'Phụ lục số 8.1'!AN27</f>
        <v>30000</v>
      </c>
      <c r="H8" s="4796">
        <f>+'Phụ lục số 8.1'!AV27</f>
        <v>44000</v>
      </c>
      <c r="I8" s="4831">
        <f>+'Phụ lục số 8.1'!BD27</f>
        <v>148000</v>
      </c>
      <c r="J8" s="4796">
        <f>+'Phụ lục số 8.1'!BL27</f>
        <v>47000</v>
      </c>
      <c r="K8" s="4796">
        <f>+'Phụ lục số 8.1'!BT27</f>
        <v>40000</v>
      </c>
      <c r="L8" s="4796">
        <f>+'Phụ lục số 8.1'!CB27</f>
        <v>42000</v>
      </c>
      <c r="M8" s="4796">
        <f>+'Phụ lục số 8.1'!CJ27</f>
        <v>35000</v>
      </c>
      <c r="N8" s="723">
        <f>+'Phụ lục số 8.1'!CR27</f>
        <v>83000</v>
      </c>
      <c r="O8" s="4471">
        <f>+'Phụ lục số 8.1'!CZ27</f>
        <v>33000</v>
      </c>
    </row>
    <row r="9" spans="1:15" ht="18.75" customHeight="1">
      <c r="A9" s="5919">
        <v>2</v>
      </c>
      <c r="B9" s="722" t="s">
        <v>144</v>
      </c>
      <c r="C9" s="723">
        <f>SUM(D9:O9)</f>
        <v>1093500</v>
      </c>
      <c r="D9" s="4796">
        <f>+'Phụ lục số 8.1'!P29</f>
        <v>54000</v>
      </c>
      <c r="E9" s="4796">
        <f>+'Phụ lục số 8.1'!X29</f>
        <v>261000</v>
      </c>
      <c r="F9" s="4796">
        <f>+'Phụ lục số 8.1'!AF29</f>
        <v>27000</v>
      </c>
      <c r="G9" s="4796">
        <f>+'Phụ lục số 8.1'!AN29</f>
        <v>54000</v>
      </c>
      <c r="H9" s="4796">
        <f>+'Phụ lục số 8.1'!AV29</f>
        <v>45000</v>
      </c>
      <c r="I9" s="4796">
        <f>+'Phụ lục số 8.1'!BD29</f>
        <v>144000</v>
      </c>
      <c r="J9" s="4796">
        <f>+'Phụ lục số 8.1'!BL29</f>
        <v>67500</v>
      </c>
      <c r="K9" s="4796">
        <f>+'Phụ lục số 8.1'!BT29</f>
        <v>90000</v>
      </c>
      <c r="L9" s="4796">
        <f>+'Phụ lục số 8.1'!CB29</f>
        <v>54000</v>
      </c>
      <c r="M9" s="4796">
        <f>+'Phụ lục số 8.1'!CJ29</f>
        <v>63000</v>
      </c>
      <c r="N9" s="723">
        <f>+'Phụ lục số 8.1'!CR29</f>
        <v>144000</v>
      </c>
      <c r="O9" s="4471">
        <f>+'Phụ lục số 8.1'!CZ29</f>
        <v>90000</v>
      </c>
    </row>
    <row r="10" spans="1:15" s="708" customFormat="1" ht="18.75" customHeight="1">
      <c r="A10" s="5916" t="s">
        <v>33</v>
      </c>
      <c r="B10" s="701" t="s">
        <v>823</v>
      </c>
      <c r="C10" s="4797">
        <f>SUM(D10:O10)</f>
        <v>9081425.3570000008</v>
      </c>
      <c r="D10" s="4827">
        <f>+'Phụ lục số 8.1'!P30-D17-D18-D19-D20-D21</f>
        <v>684403.33196736372</v>
      </c>
      <c r="E10" s="4827">
        <f>+'Phụ lục số 8.1'!X30-E17-E18-E19-E20-E21</f>
        <v>452281.24502259243</v>
      </c>
      <c r="F10" s="4827">
        <f>+'Phụ lục số 8.1'!AF30-F17-F18-F19-F20-F21</f>
        <v>621134.09320536687</v>
      </c>
      <c r="G10" s="719">
        <f>+'Phụ lục số 8.1'!AN30-G17-G18-G19-G20-G21</f>
        <v>660673.11116281548</v>
      </c>
      <c r="H10" s="719">
        <f>+'Phụ lục số 8.1'!AV30-H17-H18-H19-H20-H21</f>
        <v>822292.80711051729</v>
      </c>
      <c r="I10" s="4827">
        <f>+'Phụ lục số 8.1'!BD30-I17-I18-I19-I20-I21</f>
        <v>996810.69394587737</v>
      </c>
      <c r="J10" s="4827">
        <f>+'Phụ lục số 8.1'!BL30-J17-J18-J19-J20-J21</f>
        <v>1019433.2963639069</v>
      </c>
      <c r="K10" s="4827">
        <f>+'Phụ lục số 8.1'!BT30-K17-K18-K19-K20-K21</f>
        <v>838525.81847331277</v>
      </c>
      <c r="L10" s="4827">
        <f>+'Phụ lục số 8.1'!CB30-L17-L18-L19-L20-L21</f>
        <v>865247.91131489223</v>
      </c>
      <c r="M10" s="4827">
        <f>+'Phụ lục số 8.1'!CJ30-M17-M18-M19-M20-M21</f>
        <v>758129.46580050304</v>
      </c>
      <c r="N10" s="4827">
        <f>+'Phụ lục số 8.1'!CR30-'Phụ lục số 8'!N17-'Phụ lục số 8'!N18-'Phụ lục số 8'!N19-'Phụ lục số 8'!N20-'Phụ lục số 8'!N21</f>
        <v>650267.61575388303</v>
      </c>
      <c r="O10" s="5920">
        <f>+'Phụ lục số 8.1'!CZ30-O17-O18-O19-O20-O21</f>
        <v>712225.96687896887</v>
      </c>
    </row>
    <row r="11" spans="1:15" s="688" customFormat="1" ht="18.75" customHeight="1">
      <c r="A11" s="5921"/>
      <c r="B11" s="720" t="s">
        <v>822</v>
      </c>
      <c r="C11" s="721"/>
      <c r="D11" s="4828"/>
      <c r="E11" s="4828"/>
      <c r="F11" s="4828"/>
      <c r="G11" s="4828"/>
      <c r="H11" s="4828"/>
      <c r="I11" s="4828"/>
      <c r="J11" s="4828"/>
      <c r="K11" s="4828"/>
      <c r="L11" s="4828"/>
      <c r="M11" s="4828"/>
      <c r="N11" s="4828"/>
      <c r="O11" s="5922"/>
    </row>
    <row r="12" spans="1:15" s="708" customFormat="1" ht="18.75" customHeight="1">
      <c r="A12" s="5919">
        <v>1</v>
      </c>
      <c r="B12" s="704" t="s">
        <v>824</v>
      </c>
      <c r="C12" s="4798">
        <f t="shared" si="2"/>
        <v>4752863.0000000009</v>
      </c>
      <c r="D12" s="4796">
        <f>+'Phụ lục số 8.1'!P31</f>
        <v>400128</v>
      </c>
      <c r="E12" s="4796">
        <f>+'Phụ lục số 8.1'!X31</f>
        <v>232764.4</v>
      </c>
      <c r="F12" s="4796">
        <f>+'Phụ lục số 8.1'!AF31</f>
        <v>354771.20000000001</v>
      </c>
      <c r="G12" s="4796">
        <f>+'Phụ lục số 8.1'!AN31</f>
        <v>331568</v>
      </c>
      <c r="H12" s="4796">
        <f>+'Phụ lục số 8.1'!AV31</f>
        <v>448049</v>
      </c>
      <c r="I12" s="4796">
        <f>+'Phụ lục số 8.1'!BD31</f>
        <v>481230</v>
      </c>
      <c r="J12" s="4796">
        <f>+'Phụ lục số 8.1'!BL31</f>
        <v>538158.5</v>
      </c>
      <c r="K12" s="4796">
        <f>+'Phụ lục số 8.1'!BT31</f>
        <v>455069.2</v>
      </c>
      <c r="L12" s="4796">
        <f>+'Phụ lục số 8.1'!CB31</f>
        <v>451849.5</v>
      </c>
      <c r="M12" s="4796">
        <f>+'Phụ lục số 8.1'!CJ31</f>
        <v>415824.2</v>
      </c>
      <c r="N12" s="4796">
        <f>+'Phụ lục số 8.1'!CR31</f>
        <v>283567.59999999998</v>
      </c>
      <c r="O12" s="5923">
        <f>+'Phụ lục số 8.1'!CZ31</f>
        <v>359883.4</v>
      </c>
    </row>
    <row r="13" spans="1:15" ht="18.75" customHeight="1">
      <c r="A13" s="5919">
        <v>2</v>
      </c>
      <c r="B13" s="704" t="s">
        <v>740</v>
      </c>
      <c r="C13" s="4798">
        <f t="shared" si="2"/>
        <v>4328562.3569999998</v>
      </c>
      <c r="D13" s="4796">
        <f>D10-D12</f>
        <v>284275.33196736372</v>
      </c>
      <c r="E13" s="4796">
        <f>E10-E12</f>
        <v>219516.84502259243</v>
      </c>
      <c r="F13" s="4796">
        <f t="shared" ref="F13:O13" si="3">F10-F12</f>
        <v>266362.89320536685</v>
      </c>
      <c r="G13" s="4796">
        <f t="shared" si="3"/>
        <v>329105.11116281548</v>
      </c>
      <c r="H13" s="4796">
        <f t="shared" si="3"/>
        <v>374243.80711051729</v>
      </c>
      <c r="I13" s="4796">
        <f t="shared" si="3"/>
        <v>515580.69394587737</v>
      </c>
      <c r="J13" s="4796">
        <f t="shared" si="3"/>
        <v>481274.79636390693</v>
      </c>
      <c r="K13" s="4796">
        <f t="shared" si="3"/>
        <v>383456.61847331276</v>
      </c>
      <c r="L13" s="4796">
        <f t="shared" si="3"/>
        <v>413398.41131489223</v>
      </c>
      <c r="M13" s="4796">
        <f t="shared" si="3"/>
        <v>342305.26580050302</v>
      </c>
      <c r="N13" s="4796">
        <f t="shared" si="3"/>
        <v>366700.01575388305</v>
      </c>
      <c r="O13" s="5923">
        <f t="shared" si="3"/>
        <v>352342.56687896885</v>
      </c>
    </row>
    <row r="14" spans="1:15" s="708" customFormat="1" ht="18.75" customHeight="1">
      <c r="A14" s="5916" t="s">
        <v>182</v>
      </c>
      <c r="B14" s="701" t="s">
        <v>175</v>
      </c>
      <c r="C14" s="4797">
        <f t="shared" ref="C14:C21" si="4">SUM(D14:O14)</f>
        <v>212441.54999999996</v>
      </c>
      <c r="D14" s="4827">
        <f>+'Phụ lục số 8.1'!P33</f>
        <v>14837.9</v>
      </c>
      <c r="E14" s="4827">
        <f>+'Phụ lục số 8.1'!X33</f>
        <v>14699.4</v>
      </c>
      <c r="F14" s="4827">
        <f>+'Phụ lục số 8.1'!AF33</f>
        <v>12842.4</v>
      </c>
      <c r="G14" s="4827">
        <f>+'Phụ lục số 8.1'!AN33</f>
        <v>13989</v>
      </c>
      <c r="H14" s="4827">
        <f>+'Phụ lục số 8.1'!AV33</f>
        <v>17519</v>
      </c>
      <c r="I14" s="4827">
        <f>+'Phụ lục số 8.1'!BD33</f>
        <v>29340</v>
      </c>
      <c r="J14" s="4827">
        <f>+'Phụ lục số 8.1'!BL33</f>
        <v>21524.6</v>
      </c>
      <c r="K14" s="4827">
        <f>+'Phụ lục số 8.1'!BT33</f>
        <v>18131.05</v>
      </c>
      <c r="L14" s="4827">
        <f>+'Phụ lục số 8.1'!CB33</f>
        <v>18754.400000000001</v>
      </c>
      <c r="M14" s="4827">
        <f>+'Phụ lục số 8.1'!CJ33</f>
        <v>16783.400000000001</v>
      </c>
      <c r="N14" s="4827">
        <f>+'Phụ lục số 8.1'!CR33</f>
        <v>17717</v>
      </c>
      <c r="O14" s="5920">
        <f>+'Phụ lục số 8.1'!CZ33</f>
        <v>16303.4</v>
      </c>
    </row>
    <row r="15" spans="1:15" s="708" customFormat="1" ht="18.75" customHeight="1">
      <c r="A15" s="5924" t="s">
        <v>215</v>
      </c>
      <c r="B15" s="725" t="s">
        <v>176</v>
      </c>
      <c r="C15" s="4799">
        <f t="shared" si="4"/>
        <v>519900</v>
      </c>
      <c r="D15" s="4829">
        <f>+'Phụ lục số 8.1'!P35</f>
        <v>0</v>
      </c>
      <c r="E15" s="4829">
        <f>+'Phụ lục số 8.1'!X35</f>
        <v>0</v>
      </c>
      <c r="F15" s="4829">
        <f>+'Phụ lục số 8.1'!AF35</f>
        <v>0</v>
      </c>
      <c r="G15" s="4829">
        <f>+'Phụ lục số 8.1'!AN35</f>
        <v>0</v>
      </c>
      <c r="H15" s="4829">
        <f>+'Phụ lục số 8.1'!AV35</f>
        <v>0</v>
      </c>
      <c r="I15" s="4829">
        <f>+'Phụ lục số 8.1'!BD35</f>
        <v>479075</v>
      </c>
      <c r="J15" s="4829">
        <f>+'Phụ lục số 8.1'!BL35</f>
        <v>0</v>
      </c>
      <c r="K15" s="4829">
        <f>+'Phụ lục số 8.1'!BT35</f>
        <v>0</v>
      </c>
      <c r="L15" s="4829">
        <f>+'Phụ lục số 8.1'!CB35</f>
        <v>0</v>
      </c>
      <c r="M15" s="4829">
        <f>+'Phụ lục số 8.1'!CJ35</f>
        <v>0</v>
      </c>
      <c r="N15" s="4829">
        <f>+'Phụ lục số 8.1'!CR35</f>
        <v>40825</v>
      </c>
      <c r="O15" s="5925">
        <f>+'Phụ lục số 8.1'!CZ35</f>
        <v>0</v>
      </c>
    </row>
    <row r="16" spans="1:15" s="708" customFormat="1" ht="17.399999999999999">
      <c r="A16" s="5926" t="s">
        <v>718</v>
      </c>
      <c r="B16" s="694" t="s">
        <v>825</v>
      </c>
      <c r="C16" s="4800">
        <f>SUM(D16:O16)</f>
        <v>254385.00000000003</v>
      </c>
      <c r="D16" s="4830">
        <f>SUM(D17:D21)</f>
        <v>19302.758032636266</v>
      </c>
      <c r="E16" s="4830">
        <f t="shared" ref="E16:O16" si="5">SUM(E17:E21)</f>
        <v>11849.528977407539</v>
      </c>
      <c r="F16" s="4830">
        <f t="shared" si="5"/>
        <v>20399.725794633185</v>
      </c>
      <c r="G16" s="4830">
        <f t="shared" si="5"/>
        <v>19765.340837184594</v>
      </c>
      <c r="H16" s="4830">
        <f t="shared" si="5"/>
        <v>21624.418889482789</v>
      </c>
      <c r="I16" s="4830">
        <f t="shared" si="5"/>
        <v>17081.235054122637</v>
      </c>
      <c r="J16" s="4830">
        <f t="shared" si="5"/>
        <v>38318.724636092986</v>
      </c>
      <c r="K16" s="4830">
        <f t="shared" si="5"/>
        <v>28926.010526687096</v>
      </c>
      <c r="L16" s="4830">
        <f t="shared" si="5"/>
        <v>27607.515685107792</v>
      </c>
      <c r="M16" s="4830">
        <f t="shared" si="5"/>
        <v>18456.517199497026</v>
      </c>
      <c r="N16" s="4830">
        <f t="shared" si="5"/>
        <v>11064.119246116901</v>
      </c>
      <c r="O16" s="5927">
        <f t="shared" si="5"/>
        <v>19989.1051210312</v>
      </c>
    </row>
    <row r="17" spans="1:15" s="597" customFormat="1" ht="18.75" hidden="1" customHeight="1">
      <c r="A17" s="4389" t="s">
        <v>29</v>
      </c>
      <c r="B17" s="44" t="s">
        <v>143</v>
      </c>
      <c r="C17" s="726">
        <f t="shared" si="4"/>
        <v>0</v>
      </c>
      <c r="D17" s="2769"/>
      <c r="E17" s="726"/>
      <c r="F17" s="2769"/>
      <c r="G17" s="2769"/>
      <c r="H17" s="2769"/>
      <c r="I17" s="2769"/>
      <c r="J17" s="2769"/>
      <c r="K17" s="2769"/>
      <c r="L17" s="2769"/>
      <c r="M17" s="2769"/>
      <c r="N17" s="2769"/>
      <c r="O17" s="5245"/>
    </row>
    <row r="18" spans="1:15" s="597" customFormat="1" ht="18.75" hidden="1" customHeight="1">
      <c r="A18" s="4389" t="s">
        <v>29</v>
      </c>
      <c r="B18" s="44" t="s">
        <v>826</v>
      </c>
      <c r="C18" s="726">
        <f t="shared" si="4"/>
        <v>0</v>
      </c>
      <c r="D18" s="2769"/>
      <c r="E18" s="726"/>
      <c r="F18" s="2769"/>
      <c r="G18" s="2769"/>
      <c r="H18" s="2769"/>
      <c r="I18" s="2769"/>
      <c r="J18" s="2769"/>
      <c r="K18" s="2769"/>
      <c r="L18" s="2769"/>
      <c r="M18" s="2769"/>
      <c r="N18" s="2769"/>
      <c r="O18" s="5245"/>
    </row>
    <row r="19" spans="1:15" s="597" customFormat="1" ht="18.75" customHeight="1">
      <c r="A19" s="4389" t="s">
        <v>29</v>
      </c>
      <c r="B19" s="44" t="s">
        <v>3253</v>
      </c>
      <c r="C19" s="726">
        <f t="shared" si="4"/>
        <v>11626</v>
      </c>
      <c r="D19" s="2769">
        <f>+'Phụ lục số 8.1'!P18</f>
        <v>1229</v>
      </c>
      <c r="E19" s="726">
        <f>+'Phụ lục số 8.1'!X18</f>
        <v>722</v>
      </c>
      <c r="F19" s="2769">
        <f>+'Phụ lục số 8.1'!AF18</f>
        <v>964</v>
      </c>
      <c r="G19" s="2769">
        <f>+'Phụ lục số 8.1'!AN18</f>
        <v>964</v>
      </c>
      <c r="H19" s="2769">
        <f>+'Phụ lục số 8.1'!AV18</f>
        <v>1227</v>
      </c>
      <c r="I19" s="2769">
        <f>+'Phụ lục số 8.1'!BD18</f>
        <v>1094</v>
      </c>
      <c r="J19" s="2769">
        <f>+'Phụ lục số 8.1'!BL18</f>
        <v>1123</v>
      </c>
      <c r="K19" s="2769">
        <f>+'Phụ lục số 8.1'!BT18</f>
        <v>1123</v>
      </c>
      <c r="L19" s="2769">
        <f>+'Phụ lục số 8.1'!CB18</f>
        <v>859</v>
      </c>
      <c r="M19" s="2769">
        <f>+'Phụ lục số 8.1'!CJ18</f>
        <v>857</v>
      </c>
      <c r="N19" s="2769">
        <f>+'Phụ lục số 8.1'!CR18</f>
        <v>605</v>
      </c>
      <c r="O19" s="5245">
        <f>+'Phụ lục số 8.1'!CZ18</f>
        <v>859</v>
      </c>
    </row>
    <row r="20" spans="1:15" s="728" customFormat="1" ht="18.75" customHeight="1">
      <c r="A20" s="5928" t="s">
        <v>29</v>
      </c>
      <c r="B20" s="44" t="s">
        <v>3271</v>
      </c>
      <c r="C20" s="727">
        <f t="shared" si="4"/>
        <v>84549</v>
      </c>
      <c r="D20" s="2769">
        <f>+'Phụ lục số 8.1'!P77</f>
        <v>4750</v>
      </c>
      <c r="E20" s="727">
        <f>+'Phụ lục số 8.1'!X77</f>
        <v>3750</v>
      </c>
      <c r="F20" s="2769">
        <f>+'Phụ lục số 8.1'!AF77</f>
        <v>9000</v>
      </c>
      <c r="G20" s="2769">
        <f>+'Phụ lục số 8.1'!AN77</f>
        <v>13500</v>
      </c>
      <c r="H20" s="2769">
        <f>+'Phụ lục số 8.1'!AV77</f>
        <v>9549</v>
      </c>
      <c r="I20" s="2769">
        <f>+'Phụ lục số 8.1'!BD77</f>
        <v>1500</v>
      </c>
      <c r="J20" s="2769">
        <f>+'Phụ lục số 8.1'!BL77</f>
        <v>13000</v>
      </c>
      <c r="K20" s="2769">
        <f>+'Phụ lục số 8.1'!BT77</f>
        <v>16500</v>
      </c>
      <c r="L20" s="2769">
        <f>+'Phụ lục số 8.1'!CB77</f>
        <v>3500</v>
      </c>
      <c r="M20" s="2769">
        <f>+'Phụ lục số 8.1'!CJ77</f>
        <v>3500</v>
      </c>
      <c r="N20" s="2769">
        <f>+'Phụ lục số 8.1'!CR77</f>
        <v>750</v>
      </c>
      <c r="O20" s="5245">
        <f>+'Phụ lục số 8.1'!CZ77</f>
        <v>5250</v>
      </c>
    </row>
    <row r="21" spans="1:15" s="2750" customFormat="1" ht="18.75" customHeight="1" thickBot="1">
      <c r="A21" s="5929" t="s">
        <v>29</v>
      </c>
      <c r="B21" s="4912" t="s">
        <v>3243</v>
      </c>
      <c r="C21" s="5930">
        <f t="shared" si="4"/>
        <v>158210</v>
      </c>
      <c r="D21" s="5930">
        <f>+'Phụ lục số 8.3-CĐCS'!AC27</f>
        <v>13323.758032636268</v>
      </c>
      <c r="E21" s="5930">
        <f>+'Phụ lục số 8.3-CĐCS'!AQ27</f>
        <v>7377.52897740754</v>
      </c>
      <c r="F21" s="5930">
        <f>+'Phụ lục số 8.3-CĐCS'!BE27</f>
        <v>10435.725794633185</v>
      </c>
      <c r="G21" s="5930">
        <f>+'Phụ lục số 8.3-CĐCS'!BS27</f>
        <v>5301.3408371845935</v>
      </c>
      <c r="H21" s="5930">
        <f>+'Phụ lục số 8.3-CĐCS'!CG27</f>
        <v>10848.418889482789</v>
      </c>
      <c r="I21" s="5930">
        <f>+'Phụ lục số 8.3-CĐCS'!CU27</f>
        <v>14487.235054122637</v>
      </c>
      <c r="J21" s="5930">
        <f>+'Phụ lục số 8.3-CĐCS'!DI27</f>
        <v>24195.724636092982</v>
      </c>
      <c r="K21" s="5930">
        <f>+'Phụ lục số 8.3-CĐCS'!DW27</f>
        <v>11303.010526687096</v>
      </c>
      <c r="L21" s="5930">
        <f>+'Phụ lục số 8.3-CĐCS'!EK27</f>
        <v>23248.515685107792</v>
      </c>
      <c r="M21" s="5930">
        <f>+'Phụ lục số 8.3-CĐCS'!EY27</f>
        <v>14099.517199497026</v>
      </c>
      <c r="N21" s="5930">
        <f>+'Phụ lục số 8.3-CĐCS'!FM27</f>
        <v>9709.1192461169012</v>
      </c>
      <c r="O21" s="5931">
        <f>+'Phụ lục số 8.3-CĐCS'!GA27</f>
        <v>13880.105121031198</v>
      </c>
    </row>
    <row r="22" spans="1:15" ht="18.600000000000001" thickTop="1"/>
    <row r="23" spans="1:15" s="597" customFormat="1" hidden="1">
      <c r="A23" s="2863"/>
      <c r="C23" s="5248">
        <f>+(C16+C14+C10+C6+C15)*1000000</f>
        <v>11751651907000.002</v>
      </c>
      <c r="D23" s="5248">
        <f>+(D16+D14+D10+D6+D15)*1000000</f>
        <v>800543990000</v>
      </c>
      <c r="E23" s="5248">
        <f t="shared" ref="E23:O23" si="6">+(E16+E14+E10+E6+E15)*1000000</f>
        <v>767830173999.99988</v>
      </c>
      <c r="F23" s="5248">
        <f t="shared" si="6"/>
        <v>713376219000</v>
      </c>
      <c r="G23" s="5248">
        <f t="shared" si="6"/>
        <v>778427452000</v>
      </c>
      <c r="H23" s="5248">
        <f t="shared" si="6"/>
        <v>950436226000</v>
      </c>
      <c r="I23" s="5248">
        <f t="shared" si="6"/>
        <v>1814306929000</v>
      </c>
      <c r="J23" s="5248">
        <f t="shared" si="6"/>
        <v>1193776620999.9998</v>
      </c>
      <c r="K23" s="5248">
        <f t="shared" si="6"/>
        <v>1015582878999.9999</v>
      </c>
      <c r="L23" s="5248">
        <f t="shared" si="6"/>
        <v>1007609827000</v>
      </c>
      <c r="M23" s="5248">
        <f t="shared" si="6"/>
        <v>891369383000</v>
      </c>
      <c r="N23" s="5248">
        <f t="shared" si="6"/>
        <v>946873735000</v>
      </c>
      <c r="O23" s="5248">
        <f t="shared" si="6"/>
        <v>871518472000.00012</v>
      </c>
    </row>
    <row r="24" spans="1:15" ht="18.75" hidden="1" customHeight="1">
      <c r="D24" s="729"/>
      <c r="E24" s="729"/>
      <c r="F24" s="729"/>
      <c r="G24" s="729"/>
      <c r="H24" s="729"/>
      <c r="I24" s="729"/>
      <c r="J24" s="729"/>
      <c r="K24" s="729"/>
      <c r="L24" s="729"/>
      <c r="M24" s="729"/>
      <c r="N24" s="729"/>
      <c r="O24" s="729"/>
    </row>
    <row r="25" spans="1:15" hidden="1">
      <c r="C25" s="2634">
        <f>+C14/C5</f>
        <v>1.8077590425687882E-2</v>
      </c>
      <c r="D25" s="2634">
        <f>+D14/(D5-D16)</f>
        <v>1.8992725156907555E-2</v>
      </c>
      <c r="E25" s="2634">
        <f t="shared" ref="E25:O25" si="7">+E14/(E5-E16)</f>
        <v>1.9444148599281546E-2</v>
      </c>
      <c r="F25" s="2634">
        <f t="shared" si="7"/>
        <v>1.8532230351129809E-2</v>
      </c>
      <c r="G25" s="2634">
        <f t="shared" si="7"/>
        <v>1.8439038663152427E-2</v>
      </c>
      <c r="H25" s="2634">
        <f t="shared" si="7"/>
        <v>1.8861732663046835E-2</v>
      </c>
      <c r="I25" s="2634">
        <f t="shared" si="7"/>
        <v>1.6325161663799118E-2</v>
      </c>
      <c r="J25" s="2634">
        <f t="shared" si="7"/>
        <v>1.8628632049454537E-2</v>
      </c>
      <c r="K25" s="2634">
        <f t="shared" si="7"/>
        <v>1.8376246676369647E-2</v>
      </c>
      <c r="L25" s="2634">
        <f t="shared" si="7"/>
        <v>1.9137097722592897E-2</v>
      </c>
      <c r="M25" s="2634">
        <f t="shared" si="7"/>
        <v>1.9226890400577172E-2</v>
      </c>
      <c r="N25" s="2634">
        <f t="shared" si="7"/>
        <v>1.8932269664409553E-2</v>
      </c>
      <c r="O25" s="2634">
        <f t="shared" si="7"/>
        <v>1.9146022009499601E-2</v>
      </c>
    </row>
    <row r="26" spans="1:15" hidden="1"/>
    <row r="27" spans="1:15" hidden="1"/>
    <row r="28" spans="1:15" hidden="1">
      <c r="C28" s="692">
        <f>+'Phụ lục số 8.1'!H30</f>
        <v>9335810.3570000008</v>
      </c>
    </row>
    <row r="29" spans="1:15" hidden="1">
      <c r="C29" s="692">
        <f>+C28-C16</f>
        <v>9081425.3570000008</v>
      </c>
    </row>
    <row r="30" spans="1:15">
      <c r="C30" s="692"/>
    </row>
  </sheetData>
  <mergeCells count="3">
    <mergeCell ref="A1:O1"/>
    <mergeCell ref="A2:O2"/>
    <mergeCell ref="M3:O3"/>
  </mergeCells>
  <hyperlinks>
    <hyperlink ref="A4" location="'Danh mục file'!A1" display="Số TT"/>
  </hyperlinks>
  <printOptions horizontalCentered="1"/>
  <pageMargins left="0" right="0" top="0.39370078740157483" bottom="0" header="0" footer="0"/>
  <pageSetup paperSize="9" scale="80" orientation="landscape" r:id="rId1"/>
  <headerFooter>
    <oddHeader>&amp;R&amp;"Times New Roman,Regular"&amp;12&amp;A</oddHeader>
    <oddFooter>&amp;C&amp;"Times New Roman,Regular"&amp;10&amp;P/&amp;N</oddFoot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tabColor rgb="FFFF0000"/>
  </sheetPr>
  <dimension ref="A1:DH82"/>
  <sheetViews>
    <sheetView zoomScale="54" zoomScaleNormal="54" workbookViewId="0">
      <pane xSplit="9" ySplit="8" topLeftCell="V9" activePane="bottomRight" state="frozen"/>
      <selection pane="topRight" activeCell="J1" sqref="J1"/>
      <selection pane="bottomLeft" activeCell="A9" sqref="A9"/>
      <selection pane="bottomRight" activeCell="V10" sqref="V10"/>
    </sheetView>
  </sheetViews>
  <sheetFormatPr defaultColWidth="10.33203125" defaultRowHeight="18"/>
  <cols>
    <col min="1" max="1" width="8.109375" style="3026" customWidth="1"/>
    <col min="2" max="2" width="87.33203125" style="2324" customWidth="1"/>
    <col min="3" max="3" width="14.88671875" style="2410" customWidth="1"/>
    <col min="4" max="50" width="14.88671875" style="2324" customWidth="1"/>
    <col min="51" max="106" width="14.5546875" style="2324" customWidth="1"/>
    <col min="107" max="111" width="10.33203125" style="2324"/>
    <col min="112" max="112" width="17.88671875" style="2324" bestFit="1" customWidth="1"/>
    <col min="113" max="16384" width="10.33203125" style="2324"/>
  </cols>
  <sheetData>
    <row r="1" spans="1:106">
      <c r="A1" s="6641" t="s">
        <v>1485</v>
      </c>
      <c r="B1" s="6641"/>
      <c r="C1" s="6641"/>
      <c r="D1" s="6641"/>
      <c r="E1" s="6641"/>
      <c r="F1" s="6641"/>
      <c r="G1" s="6641"/>
      <c r="H1" s="6641"/>
      <c r="I1" s="6641"/>
      <c r="J1" s="6641"/>
      <c r="K1" s="2325" t="str">
        <f>A1</f>
        <v>CÂN ĐỐI NGÂN SÁCH HUYỆN, THÀNH PHỐ NĂM 2023-2024</v>
      </c>
      <c r="L1" s="2325"/>
      <c r="M1" s="2325"/>
      <c r="N1" s="2325"/>
      <c r="O1" s="2325"/>
      <c r="P1" s="2325"/>
      <c r="Q1" s="2325"/>
      <c r="R1" s="2325"/>
      <c r="S1" s="2325" t="str">
        <f>K1</f>
        <v>CÂN ĐỐI NGÂN SÁCH HUYỆN, THÀNH PHỐ NĂM 2023-2024</v>
      </c>
      <c r="T1" s="2325"/>
      <c r="U1" s="2325"/>
      <c r="V1" s="2325"/>
      <c r="W1" s="2325"/>
      <c r="X1" s="2325"/>
      <c r="Y1" s="2325"/>
      <c r="Z1" s="2325"/>
      <c r="AA1" s="2325" t="str">
        <f>S1</f>
        <v>CÂN ĐỐI NGÂN SÁCH HUYỆN, THÀNH PHỐ NĂM 2023-2024</v>
      </c>
      <c r="AB1" s="2326"/>
      <c r="AC1" s="2326"/>
      <c r="AD1" s="2326"/>
      <c r="AE1" s="2326"/>
      <c r="AF1" s="2326"/>
      <c r="AG1" s="2326"/>
      <c r="AH1" s="2326"/>
      <c r="AI1" s="2325" t="str">
        <f>AA1</f>
        <v>CÂN ĐỐI NGÂN SÁCH HUYỆN, THÀNH PHỐ NĂM 2023-2024</v>
      </c>
      <c r="AJ1" s="2326"/>
      <c r="AK1" s="2326"/>
      <c r="AL1" s="2326"/>
      <c r="AM1" s="2326"/>
      <c r="AN1" s="2326"/>
      <c r="AO1" s="2326"/>
      <c r="AP1" s="2326"/>
      <c r="AQ1" s="2325" t="str">
        <f>AI1</f>
        <v>CÂN ĐỐI NGÂN SÁCH HUYỆN, THÀNH PHỐ NĂM 2023-2024</v>
      </c>
      <c r="AR1" s="2326"/>
      <c r="AS1" s="2326"/>
      <c r="AT1" s="2326"/>
      <c r="AU1" s="2326"/>
      <c r="AV1" s="2326"/>
      <c r="AW1" s="2326"/>
      <c r="AX1" s="2326"/>
      <c r="AY1" s="2325" t="str">
        <f>AQ1</f>
        <v>CÂN ĐỐI NGÂN SÁCH HUYỆN, THÀNH PHỐ NĂM 2023-2024</v>
      </c>
      <c r="AZ1" s="2326"/>
      <c r="BA1" s="2326"/>
      <c r="BB1" s="2326"/>
      <c r="BC1" s="2326"/>
      <c r="BD1" s="2326"/>
      <c r="BE1" s="2326"/>
      <c r="BF1" s="2326"/>
      <c r="BG1" s="2325" t="str">
        <f>AY1</f>
        <v>CÂN ĐỐI NGÂN SÁCH HUYỆN, THÀNH PHỐ NĂM 2023-2024</v>
      </c>
      <c r="BH1" s="2326"/>
      <c r="BI1" s="2326"/>
      <c r="BJ1" s="2326"/>
      <c r="BK1" s="2326"/>
      <c r="BL1" s="2326"/>
      <c r="BM1" s="2326"/>
      <c r="BN1" s="2326"/>
      <c r="BO1" s="2325" t="str">
        <f>BG1</f>
        <v>CÂN ĐỐI NGÂN SÁCH HUYỆN, THÀNH PHỐ NĂM 2023-2024</v>
      </c>
      <c r="BP1" s="2326"/>
      <c r="BQ1" s="2326"/>
      <c r="BR1" s="2326"/>
      <c r="BS1" s="2326"/>
      <c r="BT1" s="2326"/>
      <c r="BU1" s="2326"/>
      <c r="BV1" s="2326"/>
      <c r="BW1" s="2325" t="str">
        <f>BO1</f>
        <v>CÂN ĐỐI NGÂN SÁCH HUYỆN, THÀNH PHỐ NĂM 2023-2024</v>
      </c>
      <c r="BX1" s="2326"/>
      <c r="BY1" s="2326"/>
      <c r="BZ1" s="2326"/>
      <c r="CA1" s="2326"/>
      <c r="CB1" s="2326"/>
      <c r="CC1" s="2326"/>
      <c r="CD1" s="2326"/>
      <c r="CE1" s="2325" t="str">
        <f>BW1</f>
        <v>CÂN ĐỐI NGÂN SÁCH HUYỆN, THÀNH PHỐ NĂM 2023-2024</v>
      </c>
      <c r="CF1" s="2326"/>
      <c r="CG1" s="2326"/>
      <c r="CH1" s="2326"/>
      <c r="CI1" s="2326"/>
      <c r="CJ1" s="2326"/>
      <c r="CK1" s="2326"/>
      <c r="CL1" s="2326"/>
      <c r="CM1" s="2325" t="str">
        <f>CE1</f>
        <v>CÂN ĐỐI NGÂN SÁCH HUYỆN, THÀNH PHỐ NĂM 2023-2024</v>
      </c>
      <c r="CN1" s="2326"/>
      <c r="CO1" s="2326"/>
      <c r="CP1" s="2326"/>
      <c r="CQ1" s="2326"/>
      <c r="CR1" s="2326"/>
      <c r="CS1" s="2326"/>
      <c r="CT1" s="2326"/>
      <c r="CU1" s="2325" t="str">
        <f>CM1</f>
        <v>CÂN ĐỐI NGÂN SÁCH HUYỆN, THÀNH PHỐ NĂM 2023-2024</v>
      </c>
      <c r="CV1" s="2326"/>
      <c r="CW1" s="2326"/>
      <c r="CX1" s="2326"/>
      <c r="CY1" s="2326"/>
      <c r="CZ1" s="2326"/>
      <c r="DA1" s="2326"/>
      <c r="DB1" s="2326"/>
    </row>
    <row r="2" spans="1:106">
      <c r="C2" s="2325"/>
      <c r="D2" s="2325"/>
      <c r="E2" s="2325"/>
      <c r="F2" s="2325"/>
      <c r="G2" s="2326"/>
      <c r="H2" s="2326"/>
      <c r="I2" s="2326"/>
      <c r="J2" s="2326"/>
      <c r="K2" s="2325"/>
      <c r="L2" s="2325"/>
      <c r="M2" s="2325"/>
      <c r="N2" s="2325"/>
      <c r="O2" s="2325"/>
      <c r="P2" s="2325"/>
      <c r="Q2" s="2325"/>
      <c r="R2" s="2325"/>
      <c r="S2" s="2325"/>
      <c r="T2" s="2325"/>
      <c r="U2" s="2325"/>
      <c r="V2" s="2325"/>
      <c r="W2" s="2325"/>
      <c r="X2" s="2325"/>
      <c r="Y2" s="2325"/>
      <c r="Z2" s="2325"/>
      <c r="AA2" s="2325"/>
      <c r="AB2" s="2326"/>
      <c r="AC2" s="2326"/>
      <c r="AD2" s="2326"/>
      <c r="AE2" s="2326"/>
      <c r="AF2" s="2326"/>
      <c r="AG2" s="2326"/>
      <c r="AH2" s="2326"/>
      <c r="AI2" s="2325"/>
      <c r="AJ2" s="2326"/>
      <c r="AK2" s="2326"/>
      <c r="AL2" s="2326"/>
      <c r="AM2" s="2326"/>
      <c r="AN2" s="2326"/>
      <c r="AO2" s="2326"/>
      <c r="AP2" s="2326"/>
      <c r="AQ2" s="2325"/>
      <c r="AR2" s="2326"/>
      <c r="AS2" s="2326"/>
      <c r="AT2" s="2326"/>
      <c r="AU2" s="2326"/>
      <c r="AV2" s="2326"/>
      <c r="AW2" s="2326"/>
      <c r="AX2" s="2326"/>
      <c r="AY2" s="2325"/>
      <c r="AZ2" s="2326"/>
      <c r="BA2" s="2326"/>
      <c r="BB2" s="2326"/>
      <c r="BC2" s="2326"/>
      <c r="BD2" s="2326"/>
      <c r="BE2" s="2326"/>
      <c r="BF2" s="2326"/>
      <c r="BG2" s="2325"/>
      <c r="BH2" s="2326"/>
      <c r="BI2" s="2326"/>
      <c r="BJ2" s="2326"/>
      <c r="BK2" s="2326"/>
      <c r="BL2" s="2326"/>
      <c r="BM2" s="2326"/>
      <c r="BN2" s="2326"/>
      <c r="BO2" s="2325"/>
      <c r="BP2" s="2326"/>
      <c r="BQ2" s="2326"/>
      <c r="BR2" s="2326"/>
      <c r="BS2" s="2326"/>
      <c r="BT2" s="2326"/>
      <c r="BU2" s="2326"/>
      <c r="BV2" s="2326"/>
      <c r="BW2" s="2325"/>
      <c r="BX2" s="2326"/>
      <c r="BY2" s="2326"/>
      <c r="BZ2" s="2326"/>
      <c r="CA2" s="2326"/>
      <c r="CB2" s="2326"/>
      <c r="CC2" s="2326"/>
      <c r="CD2" s="2326"/>
      <c r="CE2" s="2325"/>
      <c r="CF2" s="2326"/>
      <c r="CG2" s="2326"/>
      <c r="CH2" s="2326"/>
      <c r="CI2" s="2326"/>
      <c r="CJ2" s="2326"/>
      <c r="CK2" s="2326"/>
      <c r="CL2" s="2326"/>
      <c r="CM2" s="2325"/>
      <c r="CN2" s="2326"/>
      <c r="CO2" s="2326"/>
      <c r="CP2" s="2326"/>
      <c r="CQ2" s="2326"/>
      <c r="CR2" s="2326"/>
      <c r="CS2" s="2326"/>
      <c r="CT2" s="2326"/>
      <c r="CU2" s="2325"/>
      <c r="CV2" s="2326"/>
      <c r="CW2" s="2326"/>
      <c r="CX2" s="2326"/>
      <c r="CY2" s="2326"/>
      <c r="CZ2" s="2326"/>
      <c r="DA2" s="2326"/>
      <c r="DB2" s="2326"/>
    </row>
    <row r="3" spans="1:106" s="2327" customFormat="1" thickBot="1">
      <c r="A3" s="3027"/>
      <c r="B3" s="2328"/>
      <c r="C3" s="2329"/>
      <c r="D3" s="2328"/>
      <c r="E3" s="2328"/>
      <c r="F3" s="2328"/>
      <c r="G3" s="2328"/>
      <c r="H3" s="2328"/>
      <c r="J3" s="2330" t="s">
        <v>638</v>
      </c>
      <c r="Q3" s="2330"/>
      <c r="R3" s="2330" t="s">
        <v>638</v>
      </c>
      <c r="Y3" s="2330"/>
      <c r="Z3" s="2330" t="s">
        <v>638</v>
      </c>
      <c r="AG3" s="2330"/>
      <c r="AH3" s="2330" t="s">
        <v>638</v>
      </c>
      <c r="AO3" s="2330"/>
      <c r="AP3" s="2330" t="s">
        <v>638</v>
      </c>
      <c r="AW3" s="2330"/>
      <c r="AX3" s="2330" t="s">
        <v>638</v>
      </c>
      <c r="BE3" s="2330"/>
      <c r="BF3" s="2330" t="s">
        <v>638</v>
      </c>
      <c r="BJ3" s="5079"/>
      <c r="BM3" s="2330"/>
      <c r="BN3" s="2330" t="s">
        <v>638</v>
      </c>
      <c r="BU3" s="2330"/>
      <c r="BV3" s="2330" t="s">
        <v>638</v>
      </c>
      <c r="CC3" s="2330"/>
      <c r="CD3" s="2330" t="s">
        <v>638</v>
      </c>
      <c r="CK3" s="2330"/>
      <c r="CL3" s="2330" t="s">
        <v>638</v>
      </c>
      <c r="CS3" s="2330"/>
      <c r="CT3" s="2330" t="s">
        <v>638</v>
      </c>
      <c r="DB3" s="2330" t="s">
        <v>638</v>
      </c>
    </row>
    <row r="4" spans="1:106" s="2331" customFormat="1">
      <c r="A4" s="6659" t="s">
        <v>247</v>
      </c>
      <c r="B4" s="6661" t="s">
        <v>1486</v>
      </c>
      <c r="C4" s="6663" t="s">
        <v>1008</v>
      </c>
      <c r="D4" s="6654"/>
      <c r="E4" s="6654"/>
      <c r="F4" s="6654"/>
      <c r="G4" s="6654"/>
      <c r="H4" s="6654"/>
      <c r="I4" s="6654"/>
      <c r="J4" s="6655"/>
      <c r="K4" s="6664" t="s">
        <v>1487</v>
      </c>
      <c r="L4" s="6665"/>
      <c r="M4" s="6665"/>
      <c r="N4" s="6665"/>
      <c r="O4" s="6665"/>
      <c r="P4" s="6665"/>
      <c r="Q4" s="6665"/>
      <c r="R4" s="6666"/>
      <c r="S4" s="6665" t="s">
        <v>1488</v>
      </c>
      <c r="T4" s="6665"/>
      <c r="U4" s="6665"/>
      <c r="V4" s="6665"/>
      <c r="W4" s="6665"/>
      <c r="X4" s="6665"/>
      <c r="Y4" s="6665"/>
      <c r="Z4" s="6666"/>
      <c r="AA4" s="6653" t="s">
        <v>1489</v>
      </c>
      <c r="AB4" s="6654"/>
      <c r="AC4" s="6654"/>
      <c r="AD4" s="6654"/>
      <c r="AE4" s="6654"/>
      <c r="AF4" s="6654"/>
      <c r="AG4" s="6654"/>
      <c r="AH4" s="6655"/>
      <c r="AI4" s="6653" t="s">
        <v>1490</v>
      </c>
      <c r="AJ4" s="6654"/>
      <c r="AK4" s="6654"/>
      <c r="AL4" s="6654"/>
      <c r="AM4" s="6654"/>
      <c r="AN4" s="6654"/>
      <c r="AO4" s="6654"/>
      <c r="AP4" s="6655"/>
      <c r="AQ4" s="6656" t="s">
        <v>1491</v>
      </c>
      <c r="AR4" s="6657"/>
      <c r="AS4" s="6657"/>
      <c r="AT4" s="6657"/>
      <c r="AU4" s="6657"/>
      <c r="AV4" s="6657"/>
      <c r="AW4" s="6657"/>
      <c r="AX4" s="6658"/>
      <c r="AY4" s="6653" t="s">
        <v>1492</v>
      </c>
      <c r="AZ4" s="6654"/>
      <c r="BA4" s="6654"/>
      <c r="BB4" s="6654"/>
      <c r="BC4" s="6654"/>
      <c r="BD4" s="6654"/>
      <c r="BE4" s="6654"/>
      <c r="BF4" s="6655"/>
      <c r="BG4" s="6653" t="s">
        <v>1493</v>
      </c>
      <c r="BH4" s="6654"/>
      <c r="BI4" s="6654"/>
      <c r="BJ4" s="6654"/>
      <c r="BK4" s="6654"/>
      <c r="BL4" s="6654"/>
      <c r="BM4" s="6654"/>
      <c r="BN4" s="6655"/>
      <c r="BO4" s="6653" t="s">
        <v>1494</v>
      </c>
      <c r="BP4" s="6654"/>
      <c r="BQ4" s="6654"/>
      <c r="BR4" s="6654"/>
      <c r="BS4" s="6654"/>
      <c r="BT4" s="6654"/>
      <c r="BU4" s="6654"/>
      <c r="BV4" s="6655"/>
      <c r="BW4" s="6653" t="s">
        <v>1495</v>
      </c>
      <c r="BX4" s="6654"/>
      <c r="BY4" s="6654"/>
      <c r="BZ4" s="6654"/>
      <c r="CA4" s="6654"/>
      <c r="CB4" s="6654"/>
      <c r="CC4" s="6654"/>
      <c r="CD4" s="6655"/>
      <c r="CE4" s="6653" t="s">
        <v>1496</v>
      </c>
      <c r="CF4" s="6654"/>
      <c r="CG4" s="6654"/>
      <c r="CH4" s="6654"/>
      <c r="CI4" s="6654"/>
      <c r="CJ4" s="6654"/>
      <c r="CK4" s="6654"/>
      <c r="CL4" s="6655"/>
      <c r="CM4" s="6653" t="s">
        <v>1497</v>
      </c>
      <c r="CN4" s="6654"/>
      <c r="CO4" s="6654"/>
      <c r="CP4" s="6654"/>
      <c r="CQ4" s="6654"/>
      <c r="CR4" s="6654"/>
      <c r="CS4" s="6654"/>
      <c r="CT4" s="6655"/>
      <c r="CU4" s="6653" t="s">
        <v>1498</v>
      </c>
      <c r="CV4" s="6654"/>
      <c r="CW4" s="6654"/>
      <c r="CX4" s="6654"/>
      <c r="CY4" s="6654"/>
      <c r="CZ4" s="6654"/>
      <c r="DA4" s="6654"/>
      <c r="DB4" s="6655"/>
    </row>
    <row r="5" spans="1:106" s="2332" customFormat="1" ht="17.399999999999999">
      <c r="A5" s="6660"/>
      <c r="B5" s="6662"/>
      <c r="C5" s="6646" t="s">
        <v>290</v>
      </c>
      <c r="D5" s="6647"/>
      <c r="E5" s="6648"/>
      <c r="F5" s="6646" t="s">
        <v>1122</v>
      </c>
      <c r="G5" s="6647"/>
      <c r="H5" s="6648"/>
      <c r="I5" s="6649" t="s">
        <v>1774</v>
      </c>
      <c r="J5" s="6644" t="s">
        <v>1775</v>
      </c>
      <c r="K5" s="6651" t="str">
        <f>C5</f>
        <v>NĂM 2024</v>
      </c>
      <c r="L5" s="6647"/>
      <c r="M5" s="6648"/>
      <c r="N5" s="6646" t="str">
        <f>F5</f>
        <v>DỰ TOÁN 2025</v>
      </c>
      <c r="O5" s="6647"/>
      <c r="P5" s="6648"/>
      <c r="Q5" s="6649" t="str">
        <f>I5</f>
        <v>DT2025/
DT2024
(Số tuyệt đối)</v>
      </c>
      <c r="R5" s="6644" t="str">
        <f>J5</f>
        <v>DT2025/
DT2024
(Số tương đối)</v>
      </c>
      <c r="S5" s="6648" t="str">
        <f>K5</f>
        <v>NĂM 2024</v>
      </c>
      <c r="T5" s="6662"/>
      <c r="U5" s="6662"/>
      <c r="V5" s="6662" t="str">
        <f>N5</f>
        <v>DỰ TOÁN 2025</v>
      </c>
      <c r="W5" s="6662"/>
      <c r="X5" s="6662"/>
      <c r="Y5" s="6649" t="str">
        <f>Q5</f>
        <v>DT2025/
DT2024
(Số tuyệt đối)</v>
      </c>
      <c r="Z5" s="6644" t="str">
        <f>R5</f>
        <v>DT2025/
DT2024
(Số tương đối)</v>
      </c>
      <c r="AA5" s="6651" t="str">
        <f>S5</f>
        <v>NĂM 2024</v>
      </c>
      <c r="AB5" s="6647"/>
      <c r="AC5" s="6648"/>
      <c r="AD5" s="6646" t="str">
        <f>V5</f>
        <v>DỰ TOÁN 2025</v>
      </c>
      <c r="AE5" s="6647"/>
      <c r="AF5" s="6648"/>
      <c r="AG5" s="6649" t="str">
        <f>Y5</f>
        <v>DT2025/
DT2024
(Số tuyệt đối)</v>
      </c>
      <c r="AH5" s="6644" t="str">
        <f>Z5</f>
        <v>DT2025/
DT2024
(Số tương đối)</v>
      </c>
      <c r="AI5" s="6651" t="str">
        <f>AA5</f>
        <v>NĂM 2024</v>
      </c>
      <c r="AJ5" s="6647"/>
      <c r="AK5" s="6648"/>
      <c r="AL5" s="6646" t="str">
        <f>AD5</f>
        <v>DỰ TOÁN 2025</v>
      </c>
      <c r="AM5" s="6647"/>
      <c r="AN5" s="6648"/>
      <c r="AO5" s="6649" t="str">
        <f>AG5</f>
        <v>DT2025/
DT2024
(Số tuyệt đối)</v>
      </c>
      <c r="AP5" s="6644" t="str">
        <f>AH5</f>
        <v>DT2025/
DT2024
(Số tương đối)</v>
      </c>
      <c r="AQ5" s="6651" t="str">
        <f>AI5</f>
        <v>NĂM 2024</v>
      </c>
      <c r="AR5" s="6647"/>
      <c r="AS5" s="6648"/>
      <c r="AT5" s="6646" t="str">
        <f>AL5</f>
        <v>DỰ TOÁN 2025</v>
      </c>
      <c r="AU5" s="6647"/>
      <c r="AV5" s="6648"/>
      <c r="AW5" s="6649" t="str">
        <f>AO5</f>
        <v>DT2025/
DT2024
(Số tuyệt đối)</v>
      </c>
      <c r="AX5" s="6644" t="str">
        <f>AP5</f>
        <v>DT2025/
DT2024
(Số tương đối)</v>
      </c>
      <c r="AY5" s="6651" t="str">
        <f>AQ5</f>
        <v>NĂM 2024</v>
      </c>
      <c r="AZ5" s="6647"/>
      <c r="BA5" s="6648"/>
      <c r="BB5" s="6646" t="str">
        <f>AT5</f>
        <v>DỰ TOÁN 2025</v>
      </c>
      <c r="BC5" s="6647"/>
      <c r="BD5" s="6648"/>
      <c r="BE5" s="6649" t="str">
        <f>AW5</f>
        <v>DT2025/
DT2024
(Số tuyệt đối)</v>
      </c>
      <c r="BF5" s="6644" t="str">
        <f>AX5</f>
        <v>DT2025/
DT2024
(Số tương đối)</v>
      </c>
      <c r="BG5" s="6651" t="str">
        <f>AY5</f>
        <v>NĂM 2024</v>
      </c>
      <c r="BH5" s="6647"/>
      <c r="BI5" s="6648"/>
      <c r="BJ5" s="6646" t="str">
        <f>BB5</f>
        <v>DỰ TOÁN 2025</v>
      </c>
      <c r="BK5" s="6647"/>
      <c r="BL5" s="6648"/>
      <c r="BM5" s="6649" t="str">
        <f>BE5</f>
        <v>DT2025/
DT2024
(Số tuyệt đối)</v>
      </c>
      <c r="BN5" s="6644" t="str">
        <f>BF5</f>
        <v>DT2025/
DT2024
(Số tương đối)</v>
      </c>
      <c r="BO5" s="6651" t="str">
        <f>BG5</f>
        <v>NĂM 2024</v>
      </c>
      <c r="BP5" s="6647"/>
      <c r="BQ5" s="6648"/>
      <c r="BR5" s="6646" t="str">
        <f>BJ5</f>
        <v>DỰ TOÁN 2025</v>
      </c>
      <c r="BS5" s="6647"/>
      <c r="BT5" s="6648"/>
      <c r="BU5" s="6649" t="str">
        <f>BM5</f>
        <v>DT2025/
DT2024
(Số tuyệt đối)</v>
      </c>
      <c r="BV5" s="6644" t="str">
        <f>BN5</f>
        <v>DT2025/
DT2024
(Số tương đối)</v>
      </c>
      <c r="BW5" s="6651" t="str">
        <f>BO5</f>
        <v>NĂM 2024</v>
      </c>
      <c r="BX5" s="6647"/>
      <c r="BY5" s="6648"/>
      <c r="BZ5" s="6646" t="str">
        <f>BR5</f>
        <v>DỰ TOÁN 2025</v>
      </c>
      <c r="CA5" s="6647"/>
      <c r="CB5" s="6648"/>
      <c r="CC5" s="6649" t="str">
        <f>BU5</f>
        <v>DT2025/
DT2024
(Số tuyệt đối)</v>
      </c>
      <c r="CD5" s="6644" t="str">
        <f>BV5</f>
        <v>DT2025/
DT2024
(Số tương đối)</v>
      </c>
      <c r="CE5" s="6651" t="str">
        <f>BW5</f>
        <v>NĂM 2024</v>
      </c>
      <c r="CF5" s="6647"/>
      <c r="CG5" s="6648"/>
      <c r="CH5" s="6646" t="str">
        <f>BZ5</f>
        <v>DỰ TOÁN 2025</v>
      </c>
      <c r="CI5" s="6647"/>
      <c r="CJ5" s="6648"/>
      <c r="CK5" s="6649" t="str">
        <f>CC5</f>
        <v>DT2025/
DT2024
(Số tuyệt đối)</v>
      </c>
      <c r="CL5" s="6644" t="str">
        <f>CD5</f>
        <v>DT2025/
DT2024
(Số tương đối)</v>
      </c>
      <c r="CM5" s="6651" t="str">
        <f>CE5</f>
        <v>NĂM 2024</v>
      </c>
      <c r="CN5" s="6647"/>
      <c r="CO5" s="6648"/>
      <c r="CP5" s="6646" t="str">
        <f>CH5</f>
        <v>DỰ TOÁN 2025</v>
      </c>
      <c r="CQ5" s="6647"/>
      <c r="CR5" s="6648"/>
      <c r="CS5" s="6649" t="str">
        <f>CK5</f>
        <v>DT2025/
DT2024
(Số tuyệt đối)</v>
      </c>
      <c r="CT5" s="6644" t="str">
        <f>CL5</f>
        <v>DT2025/
DT2024
(Số tương đối)</v>
      </c>
      <c r="CU5" s="6651" t="str">
        <f>CM5</f>
        <v>NĂM 2024</v>
      </c>
      <c r="CV5" s="6647"/>
      <c r="CW5" s="6648"/>
      <c r="CX5" s="6646" t="str">
        <f>CP5</f>
        <v>DỰ TOÁN 2025</v>
      </c>
      <c r="CY5" s="6647"/>
      <c r="CZ5" s="6648"/>
      <c r="DA5" s="6649" t="str">
        <f>CS5</f>
        <v>DT2025/
DT2024
(Số tuyệt đối)</v>
      </c>
      <c r="DB5" s="6644" t="str">
        <f>CT5</f>
        <v>DT2025/
DT2024
(Số tương đối)</v>
      </c>
    </row>
    <row r="6" spans="1:106" s="2332" customFormat="1" ht="251.4" customHeight="1">
      <c r="A6" s="6660"/>
      <c r="B6" s="6662"/>
      <c r="C6" s="2333" t="s">
        <v>1499</v>
      </c>
      <c r="D6" s="2333" t="s">
        <v>1500</v>
      </c>
      <c r="E6" s="2333" t="s">
        <v>120</v>
      </c>
      <c r="F6" s="2333" t="s">
        <v>1501</v>
      </c>
      <c r="G6" s="2333" t="s">
        <v>1772</v>
      </c>
      <c r="H6" s="2333" t="s">
        <v>1773</v>
      </c>
      <c r="I6" s="6650"/>
      <c r="J6" s="6645"/>
      <c r="K6" s="2334" t="str">
        <f>C6</f>
        <v>DỰ TOÁN (GIAO ĐẦU NĂM)</v>
      </c>
      <c r="L6" s="2333" t="str">
        <f>D6</f>
        <v>ĐIỀU CHỈNH DỰ TOÁN</v>
      </c>
      <c r="M6" s="2333" t="str">
        <f>E6</f>
        <v>ƯỚC THỰC HIỆN NĂM 2024</v>
      </c>
      <c r="N6" s="2333" t="str">
        <f>F6</f>
        <v xml:space="preserve">DỰ TOÁN </v>
      </c>
      <c r="O6" s="2333" t="str">
        <f>G6</f>
        <v>Tiền lương tăng thêm 2,340 triệu tháng (12 tháng)</v>
      </c>
      <c r="P6" s="2333" t="str">
        <f>H6</f>
        <v>DỰ TOÁN (tiền lương tăng thêm 2,340 triệu đồng/tháng (Nếu có) và chính sách an sinh xã hội tăng thêm)</v>
      </c>
      <c r="Q6" s="6650"/>
      <c r="R6" s="6645"/>
      <c r="S6" s="2335" t="str">
        <f>K6</f>
        <v>DỰ TOÁN (GIAO ĐẦU NĂM)</v>
      </c>
      <c r="T6" s="2333" t="str">
        <f t="shared" ref="T6:X6" si="0">L6</f>
        <v>ĐIỀU CHỈNH DỰ TOÁN</v>
      </c>
      <c r="U6" s="2333" t="str">
        <f t="shared" si="0"/>
        <v>ƯỚC THỰC HIỆN NĂM 2024</v>
      </c>
      <c r="V6" s="2333" t="str">
        <f t="shared" si="0"/>
        <v xml:space="preserve">DỰ TOÁN </v>
      </c>
      <c r="W6" s="2333" t="str">
        <f>O6</f>
        <v>Tiền lương tăng thêm 2,340 triệu tháng (12 tháng)</v>
      </c>
      <c r="X6" s="2333" t="str">
        <f t="shared" si="0"/>
        <v>DỰ TOÁN (tiền lương tăng thêm 2,340 triệu đồng/tháng (Nếu có) và chính sách an sinh xã hội tăng thêm)</v>
      </c>
      <c r="Y6" s="6650"/>
      <c r="Z6" s="6645"/>
      <c r="AA6" s="2334" t="str">
        <f>S6</f>
        <v>DỰ TOÁN (GIAO ĐẦU NĂM)</v>
      </c>
      <c r="AB6" s="2333" t="str">
        <f>T6</f>
        <v>ĐIỀU CHỈNH DỰ TOÁN</v>
      </c>
      <c r="AC6" s="2333" t="str">
        <f t="shared" ref="AC6:AF6" si="1">U6</f>
        <v>ƯỚC THỰC HIỆN NĂM 2024</v>
      </c>
      <c r="AD6" s="2333" t="str">
        <f t="shared" si="1"/>
        <v xml:space="preserve">DỰ TOÁN </v>
      </c>
      <c r="AE6" s="2333" t="str">
        <f t="shared" si="1"/>
        <v>Tiền lương tăng thêm 2,340 triệu tháng (12 tháng)</v>
      </c>
      <c r="AF6" s="2333" t="str">
        <f t="shared" si="1"/>
        <v>DỰ TOÁN (tiền lương tăng thêm 2,340 triệu đồng/tháng (Nếu có) và chính sách an sinh xã hội tăng thêm)</v>
      </c>
      <c r="AG6" s="6650"/>
      <c r="AH6" s="6645"/>
      <c r="AI6" s="2334" t="str">
        <f>AA6</f>
        <v>DỰ TOÁN (GIAO ĐẦU NĂM)</v>
      </c>
      <c r="AJ6" s="2333" t="str">
        <f>AB6</f>
        <v>ĐIỀU CHỈNH DỰ TOÁN</v>
      </c>
      <c r="AK6" s="2333" t="str">
        <f t="shared" ref="AK6:AN6" si="2">AC6</f>
        <v>ƯỚC THỰC HIỆN NĂM 2024</v>
      </c>
      <c r="AL6" s="2333" t="str">
        <f t="shared" si="2"/>
        <v xml:space="preserve">DỰ TOÁN </v>
      </c>
      <c r="AM6" s="2333" t="str">
        <f t="shared" si="2"/>
        <v>Tiền lương tăng thêm 2,340 triệu tháng (12 tháng)</v>
      </c>
      <c r="AN6" s="2333" t="str">
        <f t="shared" si="2"/>
        <v>DỰ TOÁN (tiền lương tăng thêm 2,340 triệu đồng/tháng (Nếu có) và chính sách an sinh xã hội tăng thêm)</v>
      </c>
      <c r="AO6" s="6650"/>
      <c r="AP6" s="6645"/>
      <c r="AQ6" s="2334" t="str">
        <f>AI6</f>
        <v>DỰ TOÁN (GIAO ĐẦU NĂM)</v>
      </c>
      <c r="AR6" s="2333" t="str">
        <f>AJ6</f>
        <v>ĐIỀU CHỈNH DỰ TOÁN</v>
      </c>
      <c r="AS6" s="2333" t="str">
        <f t="shared" ref="AS6:AV6" si="3">AK6</f>
        <v>ƯỚC THỰC HIỆN NĂM 2024</v>
      </c>
      <c r="AT6" s="2333" t="str">
        <f t="shared" si="3"/>
        <v xml:space="preserve">DỰ TOÁN </v>
      </c>
      <c r="AU6" s="2333" t="str">
        <f t="shared" si="3"/>
        <v>Tiền lương tăng thêm 2,340 triệu tháng (12 tháng)</v>
      </c>
      <c r="AV6" s="2333" t="str">
        <f t="shared" si="3"/>
        <v>DỰ TOÁN (tiền lương tăng thêm 2,340 triệu đồng/tháng (Nếu có) và chính sách an sinh xã hội tăng thêm)</v>
      </c>
      <c r="AW6" s="6650"/>
      <c r="AX6" s="6645"/>
      <c r="AY6" s="2334" t="str">
        <f>AQ6</f>
        <v>DỰ TOÁN (GIAO ĐẦU NĂM)</v>
      </c>
      <c r="AZ6" s="2333" t="str">
        <f>AR6</f>
        <v>ĐIỀU CHỈNH DỰ TOÁN</v>
      </c>
      <c r="BA6" s="2333" t="str">
        <f>AS6</f>
        <v>ƯỚC THỰC HIỆN NĂM 2024</v>
      </c>
      <c r="BB6" s="2333" t="str">
        <f t="shared" ref="BB6:BD6" si="4">AT6</f>
        <v xml:space="preserve">DỰ TOÁN </v>
      </c>
      <c r="BC6" s="2333" t="str">
        <f t="shared" si="4"/>
        <v>Tiền lương tăng thêm 2,340 triệu tháng (12 tháng)</v>
      </c>
      <c r="BD6" s="2333" t="str">
        <f t="shared" si="4"/>
        <v>DỰ TOÁN (tiền lương tăng thêm 2,340 triệu đồng/tháng (Nếu có) và chính sách an sinh xã hội tăng thêm)</v>
      </c>
      <c r="BE6" s="6650"/>
      <c r="BF6" s="6645"/>
      <c r="BG6" s="2334" t="str">
        <f>AY6</f>
        <v>DỰ TOÁN (GIAO ĐẦU NĂM)</v>
      </c>
      <c r="BH6" s="2333" t="str">
        <f>AZ6</f>
        <v>ĐIỀU CHỈNH DỰ TOÁN</v>
      </c>
      <c r="BI6" s="2333" t="str">
        <f t="shared" ref="BI6:BL6" si="5">BA6</f>
        <v>ƯỚC THỰC HIỆN NĂM 2024</v>
      </c>
      <c r="BJ6" s="2333" t="str">
        <f t="shared" si="5"/>
        <v xml:space="preserve">DỰ TOÁN </v>
      </c>
      <c r="BK6" s="2333" t="str">
        <f t="shared" si="5"/>
        <v>Tiền lương tăng thêm 2,340 triệu tháng (12 tháng)</v>
      </c>
      <c r="BL6" s="2333" t="str">
        <f t="shared" si="5"/>
        <v>DỰ TOÁN (tiền lương tăng thêm 2,340 triệu đồng/tháng (Nếu có) và chính sách an sinh xã hội tăng thêm)</v>
      </c>
      <c r="BM6" s="6650"/>
      <c r="BN6" s="6645"/>
      <c r="BO6" s="2334" t="str">
        <f>BG6</f>
        <v>DỰ TOÁN (GIAO ĐẦU NĂM)</v>
      </c>
      <c r="BP6" s="2333" t="str">
        <f>BH6</f>
        <v>ĐIỀU CHỈNH DỰ TOÁN</v>
      </c>
      <c r="BQ6" s="2333" t="str">
        <f t="shared" ref="BQ6:BT6" si="6">BI6</f>
        <v>ƯỚC THỰC HIỆN NĂM 2024</v>
      </c>
      <c r="BR6" s="2333" t="str">
        <f t="shared" si="6"/>
        <v xml:space="preserve">DỰ TOÁN </v>
      </c>
      <c r="BS6" s="2333" t="str">
        <f t="shared" si="6"/>
        <v>Tiền lương tăng thêm 2,340 triệu tháng (12 tháng)</v>
      </c>
      <c r="BT6" s="2333" t="str">
        <f t="shared" si="6"/>
        <v>DỰ TOÁN (tiền lương tăng thêm 2,340 triệu đồng/tháng (Nếu có) và chính sách an sinh xã hội tăng thêm)</v>
      </c>
      <c r="BU6" s="6650"/>
      <c r="BV6" s="6645"/>
      <c r="BW6" s="2334" t="str">
        <f>BO6</f>
        <v>DỰ TOÁN (GIAO ĐẦU NĂM)</v>
      </c>
      <c r="BX6" s="2333" t="str">
        <f>BP6</f>
        <v>ĐIỀU CHỈNH DỰ TOÁN</v>
      </c>
      <c r="BY6" s="2333" t="str">
        <f t="shared" ref="BY6:CB6" si="7">BQ6</f>
        <v>ƯỚC THỰC HIỆN NĂM 2024</v>
      </c>
      <c r="BZ6" s="2333" t="str">
        <f t="shared" si="7"/>
        <v xml:space="preserve">DỰ TOÁN </v>
      </c>
      <c r="CA6" s="2333" t="str">
        <f t="shared" si="7"/>
        <v>Tiền lương tăng thêm 2,340 triệu tháng (12 tháng)</v>
      </c>
      <c r="CB6" s="2333" t="str">
        <f t="shared" si="7"/>
        <v>DỰ TOÁN (tiền lương tăng thêm 2,340 triệu đồng/tháng (Nếu có) và chính sách an sinh xã hội tăng thêm)</v>
      </c>
      <c r="CC6" s="6650"/>
      <c r="CD6" s="6645"/>
      <c r="CE6" s="2334" t="str">
        <f>BW6</f>
        <v>DỰ TOÁN (GIAO ĐẦU NĂM)</v>
      </c>
      <c r="CF6" s="2333" t="str">
        <f>BX6</f>
        <v>ĐIỀU CHỈNH DỰ TOÁN</v>
      </c>
      <c r="CG6" s="2333" t="str">
        <f t="shared" ref="CG6:CJ6" si="8">BY6</f>
        <v>ƯỚC THỰC HIỆN NĂM 2024</v>
      </c>
      <c r="CH6" s="2333" t="str">
        <f t="shared" si="8"/>
        <v xml:space="preserve">DỰ TOÁN </v>
      </c>
      <c r="CI6" s="2333" t="str">
        <f t="shared" si="8"/>
        <v>Tiền lương tăng thêm 2,340 triệu tháng (12 tháng)</v>
      </c>
      <c r="CJ6" s="2333" t="str">
        <f t="shared" si="8"/>
        <v>DỰ TOÁN (tiền lương tăng thêm 2,340 triệu đồng/tháng (Nếu có) và chính sách an sinh xã hội tăng thêm)</v>
      </c>
      <c r="CK6" s="6650"/>
      <c r="CL6" s="6645"/>
      <c r="CM6" s="2334" t="str">
        <f>CE6</f>
        <v>DỰ TOÁN (GIAO ĐẦU NĂM)</v>
      </c>
      <c r="CN6" s="2333" t="str">
        <f>CF6</f>
        <v>ĐIỀU CHỈNH DỰ TOÁN</v>
      </c>
      <c r="CO6" s="2333" t="str">
        <f t="shared" ref="CO6:CR6" si="9">CG6</f>
        <v>ƯỚC THỰC HIỆN NĂM 2024</v>
      </c>
      <c r="CP6" s="2333" t="str">
        <f t="shared" si="9"/>
        <v xml:space="preserve">DỰ TOÁN </v>
      </c>
      <c r="CQ6" s="2333" t="str">
        <f t="shared" si="9"/>
        <v>Tiền lương tăng thêm 2,340 triệu tháng (12 tháng)</v>
      </c>
      <c r="CR6" s="2333" t="str">
        <f t="shared" si="9"/>
        <v>DỰ TOÁN (tiền lương tăng thêm 2,340 triệu đồng/tháng (Nếu có) và chính sách an sinh xã hội tăng thêm)</v>
      </c>
      <c r="CS6" s="6650"/>
      <c r="CT6" s="6645"/>
      <c r="CU6" s="2334" t="str">
        <f>CM6</f>
        <v>DỰ TOÁN (GIAO ĐẦU NĂM)</v>
      </c>
      <c r="CV6" s="2333" t="str">
        <f>CN6</f>
        <v>ĐIỀU CHỈNH DỰ TOÁN</v>
      </c>
      <c r="CW6" s="2333" t="str">
        <f t="shared" ref="CW6:CZ6" si="10">CO6</f>
        <v>ƯỚC THỰC HIỆN NĂM 2024</v>
      </c>
      <c r="CX6" s="2333" t="str">
        <f t="shared" si="10"/>
        <v xml:space="preserve">DỰ TOÁN </v>
      </c>
      <c r="CY6" s="2333" t="str">
        <f t="shared" si="10"/>
        <v>Tiền lương tăng thêm 2,340 triệu tháng (12 tháng)</v>
      </c>
      <c r="CZ6" s="2333" t="str">
        <f t="shared" si="10"/>
        <v>DỰ TOÁN (tiền lương tăng thêm 2,340 triệu đồng/tháng (Nếu có) và chính sách an sinh xã hội tăng thêm)</v>
      </c>
      <c r="DA6" s="6650"/>
      <c r="DB6" s="6645"/>
    </row>
    <row r="7" spans="1:106" s="2332" customFormat="1" ht="17.399999999999999">
      <c r="A7" s="2336" t="s">
        <v>1</v>
      </c>
      <c r="B7" s="2337" t="s">
        <v>37</v>
      </c>
      <c r="C7" s="2338">
        <v>1</v>
      </c>
      <c r="D7" s="2338">
        <f>C7+1</f>
        <v>2</v>
      </c>
      <c r="E7" s="2338">
        <v>3</v>
      </c>
      <c r="F7" s="2338">
        <v>4</v>
      </c>
      <c r="G7" s="2338">
        <v>5</v>
      </c>
      <c r="H7" s="2338">
        <v>6</v>
      </c>
      <c r="I7" s="2337" t="s">
        <v>1502</v>
      </c>
      <c r="J7" s="2339" t="s">
        <v>1503</v>
      </c>
      <c r="K7" s="2340">
        <v>1</v>
      </c>
      <c r="L7" s="2338">
        <f>K7+1</f>
        <v>2</v>
      </c>
      <c r="M7" s="2338">
        <v>3</v>
      </c>
      <c r="N7" s="2338">
        <v>4</v>
      </c>
      <c r="O7" s="2338">
        <v>5</v>
      </c>
      <c r="P7" s="2338">
        <v>6</v>
      </c>
      <c r="Q7" s="2337" t="s">
        <v>1502</v>
      </c>
      <c r="R7" s="2339" t="s">
        <v>1503</v>
      </c>
      <c r="S7" s="2341">
        <v>1</v>
      </c>
      <c r="T7" s="2338">
        <f>S7+1</f>
        <v>2</v>
      </c>
      <c r="U7" s="2338">
        <v>3</v>
      </c>
      <c r="V7" s="2338">
        <v>4</v>
      </c>
      <c r="W7" s="2338">
        <v>5</v>
      </c>
      <c r="X7" s="2338">
        <v>6</v>
      </c>
      <c r="Y7" s="2337" t="s">
        <v>1502</v>
      </c>
      <c r="Z7" s="2339" t="s">
        <v>1503</v>
      </c>
      <c r="AA7" s="2340">
        <v>1</v>
      </c>
      <c r="AB7" s="2338">
        <f>AA7+1</f>
        <v>2</v>
      </c>
      <c r="AC7" s="2338">
        <v>3</v>
      </c>
      <c r="AD7" s="2338">
        <v>4</v>
      </c>
      <c r="AE7" s="2338">
        <v>5</v>
      </c>
      <c r="AF7" s="2338">
        <v>6</v>
      </c>
      <c r="AG7" s="2337" t="s">
        <v>1502</v>
      </c>
      <c r="AH7" s="2339" t="s">
        <v>1503</v>
      </c>
      <c r="AI7" s="2340">
        <v>1</v>
      </c>
      <c r="AJ7" s="2338">
        <f>AI7+1</f>
        <v>2</v>
      </c>
      <c r="AK7" s="2338">
        <v>3</v>
      </c>
      <c r="AL7" s="2338">
        <v>4</v>
      </c>
      <c r="AM7" s="2338">
        <v>5</v>
      </c>
      <c r="AN7" s="2338">
        <v>6</v>
      </c>
      <c r="AO7" s="2337" t="s">
        <v>1502</v>
      </c>
      <c r="AP7" s="2339" t="s">
        <v>1503</v>
      </c>
      <c r="AQ7" s="2340">
        <v>1</v>
      </c>
      <c r="AR7" s="2338">
        <f>AQ7+1</f>
        <v>2</v>
      </c>
      <c r="AS7" s="2338">
        <v>3</v>
      </c>
      <c r="AT7" s="2338">
        <v>4</v>
      </c>
      <c r="AU7" s="2338">
        <v>5</v>
      </c>
      <c r="AV7" s="2338">
        <v>6</v>
      </c>
      <c r="AW7" s="2337" t="s">
        <v>1502</v>
      </c>
      <c r="AX7" s="2339" t="s">
        <v>1503</v>
      </c>
      <c r="AY7" s="2340">
        <v>1</v>
      </c>
      <c r="AZ7" s="2338">
        <f>AY7+1</f>
        <v>2</v>
      </c>
      <c r="BA7" s="2338">
        <v>3</v>
      </c>
      <c r="BB7" s="2338">
        <v>4</v>
      </c>
      <c r="BC7" s="2338">
        <v>5</v>
      </c>
      <c r="BD7" s="2338">
        <v>6</v>
      </c>
      <c r="BE7" s="2337" t="s">
        <v>1502</v>
      </c>
      <c r="BF7" s="2339" t="s">
        <v>1503</v>
      </c>
      <c r="BG7" s="2340">
        <v>1</v>
      </c>
      <c r="BH7" s="2338">
        <f>BG7+1</f>
        <v>2</v>
      </c>
      <c r="BI7" s="2338">
        <v>3</v>
      </c>
      <c r="BJ7" s="2338">
        <v>4</v>
      </c>
      <c r="BK7" s="2338">
        <v>5</v>
      </c>
      <c r="BL7" s="2338">
        <v>6</v>
      </c>
      <c r="BM7" s="2337" t="s">
        <v>1502</v>
      </c>
      <c r="BN7" s="2339" t="s">
        <v>1503</v>
      </c>
      <c r="BO7" s="2340">
        <v>1</v>
      </c>
      <c r="BP7" s="2338">
        <f>BO7+1</f>
        <v>2</v>
      </c>
      <c r="BQ7" s="2338">
        <v>3</v>
      </c>
      <c r="BR7" s="2338">
        <v>4</v>
      </c>
      <c r="BS7" s="2338">
        <v>5</v>
      </c>
      <c r="BT7" s="2338">
        <v>6</v>
      </c>
      <c r="BU7" s="2337" t="s">
        <v>1502</v>
      </c>
      <c r="BV7" s="2339" t="s">
        <v>1503</v>
      </c>
      <c r="BW7" s="2340">
        <v>1</v>
      </c>
      <c r="BX7" s="2338">
        <f>BW7+1</f>
        <v>2</v>
      </c>
      <c r="BY7" s="2338">
        <v>3</v>
      </c>
      <c r="BZ7" s="2338">
        <v>4</v>
      </c>
      <c r="CA7" s="2338">
        <v>5</v>
      </c>
      <c r="CB7" s="2338">
        <v>6</v>
      </c>
      <c r="CC7" s="2337" t="s">
        <v>1502</v>
      </c>
      <c r="CD7" s="2339" t="s">
        <v>1503</v>
      </c>
      <c r="CE7" s="2340">
        <v>1</v>
      </c>
      <c r="CF7" s="2338">
        <f>CE7+1</f>
        <v>2</v>
      </c>
      <c r="CG7" s="2338">
        <v>3</v>
      </c>
      <c r="CH7" s="2338">
        <v>4</v>
      </c>
      <c r="CI7" s="2338">
        <v>5</v>
      </c>
      <c r="CJ7" s="2338">
        <v>6</v>
      </c>
      <c r="CK7" s="2337" t="s">
        <v>1502</v>
      </c>
      <c r="CL7" s="2339" t="s">
        <v>1503</v>
      </c>
      <c r="CM7" s="2340">
        <v>1</v>
      </c>
      <c r="CN7" s="2338">
        <f>CM7+1</f>
        <v>2</v>
      </c>
      <c r="CO7" s="2338">
        <v>3</v>
      </c>
      <c r="CP7" s="2338">
        <v>4</v>
      </c>
      <c r="CQ7" s="2338">
        <v>5</v>
      </c>
      <c r="CR7" s="2338">
        <v>6</v>
      </c>
      <c r="CS7" s="2337" t="s">
        <v>1502</v>
      </c>
      <c r="CT7" s="2339" t="s">
        <v>1503</v>
      </c>
      <c r="CU7" s="2340">
        <v>1</v>
      </c>
      <c r="CV7" s="2338">
        <f>CU7+1</f>
        <v>2</v>
      </c>
      <c r="CW7" s="2338">
        <v>3</v>
      </c>
      <c r="CX7" s="2338">
        <v>4</v>
      </c>
      <c r="CY7" s="2338">
        <v>5</v>
      </c>
      <c r="CZ7" s="2338">
        <v>6</v>
      </c>
      <c r="DA7" s="2337" t="s">
        <v>1502</v>
      </c>
      <c r="DB7" s="2339" t="s">
        <v>1503</v>
      </c>
    </row>
    <row r="8" spans="1:106" s="2346" customFormat="1" ht="17.399999999999999">
      <c r="A8" s="2342" t="s">
        <v>3</v>
      </c>
      <c r="B8" s="2343" t="s">
        <v>1504</v>
      </c>
      <c r="C8" s="2344">
        <f>SUM(C9,C11,C13,C23,C24,C12)</f>
        <v>9908403.3479999993</v>
      </c>
      <c r="D8" s="2344">
        <f>SUM(D9,D11,D13,D23)</f>
        <v>0</v>
      </c>
      <c r="E8" s="2344">
        <f>SUM(E9,E11,E13,E23,E24,E12)</f>
        <v>9592432.1813333333</v>
      </c>
      <c r="F8" s="2344">
        <f>SUM(F9,F11,F13,F23,F24,F12)</f>
        <v>9693623.5240000002</v>
      </c>
      <c r="G8" s="2344">
        <f t="shared" ref="G8" si="11">SUM(G9,G11,G13,G23)</f>
        <v>0</v>
      </c>
      <c r="H8" s="2344">
        <f>SUM(H9,H11,H13,H23,H24,H12)</f>
        <v>11751651.907</v>
      </c>
      <c r="I8" s="2264">
        <f>F8-C8</f>
        <v>-214779.82399999909</v>
      </c>
      <c r="J8" s="2345">
        <f>F8/C8%</f>
        <v>97.832346782255769</v>
      </c>
      <c r="K8" s="2344">
        <f>SUM(K9,K11,K13,K23,K24,K12)</f>
        <v>664002</v>
      </c>
      <c r="L8" s="2344">
        <f>SUM(L9,L11,L13,L23)</f>
        <v>0</v>
      </c>
      <c r="M8" s="2344">
        <f>SUM(M9,M11,M13,M23,M24,M12)</f>
        <v>667442</v>
      </c>
      <c r="N8" s="2344">
        <f>SUM(N9,N11,N13,N23,N24,N12)</f>
        <v>640852</v>
      </c>
      <c r="O8" s="2344">
        <f t="shared" ref="O8" si="12">SUM(O9,O11,O13,O23)</f>
        <v>0</v>
      </c>
      <c r="P8" s="2344">
        <f>SUM(P9,P11,P13,P23,P24,P12)</f>
        <v>800543.99</v>
      </c>
      <c r="Q8" s="2264">
        <f>N8-K8</f>
        <v>-23150</v>
      </c>
      <c r="R8" s="2345">
        <f>N8/K8%</f>
        <v>96.513564718178557</v>
      </c>
      <c r="S8" s="2344">
        <f>SUM(S9,S11,S13,S23,S24,S12)</f>
        <v>675185</v>
      </c>
      <c r="T8" s="2344">
        <f>SUM(T9,T11,T13,T23)</f>
        <v>0</v>
      </c>
      <c r="U8" s="2344">
        <f>SUM(U9,U11,U13,U23,U24,U12)</f>
        <v>649520</v>
      </c>
      <c r="V8" s="2344">
        <f>SUM(V9,V11,V13,V23,V24,V12)</f>
        <v>642465</v>
      </c>
      <c r="W8" s="2344">
        <f t="shared" ref="W8" si="13">SUM(W9,W11,W13,W23)</f>
        <v>0</v>
      </c>
      <c r="X8" s="2344">
        <f>SUM(X9,X11,X13,X23,X24,X12)</f>
        <v>767830.174</v>
      </c>
      <c r="Y8" s="2264">
        <f>V8-S8</f>
        <v>-32720</v>
      </c>
      <c r="Z8" s="2345">
        <f>V8/S8%</f>
        <v>95.153920777268453</v>
      </c>
      <c r="AA8" s="2344">
        <f>SUM(AA9,AA11,AA13,AA23,AA24,AA12)</f>
        <v>573785.82400000002</v>
      </c>
      <c r="AB8" s="2344">
        <f>SUM(AB9,AB11,AB13,AB23)</f>
        <v>0</v>
      </c>
      <c r="AC8" s="2344">
        <f>SUM(AC9,AC11,AC13,AC23,AC24,AC12)</f>
        <v>573146.82400000002</v>
      </c>
      <c r="AD8" s="2344">
        <f>SUM(AD9,AD11,AD13,AD23,AD24,AD12)</f>
        <v>576396</v>
      </c>
      <c r="AE8" s="2344">
        <f t="shared" ref="AE8" si="14">SUM(AE9,AE11,AE13,AE23)</f>
        <v>0</v>
      </c>
      <c r="AF8" s="2344">
        <f>SUM(AF9,AF11,AF13,AF23,AF24,AF12)</f>
        <v>713376.21900000004</v>
      </c>
      <c r="AG8" s="2264">
        <f>AD8-AA8</f>
        <v>2610.1759999999776</v>
      </c>
      <c r="AH8" s="2345">
        <f>AD8/AA8%</f>
        <v>100.4549042326985</v>
      </c>
      <c r="AI8" s="2344">
        <f>SUM(AI9,AI11,AI13,AI23,AI24,AI12)</f>
        <v>629617.76</v>
      </c>
      <c r="AJ8" s="2344">
        <f>SUM(AJ9,AJ11,AJ13,AJ23)</f>
        <v>0</v>
      </c>
      <c r="AK8" s="2344">
        <f>SUM(AK9,AK11,AK13,AK23,AK24,AK12)</f>
        <v>610498.76</v>
      </c>
      <c r="AL8" s="2344">
        <f>SUM(AL9,AL11,AL13,AL23,AL24,AL12)</f>
        <v>625977.76</v>
      </c>
      <c r="AM8" s="2344">
        <f t="shared" ref="AM8" si="15">SUM(AM9,AM11,AM13,AM23)</f>
        <v>0</v>
      </c>
      <c r="AN8" s="2344">
        <f>SUM(AN9,AN11,AN13,AN23,AN24,AN12)</f>
        <v>778427.45200000005</v>
      </c>
      <c r="AO8" s="2264">
        <f>AL8-AI8</f>
        <v>-3640</v>
      </c>
      <c r="AP8" s="2345">
        <f>AL8/AI8%</f>
        <v>99.42187145419787</v>
      </c>
      <c r="AQ8" s="2344">
        <f>SUM(AQ9,AQ11,AQ13,AQ23,AQ24,AQ12)</f>
        <v>767421.35199999996</v>
      </c>
      <c r="AR8" s="2344">
        <f>SUM(AR9,AR11,AR13,AR23)</f>
        <v>0</v>
      </c>
      <c r="AS8" s="2344">
        <f>SUM(AS9,AS11,AS13,AS23,AS24,AS12)</f>
        <v>755828.01866666658</v>
      </c>
      <c r="AT8" s="2344">
        <f>SUM(AT9,AT11,AT13,AT23,AT24,AT12)</f>
        <v>706471.35199999996</v>
      </c>
      <c r="AU8" s="2344">
        <f t="shared" ref="AU8" si="16">SUM(AU9,AU11,AU13,AU23)</f>
        <v>0</v>
      </c>
      <c r="AV8" s="2344">
        <f>SUM(AV9,AV11,AV13,AV23,AV24,AV12)</f>
        <v>950436.22600000002</v>
      </c>
      <c r="AW8" s="2264">
        <f>AT8-AQ8</f>
        <v>-60950</v>
      </c>
      <c r="AX8" s="2345">
        <f>AT8/AQ8%</f>
        <v>92.057818062899045</v>
      </c>
      <c r="AY8" s="2344">
        <f>SUM(AY9,AY11,AY13,AY23,AY24,AY12)</f>
        <v>1598566.2</v>
      </c>
      <c r="AZ8" s="2344">
        <f>SUM(AZ9,AZ11,AZ13,AZ23)</f>
        <v>0</v>
      </c>
      <c r="BA8" s="2344">
        <f>SUM(BA9,BA11,BA13,BA23,BA24,BA12)</f>
        <v>1475566.2</v>
      </c>
      <c r="BB8" s="2344">
        <f>SUM(BB9,BB11,BB13,BB23,BB24,BB12)</f>
        <v>1652616.2</v>
      </c>
      <c r="BC8" s="2344">
        <f t="shared" ref="BC8" si="17">SUM(BC9,BC11,BC13,BC23)</f>
        <v>0</v>
      </c>
      <c r="BD8" s="2344">
        <f>SUM(BD9,BD11,BD13,BD23,BD24,BD12)</f>
        <v>1814306.929</v>
      </c>
      <c r="BE8" s="2264">
        <f>BB8-AY8</f>
        <v>54050</v>
      </c>
      <c r="BF8" s="2345">
        <f>BB8/AY8%</f>
        <v>103.38115493746834</v>
      </c>
      <c r="BG8" s="2344">
        <f>SUM(BG9,BG11,BG13,BG23,BG24,BG12)</f>
        <v>960665.2</v>
      </c>
      <c r="BH8" s="2344">
        <f>SUM(BH9,BH11,BH13,BH23)</f>
        <v>0</v>
      </c>
      <c r="BI8" s="2344">
        <f>SUM(BI9,BI11,BI13,BI23,BI24,BI12)</f>
        <v>972512.2</v>
      </c>
      <c r="BJ8" s="2344">
        <f>SUM(BJ9,BJ11,BJ13,BJ23,BJ24,BJ12)</f>
        <v>945325.2</v>
      </c>
      <c r="BK8" s="2344">
        <f t="shared" ref="BK8" si="18">SUM(BK9,BK11,BK13,BK23)</f>
        <v>0</v>
      </c>
      <c r="BL8" s="2344">
        <f>SUM(BL9,BL11,BL13,BL23,BL24,BL12)</f>
        <v>1193776.621</v>
      </c>
      <c r="BM8" s="2264">
        <f>BJ8-BG8</f>
        <v>-15340</v>
      </c>
      <c r="BN8" s="2345">
        <f>BJ8/BG8%</f>
        <v>98.403189789741518</v>
      </c>
      <c r="BO8" s="2344">
        <f>SUM(BO9,BO11,BO13,BO23,BO24,BO12)</f>
        <v>825155.6</v>
      </c>
      <c r="BP8" s="2344">
        <f>SUM(BP9,BP11,BP13,BP23)</f>
        <v>0</v>
      </c>
      <c r="BQ8" s="2344">
        <f>SUM(BQ9,BQ11,BQ13,BQ23,BQ24,BQ12)</f>
        <v>797948.1</v>
      </c>
      <c r="BR8" s="2344">
        <f>SUM(BR9,BR11,BR13,BR23,BR24,BR12)</f>
        <v>826105.6</v>
      </c>
      <c r="BS8" s="2344">
        <f t="shared" ref="BS8" si="19">SUM(BS9,BS11,BS13,BS23)</f>
        <v>0</v>
      </c>
      <c r="BT8" s="2344">
        <f>SUM(BT9,BT11,BT13,BT23,BT24,BT12)</f>
        <v>1015582.879</v>
      </c>
      <c r="BU8" s="2264">
        <f>BR8-BO8</f>
        <v>950</v>
      </c>
      <c r="BV8" s="2345">
        <f>BR8/BO8%</f>
        <v>100.11512980097329</v>
      </c>
      <c r="BW8" s="2344">
        <f>SUM(BW9,BW11,BW13,BW23,BW24,BW12)</f>
        <v>829132.94799999997</v>
      </c>
      <c r="BX8" s="2344">
        <f>SUM(BX9,BX11,BX13,BX23)</f>
        <v>0</v>
      </c>
      <c r="BY8" s="2344">
        <f>SUM(BY9,BY11,BY13,BY23,BY24,BY12)</f>
        <v>809232.94799999997</v>
      </c>
      <c r="BZ8" s="2344">
        <f>SUM(BZ9,BZ11,BZ13,BZ23,BZ24,BZ12)</f>
        <v>814832.94799999997</v>
      </c>
      <c r="CA8" s="2344">
        <f t="shared" ref="CA8" si="20">SUM(CA9,CA11,CA13,CA23)</f>
        <v>0</v>
      </c>
      <c r="CB8" s="2344">
        <f>SUM(CB9,CB11,CB13,CB23,CB24,CB12)</f>
        <v>1007609.827</v>
      </c>
      <c r="CC8" s="2264">
        <f>BZ8-BW8</f>
        <v>-14300</v>
      </c>
      <c r="CD8" s="2345">
        <f>BZ8/BW8%</f>
        <v>98.275306748514339</v>
      </c>
      <c r="CE8" s="2344">
        <f>SUM(CE9,CE11,CE13,CE23,CE24,CE12)</f>
        <v>717257.71200000006</v>
      </c>
      <c r="CF8" s="2344">
        <f>SUM(CF9,CF11,CF13,CF23)</f>
        <v>0</v>
      </c>
      <c r="CG8" s="2344">
        <f>SUM(CG9,CG11,CG13,CG23,CG24,CG12)</f>
        <v>734350.3786666668</v>
      </c>
      <c r="CH8" s="2344">
        <f>SUM(CH9,CH11,CH13,CH23,CH24,CH12)</f>
        <v>746907.71200000006</v>
      </c>
      <c r="CI8" s="2344">
        <f t="shared" ref="CI8" si="21">SUM(CI9,CI11,CI13,CI23)</f>
        <v>0</v>
      </c>
      <c r="CJ8" s="2344">
        <f>SUM(CJ9,CJ11,CJ13,CJ23,CJ24,CJ12)</f>
        <v>891369.38300000003</v>
      </c>
      <c r="CK8" s="2264">
        <f>CH8-CE8</f>
        <v>29650</v>
      </c>
      <c r="CL8" s="2345">
        <f>CH8/CE8%</f>
        <v>104.1338000977813</v>
      </c>
      <c r="CM8" s="2344">
        <f>SUM(CM9,CM11,CM13,CM23,CM24,CM12)</f>
        <v>953865.92</v>
      </c>
      <c r="CN8" s="2344">
        <f>SUM(CN9,CN11,CN13,CN23)</f>
        <v>0</v>
      </c>
      <c r="CO8" s="2344">
        <f>SUM(CO9,CO11,CO13,CO23,CO24,CO12)</f>
        <v>852658.92</v>
      </c>
      <c r="CP8" s="2344">
        <f>SUM(CP9,CP11,CP13,CP23,CP24,CP12)</f>
        <v>848825.92</v>
      </c>
      <c r="CQ8" s="2344">
        <f t="shared" ref="CQ8" si="22">SUM(CQ9,CQ11,CQ13,CQ23)</f>
        <v>0</v>
      </c>
      <c r="CR8" s="2344">
        <f>SUM(CR9,CR11,CR13,CR23,CR24,CR12)</f>
        <v>946873.73499999999</v>
      </c>
      <c r="CS8" s="2264">
        <f>CP8-CM8</f>
        <v>-105040</v>
      </c>
      <c r="CT8" s="2345">
        <f>CP8/CM8%</f>
        <v>88.987970133160857</v>
      </c>
      <c r="CU8" s="2344">
        <f>SUM(CU9,CU11,CU13,CU23,CU24,CU12)</f>
        <v>713747.83200000005</v>
      </c>
      <c r="CV8" s="2344">
        <f>SUM(CV9,CV11,CV13,CV23)</f>
        <v>0</v>
      </c>
      <c r="CW8" s="2344">
        <f>SUM(CW9,CW11,CW13,CW23,CW24,CW12)</f>
        <v>693727.83200000005</v>
      </c>
      <c r="CX8" s="2344">
        <f>SUM(CX9,CX11,CX13,CX23,CX24,CX12)</f>
        <v>666847.83200000005</v>
      </c>
      <c r="CY8" s="2344">
        <f t="shared" ref="CY8" si="23">SUM(CY9,CY11,CY13,CY23)</f>
        <v>0</v>
      </c>
      <c r="CZ8" s="2344">
        <f>SUM(CZ9,CZ11,CZ13,CZ23,CZ24,CZ12)</f>
        <v>871518.47200000007</v>
      </c>
      <c r="DA8" s="2264">
        <f>CX8-CU8</f>
        <v>-46900</v>
      </c>
      <c r="DB8" s="2345">
        <f>CX8/CU8%</f>
        <v>93.429051844741721</v>
      </c>
    </row>
    <row r="9" spans="1:106" s="2332" customFormat="1" ht="17.399999999999999">
      <c r="A9" s="2347">
        <v>1</v>
      </c>
      <c r="B9" s="2348" t="s">
        <v>1505</v>
      </c>
      <c r="C9" s="2349">
        <f>+K9+S9+AA9+AI9+AQ9+AY9+BG9+BO9+BW9+CE9+CM9+CU9</f>
        <v>3939080</v>
      </c>
      <c r="D9" s="2349"/>
      <c r="E9" s="2349">
        <f>+M9+U9+AC9+AK9+AS9+BA9+BI9+BQ9+BY9+CG9+CO9+CW9</f>
        <v>3623108.833333333</v>
      </c>
      <c r="F9" s="2349">
        <f>SUM(N9,V9,AD9,AL9,AT9,BB9,BJ9,BR9,BZ9,CH9,CP9,CX9)</f>
        <v>3732300</v>
      </c>
      <c r="G9" s="2349">
        <f>SUM(O9,W9,AE9,AM9,AU9,BC9,BK9,BS9,CA9,CI9,CQ9,CY9)</f>
        <v>0</v>
      </c>
      <c r="H9" s="2349">
        <f>SUM(P9,X9,AF9,AN9,AV9,BD9,BL9,BT9,CB9,CJ9,CR9,CZ9)</f>
        <v>3732300</v>
      </c>
      <c r="I9" s="2350">
        <f>F9-C9</f>
        <v>-206780</v>
      </c>
      <c r="J9" s="2351">
        <f>F9/C9%</f>
        <v>94.750550890055536</v>
      </c>
      <c r="K9" s="2352">
        <f>+'Phụ lục số 7.1'!P9</f>
        <v>157900</v>
      </c>
      <c r="L9" s="2349"/>
      <c r="M9" s="2377">
        <f>+'Phụ lục số 7.1'!T9</f>
        <v>161340</v>
      </c>
      <c r="N9" s="2364">
        <f>+'Phụ lục số 7.1'!V9</f>
        <v>134750</v>
      </c>
      <c r="O9" s="2349"/>
      <c r="P9" s="2349">
        <f>N9</f>
        <v>134750</v>
      </c>
      <c r="Q9" s="2350">
        <f>N9-K9</f>
        <v>-23150</v>
      </c>
      <c r="R9" s="2351">
        <f>N9/K9%</f>
        <v>85.338822039265352</v>
      </c>
      <c r="S9" s="2353">
        <f>+'Phụ lục số 7.1'!AB9</f>
        <v>384130</v>
      </c>
      <c r="T9" s="2349"/>
      <c r="U9" s="2377">
        <f>'Phụ lục số 7.1'!AF9</f>
        <v>358465</v>
      </c>
      <c r="V9" s="2349">
        <f>+'Phụ lục số 7.1'!AH9</f>
        <v>353410</v>
      </c>
      <c r="W9" s="2349"/>
      <c r="X9" s="2349">
        <f>V9</f>
        <v>353410</v>
      </c>
      <c r="Y9" s="2350">
        <f>V9-S9</f>
        <v>-30720</v>
      </c>
      <c r="Z9" s="2351">
        <f>V9/S9%</f>
        <v>92.002707416759947</v>
      </c>
      <c r="AA9" s="2352">
        <f>+'Phụ lục số 7.1'!AN9</f>
        <v>96340</v>
      </c>
      <c r="AB9" s="2349"/>
      <c r="AC9" s="2377">
        <f>'[31]Phụ lục số 5.1 Thu'!AR9</f>
        <v>95701</v>
      </c>
      <c r="AD9" s="2349">
        <f>+'Phụ lục số 7.1'!AT9</f>
        <v>98950</v>
      </c>
      <c r="AE9" s="2349"/>
      <c r="AF9" s="2349">
        <f>AD9</f>
        <v>98950</v>
      </c>
      <c r="AG9" s="2350">
        <f>AD9-AA9</f>
        <v>2610</v>
      </c>
      <c r="AH9" s="2351">
        <f>AD9/AA9%</f>
        <v>102.70915507577331</v>
      </c>
      <c r="AI9" s="2352">
        <f>+'Phụ lục số 7.1'!AZ9</f>
        <v>140940</v>
      </c>
      <c r="AJ9" s="2349"/>
      <c r="AK9" s="2377">
        <f>'[31]Phụ lục số 5.1 Thu'!BD9</f>
        <v>121821</v>
      </c>
      <c r="AL9" s="2349">
        <f>+'Phụ lục số 7.1'!BF9</f>
        <v>137300</v>
      </c>
      <c r="AM9" s="2349"/>
      <c r="AN9" s="2349">
        <f>AL9</f>
        <v>137300</v>
      </c>
      <c r="AO9" s="2350">
        <f>AL9-AI9</f>
        <v>-3640</v>
      </c>
      <c r="AP9" s="2351">
        <f>AL9/AI9%</f>
        <v>97.417340712359859</v>
      </c>
      <c r="AQ9" s="2352">
        <f>+'Phụ lục số 7.1'!BL9</f>
        <v>241850</v>
      </c>
      <c r="AR9" s="2349"/>
      <c r="AS9" s="2377">
        <f>'[31]Phụ lục số 5.1 Thu'!BP9</f>
        <v>230256.66666666666</v>
      </c>
      <c r="AT9" s="2349">
        <f>+'Phụ lục số 7.1'!BR9</f>
        <v>180900</v>
      </c>
      <c r="AU9" s="2349"/>
      <c r="AV9" s="2349">
        <f>AT9</f>
        <v>180900</v>
      </c>
      <c r="AW9" s="2350">
        <f>AT9-AQ9</f>
        <v>-60950</v>
      </c>
      <c r="AX9" s="2351">
        <f>AT9/AQ9%</f>
        <v>74.798428778168287</v>
      </c>
      <c r="AY9" s="2352">
        <f>+'Phụ lục số 7.1'!BX9</f>
        <v>1146450</v>
      </c>
      <c r="AZ9" s="2349"/>
      <c r="BA9" s="2377">
        <f>'Phụ lục số 7.1'!CB9</f>
        <v>1023450</v>
      </c>
      <c r="BB9" s="2349">
        <f>'Phụ lục số 7.1'!CD9</f>
        <v>1200500</v>
      </c>
      <c r="BC9" s="2349"/>
      <c r="BD9" s="2349">
        <f>BB9</f>
        <v>1200500</v>
      </c>
      <c r="BE9" s="2350">
        <f>BB9-AY9</f>
        <v>54050</v>
      </c>
      <c r="BF9" s="2351">
        <f>BB9/AY9%</f>
        <v>104.71455362205067</v>
      </c>
      <c r="BG9" s="2352">
        <f>+'Phụ lục số 7.1'!CJ9</f>
        <v>259140</v>
      </c>
      <c r="BH9" s="2349"/>
      <c r="BI9" s="2377">
        <f>'[31]Phụ lục số 5.1 Thu'!CN9</f>
        <v>270987</v>
      </c>
      <c r="BJ9" s="2349">
        <f>+'Phụ lục số 7.1'!CP9</f>
        <v>243800</v>
      </c>
      <c r="BK9" s="2349"/>
      <c r="BL9" s="2349">
        <f>BJ9</f>
        <v>243800</v>
      </c>
      <c r="BM9" s="2350">
        <f>BJ9-BG9</f>
        <v>-15340</v>
      </c>
      <c r="BN9" s="2351">
        <f>BJ9/BG9%</f>
        <v>94.080419850273984</v>
      </c>
      <c r="BO9" s="2352">
        <f>+'Phụ lục số 7.1'!CV9</f>
        <v>257750</v>
      </c>
      <c r="BP9" s="2349"/>
      <c r="BQ9" s="2349">
        <f>'[31]Phụ lục số 5.1 Thu'!CZ9</f>
        <v>230542.5</v>
      </c>
      <c r="BR9" s="2377">
        <f>+'Phụ lục số 7.1'!DB9</f>
        <v>258700</v>
      </c>
      <c r="BS9" s="2349"/>
      <c r="BT9" s="2349">
        <f>BR9</f>
        <v>258700</v>
      </c>
      <c r="BU9" s="2350">
        <f>BR9-BO9</f>
        <v>950</v>
      </c>
      <c r="BV9" s="2351">
        <f>BR9/BO9%</f>
        <v>100.36857419980602</v>
      </c>
      <c r="BW9" s="2352">
        <f>+'Phụ lục số 7.1'!DH9</f>
        <v>269200</v>
      </c>
      <c r="BX9" s="2349"/>
      <c r="BY9" s="2377">
        <f>'Phụ lục số 7.1'!DL9</f>
        <v>249300</v>
      </c>
      <c r="BZ9" s="2349">
        <f>+'Phụ lục số 7.1'!DN9</f>
        <v>256900</v>
      </c>
      <c r="CA9" s="2349"/>
      <c r="CB9" s="2349">
        <f>BZ9</f>
        <v>256900</v>
      </c>
      <c r="CC9" s="2350">
        <f>BZ9-BW9</f>
        <v>-12300</v>
      </c>
      <c r="CD9" s="2351">
        <f>BZ9/BW9%</f>
        <v>95.43090638930164</v>
      </c>
      <c r="CE9" s="2352">
        <f>+'Phụ lục số 7.1'!DT9</f>
        <v>175430</v>
      </c>
      <c r="CF9" s="2349"/>
      <c r="CG9" s="2377">
        <f>'[31]Phụ lục số 5.1 Thu'!DX9</f>
        <v>192522.66666666669</v>
      </c>
      <c r="CH9" s="2377">
        <f>+'Phụ lục số 7.1'!DZ9</f>
        <v>207080</v>
      </c>
      <c r="CI9" s="2349"/>
      <c r="CJ9" s="2349">
        <f>CH9</f>
        <v>207080</v>
      </c>
      <c r="CK9" s="2350">
        <f>CH9-CE9</f>
        <v>31650</v>
      </c>
      <c r="CL9" s="2351">
        <f>CH9/CE9%</f>
        <v>118.04138402781737</v>
      </c>
      <c r="CM9" s="2352">
        <f>+'Phụ lục số 7.1'!EF9</f>
        <v>544440</v>
      </c>
      <c r="CN9" s="2349"/>
      <c r="CO9" s="2377">
        <f>'Phụ lục số 7.1'!EJ9</f>
        <v>443233</v>
      </c>
      <c r="CP9" s="2377">
        <f>+'Phụ lục số 7.1'!EL9</f>
        <v>439400</v>
      </c>
      <c r="CQ9" s="2349"/>
      <c r="CR9" s="2349">
        <f>CP9</f>
        <v>439400</v>
      </c>
      <c r="CS9" s="2350">
        <f>CP9-CM9</f>
        <v>-105040</v>
      </c>
      <c r="CT9" s="2351">
        <f>CP9/CM9%</f>
        <v>80.706781279847192</v>
      </c>
      <c r="CU9" s="2352">
        <f>+'Phụ lục số 7.1'!ER9</f>
        <v>265510</v>
      </c>
      <c r="CV9" s="2349"/>
      <c r="CW9" s="2349">
        <f>+'Phụ lục số 7.1'!EV9</f>
        <v>245490</v>
      </c>
      <c r="CX9" s="2349">
        <f>+'Phụ lục số 7.1'!EX9</f>
        <v>220610</v>
      </c>
      <c r="CY9" s="2349"/>
      <c r="CZ9" s="2349">
        <f>CX9</f>
        <v>220610</v>
      </c>
      <c r="DA9" s="2350">
        <f>CX9-CU9</f>
        <v>-44900</v>
      </c>
      <c r="DB9" s="2351">
        <f>CX9/CU9%</f>
        <v>83.089149184588152</v>
      </c>
    </row>
    <row r="10" spans="1:106" s="2361" customFormat="1">
      <c r="A10" s="2354" t="s">
        <v>29</v>
      </c>
      <c r="B10" s="2355" t="s">
        <v>1506</v>
      </c>
      <c r="C10" s="2356">
        <f>+K10+S10+AA10+AI10+AQ10+AY10+BG10+BO10+BW10+CE10+CM10+CU10</f>
        <v>1143000</v>
      </c>
      <c r="D10" s="2356"/>
      <c r="E10" s="2356">
        <f>+M10+U10+AC10+AK10+AS10+BA10+BI10+BQ10+BY10+CG10+CO10+CW10</f>
        <v>1207500</v>
      </c>
      <c r="F10" s="2356">
        <f>SUM(N10,V10,AD10,AL10,AT10,BB10,BJ10,BR10,BZ10,CH10,CP10,CX10)</f>
        <v>1093500</v>
      </c>
      <c r="G10" s="2356"/>
      <c r="H10" s="2356">
        <f>SUM(P10,X10,AF10,AN10,AV10,BD10,BL10,BT10,CB10,CJ10,CR10,CZ10)</f>
        <v>1093500</v>
      </c>
      <c r="I10" s="2357">
        <f>F10-C10</f>
        <v>-49500</v>
      </c>
      <c r="J10" s="2358">
        <f>F10/C10%</f>
        <v>95.669291338582681</v>
      </c>
      <c r="K10" s="2359">
        <f>+'Phụ lục số 7.1'!ER32</f>
        <v>90000</v>
      </c>
      <c r="L10" s="2356"/>
      <c r="M10" s="2376">
        <f>+'Phụ lục số 7.1'!T32</f>
        <v>90000</v>
      </c>
      <c r="N10" s="2878">
        <f>+'Phụ lục số 7.1'!V32</f>
        <v>54000</v>
      </c>
      <c r="O10" s="2356"/>
      <c r="P10" s="2356">
        <f>N10</f>
        <v>54000</v>
      </c>
      <c r="Q10" s="2357">
        <f>N10-K10</f>
        <v>-36000</v>
      </c>
      <c r="R10" s="2358">
        <f>N10/K10%</f>
        <v>60</v>
      </c>
      <c r="S10" s="2360">
        <f>+'Phụ lục số 7.1'!AB32</f>
        <v>270000</v>
      </c>
      <c r="T10" s="2356"/>
      <c r="U10" s="2376">
        <f>'Phụ lục số 7.1'!AF30</f>
        <v>270000</v>
      </c>
      <c r="V10" s="2356">
        <f>+'Phụ lục số 7.1'!AH32</f>
        <v>261000</v>
      </c>
      <c r="W10" s="2356"/>
      <c r="X10" s="2356">
        <f>V10</f>
        <v>261000</v>
      </c>
      <c r="Y10" s="2357">
        <f>V10-S10</f>
        <v>-9000</v>
      </c>
      <c r="Z10" s="2358">
        <f>V10/S10%</f>
        <v>96.666666666666671</v>
      </c>
      <c r="AA10" s="2359">
        <f>+'Phụ lục số 7.1'!AN32</f>
        <v>27000</v>
      </c>
      <c r="AB10" s="2356"/>
      <c r="AC10" s="2376">
        <f>'[31]Phụ lục số 5.1 Thu'!AR32</f>
        <v>36000</v>
      </c>
      <c r="AD10" s="2356">
        <f>+'Phụ lục số 7.1'!AT32</f>
        <v>27000</v>
      </c>
      <c r="AE10" s="2356"/>
      <c r="AF10" s="2356">
        <f>AD10</f>
        <v>27000</v>
      </c>
      <c r="AG10" s="2357">
        <f>AD10-AA10</f>
        <v>0</v>
      </c>
      <c r="AH10" s="2358">
        <f>AD10/AA10%</f>
        <v>100</v>
      </c>
      <c r="AI10" s="2359">
        <f>+'Phụ lục số 7.1'!AZ32</f>
        <v>54000</v>
      </c>
      <c r="AJ10" s="2356"/>
      <c r="AK10" s="2376">
        <f>'[31]Phụ lục số 5.1 Thu'!BD32</f>
        <v>42000</v>
      </c>
      <c r="AL10" s="2356">
        <f>+'Phụ lục số 7.1'!BF32</f>
        <v>54000</v>
      </c>
      <c r="AM10" s="2356"/>
      <c r="AN10" s="2356">
        <f>AL10</f>
        <v>54000</v>
      </c>
      <c r="AO10" s="2357">
        <f>AL10-AI10</f>
        <v>0</v>
      </c>
      <c r="AP10" s="2358">
        <f>AL10/AI10%</f>
        <v>100</v>
      </c>
      <c r="AQ10" s="2359">
        <f>+'Phụ lục số 7.1'!BL32</f>
        <v>63000</v>
      </c>
      <c r="AR10" s="2356"/>
      <c r="AS10" s="2376">
        <f>'[31]Phụ lục số 5.1 Thu'!BP32</f>
        <v>50000</v>
      </c>
      <c r="AT10" s="2356">
        <f>+'Phụ lục số 7.1'!BR32</f>
        <v>45000</v>
      </c>
      <c r="AU10" s="2356"/>
      <c r="AV10" s="2356">
        <f>AT10</f>
        <v>45000</v>
      </c>
      <c r="AW10" s="2357">
        <f>AT10-AQ10</f>
        <v>-18000</v>
      </c>
      <c r="AX10" s="2358">
        <f>AT10/AQ10%</f>
        <v>71.428571428571431</v>
      </c>
      <c r="AY10" s="2359">
        <f>+'Phụ lục số 7.1'!BX32</f>
        <v>144000</v>
      </c>
      <c r="AZ10" s="2356"/>
      <c r="BA10" s="2376">
        <f>'Phụ lục số 7.1'!CB30</f>
        <v>144000</v>
      </c>
      <c r="BB10" s="2356">
        <f>'Phụ lục số 7.1'!CD30</f>
        <v>144000</v>
      </c>
      <c r="BC10" s="2356"/>
      <c r="BD10" s="2356">
        <f>BB10</f>
        <v>144000</v>
      </c>
      <c r="BE10" s="2357">
        <f>BB10-AY10</f>
        <v>0</v>
      </c>
      <c r="BF10" s="2358">
        <f>BB10/AY10%</f>
        <v>100</v>
      </c>
      <c r="BG10" s="2359">
        <f>+'Phụ lục số 7.1'!CJ32</f>
        <v>54000</v>
      </c>
      <c r="BH10" s="2356"/>
      <c r="BI10" s="2376">
        <f>'[31]Phụ lục số 5.1 Thu'!CN32</f>
        <v>100000</v>
      </c>
      <c r="BJ10" s="2356">
        <f>+'Phụ lục số 7.1'!CP32</f>
        <v>67500</v>
      </c>
      <c r="BK10" s="2356"/>
      <c r="BL10" s="2356">
        <f>BJ10</f>
        <v>67500</v>
      </c>
      <c r="BM10" s="2357">
        <f>BJ10-BG10</f>
        <v>13500</v>
      </c>
      <c r="BN10" s="2358">
        <f>BJ10/BG10%</f>
        <v>125</v>
      </c>
      <c r="BO10" s="2359">
        <f>+'Phụ lục số 7.1'!CV32</f>
        <v>90000</v>
      </c>
      <c r="BP10" s="2356"/>
      <c r="BQ10" s="2356">
        <f>'[31]Phụ lục số 5.1 Thu'!CZ32</f>
        <v>90000</v>
      </c>
      <c r="BR10" s="2376">
        <f>+'Phụ lục số 7.1'!DB32</f>
        <v>90000</v>
      </c>
      <c r="BS10" s="2356"/>
      <c r="BT10" s="2356">
        <f>BR10</f>
        <v>90000</v>
      </c>
      <c r="BU10" s="2357">
        <f>BR10-BO10</f>
        <v>0</v>
      </c>
      <c r="BV10" s="2358">
        <f>BR10/BO10%</f>
        <v>100</v>
      </c>
      <c r="BW10" s="2359">
        <f>+'Phụ lục số 7.1'!DH32</f>
        <v>54000</v>
      </c>
      <c r="BX10" s="2356"/>
      <c r="BY10" s="2376">
        <f>'Phụ lục số 7.1'!DK32</f>
        <v>61500</v>
      </c>
      <c r="BZ10" s="2356">
        <f>+'Phụ lục số 7.1'!DN32</f>
        <v>54000</v>
      </c>
      <c r="CA10" s="2356"/>
      <c r="CB10" s="2356">
        <f>BZ10</f>
        <v>54000</v>
      </c>
      <c r="CC10" s="2357">
        <f>BZ10-BW10</f>
        <v>0</v>
      </c>
      <c r="CD10" s="2358">
        <f>BZ10/BW10%</f>
        <v>100</v>
      </c>
      <c r="CE10" s="2359">
        <f>+'Phụ lục số 7.1'!DT32</f>
        <v>63000</v>
      </c>
      <c r="CF10" s="2356"/>
      <c r="CG10" s="2376">
        <f>'[31]Phụ lục số 5.1 Thu'!DX32</f>
        <v>90000</v>
      </c>
      <c r="CH10" s="2376">
        <f>+'Phụ lục số 7.1'!DZ32</f>
        <v>63000</v>
      </c>
      <c r="CI10" s="2356"/>
      <c r="CJ10" s="2356">
        <f>CH10</f>
        <v>63000</v>
      </c>
      <c r="CK10" s="2357">
        <f>CH10-CE10</f>
        <v>0</v>
      </c>
      <c r="CL10" s="2358">
        <f>CH10/CE10%</f>
        <v>100</v>
      </c>
      <c r="CM10" s="2359">
        <f>+'Phụ lục số 7.1'!EF32</f>
        <v>144000</v>
      </c>
      <c r="CN10" s="2356"/>
      <c r="CO10" s="2376">
        <f>'Phụ lục số 7.1'!EJ30</f>
        <v>144000</v>
      </c>
      <c r="CP10" s="2376">
        <f>+'Phụ lục số 7.1'!EL32</f>
        <v>144000</v>
      </c>
      <c r="CQ10" s="2356"/>
      <c r="CR10" s="2356">
        <f>CP10</f>
        <v>144000</v>
      </c>
      <c r="CS10" s="2357">
        <f>CP10-CM10</f>
        <v>0</v>
      </c>
      <c r="CT10" s="2358">
        <f>CP10/CM10%</f>
        <v>100</v>
      </c>
      <c r="CU10" s="2359">
        <f>+'Phụ lục số 7.1'!ER32</f>
        <v>90000</v>
      </c>
      <c r="CV10" s="2356"/>
      <c r="CW10" s="2356">
        <f>+'Phụ lục số 7.1'!EV30</f>
        <v>90000</v>
      </c>
      <c r="CX10" s="2356">
        <f>+'Phụ lục số 7.1'!EX32</f>
        <v>90000</v>
      </c>
      <c r="CY10" s="2356"/>
      <c r="CZ10" s="2356">
        <f>CX10</f>
        <v>90000</v>
      </c>
      <c r="DA10" s="2357">
        <f>CX10-CU10</f>
        <v>0</v>
      </c>
      <c r="DB10" s="2358">
        <f>CX10/CU10%</f>
        <v>100</v>
      </c>
    </row>
    <row r="11" spans="1:106" s="2369" customFormat="1" ht="17.399999999999999">
      <c r="A11" s="2362">
        <v>2</v>
      </c>
      <c r="B11" s="2363" t="s">
        <v>1507</v>
      </c>
      <c r="C11" s="2364">
        <f>+K11+S11+AA11+AI11+AQ11+AY11+BG11+BO11+BW11+CE11+CM11+CU11</f>
        <v>4430923</v>
      </c>
      <c r="D11" s="2364"/>
      <c r="E11" s="2364">
        <f>+M11+U11+AC11+AK11+AS11+BA11+BI11+BQ11+BY11+CG11+CO11+CW11</f>
        <v>4430923</v>
      </c>
      <c r="F11" s="2364">
        <f>SUM(N11,V11,AD11,AL11,AT11,BB11,BJ11,BR11,BZ11,CH11,CP11,CX11)</f>
        <v>4430923</v>
      </c>
      <c r="G11" s="2364">
        <f>SUM(O11,W11,AE11,AM11,AU11,BC11,BK11,BS11,CA11,CI11,CQ11,CY11)</f>
        <v>0</v>
      </c>
      <c r="H11" s="2364">
        <f>SUM(P11,X11,AF11,AN11,AV11,BD11,BL11,BT11,CB11,CJ11,CR11,CZ11)</f>
        <v>4430923</v>
      </c>
      <c r="I11" s="2365">
        <f>F11-C11</f>
        <v>0</v>
      </c>
      <c r="J11" s="2366">
        <f>F11/C11%</f>
        <v>99.999999999999986</v>
      </c>
      <c r="K11" s="2367">
        <v>413967</v>
      </c>
      <c r="L11" s="2364"/>
      <c r="M11" s="2377">
        <f>K11</f>
        <v>413967</v>
      </c>
      <c r="N11" s="2364">
        <f>M11</f>
        <v>413967</v>
      </c>
      <c r="O11" s="2364"/>
      <c r="P11" s="2364">
        <f>N11</f>
        <v>413967</v>
      </c>
      <c r="Q11" s="2365"/>
      <c r="R11" s="2366"/>
      <c r="S11" s="2368">
        <v>225665</v>
      </c>
      <c r="T11" s="2364"/>
      <c r="U11" s="2377">
        <f>S11</f>
        <v>225665</v>
      </c>
      <c r="V11" s="2364">
        <f>S11</f>
        <v>225665</v>
      </c>
      <c r="W11" s="2364"/>
      <c r="X11" s="2364">
        <f>V11</f>
        <v>225665</v>
      </c>
      <c r="Y11" s="2365"/>
      <c r="Z11" s="2366"/>
      <c r="AA11" s="2367">
        <v>391207</v>
      </c>
      <c r="AB11" s="2364"/>
      <c r="AC11" s="2377">
        <f>AA11</f>
        <v>391207</v>
      </c>
      <c r="AD11" s="2364">
        <f>AA11</f>
        <v>391207</v>
      </c>
      <c r="AE11" s="2364"/>
      <c r="AF11" s="2364">
        <f>AD11</f>
        <v>391207</v>
      </c>
      <c r="AG11" s="2365"/>
      <c r="AH11" s="2366"/>
      <c r="AI11" s="2367">
        <v>388772</v>
      </c>
      <c r="AJ11" s="2364"/>
      <c r="AK11" s="2377">
        <f>AI11</f>
        <v>388772</v>
      </c>
      <c r="AL11" s="2364">
        <f>AI11</f>
        <v>388772</v>
      </c>
      <c r="AM11" s="2364"/>
      <c r="AN11" s="2364">
        <f>AL11</f>
        <v>388772</v>
      </c>
      <c r="AO11" s="2365"/>
      <c r="AP11" s="2366"/>
      <c r="AQ11" s="2367">
        <f>449761</f>
        <v>449761</v>
      </c>
      <c r="AR11" s="2364"/>
      <c r="AS11" s="2377">
        <f>AQ11</f>
        <v>449761</v>
      </c>
      <c r="AT11" s="2364">
        <f>AQ11</f>
        <v>449761</v>
      </c>
      <c r="AU11" s="2364"/>
      <c r="AV11" s="2364">
        <f>AT11</f>
        <v>449761</v>
      </c>
      <c r="AW11" s="2365"/>
      <c r="AX11" s="2366"/>
      <c r="AY11" s="2367">
        <v>37354</v>
      </c>
      <c r="AZ11" s="2364"/>
      <c r="BA11" s="2377">
        <f>AY11</f>
        <v>37354</v>
      </c>
      <c r="BB11" s="2364">
        <f>AY11</f>
        <v>37354</v>
      </c>
      <c r="BC11" s="2364"/>
      <c r="BD11" s="2364">
        <f>BB11</f>
        <v>37354</v>
      </c>
      <c r="BE11" s="2365"/>
      <c r="BF11" s="2366"/>
      <c r="BG11" s="2367">
        <f>566422</f>
        <v>566422</v>
      </c>
      <c r="BH11" s="2364"/>
      <c r="BI11" s="2377">
        <f>BG11</f>
        <v>566422</v>
      </c>
      <c r="BJ11" s="2364">
        <f>BI11</f>
        <v>566422</v>
      </c>
      <c r="BK11" s="2364"/>
      <c r="BL11" s="2364">
        <f>BJ11</f>
        <v>566422</v>
      </c>
      <c r="BM11" s="2365"/>
      <c r="BN11" s="2366"/>
      <c r="BO11" s="2367">
        <f>441700</f>
        <v>441700</v>
      </c>
      <c r="BP11" s="2364"/>
      <c r="BQ11" s="2364">
        <f>BO11</f>
        <v>441700</v>
      </c>
      <c r="BR11" s="2377">
        <f>BO11</f>
        <v>441700</v>
      </c>
      <c r="BS11" s="2364"/>
      <c r="BT11" s="2364">
        <f>BR11</f>
        <v>441700</v>
      </c>
      <c r="BU11" s="2365"/>
      <c r="BV11" s="2366"/>
      <c r="BW11" s="2367">
        <v>470689</v>
      </c>
      <c r="BX11" s="2364"/>
      <c r="BY11" s="2377">
        <f>BW11</f>
        <v>470689</v>
      </c>
      <c r="BZ11" s="2364">
        <f>BW11</f>
        <v>470689</v>
      </c>
      <c r="CA11" s="2364"/>
      <c r="CB11" s="2364">
        <f>BZ11</f>
        <v>470689</v>
      </c>
      <c r="CC11" s="2365"/>
      <c r="CD11" s="2366"/>
      <c r="CE11" s="2367">
        <f>440874</f>
        <v>440874</v>
      </c>
      <c r="CF11" s="2364"/>
      <c r="CG11" s="2377">
        <f>CE11</f>
        <v>440874</v>
      </c>
      <c r="CH11" s="2377">
        <f>CE11</f>
        <v>440874</v>
      </c>
      <c r="CI11" s="2364"/>
      <c r="CJ11" s="2364">
        <f>CH11</f>
        <v>440874</v>
      </c>
      <c r="CK11" s="2365"/>
      <c r="CL11" s="2366"/>
      <c r="CM11" s="2367">
        <f>224584</f>
        <v>224584</v>
      </c>
      <c r="CN11" s="2364"/>
      <c r="CO11" s="2377">
        <f>CM11</f>
        <v>224584</v>
      </c>
      <c r="CP11" s="2377">
        <f>CM11</f>
        <v>224584</v>
      </c>
      <c r="CQ11" s="2364"/>
      <c r="CR11" s="2364">
        <f>CP11</f>
        <v>224584</v>
      </c>
      <c r="CS11" s="2365"/>
      <c r="CT11" s="2366"/>
      <c r="CU11" s="2367">
        <f>379928</f>
        <v>379928</v>
      </c>
      <c r="CV11" s="2364"/>
      <c r="CW11" s="2364">
        <f>CU11</f>
        <v>379928</v>
      </c>
      <c r="CX11" s="2364">
        <f>CU11</f>
        <v>379928</v>
      </c>
      <c r="CY11" s="2364"/>
      <c r="CZ11" s="2364">
        <f>CX11</f>
        <v>379928</v>
      </c>
      <c r="DA11" s="2365"/>
      <c r="DB11" s="2366"/>
    </row>
    <row r="12" spans="1:106" s="2369" customFormat="1" ht="48.75" customHeight="1">
      <c r="A12" s="2362">
        <v>3</v>
      </c>
      <c r="B12" s="2363" t="s">
        <v>1851</v>
      </c>
      <c r="C12" s="2872">
        <f t="shared" ref="C12" si="24">+K12+S12+AA12+AI12+AQ12+AY12+BG12+BO12+BW12+CE12+CM12+CU12</f>
        <v>232934</v>
      </c>
      <c r="D12" s="2872"/>
      <c r="E12" s="2872">
        <f t="shared" ref="E12" si="25">+M12+U12+AC12+AK12+AS12+BA12+BI12+BQ12+BY12+CG12+CO12+CW12</f>
        <v>232934</v>
      </c>
      <c r="F12" s="2872">
        <f t="shared" ref="F12" si="26">SUM(N12,V12,AD12,AL12,AT12,BB12,BJ12,BR12,BZ12,CH12,CP12,CX12)</f>
        <v>232934</v>
      </c>
      <c r="G12" s="2872"/>
      <c r="H12" s="2872">
        <f t="shared" ref="H12" si="27">SUM(P12,X12,AF12,AN12,AV12,BD12,BL12,BT12,CB12,CJ12,CR12,CZ12)</f>
        <v>1681469</v>
      </c>
      <c r="I12" s="2365"/>
      <c r="J12" s="2366"/>
      <c r="K12" s="2367">
        <f>'[2]H. HỒNG NGỰ'!$C$44</f>
        <v>33411</v>
      </c>
      <c r="L12" s="2364"/>
      <c r="M12" s="2377">
        <f>+K12</f>
        <v>33411</v>
      </c>
      <c r="N12" s="2364">
        <v>33411</v>
      </c>
      <c r="O12" s="2364"/>
      <c r="P12" s="2364">
        <f>-'Phụ lục số 8.2-CCTL'!E31</f>
        <v>146571</v>
      </c>
      <c r="Q12" s="2365"/>
      <c r="R12" s="2366"/>
      <c r="S12" s="2368">
        <f>'[2]TP. HỒNG NGỰ'!$C$44</f>
        <v>46035</v>
      </c>
      <c r="T12" s="2364"/>
      <c r="U12" s="2377">
        <f>S12</f>
        <v>46035</v>
      </c>
      <c r="V12" s="2364">
        <v>46035</v>
      </c>
      <c r="W12" s="2364"/>
      <c r="X12" s="2364">
        <f>-'Phụ lục số 8.2-CCTL'!F31</f>
        <v>141419</v>
      </c>
      <c r="Y12" s="2365"/>
      <c r="Z12" s="2366"/>
      <c r="AA12" s="2367">
        <f>'[2]H. TÂN HỒNG'!$C$44</f>
        <v>8966</v>
      </c>
      <c r="AB12" s="2364"/>
      <c r="AC12" s="2377">
        <f>AA12</f>
        <v>8966</v>
      </c>
      <c r="AD12" s="2364">
        <v>8966</v>
      </c>
      <c r="AE12" s="2364"/>
      <c r="AF12" s="2364">
        <f>-'Phụ lục số 8.2-CCTL'!G31</f>
        <v>114393</v>
      </c>
      <c r="AG12" s="2365"/>
      <c r="AH12" s="2366"/>
      <c r="AI12" s="2367">
        <f>'[2]H. TAM NÔNG'!$C$44</f>
        <v>30706</v>
      </c>
      <c r="AJ12" s="2364"/>
      <c r="AK12" s="2377">
        <f>AI12</f>
        <v>30706</v>
      </c>
      <c r="AL12" s="2364">
        <v>30706</v>
      </c>
      <c r="AM12" s="2364"/>
      <c r="AN12" s="2364">
        <f>-'Phụ lục số 8.2-CCTL'!H31</f>
        <v>152060</v>
      </c>
      <c r="AO12" s="2365"/>
      <c r="AP12" s="2366"/>
      <c r="AQ12" s="2367">
        <f>'[2]H. THANH BÌNH'!$C$44</f>
        <v>0</v>
      </c>
      <c r="AR12" s="2364"/>
      <c r="AS12" s="2377">
        <f>AQ12</f>
        <v>0</v>
      </c>
      <c r="AT12" s="2364">
        <v>0</v>
      </c>
      <c r="AU12" s="2364"/>
      <c r="AV12" s="2364">
        <f>-'Phụ lục số 8.2-CCTL'!I31</f>
        <v>204980</v>
      </c>
      <c r="AW12" s="2365"/>
      <c r="AX12" s="2366"/>
      <c r="AY12" s="2367">
        <f>'[2]TP. CAO LÃNH'!$C$44</f>
        <v>0</v>
      </c>
      <c r="AZ12" s="2364"/>
      <c r="BA12" s="2377">
        <f>AY12</f>
        <v>0</v>
      </c>
      <c r="BB12" s="2364">
        <v>0</v>
      </c>
      <c r="BC12" s="2364"/>
      <c r="BD12" s="2364">
        <f>BB12</f>
        <v>0</v>
      </c>
      <c r="BE12" s="2365"/>
      <c r="BF12" s="2366"/>
      <c r="BG12" s="2367">
        <f>'[2]H. CAO LÃNH'!$C$44</f>
        <v>10606</v>
      </c>
      <c r="BH12" s="2364"/>
      <c r="BI12" s="2377">
        <f>BG12</f>
        <v>10606</v>
      </c>
      <c r="BJ12" s="2364">
        <v>10606</v>
      </c>
      <c r="BK12" s="2364"/>
      <c r="BL12" s="2364">
        <f>-'Phụ lục số 8.2-CCTL'!K31</f>
        <v>199350</v>
      </c>
      <c r="BM12" s="2365"/>
      <c r="BN12" s="2366"/>
      <c r="BO12" s="2367">
        <f>'[2]H. THÁP MƯỜI'!$C$44</f>
        <v>34795</v>
      </c>
      <c r="BP12" s="2364"/>
      <c r="BQ12" s="2364">
        <f>BO12</f>
        <v>34795</v>
      </c>
      <c r="BR12" s="2377">
        <v>34795</v>
      </c>
      <c r="BS12" s="2364"/>
      <c r="BT12" s="2364">
        <f>-'Phụ lục số 8.2-CCTL'!L31</f>
        <v>179744</v>
      </c>
      <c r="BU12" s="2365"/>
      <c r="BV12" s="2366"/>
      <c r="BW12" s="2367">
        <f>'[2]H. LẤP VÒ'!$C$44</f>
        <v>9628</v>
      </c>
      <c r="BX12" s="2364"/>
      <c r="BY12" s="2377">
        <f>BW12</f>
        <v>9628</v>
      </c>
      <c r="BZ12" s="2364">
        <v>9628</v>
      </c>
      <c r="CA12" s="2364"/>
      <c r="CB12" s="2364">
        <f>-'Phụ lục số 8.2-CCTL'!M31</f>
        <v>201862</v>
      </c>
      <c r="CC12" s="2365"/>
      <c r="CD12" s="2366"/>
      <c r="CE12" s="2367">
        <f>'[2]H. LAI VUNG'!$C$44</f>
        <v>50621</v>
      </c>
      <c r="CF12" s="2364"/>
      <c r="CG12" s="2377">
        <f>CE12</f>
        <v>50621</v>
      </c>
      <c r="CH12" s="2377">
        <v>50621</v>
      </c>
      <c r="CI12" s="2364"/>
      <c r="CJ12" s="2364">
        <f>-'Phụ lục số 8.2-CCTL'!N31</f>
        <v>175043</v>
      </c>
      <c r="CK12" s="2365"/>
      <c r="CL12" s="2366"/>
      <c r="CM12" s="2367">
        <f>'[2]TP. SA ĐÉC'!$C$44</f>
        <v>0</v>
      </c>
      <c r="CN12" s="2364"/>
      <c r="CO12" s="2377">
        <f>CM12</f>
        <v>0</v>
      </c>
      <c r="CP12" s="2377">
        <v>0</v>
      </c>
      <c r="CQ12" s="2364"/>
      <c r="CR12" s="2364">
        <f>CP12</f>
        <v>0</v>
      </c>
      <c r="CS12" s="2365"/>
      <c r="CT12" s="2366"/>
      <c r="CU12" s="2367">
        <f>'[2]H. CHÂU THÀNH'!$C$44</f>
        <v>8166</v>
      </c>
      <c r="CV12" s="2364"/>
      <c r="CW12" s="2364">
        <f>CU12</f>
        <v>8166</v>
      </c>
      <c r="CX12" s="2364">
        <v>8166</v>
      </c>
      <c r="CY12" s="2364"/>
      <c r="CZ12" s="2364">
        <f>-'Phụ lục số 8.2-CCTL'!P31</f>
        <v>166047</v>
      </c>
      <c r="DA12" s="2365"/>
      <c r="DB12" s="2366"/>
    </row>
    <row r="13" spans="1:106" s="2332" customFormat="1" ht="17.399999999999999">
      <c r="A13" s="2347">
        <v>4</v>
      </c>
      <c r="B13" s="2370" t="s">
        <v>1508</v>
      </c>
      <c r="C13" s="2349">
        <f>+K13+S13+AA13+AI13+AQ13+AY13+BG13+BO13+BW13+CE13+CM13+CU13</f>
        <v>419466.34799999994</v>
      </c>
      <c r="D13" s="2349"/>
      <c r="E13" s="2349">
        <f>+M13+U13+AC13+AK13+AS13+BA13+BI13+BQ13+BY13+CG13+CO13+CW13</f>
        <v>419466.34799999994</v>
      </c>
      <c r="F13" s="2349">
        <f t="shared" ref="F13:H22" si="28">SUM(N13,V13,AD13,AL13,AT13,BB13,BJ13,BR13,BZ13,CH13,CP13,CX13)</f>
        <v>411466.52400000003</v>
      </c>
      <c r="G13" s="2349">
        <f t="shared" si="28"/>
        <v>0</v>
      </c>
      <c r="H13" s="2349">
        <f>SUM(P13,X13,AF13,AN13,AV13,BD13,BL13,BT13,CB13,CJ13,CR13,CZ13)</f>
        <v>965959.90700000012</v>
      </c>
      <c r="I13" s="2350">
        <f>F13-C13</f>
        <v>-7999.8239999999059</v>
      </c>
      <c r="J13" s="2351">
        <f>F13/C13%</f>
        <v>98.092856783829561</v>
      </c>
      <c r="K13" s="2352">
        <f>SUM(K14:K22)</f>
        <v>22231</v>
      </c>
      <c r="L13" s="2349">
        <f t="shared" ref="L13:O13" si="29">SUM(L14:L22)</f>
        <v>0</v>
      </c>
      <c r="M13" s="2377">
        <f t="shared" si="29"/>
        <v>22231</v>
      </c>
      <c r="N13" s="2349">
        <f>SUM(N14:N22)</f>
        <v>22231</v>
      </c>
      <c r="O13" s="2349">
        <f t="shared" si="29"/>
        <v>0</v>
      </c>
      <c r="P13" s="2349">
        <f>SUM(P14:P22)</f>
        <v>59762.99</v>
      </c>
      <c r="Q13" s="2350">
        <f>N13-K13</f>
        <v>0</v>
      </c>
      <c r="R13" s="2351"/>
      <c r="S13" s="2353">
        <f>SUM(S14:S22)</f>
        <v>19355</v>
      </c>
      <c r="T13" s="2349">
        <f t="shared" ref="T13:W13" si="30">SUM(T14:T22)</f>
        <v>0</v>
      </c>
      <c r="U13" s="2377">
        <f t="shared" si="30"/>
        <v>19355</v>
      </c>
      <c r="V13" s="2349">
        <f>SUM(V14:V22)</f>
        <v>17355</v>
      </c>
      <c r="W13" s="2349">
        <f t="shared" si="30"/>
        <v>0</v>
      </c>
      <c r="X13" s="2349">
        <f>SUM(X14:X22)</f>
        <v>47336.173999999999</v>
      </c>
      <c r="Y13" s="2350">
        <f>V13-S13</f>
        <v>-2000</v>
      </c>
      <c r="Z13" s="2351"/>
      <c r="AA13" s="2352">
        <f t="shared" ref="AA13:AE13" si="31">SUM(AA14:AA22)</f>
        <v>41023.824000000001</v>
      </c>
      <c r="AB13" s="2349">
        <f t="shared" si="31"/>
        <v>0</v>
      </c>
      <c r="AC13" s="2377">
        <f t="shared" si="31"/>
        <v>41023.824000000001</v>
      </c>
      <c r="AD13" s="2349">
        <f>SUM(AD14:AD22)</f>
        <v>41024</v>
      </c>
      <c r="AE13" s="2349">
        <f t="shared" si="31"/>
        <v>0</v>
      </c>
      <c r="AF13" s="2349">
        <f>SUM(AF14:AF22)</f>
        <v>72586.218999999997</v>
      </c>
      <c r="AG13" s="2350">
        <f>AD13-AA13</f>
        <v>0.17599999999947613</v>
      </c>
      <c r="AH13" s="2351"/>
      <c r="AI13" s="2352">
        <f t="shared" ref="AI13:AN13" si="32">SUM(AI14:AI22)</f>
        <v>47586.76</v>
      </c>
      <c r="AJ13" s="2349">
        <f t="shared" si="32"/>
        <v>0</v>
      </c>
      <c r="AK13" s="2377">
        <f t="shared" si="32"/>
        <v>47586.76</v>
      </c>
      <c r="AL13" s="2349">
        <f t="shared" si="32"/>
        <v>47586.76</v>
      </c>
      <c r="AM13" s="2349">
        <f t="shared" si="32"/>
        <v>0</v>
      </c>
      <c r="AN13" s="2349">
        <f t="shared" si="32"/>
        <v>83885.45199999999</v>
      </c>
      <c r="AO13" s="2350">
        <f>AL13-AI13</f>
        <v>0</v>
      </c>
      <c r="AP13" s="2351"/>
      <c r="AQ13" s="2352">
        <f t="shared" ref="AQ13:AV13" si="33">SUM(AQ14:AQ22)</f>
        <v>36339.351999999999</v>
      </c>
      <c r="AR13" s="2349">
        <f t="shared" si="33"/>
        <v>0</v>
      </c>
      <c r="AS13" s="2377">
        <f t="shared" si="33"/>
        <v>36339.351999999999</v>
      </c>
      <c r="AT13" s="2349">
        <f t="shared" si="33"/>
        <v>36339.351999999999</v>
      </c>
      <c r="AU13" s="2349">
        <f t="shared" si="33"/>
        <v>0</v>
      </c>
      <c r="AV13" s="2349">
        <f t="shared" si="33"/>
        <v>96893.225999999995</v>
      </c>
      <c r="AW13" s="2350">
        <f>AT13-AQ13</f>
        <v>0</v>
      </c>
      <c r="AX13" s="2351"/>
      <c r="AY13" s="2352">
        <f t="shared" ref="AY13:BC13" si="34">SUM(AY14:AY22)</f>
        <v>19159.2</v>
      </c>
      <c r="AZ13" s="2349">
        <f t="shared" si="34"/>
        <v>0</v>
      </c>
      <c r="BA13" s="2377">
        <f t="shared" si="34"/>
        <v>19159.2</v>
      </c>
      <c r="BB13" s="2349">
        <f t="shared" si="34"/>
        <v>19159.2</v>
      </c>
      <c r="BC13" s="2349">
        <f t="shared" si="34"/>
        <v>0</v>
      </c>
      <c r="BD13" s="2349">
        <f>SUM(BD14:BD22)</f>
        <v>59205.928999999996</v>
      </c>
      <c r="BE13" s="2350">
        <f>BB13-AY13</f>
        <v>0</v>
      </c>
      <c r="BF13" s="2351"/>
      <c r="BG13" s="2352">
        <f t="shared" ref="BG13:BL13" si="35">SUM(BG14:BG22)</f>
        <v>65321.2</v>
      </c>
      <c r="BH13" s="2349">
        <f t="shared" si="35"/>
        <v>0</v>
      </c>
      <c r="BI13" s="2377">
        <f t="shared" si="35"/>
        <v>65321.2</v>
      </c>
      <c r="BJ13" s="2349">
        <f t="shared" si="35"/>
        <v>65321.2</v>
      </c>
      <c r="BK13" s="2349">
        <f t="shared" si="35"/>
        <v>0</v>
      </c>
      <c r="BL13" s="2349">
        <f t="shared" si="35"/>
        <v>138312.62099999998</v>
      </c>
      <c r="BM13" s="2350">
        <f>BJ13-BG13</f>
        <v>0</v>
      </c>
      <c r="BN13" s="2351"/>
      <c r="BO13" s="2352">
        <f t="shared" ref="BO13:BT13" si="36">SUM(BO14:BO22)</f>
        <v>64210.6</v>
      </c>
      <c r="BP13" s="2349">
        <f t="shared" si="36"/>
        <v>0</v>
      </c>
      <c r="BQ13" s="2349">
        <f t="shared" si="36"/>
        <v>64210.6</v>
      </c>
      <c r="BR13" s="2377">
        <f t="shared" si="36"/>
        <v>64210.6</v>
      </c>
      <c r="BS13" s="2349">
        <f t="shared" si="36"/>
        <v>0</v>
      </c>
      <c r="BT13" s="2349">
        <f t="shared" si="36"/>
        <v>115399.87899999999</v>
      </c>
      <c r="BU13" s="2350">
        <f>BR13-BO13</f>
        <v>0</v>
      </c>
      <c r="BV13" s="2351"/>
      <c r="BW13" s="2352">
        <f t="shared" ref="BW13:CA13" si="37">SUM(BW14:BW22)</f>
        <v>40337.948000000004</v>
      </c>
      <c r="BX13" s="2349">
        <f t="shared" si="37"/>
        <v>0</v>
      </c>
      <c r="BY13" s="2377">
        <f t="shared" si="37"/>
        <v>40337.948000000004</v>
      </c>
      <c r="BZ13" s="2349">
        <f>SUM(BZ14:BZ22)</f>
        <v>38337.948000000004</v>
      </c>
      <c r="CA13" s="2349">
        <f t="shared" si="37"/>
        <v>0</v>
      </c>
      <c r="CB13" s="2349">
        <f>SUM(CB14:CB22)</f>
        <v>78158.827000000005</v>
      </c>
      <c r="CC13" s="2350">
        <f>BZ13-BW13</f>
        <v>-2000</v>
      </c>
      <c r="CD13" s="2351">
        <f>BZ13/BW13%</f>
        <v>95.041889587442569</v>
      </c>
      <c r="CE13" s="2352">
        <f t="shared" ref="CE13:CI13" si="38">SUM(CE14:CE22)</f>
        <v>27562.712</v>
      </c>
      <c r="CF13" s="2349">
        <f t="shared" si="38"/>
        <v>0</v>
      </c>
      <c r="CG13" s="2377">
        <f t="shared" si="38"/>
        <v>27562.712</v>
      </c>
      <c r="CH13" s="2377">
        <f>SUM(CH14:CH22)</f>
        <v>25562.712</v>
      </c>
      <c r="CI13" s="2349">
        <f t="shared" si="38"/>
        <v>0</v>
      </c>
      <c r="CJ13" s="2349">
        <f>SUM(CJ14:CJ22)</f>
        <v>52163.383000000002</v>
      </c>
      <c r="CK13" s="2350">
        <f>CH13-CE13</f>
        <v>-2000</v>
      </c>
      <c r="CL13" s="2351"/>
      <c r="CM13" s="2352">
        <f t="shared" ref="CM13:CQ13" si="39">SUM(CM14:CM22)</f>
        <v>9875.92</v>
      </c>
      <c r="CN13" s="2349">
        <f t="shared" si="39"/>
        <v>0</v>
      </c>
      <c r="CO13" s="2377">
        <f t="shared" si="39"/>
        <v>9875.92</v>
      </c>
      <c r="CP13" s="2377">
        <f>SUM(CP14:CP22)</f>
        <v>9875.92</v>
      </c>
      <c r="CQ13" s="2349">
        <f t="shared" si="39"/>
        <v>0</v>
      </c>
      <c r="CR13" s="2349">
        <f>SUM(CR14:CR22)</f>
        <v>79778.735000000001</v>
      </c>
      <c r="CS13" s="2350">
        <f>CP13-CM13</f>
        <v>0</v>
      </c>
      <c r="CT13" s="2351"/>
      <c r="CU13" s="2352">
        <f t="shared" ref="CU13:CZ13" si="40">SUM(CU14:CU22)</f>
        <v>26462.832000000002</v>
      </c>
      <c r="CV13" s="2349">
        <f t="shared" si="40"/>
        <v>0</v>
      </c>
      <c r="CW13" s="2349">
        <f t="shared" si="40"/>
        <v>26462.832000000002</v>
      </c>
      <c r="CX13" s="2349">
        <f>SUM(CX14:CX22)</f>
        <v>24462.832000000002</v>
      </c>
      <c r="CY13" s="2349">
        <f t="shared" si="40"/>
        <v>0</v>
      </c>
      <c r="CZ13" s="2349">
        <f t="shared" si="40"/>
        <v>82476.472000000009</v>
      </c>
      <c r="DA13" s="2350">
        <f>CX13-CU13</f>
        <v>-2000</v>
      </c>
      <c r="DB13" s="2351"/>
    </row>
    <row r="14" spans="1:106" s="2877" customFormat="1" ht="47.25" customHeight="1">
      <c r="A14" s="2871" t="s">
        <v>2292</v>
      </c>
      <c r="B14" s="5198" t="s">
        <v>805</v>
      </c>
      <c r="C14" s="2872">
        <f t="shared" ref="C14:C22" si="41">+K14+S14+AA14+AI14+AQ14+AY14+BG14+BO14+BW14+CE14+CM14+CU14</f>
        <v>148700</v>
      </c>
      <c r="D14" s="2872"/>
      <c r="E14" s="2872">
        <f t="shared" ref="E14:E22" si="42">+M14+U14+AC14+AK14+AS14+BA14+BI14+BQ14+BY14+CG14+CO14+CW14</f>
        <v>148700</v>
      </c>
      <c r="F14" s="2872">
        <f t="shared" si="28"/>
        <v>148700</v>
      </c>
      <c r="G14" s="2872"/>
      <c r="H14" s="2872">
        <f t="shared" si="28"/>
        <v>211211.59</v>
      </c>
      <c r="I14" s="2873">
        <f t="shared" ref="I14:I22" si="43">F14-C14</f>
        <v>0</v>
      </c>
      <c r="J14" s="2874"/>
      <c r="K14" s="2875">
        <v>9300</v>
      </c>
      <c r="L14" s="2872"/>
      <c r="M14" s="2872">
        <f>K14+L14</f>
        <v>9300</v>
      </c>
      <c r="N14" s="2872">
        <f>M14</f>
        <v>9300</v>
      </c>
      <c r="O14" s="2872"/>
      <c r="P14" s="4813">
        <f>N14+5593.36</f>
        <v>14893.36</v>
      </c>
      <c r="Q14" s="2873"/>
      <c r="R14" s="2874"/>
      <c r="S14" s="2876">
        <v>5800</v>
      </c>
      <c r="T14" s="2872"/>
      <c r="U14" s="2872">
        <f>S14+T14</f>
        <v>5800</v>
      </c>
      <c r="V14" s="2872">
        <f>S14</f>
        <v>5800</v>
      </c>
      <c r="W14" s="2872"/>
      <c r="X14" s="2377">
        <f>V14+1294.85</f>
        <v>7094.85</v>
      </c>
      <c r="Y14" s="2873"/>
      <c r="Z14" s="2874"/>
      <c r="AA14" s="2875">
        <v>16100</v>
      </c>
      <c r="AB14" s="2872"/>
      <c r="AC14" s="2872">
        <f>AA14+AB14</f>
        <v>16100</v>
      </c>
      <c r="AD14" s="2872">
        <f>AA14</f>
        <v>16100</v>
      </c>
      <c r="AE14" s="2872"/>
      <c r="AF14" s="2377">
        <f>AD14+5120.17</f>
        <v>21220.17</v>
      </c>
      <c r="AG14" s="2873"/>
      <c r="AH14" s="2874"/>
      <c r="AI14" s="2875">
        <v>18900</v>
      </c>
      <c r="AJ14" s="2872"/>
      <c r="AK14" s="2872">
        <f>AI14+AJ14</f>
        <v>18900</v>
      </c>
      <c r="AL14" s="2872">
        <f>AI14</f>
        <v>18900</v>
      </c>
      <c r="AM14" s="2872"/>
      <c r="AN14" s="2377">
        <f>AL14+6374.37</f>
        <v>25274.37</v>
      </c>
      <c r="AO14" s="2873"/>
      <c r="AP14" s="2874"/>
      <c r="AQ14" s="2875">
        <v>13200</v>
      </c>
      <c r="AR14" s="2872"/>
      <c r="AS14" s="2872">
        <f>AQ14+AR14</f>
        <v>13200</v>
      </c>
      <c r="AT14" s="2872">
        <f>AQ14</f>
        <v>13200</v>
      </c>
      <c r="AU14" s="2872"/>
      <c r="AV14" s="2377">
        <f>AT14+5781.66</f>
        <v>18981.66</v>
      </c>
      <c r="AW14" s="2350">
        <f t="shared" ref="AW14:AW22" si="44">AT14-AQ14</f>
        <v>0</v>
      </c>
      <c r="AX14" s="2874"/>
      <c r="AY14" s="2875">
        <v>5000</v>
      </c>
      <c r="AZ14" s="2872"/>
      <c r="BA14" s="2872">
        <f>AY14+AZ14</f>
        <v>5000</v>
      </c>
      <c r="BB14" s="2872">
        <f>AY14</f>
        <v>5000</v>
      </c>
      <c r="BC14" s="2872"/>
      <c r="BD14" s="2377">
        <f>BB14+15149.2</f>
        <v>20149.2</v>
      </c>
      <c r="BE14" s="2873"/>
      <c r="BF14" s="2874"/>
      <c r="BG14" s="2875">
        <f>21400</f>
        <v>21400</v>
      </c>
      <c r="BH14" s="2872"/>
      <c r="BI14" s="2872">
        <f>BG14+BH14</f>
        <v>21400</v>
      </c>
      <c r="BJ14" s="2872">
        <f>BG14</f>
        <v>21400</v>
      </c>
      <c r="BK14" s="2872"/>
      <c r="BL14" s="2377">
        <f>BJ14+9986.99</f>
        <v>31386.989999999998</v>
      </c>
      <c r="BM14" s="2873"/>
      <c r="BN14" s="2874"/>
      <c r="BO14" s="2875">
        <v>28600</v>
      </c>
      <c r="BP14" s="2872"/>
      <c r="BQ14" s="2872">
        <f>BO14+BP14</f>
        <v>28600</v>
      </c>
      <c r="BR14" s="2872">
        <f>BO14</f>
        <v>28600</v>
      </c>
      <c r="BS14" s="2872"/>
      <c r="BT14" s="2377">
        <f>BR14+9641.72</f>
        <v>38241.72</v>
      </c>
      <c r="BU14" s="2873"/>
      <c r="BV14" s="2874"/>
      <c r="BW14" s="2875">
        <v>8900</v>
      </c>
      <c r="BX14" s="2872"/>
      <c r="BY14" s="2872">
        <f>BW14+BX14</f>
        <v>8900</v>
      </c>
      <c r="BZ14" s="2872">
        <f>BY14</f>
        <v>8900</v>
      </c>
      <c r="CA14" s="2872"/>
      <c r="CB14" s="2377">
        <f>BZ14+1664.41</f>
        <v>10564.41</v>
      </c>
      <c r="CC14" s="2873"/>
      <c r="CD14" s="2874"/>
      <c r="CE14" s="2875">
        <v>11300</v>
      </c>
      <c r="CF14" s="2872"/>
      <c r="CG14" s="2872">
        <f>CE14+CF14</f>
        <v>11300</v>
      </c>
      <c r="CH14" s="2872">
        <f>CE14</f>
        <v>11300</v>
      </c>
      <c r="CI14" s="2872"/>
      <c r="CJ14" s="2377">
        <f>CH14-2071.91</f>
        <v>9228.09</v>
      </c>
      <c r="CK14" s="2873"/>
      <c r="CL14" s="2874"/>
      <c r="CM14" s="2875">
        <v>3000</v>
      </c>
      <c r="CN14" s="2872"/>
      <c r="CO14" s="2872">
        <f>CM14+CN14</f>
        <v>3000</v>
      </c>
      <c r="CP14" s="2872">
        <f>CM14</f>
        <v>3000</v>
      </c>
      <c r="CQ14" s="2872"/>
      <c r="CR14" s="2377">
        <f>CP14-1551.45</f>
        <v>1448.55</v>
      </c>
      <c r="CS14" s="2873"/>
      <c r="CT14" s="2874"/>
      <c r="CU14" s="2875">
        <v>7200</v>
      </c>
      <c r="CV14" s="2872"/>
      <c r="CW14" s="2872">
        <f>CU14+CV14</f>
        <v>7200</v>
      </c>
      <c r="CX14" s="2872">
        <f>CU14</f>
        <v>7200</v>
      </c>
      <c r="CY14" s="2872"/>
      <c r="CZ14" s="4813">
        <f>CX14+5528.22</f>
        <v>12728.220000000001</v>
      </c>
      <c r="DA14" s="2873"/>
      <c r="DB14" s="2874"/>
    </row>
    <row r="15" spans="1:106" s="2877" customFormat="1" ht="69.599999999999994">
      <c r="A15" s="2871" t="s">
        <v>2294</v>
      </c>
      <c r="B15" s="4838" t="s">
        <v>806</v>
      </c>
      <c r="C15" s="2872">
        <f t="shared" si="41"/>
        <v>169098</v>
      </c>
      <c r="D15" s="2872"/>
      <c r="E15" s="2872">
        <f t="shared" si="42"/>
        <v>169098</v>
      </c>
      <c r="F15" s="2872">
        <f t="shared" si="28"/>
        <v>169098</v>
      </c>
      <c r="G15" s="2872"/>
      <c r="H15" s="2872">
        <f t="shared" si="28"/>
        <v>265647</v>
      </c>
      <c r="I15" s="2873">
        <f t="shared" si="43"/>
        <v>0</v>
      </c>
      <c r="J15" s="2874"/>
      <c r="K15" s="2875">
        <v>9500</v>
      </c>
      <c r="L15" s="2872"/>
      <c r="M15" s="2872">
        <f>K15+L15</f>
        <v>9500</v>
      </c>
      <c r="N15" s="2872">
        <f>M15</f>
        <v>9500</v>
      </c>
      <c r="O15" s="2872"/>
      <c r="P15" s="2364">
        <f>N15+4750+1000</f>
        <v>15250</v>
      </c>
      <c r="Q15" s="2873"/>
      <c r="R15" s="2874"/>
      <c r="S15" s="2876">
        <v>7500</v>
      </c>
      <c r="T15" s="2872"/>
      <c r="U15" s="2872">
        <f t="shared" ref="U15:U23" si="45">S15+T15</f>
        <v>7500</v>
      </c>
      <c r="V15" s="2872">
        <f>S15</f>
        <v>7500</v>
      </c>
      <c r="W15" s="2872"/>
      <c r="X15" s="2364">
        <f>V15+3750+1000</f>
        <v>12250</v>
      </c>
      <c r="Y15" s="2873"/>
      <c r="Z15" s="2874"/>
      <c r="AA15" s="2875">
        <v>18000</v>
      </c>
      <c r="AB15" s="2872"/>
      <c r="AC15" s="2872">
        <f t="shared" ref="AC15:AC23" si="46">AA15+AB15</f>
        <v>18000</v>
      </c>
      <c r="AD15" s="2872">
        <f>AA15</f>
        <v>18000</v>
      </c>
      <c r="AE15" s="2872"/>
      <c r="AF15" s="2872">
        <f>AD15+9000+1000</f>
        <v>28000</v>
      </c>
      <c r="AG15" s="2873"/>
      <c r="AH15" s="2874"/>
      <c r="AI15" s="2875">
        <v>27000</v>
      </c>
      <c r="AJ15" s="2872"/>
      <c r="AK15" s="2872">
        <f t="shared" ref="AK15:AK23" si="47">AI15+AJ15</f>
        <v>27000</v>
      </c>
      <c r="AL15" s="2872">
        <f>AI15</f>
        <v>27000</v>
      </c>
      <c r="AM15" s="2872"/>
      <c r="AN15" s="2872">
        <f>AL15+13500+1000</f>
        <v>41500</v>
      </c>
      <c r="AO15" s="2873"/>
      <c r="AP15" s="2874"/>
      <c r="AQ15" s="2875">
        <v>19098</v>
      </c>
      <c r="AR15" s="2872"/>
      <c r="AS15" s="2872">
        <f t="shared" ref="AS15:AS23" si="48">AQ15+AR15</f>
        <v>19098</v>
      </c>
      <c r="AT15" s="2872">
        <f>AQ15</f>
        <v>19098</v>
      </c>
      <c r="AU15" s="2872"/>
      <c r="AV15" s="2872">
        <f>AT15+9549+1000</f>
        <v>29647</v>
      </c>
      <c r="AW15" s="2350">
        <f t="shared" si="44"/>
        <v>0</v>
      </c>
      <c r="AX15" s="2874"/>
      <c r="AY15" s="2875">
        <v>3000</v>
      </c>
      <c r="AZ15" s="2872"/>
      <c r="BA15" s="2872">
        <f t="shared" ref="BA15:BA23" si="49">AY15+AZ15</f>
        <v>3000</v>
      </c>
      <c r="BB15" s="2872">
        <f>AY15</f>
        <v>3000</v>
      </c>
      <c r="BC15" s="2872"/>
      <c r="BD15" s="2872">
        <f>BB15+1500+1000</f>
        <v>5500</v>
      </c>
      <c r="BE15" s="2873"/>
      <c r="BF15" s="2874"/>
      <c r="BG15" s="2875">
        <v>26000</v>
      </c>
      <c r="BH15" s="2872"/>
      <c r="BI15" s="2872">
        <f t="shared" ref="BI15:BI23" si="50">BG15+BH15</f>
        <v>26000</v>
      </c>
      <c r="BJ15" s="2872">
        <f>BG15</f>
        <v>26000</v>
      </c>
      <c r="BK15" s="2872"/>
      <c r="BL15" s="2872">
        <f>BJ15+13000+1000</f>
        <v>40000</v>
      </c>
      <c r="BM15" s="2873"/>
      <c r="BN15" s="2874"/>
      <c r="BO15" s="2875">
        <v>33000</v>
      </c>
      <c r="BP15" s="2872"/>
      <c r="BQ15" s="2872">
        <f t="shared" ref="BQ15:BQ23" si="51">BO15+BP15</f>
        <v>33000</v>
      </c>
      <c r="BR15" s="2872">
        <f>BO15</f>
        <v>33000</v>
      </c>
      <c r="BS15" s="2872"/>
      <c r="BT15" s="2872">
        <f>BR15+16500+1000</f>
        <v>50500</v>
      </c>
      <c r="BU15" s="2873"/>
      <c r="BV15" s="2874"/>
      <c r="BW15" s="2875">
        <v>7000</v>
      </c>
      <c r="BX15" s="2872"/>
      <c r="BY15" s="2872">
        <f t="shared" ref="BY15:BY23" si="52">BW15+BX15</f>
        <v>7000</v>
      </c>
      <c r="BZ15" s="2872">
        <f>BY15</f>
        <v>7000</v>
      </c>
      <c r="CA15" s="2872"/>
      <c r="CB15" s="2872">
        <f>BZ15+3500+1000</f>
        <v>11500</v>
      </c>
      <c r="CC15" s="2873"/>
      <c r="CD15" s="2874"/>
      <c r="CE15" s="2875">
        <v>7000</v>
      </c>
      <c r="CF15" s="2872"/>
      <c r="CG15" s="2872">
        <f t="shared" ref="CG15:CG23" si="53">CE15+CF15</f>
        <v>7000</v>
      </c>
      <c r="CH15" s="2872">
        <f>CE15</f>
        <v>7000</v>
      </c>
      <c r="CI15" s="2872"/>
      <c r="CJ15" s="2872">
        <f>CH15+3500+1000</f>
        <v>11500</v>
      </c>
      <c r="CK15" s="2873"/>
      <c r="CL15" s="2874"/>
      <c r="CM15" s="2875">
        <v>1500</v>
      </c>
      <c r="CN15" s="2872"/>
      <c r="CO15" s="2872">
        <f t="shared" ref="CO15:CO23" si="54">CM15+CN15</f>
        <v>1500</v>
      </c>
      <c r="CP15" s="2872">
        <f>CM15</f>
        <v>1500</v>
      </c>
      <c r="CQ15" s="2872"/>
      <c r="CR15" s="2872">
        <f>CP15+750+1000</f>
        <v>3250</v>
      </c>
      <c r="CS15" s="2873"/>
      <c r="CT15" s="2874"/>
      <c r="CU15" s="2875">
        <v>10500</v>
      </c>
      <c r="CV15" s="2872"/>
      <c r="CW15" s="2872">
        <f>CU15+CV15</f>
        <v>10500</v>
      </c>
      <c r="CX15" s="2872">
        <f>CU15</f>
        <v>10500</v>
      </c>
      <c r="CY15" s="2872"/>
      <c r="CZ15" s="2872">
        <f>CX15+5250+1000</f>
        <v>16750</v>
      </c>
      <c r="DA15" s="2873"/>
      <c r="DB15" s="2874"/>
    </row>
    <row r="16" spans="1:106" s="4846" customFormat="1">
      <c r="A16" s="4839" t="s">
        <v>3157</v>
      </c>
      <c r="B16" s="5185" t="s">
        <v>3234</v>
      </c>
      <c r="C16" s="2375">
        <f t="shared" si="41"/>
        <v>0</v>
      </c>
      <c r="D16" s="2375"/>
      <c r="E16" s="2375">
        <f t="shared" si="42"/>
        <v>0</v>
      </c>
      <c r="F16" s="2375">
        <f t="shared" si="28"/>
        <v>0</v>
      </c>
      <c r="G16" s="2375"/>
      <c r="H16" s="4813">
        <f>SUM(P16,X16,AF16,AN16,AV16,BD16,BL16,BT16,CB16,CJ16,CR16,CZ16)</f>
        <v>42185.549000000006</v>
      </c>
      <c r="I16" s="4841">
        <f>F16-C16</f>
        <v>0</v>
      </c>
      <c r="J16" s="4842"/>
      <c r="K16" s="4843"/>
      <c r="L16" s="2375"/>
      <c r="M16" s="2375">
        <f t="shared" ref="M16:M23" si="55">K16+L16</f>
        <v>0</v>
      </c>
      <c r="N16" s="3015"/>
      <c r="O16" s="2375"/>
      <c r="P16" s="4813">
        <f>2689.2</f>
        <v>2689.2</v>
      </c>
      <c r="Q16" s="4841"/>
      <c r="R16" s="4842"/>
      <c r="S16" s="4844"/>
      <c r="T16" s="2375"/>
      <c r="U16" s="2375">
        <f t="shared" si="45"/>
        <v>0</v>
      </c>
      <c r="V16" s="2375">
        <f>S16</f>
        <v>0</v>
      </c>
      <c r="W16" s="2375"/>
      <c r="X16" s="4813">
        <f>2182.164</f>
        <v>2182.1640000000002</v>
      </c>
      <c r="Y16" s="4841"/>
      <c r="Z16" s="4842"/>
      <c r="AA16" s="4843"/>
      <c r="AB16" s="2375"/>
      <c r="AC16" s="2375">
        <f t="shared" si="46"/>
        <v>0</v>
      </c>
      <c r="AD16" s="3015">
        <f>AA16</f>
        <v>0</v>
      </c>
      <c r="AE16" s="2375"/>
      <c r="AF16" s="4813">
        <f>2426.765</f>
        <v>2426.7649999999999</v>
      </c>
      <c r="AG16" s="4841"/>
      <c r="AH16" s="4842"/>
      <c r="AI16" s="4843"/>
      <c r="AJ16" s="2375"/>
      <c r="AK16" s="2375">
        <f t="shared" si="47"/>
        <v>0</v>
      </c>
      <c r="AL16" s="2375">
        <f>AI16</f>
        <v>0</v>
      </c>
      <c r="AM16" s="2375"/>
      <c r="AN16" s="4813">
        <f>3550.502</f>
        <v>3550.502</v>
      </c>
      <c r="AO16" s="4841"/>
      <c r="AP16" s="4842"/>
      <c r="AQ16" s="4843"/>
      <c r="AR16" s="2375"/>
      <c r="AS16" s="2375">
        <f t="shared" si="48"/>
        <v>0</v>
      </c>
      <c r="AT16" s="2375"/>
      <c r="AU16" s="2375"/>
      <c r="AV16" s="4813">
        <f>4152.654</f>
        <v>4152.6540000000005</v>
      </c>
      <c r="AW16" s="4845">
        <f t="shared" si="44"/>
        <v>0</v>
      </c>
      <c r="AX16" s="4842"/>
      <c r="AY16" s="4843"/>
      <c r="AZ16" s="2375"/>
      <c r="BA16" s="2375">
        <f t="shared" si="49"/>
        <v>0</v>
      </c>
      <c r="BB16" s="2375"/>
      <c r="BC16" s="2375"/>
      <c r="BD16" s="4813">
        <f>4595.569</f>
        <v>4595.5690000000004</v>
      </c>
      <c r="BE16" s="4841"/>
      <c r="BF16" s="4842"/>
      <c r="BG16" s="4843"/>
      <c r="BH16" s="2375"/>
      <c r="BI16" s="2375">
        <f t="shared" si="50"/>
        <v>0</v>
      </c>
      <c r="BJ16" s="2375">
        <f>+BG16</f>
        <v>0</v>
      </c>
      <c r="BK16" s="2375"/>
      <c r="BL16" s="4813">
        <f>5034.659</f>
        <v>5034.6589999999997</v>
      </c>
      <c r="BM16" s="4841"/>
      <c r="BN16" s="4842"/>
      <c r="BO16" s="4843"/>
      <c r="BP16" s="2375"/>
      <c r="BQ16" s="2375">
        <f t="shared" si="51"/>
        <v>0</v>
      </c>
      <c r="BR16" s="2375">
        <f>BO16</f>
        <v>0</v>
      </c>
      <c r="BS16" s="2375"/>
      <c r="BT16" s="4813">
        <f>3612.249</f>
        <v>3612.2489999999998</v>
      </c>
      <c r="BU16" s="4841"/>
      <c r="BV16" s="4842"/>
      <c r="BW16" s="4843"/>
      <c r="BX16" s="2375"/>
      <c r="BY16" s="2375">
        <f t="shared" si="52"/>
        <v>0</v>
      </c>
      <c r="BZ16" s="2375">
        <f>BW16</f>
        <v>0</v>
      </c>
      <c r="CA16" s="2375"/>
      <c r="CB16" s="4813">
        <f>4235.437</f>
        <v>4235.4369999999999</v>
      </c>
      <c r="CC16" s="4841"/>
      <c r="CD16" s="4842"/>
      <c r="CE16" s="4843"/>
      <c r="CF16" s="2375"/>
      <c r="CG16" s="2375">
        <f t="shared" si="53"/>
        <v>0</v>
      </c>
      <c r="CH16" s="2375">
        <f>+CE16</f>
        <v>0</v>
      </c>
      <c r="CI16" s="2375"/>
      <c r="CJ16" s="4813">
        <f>3362.563</f>
        <v>3362.5630000000001</v>
      </c>
      <c r="CK16" s="4841"/>
      <c r="CL16" s="4842"/>
      <c r="CM16" s="4843"/>
      <c r="CN16" s="2375"/>
      <c r="CO16" s="2375">
        <f t="shared" si="54"/>
        <v>0</v>
      </c>
      <c r="CP16" s="2375"/>
      <c r="CQ16" s="2375"/>
      <c r="CR16" s="4813">
        <f>3350.315</f>
        <v>3350.3150000000001</v>
      </c>
      <c r="CS16" s="4841"/>
      <c r="CT16" s="4842"/>
      <c r="CU16" s="4843"/>
      <c r="CV16" s="2375"/>
      <c r="CW16" s="2375">
        <f>CU16+CV16</f>
        <v>0</v>
      </c>
      <c r="CX16" s="2375">
        <f>CU16</f>
        <v>0</v>
      </c>
      <c r="CY16" s="2375"/>
      <c r="CZ16" s="4813">
        <f>2993.472</f>
        <v>2993.4720000000002</v>
      </c>
      <c r="DA16" s="4841"/>
      <c r="DB16" s="4842"/>
    </row>
    <row r="17" spans="1:112" s="2877" customFormat="1" ht="34.799999999999997">
      <c r="A17" s="2871" t="s">
        <v>3158</v>
      </c>
      <c r="B17" s="4837" t="s">
        <v>807</v>
      </c>
      <c r="C17" s="2872">
        <f t="shared" si="41"/>
        <v>93668.347999999998</v>
      </c>
      <c r="D17" s="2872"/>
      <c r="E17" s="2872">
        <f t="shared" si="42"/>
        <v>93668.347999999998</v>
      </c>
      <c r="F17" s="2872">
        <f t="shared" si="28"/>
        <v>93668.52399999999</v>
      </c>
      <c r="G17" s="2872"/>
      <c r="H17" s="2872">
        <f t="shared" si="28"/>
        <v>293472.76800000004</v>
      </c>
      <c r="I17" s="2873">
        <f t="shared" si="43"/>
        <v>0.17599999999220017</v>
      </c>
      <c r="J17" s="2874"/>
      <c r="K17" s="2875">
        <f>+'[2]H. HỒNG NGỰ'!$C$45</f>
        <v>3431</v>
      </c>
      <c r="L17" s="2872"/>
      <c r="M17" s="2872">
        <f t="shared" si="55"/>
        <v>3431</v>
      </c>
      <c r="N17" s="2985">
        <v>3431</v>
      </c>
      <c r="O17" s="2872"/>
      <c r="P17" s="2872">
        <f>+'Phụ lục số 8.3-CĐCS'!AC10</f>
        <v>24715</v>
      </c>
      <c r="Q17" s="2873"/>
      <c r="R17" s="2874"/>
      <c r="S17" s="4806">
        <f>+'[2]TP. HỒNG NGỰ'!$C$45</f>
        <v>4055</v>
      </c>
      <c r="T17" s="2872"/>
      <c r="U17" s="2872">
        <f t="shared" si="45"/>
        <v>4055</v>
      </c>
      <c r="V17" s="2872">
        <v>4055</v>
      </c>
      <c r="W17" s="2872"/>
      <c r="X17" s="2872">
        <f>'Phụ lục số 8.3-CĐCS'!AQ10</f>
        <v>13685</v>
      </c>
      <c r="Y17" s="2873"/>
      <c r="Z17" s="2874"/>
      <c r="AA17" s="2875">
        <f>+'[2]H. TÂN HỒNG'!$C$45</f>
        <v>6923.8239999999996</v>
      </c>
      <c r="AB17" s="2872"/>
      <c r="AC17" s="2872">
        <f t="shared" si="46"/>
        <v>6923.8239999999996</v>
      </c>
      <c r="AD17" s="2985">
        <v>6924</v>
      </c>
      <c r="AE17" s="2872"/>
      <c r="AF17" s="2872">
        <f>'Phụ lục số 8.3-CĐCS'!BE10</f>
        <v>19357.824000000001</v>
      </c>
      <c r="AG17" s="2873"/>
      <c r="AH17" s="2874"/>
      <c r="AI17" s="2875">
        <f>+'[2]H. TAM NÔNG'!$C$45</f>
        <v>1686.76</v>
      </c>
      <c r="AJ17" s="2872"/>
      <c r="AK17" s="2872">
        <f t="shared" si="47"/>
        <v>1686.76</v>
      </c>
      <c r="AL17" s="2985">
        <f>AI17</f>
        <v>1686.76</v>
      </c>
      <c r="AM17" s="2872"/>
      <c r="AN17" s="3015">
        <f>'Phụ lục số 8.3-CĐCS'!BS10</f>
        <v>9833.76</v>
      </c>
      <c r="AO17" s="2873"/>
      <c r="AP17" s="2874"/>
      <c r="AQ17" s="2875">
        <f>+'[2]H. THANH BÌNH'!$C$45</f>
        <v>4041.3519999999999</v>
      </c>
      <c r="AR17" s="2872"/>
      <c r="AS17" s="2872">
        <f t="shared" si="48"/>
        <v>4041.3519999999999</v>
      </c>
      <c r="AT17" s="2985">
        <f>+AQ17</f>
        <v>4041.3519999999999</v>
      </c>
      <c r="AU17" s="2872"/>
      <c r="AV17" s="2872">
        <f>+'Phụ lục số 8.3-CĐCS'!CG10</f>
        <v>20123.351999999999</v>
      </c>
      <c r="AW17" s="2350">
        <f t="shared" si="44"/>
        <v>0</v>
      </c>
      <c r="AX17" s="2874"/>
      <c r="AY17" s="2875">
        <f>+'[2]TP. CAO LÃNH'!$C$45</f>
        <v>11159.2</v>
      </c>
      <c r="AZ17" s="2872"/>
      <c r="BA17" s="2872">
        <f t="shared" si="49"/>
        <v>11159.2</v>
      </c>
      <c r="BB17" s="2985">
        <f>AY17</f>
        <v>11159.2</v>
      </c>
      <c r="BC17" s="2872"/>
      <c r="BD17" s="2872">
        <f>'Phụ lục số 8.3-CĐCS'!CU10</f>
        <v>26873.200000000001</v>
      </c>
      <c r="BE17" s="2873"/>
      <c r="BF17" s="2874"/>
      <c r="BG17" s="2875">
        <f>+'[2]H. CAO LÃNH'!$C$45</f>
        <v>17921.2</v>
      </c>
      <c r="BH17" s="2872"/>
      <c r="BI17" s="2872">
        <f t="shared" si="50"/>
        <v>17921.2</v>
      </c>
      <c r="BJ17" s="2985">
        <f>+BG17</f>
        <v>17921.2</v>
      </c>
      <c r="BK17" s="2872"/>
      <c r="BL17" s="2872">
        <f>+'Phụ lục số 8.3-CĐCS'!DI10</f>
        <v>44882.031999999999</v>
      </c>
      <c r="BM17" s="2873"/>
      <c r="BN17" s="2874"/>
      <c r="BO17" s="2875">
        <f>+'[2]H. THÁP MƯỜI'!$C$45</f>
        <v>2610.6</v>
      </c>
      <c r="BP17" s="2872"/>
      <c r="BQ17" s="2872">
        <f t="shared" si="51"/>
        <v>2610.6</v>
      </c>
      <c r="BR17" s="2985">
        <f>+BO17</f>
        <v>2610.6</v>
      </c>
      <c r="BS17" s="2872"/>
      <c r="BT17" s="2872">
        <f>+'Phụ lục số 8.3-CĐCS'!DW10</f>
        <v>20966.599999999999</v>
      </c>
      <c r="BU17" s="2873"/>
      <c r="BV17" s="2874"/>
      <c r="BW17" s="2875">
        <f>+'[2]H. LẤP VÒ'!$C$45</f>
        <v>22437.948</v>
      </c>
      <c r="BX17" s="2872"/>
      <c r="BY17" s="2872">
        <f t="shared" si="52"/>
        <v>22437.948</v>
      </c>
      <c r="BZ17" s="2985">
        <f>BW17</f>
        <v>22437.948</v>
      </c>
      <c r="CA17" s="2872"/>
      <c r="CB17" s="2872">
        <f>'Phụ lục số 8.3-CĐCS'!EK10</f>
        <v>43125</v>
      </c>
      <c r="CC17" s="2873"/>
      <c r="CD17" s="2874"/>
      <c r="CE17" s="2875">
        <f>+'[2]H. LAI VUNG'!$C$45</f>
        <v>7262.7119999999995</v>
      </c>
      <c r="CF17" s="2872"/>
      <c r="CG17" s="2872">
        <f t="shared" si="53"/>
        <v>7262.7119999999995</v>
      </c>
      <c r="CH17" s="2985">
        <f>+CE17</f>
        <v>7262.7119999999995</v>
      </c>
      <c r="CI17" s="2872"/>
      <c r="CJ17" s="3015">
        <f>+'Phụ lục số 8.3-CĐCS'!EY10</f>
        <v>26154</v>
      </c>
      <c r="CK17" s="2873"/>
      <c r="CL17" s="2874"/>
      <c r="CM17" s="2875">
        <f>+'[2]TP. SA ĐÉC'!$C$45</f>
        <v>5375.92</v>
      </c>
      <c r="CN17" s="2872"/>
      <c r="CO17" s="2872">
        <f t="shared" si="54"/>
        <v>5375.92</v>
      </c>
      <c r="CP17" s="2985">
        <f>CM17</f>
        <v>5375.92</v>
      </c>
      <c r="CQ17" s="2872"/>
      <c r="CR17" s="2872">
        <f>+'Phụ lục số 8.3-CĐCS'!FM10</f>
        <v>18010</v>
      </c>
      <c r="CS17" s="2873"/>
      <c r="CT17" s="2874"/>
      <c r="CU17" s="2875">
        <f>+'[2]H. CHÂU THÀNH'!$C$45</f>
        <v>6762.8320000000003</v>
      </c>
      <c r="CV17" s="2872"/>
      <c r="CW17" s="2872">
        <f>CU17+CV17</f>
        <v>6762.8320000000003</v>
      </c>
      <c r="CX17" s="2985">
        <f>CW17</f>
        <v>6762.8320000000003</v>
      </c>
      <c r="CY17" s="2872"/>
      <c r="CZ17" s="2872">
        <f>'Phụ lục số 8.3-CĐCS'!GA10</f>
        <v>25747</v>
      </c>
      <c r="DA17" s="2873"/>
      <c r="DB17" s="2874"/>
    </row>
    <row r="18" spans="1:112" s="2877" customFormat="1">
      <c r="A18" s="2871"/>
      <c r="B18" s="5431" t="s">
        <v>3252</v>
      </c>
      <c r="C18" s="2872"/>
      <c r="D18" s="2872"/>
      <c r="E18" s="2872"/>
      <c r="F18" s="2872">
        <f t="shared" si="28"/>
        <v>0</v>
      </c>
      <c r="G18" s="2872"/>
      <c r="H18" s="2364">
        <f t="shared" si="28"/>
        <v>11626</v>
      </c>
      <c r="I18" s="2873"/>
      <c r="J18" s="2874"/>
      <c r="K18" s="2875"/>
      <c r="L18" s="2872"/>
      <c r="M18" s="2872"/>
      <c r="N18" s="2985"/>
      <c r="O18" s="2872"/>
      <c r="P18" s="2377">
        <v>1229</v>
      </c>
      <c r="Q18" s="2873"/>
      <c r="R18" s="2874"/>
      <c r="S18" s="4806"/>
      <c r="T18" s="2872"/>
      <c r="U18" s="2872"/>
      <c r="V18" s="2872"/>
      <c r="W18" s="2872"/>
      <c r="X18" s="2364">
        <v>722</v>
      </c>
      <c r="Y18" s="2873"/>
      <c r="Z18" s="2874"/>
      <c r="AA18" s="2875"/>
      <c r="AB18" s="2872"/>
      <c r="AC18" s="2872"/>
      <c r="AD18" s="2985"/>
      <c r="AE18" s="2872"/>
      <c r="AF18" s="2872">
        <v>964</v>
      </c>
      <c r="AG18" s="2873"/>
      <c r="AH18" s="2874"/>
      <c r="AI18" s="2875"/>
      <c r="AJ18" s="2872"/>
      <c r="AK18" s="2872"/>
      <c r="AL18" s="2985"/>
      <c r="AM18" s="2872"/>
      <c r="AN18" s="3015">
        <v>964</v>
      </c>
      <c r="AO18" s="2873"/>
      <c r="AP18" s="2874"/>
      <c r="AQ18" s="2875"/>
      <c r="AR18" s="2872"/>
      <c r="AS18" s="2872"/>
      <c r="AT18" s="2985"/>
      <c r="AU18" s="2872"/>
      <c r="AV18" s="2872">
        <v>1227</v>
      </c>
      <c r="AW18" s="2350"/>
      <c r="AX18" s="2874"/>
      <c r="AY18" s="2875"/>
      <c r="AZ18" s="2872"/>
      <c r="BA18" s="2872"/>
      <c r="BB18" s="2985"/>
      <c r="BC18" s="2872"/>
      <c r="BD18" s="2872">
        <v>1094</v>
      </c>
      <c r="BE18" s="2873"/>
      <c r="BF18" s="2874"/>
      <c r="BG18" s="2875"/>
      <c r="BH18" s="2872"/>
      <c r="BI18" s="2872"/>
      <c r="BJ18" s="2985"/>
      <c r="BK18" s="2872"/>
      <c r="BL18" s="2872">
        <v>1123</v>
      </c>
      <c r="BM18" s="2873"/>
      <c r="BN18" s="2874"/>
      <c r="BO18" s="2875"/>
      <c r="BP18" s="2872"/>
      <c r="BQ18" s="2872"/>
      <c r="BR18" s="2985"/>
      <c r="BS18" s="2872"/>
      <c r="BT18" s="2872">
        <v>1123</v>
      </c>
      <c r="BU18" s="2873"/>
      <c r="BV18" s="2874"/>
      <c r="BW18" s="2875"/>
      <c r="BX18" s="2872"/>
      <c r="BY18" s="2872"/>
      <c r="BZ18" s="2985"/>
      <c r="CA18" s="2872"/>
      <c r="CB18" s="2872">
        <v>859</v>
      </c>
      <c r="CC18" s="2873"/>
      <c r="CD18" s="2874"/>
      <c r="CE18" s="2875"/>
      <c r="CF18" s="2872"/>
      <c r="CG18" s="2872"/>
      <c r="CH18" s="2985"/>
      <c r="CI18" s="2872"/>
      <c r="CJ18" s="3015">
        <v>857</v>
      </c>
      <c r="CK18" s="2873"/>
      <c r="CL18" s="2874"/>
      <c r="CM18" s="2875"/>
      <c r="CN18" s="2872"/>
      <c r="CO18" s="2872"/>
      <c r="CP18" s="2985"/>
      <c r="CQ18" s="2872"/>
      <c r="CR18" s="2872">
        <v>605</v>
      </c>
      <c r="CS18" s="2873"/>
      <c r="CT18" s="2874"/>
      <c r="CU18" s="2875"/>
      <c r="CV18" s="2872"/>
      <c r="CW18" s="2872"/>
      <c r="CX18" s="2985"/>
      <c r="CY18" s="2872"/>
      <c r="CZ18" s="2872">
        <v>859</v>
      </c>
      <c r="DA18" s="2873"/>
      <c r="DB18" s="2874"/>
    </row>
    <row r="19" spans="1:112" s="4846" customFormat="1">
      <c r="A19" s="4839" t="s">
        <v>3159</v>
      </c>
      <c r="B19" s="4840" t="s">
        <v>1509</v>
      </c>
      <c r="C19" s="2375">
        <f t="shared" si="41"/>
        <v>8000</v>
      </c>
      <c r="D19" s="2375"/>
      <c r="E19" s="2375">
        <f t="shared" si="42"/>
        <v>8000</v>
      </c>
      <c r="F19" s="2375">
        <f t="shared" si="28"/>
        <v>0</v>
      </c>
      <c r="G19" s="2375"/>
      <c r="H19" s="2375">
        <f t="shared" si="28"/>
        <v>0</v>
      </c>
      <c r="I19" s="4841">
        <f t="shared" si="43"/>
        <v>-8000</v>
      </c>
      <c r="J19" s="4842"/>
      <c r="K19" s="4843">
        <v>0</v>
      </c>
      <c r="L19" s="2375"/>
      <c r="M19" s="2375">
        <f t="shared" si="55"/>
        <v>0</v>
      </c>
      <c r="N19" s="2375">
        <f>167910000/100000-167910000/100000</f>
        <v>0</v>
      </c>
      <c r="O19" s="2375"/>
      <c r="P19" s="2375">
        <f t="shared" ref="P19:P21" si="56">N19</f>
        <v>0</v>
      </c>
      <c r="Q19" s="4841"/>
      <c r="R19" s="4842"/>
      <c r="S19" s="4844">
        <v>2000</v>
      </c>
      <c r="T19" s="2375"/>
      <c r="U19" s="2375">
        <f t="shared" si="45"/>
        <v>2000</v>
      </c>
      <c r="V19" s="2375"/>
      <c r="W19" s="2375"/>
      <c r="X19" s="2375">
        <f t="shared" ref="X19:X21" si="57">V19</f>
        <v>0</v>
      </c>
      <c r="Y19" s="4841"/>
      <c r="Z19" s="4842"/>
      <c r="AA19" s="4843"/>
      <c r="AB19" s="2375"/>
      <c r="AC19" s="2375">
        <f t="shared" si="46"/>
        <v>0</v>
      </c>
      <c r="AD19" s="2375">
        <f>464-464</f>
        <v>0</v>
      </c>
      <c r="AE19" s="2375"/>
      <c r="AF19" s="2375">
        <f t="shared" ref="AF19:AF22" si="58">AD19</f>
        <v>0</v>
      </c>
      <c r="AG19" s="4841"/>
      <c r="AH19" s="4842"/>
      <c r="AI19" s="4843"/>
      <c r="AJ19" s="2375"/>
      <c r="AK19" s="2375">
        <f t="shared" si="47"/>
        <v>0</v>
      </c>
      <c r="AL19" s="2375">
        <f>729-729</f>
        <v>0</v>
      </c>
      <c r="AM19" s="2375"/>
      <c r="AN19" s="2375">
        <f t="shared" ref="AN19" si="59">AL19</f>
        <v>0</v>
      </c>
      <c r="AO19" s="4841"/>
      <c r="AP19" s="4842"/>
      <c r="AQ19" s="4843"/>
      <c r="AR19" s="2375"/>
      <c r="AS19" s="2375">
        <f t="shared" si="48"/>
        <v>0</v>
      </c>
      <c r="AT19" s="2375">
        <f>723-723</f>
        <v>0</v>
      </c>
      <c r="AU19" s="2375"/>
      <c r="AV19" s="2375">
        <f t="shared" ref="AV19" si="60">AT19</f>
        <v>0</v>
      </c>
      <c r="AW19" s="4845">
        <f t="shared" si="44"/>
        <v>0</v>
      </c>
      <c r="AX19" s="4842"/>
      <c r="AY19" s="4843"/>
      <c r="AZ19" s="2375"/>
      <c r="BA19" s="2375">
        <f t="shared" si="49"/>
        <v>0</v>
      </c>
      <c r="BB19" s="2375">
        <f>518-518</f>
        <v>0</v>
      </c>
      <c r="BC19" s="2375"/>
      <c r="BD19" s="2375">
        <f t="shared" ref="BD19:BD21" si="61">BB19</f>
        <v>0</v>
      </c>
      <c r="BE19" s="4841"/>
      <c r="BF19" s="4842"/>
      <c r="BG19" s="4843"/>
      <c r="BH19" s="2375"/>
      <c r="BI19" s="2375">
        <f t="shared" si="50"/>
        <v>0</v>
      </c>
      <c r="BJ19" s="2375">
        <f>220-220</f>
        <v>0</v>
      </c>
      <c r="BK19" s="2375"/>
      <c r="BL19" s="2375">
        <f t="shared" ref="BL19:BL21" si="62">BJ19</f>
        <v>0</v>
      </c>
      <c r="BM19" s="4841"/>
      <c r="BN19" s="4842"/>
      <c r="BO19" s="4843"/>
      <c r="BP19" s="2375"/>
      <c r="BQ19" s="2375">
        <f t="shared" si="51"/>
        <v>0</v>
      </c>
      <c r="BR19" s="2375">
        <f>1011-1011</f>
        <v>0</v>
      </c>
      <c r="BS19" s="2375"/>
      <c r="BT19" s="2375">
        <f t="shared" ref="BT19:BT22" si="63">BR19</f>
        <v>0</v>
      </c>
      <c r="BU19" s="4841"/>
      <c r="BV19" s="4842"/>
      <c r="BW19" s="4843">
        <v>2000</v>
      </c>
      <c r="BX19" s="2375"/>
      <c r="BY19" s="2375">
        <f t="shared" si="52"/>
        <v>2000</v>
      </c>
      <c r="BZ19" s="2375"/>
      <c r="CA19" s="2375"/>
      <c r="CB19" s="2375">
        <f t="shared" ref="CB19" si="64">BZ19</f>
        <v>0</v>
      </c>
      <c r="CC19" s="4841"/>
      <c r="CD19" s="4842"/>
      <c r="CE19" s="4843">
        <v>2000</v>
      </c>
      <c r="CF19" s="2375"/>
      <c r="CG19" s="2375">
        <f t="shared" si="53"/>
        <v>2000</v>
      </c>
      <c r="CH19" s="2375"/>
      <c r="CI19" s="2375"/>
      <c r="CJ19" s="2375">
        <f t="shared" ref="CJ19:CJ22" si="65">CH19</f>
        <v>0</v>
      </c>
      <c r="CK19" s="4841"/>
      <c r="CL19" s="4842"/>
      <c r="CM19" s="4843"/>
      <c r="CN19" s="2375"/>
      <c r="CO19" s="2375">
        <f t="shared" si="54"/>
        <v>0</v>
      </c>
      <c r="CP19" s="2375">
        <f>441-441</f>
        <v>0</v>
      </c>
      <c r="CQ19" s="2375"/>
      <c r="CR19" s="2375">
        <f t="shared" ref="CR19:CR21" si="66">CP19</f>
        <v>0</v>
      </c>
      <c r="CS19" s="4841"/>
      <c r="CT19" s="4842"/>
      <c r="CU19" s="4843">
        <v>2000</v>
      </c>
      <c r="CV19" s="2375"/>
      <c r="CW19" s="2375">
        <f>CU19+CV19</f>
        <v>2000</v>
      </c>
      <c r="CX19" s="2375"/>
      <c r="CY19" s="2375"/>
      <c r="CZ19" s="2375">
        <f t="shared" ref="CZ19:CZ21" si="67">CX19</f>
        <v>0</v>
      </c>
      <c r="DA19" s="4841"/>
      <c r="DB19" s="4842"/>
    </row>
    <row r="20" spans="1:112" s="2369" customFormat="1" ht="34.799999999999997">
      <c r="A20" s="2362" t="s">
        <v>3160</v>
      </c>
      <c r="B20" s="5149" t="s">
        <v>3156</v>
      </c>
      <c r="C20" s="4833">
        <f t="shared" si="41"/>
        <v>0</v>
      </c>
      <c r="D20" s="4833"/>
      <c r="E20" s="4833">
        <f t="shared" si="42"/>
        <v>0</v>
      </c>
      <c r="F20" s="4833">
        <f t="shared" si="28"/>
        <v>0</v>
      </c>
      <c r="G20" s="4833"/>
      <c r="H20" s="4833">
        <f t="shared" si="28"/>
        <v>11295</v>
      </c>
      <c r="I20" s="4834">
        <f t="shared" si="43"/>
        <v>0</v>
      </c>
      <c r="J20" s="4835"/>
      <c r="K20" s="2367">
        <v>0</v>
      </c>
      <c r="L20" s="2364"/>
      <c r="M20" s="2364">
        <f t="shared" si="55"/>
        <v>0</v>
      </c>
      <c r="N20" s="2364">
        <f>K20</f>
        <v>0</v>
      </c>
      <c r="O20" s="2364"/>
      <c r="P20" s="2364">
        <v>986.43</v>
      </c>
      <c r="Q20" s="2365">
        <f>N20-K20</f>
        <v>0</v>
      </c>
      <c r="R20" s="2366"/>
      <c r="S20" s="2368"/>
      <c r="T20" s="2364"/>
      <c r="U20" s="2364">
        <f t="shared" si="45"/>
        <v>0</v>
      </c>
      <c r="V20" s="2364">
        <f>S20</f>
        <v>0</v>
      </c>
      <c r="W20" s="2364"/>
      <c r="X20" s="2364">
        <v>542.16</v>
      </c>
      <c r="Y20" s="2365">
        <f>V20-S20</f>
        <v>0</v>
      </c>
      <c r="Z20" s="2366"/>
      <c r="AA20" s="2367"/>
      <c r="AB20" s="2364"/>
      <c r="AC20" s="2364">
        <f t="shared" si="46"/>
        <v>0</v>
      </c>
      <c r="AD20" s="2364">
        <f>AA20</f>
        <v>0</v>
      </c>
      <c r="AE20" s="2364"/>
      <c r="AF20" s="2364">
        <v>617.46</v>
      </c>
      <c r="AG20" s="2365">
        <f>AD20-AA20</f>
        <v>0</v>
      </c>
      <c r="AH20" s="2366"/>
      <c r="AI20" s="2367"/>
      <c r="AJ20" s="2364"/>
      <c r="AK20" s="2364">
        <f t="shared" si="47"/>
        <v>0</v>
      </c>
      <c r="AL20" s="2364">
        <f>AI20</f>
        <v>0</v>
      </c>
      <c r="AM20" s="2364"/>
      <c r="AN20" s="2364">
        <v>707.82</v>
      </c>
      <c r="AO20" s="2365">
        <f>AL20-AI20</f>
        <v>0</v>
      </c>
      <c r="AP20" s="2366"/>
      <c r="AQ20" s="2367"/>
      <c r="AR20" s="2364"/>
      <c r="AS20" s="2364">
        <f t="shared" si="48"/>
        <v>0</v>
      </c>
      <c r="AT20" s="2364">
        <f>AQ20</f>
        <v>0</v>
      </c>
      <c r="AU20" s="2364"/>
      <c r="AV20" s="2364">
        <v>1144.56</v>
      </c>
      <c r="AW20" s="2350">
        <f t="shared" si="44"/>
        <v>0</v>
      </c>
      <c r="AX20" s="2366"/>
      <c r="AY20" s="2367"/>
      <c r="AZ20" s="2364"/>
      <c r="BA20" s="2364">
        <f t="shared" si="49"/>
        <v>0</v>
      </c>
      <c r="BB20" s="2364">
        <f>AY20</f>
        <v>0</v>
      </c>
      <c r="BC20" s="2364"/>
      <c r="BD20" s="2364">
        <v>993.96</v>
      </c>
      <c r="BE20" s="2365">
        <f>BB20-AY20</f>
        <v>0</v>
      </c>
      <c r="BF20" s="2366"/>
      <c r="BG20" s="2367"/>
      <c r="BH20" s="2364"/>
      <c r="BI20" s="2364">
        <f t="shared" si="50"/>
        <v>0</v>
      </c>
      <c r="BJ20" s="2364">
        <f>BG20</f>
        <v>0</v>
      </c>
      <c r="BK20" s="2364"/>
      <c r="BL20" s="2364">
        <v>1490.94</v>
      </c>
      <c r="BM20" s="2365">
        <f>BJ20-BG20</f>
        <v>0</v>
      </c>
      <c r="BN20" s="2366"/>
      <c r="BO20" s="2367"/>
      <c r="BP20" s="2364"/>
      <c r="BQ20" s="2364">
        <f t="shared" si="51"/>
        <v>0</v>
      </c>
      <c r="BR20" s="2364">
        <f>BO20</f>
        <v>0</v>
      </c>
      <c r="BS20" s="2364"/>
      <c r="BT20" s="2364">
        <v>956.31</v>
      </c>
      <c r="BU20" s="2365">
        <f>BR20-BO20</f>
        <v>0</v>
      </c>
      <c r="BV20" s="2366"/>
      <c r="BW20" s="2367"/>
      <c r="BX20" s="2364"/>
      <c r="BY20" s="2364">
        <f t="shared" si="52"/>
        <v>0</v>
      </c>
      <c r="BZ20" s="2364">
        <f>BW20</f>
        <v>0</v>
      </c>
      <c r="CA20" s="2364"/>
      <c r="CB20" s="2364">
        <v>1249.98</v>
      </c>
      <c r="CC20" s="2365">
        <f>BZ20-BW20</f>
        <v>0</v>
      </c>
      <c r="CD20" s="2366"/>
      <c r="CE20" s="2367"/>
      <c r="CF20" s="2364"/>
      <c r="CG20" s="2364">
        <f t="shared" si="53"/>
        <v>0</v>
      </c>
      <c r="CH20" s="2364">
        <f>CE20</f>
        <v>0</v>
      </c>
      <c r="CI20" s="2364"/>
      <c r="CJ20" s="2364">
        <v>1061.73</v>
      </c>
      <c r="CK20" s="2365">
        <f>CH20-CE20</f>
        <v>0</v>
      </c>
      <c r="CL20" s="2366"/>
      <c r="CM20" s="2367"/>
      <c r="CN20" s="2364"/>
      <c r="CO20" s="2364">
        <f t="shared" si="54"/>
        <v>0</v>
      </c>
      <c r="CP20" s="2364">
        <f>CM20</f>
        <v>0</v>
      </c>
      <c r="CQ20" s="2364"/>
      <c r="CR20" s="2364">
        <v>594.87</v>
      </c>
      <c r="CS20" s="2365">
        <f>CP20-CM20</f>
        <v>0</v>
      </c>
      <c r="CT20" s="2366"/>
      <c r="CU20" s="2367"/>
      <c r="CV20" s="2364"/>
      <c r="CW20" s="2364">
        <f t="shared" ref="CW20:CW23" si="68">CU20+CV20</f>
        <v>0</v>
      </c>
      <c r="CX20" s="2364">
        <f>CU20</f>
        <v>0</v>
      </c>
      <c r="CY20" s="2364"/>
      <c r="CZ20" s="2364">
        <v>948.78</v>
      </c>
      <c r="DA20" s="2365">
        <f>CX20-CU20</f>
        <v>0</v>
      </c>
      <c r="DB20" s="2366"/>
    </row>
    <row r="21" spans="1:112" s="4846" customFormat="1" ht="34.799999999999997">
      <c r="A21" s="5150" t="s">
        <v>3161</v>
      </c>
      <c r="B21" s="5148" t="s">
        <v>3223</v>
      </c>
      <c r="C21" s="2376">
        <f t="shared" si="41"/>
        <v>0</v>
      </c>
      <c r="D21" s="2376"/>
      <c r="E21" s="2376">
        <f t="shared" si="42"/>
        <v>0</v>
      </c>
      <c r="F21" s="2376">
        <f t="shared" si="28"/>
        <v>0</v>
      </c>
      <c r="G21" s="2376"/>
      <c r="H21" s="5151">
        <f t="shared" si="28"/>
        <v>852</v>
      </c>
      <c r="I21" s="4847">
        <f t="shared" si="43"/>
        <v>0</v>
      </c>
      <c r="J21" s="4848"/>
      <c r="K21" s="4843">
        <v>0</v>
      </c>
      <c r="L21" s="2375"/>
      <c r="M21" s="2375">
        <f t="shared" si="55"/>
        <v>0</v>
      </c>
      <c r="N21" s="2375"/>
      <c r="O21" s="2375"/>
      <c r="P21" s="2375">
        <f t="shared" si="56"/>
        <v>0</v>
      </c>
      <c r="Q21" s="4841">
        <f>N21-K21</f>
        <v>0</v>
      </c>
      <c r="R21" s="4842"/>
      <c r="S21" s="4844"/>
      <c r="T21" s="2375"/>
      <c r="U21" s="2375">
        <f t="shared" si="45"/>
        <v>0</v>
      </c>
      <c r="V21" s="2375"/>
      <c r="W21" s="2375"/>
      <c r="X21" s="2375">
        <f t="shared" si="57"/>
        <v>0</v>
      </c>
      <c r="Y21" s="4841">
        <f>V21-S21</f>
        <v>0</v>
      </c>
      <c r="Z21" s="4842"/>
      <c r="AA21" s="4843"/>
      <c r="AB21" s="2375"/>
      <c r="AC21" s="2375">
        <f t="shared" si="46"/>
        <v>0</v>
      </c>
      <c r="AD21" s="2375"/>
      <c r="AE21" s="2375"/>
      <c r="AF21" s="2375">
        <f t="shared" si="58"/>
        <v>0</v>
      </c>
      <c r="AG21" s="4841">
        <f>AD21-AA21</f>
        <v>0</v>
      </c>
      <c r="AH21" s="4842"/>
      <c r="AI21" s="4843"/>
      <c r="AJ21" s="2375"/>
      <c r="AK21" s="2375">
        <f t="shared" si="47"/>
        <v>0</v>
      </c>
      <c r="AL21" s="2375"/>
      <c r="AM21" s="2375"/>
      <c r="AN21" s="2377">
        <v>235</v>
      </c>
      <c r="AO21" s="4841">
        <f>AL21-AI21</f>
        <v>0</v>
      </c>
      <c r="AP21" s="4842"/>
      <c r="AQ21" s="4843"/>
      <c r="AR21" s="2375"/>
      <c r="AS21" s="2375">
        <f t="shared" si="48"/>
        <v>0</v>
      </c>
      <c r="AT21" s="2375"/>
      <c r="AU21" s="2375"/>
      <c r="AV21" s="2377">
        <v>142</v>
      </c>
      <c r="AW21" s="4845">
        <f t="shared" si="44"/>
        <v>0</v>
      </c>
      <c r="AX21" s="4842"/>
      <c r="AY21" s="4843"/>
      <c r="AZ21" s="2375"/>
      <c r="BA21" s="2375">
        <f t="shared" si="49"/>
        <v>0</v>
      </c>
      <c r="BB21" s="2375"/>
      <c r="BC21" s="2375"/>
      <c r="BD21" s="2375">
        <f t="shared" si="61"/>
        <v>0</v>
      </c>
      <c r="BE21" s="4841">
        <f>BB21-AY21</f>
        <v>0</v>
      </c>
      <c r="BF21" s="4842"/>
      <c r="BG21" s="4843">
        <v>0</v>
      </c>
      <c r="BH21" s="2375"/>
      <c r="BI21" s="2375">
        <f t="shared" si="50"/>
        <v>0</v>
      </c>
      <c r="BJ21" s="2375"/>
      <c r="BK21" s="2375"/>
      <c r="BL21" s="2375">
        <f t="shared" si="62"/>
        <v>0</v>
      </c>
      <c r="BM21" s="4841">
        <f>BJ21-BG21</f>
        <v>0</v>
      </c>
      <c r="BN21" s="4842"/>
      <c r="BO21" s="4843">
        <v>0</v>
      </c>
      <c r="BP21" s="2375"/>
      <c r="BQ21" s="2375">
        <f t="shared" si="51"/>
        <v>0</v>
      </c>
      <c r="BR21" s="2375"/>
      <c r="BS21" s="2375"/>
      <c r="BT21" s="2375">
        <f t="shared" si="63"/>
        <v>0</v>
      </c>
      <c r="BU21" s="4841">
        <f>BR21-BO21</f>
        <v>0</v>
      </c>
      <c r="BV21" s="4842"/>
      <c r="BW21" s="4843"/>
      <c r="BX21" s="2375"/>
      <c r="BY21" s="2375">
        <f t="shared" si="52"/>
        <v>0</v>
      </c>
      <c r="BZ21" s="2375"/>
      <c r="CA21" s="2375"/>
      <c r="CB21" s="2377">
        <v>475</v>
      </c>
      <c r="CC21" s="4841">
        <f>BZ21-BW21</f>
        <v>0</v>
      </c>
      <c r="CD21" s="4842"/>
      <c r="CE21" s="4843"/>
      <c r="CF21" s="2375"/>
      <c r="CG21" s="2375">
        <f t="shared" si="53"/>
        <v>0</v>
      </c>
      <c r="CH21" s="2375"/>
      <c r="CI21" s="2375"/>
      <c r="CJ21" s="2375">
        <f t="shared" si="65"/>
        <v>0</v>
      </c>
      <c r="CK21" s="4841">
        <f>CH21-CE21</f>
        <v>0</v>
      </c>
      <c r="CL21" s="4842"/>
      <c r="CM21" s="4843"/>
      <c r="CN21" s="2375"/>
      <c r="CO21" s="2375">
        <f t="shared" si="54"/>
        <v>0</v>
      </c>
      <c r="CP21" s="2375"/>
      <c r="CQ21" s="2375"/>
      <c r="CR21" s="2375">
        <f t="shared" si="66"/>
        <v>0</v>
      </c>
      <c r="CS21" s="4841">
        <f>CP21-CM21</f>
        <v>0</v>
      </c>
      <c r="CT21" s="4842"/>
      <c r="CU21" s="4843"/>
      <c r="CV21" s="2375"/>
      <c r="CW21" s="2375">
        <f t="shared" si="68"/>
        <v>0</v>
      </c>
      <c r="CX21" s="2375"/>
      <c r="CY21" s="2375"/>
      <c r="CZ21" s="2375">
        <f t="shared" si="67"/>
        <v>0</v>
      </c>
      <c r="DA21" s="4841">
        <f>CX21-CU21</f>
        <v>0</v>
      </c>
      <c r="DB21" s="4842"/>
    </row>
    <row r="22" spans="1:112" s="2877" customFormat="1">
      <c r="A22" s="2871" t="s">
        <v>3162</v>
      </c>
      <c r="B22" s="4836" t="s">
        <v>1510</v>
      </c>
      <c r="C22" s="2878">
        <f t="shared" si="41"/>
        <v>0</v>
      </c>
      <c r="D22" s="2878"/>
      <c r="E22" s="2878">
        <f t="shared" si="42"/>
        <v>0</v>
      </c>
      <c r="F22" s="2878">
        <f t="shared" si="28"/>
        <v>0</v>
      </c>
      <c r="G22" s="2878"/>
      <c r="H22" s="2878">
        <f>SUM(P22,X22,AF22,AN22,AV22,BD22,BL22,BT22,CB22,CJ22,CR22,CZ22)</f>
        <v>129670</v>
      </c>
      <c r="I22" s="2879">
        <f t="shared" si="43"/>
        <v>0</v>
      </c>
      <c r="J22" s="2880"/>
      <c r="K22" s="2875">
        <v>0</v>
      </c>
      <c r="L22" s="2872"/>
      <c r="M22" s="2872">
        <f t="shared" si="55"/>
        <v>0</v>
      </c>
      <c r="N22" s="2872">
        <f>IF(N40&gt;0,0,-N40)</f>
        <v>0</v>
      </c>
      <c r="O22" s="2872"/>
      <c r="P22" s="2872">
        <f>IF(N40&gt;0,0,-N40)</f>
        <v>0</v>
      </c>
      <c r="Q22" s="2873"/>
      <c r="R22" s="2874"/>
      <c r="S22" s="2876"/>
      <c r="T22" s="2872"/>
      <c r="U22" s="2872">
        <f t="shared" si="45"/>
        <v>0</v>
      </c>
      <c r="V22" s="2377"/>
      <c r="W22" s="2872"/>
      <c r="X22" s="2377">
        <f>IF(V40&gt;0,0,-V40)</f>
        <v>10860</v>
      </c>
      <c r="Y22" s="2873"/>
      <c r="Z22" s="2874"/>
      <c r="AA22" s="2875"/>
      <c r="AB22" s="2872"/>
      <c r="AC22" s="2872">
        <f t="shared" si="46"/>
        <v>0</v>
      </c>
      <c r="AD22" s="2377">
        <f>IF(AD40&gt;0,0,-AD40)</f>
        <v>0</v>
      </c>
      <c r="AE22" s="2872"/>
      <c r="AF22" s="2872">
        <f t="shared" si="58"/>
        <v>0</v>
      </c>
      <c r="AG22" s="2873"/>
      <c r="AH22" s="2874"/>
      <c r="AI22" s="2875"/>
      <c r="AJ22" s="2872"/>
      <c r="AK22" s="2872">
        <f t="shared" si="47"/>
        <v>0</v>
      </c>
      <c r="AL22" s="2377">
        <v>0</v>
      </c>
      <c r="AM22" s="2872"/>
      <c r="AN22" s="2377">
        <f>IF(AL40&gt;0,0,-AL40)</f>
        <v>1820</v>
      </c>
      <c r="AO22" s="2873"/>
      <c r="AP22" s="2874"/>
      <c r="AQ22" s="2875">
        <v>0</v>
      </c>
      <c r="AR22" s="2872"/>
      <c r="AS22" s="2872">
        <f t="shared" si="48"/>
        <v>0</v>
      </c>
      <c r="AT22" s="2377">
        <v>0</v>
      </c>
      <c r="AU22" s="2872"/>
      <c r="AV22" s="4812">
        <f>IF(AT40&gt;0,0,-AT40)</f>
        <v>21475</v>
      </c>
      <c r="AW22" s="2350">
        <f t="shared" si="44"/>
        <v>0</v>
      </c>
      <c r="AX22" s="2874"/>
      <c r="AY22" s="2875"/>
      <c r="AZ22" s="2872"/>
      <c r="BA22" s="2872">
        <f t="shared" si="49"/>
        <v>0</v>
      </c>
      <c r="BB22" s="2377">
        <v>0</v>
      </c>
      <c r="BC22" s="2872"/>
      <c r="BD22" s="2872">
        <f>IF(BB40&gt;0,0,-BB40)</f>
        <v>0</v>
      </c>
      <c r="BE22" s="2873"/>
      <c r="BF22" s="2874"/>
      <c r="BG22" s="2875">
        <v>0</v>
      </c>
      <c r="BH22" s="2872"/>
      <c r="BI22" s="2872">
        <f t="shared" si="50"/>
        <v>0</v>
      </c>
      <c r="BJ22" s="2377"/>
      <c r="BK22" s="2872"/>
      <c r="BL22" s="2872">
        <f>IF(BJ40&gt;0,0,-BJ40)</f>
        <v>14395</v>
      </c>
      <c r="BM22" s="2873"/>
      <c r="BN22" s="2874"/>
      <c r="BO22" s="2875">
        <v>0</v>
      </c>
      <c r="BP22" s="2872"/>
      <c r="BQ22" s="2872">
        <f t="shared" si="51"/>
        <v>0</v>
      </c>
      <c r="BR22" s="2377">
        <f>IF(BR40&gt;0,0,-BR40)</f>
        <v>0</v>
      </c>
      <c r="BS22" s="2872"/>
      <c r="BT22" s="2872">
        <f t="shared" si="63"/>
        <v>0</v>
      </c>
      <c r="BU22" s="2873"/>
      <c r="BV22" s="2874"/>
      <c r="BW22" s="2875"/>
      <c r="BX22" s="2872"/>
      <c r="BY22" s="2872">
        <f t="shared" si="52"/>
        <v>0</v>
      </c>
      <c r="BZ22" s="2377"/>
      <c r="CA22" s="2872"/>
      <c r="CB22" s="4812">
        <f>IF(BZ40&gt;0,0,-BZ40)</f>
        <v>6150</v>
      </c>
      <c r="CC22" s="2873"/>
      <c r="CD22" s="2874"/>
      <c r="CE22" s="2875"/>
      <c r="CF22" s="2872"/>
      <c r="CG22" s="2377">
        <f>IF(CG40&gt;0,0,-CG40)</f>
        <v>0</v>
      </c>
      <c r="CH22" s="2377">
        <f>IF(CH40&gt;0,0,-CH40)</f>
        <v>0</v>
      </c>
      <c r="CI22" s="2872"/>
      <c r="CJ22" s="2872">
        <f t="shared" si="65"/>
        <v>0</v>
      </c>
      <c r="CK22" s="2873"/>
      <c r="CL22" s="2874"/>
      <c r="CM22" s="2875"/>
      <c r="CN22" s="2872"/>
      <c r="CO22" s="2872">
        <f t="shared" si="54"/>
        <v>0</v>
      </c>
      <c r="CP22" s="2377"/>
      <c r="CQ22" s="2872"/>
      <c r="CR22" s="2985">
        <f>IF(CP40&gt;0,0,-CP40)</f>
        <v>52520</v>
      </c>
      <c r="CS22" s="2873"/>
      <c r="CT22" s="2874"/>
      <c r="CU22" s="2875"/>
      <c r="CV22" s="2872"/>
      <c r="CW22" s="2872">
        <f t="shared" si="68"/>
        <v>0</v>
      </c>
      <c r="CX22" s="2377"/>
      <c r="CY22" s="2872"/>
      <c r="CZ22" s="2872">
        <f>IF(CX40&gt;0,0,-CX40)</f>
        <v>22450</v>
      </c>
      <c r="DA22" s="2873"/>
      <c r="DB22" s="2874"/>
    </row>
    <row r="23" spans="1:112" s="2369" customFormat="1" ht="34.799999999999997">
      <c r="A23" s="2362">
        <v>4</v>
      </c>
      <c r="B23" s="2363" t="s">
        <v>1511</v>
      </c>
      <c r="C23" s="2364">
        <f>+K23+S23+AA23+AI23+AQ23+AY23+BG23+BO23+BW23+CE23+CM23+CU23</f>
        <v>886000</v>
      </c>
      <c r="D23" s="2364"/>
      <c r="E23" s="2364">
        <f>+M23+U23+AC23+AK23+AS23+BA23+BI23+BQ23+BY23+CG23+CO23+CW23</f>
        <v>886000</v>
      </c>
      <c r="F23" s="2364">
        <f>SUM(N23,V23,AD23,AL23,AT23,BB23,BJ23,BR23,BZ23,CH23,CP23,CX23)</f>
        <v>886000</v>
      </c>
      <c r="G23" s="2364">
        <f>SUM(O23,W23,AE23,AM23,AU23,BC23,BK23,BS23,CA23,CI23,CQ23,CY23)</f>
        <v>0</v>
      </c>
      <c r="H23" s="2364">
        <f>SUM(P23,X23,AF23,AN23,AV23,BD23,BL23,BT23,CB23,CJ23,CR23,CZ23)</f>
        <v>941000</v>
      </c>
      <c r="I23" s="2365">
        <f>F23-C23</f>
        <v>0</v>
      </c>
      <c r="J23" s="2366"/>
      <c r="K23" s="4807">
        <f>+'[2]H. HỒNG NGỰ'!$C$47</f>
        <v>36493</v>
      </c>
      <c r="L23" s="2364"/>
      <c r="M23" s="2364">
        <f t="shared" si="55"/>
        <v>36493</v>
      </c>
      <c r="N23" s="2364">
        <f>K23</f>
        <v>36493</v>
      </c>
      <c r="O23" s="2364"/>
      <c r="P23" s="4812">
        <f>+'Phụ lục số 8.2-CCTL'!E6</f>
        <v>45493</v>
      </c>
      <c r="Q23" s="2365">
        <f>N23-K23</f>
        <v>0</v>
      </c>
      <c r="R23" s="2366"/>
      <c r="S23" s="2368"/>
      <c r="T23" s="2364"/>
      <c r="U23" s="2364">
        <f t="shared" si="45"/>
        <v>0</v>
      </c>
      <c r="V23" s="2364">
        <f>'[31]Phụ lục 7.2-CCTL'!F6</f>
        <v>0</v>
      </c>
      <c r="W23" s="2364"/>
      <c r="X23" s="4812">
        <f>+'Phụ lục số 8.2-CCTL'!F6</f>
        <v>0</v>
      </c>
      <c r="Y23" s="2365">
        <f>V23-S23</f>
        <v>0</v>
      </c>
      <c r="Z23" s="2366"/>
      <c r="AA23" s="2367">
        <v>36249</v>
      </c>
      <c r="AB23" s="2364"/>
      <c r="AC23" s="2364">
        <f t="shared" si="46"/>
        <v>36249</v>
      </c>
      <c r="AD23" s="2364">
        <f>AA23</f>
        <v>36249</v>
      </c>
      <c r="AE23" s="2364"/>
      <c r="AF23" s="2364">
        <f>+'Phụ lục số 8.2-CCTL'!G6</f>
        <v>36240</v>
      </c>
      <c r="AG23" s="2365">
        <f>AD23-AA23</f>
        <v>0</v>
      </c>
      <c r="AH23" s="2366"/>
      <c r="AI23" s="2367">
        <v>21613</v>
      </c>
      <c r="AJ23" s="2364"/>
      <c r="AK23" s="2364">
        <f t="shared" si="47"/>
        <v>21613</v>
      </c>
      <c r="AL23" s="2364">
        <f>AI23</f>
        <v>21613</v>
      </c>
      <c r="AM23" s="2364"/>
      <c r="AN23" s="2377">
        <f>+'Phụ lục số 8.2-CCTL'!H6</f>
        <v>16410</v>
      </c>
      <c r="AO23" s="2365">
        <f>AL23-AI23</f>
        <v>0</v>
      </c>
      <c r="AP23" s="2366"/>
      <c r="AQ23" s="2367">
        <v>39471</v>
      </c>
      <c r="AR23" s="2364"/>
      <c r="AS23" s="2364">
        <f t="shared" si="48"/>
        <v>39471</v>
      </c>
      <c r="AT23" s="2364">
        <f>'[31]Phụ lục 7.2-CCTL'!I6</f>
        <v>39471</v>
      </c>
      <c r="AU23" s="2364"/>
      <c r="AV23" s="4813">
        <f>+'Phụ lục số 8.2-CCTL'!I6</f>
        <v>17902</v>
      </c>
      <c r="AW23" s="2350">
        <f>AT23-AQ23</f>
        <v>0</v>
      </c>
      <c r="AX23" s="2366"/>
      <c r="AY23" s="2367">
        <v>395603</v>
      </c>
      <c r="AZ23" s="2364"/>
      <c r="BA23" s="2364">
        <f t="shared" si="49"/>
        <v>395603</v>
      </c>
      <c r="BB23" s="2364">
        <f>AY23</f>
        <v>395603</v>
      </c>
      <c r="BC23" s="2364"/>
      <c r="BD23" s="4813">
        <f>+'Phụ lục số 8.2-CCTL'!J6</f>
        <v>517247</v>
      </c>
      <c r="BE23" s="2365">
        <f>BB23-AY23</f>
        <v>0</v>
      </c>
      <c r="BF23" s="2366"/>
      <c r="BG23" s="2367">
        <v>59176</v>
      </c>
      <c r="BH23" s="2364"/>
      <c r="BI23" s="2364">
        <f t="shared" si="50"/>
        <v>59176</v>
      </c>
      <c r="BJ23" s="2364">
        <f>+BG23</f>
        <v>59176</v>
      </c>
      <c r="BK23" s="2364"/>
      <c r="BL23" s="4813">
        <f>+'Phụ lục số 8.2-CCTL'!K6</f>
        <v>45892</v>
      </c>
      <c r="BM23" s="2365">
        <f>BJ23-BG23</f>
        <v>0</v>
      </c>
      <c r="BN23" s="2366"/>
      <c r="BO23" s="2367">
        <v>26700</v>
      </c>
      <c r="BP23" s="2364"/>
      <c r="BQ23" s="2364">
        <f t="shared" si="51"/>
        <v>26700</v>
      </c>
      <c r="BR23" s="2364">
        <f>'[31]Phụ lục 7.2-CCTL'!L6</f>
        <v>26700</v>
      </c>
      <c r="BS23" s="2364"/>
      <c r="BT23" s="4812">
        <f>+'Phụ lục số 8.2-CCTL'!L6</f>
        <v>20039</v>
      </c>
      <c r="BU23" s="2365">
        <f>BR23-BO23</f>
        <v>0</v>
      </c>
      <c r="BV23" s="2366"/>
      <c r="BW23" s="2367">
        <v>39278</v>
      </c>
      <c r="BX23" s="2364"/>
      <c r="BY23" s="2364">
        <f t="shared" si="52"/>
        <v>39278</v>
      </c>
      <c r="BZ23" s="2364">
        <f>BW23</f>
        <v>39278</v>
      </c>
      <c r="CA23" s="2364"/>
      <c r="CB23" s="4813">
        <f>+'Phụ lục số 8.2-CCTL'!M6</f>
        <v>0</v>
      </c>
      <c r="CC23" s="2365">
        <f>BZ23-BW23</f>
        <v>0</v>
      </c>
      <c r="CD23" s="2366"/>
      <c r="CE23" s="2367">
        <v>22770</v>
      </c>
      <c r="CF23" s="2364"/>
      <c r="CG23" s="2364">
        <f t="shared" si="53"/>
        <v>22770</v>
      </c>
      <c r="CH23" s="2364">
        <f>'[31]Phụ lục 7.2-CCTL'!N6</f>
        <v>22770</v>
      </c>
      <c r="CI23" s="2364"/>
      <c r="CJ23" s="4812">
        <f>+'Phụ lục số 8.2-CCTL'!N6</f>
        <v>16209</v>
      </c>
      <c r="CK23" s="2365">
        <f>CH23-CE23</f>
        <v>0</v>
      </c>
      <c r="CL23" s="2366"/>
      <c r="CM23" s="2367">
        <v>174966</v>
      </c>
      <c r="CN23" s="2364"/>
      <c r="CO23" s="2364">
        <f t="shared" si="54"/>
        <v>174966</v>
      </c>
      <c r="CP23" s="2364">
        <v>174966</v>
      </c>
      <c r="CQ23" s="2364"/>
      <c r="CR23" s="4813">
        <f>+'Phụ lục số 8.2-CCTL'!O6</f>
        <v>203111</v>
      </c>
      <c r="CS23" s="2365">
        <f>CP23-CM23</f>
        <v>0</v>
      </c>
      <c r="CT23" s="2366"/>
      <c r="CU23" s="2367">
        <v>33681</v>
      </c>
      <c r="CV23" s="2364"/>
      <c r="CW23" s="2364">
        <f t="shared" si="68"/>
        <v>33681</v>
      </c>
      <c r="CX23" s="2364">
        <f>CU23</f>
        <v>33681</v>
      </c>
      <c r="CY23" s="2364"/>
      <c r="CZ23" s="2364">
        <f>+'Phụ lục số 8.2-CCTL'!P6</f>
        <v>22457</v>
      </c>
      <c r="DA23" s="2365">
        <f>CX23-CU23</f>
        <v>0</v>
      </c>
      <c r="DB23" s="2366"/>
    </row>
    <row r="24" spans="1:112" s="2369" customFormat="1" ht="46.5" customHeight="1">
      <c r="A24" s="2362">
        <v>5</v>
      </c>
      <c r="B24" s="2363" t="s">
        <v>1512</v>
      </c>
      <c r="C24" s="2364"/>
      <c r="D24" s="2364"/>
      <c r="E24" s="2364"/>
      <c r="F24" s="2364">
        <f>SUM(N24,V24,AD24,AL24,AT24,BB24,BJ24,BR24,BZ24,CH24,CP24,CX24)</f>
        <v>0</v>
      </c>
      <c r="G24" s="2364"/>
      <c r="H24" s="2364">
        <f>F24</f>
        <v>0</v>
      </c>
      <c r="I24" s="2365"/>
      <c r="J24" s="2366"/>
      <c r="K24" s="2367"/>
      <c r="L24" s="2364"/>
      <c r="M24" s="2364"/>
      <c r="N24" s="2364"/>
      <c r="O24" s="2364"/>
      <c r="P24" s="2364">
        <f>N24</f>
        <v>0</v>
      </c>
      <c r="Q24" s="2365"/>
      <c r="R24" s="2366"/>
      <c r="S24" s="2368"/>
      <c r="T24" s="2364"/>
      <c r="U24" s="2364"/>
      <c r="V24" s="2364"/>
      <c r="W24" s="2364"/>
      <c r="X24" s="2364"/>
      <c r="Y24" s="2365"/>
      <c r="Z24" s="2366"/>
      <c r="AA24" s="2367"/>
      <c r="AB24" s="2364"/>
      <c r="AC24" s="2364"/>
      <c r="AD24" s="2364"/>
      <c r="AE24" s="2364"/>
      <c r="AF24" s="2364">
        <f>AD24</f>
        <v>0</v>
      </c>
      <c r="AG24" s="2365"/>
      <c r="AH24" s="2366"/>
      <c r="AI24" s="2367"/>
      <c r="AJ24" s="2364"/>
      <c r="AK24" s="2364"/>
      <c r="AL24" s="2364"/>
      <c r="AM24" s="2364"/>
      <c r="AN24" s="2364"/>
      <c r="AO24" s="2365"/>
      <c r="AP24" s="2366"/>
      <c r="AQ24" s="2367"/>
      <c r="AR24" s="2364"/>
      <c r="AS24" s="2364"/>
      <c r="AT24" s="2364"/>
      <c r="AU24" s="2364"/>
      <c r="AV24" s="2364"/>
      <c r="AW24" s="2365"/>
      <c r="AX24" s="2366"/>
      <c r="AY24" s="2367"/>
      <c r="AZ24" s="2364"/>
      <c r="BA24" s="2364"/>
      <c r="BB24" s="2364"/>
      <c r="BC24" s="2364"/>
      <c r="BD24" s="2364">
        <f>BB24</f>
        <v>0</v>
      </c>
      <c r="BE24" s="2365"/>
      <c r="BF24" s="2366"/>
      <c r="BG24" s="2367"/>
      <c r="BH24" s="2364"/>
      <c r="BI24" s="2364"/>
      <c r="BJ24" s="2364"/>
      <c r="BK24" s="2364"/>
      <c r="BL24" s="2364"/>
      <c r="BM24" s="2365"/>
      <c r="BN24" s="2366"/>
      <c r="BO24" s="2367"/>
      <c r="BP24" s="2364"/>
      <c r="BQ24" s="2364"/>
      <c r="BR24" s="2364"/>
      <c r="BS24" s="2364"/>
      <c r="BT24" s="2364"/>
      <c r="BU24" s="2365"/>
      <c r="BV24" s="2366"/>
      <c r="BW24" s="2367"/>
      <c r="BX24" s="2364"/>
      <c r="BY24" s="2364"/>
      <c r="BZ24" s="2364"/>
      <c r="CA24" s="2364"/>
      <c r="CB24" s="2364"/>
      <c r="CC24" s="2365"/>
      <c r="CD24" s="2366"/>
      <c r="CE24" s="2367"/>
      <c r="CF24" s="2364"/>
      <c r="CG24" s="2364"/>
      <c r="CH24" s="2364"/>
      <c r="CI24" s="2364"/>
      <c r="CJ24" s="2364"/>
      <c r="CK24" s="2365"/>
      <c r="CL24" s="2366"/>
      <c r="CM24" s="2367"/>
      <c r="CN24" s="2364"/>
      <c r="CO24" s="2364"/>
      <c r="CP24" s="2364"/>
      <c r="CQ24" s="2364"/>
      <c r="CR24" s="2364">
        <f>CP24</f>
        <v>0</v>
      </c>
      <c r="CS24" s="2365"/>
      <c r="CT24" s="2366"/>
      <c r="CU24" s="2367"/>
      <c r="CV24" s="2364"/>
      <c r="CW24" s="2364"/>
      <c r="CX24" s="2364"/>
      <c r="CY24" s="2364"/>
      <c r="CZ24" s="2364"/>
      <c r="DA24" s="2365"/>
      <c r="DB24" s="2366"/>
    </row>
    <row r="25" spans="1:112" s="2383" customFormat="1" ht="17.399999999999999">
      <c r="A25" s="2378" t="s">
        <v>33</v>
      </c>
      <c r="B25" s="2379" t="s">
        <v>1513</v>
      </c>
      <c r="C25" s="2380">
        <f>SUM(C26,C30,C33,C35,C34)</f>
        <v>9908403.9480000008</v>
      </c>
      <c r="D25" s="2380">
        <f>D30</f>
        <v>0</v>
      </c>
      <c r="E25" s="2380">
        <f>SUM(E26,E30,E33,E35,E34)</f>
        <v>9592432.1813333351</v>
      </c>
      <c r="F25" s="2380">
        <f>SUM(F26,F30,F33,F35,F34)</f>
        <v>9693623.5240000002</v>
      </c>
      <c r="G25" s="2380">
        <f>G30</f>
        <v>1543255</v>
      </c>
      <c r="H25" s="2380">
        <f>SUM(H26,H30,H33,H35,H34)</f>
        <v>11751651.907000002</v>
      </c>
      <c r="I25" s="2264">
        <f>F25-C25</f>
        <v>-214780.42400000058</v>
      </c>
      <c r="J25" s="2345">
        <f t="shared" ref="J25:J32" si="69">F25/C25%</f>
        <v>97.83234085805158</v>
      </c>
      <c r="K25" s="2381">
        <f>SUM(K26,K30,K33,K35)</f>
        <v>664002</v>
      </c>
      <c r="L25" s="2380"/>
      <c r="M25" s="2389">
        <f>SUM(M26,M30,M33,M35)</f>
        <v>667442</v>
      </c>
      <c r="N25" s="2380">
        <f>SUM(N26,N30,N33,N35,N34)</f>
        <v>640852</v>
      </c>
      <c r="O25" s="2380"/>
      <c r="P25" s="2380">
        <f>SUM(P26,P30,P33,P35,P34)</f>
        <v>800543.99</v>
      </c>
      <c r="Q25" s="2264">
        <f>N25-K25</f>
        <v>-23150</v>
      </c>
      <c r="R25" s="2345">
        <f t="shared" ref="R25:R33" si="70">N25/K25%</f>
        <v>96.513564718178557</v>
      </c>
      <c r="S25" s="2382">
        <f>SUM(S26,S30,S33,S35)</f>
        <v>675185</v>
      </c>
      <c r="T25" s="2380">
        <f>SUM(T30)</f>
        <v>0</v>
      </c>
      <c r="U25" s="2389">
        <f>SUM(U26,U30,U33,U35)</f>
        <v>649520</v>
      </c>
      <c r="V25" s="2380">
        <f>SUM(V26,V30,V33,V35,V34)</f>
        <v>642465</v>
      </c>
      <c r="W25" s="2380"/>
      <c r="X25" s="2380">
        <f>SUM(X26,X30,X33,X35,X34)</f>
        <v>767830.174</v>
      </c>
      <c r="Y25" s="2264">
        <f>V25-S25</f>
        <v>-32720</v>
      </c>
      <c r="Z25" s="2345">
        <f t="shared" ref="Z25:Z33" si="71">V25/S25%</f>
        <v>95.153920777268453</v>
      </c>
      <c r="AA25" s="2381">
        <f>SUM(AA26,AA30,AA33,AA35)</f>
        <v>573785.82400000002</v>
      </c>
      <c r="AB25" s="2380"/>
      <c r="AC25" s="2389">
        <f>SUM(AC26,AC30,AC33,AC35)</f>
        <v>573146.82400000002</v>
      </c>
      <c r="AD25" s="2380">
        <f>SUM(AD26,AD30,AD33,AD35,AD34)</f>
        <v>576396</v>
      </c>
      <c r="AE25" s="2380"/>
      <c r="AF25" s="2380">
        <f>SUM(AF26,AF30,AF33,AF35,AF34)</f>
        <v>713376.21900000004</v>
      </c>
      <c r="AG25" s="2264">
        <f>AD25-AA25</f>
        <v>2610.1759999999776</v>
      </c>
      <c r="AH25" s="2345">
        <f t="shared" ref="AH25:AH33" si="72">AD25/AA25%</f>
        <v>100.4549042326985</v>
      </c>
      <c r="AI25" s="2381">
        <f>SUM(AI26,AI30,AI33,AI35)</f>
        <v>629617.76</v>
      </c>
      <c r="AJ25" s="2380">
        <f>SUM(AJ30)</f>
        <v>0</v>
      </c>
      <c r="AK25" s="2389">
        <f>SUM(AK26,AK30,AK33,AK35)</f>
        <v>610498.76</v>
      </c>
      <c r="AL25" s="2380">
        <f>SUM(AL26,AL30,AL33,AL35,AL34)</f>
        <v>625977.76</v>
      </c>
      <c r="AM25" s="2380"/>
      <c r="AN25" s="2380">
        <f>SUM(AN26,AN30,AN33,AN35,AN34)</f>
        <v>778427.45200000005</v>
      </c>
      <c r="AO25" s="2264">
        <f>AL25-AI25</f>
        <v>-3640</v>
      </c>
      <c r="AP25" s="2345">
        <f t="shared" ref="AP25:AP33" si="73">AL25/AI25%</f>
        <v>99.42187145419787</v>
      </c>
      <c r="AQ25" s="2381">
        <f>SUM(AQ26,AQ30,AQ33,AQ35)</f>
        <v>767421.35199999996</v>
      </c>
      <c r="AR25" s="2380">
        <f>SUM(AR30)</f>
        <v>0</v>
      </c>
      <c r="AS25" s="2389">
        <f>SUM(AS26,AS30,AS33,AS35)</f>
        <v>755828.01866666658</v>
      </c>
      <c r="AT25" s="2380">
        <f>SUM(AT26,AT30,AT33,AT35,AT34)</f>
        <v>706471.35199999996</v>
      </c>
      <c r="AU25" s="2380"/>
      <c r="AV25" s="2380">
        <f>SUM(AV26,AV30,AV33,AV35,AV34)</f>
        <v>950436.22600000002</v>
      </c>
      <c r="AW25" s="2264">
        <f>AT25-AQ25</f>
        <v>-60950</v>
      </c>
      <c r="AX25" s="2345">
        <f t="shared" ref="AX25:AX33" si="74">AT25/AQ25%</f>
        <v>92.057818062899045</v>
      </c>
      <c r="AY25" s="2381">
        <f>SUM(AY26,AY30,AY33,AY35)</f>
        <v>1598566.2</v>
      </c>
      <c r="AZ25" s="2380"/>
      <c r="BA25" s="2389">
        <f>SUM(BA26,BA30,BA33,BA35)</f>
        <v>1475566.2</v>
      </c>
      <c r="BB25" s="2380">
        <f>SUM(BB26,BB30,BB33,BB35,BB34)</f>
        <v>1652616.2</v>
      </c>
      <c r="BC25" s="2380"/>
      <c r="BD25" s="2380">
        <f>SUM(BD26,BD30,BD33,BD35,BD34)</f>
        <v>1814306.929</v>
      </c>
      <c r="BE25" s="2264">
        <f>BB25-AY25</f>
        <v>54050</v>
      </c>
      <c r="BF25" s="2345">
        <f t="shared" ref="BF25:BF33" si="75">BB25/AY25%</f>
        <v>103.38115493746834</v>
      </c>
      <c r="BG25" s="2381">
        <f>SUM(BG26,BG30,BG33,BG35)</f>
        <v>960665.2</v>
      </c>
      <c r="BH25" s="2380">
        <f>SUM(BH30)</f>
        <v>0</v>
      </c>
      <c r="BI25" s="2389">
        <f>SUM(BI26,BI30,BI33,BI35)</f>
        <v>972512.2</v>
      </c>
      <c r="BJ25" s="2380">
        <f>SUM(BJ26,BJ30,BJ33,BJ35,BJ34)</f>
        <v>945325.2</v>
      </c>
      <c r="BK25" s="2380"/>
      <c r="BL25" s="2380">
        <f>SUM(BL26,BL30,BL33,BL35,BL34)</f>
        <v>1193776.621</v>
      </c>
      <c r="BM25" s="2264">
        <f>BJ25-BG25</f>
        <v>-15340</v>
      </c>
      <c r="BN25" s="2345">
        <f t="shared" ref="BN25:BN33" si="76">BJ25/BG25%</f>
        <v>98.403189789741518</v>
      </c>
      <c r="BO25" s="2381">
        <f>SUM(BO26,BO30,BO33,BO35)</f>
        <v>825155.6</v>
      </c>
      <c r="BP25" s="2380">
        <f>SUM(BP30)</f>
        <v>0</v>
      </c>
      <c r="BQ25" s="2380">
        <f>SUM(BQ26,BQ30,BQ33,BQ35)</f>
        <v>797948.09999999986</v>
      </c>
      <c r="BR25" s="2389">
        <f>SUM(BR26,BR30,BR33,BR35,BR34)</f>
        <v>826105.6</v>
      </c>
      <c r="BS25" s="2380"/>
      <c r="BT25" s="2380">
        <f>SUM(BT26,BT30,BT33,BT35,BT34)</f>
        <v>1015582.879</v>
      </c>
      <c r="BU25" s="2264">
        <f>BR25-BO25</f>
        <v>950</v>
      </c>
      <c r="BV25" s="2345">
        <f t="shared" ref="BV25:BV33" si="77">BR25/BO25%</f>
        <v>100.11512980097329</v>
      </c>
      <c r="BW25" s="2381">
        <f>SUM(BW26,BW30,BW33,BW35)</f>
        <v>829132.94799999997</v>
      </c>
      <c r="BX25" s="2380"/>
      <c r="BY25" s="2389">
        <f>SUM(BY26,BY30,BY33,BY35)</f>
        <v>809232.94799999997</v>
      </c>
      <c r="BZ25" s="2380">
        <f>SUM(BZ26,BZ30,BZ33,BZ35,BZ34)</f>
        <v>814832.94799999997</v>
      </c>
      <c r="CA25" s="2380"/>
      <c r="CB25" s="2380">
        <f>SUM(CB26,CB30,CB33,CB35,CB34)</f>
        <v>1007609.827</v>
      </c>
      <c r="CC25" s="2264">
        <f>BZ25-BW25</f>
        <v>-14300</v>
      </c>
      <c r="CD25" s="2345">
        <f t="shared" ref="CD25:CD33" si="78">BZ25/BW25%</f>
        <v>98.275306748514339</v>
      </c>
      <c r="CE25" s="2381">
        <f>SUM(CE26,CE30,CE33,CE35)</f>
        <v>717257.71200000006</v>
      </c>
      <c r="CF25" s="2380">
        <f>SUM(CF30)</f>
        <v>0</v>
      </c>
      <c r="CG25" s="2389">
        <f>SUM(CG26,CG30,CG33,CG35)</f>
        <v>734350.3786666668</v>
      </c>
      <c r="CH25" s="2389">
        <f>SUM(CH26,CH30,CH33,CH35,CH34)</f>
        <v>746907.71200000006</v>
      </c>
      <c r="CI25" s="2380"/>
      <c r="CJ25" s="2380">
        <f>SUM(CJ26,CJ30,CJ33,CJ35,CJ34)</f>
        <v>891369.38300000003</v>
      </c>
      <c r="CK25" s="2264">
        <f>CH25-CE25</f>
        <v>29650</v>
      </c>
      <c r="CL25" s="2345">
        <f>CH25/CE25%</f>
        <v>104.1338000977813</v>
      </c>
      <c r="CM25" s="2381">
        <f>SUM(CM26,CM30,CM33,CM35)</f>
        <v>953865.92</v>
      </c>
      <c r="CN25" s="2380">
        <f>SUM(CN30)</f>
        <v>0</v>
      </c>
      <c r="CO25" s="2389">
        <f>SUM(CO26,CO30,CO33,CO35)</f>
        <v>852658.92</v>
      </c>
      <c r="CP25" s="2389">
        <f>SUM(CP26,CP30,CP33,CP35,CP34)</f>
        <v>848825.92</v>
      </c>
      <c r="CQ25" s="2380"/>
      <c r="CR25" s="2380">
        <f>SUM(CR26,CR30,CR33,CR35,CR34)</f>
        <v>946873.73499999999</v>
      </c>
      <c r="CS25" s="2264">
        <f>CP25-CM25</f>
        <v>-105040</v>
      </c>
      <c r="CT25" s="2345">
        <f t="shared" ref="CT25:CT33" si="79">CP25/CM25%</f>
        <v>88.987970133160857</v>
      </c>
      <c r="CU25" s="2381">
        <f>SUM(CU26,CU30,CU33,CU35)</f>
        <v>713747.83200000005</v>
      </c>
      <c r="CV25" s="2380">
        <f>SUM(CV30)</f>
        <v>0</v>
      </c>
      <c r="CW25" s="2380">
        <f>SUM(CW26,CW30,CW33,CW35)</f>
        <v>693727.83200000005</v>
      </c>
      <c r="CX25" s="2380">
        <f>SUM(CX26,CX30,CX33,CX35,CX34)</f>
        <v>666847.83200000005</v>
      </c>
      <c r="CY25" s="2380"/>
      <c r="CZ25" s="2380">
        <f>SUM(CZ26,CZ30,CZ33,CZ35,CZ34)</f>
        <v>871518.47200000007</v>
      </c>
      <c r="DA25" s="2264">
        <f>CX25-CU25</f>
        <v>-46900</v>
      </c>
      <c r="DB25" s="2345">
        <f t="shared" ref="DB25:DB33" si="80">CX25/CU25%</f>
        <v>93.429051844741721</v>
      </c>
    </row>
    <row r="26" spans="1:112" s="2383" customFormat="1" ht="17.399999999999999">
      <c r="A26" s="2378">
        <v>1</v>
      </c>
      <c r="B26" s="2384" t="s">
        <v>208</v>
      </c>
      <c r="C26" s="2380">
        <f>+C27+C29</f>
        <v>1724000</v>
      </c>
      <c r="D26" s="2380"/>
      <c r="E26" s="2380">
        <f>SUM(E27:E29)</f>
        <v>1643500</v>
      </c>
      <c r="F26" s="2380">
        <f>SUM(F27:F29)</f>
        <v>1683500</v>
      </c>
      <c r="G26" s="2380"/>
      <c r="H26" s="2380">
        <f>+H27+H29</f>
        <v>1683500</v>
      </c>
      <c r="I26" s="2264">
        <f>F26-C26</f>
        <v>-40500</v>
      </c>
      <c r="J26" s="2345">
        <f t="shared" si="69"/>
        <v>97.650812064965194</v>
      </c>
      <c r="K26" s="2381">
        <f>+K27+K29</f>
        <v>118000</v>
      </c>
      <c r="L26" s="2380"/>
      <c r="M26" s="2389">
        <f>+M27+M29</f>
        <v>118000</v>
      </c>
      <c r="N26" s="2380">
        <f>+N27+N29</f>
        <v>82000</v>
      </c>
      <c r="O26" s="2380"/>
      <c r="P26" s="2380">
        <f>SUM(P27:P29)</f>
        <v>82000</v>
      </c>
      <c r="Q26" s="2264">
        <f t="shared" ref="Q26:Q29" si="81">N26-K26</f>
        <v>-36000</v>
      </c>
      <c r="R26" s="2345">
        <f t="shared" si="70"/>
        <v>69.491525423728817</v>
      </c>
      <c r="S26" s="2382">
        <f>+S27+S29</f>
        <v>298000</v>
      </c>
      <c r="T26" s="2380"/>
      <c r="U26" s="2389">
        <f>+U27+U29</f>
        <v>194000</v>
      </c>
      <c r="V26" s="2380">
        <f>+V27+V29</f>
        <v>289000</v>
      </c>
      <c r="W26" s="2380"/>
      <c r="X26" s="2380">
        <f>SUM(X27:X29)</f>
        <v>289000</v>
      </c>
      <c r="Y26" s="2264">
        <f t="shared" ref="Y26:Y31" si="82">V26-S26</f>
        <v>-9000</v>
      </c>
      <c r="Z26" s="2345">
        <f t="shared" si="71"/>
        <v>96.979865771812086</v>
      </c>
      <c r="AA26" s="2381">
        <f>+AA27+AA29</f>
        <v>59000</v>
      </c>
      <c r="AB26" s="2380"/>
      <c r="AC26" s="2389">
        <f>+AC27+AC29</f>
        <v>68000</v>
      </c>
      <c r="AD26" s="2380">
        <f>+AD27+AD29</f>
        <v>59000</v>
      </c>
      <c r="AE26" s="2380"/>
      <c r="AF26" s="2380">
        <f>SUM(AF27:AF29)</f>
        <v>59000</v>
      </c>
      <c r="AG26" s="2264">
        <f t="shared" ref="AG26:AG31" si="83">AD26-AA26</f>
        <v>0</v>
      </c>
      <c r="AH26" s="2345">
        <f t="shared" si="72"/>
        <v>100</v>
      </c>
      <c r="AI26" s="2381">
        <f>+AI27+AI29</f>
        <v>84000</v>
      </c>
      <c r="AJ26" s="2380"/>
      <c r="AK26" s="2389">
        <f>+AK27+AK29</f>
        <v>72000</v>
      </c>
      <c r="AL26" s="2380">
        <f>+AL27+AL29</f>
        <v>84000</v>
      </c>
      <c r="AM26" s="2380"/>
      <c r="AN26" s="2380">
        <f>SUM(AN27:AN29)</f>
        <v>84000</v>
      </c>
      <c r="AO26" s="2264">
        <f t="shared" ref="AO26:AO31" si="84">AL26-AI26</f>
        <v>0</v>
      </c>
      <c r="AP26" s="2345">
        <f t="shared" si="73"/>
        <v>100</v>
      </c>
      <c r="AQ26" s="2381">
        <f>+AQ27+AQ29</f>
        <v>107000</v>
      </c>
      <c r="AR26" s="2380"/>
      <c r="AS26" s="2389">
        <f>+AS27+AS29</f>
        <v>94000</v>
      </c>
      <c r="AT26" s="2380">
        <f>+AT27+AT29</f>
        <v>89000</v>
      </c>
      <c r="AU26" s="2380"/>
      <c r="AV26" s="2380">
        <f>SUM(AV27:AV29)</f>
        <v>89000</v>
      </c>
      <c r="AW26" s="2264">
        <f t="shared" ref="AW26:AW30" si="85">AT26-AQ26</f>
        <v>-18000</v>
      </c>
      <c r="AX26" s="2345">
        <f t="shared" si="74"/>
        <v>83.177570093457945</v>
      </c>
      <c r="AY26" s="2381">
        <f>+AY27+AY29</f>
        <v>284000</v>
      </c>
      <c r="AZ26" s="2380"/>
      <c r="BA26" s="2389">
        <f>+BA27+BA29</f>
        <v>300000</v>
      </c>
      <c r="BB26" s="2380">
        <f>+BB27+BB29</f>
        <v>292000</v>
      </c>
      <c r="BC26" s="2380"/>
      <c r="BD26" s="2380">
        <f>SUM(BD27:BD29)</f>
        <v>292000</v>
      </c>
      <c r="BE26" s="2264">
        <f t="shared" ref="BE26:BE31" si="86">BB26-AY26</f>
        <v>8000</v>
      </c>
      <c r="BF26" s="2345">
        <f t="shared" si="75"/>
        <v>102.8169014084507</v>
      </c>
      <c r="BG26" s="2381">
        <f>+BG27+BG29</f>
        <v>101000</v>
      </c>
      <c r="BH26" s="2380"/>
      <c r="BI26" s="2389">
        <f>+BI27+BI29</f>
        <v>147000</v>
      </c>
      <c r="BJ26" s="2380">
        <f>+BJ27+BJ29</f>
        <v>114500</v>
      </c>
      <c r="BK26" s="2380"/>
      <c r="BL26" s="2380">
        <f>SUM(BL27:BL29)</f>
        <v>114500</v>
      </c>
      <c r="BM26" s="2264">
        <f t="shared" ref="BM26:BM31" si="87">BJ26-BG26</f>
        <v>13500</v>
      </c>
      <c r="BN26" s="2345">
        <f t="shared" si="76"/>
        <v>113.36633663366337</v>
      </c>
      <c r="BO26" s="2381">
        <f>+BO27+BO29</f>
        <v>130000</v>
      </c>
      <c r="BP26" s="2380"/>
      <c r="BQ26" s="2380">
        <f>+BQ27+BQ29</f>
        <v>130000</v>
      </c>
      <c r="BR26" s="2389">
        <f>+BR27+BR29</f>
        <v>130000</v>
      </c>
      <c r="BS26" s="2380"/>
      <c r="BT26" s="2380">
        <f>SUM(BT27:BT29)</f>
        <v>130000</v>
      </c>
      <c r="BU26" s="2264">
        <f t="shared" ref="BU26:BU31" si="88">BR26-BO26</f>
        <v>0</v>
      </c>
      <c r="BV26" s="2345">
        <f t="shared" si="77"/>
        <v>100</v>
      </c>
      <c r="BW26" s="2381">
        <f>+BW27+BW29</f>
        <v>96000</v>
      </c>
      <c r="BX26" s="2380"/>
      <c r="BY26" s="2389">
        <f>+BY27+BY29</f>
        <v>90000</v>
      </c>
      <c r="BZ26" s="2380">
        <f>+BZ27+BZ29</f>
        <v>96000</v>
      </c>
      <c r="CA26" s="2380"/>
      <c r="CB26" s="2380">
        <f>SUM(CB27:CB29)</f>
        <v>96000</v>
      </c>
      <c r="CC26" s="2264">
        <f t="shared" ref="CC26:CC31" si="89">BZ26-BW26</f>
        <v>0</v>
      </c>
      <c r="CD26" s="2345">
        <f t="shared" si="78"/>
        <v>100</v>
      </c>
      <c r="CE26" s="2381">
        <f>+CE27+CE29</f>
        <v>97000</v>
      </c>
      <c r="CF26" s="2380"/>
      <c r="CG26" s="2389">
        <f>+CG27+CG29</f>
        <v>124000</v>
      </c>
      <c r="CH26" s="2389">
        <f>+CH27+CH29</f>
        <v>98000</v>
      </c>
      <c r="CI26" s="2380"/>
      <c r="CJ26" s="2380">
        <f>SUM(CJ27:CJ29)</f>
        <v>98000</v>
      </c>
      <c r="CK26" s="2264">
        <f t="shared" ref="CK26:CK31" si="90">CH26-CE26</f>
        <v>1000</v>
      </c>
      <c r="CL26" s="2345">
        <f t="shared" ref="CL26:CL31" si="91">CH26/CE26%</f>
        <v>101.03092783505154</v>
      </c>
      <c r="CM26" s="2381">
        <f>+CM27+CM29</f>
        <v>227000</v>
      </c>
      <c r="CN26" s="2380"/>
      <c r="CO26" s="2389">
        <f>+CO27+CO29</f>
        <v>183500</v>
      </c>
      <c r="CP26" s="2389">
        <f>+CP27+CP29</f>
        <v>227000</v>
      </c>
      <c r="CQ26" s="2380"/>
      <c r="CR26" s="2380">
        <f>SUM(CR27:CR29)</f>
        <v>227000</v>
      </c>
      <c r="CS26" s="2264">
        <f t="shared" ref="CS26:CS31" si="92">CP26-CM26</f>
        <v>0</v>
      </c>
      <c r="CT26" s="2345">
        <f t="shared" si="79"/>
        <v>100</v>
      </c>
      <c r="CU26" s="2381">
        <f>+CU27+CU29</f>
        <v>123000</v>
      </c>
      <c r="CV26" s="2380"/>
      <c r="CW26" s="2380">
        <f>+CW27+CW29</f>
        <v>123000</v>
      </c>
      <c r="CX26" s="2380">
        <f>+CX27+CX29</f>
        <v>123000</v>
      </c>
      <c r="CY26" s="2380"/>
      <c r="CZ26" s="2380">
        <f>SUM(CZ27:CZ29)</f>
        <v>123000</v>
      </c>
      <c r="DA26" s="2264">
        <f t="shared" ref="DA26:DA29" si="93">CX26-CU26</f>
        <v>0</v>
      </c>
      <c r="DB26" s="2345">
        <f t="shared" si="80"/>
        <v>100</v>
      </c>
    </row>
    <row r="27" spans="1:112" s="2385" customFormat="1">
      <c r="A27" s="2347" t="s">
        <v>29</v>
      </c>
      <c r="B27" s="722" t="s">
        <v>143</v>
      </c>
      <c r="C27" s="2371">
        <f>+K27+S27+AA27+AI27+AQ27+AY27+BG27+BO27+BW27+CE27+CM27+CU27</f>
        <v>581000</v>
      </c>
      <c r="D27" s="2371"/>
      <c r="E27" s="2371">
        <f>+M27+U27+AC27+AK27+AS27+BA27+BI27+BQ27+BY27+CG27+CO27+CW27</f>
        <v>581000</v>
      </c>
      <c r="F27" s="2375">
        <f t="shared" ref="F27:H35" si="94">SUM(N27,V27,AD27,AL27,AT27,BB27,BJ27,BR27,BZ27,CH27,CP27,CX27)</f>
        <v>590000</v>
      </c>
      <c r="G27" s="2371"/>
      <c r="H27" s="2371">
        <f t="shared" si="94"/>
        <v>590000</v>
      </c>
      <c r="I27" s="2279">
        <f>F27-C27</f>
        <v>9000</v>
      </c>
      <c r="J27" s="2372">
        <f t="shared" si="69"/>
        <v>101.54905335628227</v>
      </c>
      <c r="K27" s="2373">
        <f>27606+394</f>
        <v>28000</v>
      </c>
      <c r="L27" s="2371"/>
      <c r="M27" s="2375">
        <f>K27</f>
        <v>28000</v>
      </c>
      <c r="N27" s="2371">
        <f>K27+N42</f>
        <v>28000</v>
      </c>
      <c r="O27" s="2371"/>
      <c r="P27" s="2371">
        <f>N27</f>
        <v>28000</v>
      </c>
      <c r="Q27" s="2279">
        <f t="shared" si="81"/>
        <v>0</v>
      </c>
      <c r="R27" s="2372">
        <f t="shared" si="70"/>
        <v>100</v>
      </c>
      <c r="S27" s="2374">
        <f>27233+767</f>
        <v>28000</v>
      </c>
      <c r="T27" s="2371"/>
      <c r="U27" s="2375">
        <f>S27</f>
        <v>28000</v>
      </c>
      <c r="V27" s="2371">
        <f>S27+V42</f>
        <v>28000</v>
      </c>
      <c r="W27" s="2371"/>
      <c r="X27" s="2371">
        <f>V27</f>
        <v>28000</v>
      </c>
      <c r="Y27" s="2279">
        <f t="shared" si="82"/>
        <v>0</v>
      </c>
      <c r="Z27" s="2372">
        <f t="shared" si="71"/>
        <v>100</v>
      </c>
      <c r="AA27" s="2373">
        <v>32000</v>
      </c>
      <c r="AB27" s="2371"/>
      <c r="AC27" s="2375">
        <f>AA27</f>
        <v>32000</v>
      </c>
      <c r="AD27" s="2371">
        <f>AA27+AD42</f>
        <v>32000</v>
      </c>
      <c r="AE27" s="2371"/>
      <c r="AF27" s="2371">
        <f>AD27</f>
        <v>32000</v>
      </c>
      <c r="AG27" s="2279">
        <f t="shared" si="83"/>
        <v>0</v>
      </c>
      <c r="AH27" s="2372">
        <f t="shared" si="72"/>
        <v>100</v>
      </c>
      <c r="AI27" s="2373">
        <f>28751+1249</f>
        <v>30000</v>
      </c>
      <c r="AJ27" s="2371"/>
      <c r="AK27" s="2375">
        <f>AI27</f>
        <v>30000</v>
      </c>
      <c r="AL27" s="2371">
        <f>AI27+AL42</f>
        <v>30000</v>
      </c>
      <c r="AM27" s="2371"/>
      <c r="AN27" s="2371">
        <f>AL27</f>
        <v>30000</v>
      </c>
      <c r="AO27" s="2279">
        <f t="shared" si="84"/>
        <v>0</v>
      </c>
      <c r="AP27" s="2372">
        <f t="shared" si="73"/>
        <v>100</v>
      </c>
      <c r="AQ27" s="2373">
        <v>44000</v>
      </c>
      <c r="AR27" s="2371"/>
      <c r="AS27" s="2375">
        <f>AQ27</f>
        <v>44000</v>
      </c>
      <c r="AT27" s="2371">
        <f>AQ27+AT42</f>
        <v>44000</v>
      </c>
      <c r="AU27" s="2371"/>
      <c r="AV27" s="2371">
        <f>AT27</f>
        <v>44000</v>
      </c>
      <c r="AW27" s="2279">
        <f t="shared" si="85"/>
        <v>0</v>
      </c>
      <c r="AX27" s="2372">
        <f t="shared" si="74"/>
        <v>100</v>
      </c>
      <c r="AY27" s="2373">
        <v>140000</v>
      </c>
      <c r="AZ27" s="2371"/>
      <c r="BA27" s="2375">
        <f>AY27</f>
        <v>140000</v>
      </c>
      <c r="BB27" s="2371">
        <f>AY27+BB42</f>
        <v>148000</v>
      </c>
      <c r="BC27" s="2371"/>
      <c r="BD27" s="2371">
        <f>BB27</f>
        <v>148000</v>
      </c>
      <c r="BE27" s="2279">
        <f t="shared" si="86"/>
        <v>8000</v>
      </c>
      <c r="BF27" s="2372">
        <f t="shared" si="75"/>
        <v>105.71428571428571</v>
      </c>
      <c r="BG27" s="2373">
        <v>47000</v>
      </c>
      <c r="BH27" s="2371"/>
      <c r="BI27" s="2375">
        <f>BG27</f>
        <v>47000</v>
      </c>
      <c r="BJ27" s="2371">
        <f>BG27+BJ42</f>
        <v>47000</v>
      </c>
      <c r="BK27" s="2371"/>
      <c r="BL27" s="2371">
        <f>BJ27</f>
        <v>47000</v>
      </c>
      <c r="BM27" s="2279">
        <f t="shared" si="87"/>
        <v>0</v>
      </c>
      <c r="BN27" s="2372">
        <f t="shared" si="76"/>
        <v>100</v>
      </c>
      <c r="BO27" s="2373">
        <v>40000</v>
      </c>
      <c r="BP27" s="2371"/>
      <c r="BQ27" s="2371">
        <f>BO27</f>
        <v>40000</v>
      </c>
      <c r="BR27" s="2375">
        <f>BO27+BR42</f>
        <v>40000</v>
      </c>
      <c r="BS27" s="2371"/>
      <c r="BT27" s="2371">
        <f>+BR27</f>
        <v>40000</v>
      </c>
      <c r="BU27" s="2279">
        <f t="shared" si="88"/>
        <v>0</v>
      </c>
      <c r="BV27" s="2372">
        <f t="shared" si="77"/>
        <v>100</v>
      </c>
      <c r="BW27" s="2373">
        <v>42000</v>
      </c>
      <c r="BX27" s="2371"/>
      <c r="BY27" s="2375">
        <f>BW27</f>
        <v>42000</v>
      </c>
      <c r="BZ27" s="2371">
        <f>BW27+BZ42</f>
        <v>42000</v>
      </c>
      <c r="CA27" s="2371"/>
      <c r="CB27" s="2371">
        <f>BZ27</f>
        <v>42000</v>
      </c>
      <c r="CC27" s="2279">
        <f t="shared" si="89"/>
        <v>0</v>
      </c>
      <c r="CD27" s="2372">
        <f t="shared" si="78"/>
        <v>100</v>
      </c>
      <c r="CE27" s="2373">
        <f>33432+568</f>
        <v>34000</v>
      </c>
      <c r="CF27" s="2371"/>
      <c r="CG27" s="2375">
        <f>CE27</f>
        <v>34000</v>
      </c>
      <c r="CH27" s="2375">
        <f>CE27+CH42</f>
        <v>35000</v>
      </c>
      <c r="CI27" s="2371"/>
      <c r="CJ27" s="2371">
        <f>CH27</f>
        <v>35000</v>
      </c>
      <c r="CK27" s="2279">
        <f t="shared" si="90"/>
        <v>1000</v>
      </c>
      <c r="CL27" s="2372">
        <f>CH27/CE27%</f>
        <v>102.94117647058823</v>
      </c>
      <c r="CM27" s="2373">
        <v>83000</v>
      </c>
      <c r="CN27" s="2371"/>
      <c r="CO27" s="2375">
        <f>CM27</f>
        <v>83000</v>
      </c>
      <c r="CP27" s="2375">
        <f>CM27+CP42</f>
        <v>83000</v>
      </c>
      <c r="CQ27" s="2371"/>
      <c r="CR27" s="2371">
        <f>CP27</f>
        <v>83000</v>
      </c>
      <c r="CS27" s="2279">
        <f t="shared" si="92"/>
        <v>0</v>
      </c>
      <c r="CT27" s="2372">
        <f t="shared" si="79"/>
        <v>100</v>
      </c>
      <c r="CU27" s="2373">
        <v>33000</v>
      </c>
      <c r="CV27" s="2371"/>
      <c r="CW27" s="2371">
        <f>CU27</f>
        <v>33000</v>
      </c>
      <c r="CX27" s="2375">
        <f>CU27+CX42</f>
        <v>33000</v>
      </c>
      <c r="CY27" s="2371"/>
      <c r="CZ27" s="2371">
        <f>CX27</f>
        <v>33000</v>
      </c>
      <c r="DA27" s="2279">
        <f t="shared" si="93"/>
        <v>0</v>
      </c>
      <c r="DB27" s="2372">
        <f t="shared" si="80"/>
        <v>100</v>
      </c>
    </row>
    <row r="28" spans="1:112" s="2388" customFormat="1" ht="43.5" hidden="1" customHeight="1">
      <c r="A28" s="2386"/>
      <c r="B28" s="2387" t="s">
        <v>1514</v>
      </c>
      <c r="C28" s="2356"/>
      <c r="D28" s="2356"/>
      <c r="E28" s="2356"/>
      <c r="F28" s="2356"/>
      <c r="G28" s="2356"/>
      <c r="H28" s="2356"/>
      <c r="I28" s="2357"/>
      <c r="J28" s="2358"/>
      <c r="K28" s="2359"/>
      <c r="L28" s="2356"/>
      <c r="M28" s="2376"/>
      <c r="N28" s="2356"/>
      <c r="O28" s="2356"/>
      <c r="P28" s="2356"/>
      <c r="Q28" s="2357"/>
      <c r="R28" s="2358"/>
      <c r="S28" s="2360"/>
      <c r="T28" s="2356"/>
      <c r="U28" s="2376"/>
      <c r="V28" s="2356"/>
      <c r="W28" s="2356"/>
      <c r="X28" s="2356"/>
      <c r="Y28" s="2357"/>
      <c r="Z28" s="2358"/>
      <c r="AA28" s="2359"/>
      <c r="AB28" s="2356"/>
      <c r="AC28" s="2376"/>
      <c r="AD28" s="2356"/>
      <c r="AE28" s="2356"/>
      <c r="AF28" s="2356"/>
      <c r="AG28" s="2357"/>
      <c r="AH28" s="2358"/>
      <c r="AI28" s="2359"/>
      <c r="AJ28" s="2356"/>
      <c r="AK28" s="2376"/>
      <c r="AL28" s="2356"/>
      <c r="AM28" s="2356"/>
      <c r="AN28" s="2356"/>
      <c r="AO28" s="2357"/>
      <c r="AP28" s="2358"/>
      <c r="AQ28" s="2359"/>
      <c r="AR28" s="2356"/>
      <c r="AS28" s="2376"/>
      <c r="AT28" s="2356"/>
      <c r="AU28" s="2356"/>
      <c r="AV28" s="2356"/>
      <c r="AW28" s="2357"/>
      <c r="AX28" s="2358"/>
      <c r="AY28" s="2359"/>
      <c r="AZ28" s="2356"/>
      <c r="BA28" s="2376"/>
      <c r="BB28" s="2356"/>
      <c r="BC28" s="2356"/>
      <c r="BD28" s="2356"/>
      <c r="BE28" s="2357"/>
      <c r="BF28" s="2358"/>
      <c r="BG28" s="2359"/>
      <c r="BH28" s="2356"/>
      <c r="BI28" s="2376"/>
      <c r="BJ28" s="2356"/>
      <c r="BK28" s="2356"/>
      <c r="BL28" s="2356"/>
      <c r="BM28" s="2357"/>
      <c r="BN28" s="2358"/>
      <c r="BO28" s="2359"/>
      <c r="BP28" s="2356"/>
      <c r="BQ28" s="2356"/>
      <c r="BR28" s="2376"/>
      <c r="BS28" s="2356"/>
      <c r="BT28" s="2356"/>
      <c r="BU28" s="2357"/>
      <c r="BV28" s="2358"/>
      <c r="BW28" s="2359"/>
      <c r="BX28" s="2356"/>
      <c r="BY28" s="2376"/>
      <c r="BZ28" s="2356"/>
      <c r="CA28" s="2356"/>
      <c r="CB28" s="2356"/>
      <c r="CC28" s="2357"/>
      <c r="CD28" s="2358"/>
      <c r="CE28" s="2359"/>
      <c r="CF28" s="2356"/>
      <c r="CG28" s="2376"/>
      <c r="CH28" s="2376"/>
      <c r="CI28" s="2356"/>
      <c r="CJ28" s="2356"/>
      <c r="CK28" s="2357"/>
      <c r="CL28" s="2358"/>
      <c r="CM28" s="2359"/>
      <c r="CN28" s="2356"/>
      <c r="CO28" s="2376"/>
      <c r="CP28" s="2376"/>
      <c r="CQ28" s="2356"/>
      <c r="CR28" s="2356"/>
      <c r="CS28" s="2357"/>
      <c r="CT28" s="2358"/>
      <c r="CU28" s="2359"/>
      <c r="CV28" s="2356"/>
      <c r="CW28" s="2356"/>
      <c r="CX28" s="2356"/>
      <c r="CY28" s="2356"/>
      <c r="CZ28" s="2356"/>
      <c r="DA28" s="2357"/>
      <c r="DB28" s="2358"/>
    </row>
    <row r="29" spans="1:112" s="2385" customFormat="1">
      <c r="A29" s="2347" t="s">
        <v>29</v>
      </c>
      <c r="B29" s="722" t="s">
        <v>144</v>
      </c>
      <c r="C29" s="2371">
        <f>+K29+S29+AA29+AI29+AQ29+AY29+BG29+BO29+BW29+CE29+CM29+CU29</f>
        <v>1143000</v>
      </c>
      <c r="D29" s="2371"/>
      <c r="E29" s="2371">
        <f>+M29+U29+AC29+AK29+AS29+BA29+BI29+BQ29+BY29+CG29+CO29+CW29</f>
        <v>1062500</v>
      </c>
      <c r="F29" s="2371">
        <f t="shared" si="94"/>
        <v>1093500</v>
      </c>
      <c r="G29" s="726"/>
      <c r="H29" s="2371">
        <f>SUM(P29,X29,AF29,AN29,AV29,BD29,BL29,BT29,CB29,CJ29,CR29,CZ29)</f>
        <v>1093500</v>
      </c>
      <c r="I29" s="2279">
        <f t="shared" ref="I29:I35" si="95">F29-C29</f>
        <v>-49500</v>
      </c>
      <c r="J29" s="2372">
        <f t="shared" si="69"/>
        <v>95.669291338582681</v>
      </c>
      <c r="K29" s="2373">
        <f>K10</f>
        <v>90000</v>
      </c>
      <c r="L29" s="2371"/>
      <c r="M29" s="2375">
        <f>+M10</f>
        <v>90000</v>
      </c>
      <c r="N29" s="2371">
        <f>N10</f>
        <v>54000</v>
      </c>
      <c r="O29" s="726"/>
      <c r="P29" s="2371">
        <f>N29</f>
        <v>54000</v>
      </c>
      <c r="Q29" s="2279">
        <f t="shared" si="81"/>
        <v>-36000</v>
      </c>
      <c r="R29" s="2372">
        <f t="shared" si="70"/>
        <v>60</v>
      </c>
      <c r="S29" s="2374">
        <f>S10</f>
        <v>270000</v>
      </c>
      <c r="T29" s="2371"/>
      <c r="U29" s="2375">
        <f>'[31]Phụ lục số 5.1 Thu'!AF32</f>
        <v>166000</v>
      </c>
      <c r="V29" s="2371">
        <f>V10</f>
        <v>261000</v>
      </c>
      <c r="W29" s="726"/>
      <c r="X29" s="2371">
        <f>V29</f>
        <v>261000</v>
      </c>
      <c r="Y29" s="2279">
        <f>V29-S29</f>
        <v>-9000</v>
      </c>
      <c r="Z29" s="2372">
        <f t="shared" si="71"/>
        <v>96.666666666666671</v>
      </c>
      <c r="AA29" s="2373">
        <f>AA10</f>
        <v>27000</v>
      </c>
      <c r="AB29" s="2371"/>
      <c r="AC29" s="2375">
        <f>'[31]Phụ lục số 5.1 Thu'!AR32</f>
        <v>36000</v>
      </c>
      <c r="AD29" s="2371">
        <f>AD10</f>
        <v>27000</v>
      </c>
      <c r="AE29" s="726"/>
      <c r="AF29" s="2371">
        <f>AD29</f>
        <v>27000</v>
      </c>
      <c r="AG29" s="2279">
        <f t="shared" si="83"/>
        <v>0</v>
      </c>
      <c r="AH29" s="2372">
        <f t="shared" si="72"/>
        <v>100</v>
      </c>
      <c r="AI29" s="2373">
        <f>+AI10</f>
        <v>54000</v>
      </c>
      <c r="AJ29" s="2371"/>
      <c r="AK29" s="2375">
        <f>'[31]Phụ lục số 5.1 Thu'!BD32</f>
        <v>42000</v>
      </c>
      <c r="AL29" s="2371">
        <f>AL10</f>
        <v>54000</v>
      </c>
      <c r="AM29" s="726"/>
      <c r="AN29" s="2371">
        <f>AL29</f>
        <v>54000</v>
      </c>
      <c r="AO29" s="2279">
        <f t="shared" si="84"/>
        <v>0</v>
      </c>
      <c r="AP29" s="2372">
        <f t="shared" si="73"/>
        <v>100</v>
      </c>
      <c r="AQ29" s="2373">
        <f>+AQ10</f>
        <v>63000</v>
      </c>
      <c r="AR29" s="2371"/>
      <c r="AS29" s="2375">
        <f>'[31]Phụ lục số 5.1 Thu'!BP32</f>
        <v>50000</v>
      </c>
      <c r="AT29" s="2371">
        <f>AT10</f>
        <v>45000</v>
      </c>
      <c r="AU29" s="726"/>
      <c r="AV29" s="2371">
        <f>AT29</f>
        <v>45000</v>
      </c>
      <c r="AW29" s="2279">
        <f t="shared" si="85"/>
        <v>-18000</v>
      </c>
      <c r="AX29" s="2372">
        <f t="shared" si="74"/>
        <v>71.428571428571431</v>
      </c>
      <c r="AY29" s="2373">
        <f>+AY10</f>
        <v>144000</v>
      </c>
      <c r="AZ29" s="2371"/>
      <c r="BA29" s="2375">
        <f>'[31]Phụ lục số 5.1 Thu'!CB32</f>
        <v>160000</v>
      </c>
      <c r="BB29" s="2371">
        <f>BB10</f>
        <v>144000</v>
      </c>
      <c r="BC29" s="726"/>
      <c r="BD29" s="2371">
        <f>BB29</f>
        <v>144000</v>
      </c>
      <c r="BE29" s="2279">
        <f t="shared" si="86"/>
        <v>0</v>
      </c>
      <c r="BF29" s="2372">
        <f t="shared" si="75"/>
        <v>100</v>
      </c>
      <c r="BG29" s="2373">
        <f>+BG10</f>
        <v>54000</v>
      </c>
      <c r="BH29" s="2371"/>
      <c r="BI29" s="2375">
        <f>'[31]Phụ lục số 5.1 Thu'!CN32</f>
        <v>100000</v>
      </c>
      <c r="BJ29" s="2371">
        <f>BJ10</f>
        <v>67500</v>
      </c>
      <c r="BK29" s="726"/>
      <c r="BL29" s="2371">
        <f>BJ29</f>
        <v>67500</v>
      </c>
      <c r="BM29" s="2279">
        <f t="shared" si="87"/>
        <v>13500</v>
      </c>
      <c r="BN29" s="2372">
        <f t="shared" si="76"/>
        <v>125</v>
      </c>
      <c r="BO29" s="2373">
        <f>+BO10</f>
        <v>90000</v>
      </c>
      <c r="BP29" s="2371"/>
      <c r="BQ29" s="2371">
        <f>'[31]Phụ lục số 5.1 Thu'!CZ32</f>
        <v>90000</v>
      </c>
      <c r="BR29" s="2371">
        <f>BR10</f>
        <v>90000</v>
      </c>
      <c r="BS29" s="726"/>
      <c r="BT29" s="2371">
        <f>BR29</f>
        <v>90000</v>
      </c>
      <c r="BU29" s="2279">
        <f t="shared" si="88"/>
        <v>0</v>
      </c>
      <c r="BV29" s="2372">
        <f t="shared" si="77"/>
        <v>100</v>
      </c>
      <c r="BW29" s="2373">
        <f>+BW10</f>
        <v>54000</v>
      </c>
      <c r="BX29" s="2371"/>
      <c r="BY29" s="2375">
        <f>'[31]Phụ lục số 5.1 Thu'!DL32</f>
        <v>48000</v>
      </c>
      <c r="BZ29" s="2371">
        <f>BZ10</f>
        <v>54000</v>
      </c>
      <c r="CA29" s="726"/>
      <c r="CB29" s="2371">
        <f>BZ29</f>
        <v>54000</v>
      </c>
      <c r="CC29" s="2279">
        <f t="shared" si="89"/>
        <v>0</v>
      </c>
      <c r="CD29" s="2372">
        <f t="shared" si="78"/>
        <v>100</v>
      </c>
      <c r="CE29" s="2373">
        <f>+CE10</f>
        <v>63000</v>
      </c>
      <c r="CF29" s="2371"/>
      <c r="CG29" s="2375">
        <f>'[31]Phụ lục số 5.1 Thu'!DX32</f>
        <v>90000</v>
      </c>
      <c r="CH29" s="2371">
        <f>CH10</f>
        <v>63000</v>
      </c>
      <c r="CI29" s="726"/>
      <c r="CJ29" s="2371">
        <f>CH29</f>
        <v>63000</v>
      </c>
      <c r="CK29" s="2279">
        <f t="shared" si="90"/>
        <v>0</v>
      </c>
      <c r="CL29" s="2372">
        <f t="shared" si="91"/>
        <v>100</v>
      </c>
      <c r="CM29" s="2373">
        <f>+CM10</f>
        <v>144000</v>
      </c>
      <c r="CN29" s="2371"/>
      <c r="CO29" s="2375">
        <f>'[31]Phụ lục số 5.1 Thu'!EJ32</f>
        <v>100500</v>
      </c>
      <c r="CP29" s="2371">
        <f>CP10</f>
        <v>144000</v>
      </c>
      <c r="CQ29" s="726"/>
      <c r="CR29" s="2371">
        <f>CP29</f>
        <v>144000</v>
      </c>
      <c r="CS29" s="2279">
        <f t="shared" si="92"/>
        <v>0</v>
      </c>
      <c r="CT29" s="2372">
        <f t="shared" si="79"/>
        <v>100</v>
      </c>
      <c r="CU29" s="2373">
        <f>+CU10</f>
        <v>90000</v>
      </c>
      <c r="CV29" s="2371"/>
      <c r="CW29" s="2371">
        <f>+CW10</f>
        <v>90000</v>
      </c>
      <c r="CX29" s="2371">
        <f>CX10</f>
        <v>90000</v>
      </c>
      <c r="CY29" s="726"/>
      <c r="CZ29" s="2371">
        <f>CX29</f>
        <v>90000</v>
      </c>
      <c r="DA29" s="2279">
        <f t="shared" si="93"/>
        <v>0</v>
      </c>
      <c r="DB29" s="2372">
        <f t="shared" si="80"/>
        <v>100</v>
      </c>
    </row>
    <row r="30" spans="1:112" s="2383" customFormat="1" ht="17.399999999999999">
      <c r="A30" s="2378">
        <v>2</v>
      </c>
      <c r="B30" s="2384" t="s">
        <v>1515</v>
      </c>
      <c r="C30" s="2380">
        <f>SUM(C31:C32)</f>
        <v>7370538.9980000006</v>
      </c>
      <c r="D30" s="2380">
        <f>SUM(L30,T30,AB30,AJ30,AR30,AZ30,BH30,BP30,BX30,CF30,CN30,CV30)</f>
        <v>0</v>
      </c>
      <c r="E30" s="2380">
        <f>SUM(E31:E32)</f>
        <v>6932456.6646666666</v>
      </c>
      <c r="F30" s="2380">
        <f>SUM(F31:F32)</f>
        <v>7876321.9740000004</v>
      </c>
      <c r="G30" s="2380">
        <f t="shared" si="94"/>
        <v>1543255</v>
      </c>
      <c r="H30" s="2380">
        <f>SUM(H31:H32)</f>
        <v>9335810.3570000008</v>
      </c>
      <c r="I30" s="2264">
        <f>F30-C30</f>
        <v>505782.97599999979</v>
      </c>
      <c r="J30" s="2345">
        <f>F30/C30%</f>
        <v>106.86222508472235</v>
      </c>
      <c r="K30" s="2381">
        <f>K8-K26-K33-K35</f>
        <v>535564.1</v>
      </c>
      <c r="L30" s="2380"/>
      <c r="M30" s="2389">
        <f>SUM(M31:M32)</f>
        <v>538136.1</v>
      </c>
      <c r="N30" s="2380">
        <f>N8-N26-N33-N35-N34</f>
        <v>537564.1</v>
      </c>
      <c r="O30" s="2389">
        <f>+'Phụ lục số 8.2-CCTL'!E26</f>
        <v>128610</v>
      </c>
      <c r="P30" s="2380">
        <f>P8-P26-P33-P35-P34</f>
        <v>703706.09</v>
      </c>
      <c r="Q30" s="2264">
        <f>N30-K30</f>
        <v>2000</v>
      </c>
      <c r="R30" s="2345">
        <f t="shared" si="70"/>
        <v>100.37343802543897</v>
      </c>
      <c r="S30" s="2382">
        <f>S8-S26-S33-S35</f>
        <v>365685.6</v>
      </c>
      <c r="T30" s="2380"/>
      <c r="U30" s="2389">
        <f>SUM(U31:U32)</f>
        <v>444020.6</v>
      </c>
      <c r="V30" s="2380">
        <f>V8-V26-V33-V35-V34</f>
        <v>349625.59999999998</v>
      </c>
      <c r="W30" s="2380">
        <f>+'Phụ lục số 8.2-CCTL'!F26</f>
        <v>84524</v>
      </c>
      <c r="X30" s="2380">
        <f>X8-X26-X33-X35-X34</f>
        <v>464130.77399999998</v>
      </c>
      <c r="Y30" s="2264">
        <f t="shared" si="82"/>
        <v>-16060</v>
      </c>
      <c r="Z30" s="2345">
        <f>V30/S30%</f>
        <v>95.608249272052277</v>
      </c>
      <c r="AA30" s="2381">
        <f>AA8-AA26-AA33-AA35</f>
        <v>504248.424</v>
      </c>
      <c r="AB30" s="2380"/>
      <c r="AC30" s="2389">
        <f>SUM(AC31:AC32)</f>
        <v>485193.72400000005</v>
      </c>
      <c r="AD30" s="2380">
        <f>AD8-AD26-AD33-AD35-AD34</f>
        <v>503248.6</v>
      </c>
      <c r="AE30" s="2380">
        <f>+'Phụ lục số 8.2-CCTL'!G26</f>
        <v>106723</v>
      </c>
      <c r="AF30" s="2380">
        <f>AF8-AF26-AF33-AF35-AF34</f>
        <v>641533.81900000002</v>
      </c>
      <c r="AG30" s="2264">
        <f>AD30-AA30</f>
        <v>-999.82400000002235</v>
      </c>
      <c r="AH30" s="2345">
        <f t="shared" si="72"/>
        <v>99.801719955400401</v>
      </c>
      <c r="AI30" s="2381">
        <f>AI8-AI26-AI33-AI35</f>
        <v>534028.76</v>
      </c>
      <c r="AJ30" s="2380"/>
      <c r="AK30" s="2389">
        <f>SUM(AK31:AK32)</f>
        <v>525005.06000000006</v>
      </c>
      <c r="AL30" s="2390">
        <f>AL8-AL26-AL33-AL35-AL34</f>
        <v>529808.76</v>
      </c>
      <c r="AM30" s="2390">
        <f>+'Phụ lục số 8.2-CCTL'!H26</f>
        <v>114331</v>
      </c>
      <c r="AN30" s="2380">
        <f>AN8-AN26-AN33-AN35-AN34</f>
        <v>680438.45200000005</v>
      </c>
      <c r="AO30" s="2264">
        <f>AL30-AI30</f>
        <v>-4220</v>
      </c>
      <c r="AP30" s="2345">
        <f t="shared" si="73"/>
        <v>99.209780387108751</v>
      </c>
      <c r="AQ30" s="2381">
        <f>AQ8-AQ26-AQ33-AQ35</f>
        <v>645402.35199999996</v>
      </c>
      <c r="AR30" s="2380"/>
      <c r="AS30" s="2389">
        <f>SUM(AS31:AS32)</f>
        <v>595284.35199999996</v>
      </c>
      <c r="AT30" s="2380">
        <f>AT8-AT26-AT33-AT35-AT34</f>
        <v>621427.35199999996</v>
      </c>
      <c r="AU30" s="2380">
        <f>+'Phụ lục số 8.2-CCTL'!I26</f>
        <v>161936</v>
      </c>
      <c r="AV30" s="2380">
        <f>AV8-AV26-AV33-AV35-AV34</f>
        <v>843917.22600000002</v>
      </c>
      <c r="AW30" s="2264">
        <f t="shared" si="85"/>
        <v>-23975</v>
      </c>
      <c r="AX30" s="2345">
        <f t="shared" si="74"/>
        <v>96.285262995137018</v>
      </c>
      <c r="AY30" s="2381">
        <f>AY8-AY26-AY33-AY35</f>
        <v>824432.2</v>
      </c>
      <c r="AZ30" s="2380"/>
      <c r="BA30" s="2389">
        <f>SUM(BA31:BA32)</f>
        <v>598764.5</v>
      </c>
      <c r="BB30" s="2380">
        <f>BB8-BB26-BB33-BB35-BB34</f>
        <v>1304301.2</v>
      </c>
      <c r="BC30" s="2380">
        <f>+'Phụ lục số 8.2-CCTL'!J26</f>
        <v>134838</v>
      </c>
      <c r="BD30" s="2380">
        <f>BD8-BD26-BD33-BD35-BD34</f>
        <v>1013891.929</v>
      </c>
      <c r="BE30" s="2264">
        <f t="shared" si="86"/>
        <v>479869</v>
      </c>
      <c r="BF30" s="2345">
        <f t="shared" si="75"/>
        <v>158.20599923195624</v>
      </c>
      <c r="BG30" s="2381">
        <f>BG8-BG26-BG33-BG35</f>
        <v>841340.6</v>
      </c>
      <c r="BH30" s="2380"/>
      <c r="BI30" s="2389">
        <f>SUM(BI31:BI32)</f>
        <v>793028.7</v>
      </c>
      <c r="BJ30" s="2380">
        <f>BJ8-BJ26-BJ33-BJ35-BJ34</f>
        <v>823695.6</v>
      </c>
      <c r="BK30" s="2380">
        <f>+'Phụ lục số 8.2-CCTL'!K26</f>
        <v>161065</v>
      </c>
      <c r="BL30" s="2380">
        <f>BL8-BL26-BL33-BL35-BL34</f>
        <v>1057752.0209999999</v>
      </c>
      <c r="BM30" s="2264">
        <f t="shared" si="87"/>
        <v>-17645</v>
      </c>
      <c r="BN30" s="2345">
        <f t="shared" si="76"/>
        <v>97.902751870051205</v>
      </c>
      <c r="BO30" s="2381">
        <f>BO8-BO26-BO33-BO35</f>
        <v>679824.15</v>
      </c>
      <c r="BP30" s="2380"/>
      <c r="BQ30" s="2380">
        <f>SUM(BQ31:BQ32)</f>
        <v>652616.64999999991</v>
      </c>
      <c r="BR30" s="2389">
        <f>BR8-BR26-BR33-BR35-BR34</f>
        <v>677499.54999999993</v>
      </c>
      <c r="BS30" s="2380">
        <f>+'Phụ lục số 8.2-CCTL'!L26</f>
        <v>138763</v>
      </c>
      <c r="BT30" s="2380">
        <f>BT8-BT26-BT33-BT35-BT34</f>
        <v>867451.82899999991</v>
      </c>
      <c r="BU30" s="2264">
        <f>BR30-BO30</f>
        <v>-2324.6000000000931</v>
      </c>
      <c r="BV30" s="2345">
        <f t="shared" si="77"/>
        <v>99.65805863177998</v>
      </c>
      <c r="BW30" s="2381">
        <f>BW8-BW26-BW33-BW35</f>
        <v>716878.54799999995</v>
      </c>
      <c r="BX30" s="2380"/>
      <c r="BY30" s="2389">
        <f>SUM(BY31:BY32)</f>
        <v>677627.69799999997</v>
      </c>
      <c r="BZ30" s="2380">
        <f>BZ8-BZ26-BZ33-BZ35-BZ34</f>
        <v>706228.54799999995</v>
      </c>
      <c r="CA30" s="2380">
        <f>+'Phụ lục số 8.2-CCTL'!M26</f>
        <v>146806</v>
      </c>
      <c r="CB30" s="2380">
        <f>CB8-CB26-CB33-CB35-CB34</f>
        <v>892855.42700000003</v>
      </c>
      <c r="CC30" s="2264">
        <f t="shared" si="89"/>
        <v>-10650</v>
      </c>
      <c r="CD30" s="2345">
        <f t="shared" si="78"/>
        <v>98.514392705750211</v>
      </c>
      <c r="CE30" s="2381">
        <f>CE8-CE26-CE33-CE35</f>
        <v>608806.71200000006</v>
      </c>
      <c r="CF30" s="2380"/>
      <c r="CG30" s="2389">
        <f>SUM(CG31:CG32)</f>
        <v>598899.3786666668</v>
      </c>
      <c r="CH30" s="2864">
        <f>CH8-CH26-CH33-CH35-CH34</f>
        <v>616299.31200000003</v>
      </c>
      <c r="CI30" s="2390">
        <f>+'Phụ lục số 8.2-CCTL'!N26</f>
        <v>133686</v>
      </c>
      <c r="CJ30" s="2380">
        <f>CJ8-CJ26-CJ33-CJ35-CJ34</f>
        <v>776585.98300000001</v>
      </c>
      <c r="CK30" s="2264">
        <f t="shared" si="90"/>
        <v>7492.5999999999767</v>
      </c>
      <c r="CL30" s="2345">
        <f t="shared" si="91"/>
        <v>101.23070259448782</v>
      </c>
      <c r="CM30" s="2381">
        <f>CM8-CM26-CM33-CM35</f>
        <v>537382.52</v>
      </c>
      <c r="CN30" s="2380"/>
      <c r="CO30" s="2389">
        <f>SUM(CO31:CO32)</f>
        <v>468174.17000000004</v>
      </c>
      <c r="CP30" s="2389">
        <f>CP8-CP26-CP33-CP35-CP34</f>
        <v>656628.92000000004</v>
      </c>
      <c r="CQ30" s="2389">
        <f>+'Phụ lục số 8.2-CCTL'!O26</f>
        <v>107766</v>
      </c>
      <c r="CR30" s="2380">
        <f>CR8-CR26-CR33-CR35</f>
        <v>661331.73499999999</v>
      </c>
      <c r="CS30" s="2264">
        <f>CP30-CM30</f>
        <v>119246.40000000002</v>
      </c>
      <c r="CT30" s="2345">
        <f t="shared" si="79"/>
        <v>122.19022680529318</v>
      </c>
      <c r="CU30" s="2381">
        <f>CU8-CU26-CU33-CU35</f>
        <v>576944.43200000003</v>
      </c>
      <c r="CV30" s="2380"/>
      <c r="CW30" s="2380">
        <f>SUM(CW31:CW32)</f>
        <v>555705.73200000008</v>
      </c>
      <c r="CX30" s="2380">
        <f>CX8-CX26-CX33-CX35-CX34</f>
        <v>549994.43200000003</v>
      </c>
      <c r="CY30" s="2380">
        <f>+'Phụ lục số 8.2-CCTL'!P26</f>
        <v>124207</v>
      </c>
      <c r="CZ30" s="2380">
        <f>CZ8-CZ26-CZ33-CZ35-CZ34</f>
        <v>732215.07200000004</v>
      </c>
      <c r="DA30" s="2264">
        <f>CX30-CU30</f>
        <v>-26950</v>
      </c>
      <c r="DB30" s="2345">
        <f t="shared" si="80"/>
        <v>95.328839571849784</v>
      </c>
      <c r="DH30" s="5436">
        <f>+CZ30*1000000</f>
        <v>732215072000</v>
      </c>
    </row>
    <row r="31" spans="1:112" s="2331" customFormat="1">
      <c r="A31" s="2354" t="s">
        <v>29</v>
      </c>
      <c r="B31" s="2391" t="s">
        <v>1516</v>
      </c>
      <c r="C31" s="2371">
        <f t="shared" ref="C31:E32" si="96">+K31+S31+AA31+AI31+AQ31+AY31+BG31+BO31+BW31+CE31+CM31+CU31</f>
        <v>3841270.0000000005</v>
      </c>
      <c r="D31" s="2371">
        <f t="shared" si="96"/>
        <v>0</v>
      </c>
      <c r="E31" s="2371">
        <f t="shared" si="96"/>
        <v>3841270.0000000005</v>
      </c>
      <c r="F31" s="2375">
        <f>SUM(N31,V31,AD31,AL31,AT31,BB31,BJ31,BR31,BZ31,CH31,CP31,CX31)</f>
        <v>3878971.0000000005</v>
      </c>
      <c r="G31" s="2371">
        <f t="shared" si="94"/>
        <v>873892</v>
      </c>
      <c r="H31" s="2371">
        <f>SUM(P31,X31,AF31,AN31,AV31,BD31,BL31,BT31,CB31,CJ31,CR31,CZ31)</f>
        <v>4752863.0000000009</v>
      </c>
      <c r="I31" s="2279">
        <f>F31-C31</f>
        <v>37701</v>
      </c>
      <c r="J31" s="2372">
        <f>F31/C31%</f>
        <v>100.98147227349288</v>
      </c>
      <c r="K31" s="2373">
        <v>319042</v>
      </c>
      <c r="L31" s="2371">
        <f>ROUND(L30*75%,-1)</f>
        <v>0</v>
      </c>
      <c r="M31" s="2375">
        <f>L31+K31</f>
        <v>319042</v>
      </c>
      <c r="N31" s="2371">
        <f>K31+N44+1229</f>
        <v>324771</v>
      </c>
      <c r="O31" s="2375">
        <f>+'Phụ lục số 8.2-CCTL'!E43</f>
        <v>75357</v>
      </c>
      <c r="P31" s="2371">
        <f>N31+O31</f>
        <v>400128</v>
      </c>
      <c r="Q31" s="2279">
        <f>N31-K31</f>
        <v>5729</v>
      </c>
      <c r="R31" s="2372">
        <f t="shared" si="70"/>
        <v>101.79568834197379</v>
      </c>
      <c r="S31" s="2374">
        <v>186442.4</v>
      </c>
      <c r="T31" s="2371"/>
      <c r="U31" s="2375">
        <f>T31+S31</f>
        <v>186442.4</v>
      </c>
      <c r="V31" s="2371">
        <f>S31+V44+722</f>
        <v>187164.4</v>
      </c>
      <c r="W31" s="3015">
        <f>+'Phụ lục số 8.2-CCTL'!F43</f>
        <v>45600</v>
      </c>
      <c r="X31" s="2371">
        <f>V31+W31</f>
        <v>232764.4</v>
      </c>
      <c r="Y31" s="2279">
        <f t="shared" si="82"/>
        <v>722</v>
      </c>
      <c r="Z31" s="2372">
        <f t="shared" si="71"/>
        <v>100.38725096866378</v>
      </c>
      <c r="AA31" s="2373">
        <v>286156.2</v>
      </c>
      <c r="AB31" s="2371">
        <f>ROUND(AB30*75%,-1)</f>
        <v>0</v>
      </c>
      <c r="AC31" s="2375">
        <f>AB31+AA31</f>
        <v>286156.2</v>
      </c>
      <c r="AD31" s="5441">
        <f>AA31+AD44+964+(100)</f>
        <v>288220.2</v>
      </c>
      <c r="AE31" s="2371">
        <f>+'Phụ lục số 8.2-CCTL'!G43</f>
        <v>66551</v>
      </c>
      <c r="AF31" s="2371">
        <f>AD31+AE31</f>
        <v>354771.20000000001</v>
      </c>
      <c r="AG31" s="2279">
        <f t="shared" si="83"/>
        <v>2064</v>
      </c>
      <c r="AH31" s="2372">
        <f t="shared" si="72"/>
        <v>100.72128438943487</v>
      </c>
      <c r="AI31" s="2373">
        <v>267458</v>
      </c>
      <c r="AJ31" s="2371">
        <f>ROUND(AJ30*75%,-1)</f>
        <v>0</v>
      </c>
      <c r="AK31" s="2375">
        <f>AJ31+AI31</f>
        <v>267458</v>
      </c>
      <c r="AL31" s="2371">
        <f>AI31+AL44+964</f>
        <v>268422</v>
      </c>
      <c r="AM31" s="2371">
        <f>+'Phụ lục số 8.2-CCTL'!H43</f>
        <v>63146</v>
      </c>
      <c r="AN31" s="2371">
        <f>AL31+AM31</f>
        <v>331568</v>
      </c>
      <c r="AO31" s="2279">
        <f t="shared" si="84"/>
        <v>964</v>
      </c>
      <c r="AP31" s="2372">
        <f t="shared" si="73"/>
        <v>100.36043042272058</v>
      </c>
      <c r="AQ31" s="2373">
        <v>358528</v>
      </c>
      <c r="AR31" s="2371">
        <f>ROUND(AR30*75%,-1)</f>
        <v>0</v>
      </c>
      <c r="AS31" s="2375">
        <f>AR31+AQ31</f>
        <v>358528</v>
      </c>
      <c r="AT31" s="2371">
        <f>AQ31+AT44+1227</f>
        <v>359755</v>
      </c>
      <c r="AU31" s="2371">
        <f>+'Phụ lục số 8.2-CCTL'!I43</f>
        <v>88294</v>
      </c>
      <c r="AV31" s="2371">
        <f>AT31+AU31</f>
        <v>448049</v>
      </c>
      <c r="AW31" s="2279">
        <f>AT31-AQ31</f>
        <v>1227</v>
      </c>
      <c r="AX31" s="2372">
        <f t="shared" si="74"/>
        <v>100.34223268475544</v>
      </c>
      <c r="AY31" s="2373">
        <v>390639</v>
      </c>
      <c r="AZ31" s="2371">
        <f>ROUND(AZ30*75%,-1)</f>
        <v>0</v>
      </c>
      <c r="BA31" s="2375">
        <f>AZ31+AY31</f>
        <v>390639</v>
      </c>
      <c r="BB31" s="2371">
        <f>AY31+BB44+1094</f>
        <v>403733</v>
      </c>
      <c r="BC31" s="2371">
        <f>+'Phụ lục số 8.2-CCTL'!J43</f>
        <v>77497</v>
      </c>
      <c r="BD31" s="2371">
        <f>BB31+BC31</f>
        <v>481230</v>
      </c>
      <c r="BE31" s="2279">
        <f t="shared" si="86"/>
        <v>13094</v>
      </c>
      <c r="BF31" s="2372">
        <f t="shared" si="75"/>
        <v>103.35194386633184</v>
      </c>
      <c r="BG31" s="2373">
        <v>446043.5</v>
      </c>
      <c r="BH31" s="2371">
        <f>ROUND(BH30*75%,-1)</f>
        <v>0</v>
      </c>
      <c r="BI31" s="2375">
        <f>BH31+BG31</f>
        <v>446043.5</v>
      </c>
      <c r="BJ31" s="2371">
        <f>BG31+BJ44+1123</f>
        <v>447166.5</v>
      </c>
      <c r="BK31" s="2371">
        <f>+'Phụ lục số 8.2-CCTL'!K43</f>
        <v>90992</v>
      </c>
      <c r="BL31" s="2371">
        <f>BJ31+BK31</f>
        <v>538158.5</v>
      </c>
      <c r="BM31" s="2279">
        <f t="shared" si="87"/>
        <v>1123</v>
      </c>
      <c r="BN31" s="2372">
        <f t="shared" si="76"/>
        <v>100.25176916601183</v>
      </c>
      <c r="BO31" s="2373">
        <v>372742.2</v>
      </c>
      <c r="BP31" s="2371">
        <f>ROUND(BP30*75%,-1)</f>
        <v>0</v>
      </c>
      <c r="BQ31" s="2371">
        <f>BP31+BO31</f>
        <v>372742.2</v>
      </c>
      <c r="BR31" s="2375">
        <f>BO31+BR44+1123</f>
        <v>374340.2</v>
      </c>
      <c r="BS31" s="2371">
        <f>+'Phụ lục số 8.2-CCTL'!L43</f>
        <v>80729</v>
      </c>
      <c r="BT31" s="2371">
        <f>BR31+BS31</f>
        <v>455069.2</v>
      </c>
      <c r="BU31" s="2279">
        <f t="shared" si="88"/>
        <v>1598</v>
      </c>
      <c r="BV31" s="2372">
        <f t="shared" si="77"/>
        <v>100.42871453782266</v>
      </c>
      <c r="BW31" s="2373">
        <v>366671.5</v>
      </c>
      <c r="BX31" s="2371">
        <f>ROUND(BX30*20%,-1)</f>
        <v>0</v>
      </c>
      <c r="BY31" s="2375">
        <f>BX31+BW31</f>
        <v>366671.5</v>
      </c>
      <c r="BZ31" s="2371">
        <f>BW31+BZ44+859</f>
        <v>367530.5</v>
      </c>
      <c r="CA31" s="2371">
        <f>+'Phụ lục số 8.2-CCTL'!M43</f>
        <v>84319</v>
      </c>
      <c r="CB31" s="2371">
        <f>BZ31+CA31</f>
        <v>451849.5</v>
      </c>
      <c r="CC31" s="2279">
        <f t="shared" si="89"/>
        <v>859</v>
      </c>
      <c r="CD31" s="2372">
        <f t="shared" si="78"/>
        <v>100.23426963917294</v>
      </c>
      <c r="CE31" s="2373">
        <v>331707.2</v>
      </c>
      <c r="CF31" s="2371">
        <f>ROUND(CF30*75%,-1)</f>
        <v>0</v>
      </c>
      <c r="CG31" s="2375">
        <f>CF31+CE31</f>
        <v>331707.2</v>
      </c>
      <c r="CH31" s="2375">
        <f>CE31+CH44+857</f>
        <v>340564.2</v>
      </c>
      <c r="CI31" s="2371">
        <f>+'Phụ lục số 8.2-CCTL'!N43</f>
        <v>75260</v>
      </c>
      <c r="CJ31" s="2371">
        <f>CH31+CI31</f>
        <v>415824.2</v>
      </c>
      <c r="CK31" s="2279">
        <f t="shared" si="90"/>
        <v>8857</v>
      </c>
      <c r="CL31" s="2372">
        <f t="shared" si="91"/>
        <v>102.67012594239739</v>
      </c>
      <c r="CM31" s="2373">
        <v>221835.6</v>
      </c>
      <c r="CN31" s="2371"/>
      <c r="CO31" s="2375">
        <f>CN31+CM31</f>
        <v>221835.6</v>
      </c>
      <c r="CP31" s="2375">
        <f>CM31+CP44+605</f>
        <v>222440.6</v>
      </c>
      <c r="CQ31" s="2375">
        <f>+'Phụ lục số 8.2-CCTL'!O43</f>
        <v>61127</v>
      </c>
      <c r="CR31" s="2371">
        <f>CP31+CQ31</f>
        <v>283567.59999999998</v>
      </c>
      <c r="CS31" s="2279">
        <f t="shared" si="92"/>
        <v>605</v>
      </c>
      <c r="CT31" s="2372">
        <f t="shared" si="79"/>
        <v>100.27272448606084</v>
      </c>
      <c r="CU31" s="2373">
        <v>294004.40000000002</v>
      </c>
      <c r="CV31" s="2371">
        <f>ROUND(CV30*75%,-1)</f>
        <v>0</v>
      </c>
      <c r="CW31" s="2371">
        <f>CV31+CU31</f>
        <v>294004.40000000002</v>
      </c>
      <c r="CX31" s="2375">
        <f>CU31+CX44+859</f>
        <v>294863.40000000002</v>
      </c>
      <c r="CY31" s="2371">
        <f>+'Phụ lục số 8.2-CCTL'!P43</f>
        <v>65020</v>
      </c>
      <c r="CZ31" s="2371">
        <f>CX31+CY31</f>
        <v>359883.4</v>
      </c>
      <c r="DA31" s="2279">
        <f>CX31-CU31</f>
        <v>859</v>
      </c>
      <c r="DB31" s="2372">
        <f>CX31/CU31%</f>
        <v>100.29217249809867</v>
      </c>
      <c r="DH31" s="5436">
        <f t="shared" ref="DH31:DH33" si="97">+CZ31*1000000</f>
        <v>359883400000</v>
      </c>
    </row>
    <row r="32" spans="1:112" s="2331" customFormat="1">
      <c r="A32" s="2354" t="s">
        <v>29</v>
      </c>
      <c r="B32" s="2391" t="s">
        <v>740</v>
      </c>
      <c r="C32" s="2371">
        <f t="shared" si="96"/>
        <v>3529268.9980000001</v>
      </c>
      <c r="D32" s="2371"/>
      <c r="E32" s="2371">
        <f t="shared" si="96"/>
        <v>3091186.6646666662</v>
      </c>
      <c r="F32" s="2371">
        <f t="shared" si="94"/>
        <v>3997350.9739999999</v>
      </c>
      <c r="G32" s="2371">
        <f t="shared" si="94"/>
        <v>669363</v>
      </c>
      <c r="H32" s="2371">
        <f t="shared" si="94"/>
        <v>4582947.3569999998</v>
      </c>
      <c r="I32" s="2279">
        <f>F32-C32</f>
        <v>468081.97599999979</v>
      </c>
      <c r="J32" s="2372">
        <f t="shared" si="69"/>
        <v>113.2628591435013</v>
      </c>
      <c r="K32" s="2373">
        <f>K30-K31+0.1</f>
        <v>216522.19999999998</v>
      </c>
      <c r="L32" s="2371"/>
      <c r="M32" s="2375">
        <f>M8-M26-M31-M33-M35</f>
        <v>219094.1</v>
      </c>
      <c r="N32" s="2371">
        <f>N30-N31</f>
        <v>212793.09999999998</v>
      </c>
      <c r="O32" s="2375">
        <f>O30-O31</f>
        <v>53253</v>
      </c>
      <c r="P32" s="2371">
        <f>P30-P31</f>
        <v>303578.08999999997</v>
      </c>
      <c r="Q32" s="2279">
        <f>N32-K32</f>
        <v>-3729.1000000000058</v>
      </c>
      <c r="R32" s="2372">
        <f t="shared" si="70"/>
        <v>98.277728565477346</v>
      </c>
      <c r="S32" s="2374">
        <f>S30-S31-0.4</f>
        <v>179242.8</v>
      </c>
      <c r="T32" s="2371"/>
      <c r="U32" s="2375">
        <f>U8-U26-U31-U33-U35</f>
        <v>257578.19999999998</v>
      </c>
      <c r="V32" s="2371">
        <f>V30-V31</f>
        <v>162461.19999999998</v>
      </c>
      <c r="W32" s="3015">
        <f>W30-W31</f>
        <v>38924</v>
      </c>
      <c r="X32" s="2371">
        <f>X30-X31</f>
        <v>231366.37399999998</v>
      </c>
      <c r="Y32" s="2279">
        <f>V32-S32</f>
        <v>-16781.600000000006</v>
      </c>
      <c r="Z32" s="2372">
        <f t="shared" si="71"/>
        <v>90.637503989002624</v>
      </c>
      <c r="AA32" s="2373">
        <f>AA30-AA31</f>
        <v>218092.22399999999</v>
      </c>
      <c r="AB32" s="2371"/>
      <c r="AC32" s="2375">
        <f>AC8-AC26-AC31-AC33-AC35</f>
        <v>199037.524</v>
      </c>
      <c r="AD32" s="2371">
        <f>AD30-AD31</f>
        <v>215028.39999999997</v>
      </c>
      <c r="AE32" s="2371">
        <f>AE30-AE31</f>
        <v>40172</v>
      </c>
      <c r="AF32" s="2371">
        <f>AF30-AF31</f>
        <v>286762.61900000001</v>
      </c>
      <c r="AG32" s="2279">
        <f>AD32-AA32</f>
        <v>-3063.8240000000224</v>
      </c>
      <c r="AH32" s="2372">
        <f t="shared" si="72"/>
        <v>98.595170454128606</v>
      </c>
      <c r="AI32" s="2373">
        <f>AI30-AI31+0.3</f>
        <v>266571.06</v>
      </c>
      <c r="AJ32" s="2371"/>
      <c r="AK32" s="2375">
        <f>AK8-AK26-AK31-AK33-AK35</f>
        <v>257547.06</v>
      </c>
      <c r="AL32" s="2371">
        <f>AL30-AL31</f>
        <v>261386.76</v>
      </c>
      <c r="AM32" s="2371">
        <f>AM30-AM31</f>
        <v>51185</v>
      </c>
      <c r="AN32" s="2371">
        <f>AN30-AN31</f>
        <v>348870.45200000005</v>
      </c>
      <c r="AO32" s="2279">
        <f>AL32-AI32</f>
        <v>-5184.2999999999884</v>
      </c>
      <c r="AP32" s="2372">
        <f t="shared" si="73"/>
        <v>98.055190237079756</v>
      </c>
      <c r="AQ32" s="2373">
        <f>AQ30-AQ31+0.3</f>
        <v>286874.65199999994</v>
      </c>
      <c r="AR32" s="2371"/>
      <c r="AS32" s="2375">
        <f>AS8-AS26-AS31-AS33-AS35</f>
        <v>236756.35199999993</v>
      </c>
      <c r="AT32" s="2371">
        <f>AT30-AT31</f>
        <v>261672.35199999996</v>
      </c>
      <c r="AU32" s="2371">
        <f>AU30-AU31</f>
        <v>73642</v>
      </c>
      <c r="AV32" s="2371">
        <f>AV30-AV31</f>
        <v>395868.22600000002</v>
      </c>
      <c r="AW32" s="2279">
        <f>AT32-AQ32</f>
        <v>-25202.299999999988</v>
      </c>
      <c r="AX32" s="2372">
        <f t="shared" si="74"/>
        <v>91.214873874600826</v>
      </c>
      <c r="AY32" s="2373">
        <f>AY30-AY31</f>
        <v>433793.19999999995</v>
      </c>
      <c r="AZ32" s="2371"/>
      <c r="BA32" s="2375">
        <f>BA8-BA26-BA31-BA33-BA35</f>
        <v>208125.5</v>
      </c>
      <c r="BB32" s="2371">
        <f>BB30-BB31</f>
        <v>900568.2</v>
      </c>
      <c r="BC32" s="2371">
        <f>BC30-BC31</f>
        <v>57341</v>
      </c>
      <c r="BD32" s="2371">
        <f>BD30-BD31</f>
        <v>532661.929</v>
      </c>
      <c r="BE32" s="2279">
        <f>BB32-AY32</f>
        <v>466775</v>
      </c>
      <c r="BF32" s="2372">
        <f t="shared" si="75"/>
        <v>207.60311595479135</v>
      </c>
      <c r="BG32" s="2373">
        <f>BG30-BG31+0.3</f>
        <v>395297.39999999997</v>
      </c>
      <c r="BH32" s="2371"/>
      <c r="BI32" s="2375">
        <f>BI8-BI26-BI31-BI33-BI35</f>
        <v>346985.19999999995</v>
      </c>
      <c r="BJ32" s="2371">
        <f>BJ30-BJ31</f>
        <v>376529.1</v>
      </c>
      <c r="BK32" s="2371">
        <f>BK30-BK31</f>
        <v>70073</v>
      </c>
      <c r="BL32" s="2371">
        <f>BL30-BL31</f>
        <v>519593.52099999995</v>
      </c>
      <c r="BM32" s="2279">
        <f>BJ32-BG32</f>
        <v>-18768.299999999988</v>
      </c>
      <c r="BN32" s="2372">
        <f t="shared" si="76"/>
        <v>95.252106388759458</v>
      </c>
      <c r="BO32" s="2373">
        <f>BO30-BO31</f>
        <v>307081.95</v>
      </c>
      <c r="BP32" s="2371"/>
      <c r="BQ32" s="2371">
        <f>BQ8-BQ26-BQ31-BQ33-BQ35</f>
        <v>279874.44999999995</v>
      </c>
      <c r="BR32" s="2375">
        <f>BR30-BR31</f>
        <v>303159.34999999992</v>
      </c>
      <c r="BS32" s="2371">
        <f>BS30-BS31</f>
        <v>58034</v>
      </c>
      <c r="BT32" s="2371">
        <f>BT30-BT31</f>
        <v>412382.6289999999</v>
      </c>
      <c r="BU32" s="2279">
        <f>BR32-BO32</f>
        <v>-3922.6000000000931</v>
      </c>
      <c r="BV32" s="2372">
        <f t="shared" si="77"/>
        <v>98.722621111400372</v>
      </c>
      <c r="BW32" s="2373">
        <f>BW30-BW31</f>
        <v>350207.04799999995</v>
      </c>
      <c r="BX32" s="2371"/>
      <c r="BY32" s="2375">
        <f>BY8-BY26-BY31-BY33-BY35</f>
        <v>310956.19799999997</v>
      </c>
      <c r="BZ32" s="2371">
        <f>BZ30-BZ31</f>
        <v>338698.04799999995</v>
      </c>
      <c r="CA32" s="2371">
        <f>CA30-CA31</f>
        <v>62487</v>
      </c>
      <c r="CB32" s="2371">
        <f>CB30-CB31</f>
        <v>441005.92700000003</v>
      </c>
      <c r="CC32" s="2279">
        <f>BZ32-BW32</f>
        <v>-11509</v>
      </c>
      <c r="CD32" s="2372">
        <f t="shared" si="78"/>
        <v>96.713658372746409</v>
      </c>
      <c r="CE32" s="2373">
        <f>CE30-CE31</f>
        <v>277099.51200000005</v>
      </c>
      <c r="CF32" s="2371"/>
      <c r="CG32" s="2375">
        <f>CG8-CG26-CG31-CG33-CG35</f>
        <v>267192.17866666679</v>
      </c>
      <c r="CH32" s="2375">
        <f>CH30-CH31</f>
        <v>275735.11200000002</v>
      </c>
      <c r="CI32" s="2371">
        <f>CI30-CI31</f>
        <v>58426</v>
      </c>
      <c r="CJ32" s="2371">
        <f>CJ30-CJ31</f>
        <v>360761.783</v>
      </c>
      <c r="CK32" s="2279">
        <f>CH32-CE32</f>
        <v>-1364.4000000000233</v>
      </c>
      <c r="CL32" s="2372">
        <f>CH32/CE32%</f>
        <v>99.507613712434093</v>
      </c>
      <c r="CM32" s="2373">
        <f>CM30-CM31</f>
        <v>315546.92000000004</v>
      </c>
      <c r="CN32" s="2371"/>
      <c r="CO32" s="2375">
        <f>CO8-CO26-CO31-CO33-CO35</f>
        <v>246338.57000000007</v>
      </c>
      <c r="CP32" s="2375">
        <f>CP30-CP31</f>
        <v>434188.32000000007</v>
      </c>
      <c r="CQ32" s="2375">
        <f>CQ30-CQ31</f>
        <v>46639</v>
      </c>
      <c r="CR32" s="2371">
        <f>CR30-CR31</f>
        <v>377764.13500000001</v>
      </c>
      <c r="CS32" s="2279">
        <f>CP32-CM32</f>
        <v>118641.40000000002</v>
      </c>
      <c r="CT32" s="2372">
        <f t="shared" si="79"/>
        <v>137.5986556927889</v>
      </c>
      <c r="CU32" s="2373">
        <f>CU30-CU31</f>
        <v>282940.03200000001</v>
      </c>
      <c r="CV32" s="2371"/>
      <c r="CW32" s="2371">
        <f>CW8-CW26-CW31-CW33-CW35</f>
        <v>261701.33199999999</v>
      </c>
      <c r="CX32" s="2371">
        <f>CX30-CX31</f>
        <v>255131.03200000001</v>
      </c>
      <c r="CY32" s="2371">
        <f>CY30-CY31</f>
        <v>59187</v>
      </c>
      <c r="CZ32" s="2371">
        <f>CZ30-CZ31</f>
        <v>372331.67200000002</v>
      </c>
      <c r="DA32" s="2279">
        <f>CX32-CU32</f>
        <v>-27809</v>
      </c>
      <c r="DB32" s="2372">
        <f t="shared" si="80"/>
        <v>90.171415545750691</v>
      </c>
      <c r="DH32" s="5436">
        <f t="shared" si="97"/>
        <v>372331672000</v>
      </c>
    </row>
    <row r="33" spans="1:112" s="2383" customFormat="1" ht="17.399999999999999">
      <c r="A33" s="2378">
        <v>3</v>
      </c>
      <c r="B33" s="2384" t="s">
        <v>175</v>
      </c>
      <c r="C33" s="2380">
        <f>+K33+S33+AA33+AI33+AQ33+AY33+BG33+BO33+BW33+CE33+CM33+CU33</f>
        <v>175604.55</v>
      </c>
      <c r="D33" s="2380"/>
      <c r="E33" s="2380">
        <f>+M33+U33+AC33+AK33+AS33+BA33+BI33+BQ33+BY33+CG33+CO33+CW33</f>
        <v>175604.55</v>
      </c>
      <c r="F33" s="2389">
        <f>SUM(N33,V33,AD33,AL33,AT33,BB33,BJ33,BR33,BZ33,CH33,CP33,CX33)</f>
        <v>212441.54999999996</v>
      </c>
      <c r="G33" s="2380">
        <f t="shared" si="94"/>
        <v>0</v>
      </c>
      <c r="H33" s="2380">
        <f t="shared" si="94"/>
        <v>212441.54999999996</v>
      </c>
      <c r="I33" s="2264">
        <f>F33-C33</f>
        <v>36836.999999999971</v>
      </c>
      <c r="J33" s="2345">
        <f>F33/C33%</f>
        <v>120.97724688796501</v>
      </c>
      <c r="K33" s="2381">
        <v>10437.9</v>
      </c>
      <c r="L33" s="2380"/>
      <c r="M33" s="2389">
        <f>K33</f>
        <v>10437.9</v>
      </c>
      <c r="N33" s="2380">
        <f>K33+N47</f>
        <v>14837.9</v>
      </c>
      <c r="O33" s="2380"/>
      <c r="P33" s="2380">
        <f>N33</f>
        <v>14837.9</v>
      </c>
      <c r="Q33" s="2264">
        <f>N33-K33</f>
        <v>4400</v>
      </c>
      <c r="R33" s="2345">
        <f t="shared" si="70"/>
        <v>142.15407313731691</v>
      </c>
      <c r="S33" s="2382">
        <v>11499.4</v>
      </c>
      <c r="T33" s="2380"/>
      <c r="U33" s="2389">
        <f>S33</f>
        <v>11499.4</v>
      </c>
      <c r="V33" s="2380">
        <f>S33+V47</f>
        <v>14699.4</v>
      </c>
      <c r="W33" s="2380"/>
      <c r="X33" s="2380">
        <f>V33</f>
        <v>14699.4</v>
      </c>
      <c r="Y33" s="2264">
        <f>V33-S33</f>
        <v>3200</v>
      </c>
      <c r="Z33" s="2345">
        <f t="shared" si="71"/>
        <v>127.82753882811276</v>
      </c>
      <c r="AA33" s="2381">
        <v>10537.4</v>
      </c>
      <c r="AB33" s="2380"/>
      <c r="AC33" s="2389">
        <f>AA33</f>
        <v>10537.4</v>
      </c>
      <c r="AD33" s="2380">
        <f>AA33+AD47</f>
        <v>12842.4</v>
      </c>
      <c r="AE33" s="2380"/>
      <c r="AF33" s="2380">
        <f>AD33</f>
        <v>12842.4</v>
      </c>
      <c r="AG33" s="2264">
        <f>AD33-AA33</f>
        <v>2305</v>
      </c>
      <c r="AH33" s="2345">
        <f t="shared" si="72"/>
        <v>121.87446618710499</v>
      </c>
      <c r="AI33" s="2381">
        <v>11589</v>
      </c>
      <c r="AJ33" s="2380"/>
      <c r="AK33" s="2389">
        <f>AI33</f>
        <v>11589</v>
      </c>
      <c r="AL33" s="2380">
        <f>AI33+AL47</f>
        <v>13989</v>
      </c>
      <c r="AM33" s="2380"/>
      <c r="AN33" s="2380">
        <f>AL33</f>
        <v>13989</v>
      </c>
      <c r="AO33" s="2264">
        <f>AL33-AI33</f>
        <v>2400</v>
      </c>
      <c r="AP33" s="2345">
        <f t="shared" si="73"/>
        <v>120.70929329536629</v>
      </c>
      <c r="AQ33" s="2381">
        <v>15019</v>
      </c>
      <c r="AR33" s="2380"/>
      <c r="AS33" s="2389">
        <f>AQ33</f>
        <v>15019</v>
      </c>
      <c r="AT33" s="2380">
        <f>AQ33+AT47</f>
        <v>17519</v>
      </c>
      <c r="AU33" s="2380"/>
      <c r="AV33" s="2380">
        <f>AT33</f>
        <v>17519</v>
      </c>
      <c r="AW33" s="2264">
        <f>AT33-AQ33</f>
        <v>2500</v>
      </c>
      <c r="AX33" s="2345">
        <f t="shared" si="74"/>
        <v>116.64558226246754</v>
      </c>
      <c r="AY33" s="2381">
        <v>24840</v>
      </c>
      <c r="AZ33" s="2380"/>
      <c r="BA33" s="2389">
        <f>AY33</f>
        <v>24840</v>
      </c>
      <c r="BB33" s="2380">
        <f>AY33+BB47</f>
        <v>29340</v>
      </c>
      <c r="BC33" s="2380"/>
      <c r="BD33" s="2380">
        <f>BB33</f>
        <v>29340</v>
      </c>
      <c r="BE33" s="2264">
        <f>BB33-AY33</f>
        <v>4500</v>
      </c>
      <c r="BF33" s="2345">
        <f t="shared" si="75"/>
        <v>118.1159420289855</v>
      </c>
      <c r="BG33" s="2381">
        <v>18324.599999999999</v>
      </c>
      <c r="BH33" s="2380"/>
      <c r="BI33" s="2389">
        <f>BG33</f>
        <v>18324.599999999999</v>
      </c>
      <c r="BJ33" s="2380">
        <f>BG33+BJ47</f>
        <v>21524.6</v>
      </c>
      <c r="BK33" s="2380"/>
      <c r="BL33" s="2380">
        <f>BJ33</f>
        <v>21524.6</v>
      </c>
      <c r="BM33" s="2264">
        <f>BJ33-BG33</f>
        <v>3200</v>
      </c>
      <c r="BN33" s="2345">
        <f t="shared" si="76"/>
        <v>117.46286412800279</v>
      </c>
      <c r="BO33" s="2381">
        <v>15331.45</v>
      </c>
      <c r="BP33" s="2380"/>
      <c r="BQ33" s="2380">
        <f>BO33</f>
        <v>15331.45</v>
      </c>
      <c r="BR33" s="2389">
        <f>BO33+BR47</f>
        <v>18131.05</v>
      </c>
      <c r="BS33" s="2380"/>
      <c r="BT33" s="2380">
        <f>BR33</f>
        <v>18131.05</v>
      </c>
      <c r="BU33" s="2264">
        <f>BR33-BO33</f>
        <v>2799.5999999999985</v>
      </c>
      <c r="BV33" s="2345">
        <f t="shared" si="77"/>
        <v>118.26050373578492</v>
      </c>
      <c r="BW33" s="2381">
        <v>16254.4</v>
      </c>
      <c r="BX33" s="2380"/>
      <c r="BY33" s="2389">
        <f>BW33</f>
        <v>16254.4</v>
      </c>
      <c r="BZ33" s="2380">
        <f>BW33+BZ47</f>
        <v>18754.400000000001</v>
      </c>
      <c r="CA33" s="2380"/>
      <c r="CB33" s="2380">
        <f>BZ33</f>
        <v>18754.400000000001</v>
      </c>
      <c r="CC33" s="2264">
        <f>BZ33-BW33</f>
        <v>2500.0000000000018</v>
      </c>
      <c r="CD33" s="2345">
        <f t="shared" si="78"/>
        <v>115.38045083177481</v>
      </c>
      <c r="CE33" s="2381">
        <v>11451</v>
      </c>
      <c r="CF33" s="2380"/>
      <c r="CG33" s="2389">
        <f>CE33</f>
        <v>11451</v>
      </c>
      <c r="CH33" s="2389">
        <f>CE33+CH47</f>
        <v>16783.400000000001</v>
      </c>
      <c r="CI33" s="2380"/>
      <c r="CJ33" s="2380">
        <f>CH33</f>
        <v>16783.400000000001</v>
      </c>
      <c r="CK33" s="2264">
        <f>CH33-CE33</f>
        <v>5332.4000000000015</v>
      </c>
      <c r="CL33" s="2345">
        <f>CH33/CE33%</f>
        <v>146.56711204261637</v>
      </c>
      <c r="CM33" s="2381">
        <v>16517</v>
      </c>
      <c r="CN33" s="2380"/>
      <c r="CO33" s="2389">
        <f>CM33</f>
        <v>16517</v>
      </c>
      <c r="CP33" s="2389">
        <f>CM33+CP47</f>
        <v>17717</v>
      </c>
      <c r="CQ33" s="2380"/>
      <c r="CR33" s="2380">
        <f>CP33</f>
        <v>17717</v>
      </c>
      <c r="CS33" s="2264">
        <f>CP33-CM33</f>
        <v>1200</v>
      </c>
      <c r="CT33" s="2345">
        <f t="shared" si="79"/>
        <v>107.26524187201066</v>
      </c>
      <c r="CU33" s="2381">
        <v>13803.4</v>
      </c>
      <c r="CV33" s="2380"/>
      <c r="CW33" s="2380">
        <f>CU33</f>
        <v>13803.4</v>
      </c>
      <c r="CX33" s="2389">
        <f>CU33+CX47</f>
        <v>16303.4</v>
      </c>
      <c r="CY33" s="2380"/>
      <c r="CZ33" s="2380">
        <f>CX33</f>
        <v>16303.4</v>
      </c>
      <c r="DA33" s="2264">
        <f>CX33-CU33</f>
        <v>2500</v>
      </c>
      <c r="DB33" s="2345">
        <f t="shared" si="80"/>
        <v>118.11147978034398</v>
      </c>
      <c r="DH33" s="5436">
        <f t="shared" si="97"/>
        <v>16303400000</v>
      </c>
    </row>
    <row r="34" spans="1:112" s="2383" customFormat="1" ht="17.399999999999999">
      <c r="A34" s="2392">
        <v>4</v>
      </c>
      <c r="B34" s="2393" t="s">
        <v>1517</v>
      </c>
      <c r="C34" s="2394"/>
      <c r="D34" s="2394"/>
      <c r="E34" s="2394"/>
      <c r="F34" s="2380">
        <f t="shared" si="94"/>
        <v>0</v>
      </c>
      <c r="G34" s="2394"/>
      <c r="H34" s="2394">
        <f>F34</f>
        <v>0</v>
      </c>
      <c r="I34" s="2395"/>
      <c r="J34" s="2396"/>
      <c r="K34" s="2397"/>
      <c r="L34" s="2394"/>
      <c r="M34" s="2399"/>
      <c r="N34" s="2394"/>
      <c r="O34" s="2394"/>
      <c r="P34" s="2394"/>
      <c r="Q34" s="2395"/>
      <c r="R34" s="2396"/>
      <c r="S34" s="2398"/>
      <c r="T34" s="2394"/>
      <c r="U34" s="2399"/>
      <c r="V34" s="2394"/>
      <c r="W34" s="2394"/>
      <c r="X34" s="2394">
        <f>V34</f>
        <v>0</v>
      </c>
      <c r="Y34" s="2395"/>
      <c r="Z34" s="2396"/>
      <c r="AA34" s="2397"/>
      <c r="AB34" s="2394"/>
      <c r="AC34" s="2399"/>
      <c r="AD34" s="2394"/>
      <c r="AE34" s="2394"/>
      <c r="AF34" s="2394">
        <f>AD34</f>
        <v>0</v>
      </c>
      <c r="AG34" s="2395"/>
      <c r="AH34" s="2396"/>
      <c r="AI34" s="2397"/>
      <c r="AJ34" s="2394"/>
      <c r="AK34" s="2399"/>
      <c r="AL34" s="2394"/>
      <c r="AM34" s="2394"/>
      <c r="AN34" s="2394">
        <f>AL34</f>
        <v>0</v>
      </c>
      <c r="AO34" s="2395"/>
      <c r="AP34" s="2396"/>
      <c r="AQ34" s="2397"/>
      <c r="AR34" s="2394"/>
      <c r="AS34" s="2399"/>
      <c r="AT34" s="2394"/>
      <c r="AU34" s="2394"/>
      <c r="AV34" s="2394">
        <f>AT34</f>
        <v>0</v>
      </c>
      <c r="AW34" s="2395"/>
      <c r="AX34" s="2396"/>
      <c r="AY34" s="2397"/>
      <c r="AZ34" s="2394"/>
      <c r="BA34" s="2399"/>
      <c r="BB34" s="2394"/>
      <c r="BC34" s="2394"/>
      <c r="BD34" s="2394"/>
      <c r="BE34" s="2395"/>
      <c r="BF34" s="2396"/>
      <c r="BG34" s="2397"/>
      <c r="BH34" s="2394"/>
      <c r="BI34" s="2399"/>
      <c r="BJ34" s="2394"/>
      <c r="BK34" s="2394"/>
      <c r="BL34" s="2394">
        <f>BJ34</f>
        <v>0</v>
      </c>
      <c r="BM34" s="2395"/>
      <c r="BN34" s="2396"/>
      <c r="BO34" s="2397"/>
      <c r="BP34" s="2394"/>
      <c r="BQ34" s="2394"/>
      <c r="BR34" s="2399"/>
      <c r="BS34" s="2394"/>
      <c r="BT34" s="2394"/>
      <c r="BU34" s="2395"/>
      <c r="BV34" s="2396"/>
      <c r="BW34" s="2397"/>
      <c r="BX34" s="2394"/>
      <c r="BY34" s="2399"/>
      <c r="BZ34" s="2394"/>
      <c r="CA34" s="2394"/>
      <c r="CB34" s="2394"/>
      <c r="CC34" s="2395"/>
      <c r="CD34" s="2396"/>
      <c r="CE34" s="2397"/>
      <c r="CF34" s="2394"/>
      <c r="CG34" s="2399"/>
      <c r="CH34" s="2399"/>
      <c r="CI34" s="2394"/>
      <c r="CJ34" s="2394"/>
      <c r="CK34" s="2395"/>
      <c r="CL34" s="2396"/>
      <c r="CM34" s="2397"/>
      <c r="CN34" s="2394"/>
      <c r="CO34" s="2399"/>
      <c r="CP34" s="2399"/>
      <c r="CQ34" s="2394"/>
      <c r="CR34" s="2394"/>
      <c r="CS34" s="2395"/>
      <c r="CT34" s="2396"/>
      <c r="CU34" s="2397"/>
      <c r="CV34" s="2394"/>
      <c r="CW34" s="2394"/>
      <c r="CX34" s="2399"/>
      <c r="CY34" s="2394"/>
      <c r="CZ34" s="2394"/>
      <c r="DA34" s="2395"/>
      <c r="DB34" s="2396"/>
    </row>
    <row r="35" spans="1:112" s="2383" customFormat="1" thickBot="1">
      <c r="A35" s="2400">
        <v>5</v>
      </c>
      <c r="B35" s="2401" t="s">
        <v>210</v>
      </c>
      <c r="C35" s="2402">
        <f>+K35+S35+AA35+AI35+AQ35+AY35+BG35+BO35+BW35+CE35+CM35+CU35</f>
        <v>638260.4</v>
      </c>
      <c r="D35" s="2402"/>
      <c r="E35" s="2402">
        <f>+M35+U35+AC35+AK35+AS35+BA35+BI35+BQ35+BY35+CG35+CO35+CW35</f>
        <v>840870.96666666656</v>
      </c>
      <c r="F35" s="2402">
        <f t="shared" si="94"/>
        <v>-78640</v>
      </c>
      <c r="G35" s="2402">
        <f t="shared" si="94"/>
        <v>0</v>
      </c>
      <c r="H35" s="2402">
        <f t="shared" si="94"/>
        <v>519900</v>
      </c>
      <c r="I35" s="2403">
        <f t="shared" si="95"/>
        <v>-716900.4</v>
      </c>
      <c r="J35" s="2404"/>
      <c r="K35" s="2405">
        <v>0</v>
      </c>
      <c r="L35" s="2402"/>
      <c r="M35" s="2406">
        <f>'[31]Phụ lục số 5.1 Thu'!T43</f>
        <v>868</v>
      </c>
      <c r="N35" s="2406">
        <f>N39</f>
        <v>6450</v>
      </c>
      <c r="O35" s="2402"/>
      <c r="P35" s="2407">
        <f>IF('Phụ lục số 8.2-CCTL'!E31&lt;0,0,'Phụ lục số 8.2-CCTL'!E31)</f>
        <v>0</v>
      </c>
      <c r="Q35" s="2403">
        <f>N35-K35</f>
        <v>6450</v>
      </c>
      <c r="R35" s="2404"/>
      <c r="S35" s="2408">
        <v>0</v>
      </c>
      <c r="T35" s="2402"/>
      <c r="U35" s="2406">
        <f>'[31]Phụ lục số 5.1 Thu'!AF43</f>
        <v>0</v>
      </c>
      <c r="V35" s="2406">
        <f>V39</f>
        <v>-10860</v>
      </c>
      <c r="W35" s="2402"/>
      <c r="X35" s="2407">
        <f>IF('Phụ lục số 8.2-CCTL'!F31&lt;0,0,'Phụ lục số 8.2-CCTL'!F31)</f>
        <v>0</v>
      </c>
      <c r="Y35" s="2403">
        <f>V35-S35</f>
        <v>-10860</v>
      </c>
      <c r="Z35" s="2404"/>
      <c r="AA35" s="2405">
        <v>0</v>
      </c>
      <c r="AB35" s="2402"/>
      <c r="AC35" s="2406">
        <f>'[31]Phụ lục số 5.1 Thu'!AR43</f>
        <v>9415.6999999999989</v>
      </c>
      <c r="AD35" s="2406">
        <f>AD39</f>
        <v>1305</v>
      </c>
      <c r="AE35" s="2402"/>
      <c r="AF35" s="2402">
        <f>IF('Phụ lục số 8.2-CCTL'!G31&lt;0,0,'Phụ lục số 8.2-CCTL'!G31)</f>
        <v>0</v>
      </c>
      <c r="AG35" s="2403">
        <f>AD35-AA35</f>
        <v>1305</v>
      </c>
      <c r="AH35" s="2404"/>
      <c r="AI35" s="2405">
        <v>0</v>
      </c>
      <c r="AJ35" s="2402"/>
      <c r="AK35" s="2406">
        <f>'[31]Phụ lục số 5.1 Thu'!BD43</f>
        <v>1904.6999999999998</v>
      </c>
      <c r="AL35" s="2409">
        <f>AL39</f>
        <v>-1820</v>
      </c>
      <c r="AM35" s="2402"/>
      <c r="AN35" s="2402">
        <f>IF('[31]Phụ lục 7.2-CCTL'!H31&lt;0,0,'[31]Phụ lục 7.2-CCTL'!H31)</f>
        <v>0</v>
      </c>
      <c r="AO35" s="2403">
        <f>AL35-AI35</f>
        <v>-1820</v>
      </c>
      <c r="AP35" s="2404"/>
      <c r="AQ35" s="2405">
        <v>0</v>
      </c>
      <c r="AR35" s="2402"/>
      <c r="AS35" s="2406">
        <f>'[31]Phụ lục số 5.1 Thu'!BP43</f>
        <v>51524.666666666657</v>
      </c>
      <c r="AT35" s="2406">
        <f>AT39</f>
        <v>-21475</v>
      </c>
      <c r="AU35" s="2402"/>
      <c r="AV35" s="2402">
        <f>IF('[31]Phụ lục 7.2-CCTL'!I31&lt;0,0,'[31]Phụ lục 7.2-CCTL'!I31)</f>
        <v>0</v>
      </c>
      <c r="AW35" s="2403">
        <f>AT35-AQ35</f>
        <v>-21475</v>
      </c>
      <c r="AX35" s="2404"/>
      <c r="AY35" s="2405">
        <f>479098-479098+465294</f>
        <v>465294</v>
      </c>
      <c r="AZ35" s="2402"/>
      <c r="BA35" s="2406">
        <f>'[31]Phụ lục số 5.1 Thu'!CB43+AY35</f>
        <v>551961.69999999995</v>
      </c>
      <c r="BB35" s="2409">
        <f>BB39</f>
        <v>26975</v>
      </c>
      <c r="BC35" s="2402"/>
      <c r="BD35" s="2409">
        <f>IF('Phụ lục số 8.2-CCTL'!J31&lt;0,0,'Phụ lục số 8.2-CCTL'!J31)</f>
        <v>479075</v>
      </c>
      <c r="BE35" s="2403">
        <f>BB35-AY35</f>
        <v>-438319</v>
      </c>
      <c r="BF35" s="2404"/>
      <c r="BG35" s="2405">
        <v>0</v>
      </c>
      <c r="BH35" s="2402"/>
      <c r="BI35" s="2406">
        <f>'[31]Phụ lục số 5.1 Thu'!CN43</f>
        <v>14158.9</v>
      </c>
      <c r="BJ35" s="2406">
        <f>+BJ39</f>
        <v>-14395</v>
      </c>
      <c r="BK35" s="2402"/>
      <c r="BL35" s="2407">
        <f>IF('Phụ lục số 8.2-CCTL'!K31&lt;0,0,'Phụ lục số 8.2-CCTL'!K31)</f>
        <v>0</v>
      </c>
      <c r="BM35" s="2403">
        <f>BJ35-BG35</f>
        <v>-14395</v>
      </c>
      <c r="BN35" s="2404"/>
      <c r="BO35" s="2405">
        <v>0</v>
      </c>
      <c r="BP35" s="2402"/>
      <c r="BQ35" s="2402">
        <f>'[31]Phụ lục số 5.1 Thu'!CZ43</f>
        <v>0</v>
      </c>
      <c r="BR35" s="2409">
        <f>+BR39</f>
        <v>475</v>
      </c>
      <c r="BS35" s="2402"/>
      <c r="BT35" s="2402">
        <f>IF('[31]Phụ lục 7.2-CCTL'!L31&lt;0,0,'[31]Phụ lục 7.2-CCTL'!L31)</f>
        <v>0</v>
      </c>
      <c r="BU35" s="2403">
        <f>BR35-BO35</f>
        <v>475</v>
      </c>
      <c r="BV35" s="2404"/>
      <c r="BW35" s="2405">
        <v>0</v>
      </c>
      <c r="BX35" s="2402"/>
      <c r="BY35" s="2406">
        <f>'[31]Phụ lục số 5.1 Thu'!DL43</f>
        <v>25350.85</v>
      </c>
      <c r="BZ35" s="2406">
        <f>BZ39</f>
        <v>-6150</v>
      </c>
      <c r="CA35" s="2402"/>
      <c r="CB35" s="2402">
        <f>IF('[31]Phụ lục 7.2-CCTL'!M31&lt;0,0,'[31]Phụ lục 7.2-CCTL'!M31)</f>
        <v>0</v>
      </c>
      <c r="CC35" s="2403">
        <f>BZ35-BW35</f>
        <v>-6150</v>
      </c>
      <c r="CD35" s="2404"/>
      <c r="CE35" s="2405">
        <v>0</v>
      </c>
      <c r="CF35" s="2402"/>
      <c r="CG35" s="2406">
        <f>'[31]Phụ lục số 5.1 Thu'!DX43</f>
        <v>0</v>
      </c>
      <c r="CH35" s="2409">
        <f>+CH39</f>
        <v>15825</v>
      </c>
      <c r="CI35" s="2402"/>
      <c r="CJ35" s="2402">
        <f>IF('[31]Phụ lục 7.2-CCTL'!N31&lt;0,0,'[31]Phụ lục 7.2-CCTL'!N31)</f>
        <v>0</v>
      </c>
      <c r="CK35" s="2403">
        <f>CH35-CE35</f>
        <v>15825</v>
      </c>
      <c r="CL35" s="2404"/>
      <c r="CM35" s="2405">
        <f>127651-127651+172966.4</f>
        <v>172966.39999999999</v>
      </c>
      <c r="CN35" s="2402"/>
      <c r="CO35" s="2406">
        <f>'[31]Phụ lục số 5.1 Thu'!EJ43+CM35</f>
        <v>184467.75</v>
      </c>
      <c r="CP35" s="2406">
        <f>CP39</f>
        <v>-52520</v>
      </c>
      <c r="CQ35" s="2402"/>
      <c r="CR35" s="2409">
        <f>IF('Phụ lục số 8.2-CCTL'!O31&lt;0,0,'Phụ lục số 8.2-CCTL'!O31)</f>
        <v>40825</v>
      </c>
      <c r="CS35" s="2403">
        <f>CP35-CM35</f>
        <v>-225486.4</v>
      </c>
      <c r="CT35" s="2404"/>
      <c r="CU35" s="2405">
        <v>0</v>
      </c>
      <c r="CV35" s="2402"/>
      <c r="CW35" s="2402">
        <f>'[31]Phụ lục số 5.1 Thu'!EV43</f>
        <v>1218.6999999999998</v>
      </c>
      <c r="CX35" s="2406">
        <f>CX39</f>
        <v>-22450</v>
      </c>
      <c r="CY35" s="2402"/>
      <c r="CZ35" s="2402">
        <f>IF('Phụ lục số 8.2-CCTL'!P31&lt;0,0,'Phụ lục số 8.2-CCTL'!P31)</f>
        <v>0</v>
      </c>
      <c r="DA35" s="2403">
        <f>CX35-CU35</f>
        <v>-22450</v>
      </c>
      <c r="DB35" s="2404"/>
    </row>
    <row r="36" spans="1:112" ht="35.1" customHeight="1">
      <c r="CX36" s="2411"/>
      <c r="CY36" s="2411"/>
      <c r="CZ36" s="2411"/>
      <c r="DA36" s="2411"/>
    </row>
    <row r="37" spans="1:112" s="2383" customFormat="1" ht="17.399999999999999">
      <c r="A37" s="2346" t="s">
        <v>312</v>
      </c>
      <c r="B37" s="2383" t="s">
        <v>317</v>
      </c>
      <c r="C37" s="3011"/>
      <c r="K37" s="3013"/>
      <c r="M37" s="3013"/>
      <c r="N37" s="3012">
        <f>+(N9-N10)/(K9-K10)</f>
        <v>1.1892488954344624</v>
      </c>
      <c r="O37" s="3013"/>
      <c r="V37" s="3012">
        <f>+(V9-V10)/(S9-S10)</f>
        <v>0.80969070358363271</v>
      </c>
      <c r="AD37" s="3012">
        <f>+(AD9-AD10)/(AA9-AA10)</f>
        <v>1.0376406114796655</v>
      </c>
      <c r="AE37" s="3013"/>
      <c r="AF37" s="3013"/>
      <c r="AG37" s="3013"/>
      <c r="AH37" s="3013"/>
      <c r="AL37" s="3012">
        <f>+(AL9-AL10)/(AI9-AI10)</f>
        <v>0.95813204508856686</v>
      </c>
      <c r="AT37" s="3012">
        <f>+(AT9-AT10)/(AQ9-AQ10)</f>
        <v>0.75985462678221971</v>
      </c>
      <c r="BB37" s="3012">
        <f>+(BB9-BB10)/(AY9-AY10)</f>
        <v>1.0539179011422015</v>
      </c>
      <c r="BE37" s="3013"/>
      <c r="BJ37" s="3012">
        <f>+(BJ9-BJ10)/(BG9-BG10)</f>
        <v>0.85941308374768455</v>
      </c>
      <c r="BR37" s="3012">
        <f>+(BR9-BR10)/(BO9-BO10)</f>
        <v>1.0056631892697467</v>
      </c>
      <c r="BZ37" s="3012">
        <f>+(BZ9-BZ10)/(BW9-BW10)</f>
        <v>0.94284386617100369</v>
      </c>
      <c r="CH37" s="3012">
        <f>+(CH9-CH10)/(CE9-CE10)</f>
        <v>1.2815084941741528</v>
      </c>
      <c r="CP37" s="3012">
        <f>+(CP9-CP10)/(CM9-CM10)</f>
        <v>0.73768854260313654</v>
      </c>
      <c r="CQ37" s="3013"/>
      <c r="CR37" s="3013"/>
      <c r="CS37" s="3013"/>
      <c r="CV37" s="3013"/>
      <c r="CX37" s="3012">
        <f>+(CX9-CX10)/(CU9-CU10)</f>
        <v>0.74417412113269898</v>
      </c>
      <c r="CY37" s="3013"/>
      <c r="CZ37" s="3013"/>
      <c r="DA37" s="3013">
        <f>-DA30</f>
        <v>26950</v>
      </c>
    </row>
    <row r="38" spans="1:112" s="2865" customFormat="1">
      <c r="A38" s="3028"/>
      <c r="B38" s="2865" t="s">
        <v>1776</v>
      </c>
      <c r="C38" s="2867"/>
      <c r="D38" s="2868"/>
      <c r="F38" s="2412">
        <f>SUM(N38,V38,AD38,AL38,AT38,BB38,BJ38,BR38,BZ38,CH38,CP38,CX38)</f>
        <v>-157280</v>
      </c>
      <c r="I38" s="2868"/>
      <c r="K38" s="2868"/>
      <c r="N38" s="3006">
        <f>+'Phụ lục số 7.1'!V44</f>
        <v>12900</v>
      </c>
      <c r="O38" s="3007"/>
      <c r="Q38" s="3008">
        <f>+N38</f>
        <v>12900</v>
      </c>
      <c r="V38" s="3008">
        <f>+'Phụ lục số 7.1'!AH44</f>
        <v>-21720</v>
      </c>
      <c r="AD38" s="3008">
        <f>+'Phụ lục số 7.1'!AT44</f>
        <v>2610</v>
      </c>
      <c r="AF38" s="2868"/>
      <c r="AG38" s="2868"/>
      <c r="AH38" s="2868"/>
      <c r="AL38" s="3008">
        <f>+'Phụ lục số 7.1'!BF44</f>
        <v>-3640</v>
      </c>
      <c r="AT38" s="3008">
        <f>+'Phụ lục số 7.1'!BR44</f>
        <v>-42950</v>
      </c>
      <c r="AU38" s="2868"/>
      <c r="AV38" s="3009">
        <v>356741</v>
      </c>
      <c r="BB38" s="3029">
        <f>+'Phụ lục số 7.1'!CD44</f>
        <v>53950</v>
      </c>
      <c r="BE38" s="2868">
        <f>+BB38-BE9</f>
        <v>-100</v>
      </c>
      <c r="BJ38" s="3008">
        <f>+'Phụ lục số 7.1'!CP44</f>
        <v>-28790</v>
      </c>
      <c r="BR38" s="3008">
        <f>+'Phụ lục số 7.1'!DB44</f>
        <v>950</v>
      </c>
      <c r="BZ38" s="3010">
        <f>+'Phụ lục số 7.1'!DN44</f>
        <v>-12300</v>
      </c>
      <c r="CH38" s="2868">
        <f>+'Phụ lục số 7.1'!DZ44</f>
        <v>31650</v>
      </c>
      <c r="CP38" s="2868">
        <f>+'Phụ lục số 7.1'!EL44</f>
        <v>-105040</v>
      </c>
      <c r="CQ38" s="3008"/>
      <c r="CR38" s="2868"/>
      <c r="CS38" s="2868"/>
      <c r="CU38" s="2868"/>
      <c r="CV38" s="2868"/>
      <c r="CX38" s="2868">
        <f>+'Phụ lục số 7.1'!EX44</f>
        <v>-44900</v>
      </c>
      <c r="CY38" s="2868"/>
      <c r="CZ38" s="2868"/>
      <c r="DA38" s="2868">
        <f>-DA32</f>
        <v>27809</v>
      </c>
    </row>
    <row r="39" spans="1:112" s="2865" customFormat="1">
      <c r="A39" s="3028"/>
      <c r="B39" s="2865" t="s">
        <v>1779</v>
      </c>
      <c r="C39" s="2867"/>
      <c r="D39" s="2868"/>
      <c r="F39" s="2412">
        <f>SUM(N39,V39,AD39,AL39,AT39,BB39,BJ39,BR39,BZ39,CH39,CP39,CX39)</f>
        <v>-78640</v>
      </c>
      <c r="I39" s="2868"/>
      <c r="K39" s="2868"/>
      <c r="L39" s="2868"/>
      <c r="N39" s="3006">
        <f>+'Phụ lục số 7.1'!V45</f>
        <v>6450</v>
      </c>
      <c r="Q39" s="2868">
        <f>+Q29</f>
        <v>-36000</v>
      </c>
      <c r="V39" s="3008">
        <f>+'Phụ lục số 7.1'!AH45</f>
        <v>-10860</v>
      </c>
      <c r="AD39" s="3008">
        <f>+'Phụ lục số 7.1'!AT45</f>
        <v>1305</v>
      </c>
      <c r="AF39" s="2868"/>
      <c r="AG39" s="2868"/>
      <c r="AH39" s="2868"/>
      <c r="AL39" s="3008">
        <f>+'Phụ lục số 7.1'!BF45</f>
        <v>-1820</v>
      </c>
      <c r="AT39" s="3008">
        <f>+'Phụ lục số 7.1'!BR45</f>
        <v>-21475</v>
      </c>
      <c r="AU39" s="2868"/>
      <c r="AV39" s="3009"/>
      <c r="BB39" s="3029">
        <f>+'Phụ lục số 7.1'!CD45</f>
        <v>26975</v>
      </c>
      <c r="BJ39" s="3008">
        <f>+'Phụ lục số 7.1'!CP45</f>
        <v>-14395</v>
      </c>
      <c r="BR39" s="3008">
        <f>+'Phụ lục số 7.1'!DB45</f>
        <v>475</v>
      </c>
      <c r="BZ39" s="3010">
        <f>+'Phụ lục số 7.1'!DN45</f>
        <v>-6150</v>
      </c>
      <c r="CH39" s="2868">
        <f>+'Phụ lục số 7.1'!DZ45</f>
        <v>15825</v>
      </c>
      <c r="CP39" s="2868">
        <f>+'Phụ lục số 7.1'!EL45</f>
        <v>-52520</v>
      </c>
      <c r="CQ39" s="2868"/>
      <c r="CS39" s="2868"/>
      <c r="CU39" s="2868"/>
      <c r="CV39" s="2868"/>
      <c r="CX39" s="2868">
        <f>+'Phụ lục số 7.1'!EX45</f>
        <v>-22450</v>
      </c>
      <c r="CY39" s="2868"/>
      <c r="CZ39" s="2868"/>
      <c r="DA39" s="2868">
        <f>DA38-DA37</f>
        <v>859</v>
      </c>
    </row>
    <row r="40" spans="1:112" s="2865" customFormat="1">
      <c r="A40" s="3028"/>
      <c r="B40" s="2866" t="s">
        <v>1518</v>
      </c>
      <c r="C40" s="2867"/>
      <c r="D40" s="2868"/>
      <c r="E40" s="2869"/>
      <c r="F40" s="2412">
        <f>SUM(N40,V40,AD40,AL40,AT40,BB40,BJ40,BR40,BZ40,CH40,CP40,CX40)</f>
        <v>-78590</v>
      </c>
      <c r="H40" s="2868"/>
      <c r="I40" s="2867"/>
      <c r="K40" s="2868"/>
      <c r="L40" s="2868"/>
      <c r="M40" s="2868"/>
      <c r="N40" s="2986">
        <f>+N38-N39-50</f>
        <v>6400</v>
      </c>
      <c r="O40" s="2868"/>
      <c r="P40" s="2868"/>
      <c r="Q40" s="3008">
        <f>+Q39+Q38</f>
        <v>-23100</v>
      </c>
      <c r="V40" s="2988">
        <f>+V38-V39</f>
        <v>-10860</v>
      </c>
      <c r="W40" s="2868"/>
      <c r="AD40" s="2988">
        <f>+AD38-AD39</f>
        <v>1305</v>
      </c>
      <c r="AF40" s="2868"/>
      <c r="AG40" s="2868"/>
      <c r="AL40" s="2988">
        <f>+AL38-AL39</f>
        <v>-1820</v>
      </c>
      <c r="AT40" s="2988">
        <f>+AT38-AT39</f>
        <v>-21475</v>
      </c>
      <c r="BB40" s="3030">
        <f>+BB38-BB39+100</f>
        <v>27075</v>
      </c>
      <c r="BJ40" s="2988">
        <f>+BJ38-BJ39</f>
        <v>-14395</v>
      </c>
      <c r="BR40" s="2988">
        <f>+BR38-BR39</f>
        <v>475</v>
      </c>
      <c r="BS40" s="2868"/>
      <c r="BT40" s="2868"/>
      <c r="BY40" s="2870"/>
      <c r="BZ40" s="2987">
        <f>+BZ38-BZ39</f>
        <v>-6150</v>
      </c>
      <c r="CB40" s="2868"/>
      <c r="CF40" s="2870"/>
      <c r="CG40" s="2870"/>
      <c r="CH40" s="2983">
        <f>+CH38-CH39</f>
        <v>15825</v>
      </c>
      <c r="CP40" s="2984">
        <f>+CP38-CP39</f>
        <v>-52520</v>
      </c>
      <c r="CQ40" s="2868"/>
      <c r="CU40" s="2868"/>
      <c r="CV40" s="2868"/>
      <c r="CX40" s="2984">
        <f>+CX38-CX39</f>
        <v>-22450</v>
      </c>
      <c r="CY40" s="2868"/>
      <c r="CZ40" s="2868"/>
      <c r="DA40" s="2868"/>
    </row>
    <row r="41" spans="1:112" s="2865" customFormat="1">
      <c r="A41" s="3028"/>
      <c r="C41" s="2867"/>
      <c r="D41" s="2868"/>
      <c r="F41" s="4849">
        <f>F42+F43+F47</f>
        <v>71379.600000000006</v>
      </c>
      <c r="H41" s="2868"/>
      <c r="L41" s="2868"/>
      <c r="M41" s="2868"/>
      <c r="N41" s="4849">
        <f>N42+N43+N47</f>
        <v>6400</v>
      </c>
      <c r="O41" s="2868"/>
      <c r="U41" s="2870"/>
      <c r="V41" s="4849">
        <f>V42+V43+V47</f>
        <v>3200</v>
      </c>
      <c r="W41" s="2868"/>
      <c r="AD41" s="4849">
        <f>AD42+AD43+AD47</f>
        <v>1305</v>
      </c>
      <c r="AF41" s="2868"/>
      <c r="AG41" s="2868"/>
      <c r="AL41" s="4849">
        <f>AL42+AL43+AL47</f>
        <v>2400</v>
      </c>
      <c r="AS41" s="2870">
        <f>AQ30+AT50</f>
        <v>645402.35199999996</v>
      </c>
      <c r="AT41" s="4849">
        <f>AT42+AT43+AT47</f>
        <v>2500</v>
      </c>
      <c r="BB41" s="4849">
        <f>BB42+BB43+BB47</f>
        <v>27075</v>
      </c>
      <c r="BJ41" s="4849">
        <f>BJ42+BJ43+BJ47</f>
        <v>3200</v>
      </c>
      <c r="BR41" s="2587"/>
      <c r="BY41" s="2870"/>
      <c r="BZ41" s="4849">
        <f>BZ42+BZ43+BZ47</f>
        <v>2500</v>
      </c>
      <c r="CB41" s="2868"/>
      <c r="CF41" s="4792"/>
      <c r="CG41" s="2870"/>
      <c r="CH41" s="4849">
        <f>CH42+CH43+CH47</f>
        <v>15825</v>
      </c>
      <c r="CP41" s="4849">
        <f>CP42+CP43+CP47</f>
        <v>1200</v>
      </c>
      <c r="CU41" s="2868"/>
      <c r="CV41" s="2868"/>
      <c r="CX41" s="2868"/>
      <c r="CY41" s="2868"/>
      <c r="CZ41" s="2868"/>
      <c r="DA41" s="2868"/>
    </row>
    <row r="42" spans="1:112" s="2385" customFormat="1" ht="17.399999999999999">
      <c r="A42" s="2332">
        <v>1</v>
      </c>
      <c r="B42" s="2385" t="s">
        <v>1519</v>
      </c>
      <c r="C42" s="2997">
        <f>C27/(C25-C29)</f>
        <v>6.6283311464791828E-2</v>
      </c>
      <c r="E42" s="2869">
        <f>'[31]Phụ lục số 2'!AB10-F27</f>
        <v>-8999.5910301238764</v>
      </c>
      <c r="F42" s="2412">
        <f>SUM(N42,V42,AD42,AL42,AT42,BB42,BJ42,BR42,BZ42,CH42,CP42,CX42)</f>
        <v>9000</v>
      </c>
      <c r="G42" s="2997"/>
      <c r="K42" s="2997">
        <v>7.0000000000000007E-2</v>
      </c>
      <c r="L42" s="2998"/>
      <c r="M42" s="2385">
        <f>+K27*K42</f>
        <v>1960.0000000000002</v>
      </c>
      <c r="N42" s="2869">
        <f>2000-2000</f>
        <v>0</v>
      </c>
      <c r="O42" s="2997">
        <f>N42/$N$40</f>
        <v>0</v>
      </c>
      <c r="R42" s="3019">
        <f>N42/N40%</f>
        <v>0</v>
      </c>
      <c r="S42" s="2997">
        <f>S27/(S25-S29)</f>
        <v>6.9104236336488267E-2</v>
      </c>
      <c r="U42" s="2999"/>
      <c r="V42" s="3025">
        <f>IF(V40&lt;0,0,U42)</f>
        <v>0</v>
      </c>
      <c r="W42" s="2997">
        <f>V42/$V$40</f>
        <v>0</v>
      </c>
      <c r="Z42" s="3019">
        <f>V42/V40%</f>
        <v>0</v>
      </c>
      <c r="AA42" s="2997">
        <v>0.06</v>
      </c>
      <c r="AC42" s="2385">
        <f>+AA27*AA42-20+100</f>
        <v>2000</v>
      </c>
      <c r="AD42" s="2999"/>
      <c r="AE42" s="2997"/>
      <c r="AF42" s="2999"/>
      <c r="AG42" s="2998"/>
      <c r="AH42" s="3019">
        <f>AD42/AD40%</f>
        <v>0</v>
      </c>
      <c r="AI42" s="2997">
        <f>AI27/(AI25-AI29)</f>
        <v>5.2117919363711081E-2</v>
      </c>
      <c r="AL42" s="3025"/>
      <c r="AM42" s="2997">
        <f>AL42/$AL$40</f>
        <v>0</v>
      </c>
      <c r="AP42" s="3019">
        <f>AL42/AL40%</f>
        <v>0</v>
      </c>
      <c r="AQ42" s="2997">
        <f>AQ27/(AQ25-AQ29)</f>
        <v>6.2462615414871754E-2</v>
      </c>
      <c r="AS42" s="2999">
        <f>AS41-AT30</f>
        <v>23975</v>
      </c>
      <c r="AT42" s="3005"/>
      <c r="AU42" s="2997">
        <f>AT42/$AT$40</f>
        <v>0</v>
      </c>
      <c r="AW42" s="2999">
        <f>6000-AT42</f>
        <v>6000</v>
      </c>
      <c r="AX42" s="3019">
        <f>AT42/AT40%</f>
        <v>0</v>
      </c>
      <c r="AY42" s="2997">
        <f>AY27/(AY25-AY29)</f>
        <v>9.6248627253953792E-2</v>
      </c>
      <c r="AZ42" s="2998">
        <f>+AY27*1.05</f>
        <v>147000</v>
      </c>
      <c r="BA42" s="2998">
        <f>145000-AY27+3000</f>
        <v>8000</v>
      </c>
      <c r="BB42" s="3033">
        <f>IF(BB39&lt;0,0,BA42)</f>
        <v>8000</v>
      </c>
      <c r="BC42" s="2997">
        <f>BB42/$BB$40</f>
        <v>0.29547553093259465</v>
      </c>
      <c r="BD42" s="2385">
        <f>+AY27*1.06</f>
        <v>148400</v>
      </c>
      <c r="BF42" s="3019">
        <f>BB42/BB40%</f>
        <v>29.547553093259463</v>
      </c>
      <c r="BG42" s="2997">
        <f>BG27/(BG25-BG29)</f>
        <v>5.1838319150222155E-2</v>
      </c>
      <c r="BI42" s="2999">
        <f>BG30+BJ50+BJ17+BJ19</f>
        <v>859261.79999999993</v>
      </c>
      <c r="BJ42" s="3005"/>
      <c r="BK42" s="2997">
        <f>BJ42/$BJ$40</f>
        <v>0</v>
      </c>
      <c r="BM42" s="2999">
        <f>7000-BJ42</f>
        <v>7000</v>
      </c>
      <c r="BN42" s="3019">
        <f>BJ42/BJ40%</f>
        <v>0</v>
      </c>
      <c r="BO42" s="2997">
        <f>BO27/(BO25-BO29)</f>
        <v>5.4410250020539869E-2</v>
      </c>
      <c r="BR42" s="3005"/>
      <c r="BS42" s="2997">
        <f>BR42/$BR$40</f>
        <v>0</v>
      </c>
      <c r="BU42" s="2998">
        <f>40000-BQ27</f>
        <v>0</v>
      </c>
      <c r="BV42" s="3019">
        <f>BR42/BR40%</f>
        <v>0</v>
      </c>
      <c r="BW42" s="2997">
        <f>BW27/(BW25-BW29)</f>
        <v>5.418425330566648E-2</v>
      </c>
      <c r="BX42" s="3047">
        <v>0.06</v>
      </c>
      <c r="BY42" s="2385">
        <f>BX42*BW27</f>
        <v>2520</v>
      </c>
      <c r="BZ42" s="2999"/>
      <c r="CA42" s="2997">
        <f>BZ42/$BZ$40</f>
        <v>0</v>
      </c>
      <c r="CC42" s="2999"/>
      <c r="CD42" s="3019">
        <f>BZ42/BZ40%</f>
        <v>0</v>
      </c>
      <c r="CE42" s="2997">
        <f>CE27/(CE25-CE29)</f>
        <v>5.196728961140621E-2</v>
      </c>
      <c r="CF42" s="2999">
        <f>CF41-CH30</f>
        <v>-616299.31200000003</v>
      </c>
      <c r="CG42" s="2999"/>
      <c r="CH42" s="2999">
        <v>1000</v>
      </c>
      <c r="CI42" s="2997">
        <f>CH42/$CH$40</f>
        <v>6.3191153238546599E-2</v>
      </c>
      <c r="CL42" s="3019">
        <f>CH42/CH40%</f>
        <v>6.3191153238546605</v>
      </c>
      <c r="CM42" s="2997">
        <f>CM27/(CM25-CM29)</f>
        <v>0.1024861004152391</v>
      </c>
      <c r="CP42" s="2999"/>
      <c r="CQ42" s="2997">
        <f>CP42/$CP$40</f>
        <v>0</v>
      </c>
      <c r="CR42" s="2999"/>
      <c r="CS42" s="2998"/>
      <c r="CT42" s="3019">
        <f>CP42/CP40%</f>
        <v>0</v>
      </c>
      <c r="CU42" s="2997">
        <f>CU27/(CU25-CU29)</f>
        <v>5.2905995511339905E-2</v>
      </c>
      <c r="CX42" s="2998">
        <v>0</v>
      </c>
      <c r="CY42" s="2997">
        <f>CX42/$CX$40</f>
        <v>0</v>
      </c>
      <c r="CZ42" s="2998"/>
      <c r="DA42" s="2998">
        <f>5000-CX42</f>
        <v>5000</v>
      </c>
      <c r="DB42" s="3019">
        <f>CX42/CX40%</f>
        <v>0</v>
      </c>
    </row>
    <row r="43" spans="1:112" s="2385" customFormat="1" ht="17.399999999999999">
      <c r="A43" s="2332">
        <v>2</v>
      </c>
      <c r="B43" s="2385" t="s">
        <v>1852</v>
      </c>
      <c r="C43" s="2997"/>
      <c r="E43" s="2869"/>
      <c r="F43" s="2869">
        <f>SUM(F44:F46)</f>
        <v>25542.6</v>
      </c>
      <c r="G43" s="2997"/>
      <c r="K43" s="2997"/>
      <c r="L43" s="2998"/>
      <c r="N43" s="2869">
        <f>SUM(N44:N46)</f>
        <v>2000</v>
      </c>
      <c r="O43" s="2997"/>
      <c r="S43" s="2997"/>
      <c r="U43" s="2999"/>
      <c r="V43" s="2999"/>
      <c r="W43" s="2997"/>
      <c r="AA43" s="2997"/>
      <c r="AD43" s="2999">
        <f>+AD44+AD45+AD46</f>
        <v>-1000</v>
      </c>
      <c r="AE43" s="2997"/>
      <c r="AF43" s="2999"/>
      <c r="AG43" s="2998"/>
      <c r="AI43" s="2997"/>
      <c r="AL43" s="3025"/>
      <c r="AM43" s="2997"/>
      <c r="AQ43" s="2997"/>
      <c r="AS43" s="2999"/>
      <c r="AT43" s="3005"/>
      <c r="AU43" s="2997"/>
      <c r="AW43" s="2999"/>
      <c r="AY43" s="2997"/>
      <c r="BA43" s="2385">
        <v>145000</v>
      </c>
      <c r="BB43" s="3000">
        <f>SUM(BB44:BB46)</f>
        <v>14575</v>
      </c>
      <c r="BC43" s="2997"/>
      <c r="BG43" s="2997"/>
      <c r="BI43" s="2999"/>
      <c r="BJ43" s="3005"/>
      <c r="BK43" s="2997"/>
      <c r="BM43" s="2999"/>
      <c r="BO43" s="2997"/>
      <c r="BR43" s="3005">
        <f>SUM(BR44:BR46)</f>
        <v>475</v>
      </c>
      <c r="BS43" s="2997"/>
      <c r="BU43" s="2998"/>
      <c r="BW43" s="2997"/>
      <c r="BZ43" s="2869">
        <f>SUM(BZ44:BZ46)</f>
        <v>0</v>
      </c>
      <c r="CA43" s="2997"/>
      <c r="CC43" s="2999"/>
      <c r="CE43" s="2997"/>
      <c r="CF43" s="2999"/>
      <c r="CG43" s="2999"/>
      <c r="CH43" s="3000">
        <f>SUM(CH44:CH46)</f>
        <v>9492.6</v>
      </c>
      <c r="CI43" s="2997"/>
      <c r="CM43" s="2997"/>
      <c r="CP43" s="2999"/>
      <c r="CQ43" s="2997"/>
      <c r="CR43" s="2999"/>
      <c r="CS43" s="2998"/>
      <c r="CU43" s="2997"/>
      <c r="CX43" s="2998"/>
      <c r="CY43" s="2997"/>
      <c r="CZ43" s="2998"/>
      <c r="DA43" s="2998"/>
    </row>
    <row r="44" spans="1:112" s="2865" customFormat="1">
      <c r="A44" s="3028"/>
      <c r="B44" s="2865" t="s">
        <v>1520</v>
      </c>
      <c r="C44" s="608">
        <f>C31/(C25-C29)</f>
        <v>0.43823080177342671</v>
      </c>
      <c r="E44" s="2868">
        <f>'[31]Phụ lục số 2'!AB20-H31</f>
        <v>-911593.21682025678</v>
      </c>
      <c r="F44" s="2414">
        <f>SUM(N44,V44,AD44,AL44,AT44,BB44,BJ44,BR44,BZ44,CH44,CP44,CX44)</f>
        <v>25975</v>
      </c>
      <c r="G44" s="608"/>
      <c r="I44" s="2868"/>
      <c r="K44" s="608">
        <f>K31/(K25-K29)</f>
        <v>0.55582036299525084</v>
      </c>
      <c r="L44" s="3001">
        <f>+K31*(N37/100)</f>
        <v>3794.2034609720176</v>
      </c>
      <c r="N44" s="2587">
        <f>4500</f>
        <v>4500</v>
      </c>
      <c r="O44" s="608">
        <f>N44/$N$40</f>
        <v>0.703125</v>
      </c>
      <c r="R44" s="3019">
        <f>N44/N40%</f>
        <v>70.3125</v>
      </c>
      <c r="S44" s="608">
        <f>S31/(S25-S29)</f>
        <v>0.46014141688364574</v>
      </c>
      <c r="V44" s="2870"/>
      <c r="W44" s="608">
        <f t="shared" ref="W44:W47" si="98">V44/$V$40</f>
        <v>0</v>
      </c>
      <c r="Z44" s="3019">
        <f>V44/V40%</f>
        <v>0</v>
      </c>
      <c r="AA44" s="608">
        <f>AA31/(AA25-AA29)</f>
        <v>0.52334239009093253</v>
      </c>
      <c r="AD44" s="2870">
        <v>1000</v>
      </c>
      <c r="AE44" s="608"/>
      <c r="AH44" s="3019">
        <f>AD44/AD40%</f>
        <v>76.628352490421449</v>
      </c>
      <c r="AI44" s="608">
        <f>AI31/(AI25-AI29)</f>
        <v>0.46464514923931466</v>
      </c>
      <c r="AL44" s="3035"/>
      <c r="AM44" s="608">
        <f t="shared" ref="AM44:AM47" si="99">AL44/$AL$40</f>
        <v>0</v>
      </c>
      <c r="AP44" s="3019">
        <f>AL44/AL40%</f>
        <v>0</v>
      </c>
      <c r="AQ44" s="608">
        <f>AQ31/(AQ25-AQ29)</f>
        <v>0.50896810407870774</v>
      </c>
      <c r="AT44" s="3002"/>
      <c r="AU44" s="608">
        <f t="shared" ref="AU44:AU47" si="100">AT44/$AT$40</f>
        <v>0</v>
      </c>
      <c r="AX44" s="3019">
        <f>AT44/AT40%</f>
        <v>0</v>
      </c>
      <c r="AY44" s="608">
        <f>AY31/(AY25-AY29)</f>
        <v>0.26856048215612327</v>
      </c>
      <c r="BB44" s="3031">
        <v>12000</v>
      </c>
      <c r="BC44" s="608">
        <f t="shared" ref="BC44:BC47" si="101">BB44/$BB$40</f>
        <v>0.44321329639889195</v>
      </c>
      <c r="BF44" s="3019">
        <f>BB44/BB40%</f>
        <v>44.3213296398892</v>
      </c>
      <c r="BG44" s="608">
        <f>BG31/(BG25-BG29)</f>
        <v>0.49196053846557697</v>
      </c>
      <c r="BJ44" s="3002"/>
      <c r="BK44" s="608">
        <f t="shared" ref="BK44:BK47" si="102">BJ44/$BJ$40</f>
        <v>0</v>
      </c>
      <c r="BN44" s="3019">
        <f>BJ44/BJ40%</f>
        <v>0</v>
      </c>
      <c r="BO44" s="608">
        <f>BO31/(BO25-BO29)</f>
        <v>0.50702490738015193</v>
      </c>
      <c r="BR44" s="3002">
        <f>+BR40</f>
        <v>475</v>
      </c>
      <c r="BS44" s="608">
        <f>BR44/$BR$40</f>
        <v>1</v>
      </c>
      <c r="BV44" s="3019">
        <f>BR44/BR40%</f>
        <v>100</v>
      </c>
      <c r="BW44" s="608">
        <f>BW31/(BW25-BW29)</f>
        <v>0.47304336752306392</v>
      </c>
      <c r="BZ44" s="2870"/>
      <c r="CA44" s="608">
        <f t="shared" ref="CA44:CA47" si="103">BZ44/$BZ$40</f>
        <v>0</v>
      </c>
      <c r="CD44" s="3019">
        <f>BZ44/BZ40%</f>
        <v>0</v>
      </c>
      <c r="CE44" s="608">
        <f>CE31/(CE25-CE29)</f>
        <v>0.50699776848790123</v>
      </c>
      <c r="CG44" s="2870"/>
      <c r="CH44" s="3031">
        <v>8000</v>
      </c>
      <c r="CI44" s="608">
        <f t="shared" ref="CI44:CI47" si="104">CH44/$CH$40</f>
        <v>0.50552922590837279</v>
      </c>
      <c r="CL44" s="3019">
        <f>CH44/CH40%</f>
        <v>50.552922590837284</v>
      </c>
      <c r="CM44" s="608">
        <f>CM31/(CM25-CM29)</f>
        <v>0.27391645273825077</v>
      </c>
      <c r="CP44" s="2870"/>
      <c r="CQ44" s="608">
        <f t="shared" ref="CQ44:CQ47" si="105">CP44/$CP$40</f>
        <v>0</v>
      </c>
      <c r="CT44" s="3019">
        <f>CP44/CP40%</f>
        <v>0</v>
      </c>
      <c r="CU44" s="608">
        <f>CU31/(CU25-CU29)</f>
        <v>0.47135137777921765</v>
      </c>
      <c r="CX44" s="2868"/>
      <c r="CY44" s="608">
        <f t="shared" ref="CY44:CY47" si="106">CX44/$CX$40</f>
        <v>0</v>
      </c>
      <c r="CZ44" s="2868"/>
      <c r="DA44" s="2868"/>
      <c r="DB44" s="3019">
        <f>CX44/CX40%</f>
        <v>0</v>
      </c>
    </row>
    <row r="45" spans="1:112" s="2331" customFormat="1">
      <c r="A45" s="2361"/>
      <c r="B45" s="3020" t="s">
        <v>1778</v>
      </c>
      <c r="C45" s="2813">
        <v>0.01</v>
      </c>
      <c r="D45" s="3016"/>
      <c r="E45" s="3021"/>
      <c r="F45" s="3022"/>
      <c r="G45" s="2813"/>
      <c r="H45" s="2356">
        <f>SUM(P45,X45,AF45,AN45,AV45,BD45,BL45,BT45,CB45,CJ45,CR45,CZ45)</f>
        <v>117511</v>
      </c>
      <c r="I45" s="3021"/>
      <c r="K45" s="3022">
        <f>$C$45*K25</f>
        <v>6640.02</v>
      </c>
      <c r="N45" s="3022"/>
      <c r="O45" s="2813"/>
      <c r="P45" s="3016">
        <f>INT($C$45*P25)</f>
        <v>8005</v>
      </c>
      <c r="Q45" s="3023">
        <f>P45-K45</f>
        <v>1364.9799999999996</v>
      </c>
      <c r="S45" s="3022">
        <f>$C$45*S25</f>
        <v>6751.85</v>
      </c>
      <c r="V45" s="3022"/>
      <c r="W45" s="2813"/>
      <c r="X45" s="3024">
        <f>INT($C$45*X25)</f>
        <v>7678</v>
      </c>
      <c r="Y45" s="3023">
        <f>X45-S45</f>
        <v>926.14999999999964</v>
      </c>
      <c r="AA45" s="3022">
        <f>$C$45*AA25</f>
        <v>5737.8582400000005</v>
      </c>
      <c r="AD45" s="3022"/>
      <c r="AE45" s="2813"/>
      <c r="AF45" s="3016">
        <f>INT($C$45*AF25)</f>
        <v>7133</v>
      </c>
      <c r="AG45" s="3023">
        <f>AF45-AA45</f>
        <v>1395.1417599999995</v>
      </c>
      <c r="AI45" s="3022">
        <f>$C$45*AI25</f>
        <v>6296.1776</v>
      </c>
      <c r="AL45" s="3032"/>
      <c r="AM45" s="2813"/>
      <c r="AN45" s="3016">
        <f>INT($C$45*AN25)</f>
        <v>7784</v>
      </c>
      <c r="AO45" s="3023">
        <f>AN45-AI45</f>
        <v>1487.8224</v>
      </c>
      <c r="AQ45" s="3022">
        <f>$C$45*AQ25</f>
        <v>7674.2135199999993</v>
      </c>
      <c r="AT45" s="3032"/>
      <c r="AU45" s="2813"/>
      <c r="AV45" s="3016">
        <f>INT($C$45*AV25)</f>
        <v>9504</v>
      </c>
      <c r="AW45" s="3023">
        <f>AV45-AQ45</f>
        <v>1829.7864800000007</v>
      </c>
      <c r="AY45" s="3022">
        <f>$C$45*AY25</f>
        <v>15985.662</v>
      </c>
      <c r="BB45" s="3032"/>
      <c r="BC45" s="2813"/>
      <c r="BD45" s="3016">
        <f>INT($C$45*BD25)</f>
        <v>18143</v>
      </c>
      <c r="BE45" s="3023">
        <f>BD45-AY45</f>
        <v>2157.3379999999997</v>
      </c>
      <c r="BG45" s="3022">
        <f>$C$45*BG25</f>
        <v>9606.652</v>
      </c>
      <c r="BJ45" s="3032"/>
      <c r="BK45" s="2813"/>
      <c r="BL45" s="3016">
        <f>INT($C$45*BL25)</f>
        <v>11937</v>
      </c>
      <c r="BM45" s="3023">
        <f>BL45-BG45</f>
        <v>2330.348</v>
      </c>
      <c r="BO45" s="3022">
        <f>$C$45*BO25</f>
        <v>8251.5560000000005</v>
      </c>
      <c r="BR45" s="3032"/>
      <c r="BS45" s="2813"/>
      <c r="BT45" s="3016">
        <f>INT($C$45*BT25)</f>
        <v>10155</v>
      </c>
      <c r="BU45" s="3023">
        <f>BT45-BO45</f>
        <v>1903.4439999999995</v>
      </c>
      <c r="BW45" s="3022">
        <f>$C$45*BW25</f>
        <v>8291.3294800000003</v>
      </c>
      <c r="BZ45" s="3022"/>
      <c r="CA45" s="2813"/>
      <c r="CB45" s="3016">
        <f>INT($C$45*CB25)</f>
        <v>10076</v>
      </c>
      <c r="CC45" s="3023">
        <f>CB45-BW45</f>
        <v>1784.6705199999997</v>
      </c>
      <c r="CE45" s="3022">
        <f>$C$45*CE25</f>
        <v>7172.5771200000008</v>
      </c>
      <c r="CH45" s="3032"/>
      <c r="CI45" s="2813"/>
      <c r="CJ45" s="3016">
        <f>INT($C$45*CJ25)</f>
        <v>8913</v>
      </c>
      <c r="CK45" s="3023">
        <f>CJ45-CE45</f>
        <v>1740.4228799999992</v>
      </c>
      <c r="CM45" s="3022">
        <f>$C$45*CM25</f>
        <v>9538.6592000000001</v>
      </c>
      <c r="CP45" s="3022"/>
      <c r="CQ45" s="2813"/>
      <c r="CR45" s="3016">
        <f>INT($C$45*CR25)</f>
        <v>9468</v>
      </c>
      <c r="CS45" s="3023">
        <f>CR45-CM45</f>
        <v>-70.659200000000055</v>
      </c>
      <c r="CU45" s="3022">
        <f>$C$45*CU25</f>
        <v>7137.4783200000011</v>
      </c>
      <c r="CX45" s="3022"/>
      <c r="CY45" s="2813"/>
      <c r="CZ45" s="3016">
        <f>INT($C$45*CZ25)</f>
        <v>8715</v>
      </c>
      <c r="DA45" s="3023">
        <f>CZ45-CU45</f>
        <v>1577.5216799999989</v>
      </c>
    </row>
    <row r="46" spans="1:112" s="2865" customFormat="1">
      <c r="A46" s="3028"/>
      <c r="B46" s="2865" t="s">
        <v>1521</v>
      </c>
      <c r="C46" s="608">
        <f>C32/(C25-C29)</f>
        <v>0.40263620694917002</v>
      </c>
      <c r="E46" s="2587">
        <f>'[31]Phụ lục số 2'!AB15-'[31]Phụ lục số 2'!AB20-H32</f>
        <v>-1053678.7454686631</v>
      </c>
      <c r="F46" s="2414">
        <f>SUM(N46,V46,AD46,AL46,AT46,BB46,BJ46,BR46,BZ46,CH46,CP46,CX46)</f>
        <v>-432.39999999999964</v>
      </c>
      <c r="G46" s="608"/>
      <c r="I46" s="2868"/>
      <c r="K46" s="608">
        <f>K32/(K25-K29)</f>
        <v>0.37721506196842519</v>
      </c>
      <c r="L46" s="2868"/>
      <c r="N46" s="2587">
        <f>N40-N42-N44-N47</f>
        <v>-2500</v>
      </c>
      <c r="O46" s="608">
        <f>N46/$N$40</f>
        <v>-0.390625</v>
      </c>
      <c r="R46" s="3019">
        <f>N46/N40%</f>
        <v>-39.0625</v>
      </c>
      <c r="S46" s="608">
        <f>S32/(S25-S29)</f>
        <v>0.4423727433147821</v>
      </c>
      <c r="V46" s="2587"/>
      <c r="W46" s="608">
        <f t="shared" si="98"/>
        <v>0</v>
      </c>
      <c r="Z46" s="3019">
        <f>V46/V40%</f>
        <v>0</v>
      </c>
      <c r="AA46" s="608">
        <f>AA32/(AA25-AA29)</f>
        <v>0.39886224994743091</v>
      </c>
      <c r="AD46" s="2870">
        <f>AD40-AD42-AD47-AD44</f>
        <v>-2000</v>
      </c>
      <c r="AE46" s="608"/>
      <c r="AH46" s="3019">
        <f>AD46/AD40%</f>
        <v>-153.2567049808429</v>
      </c>
      <c r="AI46" s="608">
        <f>AI32/(AI25-AI29)</f>
        <v>0.46310430032596628</v>
      </c>
      <c r="AL46" s="3035"/>
      <c r="AM46" s="608">
        <f t="shared" si="99"/>
        <v>0</v>
      </c>
      <c r="AP46" s="3019">
        <f>AL46/AL40%</f>
        <v>0</v>
      </c>
      <c r="AQ46" s="608">
        <f>AQ32/(AQ25-AQ29)</f>
        <v>0.40724866045798108</v>
      </c>
      <c r="AT46" s="3002"/>
      <c r="AU46" s="608">
        <f t="shared" si="100"/>
        <v>0</v>
      </c>
      <c r="AX46" s="3019">
        <f>AT46/AT40%</f>
        <v>0</v>
      </c>
      <c r="AY46" s="608">
        <f>AY32/(AY25-AY29)</f>
        <v>0.29822857151499876</v>
      </c>
      <c r="BB46" s="2587">
        <f>BB40-BB42-BB44-BB47</f>
        <v>2575</v>
      </c>
      <c r="BC46" s="608">
        <f t="shared" si="101"/>
        <v>9.5106186518928895E-2</v>
      </c>
      <c r="BF46" s="3019">
        <f>BB46/BB40%</f>
        <v>9.5106186518928908</v>
      </c>
      <c r="BG46" s="608">
        <f>BG32/(BG25-BG29)</f>
        <v>0.4359904846904899</v>
      </c>
      <c r="BJ46" s="3002"/>
      <c r="BK46" s="608">
        <f t="shared" si="102"/>
        <v>0</v>
      </c>
      <c r="BN46" s="3019">
        <f>BJ46/BJ40%</f>
        <v>0</v>
      </c>
      <c r="BO46" s="608">
        <f>BO32/(BO25-BO29)</f>
        <v>0.4177101419073731</v>
      </c>
      <c r="BR46" s="3002"/>
      <c r="BS46" s="608">
        <f>BR46/$BR$40</f>
        <v>0</v>
      </c>
      <c r="BV46" s="3019">
        <f>BR46/BR40%</f>
        <v>0</v>
      </c>
      <c r="BW46" s="608">
        <f>BW32/(BW25-BW29)</f>
        <v>0.45180255710146894</v>
      </c>
      <c r="BZ46" s="2587"/>
      <c r="CA46" s="608">
        <f t="shared" si="103"/>
        <v>0</v>
      </c>
      <c r="CD46" s="3019">
        <f>BZ46/BZ40%</f>
        <v>0</v>
      </c>
      <c r="CE46" s="608">
        <f>CE32/(CE25-CE29)</f>
        <v>0.42353266444950982</v>
      </c>
      <c r="CH46" s="2587">
        <f>CH40-CH42-CH44-CH47</f>
        <v>1492.6000000000004</v>
      </c>
      <c r="CI46" s="608">
        <f t="shared" si="104"/>
        <v>9.4319115323854688E-2</v>
      </c>
      <c r="CL46" s="3019">
        <f>CH46/CH40%</f>
        <v>9.4319115323854685</v>
      </c>
      <c r="CM46" s="608">
        <f>CM32/(CM25-CM29)</f>
        <v>0.38962859432336655</v>
      </c>
      <c r="CP46" s="2870"/>
      <c r="CQ46" s="608">
        <f t="shared" si="105"/>
        <v>0</v>
      </c>
      <c r="CT46" s="3019">
        <f>CP46/CP40%</f>
        <v>0</v>
      </c>
      <c r="CU46" s="608">
        <f>CU32/(CU25-CU29)</f>
        <v>0.4536128503930415</v>
      </c>
      <c r="CX46" s="2868"/>
      <c r="CY46" s="608">
        <f t="shared" si="106"/>
        <v>0</v>
      </c>
      <c r="CZ46" s="2868"/>
      <c r="DA46" s="2868"/>
      <c r="DB46" s="3019">
        <f>CX46/CX40%</f>
        <v>0</v>
      </c>
    </row>
    <row r="47" spans="1:112" s="2385" customFormat="1" ht="17.399999999999999">
      <c r="A47" s="2332">
        <v>3</v>
      </c>
      <c r="B47" s="2385" t="s">
        <v>1853</v>
      </c>
      <c r="C47" s="2997">
        <f>C33/(C25-C29)</f>
        <v>2.0033822861075058E-2</v>
      </c>
      <c r="E47" s="2869">
        <f>'[31]Phụ lục số 2'!AB30-H33</f>
        <v>-36837.005680957838</v>
      </c>
      <c r="F47" s="2412">
        <f>SUM(N47,V47,AD47,AL47,AT47,BB47,BJ47,BR47,BZ47,CH47,CP47,CX47)</f>
        <v>36837</v>
      </c>
      <c r="G47" s="2997"/>
      <c r="K47" s="2997">
        <f>K33/(K25-K29)</f>
        <v>1.8184431413130964E-2</v>
      </c>
      <c r="L47" s="3003">
        <f>+C47*(N25-N14-N15-N16-N17-N35-N29)</f>
        <v>11182.298940189126</v>
      </c>
      <c r="M47" s="3004">
        <f>+L47-K33</f>
        <v>744.39894018912673</v>
      </c>
      <c r="N47" s="5216">
        <f>1900+1500+1000</f>
        <v>4400</v>
      </c>
      <c r="O47" s="2997">
        <f>N47/$N$40</f>
        <v>0.6875</v>
      </c>
      <c r="R47" s="3019">
        <f>N47/N40%</f>
        <v>68.75</v>
      </c>
      <c r="S47" s="2997">
        <f>S33/(S25-S29)</f>
        <v>2.8380616261707615E-2</v>
      </c>
      <c r="V47" s="3025">
        <v>3200</v>
      </c>
      <c r="W47" s="2997">
        <f t="shared" si="98"/>
        <v>-0.29465930018416209</v>
      </c>
      <c r="Z47" s="3019">
        <f>V47/V40%</f>
        <v>-29.465930018416209</v>
      </c>
      <c r="AA47" s="2997">
        <f>AA33/(AA25-AA29)</f>
        <v>1.927153107758697E-2</v>
      </c>
      <c r="AB47" s="3003">
        <f>+S47*(AD25-AD14-AD15-AD16-AD17-AD35-AD29)</f>
        <v>14390.873945975296</v>
      </c>
      <c r="AC47" s="3004">
        <f>+AB47-AA33</f>
        <v>3853.4739459752964</v>
      </c>
      <c r="AD47" s="3025">
        <f>305+1000+500+500</f>
        <v>2305</v>
      </c>
      <c r="AE47" s="2997"/>
      <c r="AH47" s="3019">
        <f>AD47/AD40%</f>
        <v>176.62835249042143</v>
      </c>
      <c r="AI47" s="2997">
        <f>AI33/(AI25-AI29)</f>
        <v>2.0133152250201593E-2</v>
      </c>
      <c r="AL47" s="3025">
        <v>2400</v>
      </c>
      <c r="AM47" s="2997">
        <f t="shared" si="99"/>
        <v>-1.3186813186813187</v>
      </c>
      <c r="AP47" s="3019">
        <f>AL47/AL40%</f>
        <v>-131.86813186813188</v>
      </c>
      <c r="AQ47" s="2997">
        <f>AQ33/(AQ25-AQ29)</f>
        <v>2.1321045929908158E-2</v>
      </c>
      <c r="AT47" s="3025">
        <v>2500</v>
      </c>
      <c r="AU47" s="2997">
        <f t="shared" si="100"/>
        <v>-0.11641443538998836</v>
      </c>
      <c r="AX47" s="3019">
        <f>AT47/AT40%</f>
        <v>-11.641443538998836</v>
      </c>
      <c r="AY47" s="2997">
        <f>AY33/(AY25-AY29)</f>
        <v>1.7077256435630087E-2</v>
      </c>
      <c r="BB47" s="3033">
        <v>4500</v>
      </c>
      <c r="BC47" s="2997">
        <f t="shared" si="101"/>
        <v>0.16620498614958448</v>
      </c>
      <c r="BF47" s="3019">
        <f>BB47/BB40%</f>
        <v>16.62049861495845</v>
      </c>
      <c r="BG47" s="2997">
        <f>BG33/(BG25-BG29)</f>
        <v>2.0210988576599167E-2</v>
      </c>
      <c r="BJ47" s="3025">
        <v>3200</v>
      </c>
      <c r="BK47" s="2997">
        <f t="shared" si="102"/>
        <v>-0.22229940951719346</v>
      </c>
      <c r="BN47" s="3019">
        <f>BJ47/BJ40%</f>
        <v>-22.22994095171935</v>
      </c>
      <c r="BO47" s="2997">
        <f>BO33/(BO25-BO29)</f>
        <v>2.0854700691935152E-2</v>
      </c>
      <c r="BR47" s="3025">
        <f>2800-0.4</f>
        <v>2799.6</v>
      </c>
      <c r="BS47" s="2997">
        <f>BR47/$BR$40</f>
        <v>5.8938947368421051</v>
      </c>
      <c r="BV47" s="3019">
        <f>BR47/BR40%</f>
        <v>589.38947368421054</v>
      </c>
      <c r="BW47" s="2997">
        <f>BW33/(BW25-BW29)</f>
        <v>2.0969822069800598E-2</v>
      </c>
      <c r="BX47" s="3048">
        <f>C47*(BZ25-BZ16-BZ17-BZ14-BZ15-BZ29-BZ35)</f>
        <v>14597.544858608037</v>
      </c>
      <c r="BZ47" s="3025">
        <v>2500</v>
      </c>
      <c r="CA47" s="2997">
        <f t="shared" si="103"/>
        <v>-0.4065040650406504</v>
      </c>
      <c r="CD47" s="3019">
        <f>BZ47/BZ40%</f>
        <v>-40.650406504065039</v>
      </c>
      <c r="CE47" s="2997">
        <f>CE33/(CE25-CE29)</f>
        <v>1.750227745118272E-2</v>
      </c>
      <c r="CH47" s="5136">
        <f>3825+286+221+(1000.4)</f>
        <v>5332.4</v>
      </c>
      <c r="CI47" s="2997">
        <f t="shared" si="104"/>
        <v>0.33696050552922591</v>
      </c>
      <c r="CL47" s="3019">
        <f>CH47/CH40%</f>
        <v>33.696050552922586</v>
      </c>
      <c r="CM47" s="2997">
        <f>CM33/(CM25-CM29)</f>
        <v>2.0394733982632581E-2</v>
      </c>
      <c r="CP47" s="3025">
        <v>1200</v>
      </c>
      <c r="CQ47" s="2997">
        <f t="shared" si="105"/>
        <v>-2.284843869002285E-2</v>
      </c>
      <c r="CT47" s="3019">
        <f>CP47/CP40%</f>
        <v>-2.2848438690022848</v>
      </c>
      <c r="CU47" s="2997">
        <f>CU33/(CU25-CU29)</f>
        <v>2.2129776316400885E-2</v>
      </c>
      <c r="CX47" s="5214">
        <v>2500</v>
      </c>
      <c r="CY47" s="2997">
        <f t="shared" si="106"/>
        <v>-0.111358574610245</v>
      </c>
      <c r="CZ47" s="2998"/>
      <c r="DA47" s="2998"/>
      <c r="DB47" s="3019">
        <f>CX47/CX40%</f>
        <v>-11.135857461024498</v>
      </c>
    </row>
    <row r="48" spans="1:112" s="2865" customFormat="1">
      <c r="A48" s="3028"/>
      <c r="B48" s="2865" t="s">
        <v>1854</v>
      </c>
      <c r="C48" s="3017" t="s">
        <v>1855</v>
      </c>
      <c r="E48" s="2587"/>
      <c r="F48" s="2414"/>
      <c r="G48" s="608"/>
      <c r="K48" s="608"/>
      <c r="M48" s="3001"/>
      <c r="N48" s="2587"/>
      <c r="O48" s="608"/>
      <c r="S48" s="608"/>
      <c r="V48" s="3002"/>
      <c r="W48" s="608"/>
      <c r="AA48" s="608"/>
      <c r="AD48" s="2870"/>
      <c r="AE48" s="608"/>
      <c r="AI48" s="608"/>
      <c r="AL48" s="3002"/>
      <c r="AM48" s="608"/>
      <c r="AQ48" s="608"/>
      <c r="AT48" s="3002"/>
      <c r="AU48" s="608"/>
      <c r="AY48" s="608"/>
      <c r="BB48" s="3031"/>
      <c r="BC48" s="608"/>
      <c r="BG48" s="608"/>
      <c r="BJ48" s="3002"/>
      <c r="BK48" s="608"/>
      <c r="BO48" s="608"/>
      <c r="BR48" s="2870"/>
      <c r="BS48" s="608"/>
      <c r="BW48" s="608"/>
      <c r="BZ48" s="2870"/>
      <c r="CA48" s="608"/>
      <c r="CE48" s="608"/>
      <c r="CH48" s="2870"/>
      <c r="CI48" s="608"/>
      <c r="CM48" s="608"/>
      <c r="CP48" s="2870"/>
      <c r="CQ48" s="608"/>
      <c r="CU48" s="608"/>
      <c r="CX48" s="2868"/>
      <c r="CY48" s="608"/>
      <c r="CZ48" s="2868"/>
      <c r="DA48" s="2868"/>
    </row>
    <row r="49" spans="1:106" s="2865" customFormat="1">
      <c r="A49" s="3028"/>
      <c r="C49" s="2867"/>
      <c r="F49" s="3014">
        <f>F33/(F25-F15-F14-F35)</f>
        <v>2.2469969292364618E-2</v>
      </c>
      <c r="G49" s="3014"/>
      <c r="H49" s="3014">
        <f>H33/(H25-H15-H14-H35-H16-H17-H20-H21)</f>
        <v>2.0413159761885354E-2</v>
      </c>
      <c r="M49" s="2868"/>
      <c r="N49" s="3014">
        <f>N33/(N25-N15-N14-N35-N16-N17-N1-N29)</f>
        <v>2.6583072212637344E-2</v>
      </c>
      <c r="P49" s="3014">
        <f>P33/(P25-P15-P14-P35-P16-P17-P20)</f>
        <v>1.9996900311316557E-2</v>
      </c>
      <c r="V49" s="3014">
        <f>V33/(V25-V15-V14-V35-V16-V17)</f>
        <v>2.31133544035096E-2</v>
      </c>
      <c r="X49" s="3014">
        <f>X33/(X25-X15-X14-X35-X16-X17-X20)</f>
        <v>2.0079062829542287E-2</v>
      </c>
      <c r="AD49" s="3014">
        <f>AD33/(AD25-AD15-AD14-AD35-AD16-AD17-AD29)</f>
        <v>2.5326830576629912E-2</v>
      </c>
      <c r="AF49" s="3014">
        <f>AF33/(AF25-AF15-AF14-AF35-AF16-AF17-AF20)</f>
        <v>2.001140623977412E-2</v>
      </c>
      <c r="AL49" s="3014">
        <f>AL33/(AL25-AL15-AL14-AL35-AL16-AL17)</f>
        <v>2.4110194394797755E-2</v>
      </c>
      <c r="AN49" s="3014">
        <f>AN33/(AN25-AN15-AN14-AN35-AN16-AN17-AN20)</f>
        <v>2.0054160137966424E-2</v>
      </c>
      <c r="AT49" s="3014">
        <f>AT33/(AT25-AT15-AT14-AT35-AT16-AT17)</f>
        <v>2.533085986694756E-2</v>
      </c>
      <c r="AV49" s="3014">
        <f>AV33/(AV25-AV15-AV14-AV35-AV16-AV17-AV20)</f>
        <v>1.999002723682574E-2</v>
      </c>
      <c r="AW49" s="2868"/>
      <c r="BB49" s="3014">
        <f>BB33/(BB25-BB15-BB14-BB35-BB16-BB17-BB1-BB29)</f>
        <v>2.0061785375820009E-2</v>
      </c>
      <c r="BD49" s="3014">
        <f>BD33/(BD25-BD15-BD14-BD35-BD16-BD17-BD20)</f>
        <v>2.2973565522425451E-2</v>
      </c>
      <c r="BJ49" s="3014">
        <f>BJ33/(BJ25-BJ15-BJ14-BJ35-BJ16-BJ17)</f>
        <v>2.4065992918149506E-2</v>
      </c>
      <c r="BL49" s="3014">
        <f>BL33/(BL25-BL15-BL14-BL35-BL16-BL17-BL20)</f>
        <v>2.0098003514531518E-2</v>
      </c>
      <c r="BR49" s="3014">
        <f>BR33/(BR25-BR15-BR14-BR35-BR16-BR17)</f>
        <v>2.3812153607732919E-2</v>
      </c>
      <c r="BT49" s="3014">
        <f>BT33/(BT25-BT15-BT14-BT35-BT16-BT17-BT20)</f>
        <v>2.0116419950605011E-2</v>
      </c>
      <c r="BZ49" s="3014">
        <f>BZ33/(BZ25-BZ15-BZ14-BZ35-BZ16-BZ17)</f>
        <v>2.3962843945850291E-2</v>
      </c>
      <c r="CB49" s="3014">
        <f>CB33/(CB25-CB15-CB14-CB35-CB16-CB17-CB20)</f>
        <v>2.0016756765410624E-2</v>
      </c>
      <c r="CH49" s="3014">
        <f>CH33/(CH25-CH15-CH14-CH35-CH16-CH17)</f>
        <v>2.3788694863363196E-2</v>
      </c>
      <c r="CJ49" s="3014">
        <f>CJ33/(CJ25-CJ15-CJ14-CJ35-CJ16-CJ17-CJ20)</f>
        <v>1.9978739689761361E-2</v>
      </c>
      <c r="CP49" s="3014">
        <f>CP33/(CP25-CP15-CP14-CP35-CP16-CP17)</f>
        <v>1.9873916116077937E-2</v>
      </c>
      <c r="CR49" s="3014">
        <f>CR33/(CR25-CR15-CR14-CR35-CR16-CR17-CR20)</f>
        <v>2.0146805474218071E-2</v>
      </c>
      <c r="CX49" s="3014">
        <f>CX33/(CX25-CX15-CX14-CX35-CX16-CX17)</f>
        <v>2.4522475501440207E-2</v>
      </c>
      <c r="CZ49" s="3014">
        <f>CZ33/(CZ25-CZ15-CZ14-CZ35-CZ16-CZ17-CZ20)</f>
        <v>2.0069403496764327E-2</v>
      </c>
      <c r="DA49" s="2868"/>
    </row>
    <row r="50" spans="1:106" s="2865" customFormat="1" ht="36">
      <c r="A50" s="3028"/>
      <c r="B50" s="2866" t="s">
        <v>1522</v>
      </c>
      <c r="C50" s="2867"/>
      <c r="F50" s="2414">
        <f>SUM(N50,V50,AD50,AL50,AT50,BB50,BJ50,BR50,BZ50,CH50,CP50,CX50)</f>
        <v>25542.6</v>
      </c>
      <c r="N50" s="2870">
        <f>SUM(N44:N46)</f>
        <v>2000</v>
      </c>
      <c r="V50" s="2870">
        <f>SUM(V44:V46)</f>
        <v>0</v>
      </c>
      <c r="AD50" s="2870">
        <f>SUM(AD44:AD46)</f>
        <v>-1000</v>
      </c>
      <c r="AL50" s="2870">
        <f>SUM(AL44:AL46)</f>
        <v>0</v>
      </c>
      <c r="AT50" s="2870">
        <f>SUM(AT44:AT46)</f>
        <v>0</v>
      </c>
      <c r="AV50" s="5213"/>
      <c r="BB50" s="2870">
        <f>SUM(BB44:BB46)</f>
        <v>14575</v>
      </c>
      <c r="BJ50" s="2870">
        <f>SUM(BJ44:BJ46)</f>
        <v>0</v>
      </c>
      <c r="BR50" s="2870">
        <f>SUM(BR44:BR46)</f>
        <v>475</v>
      </c>
      <c r="BZ50" s="2870">
        <f>SUM(BZ44:BZ46)</f>
        <v>0</v>
      </c>
      <c r="CH50" s="2870">
        <f>SUM(CH44:CH46)</f>
        <v>9492.6</v>
      </c>
      <c r="CP50" s="2870">
        <f>SUM(CP44:CP46)</f>
        <v>0</v>
      </c>
      <c r="CX50" s="2870">
        <f>SUM(CX44:CX46)</f>
        <v>0</v>
      </c>
      <c r="CY50" s="2868"/>
      <c r="CZ50" s="2868">
        <f>2%*CZ25</f>
        <v>17430.369440000002</v>
      </c>
      <c r="DA50" s="2868"/>
    </row>
    <row r="51" spans="1:106" s="2385" customFormat="1" ht="17.399999999999999">
      <c r="A51" s="2332"/>
      <c r="B51" s="2385" t="s">
        <v>1523</v>
      </c>
      <c r="C51" s="5440"/>
      <c r="F51" s="2412">
        <f t="shared" ref="F51" si="107">SUM(N51,V51,AD51,AL51,AT51,BB51,BJ51,BR51,BZ51,CH51,CP51,CX51)</f>
        <v>2654.26</v>
      </c>
      <c r="N51" s="2999">
        <f>N50*10%</f>
        <v>200</v>
      </c>
      <c r="V51" s="2999">
        <f>V50*10%</f>
        <v>0</v>
      </c>
      <c r="AD51" s="2999"/>
      <c r="AL51" s="2999">
        <f>AL50*10%</f>
        <v>0</v>
      </c>
      <c r="AT51" s="2999">
        <f>AT50*10%</f>
        <v>0</v>
      </c>
      <c r="BB51" s="2999">
        <f>BB50*10%</f>
        <v>1457.5</v>
      </c>
      <c r="BJ51" s="2999">
        <f>BJ50*10%</f>
        <v>0</v>
      </c>
      <c r="BR51" s="2999">
        <f>BR50*10%</f>
        <v>47.5</v>
      </c>
      <c r="BZ51" s="2999">
        <f>BZ50*10%</f>
        <v>0</v>
      </c>
      <c r="CH51" s="2999">
        <f>CH50*10%</f>
        <v>949.2600000000001</v>
      </c>
      <c r="CP51" s="2999">
        <f>CP50*10%</f>
        <v>0</v>
      </c>
      <c r="CX51" s="2999">
        <f>CX50*10%</f>
        <v>0</v>
      </c>
      <c r="CY51" s="2998"/>
      <c r="CZ51" s="2998"/>
      <c r="DA51" s="2998"/>
    </row>
    <row r="52" spans="1:106" s="2865" customFormat="1">
      <c r="A52" s="3028"/>
      <c r="C52" s="2867"/>
      <c r="N52" s="2868"/>
      <c r="O52" s="2868"/>
      <c r="P52" s="2868"/>
      <c r="Q52" s="2868"/>
      <c r="CX52" s="3014"/>
    </row>
    <row r="53" spans="1:106" s="2865" customFormat="1" hidden="1">
      <c r="A53" s="3028"/>
      <c r="C53" s="2867"/>
      <c r="F53" s="6643" t="s">
        <v>1524</v>
      </c>
      <c r="G53" s="6643"/>
      <c r="H53" s="6643"/>
      <c r="I53" s="6643"/>
      <c r="J53" s="6643"/>
      <c r="N53" s="6643" t="s">
        <v>1524</v>
      </c>
      <c r="O53" s="6643"/>
      <c r="P53" s="6643"/>
      <c r="Q53" s="6643"/>
      <c r="R53" s="6643"/>
      <c r="V53" s="6643" t="s">
        <v>1524</v>
      </c>
      <c r="W53" s="6643"/>
      <c r="X53" s="6643"/>
      <c r="Y53" s="6643"/>
      <c r="Z53" s="6643"/>
      <c r="AD53" s="6643" t="s">
        <v>1524</v>
      </c>
      <c r="AE53" s="6643"/>
      <c r="AF53" s="6643"/>
      <c r="AG53" s="6643"/>
      <c r="AH53" s="6643"/>
      <c r="AL53" s="6643" t="s">
        <v>1524</v>
      </c>
      <c r="AM53" s="6643"/>
      <c r="AN53" s="6643"/>
      <c r="AO53" s="6643"/>
      <c r="AP53" s="6643"/>
      <c r="AT53" s="6643" t="s">
        <v>1524</v>
      </c>
      <c r="AU53" s="6643"/>
      <c r="AV53" s="6643"/>
      <c r="AW53" s="6643"/>
      <c r="AX53" s="6643"/>
      <c r="BB53" s="6643" t="s">
        <v>1524</v>
      </c>
      <c r="BC53" s="6643"/>
      <c r="BD53" s="6643"/>
      <c r="BE53" s="6643"/>
      <c r="BF53" s="6643"/>
      <c r="BJ53" s="6643" t="s">
        <v>1524</v>
      </c>
      <c r="BK53" s="6643"/>
      <c r="BL53" s="6643"/>
      <c r="BM53" s="6643"/>
      <c r="BN53" s="6643"/>
      <c r="BR53" s="6643" t="s">
        <v>1524</v>
      </c>
      <c r="BS53" s="6643"/>
      <c r="BT53" s="6643"/>
      <c r="BU53" s="6643"/>
      <c r="BV53" s="6643"/>
      <c r="BZ53" s="6652" t="s">
        <v>1524</v>
      </c>
      <c r="CA53" s="6652"/>
      <c r="CB53" s="6652"/>
      <c r="CC53" s="6652"/>
      <c r="CD53" s="6652"/>
      <c r="CH53" s="6643" t="s">
        <v>1524</v>
      </c>
      <c r="CI53" s="6643"/>
      <c r="CJ53" s="6643"/>
      <c r="CK53" s="6643"/>
      <c r="CL53" s="6643"/>
      <c r="CP53" s="6643" t="s">
        <v>1524</v>
      </c>
      <c r="CQ53" s="6643"/>
      <c r="CR53" s="6643"/>
      <c r="CS53" s="6643"/>
      <c r="CT53" s="6643"/>
      <c r="CX53" s="6643" t="s">
        <v>1524</v>
      </c>
      <c r="CY53" s="6643"/>
      <c r="CZ53" s="6643"/>
      <c r="DA53" s="6643"/>
      <c r="DB53" s="6643"/>
    </row>
    <row r="54" spans="1:106" s="2865" customFormat="1" hidden="1">
      <c r="A54" s="3028"/>
      <c r="B54" s="2332" t="s">
        <v>1525</v>
      </c>
      <c r="C54" s="2867"/>
      <c r="F54" s="6642" t="s">
        <v>659</v>
      </c>
      <c r="G54" s="6642"/>
      <c r="H54" s="6642"/>
      <c r="I54" s="6642"/>
      <c r="J54" s="6642"/>
      <c r="N54" s="6642" t="s">
        <v>659</v>
      </c>
      <c r="O54" s="6642"/>
      <c r="P54" s="6642"/>
      <c r="Q54" s="6642"/>
      <c r="R54" s="6642"/>
      <c r="V54" s="6642" t="s">
        <v>659</v>
      </c>
      <c r="W54" s="6642"/>
      <c r="X54" s="6642"/>
      <c r="Y54" s="6642"/>
      <c r="Z54" s="6642"/>
      <c r="AD54" s="6642" t="s">
        <v>659</v>
      </c>
      <c r="AE54" s="6642"/>
      <c r="AF54" s="6642"/>
      <c r="AG54" s="6642"/>
      <c r="AH54" s="6642"/>
      <c r="AL54" s="6642" t="s">
        <v>659</v>
      </c>
      <c r="AM54" s="6642"/>
      <c r="AN54" s="6642"/>
      <c r="AO54" s="6642"/>
      <c r="AP54" s="6642"/>
      <c r="AT54" s="6642" t="s">
        <v>659</v>
      </c>
      <c r="AU54" s="6642"/>
      <c r="AV54" s="6642"/>
      <c r="AW54" s="6642"/>
      <c r="AX54" s="6642"/>
      <c r="BA54" s="2867"/>
      <c r="BB54" s="6642" t="s">
        <v>659</v>
      </c>
      <c r="BC54" s="6642"/>
      <c r="BD54" s="6642"/>
      <c r="BE54" s="6642"/>
      <c r="BF54" s="6642"/>
      <c r="BJ54" s="6642" t="s">
        <v>659</v>
      </c>
      <c r="BK54" s="6642"/>
      <c r="BL54" s="6642"/>
      <c r="BM54" s="6642"/>
      <c r="BN54" s="6642"/>
      <c r="BR54" s="6642" t="s">
        <v>659</v>
      </c>
      <c r="BS54" s="6642"/>
      <c r="BT54" s="6642"/>
      <c r="BU54" s="6642"/>
      <c r="BV54" s="6642"/>
      <c r="BZ54" s="6642" t="s">
        <v>659</v>
      </c>
      <c r="CA54" s="6642"/>
      <c r="CB54" s="6642"/>
      <c r="CC54" s="6642"/>
      <c r="CD54" s="6642"/>
      <c r="CH54" s="6642" t="s">
        <v>659</v>
      </c>
      <c r="CI54" s="6642"/>
      <c r="CJ54" s="6642"/>
      <c r="CK54" s="6642"/>
      <c r="CL54" s="6642"/>
      <c r="CP54" s="6642" t="s">
        <v>659</v>
      </c>
      <c r="CQ54" s="6642"/>
      <c r="CR54" s="6642"/>
      <c r="CS54" s="6642"/>
      <c r="CT54" s="6642"/>
      <c r="CX54" s="6642" t="s">
        <v>659</v>
      </c>
      <c r="CY54" s="6642"/>
      <c r="CZ54" s="6642"/>
      <c r="DA54" s="6642"/>
      <c r="DB54" s="6642"/>
    </row>
    <row r="55" spans="1:106" hidden="1">
      <c r="F55" s="2410"/>
      <c r="M55" s="2410"/>
      <c r="N55" s="2410"/>
      <c r="P55" s="2410"/>
    </row>
    <row r="56" spans="1:106" hidden="1">
      <c r="M56" s="2410"/>
      <c r="N56" s="2410"/>
      <c r="AS56" s="2410"/>
      <c r="AV56" s="2324">
        <f>358126</f>
        <v>358126</v>
      </c>
    </row>
    <row r="57" spans="1:106" hidden="1">
      <c r="M57" s="2410"/>
      <c r="AV57" s="2411"/>
    </row>
    <row r="58" spans="1:106" hidden="1">
      <c r="E58" s="4814"/>
      <c r="F58" s="2375">
        <f>+F33-E33</f>
        <v>36836.999999999971</v>
      </c>
      <c r="G58" s="4793"/>
      <c r="H58" s="4793"/>
      <c r="N58" s="4815"/>
      <c r="V58" s="2411"/>
      <c r="AD58" s="2411"/>
      <c r="AL58" s="2411"/>
      <c r="AT58" s="2411"/>
      <c r="AU58" s="2411"/>
      <c r="BB58" s="4815"/>
      <c r="BJ58" s="2411"/>
      <c r="BR58" s="2411"/>
      <c r="BZ58" s="2411"/>
      <c r="CH58" s="4815"/>
      <c r="CP58" s="2411"/>
      <c r="CW58" s="2411"/>
      <c r="CX58" s="2411"/>
    </row>
    <row r="59" spans="1:106" hidden="1">
      <c r="F59" s="2411"/>
      <c r="G59" s="4816"/>
      <c r="H59" s="4793"/>
    </row>
    <row r="60" spans="1:106" hidden="1">
      <c r="H60" s="2413"/>
    </row>
    <row r="61" spans="1:106" hidden="1">
      <c r="F61" s="4817"/>
      <c r="H61" s="2411"/>
    </row>
    <row r="62" spans="1:106" hidden="1">
      <c r="F62" s="4817"/>
      <c r="H62" s="2413"/>
    </row>
    <row r="63" spans="1:106" hidden="1">
      <c r="E63" s="4818"/>
      <c r="F63" s="4814"/>
    </row>
    <row r="64" spans="1:106" hidden="1">
      <c r="D64" s="4196"/>
      <c r="H64" s="2415"/>
    </row>
    <row r="65" spans="3:107" hidden="1">
      <c r="H65" s="2318"/>
    </row>
    <row r="66" spans="3:107" hidden="1">
      <c r="H66" s="2416"/>
    </row>
    <row r="67" spans="3:107" hidden="1">
      <c r="H67" s="2411">
        <f>+H30-H17</f>
        <v>9042337.5890000015</v>
      </c>
      <c r="I67" s="2411">
        <f t="shared" ref="I67:BT67" si="108">+I30-I17</f>
        <v>505782.79999999981</v>
      </c>
      <c r="J67" s="2411">
        <f t="shared" si="108"/>
        <v>106.86222508472235</v>
      </c>
      <c r="K67" s="2411">
        <f t="shared" si="108"/>
        <v>532133.1</v>
      </c>
      <c r="L67" s="2411">
        <f t="shared" si="108"/>
        <v>0</v>
      </c>
      <c r="M67" s="2411">
        <f t="shared" si="108"/>
        <v>534705.1</v>
      </c>
      <c r="N67" s="2411">
        <f t="shared" si="108"/>
        <v>534133.1</v>
      </c>
      <c r="O67" s="2411">
        <f t="shared" si="108"/>
        <v>128610</v>
      </c>
      <c r="P67" s="2411">
        <f t="shared" si="108"/>
        <v>678991.09</v>
      </c>
      <c r="Q67" s="2411">
        <f t="shared" si="108"/>
        <v>2000</v>
      </c>
      <c r="R67" s="2411">
        <f t="shared" si="108"/>
        <v>100.37343802543897</v>
      </c>
      <c r="S67" s="2411">
        <f t="shared" si="108"/>
        <v>361630.6</v>
      </c>
      <c r="T67" s="2411">
        <f t="shared" si="108"/>
        <v>0</v>
      </c>
      <c r="U67" s="2411">
        <f t="shared" si="108"/>
        <v>439965.6</v>
      </c>
      <c r="V67" s="2411">
        <f t="shared" si="108"/>
        <v>345570.6</v>
      </c>
      <c r="W67" s="2411">
        <f t="shared" si="108"/>
        <v>84524</v>
      </c>
      <c r="X67" s="2411">
        <f t="shared" si="108"/>
        <v>450445.77399999998</v>
      </c>
      <c r="Y67" s="2411">
        <f t="shared" si="108"/>
        <v>-16060</v>
      </c>
      <c r="Z67" s="2411">
        <f t="shared" si="108"/>
        <v>95.608249272052277</v>
      </c>
      <c r="AA67" s="2411">
        <f t="shared" si="108"/>
        <v>497324.6</v>
      </c>
      <c r="AB67" s="2411">
        <f t="shared" si="108"/>
        <v>0</v>
      </c>
      <c r="AC67" s="2411">
        <f t="shared" si="108"/>
        <v>478269.9</v>
      </c>
      <c r="AD67" s="2411">
        <f t="shared" si="108"/>
        <v>496324.6</v>
      </c>
      <c r="AE67" s="2411">
        <f t="shared" si="108"/>
        <v>106723</v>
      </c>
      <c r="AF67" s="2411">
        <f t="shared" si="108"/>
        <v>622175.995</v>
      </c>
      <c r="AG67" s="2411">
        <f t="shared" si="108"/>
        <v>-999.82400000002235</v>
      </c>
      <c r="AH67" s="2411">
        <f t="shared" si="108"/>
        <v>99.801719955400401</v>
      </c>
      <c r="AI67" s="2411">
        <f t="shared" si="108"/>
        <v>532342</v>
      </c>
      <c r="AJ67" s="2411">
        <f t="shared" si="108"/>
        <v>0</v>
      </c>
      <c r="AK67" s="2411">
        <f t="shared" si="108"/>
        <v>523318.30000000005</v>
      </c>
      <c r="AL67" s="2411">
        <f t="shared" si="108"/>
        <v>528122</v>
      </c>
      <c r="AM67" s="2411">
        <f t="shared" si="108"/>
        <v>114331</v>
      </c>
      <c r="AN67" s="2411">
        <f t="shared" si="108"/>
        <v>670604.69200000004</v>
      </c>
      <c r="AO67" s="2411">
        <f t="shared" si="108"/>
        <v>-4220</v>
      </c>
      <c r="AP67" s="2411">
        <f t="shared" si="108"/>
        <v>99.209780387108751</v>
      </c>
      <c r="AQ67" s="2411">
        <f t="shared" si="108"/>
        <v>641361</v>
      </c>
      <c r="AR67" s="2411">
        <f t="shared" si="108"/>
        <v>0</v>
      </c>
      <c r="AS67" s="2411">
        <f t="shared" si="108"/>
        <v>591243</v>
      </c>
      <c r="AT67" s="2411">
        <f t="shared" si="108"/>
        <v>617386</v>
      </c>
      <c r="AU67" s="2411">
        <f t="shared" si="108"/>
        <v>161936</v>
      </c>
      <c r="AV67" s="2411">
        <f t="shared" si="108"/>
        <v>823793.87400000007</v>
      </c>
      <c r="AW67" s="2411">
        <f t="shared" si="108"/>
        <v>-23975</v>
      </c>
      <c r="AX67" s="2411">
        <f t="shared" si="108"/>
        <v>96.285262995137018</v>
      </c>
      <c r="AY67" s="2411">
        <f t="shared" si="108"/>
        <v>813273</v>
      </c>
      <c r="AZ67" s="2411">
        <f t="shared" si="108"/>
        <v>0</v>
      </c>
      <c r="BA67" s="2411">
        <f t="shared" si="108"/>
        <v>587605.30000000005</v>
      </c>
      <c r="BB67" s="2411">
        <f t="shared" si="108"/>
        <v>1293142</v>
      </c>
      <c r="BC67" s="2411">
        <f t="shared" si="108"/>
        <v>134838</v>
      </c>
      <c r="BD67" s="2411">
        <f t="shared" si="108"/>
        <v>987018.72900000005</v>
      </c>
      <c r="BE67" s="2411">
        <f t="shared" si="108"/>
        <v>479869</v>
      </c>
      <c r="BF67" s="2411">
        <f t="shared" si="108"/>
        <v>158.20599923195624</v>
      </c>
      <c r="BG67" s="2411">
        <f t="shared" si="108"/>
        <v>823419.4</v>
      </c>
      <c r="BH67" s="2411">
        <f t="shared" si="108"/>
        <v>0</v>
      </c>
      <c r="BI67" s="2411">
        <f t="shared" si="108"/>
        <v>775107.5</v>
      </c>
      <c r="BJ67" s="2411">
        <f t="shared" si="108"/>
        <v>805774.4</v>
      </c>
      <c r="BK67" s="2411">
        <f t="shared" si="108"/>
        <v>161065</v>
      </c>
      <c r="BL67" s="2411">
        <f t="shared" si="108"/>
        <v>1012869.9889999999</v>
      </c>
      <c r="BM67" s="2411">
        <f t="shared" si="108"/>
        <v>-17645</v>
      </c>
      <c r="BN67" s="2411">
        <f t="shared" si="108"/>
        <v>97.902751870051205</v>
      </c>
      <c r="BO67" s="2411">
        <f t="shared" si="108"/>
        <v>677213.55</v>
      </c>
      <c r="BP67" s="2411">
        <f t="shared" si="108"/>
        <v>0</v>
      </c>
      <c r="BQ67" s="2411">
        <f t="shared" si="108"/>
        <v>650006.04999999993</v>
      </c>
      <c r="BR67" s="2411">
        <f t="shared" si="108"/>
        <v>674888.95</v>
      </c>
      <c r="BS67" s="2411">
        <f t="shared" si="108"/>
        <v>138763</v>
      </c>
      <c r="BT67" s="2411">
        <f t="shared" si="108"/>
        <v>846485.22899999993</v>
      </c>
      <c r="BU67" s="2411">
        <f t="shared" ref="BU67:DC67" si="109">+BU30-BU17</f>
        <v>-2324.6000000000931</v>
      </c>
      <c r="BV67" s="2411">
        <f t="shared" si="109"/>
        <v>99.65805863177998</v>
      </c>
      <c r="BW67" s="2411">
        <f t="shared" si="109"/>
        <v>694440.6</v>
      </c>
      <c r="BX67" s="2411">
        <f t="shared" si="109"/>
        <v>0</v>
      </c>
      <c r="BY67" s="2411">
        <f t="shared" si="109"/>
        <v>655189.75</v>
      </c>
      <c r="BZ67" s="2411">
        <f t="shared" si="109"/>
        <v>683790.6</v>
      </c>
      <c r="CA67" s="2411">
        <f t="shared" si="109"/>
        <v>146806</v>
      </c>
      <c r="CB67" s="2411">
        <f t="shared" si="109"/>
        <v>849730.42700000003</v>
      </c>
      <c r="CC67" s="2411">
        <f t="shared" si="109"/>
        <v>-10650</v>
      </c>
      <c r="CD67" s="2411">
        <f t="shared" si="109"/>
        <v>98.514392705750211</v>
      </c>
      <c r="CE67" s="2411">
        <f t="shared" si="109"/>
        <v>601544</v>
      </c>
      <c r="CF67" s="2411">
        <f t="shared" si="109"/>
        <v>0</v>
      </c>
      <c r="CG67" s="2411">
        <f t="shared" si="109"/>
        <v>591636.66666666674</v>
      </c>
      <c r="CH67" s="2411">
        <f t="shared" si="109"/>
        <v>609036.60000000009</v>
      </c>
      <c r="CI67" s="2411">
        <f t="shared" si="109"/>
        <v>133686</v>
      </c>
      <c r="CJ67" s="2411">
        <f t="shared" si="109"/>
        <v>750431.98300000001</v>
      </c>
      <c r="CK67" s="2411">
        <f t="shared" si="109"/>
        <v>7492.5999999999767</v>
      </c>
      <c r="CL67" s="2411">
        <f t="shared" si="109"/>
        <v>101.23070259448782</v>
      </c>
      <c r="CM67" s="2411">
        <f t="shared" si="109"/>
        <v>532006.6</v>
      </c>
      <c r="CN67" s="2411">
        <f t="shared" si="109"/>
        <v>0</v>
      </c>
      <c r="CO67" s="2411">
        <f t="shared" si="109"/>
        <v>462798.25000000006</v>
      </c>
      <c r="CP67" s="2411">
        <f t="shared" si="109"/>
        <v>651253</v>
      </c>
      <c r="CQ67" s="2411">
        <f t="shared" si="109"/>
        <v>107766</v>
      </c>
      <c r="CR67" s="2411">
        <f t="shared" si="109"/>
        <v>643321.73499999999</v>
      </c>
      <c r="CS67" s="2411">
        <f t="shared" si="109"/>
        <v>119246.40000000002</v>
      </c>
      <c r="CT67" s="2411">
        <f t="shared" si="109"/>
        <v>122.19022680529318</v>
      </c>
      <c r="CU67" s="2411">
        <f t="shared" si="109"/>
        <v>570181.6</v>
      </c>
      <c r="CV67" s="2411">
        <f t="shared" si="109"/>
        <v>0</v>
      </c>
      <c r="CW67" s="2411">
        <f t="shared" si="109"/>
        <v>548942.9</v>
      </c>
      <c r="CX67" s="2411">
        <f t="shared" si="109"/>
        <v>543231.6</v>
      </c>
      <c r="CY67" s="2411">
        <f t="shared" si="109"/>
        <v>124207</v>
      </c>
      <c r="CZ67" s="2411">
        <f t="shared" si="109"/>
        <v>706468.07200000004</v>
      </c>
      <c r="DA67" s="2411">
        <f t="shared" si="109"/>
        <v>-26950</v>
      </c>
      <c r="DB67" s="2411">
        <f t="shared" si="109"/>
        <v>95.328839571849784</v>
      </c>
      <c r="DC67" s="2411">
        <f t="shared" si="109"/>
        <v>0</v>
      </c>
    </row>
    <row r="68" spans="3:107" hidden="1">
      <c r="H68" s="2312"/>
    </row>
    <row r="69" spans="3:107" hidden="1">
      <c r="H69" s="2417"/>
    </row>
    <row r="70" spans="3:107" hidden="1">
      <c r="H70" s="5079">
        <f>+H14-F14</f>
        <v>62511.59</v>
      </c>
      <c r="P70" s="5079">
        <f>+P14-N14</f>
        <v>5593.3600000000006</v>
      </c>
      <c r="Q70" s="2411"/>
      <c r="X70" s="5079">
        <f>+X14-V14</f>
        <v>1294.8500000000004</v>
      </c>
      <c r="Y70" s="2411"/>
      <c r="AF70" s="5079">
        <f>+AF14-AD14</f>
        <v>5120.1699999999983</v>
      </c>
      <c r="AG70" s="2411"/>
      <c r="AN70" s="5079">
        <f>+AN14-AL14</f>
        <v>6374.369999999999</v>
      </c>
      <c r="AO70" s="2411"/>
      <c r="AV70" s="5079">
        <f>+AV14-AT14</f>
        <v>5781.66</v>
      </c>
      <c r="AW70" s="2411"/>
      <c r="BD70" s="5079">
        <f>+BD14-BB14</f>
        <v>15149.2</v>
      </c>
      <c r="BE70" s="2413"/>
      <c r="BF70" s="2413"/>
      <c r="BL70" s="5079">
        <f>+BL14-BJ14</f>
        <v>9986.989999999998</v>
      </c>
      <c r="BM70" s="2411"/>
      <c r="BT70" s="5079">
        <f>+BT14-BR14</f>
        <v>9641.7200000000012</v>
      </c>
      <c r="BU70" s="2411"/>
      <c r="CB70" s="5079">
        <f>+CB14-BZ14</f>
        <v>1664.4099999999999</v>
      </c>
      <c r="CC70" s="2411"/>
      <c r="CJ70" s="5079">
        <f>+CJ14-CH14</f>
        <v>-2071.91</v>
      </c>
      <c r="CK70" s="2411"/>
      <c r="CR70" s="5079">
        <f>+CR14-CP14</f>
        <v>-1551.45</v>
      </c>
      <c r="CS70" s="2413"/>
      <c r="CT70" s="2413"/>
      <c r="CZ70" s="5079">
        <f>+CZ14-CX14</f>
        <v>5528.2200000000012</v>
      </c>
      <c r="DA70" s="2413"/>
      <c r="DB70" s="2413"/>
    </row>
    <row r="71" spans="3:107" hidden="1">
      <c r="C71" s="2245"/>
      <c r="H71" s="4813">
        <f>SUM(P71,X71,AF71,AN71,AV71,BD71,BL71,BT71,CB71,CJ71,CR71,CZ71)</f>
        <v>66134.95</v>
      </c>
      <c r="P71" s="2411">
        <f>+P70</f>
        <v>5593.3600000000006</v>
      </c>
      <c r="X71" s="2411">
        <f>+X70</f>
        <v>1294.8500000000004</v>
      </c>
      <c r="AF71" s="2411">
        <f>+AF70</f>
        <v>5120.1699999999983</v>
      </c>
      <c r="AN71" s="2411">
        <f>+AN70</f>
        <v>6374.369999999999</v>
      </c>
      <c r="AV71" s="2411">
        <f>+AV70</f>
        <v>5781.66</v>
      </c>
      <c r="BD71" s="2411">
        <f>+BD70</f>
        <v>15149.2</v>
      </c>
      <c r="BL71" s="2411">
        <f>+BL70</f>
        <v>9986.989999999998</v>
      </c>
      <c r="BT71" s="2411">
        <f>+BT70</f>
        <v>9641.7200000000012</v>
      </c>
      <c r="CB71" s="2411">
        <f>+CB70</f>
        <v>1664.4099999999999</v>
      </c>
      <c r="CJ71" s="2411"/>
      <c r="CR71" s="2312"/>
      <c r="CZ71" s="2411">
        <f>+CZ70</f>
        <v>5528.2200000000012</v>
      </c>
      <c r="DA71" s="2411"/>
    </row>
    <row r="72" spans="3:107" hidden="1">
      <c r="C72" s="2245"/>
      <c r="H72" s="4813">
        <f>SUM(P72,X72,AF72,AN72,AV72,BD72,BL72,BT72,CB72,CJ72,CR72,CZ72)</f>
        <v>-3623.3599999999997</v>
      </c>
      <c r="BD72" s="2413"/>
      <c r="CJ72" s="2411">
        <f>+CJ70</f>
        <v>-2071.91</v>
      </c>
      <c r="CR72" s="2312">
        <f>+CR70</f>
        <v>-1551.45</v>
      </c>
      <c r="CZ72" s="2312"/>
      <c r="DA72" s="2413"/>
    </row>
    <row r="73" spans="3:107" hidden="1">
      <c r="C73" s="2245"/>
      <c r="H73" s="5200">
        <f>+H72*1000000</f>
        <v>-3623359999.9999995</v>
      </c>
      <c r="BD73" s="2413"/>
      <c r="CR73" s="2312"/>
      <c r="CZ73" s="2312"/>
      <c r="DA73" s="2413"/>
    </row>
    <row r="74" spans="3:107" hidden="1">
      <c r="C74" s="2245"/>
      <c r="H74" s="5200">
        <f>+H71*1000000</f>
        <v>66134950000</v>
      </c>
      <c r="BD74" s="2413"/>
      <c r="CR74" s="2312"/>
      <c r="CZ74" s="2312"/>
    </row>
    <row r="75" spans="3:107" hidden="1">
      <c r="C75" s="2245"/>
      <c r="H75" s="5200">
        <f>+H70*1000000</f>
        <v>62511590000</v>
      </c>
    </row>
    <row r="76" spans="3:107" hidden="1">
      <c r="H76" s="4813">
        <f>SUM(P76,X76,AF76,AN76,AV76,BD76,BL76,BT76,CB76,CJ76,CR76,CZ76)</f>
        <v>12000</v>
      </c>
      <c r="P76" s="2324">
        <v>1000</v>
      </c>
      <c r="X76" s="2324">
        <v>1000</v>
      </c>
      <c r="AF76" s="2324">
        <v>1000</v>
      </c>
      <c r="AN76" s="2324">
        <v>1000</v>
      </c>
      <c r="AV76" s="2324">
        <v>1000</v>
      </c>
      <c r="BD76" s="2324">
        <v>1000</v>
      </c>
      <c r="BL76" s="2324">
        <v>1000</v>
      </c>
      <c r="BT76" s="5306">
        <v>1000</v>
      </c>
      <c r="CB76" s="2324">
        <v>1000</v>
      </c>
      <c r="CJ76" s="2324">
        <v>1000</v>
      </c>
      <c r="CR76" s="2324">
        <v>1000</v>
      </c>
      <c r="CZ76" s="5112">
        <v>1000</v>
      </c>
    </row>
    <row r="77" spans="3:107" hidden="1">
      <c r="G77" s="2324">
        <f>+H77/1000000</f>
        <v>8.4548999999999999E-2</v>
      </c>
      <c r="H77" s="4813">
        <f>SUM(P77,X77,AF77,AN77,AV77,BD77,BL77,BT77,CB77,CJ77,CR77,CZ77)</f>
        <v>84549</v>
      </c>
      <c r="P77" s="2411">
        <f>+P15-N15-P76</f>
        <v>4750</v>
      </c>
      <c r="X77" s="2411">
        <f>+X15-V15-X76</f>
        <v>3750</v>
      </c>
      <c r="AF77" s="2411">
        <f>+AF15-AD15-AF76</f>
        <v>9000</v>
      </c>
      <c r="AN77" s="2411">
        <f>+AN15-AL15-AN76</f>
        <v>13500</v>
      </c>
      <c r="AV77" s="2411">
        <f>+AV15-AT15-AV76</f>
        <v>9549</v>
      </c>
      <c r="BD77" s="2411">
        <f>+BD15-BB15-BD76</f>
        <v>1500</v>
      </c>
      <c r="BL77" s="2411">
        <f>+BL15-BJ15-BL76</f>
        <v>13000</v>
      </c>
      <c r="BT77" s="2411">
        <f>+BT15-BR15-BT76</f>
        <v>16500</v>
      </c>
      <c r="CB77" s="2411">
        <f>+CB15-BZ15-CB76</f>
        <v>3500</v>
      </c>
      <c r="CJ77" s="2411">
        <f>+CJ15-CH15-CJ76</f>
        <v>3500</v>
      </c>
      <c r="CR77" s="2411">
        <f>+CR15-CP15-CR76</f>
        <v>750</v>
      </c>
      <c r="CZ77" s="2411">
        <f>+CZ15-CX15-CZ76</f>
        <v>5250</v>
      </c>
    </row>
    <row r="78" spans="3:107" hidden="1">
      <c r="H78" s="5201">
        <f>+H16*1000000</f>
        <v>42185549000.000008</v>
      </c>
    </row>
    <row r="79" spans="3:107" hidden="1">
      <c r="H79" s="5201">
        <f>+H20*1000000</f>
        <v>11295000000</v>
      </c>
    </row>
    <row r="80" spans="3:107" hidden="1">
      <c r="H80" s="5201">
        <f>+H21*1000000</f>
        <v>852000000</v>
      </c>
    </row>
    <row r="81" spans="8:8" hidden="1">
      <c r="H81" s="5201">
        <f>+H22*1000000</f>
        <v>129670000000</v>
      </c>
    </row>
    <row r="82" spans="8:8" hidden="1">
      <c r="H82" s="5201">
        <f>+H12*1000000</f>
        <v>1681469000000</v>
      </c>
    </row>
  </sheetData>
  <mergeCells count="94">
    <mergeCell ref="BW4:CD4"/>
    <mergeCell ref="A4:A6"/>
    <mergeCell ref="B4:B6"/>
    <mergeCell ref="C4:J4"/>
    <mergeCell ref="K4:R4"/>
    <mergeCell ref="S4:Z4"/>
    <mergeCell ref="AA4:AH4"/>
    <mergeCell ref="R5:R6"/>
    <mergeCell ref="S5:U5"/>
    <mergeCell ref="V5:X5"/>
    <mergeCell ref="Y5:Y6"/>
    <mergeCell ref="BE5:BE6"/>
    <mergeCell ref="Z5:Z6"/>
    <mergeCell ref="AA5:AC5"/>
    <mergeCell ref="AD5:AF5"/>
    <mergeCell ref="AG5:AG6"/>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AW5:AW6"/>
    <mergeCell ref="AH5:AH6"/>
    <mergeCell ref="AI5:AK5"/>
    <mergeCell ref="AL5:AN5"/>
    <mergeCell ref="AO5:AO6"/>
    <mergeCell ref="AP5:AP6"/>
    <mergeCell ref="BN5:BN6"/>
    <mergeCell ref="BO5:BQ5"/>
    <mergeCell ref="BR5:BT5"/>
    <mergeCell ref="CX5:CZ5"/>
    <mergeCell ref="AQ5:AS5"/>
    <mergeCell ref="AT5:AV5"/>
    <mergeCell ref="BG5:BI5"/>
    <mergeCell ref="BJ5:BL5"/>
    <mergeCell ref="BM5:BM6"/>
    <mergeCell ref="DA5:DA6"/>
    <mergeCell ref="DB5:DB6"/>
    <mergeCell ref="F53:J53"/>
    <mergeCell ref="N53:R53"/>
    <mergeCell ref="V53:Z53"/>
    <mergeCell ref="AD53:AH53"/>
    <mergeCell ref="AL53:AP53"/>
    <mergeCell ref="CS5:CS6"/>
    <mergeCell ref="BV5:BV6"/>
    <mergeCell ref="BW5:BY5"/>
    <mergeCell ref="BZ5:CB5"/>
    <mergeCell ref="CC5:CC6"/>
    <mergeCell ref="CD5:CD6"/>
    <mergeCell ref="CE5:CG5"/>
    <mergeCell ref="BF5:BF6"/>
    <mergeCell ref="CU5:CW5"/>
    <mergeCell ref="CX54:DB54"/>
    <mergeCell ref="CP53:CT53"/>
    <mergeCell ref="CX53:DB53"/>
    <mergeCell ref="F54:J54"/>
    <mergeCell ref="N54:R54"/>
    <mergeCell ref="V54:Z54"/>
    <mergeCell ref="AD54:AH54"/>
    <mergeCell ref="AL54:AP54"/>
    <mergeCell ref="AT54:AX54"/>
    <mergeCell ref="BB54:BF54"/>
    <mergeCell ref="BJ54:BN54"/>
    <mergeCell ref="AT53:AX53"/>
    <mergeCell ref="BB53:BF53"/>
    <mergeCell ref="BJ53:BN53"/>
    <mergeCell ref="BR53:BV53"/>
    <mergeCell ref="BZ53:CD53"/>
    <mergeCell ref="A1:J1"/>
    <mergeCell ref="BR54:BV54"/>
    <mergeCell ref="BZ54:CD54"/>
    <mergeCell ref="CH54:CL54"/>
    <mergeCell ref="CP54:CT54"/>
    <mergeCell ref="CH53:CL53"/>
    <mergeCell ref="CT5:CT6"/>
    <mergeCell ref="CH5:CJ5"/>
    <mergeCell ref="CK5:CK6"/>
    <mergeCell ref="CL5:CL6"/>
    <mergeCell ref="CM5:CO5"/>
    <mergeCell ref="CP5:CR5"/>
    <mergeCell ref="BU5:BU6"/>
    <mergeCell ref="AX5:AX6"/>
    <mergeCell ref="AY5:BA5"/>
    <mergeCell ref="BB5:BD5"/>
  </mergeCells>
  <hyperlinks>
    <hyperlink ref="A4:A6" location="'Danh mục file'!A1" display="STT"/>
  </hyperlinks>
  <printOptions horizontalCentered="1"/>
  <pageMargins left="0" right="0" top="0.39370078740157483" bottom="0" header="0" footer="0"/>
  <pageSetup paperSize="9" scale="45" orientation="portrait" r:id="rId1"/>
  <headerFooter>
    <oddHeader>&amp;R&amp;A</oddHeader>
    <oddFooter>&amp;C&amp;P/&amp;N</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0000"/>
  </sheetPr>
  <dimension ref="A1:S93"/>
  <sheetViews>
    <sheetView topLeftCell="B1" workbookViewId="0">
      <pane xSplit="2" ySplit="6" topLeftCell="D7" activePane="bottomRight" state="frozen"/>
      <selection activeCell="B1" sqref="B1"/>
      <selection pane="topRight" activeCell="D1" sqref="D1"/>
      <selection pane="bottomLeft" activeCell="B7" sqref="B7"/>
      <selection pane="bottomRight" activeCell="K8" sqref="K8"/>
    </sheetView>
  </sheetViews>
  <sheetFormatPr defaultColWidth="10.33203125" defaultRowHeight="15.6"/>
  <cols>
    <col min="1" max="1" width="5.109375" style="2432" hidden="1" customWidth="1"/>
    <col min="2" max="2" width="5.109375" style="2432" customWidth="1"/>
    <col min="3" max="3" width="69.109375" style="2432" bestFit="1" customWidth="1"/>
    <col min="4" max="14" width="10.5546875" style="2432" customWidth="1"/>
    <col min="15" max="15" width="10.33203125" style="2432" customWidth="1"/>
    <col min="16" max="16" width="12" style="2432" customWidth="1"/>
    <col min="17" max="16384" width="10.33203125" style="2432"/>
  </cols>
  <sheetData>
    <row r="1" spans="1:19">
      <c r="A1" s="6671" t="s">
        <v>1846</v>
      </c>
      <c r="B1" s="6671"/>
      <c r="C1" s="6672"/>
      <c r="D1" s="6672"/>
      <c r="E1" s="6672"/>
      <c r="F1" s="6672"/>
      <c r="G1" s="6672"/>
      <c r="H1" s="6672"/>
      <c r="I1" s="6672"/>
      <c r="J1" s="6672"/>
      <c r="K1" s="6672"/>
      <c r="L1" s="6672"/>
      <c r="M1" s="6672"/>
      <c r="N1" s="6672"/>
      <c r="O1" s="6672"/>
      <c r="P1" s="6672"/>
    </row>
    <row r="2" spans="1:19" ht="18" customHeight="1">
      <c r="D2" s="2433"/>
      <c r="E2" s="2433"/>
      <c r="F2" s="2434"/>
      <c r="G2" s="2433"/>
      <c r="H2" s="2433"/>
      <c r="I2" s="2433"/>
      <c r="J2" s="2433"/>
      <c r="K2" s="2433"/>
      <c r="L2" s="2434"/>
      <c r="M2" s="2433"/>
      <c r="N2" s="2433"/>
      <c r="P2" s="2989"/>
    </row>
    <row r="3" spans="1:19" s="2435" customFormat="1" ht="15.9" customHeight="1">
      <c r="A3" s="6670" t="s">
        <v>136</v>
      </c>
      <c r="B3" s="6673" t="s">
        <v>136</v>
      </c>
      <c r="C3" s="6670" t="s">
        <v>137</v>
      </c>
      <c r="D3" s="6670" t="s">
        <v>54</v>
      </c>
      <c r="E3" s="6675" t="s">
        <v>251</v>
      </c>
      <c r="F3" s="6670" t="s">
        <v>252</v>
      </c>
      <c r="G3" s="6676" t="s">
        <v>253</v>
      </c>
      <c r="H3" s="6670" t="s">
        <v>254</v>
      </c>
      <c r="I3" s="6670" t="s">
        <v>255</v>
      </c>
      <c r="J3" s="6670" t="s">
        <v>256</v>
      </c>
      <c r="K3" s="6670" t="s">
        <v>257</v>
      </c>
      <c r="L3" s="6670" t="s">
        <v>258</v>
      </c>
      <c r="M3" s="6670" t="s">
        <v>259</v>
      </c>
      <c r="N3" s="6670" t="s">
        <v>260</v>
      </c>
      <c r="O3" s="6670" t="s">
        <v>261</v>
      </c>
      <c r="P3" s="6670" t="s">
        <v>262</v>
      </c>
      <c r="Q3" s="6667"/>
      <c r="R3" s="6668"/>
      <c r="S3" s="6669"/>
    </row>
    <row r="4" spans="1:19" s="2435" customFormat="1" ht="38.25" customHeight="1">
      <c r="A4" s="6670"/>
      <c r="B4" s="6674"/>
      <c r="C4" s="6670"/>
      <c r="D4" s="6670"/>
      <c r="E4" s="6675"/>
      <c r="F4" s="6670"/>
      <c r="G4" s="6676"/>
      <c r="H4" s="6670"/>
      <c r="I4" s="6670"/>
      <c r="J4" s="6670"/>
      <c r="K4" s="6670"/>
      <c r="L4" s="6670"/>
      <c r="M4" s="6670"/>
      <c r="N4" s="6670"/>
      <c r="O4" s="6670"/>
      <c r="P4" s="6670"/>
      <c r="Q4" s="6667"/>
      <c r="R4" s="6668"/>
      <c r="S4" s="6669"/>
    </row>
    <row r="5" spans="1:19" s="2441" customFormat="1">
      <c r="A5" s="2436" t="s">
        <v>3</v>
      </c>
      <c r="B5" s="2437" t="s">
        <v>3</v>
      </c>
      <c r="C5" s="2438" t="s">
        <v>1552</v>
      </c>
      <c r="D5" s="2439">
        <f>SUM(E5:P5)</f>
        <v>1211725</v>
      </c>
      <c r="E5" s="2439">
        <f>INT(SUM(E6,E7,E13,E20,E21,E22))</f>
        <v>52168</v>
      </c>
      <c r="F5" s="2440">
        <f t="shared" ref="F5:O5" si="0">INT(SUM(F6,F7,F13,F20,F21,F22))</f>
        <v>-8395</v>
      </c>
      <c r="G5" s="2439">
        <f t="shared" si="0"/>
        <v>49090</v>
      </c>
      <c r="H5" s="2439">
        <f t="shared" si="0"/>
        <v>19510</v>
      </c>
      <c r="I5" s="2439">
        <f t="shared" si="0"/>
        <v>32527</v>
      </c>
      <c r="J5" s="2439">
        <f t="shared" si="0"/>
        <v>694847</v>
      </c>
      <c r="K5" s="2439">
        <f t="shared" si="0"/>
        <v>58687</v>
      </c>
      <c r="L5" s="2439">
        <f t="shared" si="0"/>
        <v>33659</v>
      </c>
      <c r="M5" s="2440">
        <f t="shared" si="0"/>
        <v>23500</v>
      </c>
      <c r="N5" s="2440">
        <f t="shared" si="0"/>
        <v>32449</v>
      </c>
      <c r="O5" s="2439">
        <f t="shared" si="0"/>
        <v>198161</v>
      </c>
      <c r="P5" s="2440">
        <f>INT(SUM(P6,P7,P13,P20,P21,P22))</f>
        <v>25522</v>
      </c>
    </row>
    <row r="6" spans="1:19" s="2435" customFormat="1">
      <c r="A6" s="2442">
        <v>1</v>
      </c>
      <c r="B6" s="2443" t="s">
        <v>1312</v>
      </c>
      <c r="C6" s="2444" t="s">
        <v>1553</v>
      </c>
      <c r="D6" s="2445">
        <f>SUM(E6:P6)</f>
        <v>941000</v>
      </c>
      <c r="E6" s="2446">
        <f>34874+619+(10000)</f>
        <v>45493</v>
      </c>
      <c r="F6" s="2447">
        <v>0</v>
      </c>
      <c r="G6" s="2996">
        <f>30240+(6000)</f>
        <v>36240</v>
      </c>
      <c r="H6" s="2447">
        <v>16410</v>
      </c>
      <c r="I6" s="2447">
        <v>17902</v>
      </c>
      <c r="J6" s="2479">
        <v>517247</v>
      </c>
      <c r="K6" s="2446">
        <f>35892+(10000)</f>
        <v>45892</v>
      </c>
      <c r="L6" s="2447">
        <v>20039</v>
      </c>
      <c r="M6" s="2447"/>
      <c r="N6" s="2447">
        <v>16209</v>
      </c>
      <c r="O6" s="2447">
        <v>203111</v>
      </c>
      <c r="P6" s="2447">
        <f>18457+(4000)</f>
        <v>22457</v>
      </c>
    </row>
    <row r="7" spans="1:19" s="2435" customFormat="1">
      <c r="A7" s="2442" t="s">
        <v>1314</v>
      </c>
      <c r="B7" s="2443" t="s">
        <v>1313</v>
      </c>
      <c r="C7" s="2444" t="s">
        <v>1554</v>
      </c>
      <c r="D7" s="2445">
        <f>SUM(E7:P7)</f>
        <v>0</v>
      </c>
      <c r="E7" s="2445">
        <f>SUM(E8:E12)</f>
        <v>0</v>
      </c>
      <c r="F7" s="2445">
        <f t="shared" ref="F7:O7" si="1">SUM(F8:F12)</f>
        <v>0</v>
      </c>
      <c r="G7" s="2445">
        <f t="shared" si="1"/>
        <v>0</v>
      </c>
      <c r="H7" s="2445">
        <f t="shared" si="1"/>
        <v>0</v>
      </c>
      <c r="I7" s="2445">
        <f t="shared" si="1"/>
        <v>0</v>
      </c>
      <c r="J7" s="2445">
        <f t="shared" si="1"/>
        <v>0</v>
      </c>
      <c r="K7" s="2445">
        <f t="shared" si="1"/>
        <v>0</v>
      </c>
      <c r="L7" s="2445">
        <f t="shared" si="1"/>
        <v>0</v>
      </c>
      <c r="M7" s="2445">
        <f t="shared" si="1"/>
        <v>0</v>
      </c>
      <c r="N7" s="2445">
        <f t="shared" si="1"/>
        <v>0</v>
      </c>
      <c r="O7" s="2445">
        <f t="shared" si="1"/>
        <v>0</v>
      </c>
      <c r="P7" s="2445">
        <f>SUM(P8:P12)</f>
        <v>0</v>
      </c>
    </row>
    <row r="8" spans="1:19" s="2452" customFormat="1">
      <c r="A8" s="2448"/>
      <c r="B8" s="2449" t="s">
        <v>99</v>
      </c>
      <c r="C8" s="2450" t="s">
        <v>1555</v>
      </c>
      <c r="D8" s="2451">
        <f t="shared" ref="D8:D31" si="2">SUM(E8:P8)</f>
        <v>0</v>
      </c>
      <c r="E8" s="2451"/>
      <c r="F8" s="2451"/>
      <c r="G8" s="2451"/>
      <c r="H8" s="2451"/>
      <c r="I8" s="2451"/>
      <c r="J8" s="2451"/>
      <c r="K8" s="2451"/>
      <c r="L8" s="2451"/>
      <c r="M8" s="2451"/>
      <c r="N8" s="2451"/>
      <c r="O8" s="2451"/>
      <c r="P8" s="2451"/>
    </row>
    <row r="9" spans="1:19" s="2452" customFormat="1">
      <c r="A9" s="2448"/>
      <c r="B9" s="2449" t="s">
        <v>101</v>
      </c>
      <c r="C9" s="2453" t="s">
        <v>1556</v>
      </c>
      <c r="D9" s="2451">
        <f t="shared" si="2"/>
        <v>0</v>
      </c>
      <c r="E9" s="2451">
        <f>8796-8796</f>
        <v>0</v>
      </c>
      <c r="F9" s="2451">
        <f>6409-6409</f>
        <v>0</v>
      </c>
      <c r="G9" s="2451">
        <f>8511-8511</f>
        <v>0</v>
      </c>
      <c r="H9" s="2451">
        <f>9169-9169</f>
        <v>0</v>
      </c>
      <c r="I9" s="2451">
        <f>10215-10215</f>
        <v>0</v>
      </c>
      <c r="J9" s="2451">
        <f>12804-12804</f>
        <v>0</v>
      </c>
      <c r="K9" s="2451">
        <f>13710-13710</f>
        <v>0</v>
      </c>
      <c r="L9" s="2451">
        <f>11468-11468</f>
        <v>0</v>
      </c>
      <c r="M9" s="2451">
        <f>11760-11760</f>
        <v>0</v>
      </c>
      <c r="N9" s="2451">
        <f>10274-10274</f>
        <v>0</v>
      </c>
      <c r="O9" s="2451">
        <f>11336-11336</f>
        <v>0</v>
      </c>
      <c r="P9" s="2451">
        <f>9763-9763</f>
        <v>0</v>
      </c>
    </row>
    <row r="10" spans="1:19" s="2452" customFormat="1">
      <c r="A10" s="2448" t="s">
        <v>1313</v>
      </c>
      <c r="B10" s="2449" t="s">
        <v>147</v>
      </c>
      <c r="C10" s="2453" t="s">
        <v>1557</v>
      </c>
      <c r="D10" s="2451">
        <f t="shared" si="2"/>
        <v>0</v>
      </c>
      <c r="E10" s="2451"/>
      <c r="F10" s="2451"/>
      <c r="G10" s="2451"/>
      <c r="H10" s="2451"/>
      <c r="I10" s="2451"/>
      <c r="J10" s="2451"/>
      <c r="K10" s="2451"/>
      <c r="L10" s="2451"/>
      <c r="M10" s="2451"/>
      <c r="N10" s="2451"/>
      <c r="O10" s="2451"/>
      <c r="P10" s="2451"/>
    </row>
    <row r="11" spans="1:19" s="2452" customFormat="1" hidden="1">
      <c r="A11" s="2448"/>
      <c r="B11" s="2449" t="s">
        <v>148</v>
      </c>
      <c r="C11" s="2453" t="s">
        <v>1558</v>
      </c>
      <c r="D11" s="2451">
        <f t="shared" si="2"/>
        <v>0</v>
      </c>
      <c r="E11" s="2451"/>
      <c r="F11" s="2451"/>
      <c r="G11" s="2451"/>
      <c r="H11" s="2451"/>
      <c r="I11" s="2451"/>
      <c r="J11" s="2451"/>
      <c r="K11" s="2451"/>
      <c r="L11" s="2451"/>
      <c r="M11" s="2451"/>
      <c r="N11" s="2451"/>
      <c r="O11" s="2451"/>
      <c r="P11" s="2451"/>
    </row>
    <row r="12" spans="1:19" s="2452" customFormat="1" hidden="1">
      <c r="A12" s="2448"/>
      <c r="B12" s="2449" t="s">
        <v>149</v>
      </c>
      <c r="C12" s="2453" t="s">
        <v>1559</v>
      </c>
      <c r="D12" s="2451">
        <f t="shared" si="2"/>
        <v>0</v>
      </c>
      <c r="E12" s="2451"/>
      <c r="F12" s="2451"/>
      <c r="G12" s="2451"/>
      <c r="H12" s="2451"/>
      <c r="I12" s="2451"/>
      <c r="J12" s="2451"/>
      <c r="K12" s="2451"/>
      <c r="L12" s="2451"/>
      <c r="M12" s="2451"/>
      <c r="N12" s="2451"/>
      <c r="O12" s="2451"/>
      <c r="P12" s="2451"/>
    </row>
    <row r="13" spans="1:19" s="2455" customFormat="1" ht="16.2">
      <c r="A13" s="2454"/>
      <c r="B13" s="2443" t="s">
        <v>1314</v>
      </c>
      <c r="C13" s="2444" t="s">
        <v>1560</v>
      </c>
      <c r="D13" s="2445">
        <f>SUM(E13:P13)</f>
        <v>270725</v>
      </c>
      <c r="E13" s="2445">
        <f>SUM(E14:E19)</f>
        <v>6675</v>
      </c>
      <c r="F13" s="2445">
        <f>SUM(F14:F19)</f>
        <v>-8395</v>
      </c>
      <c r="G13" s="2445">
        <f>SUM(G14:G19)</f>
        <v>12850</v>
      </c>
      <c r="H13" s="2445">
        <f t="shared" ref="H13:N13" si="3">SUM(H14:H19)</f>
        <v>3100</v>
      </c>
      <c r="I13" s="2445">
        <f t="shared" si="3"/>
        <v>14625</v>
      </c>
      <c r="J13" s="2445">
        <f t="shared" si="3"/>
        <v>177600</v>
      </c>
      <c r="K13" s="2445">
        <f t="shared" si="3"/>
        <v>12795</v>
      </c>
      <c r="L13" s="2445">
        <f t="shared" si="3"/>
        <v>13620</v>
      </c>
      <c r="M13" s="2445">
        <f t="shared" si="3"/>
        <v>23500</v>
      </c>
      <c r="N13" s="2445">
        <f t="shared" si="3"/>
        <v>16240</v>
      </c>
      <c r="O13" s="2445">
        <f>SUM(O14:O19)</f>
        <v>-4950</v>
      </c>
      <c r="P13" s="2445">
        <f>SUM(P14:P19)</f>
        <v>3065</v>
      </c>
    </row>
    <row r="14" spans="1:19" s="2460" customFormat="1" ht="27.6">
      <c r="A14" s="2456"/>
      <c r="B14" s="2457" t="s">
        <v>99</v>
      </c>
      <c r="C14" s="2458" t="s">
        <v>1561</v>
      </c>
      <c r="D14" s="2459">
        <f>SUM(E14:P14)</f>
        <v>0</v>
      </c>
      <c r="E14" s="2459"/>
      <c r="F14" s="2459"/>
      <c r="G14" s="2459"/>
      <c r="H14" s="2459"/>
      <c r="I14" s="2459"/>
      <c r="J14" s="2459"/>
      <c r="K14" s="2459"/>
      <c r="L14" s="2459"/>
      <c r="M14" s="2459"/>
      <c r="N14" s="2459"/>
      <c r="O14" s="2459"/>
      <c r="P14" s="2459"/>
    </row>
    <row r="15" spans="1:19" s="2452" customFormat="1">
      <c r="A15" s="2448" t="s">
        <v>1315</v>
      </c>
      <c r="B15" s="2461" t="s">
        <v>101</v>
      </c>
      <c r="C15" s="2462" t="s">
        <v>1562</v>
      </c>
      <c r="D15" s="2463">
        <f t="shared" si="2"/>
        <v>0</v>
      </c>
      <c r="E15" s="2463"/>
      <c r="F15" s="2463"/>
      <c r="G15" s="2463"/>
      <c r="H15" s="2463"/>
      <c r="I15" s="2463"/>
      <c r="J15" s="2463"/>
      <c r="K15" s="2463"/>
      <c r="L15" s="2463"/>
      <c r="M15" s="2463"/>
      <c r="N15" s="2463"/>
      <c r="O15" s="2463"/>
      <c r="P15" s="2463"/>
    </row>
    <row r="16" spans="1:19">
      <c r="A16" s="2464"/>
      <c r="B16" s="2461" t="s">
        <v>147</v>
      </c>
      <c r="C16" s="2462" t="s">
        <v>1563</v>
      </c>
      <c r="D16" s="2463">
        <f t="shared" si="2"/>
        <v>0</v>
      </c>
      <c r="E16" s="2463"/>
      <c r="F16" s="2463"/>
      <c r="G16" s="2463"/>
      <c r="H16" s="2463"/>
      <c r="I16" s="2463"/>
      <c r="J16" s="2463"/>
      <c r="K16" s="2463"/>
      <c r="L16" s="2463"/>
      <c r="M16" s="2463"/>
      <c r="N16" s="2463"/>
      <c r="O16" s="2463"/>
      <c r="P16" s="2463"/>
    </row>
    <row r="17" spans="1:19">
      <c r="A17" s="2464"/>
      <c r="B17" s="2461" t="s">
        <v>148</v>
      </c>
      <c r="C17" s="2462" t="s">
        <v>1564</v>
      </c>
      <c r="D17" s="2463">
        <f>SUM(E17:P17)</f>
        <v>349365</v>
      </c>
      <c r="E17" s="2463">
        <f>'[31]Phụ lục số 5.1 Thu'!V45</f>
        <v>225</v>
      </c>
      <c r="F17" s="2463">
        <f>'[31]Phụ lục số 5.1 Thu'!AH45</f>
        <v>2465</v>
      </c>
      <c r="G17" s="2463">
        <f>'[31]Phụ lục số 5.1 Thu'!AT45</f>
        <v>11545</v>
      </c>
      <c r="H17" s="2463">
        <f>'[31]Phụ lục số 5.1 Thu'!BF45</f>
        <v>4920</v>
      </c>
      <c r="I17" s="2463">
        <f>'[31]Phụ lục số 5.1 Thu'!BR45</f>
        <v>36100</v>
      </c>
      <c r="J17" s="2463">
        <f>'[31]Phụ lục số 5.1 Thu'!CD45</f>
        <v>150625</v>
      </c>
      <c r="K17" s="2463">
        <f>'[31]Phụ lục số 5.1 Thu'!CP45</f>
        <v>27190</v>
      </c>
      <c r="L17" s="2463">
        <f>'[31]Phụ lục số 5.1 Thu'!DB45</f>
        <v>13145</v>
      </c>
      <c r="M17" s="2463">
        <f>'[31]Phụ lục số 5.1 Thu'!DN45</f>
        <v>29650</v>
      </c>
      <c r="N17" s="2463">
        <f>'[31]Phụ lục số 5.1 Thu'!DZ45</f>
        <v>415</v>
      </c>
      <c r="O17" s="2463">
        <f>'[31]Phụ lục số 5.1 Thu'!EL45</f>
        <v>47570</v>
      </c>
      <c r="P17" s="2463">
        <f>'[31]Phụ lục số 5.1 Thu'!EX45</f>
        <v>25515</v>
      </c>
    </row>
    <row r="18" spans="1:19" ht="16.2">
      <c r="A18" s="2464"/>
      <c r="B18" s="2449" t="s">
        <v>149</v>
      </c>
      <c r="C18" s="2462" t="s">
        <v>1849</v>
      </c>
      <c r="D18" s="2463">
        <f>SUM(E18:P18)</f>
        <v>-78640</v>
      </c>
      <c r="E18" s="4795">
        <f>+'Phụ lục số 7.1'!V45</f>
        <v>6450</v>
      </c>
      <c r="F18" s="2451">
        <f>+'Phụ lục số 7.1'!AH45</f>
        <v>-10860</v>
      </c>
      <c r="G18" s="2451">
        <f>+'Phụ lục số 7.1'!AT45</f>
        <v>1305</v>
      </c>
      <c r="H18" s="2451">
        <f>+'Phụ lục số 7.1'!BF45</f>
        <v>-1820</v>
      </c>
      <c r="I18" s="2451">
        <f>+'Phụ lục số 7.1'!BR45</f>
        <v>-21475</v>
      </c>
      <c r="J18" s="4795">
        <f>+'Phụ lục số 7.1'!CD45</f>
        <v>26975</v>
      </c>
      <c r="K18" s="2451">
        <f>+'Phụ lục số 7.1'!CP45</f>
        <v>-14395</v>
      </c>
      <c r="L18" s="4795">
        <f>+'Phụ lục số 7.1'!DB45</f>
        <v>475</v>
      </c>
      <c r="M18" s="2451">
        <f>+'Phụ lục số 7.1'!DN45</f>
        <v>-6150</v>
      </c>
      <c r="N18" s="4795">
        <f>+'Phụ lục số 7.1'!DZ45</f>
        <v>15825</v>
      </c>
      <c r="O18" s="2451">
        <f>+'Phụ lục số 7.1'!EL45</f>
        <v>-52520</v>
      </c>
      <c r="P18" s="2451">
        <f>+'Phụ lục số 7.1'!EX45</f>
        <v>-22450</v>
      </c>
    </row>
    <row r="19" spans="1:19" hidden="1">
      <c r="A19" s="2464"/>
      <c r="B19" s="2449"/>
      <c r="C19" s="2465"/>
      <c r="D19" s="2451"/>
      <c r="E19" s="2451"/>
      <c r="F19" s="2451"/>
      <c r="G19" s="2451"/>
      <c r="H19" s="2451"/>
      <c r="I19" s="2451"/>
      <c r="J19" s="2451"/>
      <c r="K19" s="2451"/>
      <c r="L19" s="2451"/>
      <c r="M19" s="2451"/>
      <c r="N19" s="2451"/>
      <c r="O19" s="2451"/>
      <c r="P19" s="2451"/>
    </row>
    <row r="20" spans="1:19" s="2441" customFormat="1">
      <c r="A20" s="2466"/>
      <c r="B20" s="2443" t="s">
        <v>1315</v>
      </c>
      <c r="C20" s="2444" t="s">
        <v>1565</v>
      </c>
      <c r="D20" s="2445">
        <f t="shared" si="2"/>
        <v>0</v>
      </c>
      <c r="E20" s="2445">
        <f>1344.642-1344.642</f>
        <v>0</v>
      </c>
      <c r="F20" s="2445"/>
      <c r="G20" s="2445">
        <f>1266-1266</f>
        <v>0</v>
      </c>
      <c r="H20" s="2445">
        <f>2814-2814</f>
        <v>0</v>
      </c>
      <c r="I20" s="2445">
        <f>2558-2558</f>
        <v>0</v>
      </c>
      <c r="J20" s="2467">
        <f>4428-4428</f>
        <v>0</v>
      </c>
      <c r="K20" s="2445">
        <f>2035-2035</f>
        <v>0</v>
      </c>
      <c r="L20" s="2445">
        <f>2263-2263</f>
        <v>0</v>
      </c>
      <c r="M20" s="2445">
        <f>2655-2655</f>
        <v>0</v>
      </c>
      <c r="N20" s="2445">
        <f>605-605</f>
        <v>0</v>
      </c>
      <c r="O20" s="2445">
        <f>4500-4500</f>
        <v>0</v>
      </c>
      <c r="P20" s="2445">
        <f>2662-2662</f>
        <v>0</v>
      </c>
      <c r="S20" s="2468"/>
    </row>
    <row r="21" spans="1:19" s="2435" customFormat="1">
      <c r="A21" s="2442"/>
      <c r="B21" s="2443" t="s">
        <v>1316</v>
      </c>
      <c r="C21" s="2444" t="s">
        <v>1847</v>
      </c>
      <c r="D21" s="2445">
        <f t="shared" si="2"/>
        <v>0</v>
      </c>
      <c r="E21" s="3034">
        <f>33411-33411</f>
        <v>0</v>
      </c>
      <c r="F21" s="3034">
        <f>46035-46035</f>
        <v>0</v>
      </c>
      <c r="G21" s="3034">
        <f>8966-8966</f>
        <v>0</v>
      </c>
      <c r="H21" s="3034">
        <f>30706-30706</f>
        <v>0</v>
      </c>
      <c r="I21" s="3034">
        <v>0</v>
      </c>
      <c r="J21" s="3034">
        <v>0</v>
      </c>
      <c r="K21" s="3034">
        <f>10606-10606</f>
        <v>0</v>
      </c>
      <c r="L21" s="3034">
        <f>34795-34795</f>
        <v>0</v>
      </c>
      <c r="M21" s="3034">
        <f>9628-9628</f>
        <v>0</v>
      </c>
      <c r="N21" s="3034">
        <f>50621-50621</f>
        <v>0</v>
      </c>
      <c r="O21" s="3034">
        <v>0</v>
      </c>
      <c r="P21" s="3034">
        <f>8166-8166</f>
        <v>0</v>
      </c>
      <c r="R21" s="2469"/>
    </row>
    <row r="22" spans="1:19" s="2435" customFormat="1">
      <c r="A22" s="2442"/>
      <c r="B22" s="2443" t="s">
        <v>1326</v>
      </c>
      <c r="C22" s="2470" t="s">
        <v>1566</v>
      </c>
      <c r="D22" s="2445">
        <f t="shared" si="2"/>
        <v>0</v>
      </c>
      <c r="E22" s="2471"/>
      <c r="F22" s="2471"/>
      <c r="G22" s="2471"/>
      <c r="H22" s="2471"/>
      <c r="I22" s="2471"/>
      <c r="J22" s="2471"/>
      <c r="K22" s="2471"/>
      <c r="L22" s="2471"/>
      <c r="M22" s="2471"/>
      <c r="N22" s="2471"/>
      <c r="O22" s="2471"/>
      <c r="P22" s="2471"/>
    </row>
    <row r="23" spans="1:19" s="2441" customFormat="1">
      <c r="A23" s="2466"/>
      <c r="B23" s="2472" t="s">
        <v>33</v>
      </c>
      <c r="C23" s="2473" t="s">
        <v>1567</v>
      </c>
      <c r="D23" s="2474">
        <f>SUM(E23:P23)</f>
        <v>2373294</v>
      </c>
      <c r="E23" s="2474">
        <f>(SUM(E25,E26,E27,E28))</f>
        <v>198739</v>
      </c>
      <c r="F23" s="2474">
        <f t="shared" ref="F23:O23" si="4">(SUM(F25,F26,F27,F28))</f>
        <v>133024</v>
      </c>
      <c r="G23" s="2474">
        <f t="shared" si="4"/>
        <v>163483</v>
      </c>
      <c r="H23" s="2474">
        <f t="shared" si="4"/>
        <v>171570</v>
      </c>
      <c r="I23" s="2474">
        <f t="shared" si="4"/>
        <v>237507</v>
      </c>
      <c r="J23" s="2474">
        <f t="shared" si="4"/>
        <v>215772</v>
      </c>
      <c r="K23" s="2474">
        <f t="shared" si="4"/>
        <v>258037</v>
      </c>
      <c r="L23" s="2474">
        <f t="shared" si="4"/>
        <v>213403</v>
      </c>
      <c r="M23" s="2474">
        <f t="shared" si="4"/>
        <v>225362</v>
      </c>
      <c r="N23" s="2474">
        <f t="shared" si="4"/>
        <v>207492</v>
      </c>
      <c r="O23" s="2474">
        <f t="shared" si="4"/>
        <v>157336</v>
      </c>
      <c r="P23" s="2474">
        <f>(SUM(P25,P26,P27,P28))</f>
        <v>191569</v>
      </c>
      <c r="R23" s="2468"/>
    </row>
    <row r="24" spans="1:19">
      <c r="A24" s="2464"/>
      <c r="B24" s="2475"/>
      <c r="C24" s="2476" t="s">
        <v>234</v>
      </c>
      <c r="D24" s="2477">
        <f t="shared" si="2"/>
        <v>0</v>
      </c>
      <c r="E24" s="2477"/>
      <c r="F24" s="2477"/>
      <c r="G24" s="2477"/>
      <c r="H24" s="2477"/>
      <c r="I24" s="2477"/>
      <c r="J24" s="2477"/>
      <c r="K24" s="2477"/>
      <c r="L24" s="2477"/>
      <c r="M24" s="2477"/>
      <c r="N24" s="2477"/>
      <c r="O24" s="2477"/>
      <c r="P24" s="2477"/>
    </row>
    <row r="25" spans="1:19">
      <c r="A25" s="2464"/>
      <c r="B25" s="2475" t="s">
        <v>1312</v>
      </c>
      <c r="C25" s="2478" t="s">
        <v>1568</v>
      </c>
      <c r="D25" s="2477">
        <f>SUM(E25:P25)</f>
        <v>830039</v>
      </c>
      <c r="E25" s="2477">
        <f>75636-3507-2000</f>
        <v>70129</v>
      </c>
      <c r="F25" s="2479">
        <f>53419-2897-22-2000</f>
        <v>48500</v>
      </c>
      <c r="G25" s="2477">
        <f>60144-3384</f>
        <v>56760</v>
      </c>
      <c r="H25" s="2479">
        <f>57539-300</f>
        <v>57239</v>
      </c>
      <c r="I25" s="2445">
        <f>78586-3015</f>
        <v>75571</v>
      </c>
      <c r="J25" s="2480">
        <f>76434+(15*300)</f>
        <v>80934</v>
      </c>
      <c r="K25" s="2477">
        <f>104972-8000</f>
        <v>96972</v>
      </c>
      <c r="L25" s="2477">
        <f>76495+65-920-1000</f>
        <v>74640</v>
      </c>
      <c r="M25" s="2477">
        <f>84904-5000-348-1000</f>
        <v>78556</v>
      </c>
      <c r="N25" s="2477">
        <f>79806-5000-1000</f>
        <v>73806</v>
      </c>
      <c r="O25" s="2477">
        <f>47609+461+(5*300)</f>
        <v>49570</v>
      </c>
      <c r="P25" s="2477">
        <f>75733-7371-1000</f>
        <v>67362</v>
      </c>
    </row>
    <row r="26" spans="1:19">
      <c r="A26" s="2464"/>
      <c r="B26" s="2481">
        <v>2</v>
      </c>
      <c r="C26" s="2478" t="s">
        <v>1848</v>
      </c>
      <c r="D26" s="2477">
        <f>SUM(E26:P26)</f>
        <v>1543255</v>
      </c>
      <c r="E26" s="5212">
        <f>116595+(13244)-1229</f>
        <v>128610</v>
      </c>
      <c r="F26" s="2477">
        <f>76485+(8761)-722</f>
        <v>84524</v>
      </c>
      <c r="G26" s="2477">
        <f>95886+(11801)-964</f>
        <v>106723</v>
      </c>
      <c r="H26" s="2477">
        <f>102576+(12719)-964</f>
        <v>114331</v>
      </c>
      <c r="I26" s="2477">
        <f>146100+(17063)-1227</f>
        <v>161936</v>
      </c>
      <c r="J26" s="5447">
        <f>119500+(16147)-1094+285</f>
        <v>134838</v>
      </c>
      <c r="K26" s="2477">
        <f>143311+(18877)-1123</f>
        <v>161065</v>
      </c>
      <c r="L26" s="2477">
        <f>123182+(16704)-1123</f>
        <v>138763</v>
      </c>
      <c r="M26" s="2477">
        <f>130391+(17274)-859</f>
        <v>146806</v>
      </c>
      <c r="N26" s="2477">
        <f>119171+(15372)-857</f>
        <v>133686</v>
      </c>
      <c r="O26" s="5447">
        <f>97324+(10847)-605+200</f>
        <v>107766</v>
      </c>
      <c r="P26" s="2477">
        <f>110875+(14191)-859</f>
        <v>124207</v>
      </c>
    </row>
    <row r="27" spans="1:19">
      <c r="B27" s="2481">
        <v>3</v>
      </c>
      <c r="C27" s="2478" t="s">
        <v>1850</v>
      </c>
      <c r="D27" s="2477">
        <f t="shared" si="2"/>
        <v>0</v>
      </c>
      <c r="E27" s="2477"/>
      <c r="F27" s="2477"/>
      <c r="G27" s="2477"/>
      <c r="H27" s="2477"/>
      <c r="I27" s="2477"/>
      <c r="J27" s="2477"/>
      <c r="K27" s="2477"/>
      <c r="L27" s="2477"/>
      <c r="M27" s="2477"/>
      <c r="N27" s="2477"/>
      <c r="O27" s="2477"/>
      <c r="P27" s="2477"/>
    </row>
    <row r="28" spans="1:19" hidden="1">
      <c r="B28" s="2482"/>
      <c r="C28" s="2478"/>
      <c r="D28" s="2483">
        <f>SUM(E28:P28)</f>
        <v>0</v>
      </c>
      <c r="E28" s="2484"/>
      <c r="F28" s="2484"/>
      <c r="G28" s="2484"/>
      <c r="H28" s="2484"/>
      <c r="I28" s="2484"/>
      <c r="J28" s="2484"/>
      <c r="K28" s="2484"/>
      <c r="L28" s="2484"/>
      <c r="M28" s="2484"/>
      <c r="N28" s="2484"/>
      <c r="O28" s="2484"/>
      <c r="P28" s="2484"/>
    </row>
    <row r="29" spans="1:19" hidden="1">
      <c r="B29" s="2485"/>
      <c r="C29" s="2478"/>
      <c r="D29" s="2486">
        <f>SUM(E29:P29)</f>
        <v>0</v>
      </c>
      <c r="E29" s="2487"/>
      <c r="F29" s="2487"/>
      <c r="G29" s="2487"/>
      <c r="H29" s="2487"/>
      <c r="I29" s="2487"/>
      <c r="J29" s="2487"/>
      <c r="K29" s="2487"/>
      <c r="L29" s="2487"/>
      <c r="M29" s="2487"/>
      <c r="N29" s="2487"/>
      <c r="O29" s="2487"/>
      <c r="P29" s="2487"/>
    </row>
    <row r="30" spans="1:19" hidden="1">
      <c r="B30" s="2485"/>
      <c r="C30" s="2478"/>
      <c r="D30" s="2486">
        <f>SUM(E30:P30)</f>
        <v>0</v>
      </c>
      <c r="E30" s="2488"/>
      <c r="F30" s="2488"/>
      <c r="G30" s="2488"/>
      <c r="H30" s="2488"/>
      <c r="I30" s="2488"/>
      <c r="J30" s="2488"/>
      <c r="K30" s="2488"/>
      <c r="L30" s="2488"/>
      <c r="M30" s="2488"/>
      <c r="N30" s="2488"/>
      <c r="O30" s="2488"/>
      <c r="P30" s="2488"/>
    </row>
    <row r="31" spans="1:19">
      <c r="B31" s="2472" t="s">
        <v>182</v>
      </c>
      <c r="C31" s="2489" t="s">
        <v>1569</v>
      </c>
      <c r="D31" s="2474">
        <f t="shared" si="2"/>
        <v>-1161569</v>
      </c>
      <c r="E31" s="2474">
        <f>INT(E5-E23)</f>
        <v>-146571</v>
      </c>
      <c r="F31" s="2474">
        <f t="shared" ref="F31:P31" si="5">INT(F5-F23)</f>
        <v>-141419</v>
      </c>
      <c r="G31" s="2474">
        <f t="shared" si="5"/>
        <v>-114393</v>
      </c>
      <c r="H31" s="2474">
        <f t="shared" si="5"/>
        <v>-152060</v>
      </c>
      <c r="I31" s="2474">
        <f t="shared" si="5"/>
        <v>-204980</v>
      </c>
      <c r="J31" s="2474">
        <f>INT(J5-J23)</f>
        <v>479075</v>
      </c>
      <c r="K31" s="2474">
        <f t="shared" si="5"/>
        <v>-199350</v>
      </c>
      <c r="L31" s="2474">
        <f t="shared" si="5"/>
        <v>-179744</v>
      </c>
      <c r="M31" s="2474">
        <f t="shared" si="5"/>
        <v>-201862</v>
      </c>
      <c r="N31" s="2474">
        <f t="shared" si="5"/>
        <v>-175043</v>
      </c>
      <c r="O31" s="2474">
        <f t="shared" si="5"/>
        <v>40825</v>
      </c>
      <c r="P31" s="2474">
        <f t="shared" si="5"/>
        <v>-166047</v>
      </c>
    </row>
    <row r="32" spans="1:19">
      <c r="B32" s="2475" t="s">
        <v>1312</v>
      </c>
      <c r="C32" s="2476" t="s">
        <v>1570</v>
      </c>
      <c r="D32" s="2490">
        <f>SUM(E32:P32)</f>
        <v>-1681469</v>
      </c>
      <c r="E32" s="2491">
        <f>INT(IF(E31&lt;0,E31,0))</f>
        <v>-146571</v>
      </c>
      <c r="F32" s="2490">
        <f t="shared" ref="F32:L32" si="6">INT(IF(F31&lt;0,F31,0))</f>
        <v>-141419</v>
      </c>
      <c r="G32" s="2490">
        <f t="shared" si="6"/>
        <v>-114393</v>
      </c>
      <c r="H32" s="2490">
        <f t="shared" si="6"/>
        <v>-152060</v>
      </c>
      <c r="I32" s="2490">
        <f t="shared" si="6"/>
        <v>-204980</v>
      </c>
      <c r="J32" s="2490">
        <f t="shared" si="6"/>
        <v>0</v>
      </c>
      <c r="K32" s="2490">
        <f>INT(IF(K31&lt;0,K31,0))</f>
        <v>-199350</v>
      </c>
      <c r="L32" s="2491">
        <f t="shared" si="6"/>
        <v>-179744</v>
      </c>
      <c r="M32" s="2491">
        <f>IF(M31&lt;0,M31,0)</f>
        <v>-201862</v>
      </c>
      <c r="N32" s="2491">
        <f>INT(IF(N31&lt;0,N31,0))</f>
        <v>-175043</v>
      </c>
      <c r="O32" s="2490">
        <f>INT(IF(O31&lt;0,O31,0))</f>
        <v>0</v>
      </c>
      <c r="P32" s="2490">
        <f>INT(IF(P31&lt;0,P31,0))</f>
        <v>-166047</v>
      </c>
    </row>
    <row r="33" spans="1:16">
      <c r="A33" s="2492"/>
      <c r="B33" s="2493" t="s">
        <v>1313</v>
      </c>
      <c r="C33" s="2494" t="s">
        <v>1571</v>
      </c>
      <c r="D33" s="2495">
        <f>SUM(E33:P33)</f>
        <v>519900</v>
      </c>
      <c r="E33" s="2495">
        <f>IF(E31&gt;0,E31,0)</f>
        <v>0</v>
      </c>
      <c r="F33" s="2495">
        <f>IF(F31&gt;0,F31,0)</f>
        <v>0</v>
      </c>
      <c r="G33" s="2495">
        <f>IF(G31&gt;0,G31,0)</f>
        <v>0</v>
      </c>
      <c r="H33" s="2495">
        <f t="shared" ref="H33:P33" si="7">IF(H31&gt;0,H31,0)</f>
        <v>0</v>
      </c>
      <c r="I33" s="2495">
        <f t="shared" si="7"/>
        <v>0</v>
      </c>
      <c r="J33" s="2495">
        <f>INT(IF(J31&gt;0,J31,0))</f>
        <v>479075</v>
      </c>
      <c r="K33" s="2495">
        <f t="shared" si="7"/>
        <v>0</v>
      </c>
      <c r="L33" s="2495">
        <f>IF(L31&gt;0,L31,0)</f>
        <v>0</v>
      </c>
      <c r="M33" s="2495">
        <f>INT(IF(M31&gt;0,M31,0))</f>
        <v>0</v>
      </c>
      <c r="N33" s="2495">
        <f t="shared" si="7"/>
        <v>0</v>
      </c>
      <c r="O33" s="2495">
        <f>IF(O31&gt;0,O31,0)</f>
        <v>40825</v>
      </c>
      <c r="P33" s="2495">
        <f t="shared" si="7"/>
        <v>0</v>
      </c>
    </row>
    <row r="34" spans="1:16" hidden="1">
      <c r="B34" s="2496" t="s">
        <v>215</v>
      </c>
      <c r="C34" s="2497" t="s">
        <v>1572</v>
      </c>
      <c r="D34" s="2498">
        <f>SUM(E34:P34)</f>
        <v>0</v>
      </c>
      <c r="E34" s="2498">
        <f>SUM(E35:E37)</f>
        <v>0</v>
      </c>
      <c r="F34" s="2498">
        <f>SUM(F35:F37)</f>
        <v>0</v>
      </c>
      <c r="G34" s="2498">
        <f t="shared" ref="G34:P34" si="8">SUM(G35:G37)</f>
        <v>0</v>
      </c>
      <c r="H34" s="2498">
        <f t="shared" si="8"/>
        <v>0</v>
      </c>
      <c r="I34" s="2498">
        <f t="shared" si="8"/>
        <v>0</v>
      </c>
      <c r="J34" s="2498">
        <f t="shared" si="8"/>
        <v>0</v>
      </c>
      <c r="K34" s="2498">
        <f t="shared" si="8"/>
        <v>0</v>
      </c>
      <c r="L34" s="2498">
        <f t="shared" si="8"/>
        <v>0</v>
      </c>
      <c r="M34" s="2498">
        <f t="shared" si="8"/>
        <v>0</v>
      </c>
      <c r="N34" s="2498">
        <f t="shared" si="8"/>
        <v>0</v>
      </c>
      <c r="O34" s="2498">
        <f t="shared" si="8"/>
        <v>0</v>
      </c>
      <c r="P34" s="2498">
        <f t="shared" si="8"/>
        <v>0</v>
      </c>
    </row>
    <row r="35" spans="1:16" hidden="1">
      <c r="B35" s="2475">
        <v>1</v>
      </c>
      <c r="C35" s="2476" t="s">
        <v>1573</v>
      </c>
      <c r="D35" s="2490">
        <f>SUM(E35:P35)</f>
        <v>0</v>
      </c>
      <c r="E35" s="2490"/>
      <c r="F35" s="2490"/>
      <c r="G35" s="2490"/>
      <c r="H35" s="2490"/>
      <c r="I35" s="2490"/>
      <c r="J35" s="2490"/>
      <c r="K35" s="2490"/>
      <c r="L35" s="2490"/>
      <c r="M35" s="2490"/>
      <c r="N35" s="2490"/>
      <c r="O35" s="2490"/>
      <c r="P35" s="2490"/>
    </row>
    <row r="36" spans="1:16" hidden="1">
      <c r="B36" s="2475" t="s">
        <v>1313</v>
      </c>
      <c r="C36" s="2476" t="s">
        <v>1574</v>
      </c>
      <c r="D36" s="2490">
        <f>SUM(E36:P36)</f>
        <v>0</v>
      </c>
      <c r="E36" s="2490"/>
      <c r="F36" s="2490"/>
      <c r="G36" s="2490"/>
      <c r="H36" s="2490"/>
      <c r="I36" s="2490"/>
      <c r="J36" s="2490"/>
      <c r="K36" s="2490"/>
      <c r="L36" s="2490"/>
      <c r="M36" s="2490"/>
      <c r="N36" s="2490"/>
      <c r="O36" s="2490"/>
      <c r="P36" s="2490"/>
    </row>
    <row r="37" spans="1:16" hidden="1">
      <c r="B37" s="2475" t="s">
        <v>1314</v>
      </c>
      <c r="C37" s="2476" t="s">
        <v>1575</v>
      </c>
      <c r="D37" s="2490">
        <f t="shared" ref="D37:D44" si="9">SUM(E37:P37)</f>
        <v>0</v>
      </c>
      <c r="E37" s="2490"/>
      <c r="F37" s="2490"/>
      <c r="G37" s="2490"/>
      <c r="H37" s="2490"/>
      <c r="I37" s="2490"/>
      <c r="J37" s="2490"/>
      <c r="K37" s="2490"/>
      <c r="L37" s="2490"/>
      <c r="M37" s="2490"/>
      <c r="N37" s="2490"/>
      <c r="O37" s="2490"/>
      <c r="P37" s="2490"/>
    </row>
    <row r="38" spans="1:16" s="2452" customFormat="1" hidden="1">
      <c r="B38" s="2449" t="s">
        <v>1088</v>
      </c>
      <c r="C38" s="2499" t="s">
        <v>1576</v>
      </c>
      <c r="D38" s="2500">
        <f t="shared" si="9"/>
        <v>0</v>
      </c>
      <c r="E38" s="2500"/>
      <c r="F38" s="2500"/>
      <c r="G38" s="2500"/>
      <c r="H38" s="2500"/>
      <c r="I38" s="2500"/>
      <c r="J38" s="2500"/>
      <c r="K38" s="2500"/>
      <c r="L38" s="2500"/>
      <c r="M38" s="2500"/>
      <c r="N38" s="2500"/>
      <c r="O38" s="2500"/>
      <c r="P38" s="2500"/>
    </row>
    <row r="39" spans="1:16" s="2452" customFormat="1" hidden="1">
      <c r="B39" s="2449" t="s">
        <v>1092</v>
      </c>
      <c r="C39" s="2499" t="s">
        <v>1577</v>
      </c>
      <c r="D39" s="2500">
        <f t="shared" si="9"/>
        <v>0</v>
      </c>
      <c r="E39" s="2500"/>
      <c r="F39" s="2500"/>
      <c r="G39" s="2500"/>
      <c r="H39" s="2500"/>
      <c r="I39" s="2500"/>
      <c r="J39" s="2500"/>
      <c r="K39" s="2500"/>
      <c r="L39" s="2500"/>
      <c r="M39" s="2500"/>
      <c r="N39" s="2500"/>
      <c r="O39" s="2500"/>
      <c r="P39" s="2500"/>
    </row>
    <row r="40" spans="1:16" s="2452" customFormat="1" hidden="1">
      <c r="B40" s="2449" t="s">
        <v>1098</v>
      </c>
      <c r="C40" s="2499" t="s">
        <v>1578</v>
      </c>
      <c r="D40" s="2500">
        <f t="shared" si="9"/>
        <v>0</v>
      </c>
      <c r="E40" s="2500"/>
      <c r="F40" s="2500"/>
      <c r="G40" s="2500"/>
      <c r="H40" s="2500"/>
      <c r="I40" s="2500"/>
      <c r="J40" s="2500"/>
      <c r="K40" s="2500"/>
      <c r="L40" s="2500"/>
      <c r="M40" s="2500"/>
      <c r="N40" s="2500"/>
      <c r="O40" s="2500"/>
      <c r="P40" s="2500"/>
    </row>
    <row r="41" spans="1:16" s="2452" customFormat="1" hidden="1">
      <c r="B41" s="2449" t="s">
        <v>1104</v>
      </c>
      <c r="C41" s="2499" t="s">
        <v>1579</v>
      </c>
      <c r="D41" s="2500">
        <f t="shared" si="9"/>
        <v>0</v>
      </c>
      <c r="E41" s="2500"/>
      <c r="F41" s="2500"/>
      <c r="G41" s="2500"/>
      <c r="H41" s="2500"/>
      <c r="I41" s="2500"/>
      <c r="J41" s="2500"/>
      <c r="K41" s="2500"/>
      <c r="L41" s="2500"/>
      <c r="M41" s="2500"/>
      <c r="N41" s="2500"/>
      <c r="O41" s="2500"/>
      <c r="P41" s="2500"/>
    </row>
    <row r="42" spans="1:16" s="2452" customFormat="1" hidden="1">
      <c r="B42" s="2501" t="s">
        <v>1106</v>
      </c>
      <c r="C42" s="2502" t="s">
        <v>1580</v>
      </c>
      <c r="D42" s="2503">
        <f t="shared" si="9"/>
        <v>0</v>
      </c>
      <c r="E42" s="2503"/>
      <c r="F42" s="2503"/>
      <c r="G42" s="2503"/>
      <c r="H42" s="2503"/>
      <c r="I42" s="2503"/>
      <c r="J42" s="2503"/>
      <c r="K42" s="2503"/>
      <c r="L42" s="2503"/>
      <c r="M42" s="2503"/>
      <c r="N42" s="2503"/>
      <c r="O42" s="2503"/>
      <c r="P42" s="2503"/>
    </row>
    <row r="43" spans="1:16">
      <c r="C43" s="2432" t="s">
        <v>3147</v>
      </c>
      <c r="D43" s="2477">
        <f>SUM(E43:P43)</f>
        <v>873892</v>
      </c>
      <c r="E43" s="2504">
        <f>76586-1229</f>
        <v>75357</v>
      </c>
      <c r="F43" s="2504">
        <f>46322-722</f>
        <v>45600</v>
      </c>
      <c r="G43" s="2504">
        <f>67515-964</f>
        <v>66551</v>
      </c>
      <c r="H43" s="2504">
        <f>64110-964</f>
        <v>63146</v>
      </c>
      <c r="I43" s="2504">
        <f>89521-1227</f>
        <v>88294</v>
      </c>
      <c r="J43" s="2504">
        <f>78591-1094</f>
        <v>77497</v>
      </c>
      <c r="K43" s="2504">
        <f>92115-1123</f>
        <v>90992</v>
      </c>
      <c r="L43" s="2504">
        <f>81852-1123</f>
        <v>80729</v>
      </c>
      <c r="M43" s="2504">
        <f>85178-859</f>
        <v>84319</v>
      </c>
      <c r="N43" s="2504">
        <f>76117-857</f>
        <v>75260</v>
      </c>
      <c r="O43" s="2504">
        <f>61732-605</f>
        <v>61127</v>
      </c>
      <c r="P43" s="2504">
        <f>65879-859</f>
        <v>65020</v>
      </c>
    </row>
    <row r="44" spans="1:16">
      <c r="C44" s="2432" t="s">
        <v>3148</v>
      </c>
      <c r="D44" s="2477">
        <f t="shared" si="9"/>
        <v>669363</v>
      </c>
      <c r="E44" s="2505">
        <f>+E26-E43</f>
        <v>53253</v>
      </c>
      <c r="F44" s="2505">
        <f t="shared" ref="F44:P44" si="10">+F26-F43</f>
        <v>38924</v>
      </c>
      <c r="G44" s="2505">
        <f t="shared" si="10"/>
        <v>40172</v>
      </c>
      <c r="H44" s="2505">
        <f t="shared" si="10"/>
        <v>51185</v>
      </c>
      <c r="I44" s="2505">
        <f t="shared" si="10"/>
        <v>73642</v>
      </c>
      <c r="J44" s="2505">
        <f t="shared" si="10"/>
        <v>57341</v>
      </c>
      <c r="K44" s="2505">
        <f t="shared" si="10"/>
        <v>70073</v>
      </c>
      <c r="L44" s="2505">
        <f t="shared" si="10"/>
        <v>58034</v>
      </c>
      <c r="M44" s="2505">
        <f t="shared" si="10"/>
        <v>62487</v>
      </c>
      <c r="N44" s="2505">
        <f t="shared" si="10"/>
        <v>58426</v>
      </c>
      <c r="O44" s="2505">
        <f t="shared" si="10"/>
        <v>46639</v>
      </c>
      <c r="P44" s="2505">
        <f t="shared" si="10"/>
        <v>59187</v>
      </c>
    </row>
    <row r="45" spans="1:16" s="2435" customFormat="1" hidden="1">
      <c r="C45" s="2435" t="s">
        <v>1581</v>
      </c>
      <c r="D45" s="2469"/>
    </row>
    <row r="46" spans="1:16" hidden="1">
      <c r="C46" s="2432" t="s">
        <v>1582</v>
      </c>
      <c r="D46" s="2505">
        <f>SUM(E46:P46)</f>
        <v>0</v>
      </c>
      <c r="E46" s="2505"/>
      <c r="F46" s="2505"/>
      <c r="G46" s="2505"/>
      <c r="H46" s="2505"/>
      <c r="I46" s="2505"/>
      <c r="J46" s="2505"/>
      <c r="K46" s="2505"/>
      <c r="L46" s="2505"/>
      <c r="M46" s="2505"/>
      <c r="N46" s="2505"/>
      <c r="O46" s="2505"/>
      <c r="P46" s="2505"/>
    </row>
    <row r="47" spans="1:16" hidden="1">
      <c r="C47" s="2432" t="s">
        <v>1583</v>
      </c>
      <c r="D47" s="2505">
        <f>SUM(E47:P47)</f>
        <v>0</v>
      </c>
    </row>
    <row r="48" spans="1:16" s="2435" customFormat="1" hidden="1">
      <c r="C48" s="2435" t="s">
        <v>1584</v>
      </c>
      <c r="D48" s="2469">
        <f>D46+D47</f>
        <v>0</v>
      </c>
      <c r="E48" s="2469"/>
      <c r="F48" s="2469"/>
      <c r="G48" s="2469"/>
      <c r="H48" s="2469"/>
      <c r="I48" s="2469"/>
      <c r="J48" s="2469"/>
      <c r="K48" s="2469"/>
      <c r="L48" s="2469"/>
      <c r="M48" s="2469"/>
      <c r="N48" s="2469"/>
      <c r="O48" s="2469"/>
      <c r="P48" s="2469"/>
    </row>
    <row r="49" spans="3:16" hidden="1">
      <c r="D49" s="2507">
        <f t="shared" ref="D49" si="11">D51-D54</f>
        <v>0</v>
      </c>
      <c r="E49" s="2507"/>
      <c r="F49" s="2507"/>
      <c r="G49" s="2507"/>
      <c r="H49" s="2507"/>
      <c r="I49" s="2507"/>
      <c r="J49" s="2507"/>
      <c r="K49" s="2507"/>
      <c r="L49" s="2507"/>
      <c r="M49" s="2507"/>
      <c r="N49" s="2507"/>
      <c r="O49" s="2507"/>
      <c r="P49" s="2507"/>
    </row>
    <row r="50" spans="3:16" hidden="1">
      <c r="C50" s="2435" t="s">
        <v>1585</v>
      </c>
      <c r="D50" s="2505"/>
      <c r="E50" s="2505"/>
      <c r="F50" s="2505"/>
      <c r="G50" s="2505"/>
      <c r="H50" s="2505"/>
      <c r="I50" s="2505"/>
      <c r="J50" s="2505"/>
      <c r="K50" s="2505"/>
      <c r="L50" s="2505"/>
      <c r="M50" s="2505"/>
      <c r="N50" s="2505"/>
      <c r="O50" s="2505"/>
      <c r="P50" s="2505"/>
    </row>
    <row r="51" spans="3:16" hidden="1">
      <c r="C51" s="2432" t="s">
        <v>1586</v>
      </c>
      <c r="D51" s="2469">
        <f>D54+D57+D60+D63+D66</f>
        <v>0</v>
      </c>
      <c r="E51" s="2469"/>
      <c r="F51" s="2469"/>
      <c r="G51" s="2469"/>
      <c r="H51" s="2469"/>
      <c r="I51" s="2469"/>
      <c r="J51" s="2469"/>
      <c r="K51" s="2469"/>
      <c r="L51" s="2469"/>
      <c r="M51" s="2469"/>
      <c r="N51" s="2469"/>
      <c r="O51" s="2469"/>
      <c r="P51" s="2469"/>
    </row>
    <row r="52" spans="3:16" hidden="1">
      <c r="C52" s="2432" t="s">
        <v>1587</v>
      </c>
      <c r="D52" s="2505">
        <f>D55+D58+D61+D64+D67</f>
        <v>0</v>
      </c>
      <c r="E52" s="2505"/>
      <c r="F52" s="2505"/>
      <c r="G52" s="2505"/>
      <c r="H52" s="2505"/>
      <c r="I52" s="2505"/>
      <c r="J52" s="2505"/>
      <c r="K52" s="2505"/>
      <c r="L52" s="2505"/>
      <c r="M52" s="2505"/>
      <c r="N52" s="2505"/>
      <c r="O52" s="2505"/>
      <c r="P52" s="2505"/>
    </row>
    <row r="53" spans="3:16" hidden="1">
      <c r="C53" s="2432" t="s">
        <v>1588</v>
      </c>
      <c r="D53" s="2507">
        <f>D56+D59++D62+D65+D68</f>
        <v>0</v>
      </c>
      <c r="E53" s="2507"/>
      <c r="F53" s="2507"/>
      <c r="G53" s="2507"/>
      <c r="H53" s="2507"/>
      <c r="I53" s="2507"/>
      <c r="J53" s="2507"/>
      <c r="K53" s="2507"/>
      <c r="L53" s="2507"/>
      <c r="M53" s="2507"/>
      <c r="N53" s="2507"/>
      <c r="O53" s="2507"/>
      <c r="P53" s="2507"/>
    </row>
    <row r="54" spans="3:16" s="2435" customFormat="1" hidden="1">
      <c r="C54" s="2435" t="s">
        <v>943</v>
      </c>
      <c r="D54" s="2508">
        <f>D55+D56</f>
        <v>0</v>
      </c>
      <c r="E54" s="2508"/>
      <c r="F54" s="2508"/>
      <c r="G54" s="2508"/>
      <c r="H54" s="2508"/>
      <c r="I54" s="2508"/>
      <c r="J54" s="2508"/>
      <c r="K54" s="2508"/>
      <c r="L54" s="2508"/>
      <c r="M54" s="2508"/>
      <c r="N54" s="2508"/>
      <c r="O54" s="2508"/>
      <c r="P54" s="2508"/>
    </row>
    <row r="55" spans="3:16" hidden="1">
      <c r="C55" s="2432" t="s">
        <v>1587</v>
      </c>
      <c r="D55" s="2508">
        <f>SUM(E55:P55)</f>
        <v>0</v>
      </c>
      <c r="E55" s="2509"/>
      <c r="F55" s="2509"/>
      <c r="G55" s="2509"/>
      <c r="H55" s="2509"/>
      <c r="I55" s="2509"/>
      <c r="J55" s="2509"/>
      <c r="K55" s="2509"/>
      <c r="L55" s="2509"/>
      <c r="M55" s="2509"/>
      <c r="N55" s="2509"/>
      <c r="O55" s="2509"/>
      <c r="P55" s="2509"/>
    </row>
    <row r="56" spans="3:16" hidden="1">
      <c r="C56" s="2432" t="s">
        <v>1588</v>
      </c>
      <c r="D56" s="2508">
        <f>SUM(E56:P56)</f>
        <v>0</v>
      </c>
      <c r="E56" s="2509"/>
      <c r="F56" s="2509"/>
      <c r="G56" s="2509"/>
      <c r="H56" s="2509"/>
      <c r="I56" s="2509"/>
      <c r="J56" s="2509"/>
      <c r="K56" s="2509"/>
      <c r="L56" s="2509"/>
      <c r="M56" s="2509"/>
      <c r="N56" s="2509"/>
      <c r="O56" s="2509"/>
      <c r="P56" s="2509"/>
    </row>
    <row r="57" spans="3:16" hidden="1">
      <c r="C57" s="1759" t="s">
        <v>944</v>
      </c>
      <c r="D57" s="2508">
        <f>D58+D59</f>
        <v>0</v>
      </c>
      <c r="E57" s="2508"/>
      <c r="F57" s="2508"/>
      <c r="G57" s="2508"/>
      <c r="H57" s="2508"/>
      <c r="I57" s="2508"/>
      <c r="J57" s="2508"/>
      <c r="K57" s="2508"/>
      <c r="L57" s="2508"/>
      <c r="M57" s="2508"/>
      <c r="N57" s="2508"/>
      <c r="O57" s="2508"/>
      <c r="P57" s="2508"/>
    </row>
    <row r="58" spans="3:16" hidden="1">
      <c r="C58" s="2432" t="s">
        <v>1587</v>
      </c>
      <c r="D58" s="2508">
        <f>SUM(E58:P58)</f>
        <v>0</v>
      </c>
      <c r="E58" s="2509"/>
      <c r="F58" s="2509"/>
      <c r="G58" s="2509"/>
      <c r="H58" s="2509"/>
      <c r="I58" s="2509"/>
      <c r="J58" s="2509"/>
      <c r="K58" s="2509"/>
      <c r="L58" s="2509"/>
      <c r="M58" s="2509"/>
      <c r="N58" s="2509"/>
      <c r="O58" s="2509"/>
      <c r="P58" s="2509"/>
    </row>
    <row r="59" spans="3:16" hidden="1">
      <c r="C59" s="2432" t="s">
        <v>1588</v>
      </c>
      <c r="D59" s="2508">
        <f>SUM(E59:P59)</f>
        <v>0</v>
      </c>
      <c r="E59" s="2509"/>
      <c r="F59" s="2509"/>
      <c r="G59" s="2509"/>
      <c r="H59" s="2509"/>
      <c r="I59" s="2509"/>
      <c r="J59" s="2509"/>
      <c r="K59" s="2509"/>
      <c r="L59" s="2509"/>
      <c r="M59" s="2509"/>
      <c r="N59" s="2509"/>
      <c r="O59" s="2509"/>
      <c r="P59" s="2509"/>
    </row>
    <row r="60" spans="3:16" hidden="1">
      <c r="C60" s="1759" t="s">
        <v>1589</v>
      </c>
      <c r="D60" s="2508">
        <f>SUM(D61:D62)</f>
        <v>0</v>
      </c>
      <c r="E60" s="2508"/>
      <c r="F60" s="2508"/>
      <c r="G60" s="2508"/>
      <c r="H60" s="2508"/>
      <c r="I60" s="2508"/>
      <c r="J60" s="2508"/>
      <c r="K60" s="2508"/>
      <c r="L60" s="2508"/>
      <c r="M60" s="2508"/>
      <c r="N60" s="2508"/>
      <c r="O60" s="2508"/>
      <c r="P60" s="2508"/>
    </row>
    <row r="61" spans="3:16" hidden="1">
      <c r="C61" s="2432" t="s">
        <v>1587</v>
      </c>
      <c r="D61" s="2508">
        <f>SUM(E61:P61)</f>
        <v>0</v>
      </c>
      <c r="E61" s="2509"/>
      <c r="F61" s="2509"/>
      <c r="G61" s="2509"/>
      <c r="H61" s="2509"/>
      <c r="I61" s="2509"/>
      <c r="J61" s="2509"/>
      <c r="K61" s="2509"/>
      <c r="L61" s="2509"/>
      <c r="M61" s="2509"/>
      <c r="N61" s="2509"/>
      <c r="O61" s="2509"/>
      <c r="P61" s="2509"/>
    </row>
    <row r="62" spans="3:16" hidden="1">
      <c r="C62" s="2432" t="s">
        <v>1588</v>
      </c>
      <c r="D62" s="2509"/>
      <c r="E62" s="2509"/>
      <c r="F62" s="2509"/>
      <c r="G62" s="2509"/>
      <c r="H62" s="2509"/>
      <c r="I62" s="2509"/>
      <c r="J62" s="2509"/>
      <c r="K62" s="2509"/>
      <c r="L62" s="2509"/>
      <c r="M62" s="2509"/>
      <c r="N62" s="2509"/>
      <c r="O62" s="2509"/>
      <c r="P62" s="2509"/>
    </row>
    <row r="63" spans="3:16" hidden="1">
      <c r="C63" s="1759" t="s">
        <v>1590</v>
      </c>
      <c r="D63" s="2508">
        <f>SUM(D64:D65)</f>
        <v>0</v>
      </c>
      <c r="E63" s="2508"/>
      <c r="F63" s="2508"/>
      <c r="G63" s="2508"/>
      <c r="H63" s="2508"/>
      <c r="I63" s="2508"/>
      <c r="J63" s="2508"/>
      <c r="K63" s="2508"/>
      <c r="L63" s="2508"/>
      <c r="M63" s="2508"/>
      <c r="N63" s="2508"/>
      <c r="O63" s="2508"/>
      <c r="P63" s="2508"/>
    </row>
    <row r="64" spans="3:16" hidden="1">
      <c r="C64" s="2432" t="s">
        <v>1587</v>
      </c>
      <c r="D64" s="2508">
        <f>SUM(E64:P64)</f>
        <v>0</v>
      </c>
      <c r="E64" s="2509"/>
      <c r="F64" s="2509"/>
      <c r="G64" s="2509"/>
      <c r="H64" s="2509"/>
      <c r="I64" s="2509"/>
      <c r="J64" s="2509"/>
      <c r="K64" s="2509"/>
      <c r="L64" s="2509"/>
      <c r="M64" s="2509"/>
      <c r="N64" s="2509"/>
      <c r="O64" s="2509"/>
      <c r="P64" s="2509"/>
    </row>
    <row r="65" spans="3:16" hidden="1">
      <c r="C65" s="2432" t="s">
        <v>1588</v>
      </c>
      <c r="D65" s="2508">
        <f>SUM(E65:P65)</f>
        <v>0</v>
      </c>
      <c r="E65" s="2509"/>
      <c r="F65" s="2509"/>
      <c r="G65" s="2509"/>
      <c r="H65" s="2509"/>
      <c r="I65" s="2509"/>
      <c r="J65" s="2509"/>
      <c r="K65" s="2509"/>
      <c r="L65" s="2509"/>
      <c r="M65" s="2509"/>
      <c r="N65" s="2509"/>
      <c r="O65" s="2509"/>
      <c r="P65" s="2509"/>
    </row>
    <row r="66" spans="3:16" hidden="1">
      <c r="C66" s="1759" t="s">
        <v>1591</v>
      </c>
      <c r="D66" s="2508">
        <f>SUM(D67:D68)</f>
        <v>0</v>
      </c>
      <c r="E66" s="2508"/>
      <c r="F66" s="2508"/>
      <c r="G66" s="2508"/>
      <c r="H66" s="2508"/>
      <c r="I66" s="2508"/>
      <c r="J66" s="2508"/>
      <c r="K66" s="2508"/>
      <c r="L66" s="2508"/>
      <c r="M66" s="2508"/>
      <c r="N66" s="2508"/>
      <c r="O66" s="2508"/>
      <c r="P66" s="2508"/>
    </row>
    <row r="67" spans="3:16" hidden="1">
      <c r="C67" s="2432" t="s">
        <v>1587</v>
      </c>
      <c r="D67" s="2508">
        <f>SUM(E67:P67)</f>
        <v>0</v>
      </c>
      <c r="E67" s="2509"/>
      <c r="F67" s="2509"/>
      <c r="G67" s="2509"/>
      <c r="H67" s="2509"/>
      <c r="I67" s="2509"/>
      <c r="J67" s="2509"/>
      <c r="K67" s="2509"/>
      <c r="L67" s="2509"/>
      <c r="M67" s="2509"/>
      <c r="N67" s="2509"/>
      <c r="O67" s="2509"/>
      <c r="P67" s="2509"/>
    </row>
    <row r="68" spans="3:16" hidden="1">
      <c r="C68" s="2432" t="s">
        <v>1588</v>
      </c>
    </row>
    <row r="69" spans="3:16" hidden="1">
      <c r="C69" s="1759" t="s">
        <v>955</v>
      </c>
    </row>
    <row r="70" spans="3:16" hidden="1">
      <c r="C70" s="2432" t="s">
        <v>1587</v>
      </c>
    </row>
    <row r="71" spans="3:16" hidden="1">
      <c r="C71" s="2432" t="s">
        <v>1588</v>
      </c>
    </row>
    <row r="72" spans="3:16" hidden="1">
      <c r="C72" s="1759" t="s">
        <v>1592</v>
      </c>
    </row>
    <row r="73" spans="3:16" hidden="1">
      <c r="C73" s="2432" t="s">
        <v>1587</v>
      </c>
    </row>
    <row r="74" spans="3:16" hidden="1">
      <c r="C74" s="2432" t="s">
        <v>1588</v>
      </c>
    </row>
    <row r="75" spans="3:16" hidden="1">
      <c r="C75" s="1759" t="s">
        <v>648</v>
      </c>
    </row>
    <row r="76" spans="3:16" hidden="1">
      <c r="C76" s="2432" t="s">
        <v>1587</v>
      </c>
    </row>
    <row r="77" spans="3:16" hidden="1">
      <c r="C77" s="2432" t="s">
        <v>1588</v>
      </c>
    </row>
    <row r="78" spans="3:16" hidden="1">
      <c r="C78" s="1759" t="s">
        <v>1593</v>
      </c>
    </row>
    <row r="79" spans="3:16" hidden="1">
      <c r="C79" s="2432" t="s">
        <v>1587</v>
      </c>
    </row>
    <row r="80" spans="3:16" hidden="1">
      <c r="C80" s="2432" t="s">
        <v>1588</v>
      </c>
    </row>
    <row r="81" spans="3:16" hidden="1"/>
    <row r="82" spans="3:16" hidden="1">
      <c r="C82" s="2435" t="s">
        <v>1594</v>
      </c>
      <c r="D82" s="2509">
        <f>SUM(E82:P82)</f>
        <v>0</v>
      </c>
      <c r="E82" s="2509"/>
      <c r="F82" s="2509"/>
      <c r="G82" s="2509"/>
      <c r="H82" s="2509"/>
      <c r="I82" s="2509"/>
      <c r="J82" s="2509"/>
      <c r="K82" s="2509"/>
      <c r="L82" s="2509"/>
      <c r="M82" s="2509"/>
      <c r="N82" s="2509"/>
      <c r="O82" s="2509"/>
      <c r="P82" s="2509"/>
    </row>
    <row r="83" spans="3:16" hidden="1">
      <c r="C83" s="2435" t="s">
        <v>1595</v>
      </c>
      <c r="D83" s="2509">
        <f>SUM(E83:P83)</f>
        <v>0</v>
      </c>
      <c r="E83" s="2509"/>
      <c r="F83" s="2509"/>
      <c r="G83" s="2509"/>
      <c r="H83" s="2509"/>
      <c r="I83" s="2509"/>
      <c r="J83" s="2509"/>
      <c r="K83" s="2509"/>
      <c r="L83" s="2509"/>
      <c r="M83" s="2509"/>
      <c r="N83" s="2509"/>
      <c r="O83" s="2509"/>
      <c r="P83" s="2509"/>
    </row>
    <row r="85" spans="3:16">
      <c r="D85" s="2506">
        <f>+D43+D89</f>
        <v>863965</v>
      </c>
    </row>
    <row r="86" spans="3:16">
      <c r="D86" s="5432">
        <v>1691396</v>
      </c>
      <c r="E86" s="2506"/>
    </row>
    <row r="87" spans="3:16">
      <c r="D87" s="5432">
        <f>+D86+D32</f>
        <v>9927</v>
      </c>
      <c r="E87" s="2506">
        <f>+'[36]Phụ lục số 8.2-CCTL'!$E$32</f>
        <v>-147800</v>
      </c>
      <c r="F87" s="2506">
        <f>+'[36]Phụ lục số 8.2-CCTL'!$F$32</f>
        <v>-142141</v>
      </c>
      <c r="G87" s="2506">
        <f>+'[36]Phụ lục số 8.2-CCTL'!$G$32</f>
        <v>-115357</v>
      </c>
      <c r="H87" s="2506">
        <f>+'[36]Phụ lục số 8.2-CCTL'!$H$32</f>
        <v>-153024</v>
      </c>
      <c r="I87" s="2506">
        <f>+'[36]Phụ lục số 8.2-CCTL'!$I$32</f>
        <v>-206207</v>
      </c>
      <c r="J87" s="2506">
        <f>+'[36]Phụ lục số 8.2-CCTL'!$J$32</f>
        <v>0</v>
      </c>
      <c r="K87" s="2506">
        <f>+'[36]Phụ lục số 8.2-CCTL'!$K$32</f>
        <v>-200473</v>
      </c>
      <c r="L87" s="2506">
        <f>+'[36]Phụ lục số 8.2-CCTL'!$L$32</f>
        <v>-180867</v>
      </c>
      <c r="M87" s="2506">
        <f>+'[36]Phụ lục số 8.2-CCTL'!$M$32</f>
        <v>-202721</v>
      </c>
      <c r="N87" s="2506">
        <f>+'[36]Phụ lục số 8.2-CCTL'!$N$32</f>
        <v>-175900</v>
      </c>
      <c r="O87" s="2506">
        <f>+'[36]Phụ lục số 8.2-CCTL'!$O$32</f>
        <v>0</v>
      </c>
      <c r="P87" s="2506">
        <f>+'[36]Phụ lục số 8.2-CCTL'!$P$32</f>
        <v>-166906</v>
      </c>
    </row>
    <row r="88" spans="3:16">
      <c r="D88" s="5433"/>
      <c r="J88" s="2506">
        <f>+'[36]Phụ lục số 8.2-CCTL'!$J$33</f>
        <v>478266</v>
      </c>
      <c r="O88" s="2506">
        <f>+'[36]Phụ lục số 8.2-CCTL'!$O$33</f>
        <v>40420</v>
      </c>
    </row>
    <row r="89" spans="3:16">
      <c r="D89" s="5432">
        <f>SUM(E89:P89)</f>
        <v>-9927</v>
      </c>
      <c r="E89" s="2506">
        <f>-E32+E87</f>
        <v>-1229</v>
      </c>
      <c r="F89" s="2506">
        <f t="shared" ref="F89:P89" si="12">-F32+F87</f>
        <v>-722</v>
      </c>
      <c r="G89" s="2506">
        <f t="shared" si="12"/>
        <v>-964</v>
      </c>
      <c r="H89" s="2506">
        <f t="shared" si="12"/>
        <v>-964</v>
      </c>
      <c r="I89" s="2506">
        <f t="shared" si="12"/>
        <v>-1227</v>
      </c>
      <c r="J89" s="2506">
        <f t="shared" si="12"/>
        <v>0</v>
      </c>
      <c r="K89" s="2506">
        <f t="shared" si="12"/>
        <v>-1123</v>
      </c>
      <c r="L89" s="2506">
        <f t="shared" si="12"/>
        <v>-1123</v>
      </c>
      <c r="M89" s="2506">
        <f t="shared" si="12"/>
        <v>-859</v>
      </c>
      <c r="N89" s="2506">
        <f t="shared" si="12"/>
        <v>-857</v>
      </c>
      <c r="O89" s="2506">
        <f t="shared" si="12"/>
        <v>0</v>
      </c>
      <c r="P89" s="2506">
        <f t="shared" si="12"/>
        <v>-859</v>
      </c>
    </row>
    <row r="90" spans="3:16">
      <c r="D90" s="5432">
        <f>SUM(E90:P90)</f>
        <v>1214</v>
      </c>
      <c r="J90" s="2506">
        <f>+J33-J88</f>
        <v>809</v>
      </c>
      <c r="O90" s="2506">
        <f>+O33-O88</f>
        <v>405</v>
      </c>
    </row>
    <row r="91" spans="3:16">
      <c r="D91" s="5432">
        <f>-D89+D90</f>
        <v>11141</v>
      </c>
    </row>
    <row r="92" spans="3:16">
      <c r="D92" s="5432"/>
    </row>
    <row r="93" spans="3:16">
      <c r="D93" s="5432"/>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Danh mục file'!A1" display="Số TT"/>
  </hyperlinks>
  <printOptions horizontalCentered="1"/>
  <pageMargins left="0" right="0" top="0.39370078740157483" bottom="0" header="0" footer="0"/>
  <pageSetup paperSize="9" scale="60" orientation="landscape"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rgb="FFFF0000"/>
  </sheetPr>
  <dimension ref="A1:GB35"/>
  <sheetViews>
    <sheetView zoomScale="50" zoomScaleNormal="50" workbookViewId="0">
      <pane xSplit="16" ySplit="9" topLeftCell="AH10" activePane="bottomRight" state="frozen"/>
      <selection pane="topRight" activeCell="Q1" sqref="Q1"/>
      <selection pane="bottomLeft" activeCell="A10" sqref="A10"/>
      <selection pane="bottomRight" activeCell="AP20" sqref="AP20"/>
    </sheetView>
  </sheetViews>
  <sheetFormatPr defaultColWidth="9.88671875" defaultRowHeight="18"/>
  <cols>
    <col min="1" max="1" width="6.109375" style="49" bestFit="1" customWidth="1"/>
    <col min="2" max="2" width="46.5546875" style="47" customWidth="1"/>
    <col min="3" max="184" width="14.5546875" style="47" customWidth="1"/>
    <col min="185" max="16384" width="9.88671875" style="47"/>
  </cols>
  <sheetData>
    <row r="1" spans="1:184">
      <c r="A1" s="386"/>
      <c r="B1" s="381"/>
      <c r="C1" s="381"/>
      <c r="D1" s="381"/>
      <c r="E1" s="381"/>
      <c r="F1" s="381"/>
      <c r="G1" s="381"/>
      <c r="H1" s="381"/>
      <c r="I1" s="6692"/>
      <c r="J1" s="6692"/>
      <c r="K1" s="6692"/>
      <c r="L1" s="6692"/>
      <c r="M1" s="6692"/>
      <c r="N1" s="6692"/>
      <c r="O1" s="6692"/>
      <c r="P1" s="6692"/>
    </row>
    <row r="2" spans="1:184">
      <c r="B2" s="380"/>
      <c r="C2" s="6045" t="s">
        <v>1832</v>
      </c>
      <c r="D2" s="6045"/>
      <c r="E2" s="6045"/>
      <c r="F2" s="6045"/>
      <c r="G2" s="6045"/>
      <c r="H2" s="6045"/>
      <c r="I2" s="6045"/>
      <c r="J2" s="6045"/>
      <c r="K2" s="6045"/>
      <c r="L2" s="6045"/>
      <c r="M2" s="6045"/>
      <c r="N2" s="6045"/>
      <c r="O2" s="6045"/>
      <c r="P2" s="6045"/>
      <c r="Q2" s="6045" t="s">
        <v>1596</v>
      </c>
      <c r="R2" s="6045"/>
      <c r="S2" s="6045"/>
      <c r="T2" s="6045"/>
      <c r="U2" s="6045"/>
      <c r="V2" s="6045"/>
      <c r="W2" s="6045"/>
      <c r="X2" s="6045"/>
      <c r="Y2" s="6045"/>
      <c r="Z2" s="6045"/>
      <c r="AA2" s="6045"/>
      <c r="AB2" s="6045"/>
      <c r="AC2" s="6045"/>
      <c r="AD2" s="6045"/>
      <c r="AE2" s="6045" t="s">
        <v>1596</v>
      </c>
      <c r="AF2" s="6045"/>
      <c r="AG2" s="6045"/>
      <c r="AH2" s="6045"/>
      <c r="AI2" s="6045"/>
      <c r="AJ2" s="6045"/>
      <c r="AK2" s="6045"/>
      <c r="AL2" s="6045"/>
      <c r="AM2" s="6045"/>
      <c r="AN2" s="6045"/>
      <c r="AO2" s="6045"/>
      <c r="AP2" s="6045"/>
      <c r="AQ2" s="6045"/>
      <c r="AR2" s="6045"/>
      <c r="AS2" s="6045" t="s">
        <v>1596</v>
      </c>
      <c r="AT2" s="6045"/>
      <c r="AU2" s="6045"/>
      <c r="AV2" s="6045"/>
      <c r="AW2" s="6045"/>
      <c r="AX2" s="6045"/>
      <c r="AY2" s="6045"/>
      <c r="AZ2" s="6045"/>
      <c r="BA2" s="6045"/>
      <c r="BB2" s="6045"/>
      <c r="BC2" s="6045"/>
      <c r="BD2" s="6045"/>
      <c r="BE2" s="6045"/>
      <c r="BF2" s="6045"/>
      <c r="BG2" s="6045" t="s">
        <v>1596</v>
      </c>
      <c r="BH2" s="6045"/>
      <c r="BI2" s="6045"/>
      <c r="BJ2" s="6045"/>
      <c r="BK2" s="6045"/>
      <c r="BL2" s="6045"/>
      <c r="BM2" s="6045"/>
      <c r="BN2" s="6045"/>
      <c r="BO2" s="6045"/>
      <c r="BP2" s="6045"/>
      <c r="BQ2" s="6045"/>
      <c r="BR2" s="6045"/>
      <c r="BS2" s="6045"/>
      <c r="BT2" s="6045"/>
      <c r="BU2" s="6045" t="s">
        <v>1596</v>
      </c>
      <c r="BV2" s="6045"/>
      <c r="BW2" s="6045"/>
      <c r="BX2" s="6045"/>
      <c r="BY2" s="6045"/>
      <c r="BZ2" s="6045"/>
      <c r="CA2" s="6045"/>
      <c r="CB2" s="6045"/>
      <c r="CC2" s="6045"/>
      <c r="CD2" s="6045"/>
      <c r="CE2" s="6045"/>
      <c r="CF2" s="6045"/>
      <c r="CG2" s="6045"/>
      <c r="CH2" s="6045"/>
      <c r="CI2" s="6045" t="s">
        <v>1596</v>
      </c>
      <c r="CJ2" s="6045"/>
      <c r="CK2" s="6045"/>
      <c r="CL2" s="6045"/>
      <c r="CM2" s="6045"/>
      <c r="CN2" s="6045"/>
      <c r="CO2" s="6045"/>
      <c r="CP2" s="6045"/>
      <c r="CQ2" s="6045"/>
      <c r="CR2" s="6045"/>
      <c r="CS2" s="6045"/>
      <c r="CT2" s="6045"/>
      <c r="CU2" s="6045"/>
      <c r="CV2" s="6045"/>
      <c r="CW2" s="6045" t="s">
        <v>1596</v>
      </c>
      <c r="CX2" s="6045"/>
      <c r="CY2" s="6045"/>
      <c r="CZ2" s="6045"/>
      <c r="DA2" s="6045"/>
      <c r="DB2" s="6045"/>
      <c r="DC2" s="6045"/>
      <c r="DD2" s="6045"/>
      <c r="DE2" s="6045"/>
      <c r="DF2" s="6045"/>
      <c r="DG2" s="6045"/>
      <c r="DH2" s="6045"/>
      <c r="DI2" s="6045"/>
      <c r="DJ2" s="6045"/>
      <c r="DK2" s="6045" t="s">
        <v>1596</v>
      </c>
      <c r="DL2" s="6045"/>
      <c r="DM2" s="6045"/>
      <c r="DN2" s="6045"/>
      <c r="DO2" s="6045"/>
      <c r="DP2" s="6045"/>
      <c r="DQ2" s="6045"/>
      <c r="DR2" s="6045"/>
      <c r="DS2" s="6045"/>
      <c r="DT2" s="6045"/>
      <c r="DU2" s="6045"/>
      <c r="DV2" s="6045"/>
      <c r="DW2" s="6045"/>
      <c r="DX2" s="6045"/>
      <c r="DY2" s="6045" t="s">
        <v>1596</v>
      </c>
      <c r="DZ2" s="6045"/>
      <c r="EA2" s="6045"/>
      <c r="EB2" s="6045"/>
      <c r="EC2" s="6045"/>
      <c r="ED2" s="6045"/>
      <c r="EE2" s="6045"/>
      <c r="EF2" s="6045"/>
      <c r="EG2" s="6045"/>
      <c r="EH2" s="6045"/>
      <c r="EI2" s="6045"/>
      <c r="EJ2" s="6045"/>
      <c r="EK2" s="6045"/>
      <c r="EL2" s="6045"/>
      <c r="EM2" s="6045" t="s">
        <v>1596</v>
      </c>
      <c r="EN2" s="6045"/>
      <c r="EO2" s="6045"/>
      <c r="EP2" s="6045"/>
      <c r="EQ2" s="6045"/>
      <c r="ER2" s="6045"/>
      <c r="ES2" s="6045"/>
      <c r="ET2" s="6045"/>
      <c r="EU2" s="6045"/>
      <c r="EV2" s="6045"/>
      <c r="EW2" s="6045"/>
      <c r="EX2" s="6045"/>
      <c r="EY2" s="6045"/>
      <c r="EZ2" s="6045"/>
      <c r="FA2" s="6045" t="s">
        <v>1596</v>
      </c>
      <c r="FB2" s="6045"/>
      <c r="FC2" s="6045"/>
      <c r="FD2" s="6045"/>
      <c r="FE2" s="6045"/>
      <c r="FF2" s="6045"/>
      <c r="FG2" s="6045"/>
      <c r="FH2" s="6045"/>
      <c r="FI2" s="6045"/>
      <c r="FJ2" s="6045"/>
      <c r="FK2" s="6045"/>
      <c r="FL2" s="6045"/>
      <c r="FM2" s="6045"/>
      <c r="FN2" s="6045"/>
      <c r="FO2" s="6045" t="s">
        <v>1596</v>
      </c>
      <c r="FP2" s="6045"/>
      <c r="FQ2" s="6045"/>
      <c r="FR2" s="6045"/>
      <c r="FS2" s="6045"/>
      <c r="FT2" s="6045"/>
      <c r="FU2" s="6045"/>
      <c r="FV2" s="6045"/>
      <c r="FW2" s="6045"/>
      <c r="FX2" s="6045"/>
      <c r="FY2" s="6045"/>
      <c r="FZ2" s="6045"/>
      <c r="GA2" s="6045"/>
      <c r="GB2" s="6045"/>
    </row>
    <row r="3" spans="1:184">
      <c r="B3" s="617"/>
      <c r="C3" s="6690" t="s">
        <v>1836</v>
      </c>
      <c r="D3" s="6690"/>
      <c r="E3" s="6690"/>
      <c r="F3" s="6690"/>
      <c r="G3" s="6690"/>
      <c r="H3" s="6690"/>
      <c r="I3" s="6690"/>
      <c r="J3" s="6690"/>
      <c r="K3" s="6690"/>
      <c r="L3" s="6690"/>
      <c r="M3" s="6690"/>
      <c r="N3" s="6690"/>
      <c r="O3" s="6690"/>
      <c r="P3" s="6690"/>
      <c r="Q3" s="6690" t="str">
        <f>+C3</f>
        <v>(Kèm theo Công văn số        /STC-QLNS ngày        tháng 9 năm 2024 của Sở Tài chính)</v>
      </c>
      <c r="R3" s="6690"/>
      <c r="S3" s="6690"/>
      <c r="T3" s="6690"/>
      <c r="U3" s="6690"/>
      <c r="V3" s="6690"/>
      <c r="W3" s="6690"/>
      <c r="X3" s="6690"/>
      <c r="Y3" s="6690"/>
      <c r="Z3" s="6690"/>
      <c r="AA3" s="6690"/>
      <c r="AB3" s="6690"/>
      <c r="AC3" s="6690"/>
      <c r="AD3" s="6690"/>
      <c r="AE3" s="6690" t="str">
        <f>+Q3</f>
        <v>(Kèm theo Công văn số        /STC-QLNS ngày        tháng 9 năm 2024 của Sở Tài chính)</v>
      </c>
      <c r="AF3" s="6690"/>
      <c r="AG3" s="6690"/>
      <c r="AH3" s="6690"/>
      <c r="AI3" s="6690"/>
      <c r="AJ3" s="6690"/>
      <c r="AK3" s="6690"/>
      <c r="AL3" s="6690"/>
      <c r="AM3" s="6690"/>
      <c r="AN3" s="6690"/>
      <c r="AO3" s="6690"/>
      <c r="AP3" s="6690"/>
      <c r="AQ3" s="6690"/>
      <c r="AR3" s="6690"/>
      <c r="AS3" s="6690" t="str">
        <f>+AE3</f>
        <v>(Kèm theo Công văn số        /STC-QLNS ngày        tháng 9 năm 2024 của Sở Tài chính)</v>
      </c>
      <c r="AT3" s="6690"/>
      <c r="AU3" s="6690"/>
      <c r="AV3" s="6690"/>
      <c r="AW3" s="6690"/>
      <c r="AX3" s="6690"/>
      <c r="AY3" s="6690"/>
      <c r="AZ3" s="6690"/>
      <c r="BA3" s="6690"/>
      <c r="BB3" s="6690"/>
      <c r="BC3" s="6690"/>
      <c r="BD3" s="6690"/>
      <c r="BE3" s="6690"/>
      <c r="BF3" s="6690"/>
      <c r="BG3" s="6690" t="str">
        <f>+AS3</f>
        <v>(Kèm theo Công văn số        /STC-QLNS ngày        tháng 9 năm 2024 của Sở Tài chính)</v>
      </c>
      <c r="BH3" s="6690"/>
      <c r="BI3" s="6690"/>
      <c r="BJ3" s="6690"/>
      <c r="BK3" s="6690"/>
      <c r="BL3" s="6690"/>
      <c r="BM3" s="6690"/>
      <c r="BN3" s="6690"/>
      <c r="BO3" s="6690"/>
      <c r="BP3" s="6690"/>
      <c r="BQ3" s="6690"/>
      <c r="BR3" s="6690"/>
      <c r="BS3" s="6690"/>
      <c r="BT3" s="6690"/>
      <c r="BU3" s="6691" t="str">
        <f>+BG3</f>
        <v>(Kèm theo Công văn số        /STC-QLNS ngày        tháng 9 năm 2024 của Sở Tài chính)</v>
      </c>
      <c r="BV3" s="6690"/>
      <c r="BW3" s="6690"/>
      <c r="BX3" s="6690"/>
      <c r="BY3" s="6690"/>
      <c r="BZ3" s="6690"/>
      <c r="CA3" s="6690"/>
      <c r="CB3" s="6690"/>
      <c r="CC3" s="6690"/>
      <c r="CD3" s="6690"/>
      <c r="CE3" s="6690"/>
      <c r="CF3" s="6690"/>
      <c r="CG3" s="6690"/>
      <c r="CH3" s="6690"/>
      <c r="CI3" s="6690" t="s">
        <v>1597</v>
      </c>
      <c r="CJ3" s="6690"/>
      <c r="CK3" s="6690"/>
      <c r="CL3" s="6690"/>
      <c r="CM3" s="6690"/>
      <c r="CN3" s="6690"/>
      <c r="CO3" s="6690"/>
      <c r="CP3" s="6690"/>
      <c r="CQ3" s="6690"/>
      <c r="CR3" s="6690"/>
      <c r="CS3" s="6690"/>
      <c r="CT3" s="6690"/>
      <c r="CU3" s="6690"/>
      <c r="CV3" s="6690"/>
      <c r="CW3" s="6690" t="s">
        <v>1597</v>
      </c>
      <c r="CX3" s="6690"/>
      <c r="CY3" s="6690"/>
      <c r="CZ3" s="6690"/>
      <c r="DA3" s="6690"/>
      <c r="DB3" s="6690"/>
      <c r="DC3" s="6690"/>
      <c r="DD3" s="6690"/>
      <c r="DE3" s="6690"/>
      <c r="DF3" s="6690"/>
      <c r="DG3" s="6690"/>
      <c r="DH3" s="6690"/>
      <c r="DI3" s="6690"/>
      <c r="DJ3" s="6690"/>
      <c r="DK3" s="6690" t="s">
        <v>1597</v>
      </c>
      <c r="DL3" s="6690"/>
      <c r="DM3" s="6690"/>
      <c r="DN3" s="6690"/>
      <c r="DO3" s="6690"/>
      <c r="DP3" s="6690"/>
      <c r="DQ3" s="6690"/>
      <c r="DR3" s="6690"/>
      <c r="DS3" s="6690"/>
      <c r="DT3" s="6690"/>
      <c r="DU3" s="6690"/>
      <c r="DV3" s="6690"/>
      <c r="DW3" s="6690"/>
      <c r="DX3" s="6690"/>
      <c r="DY3" s="6690" t="s">
        <v>1597</v>
      </c>
      <c r="DZ3" s="6690"/>
      <c r="EA3" s="6690"/>
      <c r="EB3" s="6690"/>
      <c r="EC3" s="6690"/>
      <c r="ED3" s="6690"/>
      <c r="EE3" s="6690"/>
      <c r="EF3" s="6690"/>
      <c r="EG3" s="6690"/>
      <c r="EH3" s="6690"/>
      <c r="EI3" s="6690"/>
      <c r="EJ3" s="6690"/>
      <c r="EK3" s="6690"/>
      <c r="EL3" s="6690"/>
      <c r="EM3" s="6690" t="s">
        <v>1597</v>
      </c>
      <c r="EN3" s="6690"/>
      <c r="EO3" s="6690"/>
      <c r="EP3" s="6690"/>
      <c r="EQ3" s="6690"/>
      <c r="ER3" s="6690"/>
      <c r="ES3" s="6690"/>
      <c r="ET3" s="6690"/>
      <c r="EU3" s="6690"/>
      <c r="EV3" s="6690"/>
      <c r="EW3" s="6690"/>
      <c r="EX3" s="6690"/>
      <c r="EY3" s="6690"/>
      <c r="EZ3" s="6690"/>
      <c r="FA3" s="6690" t="s">
        <v>1597</v>
      </c>
      <c r="FB3" s="6690"/>
      <c r="FC3" s="6690"/>
      <c r="FD3" s="6690"/>
      <c r="FE3" s="6690"/>
      <c r="FF3" s="6690"/>
      <c r="FG3" s="6690"/>
      <c r="FH3" s="6690"/>
      <c r="FI3" s="6690"/>
      <c r="FJ3" s="6690"/>
      <c r="FK3" s="6690"/>
      <c r="FL3" s="6690"/>
      <c r="FM3" s="6690"/>
      <c r="FN3" s="6690"/>
      <c r="FO3" s="6690" t="s">
        <v>1597</v>
      </c>
      <c r="FP3" s="6690"/>
      <c r="FQ3" s="6690"/>
      <c r="FR3" s="6690"/>
      <c r="FS3" s="6690"/>
      <c r="FT3" s="6690"/>
      <c r="FU3" s="6690"/>
      <c r="FV3" s="6690"/>
      <c r="FW3" s="6690"/>
      <c r="FX3" s="6690"/>
      <c r="FY3" s="6690"/>
      <c r="FZ3" s="6690"/>
      <c r="GA3" s="6690"/>
      <c r="GB3" s="6690"/>
    </row>
    <row r="4" spans="1:184">
      <c r="B4" s="617"/>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636"/>
      <c r="DB4" s="636"/>
      <c r="DC4" s="636"/>
      <c r="DD4" s="636"/>
      <c r="DE4" s="636"/>
      <c r="DF4" s="636"/>
      <c r="DG4" s="636"/>
      <c r="DH4" s="636"/>
      <c r="DI4" s="636"/>
      <c r="DJ4" s="636"/>
      <c r="DK4" s="636"/>
      <c r="DL4" s="636"/>
      <c r="DM4" s="636"/>
      <c r="DN4" s="636"/>
      <c r="DO4" s="636"/>
      <c r="DP4" s="636"/>
      <c r="DQ4" s="636"/>
      <c r="DR4" s="636"/>
      <c r="DS4" s="636"/>
      <c r="DT4" s="636"/>
      <c r="DU4" s="636"/>
      <c r="DV4" s="636"/>
      <c r="DW4" s="636"/>
      <c r="DX4" s="636"/>
      <c r="DY4" s="636"/>
      <c r="DZ4" s="636"/>
      <c r="EA4" s="636"/>
      <c r="EB4" s="636"/>
      <c r="EC4" s="636"/>
      <c r="ED4" s="636"/>
      <c r="EE4" s="636"/>
      <c r="EF4" s="636"/>
      <c r="EG4" s="636"/>
      <c r="EH4" s="636"/>
      <c r="EI4" s="636"/>
      <c r="EJ4" s="636"/>
      <c r="EK4" s="636"/>
      <c r="EL4" s="636"/>
      <c r="EM4" s="636"/>
      <c r="EN4" s="636"/>
      <c r="EO4" s="636"/>
      <c r="EP4" s="636"/>
      <c r="EQ4" s="636"/>
      <c r="ER4" s="636"/>
      <c r="ES4" s="636"/>
      <c r="ET4" s="636"/>
      <c r="EU4" s="636"/>
      <c r="EV4" s="636"/>
      <c r="EW4" s="636"/>
      <c r="EX4" s="636"/>
      <c r="EY4" s="636"/>
      <c r="EZ4" s="636"/>
      <c r="FA4" s="636"/>
      <c r="FB4" s="636"/>
      <c r="FC4" s="636"/>
      <c r="FD4" s="636"/>
      <c r="FE4" s="636"/>
      <c r="FF4" s="636"/>
      <c r="FG4" s="636"/>
      <c r="FH4" s="636"/>
      <c r="FI4" s="636"/>
      <c r="FJ4" s="636"/>
      <c r="FK4" s="636"/>
      <c r="FL4" s="636"/>
      <c r="FM4" s="636"/>
      <c r="FN4" s="636"/>
      <c r="FO4" s="636"/>
      <c r="FP4" s="636"/>
      <c r="FQ4" s="636"/>
      <c r="FR4" s="636"/>
      <c r="FS4" s="636"/>
      <c r="FT4" s="636"/>
      <c r="FU4" s="636"/>
      <c r="FV4" s="636"/>
      <c r="FW4" s="636"/>
      <c r="FX4" s="636"/>
      <c r="FY4" s="636"/>
      <c r="FZ4" s="636"/>
      <c r="GA4" s="636"/>
      <c r="GB4" s="636"/>
    </row>
    <row r="5" spans="1:184" ht="18.600000000000001" thickBot="1">
      <c r="A5" s="386"/>
      <c r="B5" s="381"/>
      <c r="C5" s="381"/>
      <c r="D5" s="381"/>
      <c r="E5" s="381"/>
      <c r="F5" s="381"/>
      <c r="G5" s="381"/>
      <c r="H5" s="381"/>
      <c r="I5" s="6689"/>
      <c r="J5" s="6689"/>
      <c r="K5" s="6689"/>
      <c r="L5" s="2510"/>
      <c r="M5" s="2510"/>
      <c r="N5" s="2511"/>
      <c r="O5" s="6688" t="s">
        <v>638</v>
      </c>
      <c r="P5" s="6688"/>
      <c r="Q5" s="381"/>
      <c r="R5" s="381"/>
      <c r="S5" s="381"/>
      <c r="T5" s="381"/>
      <c r="U5" s="381"/>
      <c r="V5" s="381"/>
      <c r="W5" s="6689"/>
      <c r="X5" s="6689"/>
      <c r="Y5" s="6689"/>
      <c r="Z5" s="2510"/>
      <c r="AA5" s="2510"/>
      <c r="AB5" s="2511"/>
      <c r="AC5" s="6688" t="s">
        <v>638</v>
      </c>
      <c r="AD5" s="6688"/>
      <c r="AE5" s="381"/>
      <c r="AF5" s="381"/>
      <c r="AG5" s="381"/>
      <c r="AH5" s="381"/>
      <c r="AI5" s="381"/>
      <c r="AJ5" s="381"/>
      <c r="AK5" s="6689"/>
      <c r="AL5" s="6689"/>
      <c r="AM5" s="6689"/>
      <c r="AN5" s="2510"/>
      <c r="AO5" s="2510"/>
      <c r="AP5" s="2511"/>
      <c r="AQ5" s="6688" t="s">
        <v>638</v>
      </c>
      <c r="AR5" s="6688"/>
      <c r="AS5" s="381"/>
      <c r="AT5" s="381"/>
      <c r="AU5" s="381"/>
      <c r="AV5" s="381"/>
      <c r="AW5" s="381"/>
      <c r="AX5" s="381"/>
      <c r="AY5" s="6689"/>
      <c r="AZ5" s="6689"/>
      <c r="BA5" s="6689"/>
      <c r="BB5" s="2510"/>
      <c r="BC5" s="2510"/>
      <c r="BD5" s="2511"/>
      <c r="BE5" s="6688" t="s">
        <v>638</v>
      </c>
      <c r="BF5" s="6688"/>
      <c r="BG5" s="381"/>
      <c r="BH5" s="381"/>
      <c r="BI5" s="381"/>
      <c r="BJ5" s="381"/>
      <c r="BK5" s="381"/>
      <c r="BL5" s="381"/>
      <c r="BM5" s="6689"/>
      <c r="BN5" s="6689"/>
      <c r="BO5" s="6689"/>
      <c r="BP5" s="2510"/>
      <c r="BQ5" s="2510"/>
      <c r="BR5" s="2511"/>
      <c r="BS5" s="6688" t="s">
        <v>638</v>
      </c>
      <c r="BT5" s="6688"/>
      <c r="BU5" s="381"/>
      <c r="BV5" s="381"/>
      <c r="BW5" s="381"/>
      <c r="BX5" s="381"/>
      <c r="BY5" s="381"/>
      <c r="BZ5" s="381"/>
      <c r="CA5" s="6689"/>
      <c r="CB5" s="6689"/>
      <c r="CC5" s="6689"/>
      <c r="CD5" s="2510"/>
      <c r="CE5" s="2510"/>
      <c r="CF5" s="2511"/>
      <c r="CG5" s="6688" t="s">
        <v>638</v>
      </c>
      <c r="CH5" s="6688"/>
      <c r="CI5" s="381"/>
      <c r="CJ5" s="381"/>
      <c r="CK5" s="381"/>
      <c r="CL5" s="381"/>
      <c r="CM5" s="381"/>
      <c r="CN5" s="381"/>
      <c r="CO5" s="6689"/>
      <c r="CP5" s="6689"/>
      <c r="CQ5" s="6689"/>
      <c r="CR5" s="2510"/>
      <c r="CS5" s="2510"/>
      <c r="CT5" s="2511"/>
      <c r="CU5" s="6688" t="s">
        <v>638</v>
      </c>
      <c r="CV5" s="6688"/>
      <c r="CW5" s="381"/>
      <c r="CX5" s="381"/>
      <c r="CY5" s="381"/>
      <c r="CZ5" s="381"/>
      <c r="DA5" s="381"/>
      <c r="DB5" s="381"/>
      <c r="DC5" s="6689"/>
      <c r="DD5" s="6689"/>
      <c r="DE5" s="6689"/>
      <c r="DF5" s="2510"/>
      <c r="DG5" s="2510"/>
      <c r="DH5" s="2511"/>
      <c r="DI5" s="6688" t="s">
        <v>638</v>
      </c>
      <c r="DJ5" s="6688"/>
      <c r="DK5" s="381"/>
      <c r="DL5" s="381"/>
      <c r="DM5" s="381"/>
      <c r="DN5" s="381"/>
      <c r="DO5" s="381"/>
      <c r="DP5" s="381"/>
      <c r="DQ5" s="6689"/>
      <c r="DR5" s="6689"/>
      <c r="DS5" s="6689"/>
      <c r="DT5" s="2510"/>
      <c r="DU5" s="2510"/>
      <c r="DV5" s="2511"/>
      <c r="DW5" s="6688" t="s">
        <v>638</v>
      </c>
      <c r="DX5" s="6688"/>
      <c r="DY5" s="381"/>
      <c r="DZ5" s="381"/>
      <c r="EA5" s="381"/>
      <c r="EB5" s="381"/>
      <c r="EC5" s="381"/>
      <c r="ED5" s="381"/>
      <c r="EE5" s="6689"/>
      <c r="EF5" s="6689"/>
      <c r="EG5" s="6689"/>
      <c r="EH5" s="2510"/>
      <c r="EI5" s="2510"/>
      <c r="EJ5" s="2511"/>
      <c r="EK5" s="6688" t="s">
        <v>638</v>
      </c>
      <c r="EL5" s="6688"/>
      <c r="EM5" s="381"/>
      <c r="EN5" s="381"/>
      <c r="EO5" s="381"/>
      <c r="EP5" s="381"/>
      <c r="EQ5" s="381"/>
      <c r="ER5" s="381"/>
      <c r="ES5" s="6689"/>
      <c r="ET5" s="6689"/>
      <c r="EU5" s="6689"/>
      <c r="EV5" s="2510"/>
      <c r="EW5" s="2510"/>
      <c r="EX5" s="2511"/>
      <c r="EY5" s="6688" t="s">
        <v>638</v>
      </c>
      <c r="EZ5" s="6688"/>
      <c r="FA5" s="381"/>
      <c r="FB5" s="381"/>
      <c r="FC5" s="381"/>
      <c r="FD5" s="381"/>
      <c r="FE5" s="381"/>
      <c r="FF5" s="381"/>
      <c r="FG5" s="6689"/>
      <c r="FH5" s="6689"/>
      <c r="FI5" s="6689"/>
      <c r="FJ5" s="2510"/>
      <c r="FK5" s="2510"/>
      <c r="FL5" s="2511"/>
      <c r="FM5" s="6688" t="s">
        <v>638</v>
      </c>
      <c r="FN5" s="6688"/>
      <c r="FO5" s="381"/>
      <c r="FP5" s="381"/>
      <c r="FQ5" s="381"/>
      <c r="FR5" s="381"/>
      <c r="FS5" s="381"/>
      <c r="FT5" s="381"/>
      <c r="FU5" s="6689"/>
      <c r="FV5" s="6689"/>
      <c r="FW5" s="6689"/>
      <c r="FX5" s="2510"/>
      <c r="FY5" s="2510"/>
      <c r="FZ5" s="2511"/>
      <c r="GA5" s="6688" t="s">
        <v>638</v>
      </c>
      <c r="GB5" s="6688"/>
    </row>
    <row r="6" spans="1:184" s="49" customFormat="1" ht="17.399999999999999">
      <c r="A6" s="6684" t="s">
        <v>247</v>
      </c>
      <c r="B6" s="6686" t="s">
        <v>983</v>
      </c>
      <c r="C6" s="6687" t="s">
        <v>1598</v>
      </c>
      <c r="D6" s="6682"/>
      <c r="E6" s="6682"/>
      <c r="F6" s="6682"/>
      <c r="G6" s="6682"/>
      <c r="H6" s="6682"/>
      <c r="I6" s="6682"/>
      <c r="J6" s="6682"/>
      <c r="K6" s="6682"/>
      <c r="L6" s="6682"/>
      <c r="M6" s="6682"/>
      <c r="N6" s="6682"/>
      <c r="O6" s="6682"/>
      <c r="P6" s="6683"/>
      <c r="Q6" s="6681" t="s">
        <v>1487</v>
      </c>
      <c r="R6" s="6682"/>
      <c r="S6" s="6682"/>
      <c r="T6" s="6682"/>
      <c r="U6" s="6682"/>
      <c r="V6" s="6682"/>
      <c r="W6" s="6682"/>
      <c r="X6" s="6682"/>
      <c r="Y6" s="6682"/>
      <c r="Z6" s="6682"/>
      <c r="AA6" s="6682"/>
      <c r="AB6" s="6682"/>
      <c r="AC6" s="6682"/>
      <c r="AD6" s="6683"/>
      <c r="AE6" s="6681" t="s">
        <v>1488</v>
      </c>
      <c r="AF6" s="6682"/>
      <c r="AG6" s="6682"/>
      <c r="AH6" s="6682"/>
      <c r="AI6" s="6682"/>
      <c r="AJ6" s="6682"/>
      <c r="AK6" s="6682"/>
      <c r="AL6" s="6682"/>
      <c r="AM6" s="6682"/>
      <c r="AN6" s="6682"/>
      <c r="AO6" s="6682"/>
      <c r="AP6" s="6682"/>
      <c r="AQ6" s="6682"/>
      <c r="AR6" s="6683"/>
      <c r="AS6" s="6681" t="s">
        <v>1489</v>
      </c>
      <c r="AT6" s="6682"/>
      <c r="AU6" s="6682"/>
      <c r="AV6" s="6682"/>
      <c r="AW6" s="6682"/>
      <c r="AX6" s="6682"/>
      <c r="AY6" s="6682"/>
      <c r="AZ6" s="6682"/>
      <c r="BA6" s="6682"/>
      <c r="BB6" s="6682"/>
      <c r="BC6" s="6682"/>
      <c r="BD6" s="6682"/>
      <c r="BE6" s="6682"/>
      <c r="BF6" s="6683"/>
      <c r="BG6" s="6681" t="s">
        <v>1490</v>
      </c>
      <c r="BH6" s="6682"/>
      <c r="BI6" s="6682"/>
      <c r="BJ6" s="6682"/>
      <c r="BK6" s="6682"/>
      <c r="BL6" s="6682"/>
      <c r="BM6" s="6682"/>
      <c r="BN6" s="6682"/>
      <c r="BO6" s="6682"/>
      <c r="BP6" s="6682"/>
      <c r="BQ6" s="6682"/>
      <c r="BR6" s="6682"/>
      <c r="BS6" s="6682"/>
      <c r="BT6" s="6683"/>
      <c r="BU6" s="6681" t="s">
        <v>1491</v>
      </c>
      <c r="BV6" s="6682"/>
      <c r="BW6" s="6682"/>
      <c r="BX6" s="6682"/>
      <c r="BY6" s="6682"/>
      <c r="BZ6" s="6682"/>
      <c r="CA6" s="6682"/>
      <c r="CB6" s="6682"/>
      <c r="CC6" s="6682"/>
      <c r="CD6" s="6682"/>
      <c r="CE6" s="6682"/>
      <c r="CF6" s="6682"/>
      <c r="CG6" s="6682"/>
      <c r="CH6" s="6683"/>
      <c r="CI6" s="6681" t="s">
        <v>1492</v>
      </c>
      <c r="CJ6" s="6682"/>
      <c r="CK6" s="6682"/>
      <c r="CL6" s="6682"/>
      <c r="CM6" s="6682"/>
      <c r="CN6" s="6682"/>
      <c r="CO6" s="6682"/>
      <c r="CP6" s="6682"/>
      <c r="CQ6" s="6682"/>
      <c r="CR6" s="6682"/>
      <c r="CS6" s="6682"/>
      <c r="CT6" s="6682"/>
      <c r="CU6" s="6682"/>
      <c r="CV6" s="6683"/>
      <c r="CW6" s="6681" t="s">
        <v>1493</v>
      </c>
      <c r="CX6" s="6682"/>
      <c r="CY6" s="6682"/>
      <c r="CZ6" s="6682"/>
      <c r="DA6" s="6682"/>
      <c r="DB6" s="6682"/>
      <c r="DC6" s="6682"/>
      <c r="DD6" s="6682"/>
      <c r="DE6" s="6682"/>
      <c r="DF6" s="6682"/>
      <c r="DG6" s="6682"/>
      <c r="DH6" s="6682"/>
      <c r="DI6" s="6682"/>
      <c r="DJ6" s="6683"/>
      <c r="DK6" s="6681" t="s">
        <v>1494</v>
      </c>
      <c r="DL6" s="6682"/>
      <c r="DM6" s="6682"/>
      <c r="DN6" s="6682"/>
      <c r="DO6" s="6682"/>
      <c r="DP6" s="6682"/>
      <c r="DQ6" s="6682"/>
      <c r="DR6" s="6682"/>
      <c r="DS6" s="6682"/>
      <c r="DT6" s="6682"/>
      <c r="DU6" s="6682"/>
      <c r="DV6" s="6682"/>
      <c r="DW6" s="6682"/>
      <c r="DX6" s="6683"/>
      <c r="DY6" s="6681" t="s">
        <v>1495</v>
      </c>
      <c r="DZ6" s="6682"/>
      <c r="EA6" s="6682"/>
      <c r="EB6" s="6682"/>
      <c r="EC6" s="6682"/>
      <c r="ED6" s="6682"/>
      <c r="EE6" s="6682"/>
      <c r="EF6" s="6682"/>
      <c r="EG6" s="6682"/>
      <c r="EH6" s="6682"/>
      <c r="EI6" s="6682"/>
      <c r="EJ6" s="6682"/>
      <c r="EK6" s="6682"/>
      <c r="EL6" s="6683"/>
      <c r="EM6" s="6681" t="s">
        <v>1496</v>
      </c>
      <c r="EN6" s="6682"/>
      <c r="EO6" s="6682"/>
      <c r="EP6" s="6682"/>
      <c r="EQ6" s="6682"/>
      <c r="ER6" s="6682"/>
      <c r="ES6" s="6682"/>
      <c r="ET6" s="6682"/>
      <c r="EU6" s="6682"/>
      <c r="EV6" s="6682"/>
      <c r="EW6" s="6682"/>
      <c r="EX6" s="6682"/>
      <c r="EY6" s="6682"/>
      <c r="EZ6" s="6683"/>
      <c r="FA6" s="6681" t="s">
        <v>1497</v>
      </c>
      <c r="FB6" s="6682"/>
      <c r="FC6" s="6682"/>
      <c r="FD6" s="6682"/>
      <c r="FE6" s="6682"/>
      <c r="FF6" s="6682"/>
      <c r="FG6" s="6682"/>
      <c r="FH6" s="6682"/>
      <c r="FI6" s="6682"/>
      <c r="FJ6" s="6682"/>
      <c r="FK6" s="6682"/>
      <c r="FL6" s="6682"/>
      <c r="FM6" s="6682"/>
      <c r="FN6" s="6683"/>
      <c r="FO6" s="6681" t="s">
        <v>1599</v>
      </c>
      <c r="FP6" s="6682"/>
      <c r="FQ6" s="6682"/>
      <c r="FR6" s="6682"/>
      <c r="FS6" s="6682"/>
      <c r="FT6" s="6682"/>
      <c r="FU6" s="6682"/>
      <c r="FV6" s="6682"/>
      <c r="FW6" s="6682"/>
      <c r="FX6" s="6682"/>
      <c r="FY6" s="6682"/>
      <c r="FZ6" s="6682"/>
      <c r="GA6" s="6682"/>
      <c r="GB6" s="6683"/>
    </row>
    <row r="7" spans="1:184">
      <c r="A7" s="6685"/>
      <c r="B7" s="6513"/>
      <c r="C7" s="6513" t="s">
        <v>1780</v>
      </c>
      <c r="D7" s="6513"/>
      <c r="E7" s="6513"/>
      <c r="F7" s="6513"/>
      <c r="G7" s="6513" t="s">
        <v>1784</v>
      </c>
      <c r="H7" s="6513"/>
      <c r="I7" s="6513"/>
      <c r="J7" s="6513"/>
      <c r="K7" s="6513"/>
      <c r="L7" s="6678" t="s">
        <v>1785</v>
      </c>
      <c r="M7" s="6679"/>
      <c r="N7" s="6679"/>
      <c r="O7" s="6679"/>
      <c r="P7" s="6680"/>
      <c r="Q7" s="6677" t="str">
        <f>+C7</f>
        <v>Thực hiện năm 2023
(xác định theo mức chuẩn nghèo mới)</v>
      </c>
      <c r="R7" s="6513"/>
      <c r="S7" s="6513"/>
      <c r="T7" s="6513"/>
      <c r="U7" s="6513" t="str">
        <f>+G7</f>
        <v>Dự kiến thực hiện năm 2024
(xác định theo mức chuẩn nghèo mới)</v>
      </c>
      <c r="V7" s="6513"/>
      <c r="W7" s="6513"/>
      <c r="X7" s="6513"/>
      <c r="Y7" s="6513"/>
      <c r="Z7" s="6678" t="str">
        <f>+L7</f>
        <v>Dự kiến năm 2025</v>
      </c>
      <c r="AA7" s="6679"/>
      <c r="AB7" s="6679"/>
      <c r="AC7" s="6679"/>
      <c r="AD7" s="6680"/>
      <c r="AE7" s="6677" t="str">
        <f>+Q7</f>
        <v>Thực hiện năm 2023
(xác định theo mức chuẩn nghèo mới)</v>
      </c>
      <c r="AF7" s="6513"/>
      <c r="AG7" s="6513"/>
      <c r="AH7" s="6513"/>
      <c r="AI7" s="6513" t="str">
        <f>+U7</f>
        <v>Dự kiến thực hiện năm 2024
(xác định theo mức chuẩn nghèo mới)</v>
      </c>
      <c r="AJ7" s="6513"/>
      <c r="AK7" s="6513"/>
      <c r="AL7" s="6513"/>
      <c r="AM7" s="6513"/>
      <c r="AN7" s="6678" t="str">
        <f>+Z7</f>
        <v>Dự kiến năm 2025</v>
      </c>
      <c r="AO7" s="6679"/>
      <c r="AP7" s="6679"/>
      <c r="AQ7" s="6679"/>
      <c r="AR7" s="6680"/>
      <c r="AS7" s="6677" t="str">
        <f>+AE7</f>
        <v>Thực hiện năm 2023
(xác định theo mức chuẩn nghèo mới)</v>
      </c>
      <c r="AT7" s="6513"/>
      <c r="AU7" s="6513"/>
      <c r="AV7" s="6513"/>
      <c r="AW7" s="6513" t="str">
        <f>+AI7</f>
        <v>Dự kiến thực hiện năm 2024
(xác định theo mức chuẩn nghèo mới)</v>
      </c>
      <c r="AX7" s="6513"/>
      <c r="AY7" s="6513"/>
      <c r="AZ7" s="6513"/>
      <c r="BA7" s="6513"/>
      <c r="BB7" s="6678" t="str">
        <f>+AN7</f>
        <v>Dự kiến năm 2025</v>
      </c>
      <c r="BC7" s="6679"/>
      <c r="BD7" s="6679"/>
      <c r="BE7" s="6679"/>
      <c r="BF7" s="6680"/>
      <c r="BG7" s="6677" t="str">
        <f>+AS7</f>
        <v>Thực hiện năm 2023
(xác định theo mức chuẩn nghèo mới)</v>
      </c>
      <c r="BH7" s="6513"/>
      <c r="BI7" s="6513"/>
      <c r="BJ7" s="6513"/>
      <c r="BK7" s="6513" t="str">
        <f>+AW7</f>
        <v>Dự kiến thực hiện năm 2024
(xác định theo mức chuẩn nghèo mới)</v>
      </c>
      <c r="BL7" s="6513"/>
      <c r="BM7" s="6513"/>
      <c r="BN7" s="6513"/>
      <c r="BO7" s="6513"/>
      <c r="BP7" s="6678" t="str">
        <f>+BB7</f>
        <v>Dự kiến năm 2025</v>
      </c>
      <c r="BQ7" s="6679"/>
      <c r="BR7" s="6679"/>
      <c r="BS7" s="6679"/>
      <c r="BT7" s="6680"/>
      <c r="BU7" s="6677" t="str">
        <f>+BG7</f>
        <v>Thực hiện năm 2023
(xác định theo mức chuẩn nghèo mới)</v>
      </c>
      <c r="BV7" s="6513"/>
      <c r="BW7" s="6513"/>
      <c r="BX7" s="6513"/>
      <c r="BY7" s="6513" t="str">
        <f>+BK7</f>
        <v>Dự kiến thực hiện năm 2024
(xác định theo mức chuẩn nghèo mới)</v>
      </c>
      <c r="BZ7" s="6513"/>
      <c r="CA7" s="6513"/>
      <c r="CB7" s="6513"/>
      <c r="CC7" s="6513"/>
      <c r="CD7" s="6678" t="str">
        <f>+BP7</f>
        <v>Dự kiến năm 2025</v>
      </c>
      <c r="CE7" s="6679"/>
      <c r="CF7" s="6679"/>
      <c r="CG7" s="6679"/>
      <c r="CH7" s="6680"/>
      <c r="CI7" s="6677" t="str">
        <f>+BU7</f>
        <v>Thực hiện năm 2023
(xác định theo mức chuẩn nghèo mới)</v>
      </c>
      <c r="CJ7" s="6513"/>
      <c r="CK7" s="6513"/>
      <c r="CL7" s="6513"/>
      <c r="CM7" s="6513" t="str">
        <f>+BY7</f>
        <v>Dự kiến thực hiện năm 2024
(xác định theo mức chuẩn nghèo mới)</v>
      </c>
      <c r="CN7" s="6513"/>
      <c r="CO7" s="6513"/>
      <c r="CP7" s="6513"/>
      <c r="CQ7" s="6513"/>
      <c r="CR7" s="6678" t="str">
        <f>+CD7</f>
        <v>Dự kiến năm 2025</v>
      </c>
      <c r="CS7" s="6679"/>
      <c r="CT7" s="6679"/>
      <c r="CU7" s="6679"/>
      <c r="CV7" s="6680"/>
      <c r="CW7" s="6677" t="str">
        <f>+CI7</f>
        <v>Thực hiện năm 2023
(xác định theo mức chuẩn nghèo mới)</v>
      </c>
      <c r="CX7" s="6513"/>
      <c r="CY7" s="6513"/>
      <c r="CZ7" s="6513"/>
      <c r="DA7" s="6513" t="str">
        <f>+CM7</f>
        <v>Dự kiến thực hiện năm 2024
(xác định theo mức chuẩn nghèo mới)</v>
      </c>
      <c r="DB7" s="6513"/>
      <c r="DC7" s="6513"/>
      <c r="DD7" s="6513"/>
      <c r="DE7" s="6513"/>
      <c r="DF7" s="6678" t="str">
        <f>+CR7</f>
        <v>Dự kiến năm 2025</v>
      </c>
      <c r="DG7" s="6679"/>
      <c r="DH7" s="6679"/>
      <c r="DI7" s="6679"/>
      <c r="DJ7" s="6680"/>
      <c r="DK7" s="6677" t="str">
        <f>+CW7</f>
        <v>Thực hiện năm 2023
(xác định theo mức chuẩn nghèo mới)</v>
      </c>
      <c r="DL7" s="6513"/>
      <c r="DM7" s="6513"/>
      <c r="DN7" s="6513"/>
      <c r="DO7" s="6513" t="str">
        <f>+DA7</f>
        <v>Dự kiến thực hiện năm 2024
(xác định theo mức chuẩn nghèo mới)</v>
      </c>
      <c r="DP7" s="6513"/>
      <c r="DQ7" s="6513"/>
      <c r="DR7" s="6513"/>
      <c r="DS7" s="6513"/>
      <c r="DT7" s="6678" t="str">
        <f>+DF7</f>
        <v>Dự kiến năm 2025</v>
      </c>
      <c r="DU7" s="6679"/>
      <c r="DV7" s="6679"/>
      <c r="DW7" s="6679"/>
      <c r="DX7" s="6680"/>
      <c r="DY7" s="6677" t="str">
        <f>+DK7</f>
        <v>Thực hiện năm 2023
(xác định theo mức chuẩn nghèo mới)</v>
      </c>
      <c r="DZ7" s="6513"/>
      <c r="EA7" s="6513"/>
      <c r="EB7" s="6513"/>
      <c r="EC7" s="6513" t="str">
        <f>+DO7</f>
        <v>Dự kiến thực hiện năm 2024
(xác định theo mức chuẩn nghèo mới)</v>
      </c>
      <c r="ED7" s="6513"/>
      <c r="EE7" s="6513"/>
      <c r="EF7" s="6513"/>
      <c r="EG7" s="6513"/>
      <c r="EH7" s="6678" t="str">
        <f>+DT7</f>
        <v>Dự kiến năm 2025</v>
      </c>
      <c r="EI7" s="6679"/>
      <c r="EJ7" s="6679"/>
      <c r="EK7" s="6679"/>
      <c r="EL7" s="6680"/>
      <c r="EM7" s="6677" t="str">
        <f>+DY7</f>
        <v>Thực hiện năm 2023
(xác định theo mức chuẩn nghèo mới)</v>
      </c>
      <c r="EN7" s="6513"/>
      <c r="EO7" s="6513"/>
      <c r="EP7" s="6513"/>
      <c r="EQ7" s="6513" t="str">
        <f>+EC7</f>
        <v>Dự kiến thực hiện năm 2024
(xác định theo mức chuẩn nghèo mới)</v>
      </c>
      <c r="ER7" s="6513"/>
      <c r="ES7" s="6513"/>
      <c r="ET7" s="6513"/>
      <c r="EU7" s="6513"/>
      <c r="EV7" s="6678" t="str">
        <f>+EH7</f>
        <v>Dự kiến năm 2025</v>
      </c>
      <c r="EW7" s="6679"/>
      <c r="EX7" s="6679"/>
      <c r="EY7" s="6679"/>
      <c r="EZ7" s="6680"/>
      <c r="FA7" s="6677" t="str">
        <f>+EM7</f>
        <v>Thực hiện năm 2023
(xác định theo mức chuẩn nghèo mới)</v>
      </c>
      <c r="FB7" s="6513"/>
      <c r="FC7" s="6513"/>
      <c r="FD7" s="6513"/>
      <c r="FE7" s="6513" t="str">
        <f>+EQ7</f>
        <v>Dự kiến thực hiện năm 2024
(xác định theo mức chuẩn nghèo mới)</v>
      </c>
      <c r="FF7" s="6513"/>
      <c r="FG7" s="6513"/>
      <c r="FH7" s="6513"/>
      <c r="FI7" s="6513"/>
      <c r="FJ7" s="6678" t="str">
        <f>+EV7</f>
        <v>Dự kiến năm 2025</v>
      </c>
      <c r="FK7" s="6679"/>
      <c r="FL7" s="6679"/>
      <c r="FM7" s="6679"/>
      <c r="FN7" s="6680"/>
      <c r="FO7" s="6677" t="str">
        <f>+FA7</f>
        <v>Thực hiện năm 2023
(xác định theo mức chuẩn nghèo mới)</v>
      </c>
      <c r="FP7" s="6513"/>
      <c r="FQ7" s="6513"/>
      <c r="FR7" s="6513"/>
      <c r="FS7" s="6513" t="str">
        <f>+FE7</f>
        <v>Dự kiến thực hiện năm 2024
(xác định theo mức chuẩn nghèo mới)</v>
      </c>
      <c r="FT7" s="6513"/>
      <c r="FU7" s="6513"/>
      <c r="FV7" s="6513"/>
      <c r="FW7" s="6513"/>
      <c r="FX7" s="6678" t="str">
        <f>+FJ7</f>
        <v>Dự kiến năm 2025</v>
      </c>
      <c r="FY7" s="6679"/>
      <c r="FZ7" s="6679"/>
      <c r="GA7" s="6679"/>
      <c r="GB7" s="6680"/>
    </row>
    <row r="8" spans="1:184" s="49" customFormat="1" ht="139.19999999999999">
      <c r="A8" s="6685"/>
      <c r="B8" s="6513"/>
      <c r="C8" s="2512" t="s">
        <v>1600</v>
      </c>
      <c r="D8" s="2512" t="s">
        <v>1209</v>
      </c>
      <c r="E8" s="2512" t="s">
        <v>1601</v>
      </c>
      <c r="F8" s="2512" t="s">
        <v>1781</v>
      </c>
      <c r="G8" s="2512" t="s">
        <v>1600</v>
      </c>
      <c r="H8" s="2512" t="s">
        <v>1209</v>
      </c>
      <c r="I8" s="2512" t="s">
        <v>1603</v>
      </c>
      <c r="J8" s="2512" t="s">
        <v>1604</v>
      </c>
      <c r="K8" s="2512" t="s">
        <v>1602</v>
      </c>
      <c r="L8" s="2512" t="s">
        <v>987</v>
      </c>
      <c r="M8" s="2512" t="s">
        <v>1209</v>
      </c>
      <c r="N8" s="2512" t="s">
        <v>1782</v>
      </c>
      <c r="O8" s="2512" t="s">
        <v>1783</v>
      </c>
      <c r="P8" s="2513" t="s">
        <v>1602</v>
      </c>
      <c r="Q8" s="2514" t="s">
        <v>1600</v>
      </c>
      <c r="R8" s="2512" t="s">
        <v>1209</v>
      </c>
      <c r="S8" s="2512" t="s">
        <v>1601</v>
      </c>
      <c r="T8" s="2512" t="str">
        <f>+F8</f>
        <v>Kinh phí thừa/thiếu (+/-) năm 2023</v>
      </c>
      <c r="U8" s="2512" t="s">
        <v>1600</v>
      </c>
      <c r="V8" s="2512" t="s">
        <v>1209</v>
      </c>
      <c r="W8" s="2512" t="str">
        <f>+I8</f>
        <v>Trong đó, Kinh phí đã giao trong định mức chi ngân sách huyện năm 2024</v>
      </c>
      <c r="X8" s="2512" t="str">
        <f>+J8</f>
        <v>Bổ sung dự toán 2024</v>
      </c>
      <c r="Y8" s="2512" t="s">
        <v>1602</v>
      </c>
      <c r="Z8" s="2966" t="s">
        <v>987</v>
      </c>
      <c r="AA8" s="2966" t="s">
        <v>1209</v>
      </c>
      <c r="AB8" s="2512" t="str">
        <f>+N8</f>
        <v>Trong đó, Kinh phí đã giao trong định mức chi ngân sách huyện năm 2025</v>
      </c>
      <c r="AC8" s="2512" t="str">
        <f>+O8</f>
        <v>Bổ sung dự toán 2025</v>
      </c>
      <c r="AD8" s="2513" t="s">
        <v>1602</v>
      </c>
      <c r="AE8" s="2514" t="s">
        <v>1600</v>
      </c>
      <c r="AF8" s="2512" t="s">
        <v>1209</v>
      </c>
      <c r="AG8" s="2512" t="s">
        <v>1601</v>
      </c>
      <c r="AH8" s="2512" t="str">
        <f>+T8</f>
        <v>Kinh phí thừa/thiếu (+/-) năm 2023</v>
      </c>
      <c r="AI8" s="2512" t="s">
        <v>1600</v>
      </c>
      <c r="AJ8" s="2512" t="s">
        <v>1209</v>
      </c>
      <c r="AK8" s="2512" t="str">
        <f>+W8</f>
        <v>Trong đó, Kinh phí đã giao trong định mức chi ngân sách huyện năm 2024</v>
      </c>
      <c r="AL8" s="2512" t="str">
        <f>+X8</f>
        <v>Bổ sung dự toán 2024</v>
      </c>
      <c r="AM8" s="2512" t="s">
        <v>1602</v>
      </c>
      <c r="AN8" s="2512" t="s">
        <v>987</v>
      </c>
      <c r="AO8" s="2512" t="s">
        <v>1209</v>
      </c>
      <c r="AP8" s="2512" t="str">
        <f>+AB8</f>
        <v>Trong đó, Kinh phí đã giao trong định mức chi ngân sách huyện năm 2025</v>
      </c>
      <c r="AQ8" s="2512" t="str">
        <f>+AC8</f>
        <v>Bổ sung dự toán 2025</v>
      </c>
      <c r="AR8" s="2513" t="s">
        <v>1602</v>
      </c>
      <c r="AS8" s="2514" t="s">
        <v>1600</v>
      </c>
      <c r="AT8" s="2512" t="s">
        <v>1209</v>
      </c>
      <c r="AU8" s="2512" t="s">
        <v>1601</v>
      </c>
      <c r="AV8" s="2512" t="str">
        <f>+AH8</f>
        <v>Kinh phí thừa/thiếu (+/-) năm 2023</v>
      </c>
      <c r="AW8" s="2512" t="str">
        <f>+AI8</f>
        <v>Số
đối tượng</v>
      </c>
      <c r="AX8" s="2512" t="s">
        <v>1209</v>
      </c>
      <c r="AY8" s="2512" t="str">
        <f>+AK8</f>
        <v>Trong đó, Kinh phí đã giao trong định mức chi ngân sách huyện năm 2024</v>
      </c>
      <c r="AZ8" s="2512" t="str">
        <f>+AL8</f>
        <v>Bổ sung dự toán 2024</v>
      </c>
      <c r="BA8" s="2512" t="s">
        <v>1602</v>
      </c>
      <c r="BB8" s="2512" t="s">
        <v>987</v>
      </c>
      <c r="BC8" s="2512" t="s">
        <v>1209</v>
      </c>
      <c r="BD8" s="2512" t="str">
        <f>+AP8</f>
        <v>Trong đó, Kinh phí đã giao trong định mức chi ngân sách huyện năm 2025</v>
      </c>
      <c r="BE8" s="2512" t="str">
        <f>+AQ8</f>
        <v>Bổ sung dự toán 2025</v>
      </c>
      <c r="BF8" s="2513" t="s">
        <v>1602</v>
      </c>
      <c r="BG8" s="2514" t="s">
        <v>1600</v>
      </c>
      <c r="BH8" s="2512" t="s">
        <v>1209</v>
      </c>
      <c r="BI8" s="2512" t="s">
        <v>1601</v>
      </c>
      <c r="BJ8" s="2512" t="str">
        <f>+AV8</f>
        <v>Kinh phí thừa/thiếu (+/-) năm 2023</v>
      </c>
      <c r="BK8" s="2512" t="s">
        <v>1600</v>
      </c>
      <c r="BL8" s="2512" t="s">
        <v>1209</v>
      </c>
      <c r="BM8" s="2512" t="str">
        <f>+AY8</f>
        <v>Trong đó, Kinh phí đã giao trong định mức chi ngân sách huyện năm 2024</v>
      </c>
      <c r="BN8" s="2512" t="str">
        <f>+AZ8</f>
        <v>Bổ sung dự toán 2024</v>
      </c>
      <c r="BO8" s="2512" t="s">
        <v>1602</v>
      </c>
      <c r="BP8" s="2512" t="s">
        <v>987</v>
      </c>
      <c r="BQ8" s="2512" t="s">
        <v>1209</v>
      </c>
      <c r="BR8" s="2512" t="str">
        <f>+BD8</f>
        <v>Trong đó, Kinh phí đã giao trong định mức chi ngân sách huyện năm 2025</v>
      </c>
      <c r="BS8" s="2512" t="str">
        <f>+BE8</f>
        <v>Bổ sung dự toán 2025</v>
      </c>
      <c r="BT8" s="2513" t="s">
        <v>1602</v>
      </c>
      <c r="BU8" s="2514" t="s">
        <v>1600</v>
      </c>
      <c r="BV8" s="2512" t="s">
        <v>1209</v>
      </c>
      <c r="BW8" s="2512" t="s">
        <v>1601</v>
      </c>
      <c r="BX8" s="2512" t="str">
        <f>+BJ8</f>
        <v>Kinh phí thừa/thiếu (+/-) năm 2023</v>
      </c>
      <c r="BY8" s="2512" t="s">
        <v>1600</v>
      </c>
      <c r="BZ8" s="2512" t="s">
        <v>1209</v>
      </c>
      <c r="CA8" s="2512" t="str">
        <f>+BM8</f>
        <v>Trong đó, Kinh phí đã giao trong định mức chi ngân sách huyện năm 2024</v>
      </c>
      <c r="CB8" s="2512" t="str">
        <f>+BN8</f>
        <v>Bổ sung dự toán 2024</v>
      </c>
      <c r="CC8" s="2512" t="s">
        <v>1602</v>
      </c>
      <c r="CD8" s="2512" t="s">
        <v>987</v>
      </c>
      <c r="CE8" s="2512" t="s">
        <v>1209</v>
      </c>
      <c r="CF8" s="2512" t="str">
        <f>+BR8</f>
        <v>Trong đó, Kinh phí đã giao trong định mức chi ngân sách huyện năm 2025</v>
      </c>
      <c r="CG8" s="2512" t="str">
        <f>+BS8</f>
        <v>Bổ sung dự toán 2025</v>
      </c>
      <c r="CH8" s="2513" t="s">
        <v>1602</v>
      </c>
      <c r="CI8" s="2514" t="s">
        <v>1600</v>
      </c>
      <c r="CJ8" s="2512" t="s">
        <v>1209</v>
      </c>
      <c r="CK8" s="2512" t="s">
        <v>1601</v>
      </c>
      <c r="CL8" s="2512" t="str">
        <f>+BX8</f>
        <v>Kinh phí thừa/thiếu (+/-) năm 2023</v>
      </c>
      <c r="CM8" s="2512" t="s">
        <v>1600</v>
      </c>
      <c r="CN8" s="2512" t="s">
        <v>1209</v>
      </c>
      <c r="CO8" s="2512" t="str">
        <f>+CA8</f>
        <v>Trong đó, Kinh phí đã giao trong định mức chi ngân sách huyện năm 2024</v>
      </c>
      <c r="CP8" s="2512" t="str">
        <f>+CB8</f>
        <v>Bổ sung dự toán 2024</v>
      </c>
      <c r="CQ8" s="2512" t="s">
        <v>1602</v>
      </c>
      <c r="CR8" s="2512" t="s">
        <v>987</v>
      </c>
      <c r="CS8" s="2512" t="s">
        <v>1209</v>
      </c>
      <c r="CT8" s="2512" t="str">
        <f>+CF8</f>
        <v>Trong đó, Kinh phí đã giao trong định mức chi ngân sách huyện năm 2025</v>
      </c>
      <c r="CU8" s="2512" t="str">
        <f>+CG8</f>
        <v>Bổ sung dự toán 2025</v>
      </c>
      <c r="CV8" s="2513" t="s">
        <v>1602</v>
      </c>
      <c r="CW8" s="2514" t="s">
        <v>1600</v>
      </c>
      <c r="CX8" s="2512" t="s">
        <v>1209</v>
      </c>
      <c r="CY8" s="2512" t="s">
        <v>1601</v>
      </c>
      <c r="CZ8" s="2512" t="str">
        <f>+CL8</f>
        <v>Kinh phí thừa/thiếu (+/-) năm 2023</v>
      </c>
      <c r="DA8" s="2512" t="s">
        <v>1600</v>
      </c>
      <c r="DB8" s="2512" t="s">
        <v>1209</v>
      </c>
      <c r="DC8" s="2512" t="str">
        <f>+CO8</f>
        <v>Trong đó, Kinh phí đã giao trong định mức chi ngân sách huyện năm 2024</v>
      </c>
      <c r="DD8" s="2512" t="str">
        <f>+CP8</f>
        <v>Bổ sung dự toán 2024</v>
      </c>
      <c r="DE8" s="2512" t="s">
        <v>1602</v>
      </c>
      <c r="DF8" s="2512" t="s">
        <v>987</v>
      </c>
      <c r="DG8" s="2512" t="s">
        <v>1209</v>
      </c>
      <c r="DH8" s="2512" t="str">
        <f>+CT8</f>
        <v>Trong đó, Kinh phí đã giao trong định mức chi ngân sách huyện năm 2025</v>
      </c>
      <c r="DI8" s="2512" t="str">
        <f>+CU8</f>
        <v>Bổ sung dự toán 2025</v>
      </c>
      <c r="DJ8" s="2513" t="s">
        <v>1602</v>
      </c>
      <c r="DK8" s="2514" t="s">
        <v>1600</v>
      </c>
      <c r="DL8" s="2512" t="s">
        <v>1209</v>
      </c>
      <c r="DM8" s="2512" t="s">
        <v>1601</v>
      </c>
      <c r="DN8" s="2512" t="str">
        <f>+CZ8</f>
        <v>Kinh phí thừa/thiếu (+/-) năm 2023</v>
      </c>
      <c r="DO8" s="2512" t="s">
        <v>1600</v>
      </c>
      <c r="DP8" s="2512" t="s">
        <v>1209</v>
      </c>
      <c r="DQ8" s="2512" t="str">
        <f>+DC8</f>
        <v>Trong đó, Kinh phí đã giao trong định mức chi ngân sách huyện năm 2024</v>
      </c>
      <c r="DR8" s="2512" t="str">
        <f>+DD8</f>
        <v>Bổ sung dự toán 2024</v>
      </c>
      <c r="DS8" s="2512" t="s">
        <v>1602</v>
      </c>
      <c r="DT8" s="2512" t="s">
        <v>987</v>
      </c>
      <c r="DU8" s="2512" t="s">
        <v>1209</v>
      </c>
      <c r="DV8" s="2512" t="str">
        <f>+DH8</f>
        <v>Trong đó, Kinh phí đã giao trong định mức chi ngân sách huyện năm 2025</v>
      </c>
      <c r="DW8" s="2512" t="str">
        <f>+DI8</f>
        <v>Bổ sung dự toán 2025</v>
      </c>
      <c r="DX8" s="2513" t="s">
        <v>1602</v>
      </c>
      <c r="DY8" s="2514" t="s">
        <v>1600</v>
      </c>
      <c r="DZ8" s="2512" t="s">
        <v>1209</v>
      </c>
      <c r="EA8" s="2512" t="s">
        <v>1601</v>
      </c>
      <c r="EB8" s="2512" t="str">
        <f>+DN8</f>
        <v>Kinh phí thừa/thiếu (+/-) năm 2023</v>
      </c>
      <c r="EC8" s="2512" t="s">
        <v>1600</v>
      </c>
      <c r="ED8" s="2512" t="s">
        <v>1209</v>
      </c>
      <c r="EE8" s="2512" t="str">
        <f>+DQ8</f>
        <v>Trong đó, Kinh phí đã giao trong định mức chi ngân sách huyện năm 2024</v>
      </c>
      <c r="EF8" s="2512" t="str">
        <f>+DR8</f>
        <v>Bổ sung dự toán 2024</v>
      </c>
      <c r="EG8" s="2512" t="s">
        <v>1602</v>
      </c>
      <c r="EH8" s="2512" t="s">
        <v>987</v>
      </c>
      <c r="EI8" s="2512" t="s">
        <v>1209</v>
      </c>
      <c r="EJ8" s="2512" t="str">
        <f>+DV8</f>
        <v>Trong đó, Kinh phí đã giao trong định mức chi ngân sách huyện năm 2025</v>
      </c>
      <c r="EK8" s="2512" t="str">
        <f>+DW8</f>
        <v>Bổ sung dự toán 2025</v>
      </c>
      <c r="EL8" s="2513" t="s">
        <v>1602</v>
      </c>
      <c r="EM8" s="2514" t="s">
        <v>1600</v>
      </c>
      <c r="EN8" s="2512" t="s">
        <v>1209</v>
      </c>
      <c r="EO8" s="2512" t="s">
        <v>1601</v>
      </c>
      <c r="EP8" s="2512" t="str">
        <f>+EB8</f>
        <v>Kinh phí thừa/thiếu (+/-) năm 2023</v>
      </c>
      <c r="EQ8" s="2512" t="s">
        <v>1600</v>
      </c>
      <c r="ER8" s="2512" t="s">
        <v>1209</v>
      </c>
      <c r="ES8" s="2512" t="str">
        <f>+EE8</f>
        <v>Trong đó, Kinh phí đã giao trong định mức chi ngân sách huyện năm 2024</v>
      </c>
      <c r="ET8" s="2512" t="str">
        <f>+EF8</f>
        <v>Bổ sung dự toán 2024</v>
      </c>
      <c r="EU8" s="2512" t="s">
        <v>1602</v>
      </c>
      <c r="EV8" s="2512" t="s">
        <v>987</v>
      </c>
      <c r="EW8" s="2512" t="s">
        <v>1209</v>
      </c>
      <c r="EX8" s="2512" t="str">
        <f>+EJ8</f>
        <v>Trong đó, Kinh phí đã giao trong định mức chi ngân sách huyện năm 2025</v>
      </c>
      <c r="EY8" s="2512" t="str">
        <f>+EK8</f>
        <v>Bổ sung dự toán 2025</v>
      </c>
      <c r="EZ8" s="2513" t="s">
        <v>1602</v>
      </c>
      <c r="FA8" s="2514" t="s">
        <v>1600</v>
      </c>
      <c r="FB8" s="2512" t="s">
        <v>1209</v>
      </c>
      <c r="FC8" s="2512" t="s">
        <v>1601</v>
      </c>
      <c r="FD8" s="2512" t="str">
        <f>+EP8</f>
        <v>Kinh phí thừa/thiếu (+/-) năm 2023</v>
      </c>
      <c r="FE8" s="2512" t="s">
        <v>1600</v>
      </c>
      <c r="FF8" s="2512" t="s">
        <v>1209</v>
      </c>
      <c r="FG8" s="2512" t="str">
        <f>+ES8</f>
        <v>Trong đó, Kinh phí đã giao trong định mức chi ngân sách huyện năm 2024</v>
      </c>
      <c r="FH8" s="2512" t="str">
        <f>+ET8</f>
        <v>Bổ sung dự toán 2024</v>
      </c>
      <c r="FI8" s="2512" t="s">
        <v>1602</v>
      </c>
      <c r="FJ8" s="2512" t="s">
        <v>987</v>
      </c>
      <c r="FK8" s="2512" t="s">
        <v>1209</v>
      </c>
      <c r="FL8" s="2512" t="str">
        <f>+EX8</f>
        <v>Trong đó, Kinh phí đã giao trong định mức chi ngân sách huyện năm 2025</v>
      </c>
      <c r="FM8" s="2512" t="str">
        <f>+EY8</f>
        <v>Bổ sung dự toán 2025</v>
      </c>
      <c r="FN8" s="2513" t="s">
        <v>1602</v>
      </c>
      <c r="FO8" s="2514" t="s">
        <v>1600</v>
      </c>
      <c r="FP8" s="2512" t="s">
        <v>1209</v>
      </c>
      <c r="FQ8" s="2512" t="s">
        <v>1601</v>
      </c>
      <c r="FR8" s="2512" t="str">
        <f>+FD8</f>
        <v>Kinh phí thừa/thiếu (+/-) năm 2023</v>
      </c>
      <c r="FS8" s="2512" t="s">
        <v>1600</v>
      </c>
      <c r="FT8" s="2512" t="s">
        <v>1209</v>
      </c>
      <c r="FU8" s="2512" t="str">
        <f>+FG8</f>
        <v>Trong đó, Kinh phí đã giao trong định mức chi ngân sách huyện năm 2024</v>
      </c>
      <c r="FV8" s="2512" t="str">
        <f>+FH8</f>
        <v>Bổ sung dự toán 2024</v>
      </c>
      <c r="FW8" s="2512" t="s">
        <v>1602</v>
      </c>
      <c r="FX8" s="2512" t="s">
        <v>987</v>
      </c>
      <c r="FY8" s="2512" t="s">
        <v>1209</v>
      </c>
      <c r="FZ8" s="2512" t="str">
        <f>+FL8</f>
        <v>Trong đó, Kinh phí đã giao trong định mức chi ngân sách huyện năm 2025</v>
      </c>
      <c r="GA8" s="2512" t="str">
        <f>+FM8</f>
        <v>Bổ sung dự toán 2025</v>
      </c>
      <c r="GB8" s="2513" t="s">
        <v>1602</v>
      </c>
    </row>
    <row r="9" spans="1:184">
      <c r="A9" s="2514" t="s">
        <v>1</v>
      </c>
      <c r="B9" s="2512" t="s">
        <v>37</v>
      </c>
      <c r="C9" s="2248">
        <v>1</v>
      </c>
      <c r="D9" s="2248">
        <v>2</v>
      </c>
      <c r="E9" s="2248">
        <v>3</v>
      </c>
      <c r="F9" s="2248" t="s">
        <v>1605</v>
      </c>
      <c r="G9" s="2248">
        <v>5</v>
      </c>
      <c r="H9" s="2248">
        <v>6</v>
      </c>
      <c r="I9" s="2248">
        <v>7</v>
      </c>
      <c r="J9" s="2248">
        <v>8</v>
      </c>
      <c r="K9" s="2248" t="s">
        <v>1606</v>
      </c>
      <c r="L9" s="2248">
        <v>10</v>
      </c>
      <c r="M9" s="2248">
        <v>11</v>
      </c>
      <c r="N9" s="2248">
        <v>12</v>
      </c>
      <c r="O9" s="2248" t="s">
        <v>1607</v>
      </c>
      <c r="P9" s="2515">
        <v>14</v>
      </c>
      <c r="Q9" s="2248">
        <v>1</v>
      </c>
      <c r="R9" s="2248">
        <v>2</v>
      </c>
      <c r="S9" s="2248">
        <v>3</v>
      </c>
      <c r="T9" s="2248" t="s">
        <v>1605</v>
      </c>
      <c r="U9" s="2248">
        <v>5</v>
      </c>
      <c r="V9" s="2248">
        <v>6</v>
      </c>
      <c r="W9" s="2248">
        <v>7</v>
      </c>
      <c r="X9" s="2248">
        <v>8</v>
      </c>
      <c r="Y9" s="2944" t="s">
        <v>1606</v>
      </c>
      <c r="Z9" s="2764">
        <v>10</v>
      </c>
      <c r="AA9" s="2764">
        <v>11</v>
      </c>
      <c r="AB9" s="2248">
        <v>12</v>
      </c>
      <c r="AC9" s="2248" t="s">
        <v>1607</v>
      </c>
      <c r="AD9" s="2515">
        <v>14</v>
      </c>
      <c r="AE9" s="2248">
        <v>1</v>
      </c>
      <c r="AF9" s="2248">
        <v>2</v>
      </c>
      <c r="AG9" s="2248">
        <v>3</v>
      </c>
      <c r="AH9" s="2248" t="s">
        <v>1605</v>
      </c>
      <c r="AI9" s="2248">
        <v>5</v>
      </c>
      <c r="AJ9" s="2248">
        <v>6</v>
      </c>
      <c r="AK9" s="2248">
        <v>7</v>
      </c>
      <c r="AL9" s="2248">
        <v>8</v>
      </c>
      <c r="AM9" s="2248" t="s">
        <v>1606</v>
      </c>
      <c r="AN9" s="2248">
        <v>10</v>
      </c>
      <c r="AO9" s="2248">
        <v>11</v>
      </c>
      <c r="AP9" s="2248">
        <v>12</v>
      </c>
      <c r="AQ9" s="2965" t="s">
        <v>1607</v>
      </c>
      <c r="AR9" s="2515">
        <v>14</v>
      </c>
      <c r="AS9" s="2248">
        <v>1</v>
      </c>
      <c r="AT9" s="2248">
        <v>2</v>
      </c>
      <c r="AU9" s="2248">
        <v>3</v>
      </c>
      <c r="AV9" s="2248" t="s">
        <v>1605</v>
      </c>
      <c r="AW9" s="2248">
        <v>5</v>
      </c>
      <c r="AX9" s="2248">
        <v>6</v>
      </c>
      <c r="AY9" s="2248">
        <v>7</v>
      </c>
      <c r="AZ9" s="2248">
        <v>8</v>
      </c>
      <c r="BA9" s="2248" t="s">
        <v>1606</v>
      </c>
      <c r="BB9" s="2248">
        <v>10</v>
      </c>
      <c r="BC9" s="2248">
        <v>11</v>
      </c>
      <c r="BD9" s="2248">
        <v>12</v>
      </c>
      <c r="BE9" s="2248" t="s">
        <v>1607</v>
      </c>
      <c r="BF9" s="2515">
        <v>14</v>
      </c>
      <c r="BG9" s="2248">
        <v>1</v>
      </c>
      <c r="BH9" s="2248">
        <v>2</v>
      </c>
      <c r="BI9" s="2248">
        <v>3</v>
      </c>
      <c r="BJ9" s="2248" t="s">
        <v>1605</v>
      </c>
      <c r="BK9" s="2248">
        <v>5</v>
      </c>
      <c r="BL9" s="2248">
        <v>6</v>
      </c>
      <c r="BM9" s="2248">
        <v>7</v>
      </c>
      <c r="BN9" s="2248">
        <v>8</v>
      </c>
      <c r="BO9" s="2248" t="s">
        <v>1606</v>
      </c>
      <c r="BP9" s="2248">
        <v>10</v>
      </c>
      <c r="BQ9" s="2248">
        <v>11</v>
      </c>
      <c r="BR9" s="2248">
        <v>12</v>
      </c>
      <c r="BS9" s="2248" t="s">
        <v>1607</v>
      </c>
      <c r="BT9" s="2515">
        <v>14</v>
      </c>
      <c r="BU9" s="2248">
        <v>1</v>
      </c>
      <c r="BV9" s="2248">
        <v>2</v>
      </c>
      <c r="BW9" s="2248">
        <v>3</v>
      </c>
      <c r="BX9" s="2248" t="s">
        <v>1605</v>
      </c>
      <c r="BY9" s="2248">
        <v>5</v>
      </c>
      <c r="BZ9" s="2248">
        <v>6</v>
      </c>
      <c r="CA9" s="2248">
        <v>7</v>
      </c>
      <c r="CB9" s="2248">
        <v>8</v>
      </c>
      <c r="CC9" s="2248" t="s">
        <v>1606</v>
      </c>
      <c r="CD9" s="2248">
        <v>10</v>
      </c>
      <c r="CE9" s="2248">
        <v>11</v>
      </c>
      <c r="CF9" s="2248">
        <v>12</v>
      </c>
      <c r="CG9" s="2248" t="s">
        <v>1607</v>
      </c>
      <c r="CH9" s="2515">
        <v>14</v>
      </c>
      <c r="CI9" s="2248">
        <v>1</v>
      </c>
      <c r="CJ9" s="2248">
        <v>2</v>
      </c>
      <c r="CK9" s="2248">
        <v>3</v>
      </c>
      <c r="CL9" s="2248" t="s">
        <v>1605</v>
      </c>
      <c r="CM9" s="2248">
        <v>5</v>
      </c>
      <c r="CN9" s="2248">
        <v>6</v>
      </c>
      <c r="CO9" s="2248">
        <v>7</v>
      </c>
      <c r="CP9" s="2248">
        <v>8</v>
      </c>
      <c r="CQ9" s="2248" t="s">
        <v>1606</v>
      </c>
      <c r="CR9" s="2248">
        <v>10</v>
      </c>
      <c r="CS9" s="2248">
        <v>11</v>
      </c>
      <c r="CT9" s="2248">
        <v>12</v>
      </c>
      <c r="CU9" s="2248" t="s">
        <v>1607</v>
      </c>
      <c r="CV9" s="2515">
        <v>14</v>
      </c>
      <c r="CW9" s="2248">
        <v>1</v>
      </c>
      <c r="CX9" s="2248">
        <v>2</v>
      </c>
      <c r="CY9" s="2248">
        <v>3</v>
      </c>
      <c r="CZ9" s="2248" t="s">
        <v>1605</v>
      </c>
      <c r="DA9" s="2248">
        <v>5</v>
      </c>
      <c r="DB9" s="2248">
        <v>6</v>
      </c>
      <c r="DC9" s="2248">
        <v>7</v>
      </c>
      <c r="DD9" s="2248">
        <v>8</v>
      </c>
      <c r="DE9" s="2248" t="s">
        <v>1606</v>
      </c>
      <c r="DF9" s="2248">
        <v>10</v>
      </c>
      <c r="DG9" s="2248">
        <v>11</v>
      </c>
      <c r="DH9" s="2248">
        <v>12</v>
      </c>
      <c r="DI9" s="2248" t="s">
        <v>1607</v>
      </c>
      <c r="DJ9" s="2515">
        <v>14</v>
      </c>
      <c r="DK9" s="2248">
        <v>1</v>
      </c>
      <c r="DL9" s="2248">
        <v>2</v>
      </c>
      <c r="DM9" s="2248">
        <v>3</v>
      </c>
      <c r="DN9" s="2248" t="s">
        <v>1605</v>
      </c>
      <c r="DO9" s="2248">
        <v>5</v>
      </c>
      <c r="DP9" s="2248">
        <v>6</v>
      </c>
      <c r="DQ9" s="2248">
        <v>7</v>
      </c>
      <c r="DR9" s="2248">
        <v>8</v>
      </c>
      <c r="DS9" s="2248" t="s">
        <v>1606</v>
      </c>
      <c r="DT9" s="2248">
        <v>10</v>
      </c>
      <c r="DU9" s="2248">
        <v>11</v>
      </c>
      <c r="DV9" s="2248">
        <v>12</v>
      </c>
      <c r="DW9" s="2248" t="s">
        <v>1607</v>
      </c>
      <c r="DX9" s="2515">
        <v>14</v>
      </c>
      <c r="DY9" s="2248">
        <v>1</v>
      </c>
      <c r="DZ9" s="2248">
        <v>2</v>
      </c>
      <c r="EA9" s="2248">
        <v>3</v>
      </c>
      <c r="EB9" s="2248" t="s">
        <v>1605</v>
      </c>
      <c r="EC9" s="2248">
        <v>5</v>
      </c>
      <c r="ED9" s="2248">
        <v>6</v>
      </c>
      <c r="EE9" s="2248">
        <v>7</v>
      </c>
      <c r="EF9" s="2248">
        <v>8</v>
      </c>
      <c r="EG9" s="2248" t="s">
        <v>1606</v>
      </c>
      <c r="EH9" s="2248">
        <v>10</v>
      </c>
      <c r="EI9" s="2248">
        <v>11</v>
      </c>
      <c r="EJ9" s="2248">
        <v>12</v>
      </c>
      <c r="EK9" s="2248" t="s">
        <v>1607</v>
      </c>
      <c r="EL9" s="2515">
        <v>14</v>
      </c>
      <c r="EM9" s="2248">
        <v>1</v>
      </c>
      <c r="EN9" s="2248">
        <v>2</v>
      </c>
      <c r="EO9" s="2248">
        <v>3</v>
      </c>
      <c r="EP9" s="2248" t="s">
        <v>1605</v>
      </c>
      <c r="EQ9" s="2248">
        <v>5</v>
      </c>
      <c r="ER9" s="2248">
        <v>6</v>
      </c>
      <c r="ES9" s="2248">
        <v>7</v>
      </c>
      <c r="ET9" s="2248">
        <v>8</v>
      </c>
      <c r="EU9" s="2248" t="s">
        <v>1606</v>
      </c>
      <c r="EV9" s="2248">
        <v>10</v>
      </c>
      <c r="EW9" s="2248">
        <v>11</v>
      </c>
      <c r="EX9" s="2248">
        <v>12</v>
      </c>
      <c r="EY9" s="2248" t="s">
        <v>1607</v>
      </c>
      <c r="EZ9" s="2515">
        <v>14</v>
      </c>
      <c r="FA9" s="2248">
        <v>1</v>
      </c>
      <c r="FB9" s="2248">
        <v>2</v>
      </c>
      <c r="FC9" s="2248">
        <v>3</v>
      </c>
      <c r="FD9" s="2248" t="s">
        <v>1605</v>
      </c>
      <c r="FE9" s="2248">
        <v>5</v>
      </c>
      <c r="FF9" s="2248">
        <v>6</v>
      </c>
      <c r="FG9" s="2248">
        <v>7</v>
      </c>
      <c r="FH9" s="2248">
        <v>8</v>
      </c>
      <c r="FI9" s="2248" t="s">
        <v>1606</v>
      </c>
      <c r="FJ9" s="2248">
        <v>10</v>
      </c>
      <c r="FK9" s="2248">
        <v>11</v>
      </c>
      <c r="FL9" s="2248">
        <v>12</v>
      </c>
      <c r="FM9" s="2248" t="s">
        <v>1607</v>
      </c>
      <c r="FN9" s="2515">
        <v>14</v>
      </c>
      <c r="FO9" s="2248">
        <v>1</v>
      </c>
      <c r="FP9" s="2248">
        <v>2</v>
      </c>
      <c r="FQ9" s="2248">
        <v>3</v>
      </c>
      <c r="FR9" s="2248" t="s">
        <v>1605</v>
      </c>
      <c r="FS9" s="2248">
        <v>5</v>
      </c>
      <c r="FT9" s="2248">
        <v>6</v>
      </c>
      <c r="FU9" s="2248">
        <v>7</v>
      </c>
      <c r="FV9" s="2248">
        <v>8</v>
      </c>
      <c r="FW9" s="2248" t="s">
        <v>1606</v>
      </c>
      <c r="FX9" s="2248">
        <v>10</v>
      </c>
      <c r="FY9" s="2248">
        <v>11</v>
      </c>
      <c r="FZ9" s="2248">
        <v>12</v>
      </c>
      <c r="GA9" s="2248" t="s">
        <v>1607</v>
      </c>
      <c r="GB9" s="2515">
        <v>14</v>
      </c>
    </row>
    <row r="10" spans="1:184">
      <c r="A10" s="2516"/>
      <c r="B10" s="2236" t="s">
        <v>1008</v>
      </c>
      <c r="C10" s="2517">
        <f>C11</f>
        <v>102926</v>
      </c>
      <c r="D10" s="2517">
        <f t="shared" ref="D10:BO10" si="0">D11</f>
        <v>498816.24500000005</v>
      </c>
      <c r="E10" s="2517">
        <f t="shared" si="0"/>
        <v>498816.24500000005</v>
      </c>
      <c r="F10" s="2517">
        <f t="shared" si="0"/>
        <v>16443.902499999997</v>
      </c>
      <c r="G10" s="2517">
        <f t="shared" si="0"/>
        <v>104317</v>
      </c>
      <c r="H10" s="2517">
        <f t="shared" si="0"/>
        <v>622876.56000000006</v>
      </c>
      <c r="I10" s="2517">
        <f t="shared" si="0"/>
        <v>430052.48800000001</v>
      </c>
      <c r="J10" s="2517">
        <f t="shared" si="0"/>
        <v>93667.395999999993</v>
      </c>
      <c r="K10" s="2517">
        <f t="shared" si="0"/>
        <v>-93142.026500000007</v>
      </c>
      <c r="L10" s="2517">
        <f t="shared" si="0"/>
        <v>108600</v>
      </c>
      <c r="M10" s="2517">
        <f t="shared" si="0"/>
        <v>723526</v>
      </c>
      <c r="N10" s="2517">
        <f t="shared" si="0"/>
        <v>430053.23200000002</v>
      </c>
      <c r="O10" s="2517">
        <f t="shared" si="0"/>
        <v>293472.76799999998</v>
      </c>
      <c r="P10" s="2518">
        <f t="shared" si="0"/>
        <v>0</v>
      </c>
      <c r="Q10" s="2519">
        <f t="shared" si="0"/>
        <v>9833</v>
      </c>
      <c r="R10" s="2517">
        <f t="shared" si="0"/>
        <v>45376.447</v>
      </c>
      <c r="S10" s="2517">
        <f t="shared" si="0"/>
        <v>45376.447</v>
      </c>
      <c r="T10" s="2517">
        <f t="shared" si="0"/>
        <v>10429.253000000001</v>
      </c>
      <c r="U10" s="2517">
        <f t="shared" si="0"/>
        <v>9495</v>
      </c>
      <c r="V10" s="2517">
        <f t="shared" si="0"/>
        <v>53146</v>
      </c>
      <c r="W10" s="2517">
        <f t="shared" si="0"/>
        <v>44364</v>
      </c>
      <c r="X10" s="2517">
        <f t="shared" si="0"/>
        <v>3431</v>
      </c>
      <c r="Y10" s="2945">
        <f t="shared" si="0"/>
        <v>-5351</v>
      </c>
      <c r="Z10" s="2967">
        <f t="shared" si="0"/>
        <v>9519</v>
      </c>
      <c r="AA10" s="2967">
        <f t="shared" si="0"/>
        <v>64005</v>
      </c>
      <c r="AB10" s="2517">
        <f t="shared" si="0"/>
        <v>44364</v>
      </c>
      <c r="AC10" s="2960">
        <f t="shared" si="0"/>
        <v>24715</v>
      </c>
      <c r="AD10" s="2518">
        <f t="shared" si="0"/>
        <v>0</v>
      </c>
      <c r="AE10" s="2519">
        <f t="shared" si="0"/>
        <v>4210</v>
      </c>
      <c r="AF10" s="2517">
        <f t="shared" si="0"/>
        <v>20265</v>
      </c>
      <c r="AG10" s="2517">
        <f t="shared" si="0"/>
        <v>20265</v>
      </c>
      <c r="AH10" s="2955">
        <f t="shared" si="0"/>
        <v>731.61799999999846</v>
      </c>
      <c r="AI10" s="2517">
        <f t="shared" si="0"/>
        <v>4437</v>
      </c>
      <c r="AJ10" s="2517">
        <f t="shared" si="0"/>
        <v>25281.84</v>
      </c>
      <c r="AK10" s="2517">
        <f t="shared" si="0"/>
        <v>17351</v>
      </c>
      <c r="AL10" s="2517">
        <f t="shared" si="0"/>
        <v>4055</v>
      </c>
      <c r="AM10" s="2517">
        <f t="shared" si="0"/>
        <v>-3144.2220000000016</v>
      </c>
      <c r="AN10" s="2517">
        <f t="shared" si="0"/>
        <v>5149</v>
      </c>
      <c r="AO10" s="2517">
        <f t="shared" si="0"/>
        <v>29065</v>
      </c>
      <c r="AP10" s="2517">
        <f t="shared" si="0"/>
        <v>17351</v>
      </c>
      <c r="AQ10" s="2960">
        <f t="shared" si="0"/>
        <v>13685</v>
      </c>
      <c r="AR10" s="2518">
        <f t="shared" si="0"/>
        <v>0</v>
      </c>
      <c r="AS10" s="2519">
        <f t="shared" si="0"/>
        <v>5476</v>
      </c>
      <c r="AT10" s="2517">
        <f t="shared" si="0"/>
        <v>24268.850999999999</v>
      </c>
      <c r="AU10" s="2517">
        <f t="shared" si="0"/>
        <v>24268.850000000002</v>
      </c>
      <c r="AV10" s="2955">
        <f t="shared" si="0"/>
        <v>1106.1499999999992</v>
      </c>
      <c r="AW10" s="2517">
        <f t="shared" si="0"/>
        <v>6280</v>
      </c>
      <c r="AX10" s="2517">
        <f t="shared" si="0"/>
        <v>30735</v>
      </c>
      <c r="AY10" s="2517">
        <f t="shared" si="0"/>
        <v>21467.175999999999</v>
      </c>
      <c r="AZ10" s="2517">
        <f t="shared" si="0"/>
        <v>6923.8239999999996</v>
      </c>
      <c r="BA10" s="2955">
        <f t="shared" si="0"/>
        <v>-1237.8500000000008</v>
      </c>
      <c r="BB10" s="2517">
        <f t="shared" si="0"/>
        <v>7407</v>
      </c>
      <c r="BC10" s="2517">
        <f t="shared" si="0"/>
        <v>37646</v>
      </c>
      <c r="BD10" s="2517">
        <f t="shared" si="0"/>
        <v>21467.175999999999</v>
      </c>
      <c r="BE10" s="2960">
        <f t="shared" si="0"/>
        <v>19357.824000000001</v>
      </c>
      <c r="BF10" s="2518">
        <f t="shared" si="0"/>
        <v>0</v>
      </c>
      <c r="BG10" s="2519">
        <f t="shared" si="0"/>
        <v>6601</v>
      </c>
      <c r="BH10" s="2517">
        <f t="shared" si="0"/>
        <v>27137.06</v>
      </c>
      <c r="BI10" s="2517">
        <f t="shared" si="0"/>
        <v>27137.06</v>
      </c>
      <c r="BJ10" s="2955">
        <f>BJ11</f>
        <v>-1988.22</v>
      </c>
      <c r="BK10" s="2517">
        <f t="shared" si="0"/>
        <v>6416</v>
      </c>
      <c r="BL10" s="2517">
        <f t="shared" si="0"/>
        <v>39581</v>
      </c>
      <c r="BM10" s="2517">
        <f t="shared" si="0"/>
        <v>28898.240000000002</v>
      </c>
      <c r="BN10" s="2517">
        <f t="shared" si="0"/>
        <v>1686.76</v>
      </c>
      <c r="BO10" s="2517">
        <f t="shared" si="0"/>
        <v>-10984.22</v>
      </c>
      <c r="BP10" s="2517">
        <f t="shared" ref="BP10:EA10" si="1">BP11</f>
        <v>6153</v>
      </c>
      <c r="BQ10" s="2517">
        <f t="shared" si="1"/>
        <v>45363</v>
      </c>
      <c r="BR10" s="2517">
        <f t="shared" si="1"/>
        <v>28898.240000000002</v>
      </c>
      <c r="BS10" s="2517">
        <f t="shared" si="1"/>
        <v>9833.76</v>
      </c>
      <c r="BT10" s="2518">
        <f t="shared" si="1"/>
        <v>0</v>
      </c>
      <c r="BU10" s="2519">
        <f t="shared" si="1"/>
        <v>8674</v>
      </c>
      <c r="BV10" s="2517">
        <f t="shared" si="1"/>
        <v>41617.300000000003</v>
      </c>
      <c r="BW10" s="2517">
        <f t="shared" si="1"/>
        <v>41617.300000000003</v>
      </c>
      <c r="BX10" s="2517">
        <f t="shared" si="1"/>
        <v>2594.6919999999968</v>
      </c>
      <c r="BY10" s="2517">
        <f t="shared" si="1"/>
        <v>8131</v>
      </c>
      <c r="BZ10" s="2517">
        <f t="shared" si="1"/>
        <v>51879</v>
      </c>
      <c r="CA10" s="2517">
        <f t="shared" si="1"/>
        <v>43390.648000000001</v>
      </c>
      <c r="CB10" s="2517">
        <f t="shared" si="1"/>
        <v>4041.3519999999999</v>
      </c>
      <c r="CC10" s="2517">
        <f t="shared" si="1"/>
        <v>-1852.3080000000029</v>
      </c>
      <c r="CD10" s="2517">
        <f t="shared" si="1"/>
        <v>8558</v>
      </c>
      <c r="CE10" s="2517">
        <f t="shared" si="1"/>
        <v>62592</v>
      </c>
      <c r="CF10" s="2517">
        <f t="shared" si="1"/>
        <v>43390.648000000001</v>
      </c>
      <c r="CG10" s="2517">
        <f t="shared" si="1"/>
        <v>20123.351999999999</v>
      </c>
      <c r="CH10" s="2518">
        <f t="shared" si="1"/>
        <v>0</v>
      </c>
      <c r="CI10" s="2519">
        <f t="shared" si="1"/>
        <v>7274</v>
      </c>
      <c r="CJ10" s="2517">
        <f t="shared" si="1"/>
        <v>41253.880000000005</v>
      </c>
      <c r="CK10" s="2517">
        <f t="shared" si="1"/>
        <v>41253.880000000005</v>
      </c>
      <c r="CL10" s="2517">
        <f t="shared" si="1"/>
        <v>1197.1199999999963</v>
      </c>
      <c r="CM10" s="2517">
        <f t="shared" si="1"/>
        <v>7123</v>
      </c>
      <c r="CN10" s="2517">
        <f t="shared" si="1"/>
        <v>51861</v>
      </c>
      <c r="CO10" s="2517">
        <f t="shared" si="1"/>
        <v>31233.8</v>
      </c>
      <c r="CP10" s="2517">
        <f t="shared" si="1"/>
        <v>11159</v>
      </c>
      <c r="CQ10" s="2517">
        <f t="shared" si="1"/>
        <v>-8271.0800000000036</v>
      </c>
      <c r="CR10" s="2517">
        <f t="shared" si="1"/>
        <v>7363</v>
      </c>
      <c r="CS10" s="2517">
        <f t="shared" si="1"/>
        <v>60566</v>
      </c>
      <c r="CT10" s="2517">
        <f t="shared" si="1"/>
        <v>31233.8</v>
      </c>
      <c r="CU10" s="2517">
        <f t="shared" si="1"/>
        <v>26873.200000000001</v>
      </c>
      <c r="CV10" s="2518">
        <f t="shared" si="1"/>
        <v>0</v>
      </c>
      <c r="CW10" s="2519">
        <f t="shared" si="1"/>
        <v>13099</v>
      </c>
      <c r="CX10" s="2517">
        <f t="shared" si="1"/>
        <v>58918.166999999994</v>
      </c>
      <c r="CY10" s="2517">
        <f t="shared" si="1"/>
        <v>58918.166999999994</v>
      </c>
      <c r="CZ10" s="2517">
        <f t="shared" si="1"/>
        <v>4866.6194999999998</v>
      </c>
      <c r="DA10" s="2517">
        <f t="shared" si="1"/>
        <v>13013</v>
      </c>
      <c r="DB10" s="2517">
        <f t="shared" si="1"/>
        <v>74311</v>
      </c>
      <c r="DC10" s="2517">
        <f t="shared" si="1"/>
        <v>41370.487999999998</v>
      </c>
      <c r="DD10" s="2517">
        <f t="shared" si="1"/>
        <v>17921.2</v>
      </c>
      <c r="DE10" s="2517">
        <f t="shared" si="1"/>
        <v>-10152.692500000005</v>
      </c>
      <c r="DF10" s="2517">
        <f t="shared" si="1"/>
        <v>13345</v>
      </c>
      <c r="DG10" s="2517">
        <f t="shared" si="1"/>
        <v>86253</v>
      </c>
      <c r="DH10" s="2517">
        <f t="shared" si="1"/>
        <v>41370.968000000001</v>
      </c>
      <c r="DI10" s="2517">
        <f t="shared" si="1"/>
        <v>44882.031999999999</v>
      </c>
      <c r="DJ10" s="2518">
        <f t="shared" si="1"/>
        <v>0</v>
      </c>
      <c r="DK10" s="2519">
        <f t="shared" si="1"/>
        <v>7261</v>
      </c>
      <c r="DL10" s="2517">
        <f t="shared" si="1"/>
        <v>33189</v>
      </c>
      <c r="DM10" s="2517">
        <f t="shared" si="1"/>
        <v>33189</v>
      </c>
      <c r="DN10" s="2517">
        <f t="shared" si="1"/>
        <v>-585.43700000000024</v>
      </c>
      <c r="DO10" s="2517">
        <f t="shared" si="1"/>
        <v>8181</v>
      </c>
      <c r="DP10" s="2517">
        <f t="shared" si="1"/>
        <v>44100</v>
      </c>
      <c r="DQ10" s="2517">
        <f t="shared" si="1"/>
        <v>32295.4</v>
      </c>
      <c r="DR10" s="2517">
        <f t="shared" si="1"/>
        <v>2610.6</v>
      </c>
      <c r="DS10" s="2517">
        <f t="shared" si="1"/>
        <v>-9779.4370000000017</v>
      </c>
      <c r="DT10" s="2517">
        <f t="shared" si="1"/>
        <v>8772</v>
      </c>
      <c r="DU10" s="2517">
        <f t="shared" si="1"/>
        <v>53262</v>
      </c>
      <c r="DV10" s="2517">
        <f t="shared" si="1"/>
        <v>32295.4</v>
      </c>
      <c r="DW10" s="2517">
        <f t="shared" si="1"/>
        <v>20966.599999999999</v>
      </c>
      <c r="DX10" s="2518">
        <f t="shared" si="1"/>
        <v>0</v>
      </c>
      <c r="DY10" s="2519">
        <f t="shared" si="1"/>
        <v>12709</v>
      </c>
      <c r="DZ10" s="2517">
        <f t="shared" si="1"/>
        <v>66166.320000000007</v>
      </c>
      <c r="EA10" s="2517">
        <f t="shared" si="1"/>
        <v>66166.320000000007</v>
      </c>
      <c r="EB10" s="2517">
        <f t="shared" ref="EB10:GB10" si="2">EB11</f>
        <v>-760.31999999999562</v>
      </c>
      <c r="EC10" s="2517">
        <f t="shared" si="2"/>
        <v>11778</v>
      </c>
      <c r="ED10" s="2517">
        <f t="shared" si="2"/>
        <v>76598.720000000001</v>
      </c>
      <c r="EE10" s="2517">
        <f t="shared" si="2"/>
        <v>45992.2</v>
      </c>
      <c r="EF10" s="2517">
        <f t="shared" si="2"/>
        <v>22437.948</v>
      </c>
      <c r="EG10" s="2517">
        <f t="shared" si="2"/>
        <v>-8928.8919999999944</v>
      </c>
      <c r="EH10" s="2517">
        <f t="shared" si="2"/>
        <v>12465</v>
      </c>
      <c r="EI10" s="2517">
        <f t="shared" si="2"/>
        <v>89117</v>
      </c>
      <c r="EJ10" s="2517">
        <f t="shared" si="2"/>
        <v>45992</v>
      </c>
      <c r="EK10" s="2517">
        <f t="shared" si="2"/>
        <v>43125</v>
      </c>
      <c r="EL10" s="2518">
        <f t="shared" si="2"/>
        <v>0</v>
      </c>
      <c r="EM10" s="2519">
        <f t="shared" si="2"/>
        <v>13052</v>
      </c>
      <c r="EN10" s="2517">
        <f t="shared" si="2"/>
        <v>55834.036</v>
      </c>
      <c r="EO10" s="2517">
        <f t="shared" si="2"/>
        <v>55834.036</v>
      </c>
      <c r="EP10" s="2517">
        <f t="shared" si="2"/>
        <v>-1974.6679999999999</v>
      </c>
      <c r="EQ10" s="2517">
        <f t="shared" si="2"/>
        <v>12841</v>
      </c>
      <c r="ER10" s="2517">
        <f t="shared" si="2"/>
        <v>69559</v>
      </c>
      <c r="ES10" s="2517">
        <f t="shared" si="2"/>
        <v>44475.288</v>
      </c>
      <c r="ET10" s="2517">
        <f t="shared" si="2"/>
        <v>7262.7119999999995</v>
      </c>
      <c r="EU10" s="2517">
        <f t="shared" si="2"/>
        <v>-19795.668000000001</v>
      </c>
      <c r="EV10" s="2517">
        <f t="shared" si="2"/>
        <v>12670</v>
      </c>
      <c r="EW10" s="2517">
        <f t="shared" si="2"/>
        <v>70629</v>
      </c>
      <c r="EX10" s="2517">
        <f t="shared" si="2"/>
        <v>44475</v>
      </c>
      <c r="EY10" s="2517">
        <f t="shared" si="2"/>
        <v>26154</v>
      </c>
      <c r="EZ10" s="2518">
        <f t="shared" si="2"/>
        <v>0</v>
      </c>
      <c r="FA10" s="2519">
        <f t="shared" si="2"/>
        <v>6671</v>
      </c>
      <c r="FB10" s="2517">
        <f t="shared" si="2"/>
        <v>34514.51</v>
      </c>
      <c r="FC10" s="2517">
        <f t="shared" si="2"/>
        <v>34514.51</v>
      </c>
      <c r="FD10" s="2517">
        <f t="shared" si="2"/>
        <v>138.76999999999964</v>
      </c>
      <c r="FE10" s="2517">
        <f t="shared" si="2"/>
        <v>7320</v>
      </c>
      <c r="FF10" s="2517">
        <f t="shared" si="2"/>
        <v>44453</v>
      </c>
      <c r="FG10" s="2517">
        <f t="shared" si="2"/>
        <v>32372.080000000002</v>
      </c>
      <c r="FH10" s="2517">
        <f t="shared" si="2"/>
        <v>5375</v>
      </c>
      <c r="FI10" s="2517">
        <f t="shared" si="2"/>
        <v>-6567.1500000000005</v>
      </c>
      <c r="FJ10" s="2517">
        <f t="shared" si="2"/>
        <v>7365</v>
      </c>
      <c r="FK10" s="2517">
        <f t="shared" si="2"/>
        <v>50383</v>
      </c>
      <c r="FL10" s="2517">
        <f t="shared" si="2"/>
        <v>32373</v>
      </c>
      <c r="FM10" s="2517">
        <f t="shared" si="2"/>
        <v>18010</v>
      </c>
      <c r="FN10" s="2518">
        <f t="shared" si="2"/>
        <v>0</v>
      </c>
      <c r="FO10" s="2519">
        <f t="shared" si="2"/>
        <v>8066</v>
      </c>
      <c r="FP10" s="2517">
        <f t="shared" si="2"/>
        <v>50275.675000000003</v>
      </c>
      <c r="FQ10" s="2517">
        <f t="shared" si="2"/>
        <v>50275.675000000003</v>
      </c>
      <c r="FR10" s="2517">
        <f t="shared" si="2"/>
        <v>688.32500000000391</v>
      </c>
      <c r="FS10" s="2517">
        <f t="shared" si="2"/>
        <v>9302</v>
      </c>
      <c r="FT10" s="2517">
        <f t="shared" si="2"/>
        <v>61371</v>
      </c>
      <c r="FU10" s="2517">
        <f t="shared" si="2"/>
        <v>46842.167999999998</v>
      </c>
      <c r="FV10" s="2517">
        <f t="shared" si="2"/>
        <v>6763</v>
      </c>
      <c r="FW10" s="2517">
        <f t="shared" si="2"/>
        <v>-7077.506999999996</v>
      </c>
      <c r="FX10" s="2517">
        <f t="shared" si="2"/>
        <v>9834</v>
      </c>
      <c r="FY10" s="2517">
        <f t="shared" si="2"/>
        <v>72589</v>
      </c>
      <c r="FZ10" s="2517">
        <f t="shared" si="2"/>
        <v>46842</v>
      </c>
      <c r="GA10" s="2517">
        <f t="shared" si="2"/>
        <v>25747</v>
      </c>
      <c r="GB10" s="2518">
        <f t="shared" si="2"/>
        <v>0</v>
      </c>
    </row>
    <row r="11" spans="1:184" ht="47.25" customHeight="1">
      <c r="A11" s="2520" t="s">
        <v>3</v>
      </c>
      <c r="B11" s="2881" t="s">
        <v>1009</v>
      </c>
      <c r="C11" s="2522">
        <f>SUM(C12,C16)</f>
        <v>102926</v>
      </c>
      <c r="D11" s="2522">
        <f t="shared" ref="D11:BO11" si="3">SUM(D12,D16)</f>
        <v>498816.24500000005</v>
      </c>
      <c r="E11" s="2522">
        <f t="shared" si="3"/>
        <v>498816.24500000005</v>
      </c>
      <c r="F11" s="2522">
        <f t="shared" si="3"/>
        <v>16443.902499999997</v>
      </c>
      <c r="G11" s="2522">
        <f t="shared" si="3"/>
        <v>104317</v>
      </c>
      <c r="H11" s="2522">
        <f t="shared" si="3"/>
        <v>622876.56000000006</v>
      </c>
      <c r="I11" s="2522">
        <f t="shared" si="3"/>
        <v>430052.48800000001</v>
      </c>
      <c r="J11" s="2522">
        <f t="shared" si="3"/>
        <v>93667.395999999993</v>
      </c>
      <c r="K11" s="2522">
        <f t="shared" si="3"/>
        <v>-93142.026500000007</v>
      </c>
      <c r="L11" s="2522">
        <f t="shared" si="3"/>
        <v>108600</v>
      </c>
      <c r="M11" s="2522">
        <f t="shared" si="3"/>
        <v>723526</v>
      </c>
      <c r="N11" s="2522">
        <f t="shared" si="3"/>
        <v>430053.23200000002</v>
      </c>
      <c r="O11" s="2522">
        <f>SUM(O12,O16)</f>
        <v>293472.76799999998</v>
      </c>
      <c r="P11" s="2523">
        <f t="shared" si="3"/>
        <v>0</v>
      </c>
      <c r="Q11" s="2524">
        <f t="shared" si="3"/>
        <v>9833</v>
      </c>
      <c r="R11" s="2522">
        <f t="shared" si="3"/>
        <v>45376.447</v>
      </c>
      <c r="S11" s="2522">
        <f t="shared" si="3"/>
        <v>45376.447</v>
      </c>
      <c r="T11" s="2522">
        <f t="shared" si="3"/>
        <v>10429.253000000001</v>
      </c>
      <c r="U11" s="2522">
        <f t="shared" si="3"/>
        <v>9495</v>
      </c>
      <c r="V11" s="2522">
        <f t="shared" si="3"/>
        <v>53146</v>
      </c>
      <c r="W11" s="2522">
        <f t="shared" si="3"/>
        <v>44364</v>
      </c>
      <c r="X11" s="2522">
        <f t="shared" si="3"/>
        <v>3431</v>
      </c>
      <c r="Y11" s="2946">
        <f t="shared" si="3"/>
        <v>-5351</v>
      </c>
      <c r="Z11" s="2968">
        <f t="shared" si="3"/>
        <v>9519</v>
      </c>
      <c r="AA11" s="2968">
        <f t="shared" si="3"/>
        <v>64005</v>
      </c>
      <c r="AB11" s="2522">
        <f t="shared" si="3"/>
        <v>44364</v>
      </c>
      <c r="AC11" s="2961">
        <f t="shared" si="3"/>
        <v>24715</v>
      </c>
      <c r="AD11" s="2523">
        <f t="shared" si="3"/>
        <v>0</v>
      </c>
      <c r="AE11" s="2524">
        <f t="shared" si="3"/>
        <v>4210</v>
      </c>
      <c r="AF11" s="2522">
        <f t="shared" si="3"/>
        <v>20265</v>
      </c>
      <c r="AG11" s="2522">
        <f t="shared" si="3"/>
        <v>20265</v>
      </c>
      <c r="AH11" s="2956">
        <f t="shared" si="3"/>
        <v>731.61799999999846</v>
      </c>
      <c r="AI11" s="2522">
        <f t="shared" si="3"/>
        <v>4437</v>
      </c>
      <c r="AJ11" s="2522">
        <f t="shared" si="3"/>
        <v>25281.84</v>
      </c>
      <c r="AK11" s="2522">
        <f t="shared" si="3"/>
        <v>17351</v>
      </c>
      <c r="AL11" s="2522">
        <f t="shared" si="3"/>
        <v>4055</v>
      </c>
      <c r="AM11" s="2522">
        <f t="shared" si="3"/>
        <v>-3144.2220000000016</v>
      </c>
      <c r="AN11" s="2522">
        <f t="shared" si="3"/>
        <v>5149</v>
      </c>
      <c r="AO11" s="2522">
        <f t="shared" si="3"/>
        <v>29065</v>
      </c>
      <c r="AP11" s="2522">
        <f t="shared" si="3"/>
        <v>17351</v>
      </c>
      <c r="AQ11" s="2961">
        <f t="shared" si="3"/>
        <v>13685</v>
      </c>
      <c r="AR11" s="2523">
        <f t="shared" si="3"/>
        <v>0</v>
      </c>
      <c r="AS11" s="2524">
        <f t="shared" si="3"/>
        <v>5476</v>
      </c>
      <c r="AT11" s="2522">
        <f t="shared" si="3"/>
        <v>24268.850999999999</v>
      </c>
      <c r="AU11" s="2522">
        <f t="shared" si="3"/>
        <v>24268.850000000002</v>
      </c>
      <c r="AV11" s="2956">
        <f t="shared" si="3"/>
        <v>1106.1499999999992</v>
      </c>
      <c r="AW11" s="2522">
        <f t="shared" si="3"/>
        <v>6280</v>
      </c>
      <c r="AX11" s="2522">
        <f t="shared" si="3"/>
        <v>30735</v>
      </c>
      <c r="AY11" s="2522">
        <f t="shared" si="3"/>
        <v>21467.175999999999</v>
      </c>
      <c r="AZ11" s="2522">
        <f t="shared" si="3"/>
        <v>6923.8239999999996</v>
      </c>
      <c r="BA11" s="2956">
        <f t="shared" si="3"/>
        <v>-1237.8500000000008</v>
      </c>
      <c r="BB11" s="2522">
        <f t="shared" si="3"/>
        <v>7407</v>
      </c>
      <c r="BC11" s="2522">
        <f t="shared" si="3"/>
        <v>37646</v>
      </c>
      <c r="BD11" s="2522">
        <f t="shared" si="3"/>
        <v>21467.175999999999</v>
      </c>
      <c r="BE11" s="2961">
        <f t="shared" si="3"/>
        <v>19357.824000000001</v>
      </c>
      <c r="BF11" s="2523">
        <f t="shared" si="3"/>
        <v>0</v>
      </c>
      <c r="BG11" s="2524">
        <f t="shared" si="3"/>
        <v>6601</v>
      </c>
      <c r="BH11" s="2522">
        <f t="shared" si="3"/>
        <v>27137.06</v>
      </c>
      <c r="BI11" s="2522">
        <f t="shared" si="3"/>
        <v>27137.06</v>
      </c>
      <c r="BJ11" s="2956">
        <f>SUM(BJ12,BJ16)</f>
        <v>-1988.22</v>
      </c>
      <c r="BK11" s="2522">
        <f t="shared" si="3"/>
        <v>6416</v>
      </c>
      <c r="BL11" s="2522">
        <f t="shared" si="3"/>
        <v>39581</v>
      </c>
      <c r="BM11" s="2522">
        <f t="shared" si="3"/>
        <v>28898.240000000002</v>
      </c>
      <c r="BN11" s="2522">
        <f t="shared" si="3"/>
        <v>1686.76</v>
      </c>
      <c r="BO11" s="2522">
        <f t="shared" si="3"/>
        <v>-10984.22</v>
      </c>
      <c r="BP11" s="2522">
        <f t="shared" ref="BP11:EA11" si="4">SUM(BP12,BP16)</f>
        <v>6153</v>
      </c>
      <c r="BQ11" s="2522">
        <f t="shared" si="4"/>
        <v>45363</v>
      </c>
      <c r="BR11" s="2522">
        <f t="shared" si="4"/>
        <v>28898.240000000002</v>
      </c>
      <c r="BS11" s="2522">
        <f t="shared" si="4"/>
        <v>9833.76</v>
      </c>
      <c r="BT11" s="2523">
        <f t="shared" si="4"/>
        <v>0</v>
      </c>
      <c r="BU11" s="2524">
        <f t="shared" si="4"/>
        <v>8674</v>
      </c>
      <c r="BV11" s="2522">
        <f t="shared" si="4"/>
        <v>41617.300000000003</v>
      </c>
      <c r="BW11" s="2522">
        <f t="shared" si="4"/>
        <v>41617.300000000003</v>
      </c>
      <c r="BX11" s="2522">
        <f t="shared" si="4"/>
        <v>2594.6919999999968</v>
      </c>
      <c r="BY11" s="2522">
        <f t="shared" si="4"/>
        <v>8131</v>
      </c>
      <c r="BZ11" s="2522">
        <f t="shared" si="4"/>
        <v>51879</v>
      </c>
      <c r="CA11" s="2522">
        <f t="shared" si="4"/>
        <v>43390.648000000001</v>
      </c>
      <c r="CB11" s="2522">
        <f t="shared" si="4"/>
        <v>4041.3519999999999</v>
      </c>
      <c r="CC11" s="2522">
        <f t="shared" si="4"/>
        <v>-1852.3080000000029</v>
      </c>
      <c r="CD11" s="2522">
        <f t="shared" si="4"/>
        <v>8558</v>
      </c>
      <c r="CE11" s="2522">
        <f t="shared" si="4"/>
        <v>62592</v>
      </c>
      <c r="CF11" s="2522">
        <f t="shared" si="4"/>
        <v>43390.648000000001</v>
      </c>
      <c r="CG11" s="2522">
        <f t="shared" si="4"/>
        <v>20123.351999999999</v>
      </c>
      <c r="CH11" s="2523">
        <f t="shared" si="4"/>
        <v>0</v>
      </c>
      <c r="CI11" s="2524">
        <f t="shared" si="4"/>
        <v>7274</v>
      </c>
      <c r="CJ11" s="2522">
        <f t="shared" si="4"/>
        <v>41253.880000000005</v>
      </c>
      <c r="CK11" s="2522">
        <f t="shared" si="4"/>
        <v>41253.880000000005</v>
      </c>
      <c r="CL11" s="2522">
        <f t="shared" si="4"/>
        <v>1197.1199999999963</v>
      </c>
      <c r="CM11" s="2522">
        <f t="shared" si="4"/>
        <v>7123</v>
      </c>
      <c r="CN11" s="2522">
        <f t="shared" si="4"/>
        <v>51861</v>
      </c>
      <c r="CO11" s="2522">
        <f t="shared" si="4"/>
        <v>31233.8</v>
      </c>
      <c r="CP11" s="2522">
        <f t="shared" si="4"/>
        <v>11159</v>
      </c>
      <c r="CQ11" s="2522">
        <f>SUM(CQ12,CQ16)</f>
        <v>-8271.0800000000036</v>
      </c>
      <c r="CR11" s="2522">
        <f t="shared" si="4"/>
        <v>7363</v>
      </c>
      <c r="CS11" s="2522">
        <f t="shared" si="4"/>
        <v>60566</v>
      </c>
      <c r="CT11" s="2522">
        <f t="shared" si="4"/>
        <v>31233.8</v>
      </c>
      <c r="CU11" s="2522">
        <f t="shared" si="4"/>
        <v>26873.200000000001</v>
      </c>
      <c r="CV11" s="2523">
        <f t="shared" si="4"/>
        <v>0</v>
      </c>
      <c r="CW11" s="2524">
        <f t="shared" si="4"/>
        <v>13099</v>
      </c>
      <c r="CX11" s="2522">
        <f t="shared" si="4"/>
        <v>58918.166999999994</v>
      </c>
      <c r="CY11" s="2522">
        <f t="shared" si="4"/>
        <v>58918.166999999994</v>
      </c>
      <c r="CZ11" s="2522">
        <f t="shared" si="4"/>
        <v>4866.6194999999998</v>
      </c>
      <c r="DA11" s="2522">
        <f t="shared" si="4"/>
        <v>13013</v>
      </c>
      <c r="DB11" s="2522">
        <f t="shared" si="4"/>
        <v>74311</v>
      </c>
      <c r="DC11" s="2522">
        <f t="shared" si="4"/>
        <v>41370.487999999998</v>
      </c>
      <c r="DD11" s="2522">
        <f t="shared" si="4"/>
        <v>17921.2</v>
      </c>
      <c r="DE11" s="2522">
        <f t="shared" si="4"/>
        <v>-10152.692500000005</v>
      </c>
      <c r="DF11" s="2522">
        <f t="shared" si="4"/>
        <v>13345</v>
      </c>
      <c r="DG11" s="2522">
        <f t="shared" si="4"/>
        <v>86253</v>
      </c>
      <c r="DH11" s="2522">
        <f t="shared" si="4"/>
        <v>41370.968000000001</v>
      </c>
      <c r="DI11" s="2522">
        <f t="shared" si="4"/>
        <v>44882.031999999999</v>
      </c>
      <c r="DJ11" s="2523">
        <f t="shared" si="4"/>
        <v>0</v>
      </c>
      <c r="DK11" s="2524">
        <f t="shared" si="4"/>
        <v>7261</v>
      </c>
      <c r="DL11" s="2522">
        <f t="shared" si="4"/>
        <v>33189</v>
      </c>
      <c r="DM11" s="2522">
        <f t="shared" si="4"/>
        <v>33189</v>
      </c>
      <c r="DN11" s="2522">
        <f t="shared" si="4"/>
        <v>-585.43700000000024</v>
      </c>
      <c r="DO11" s="2522">
        <f t="shared" si="4"/>
        <v>8181</v>
      </c>
      <c r="DP11" s="2522">
        <f t="shared" si="4"/>
        <v>44100</v>
      </c>
      <c r="DQ11" s="2522">
        <f t="shared" si="4"/>
        <v>32295.4</v>
      </c>
      <c r="DR11" s="2522">
        <f t="shared" si="4"/>
        <v>2610.6</v>
      </c>
      <c r="DS11" s="2522">
        <f t="shared" si="4"/>
        <v>-9779.4370000000017</v>
      </c>
      <c r="DT11" s="2522">
        <f t="shared" si="4"/>
        <v>8772</v>
      </c>
      <c r="DU11" s="2522">
        <f t="shared" si="4"/>
        <v>53262</v>
      </c>
      <c r="DV11" s="2522">
        <f t="shared" si="4"/>
        <v>32295.4</v>
      </c>
      <c r="DW11" s="2522">
        <f t="shared" si="4"/>
        <v>20966.599999999999</v>
      </c>
      <c r="DX11" s="2523">
        <f t="shared" si="4"/>
        <v>0</v>
      </c>
      <c r="DY11" s="2524">
        <f t="shared" si="4"/>
        <v>12709</v>
      </c>
      <c r="DZ11" s="2522">
        <f t="shared" si="4"/>
        <v>66166.320000000007</v>
      </c>
      <c r="EA11" s="2522">
        <f t="shared" si="4"/>
        <v>66166.320000000007</v>
      </c>
      <c r="EB11" s="2522">
        <f t="shared" ref="EB11:GB11" si="5">SUM(EB12,EB16)</f>
        <v>-760.31999999999562</v>
      </c>
      <c r="EC11" s="2522">
        <f t="shared" si="5"/>
        <v>11778</v>
      </c>
      <c r="ED11" s="2522">
        <f t="shared" si="5"/>
        <v>76598.720000000001</v>
      </c>
      <c r="EE11" s="2522">
        <f t="shared" si="5"/>
        <v>45992.2</v>
      </c>
      <c r="EF11" s="2522">
        <f t="shared" si="5"/>
        <v>22437.948</v>
      </c>
      <c r="EG11" s="2522">
        <f t="shared" si="5"/>
        <v>-8928.8919999999944</v>
      </c>
      <c r="EH11" s="2522">
        <f t="shared" si="5"/>
        <v>12465</v>
      </c>
      <c r="EI11" s="2522">
        <f t="shared" si="5"/>
        <v>89117</v>
      </c>
      <c r="EJ11" s="2522">
        <f t="shared" si="5"/>
        <v>45992</v>
      </c>
      <c r="EK11" s="2522">
        <f t="shared" si="5"/>
        <v>43125</v>
      </c>
      <c r="EL11" s="2523">
        <f t="shared" si="5"/>
        <v>0</v>
      </c>
      <c r="EM11" s="2524">
        <f t="shared" si="5"/>
        <v>13052</v>
      </c>
      <c r="EN11" s="2522">
        <f t="shared" si="5"/>
        <v>55834.036</v>
      </c>
      <c r="EO11" s="2522">
        <f t="shared" si="5"/>
        <v>55834.036</v>
      </c>
      <c r="EP11" s="2522">
        <f t="shared" si="5"/>
        <v>-1974.6679999999999</v>
      </c>
      <c r="EQ11" s="2522">
        <f t="shared" si="5"/>
        <v>12841</v>
      </c>
      <c r="ER11" s="2522">
        <f t="shared" si="5"/>
        <v>69559</v>
      </c>
      <c r="ES11" s="2522">
        <f t="shared" si="5"/>
        <v>44475.288</v>
      </c>
      <c r="ET11" s="2522">
        <f t="shared" si="5"/>
        <v>7262.7119999999995</v>
      </c>
      <c r="EU11" s="2522">
        <f t="shared" si="5"/>
        <v>-19795.668000000001</v>
      </c>
      <c r="EV11" s="2522">
        <f t="shared" si="5"/>
        <v>12670</v>
      </c>
      <c r="EW11" s="2522">
        <f t="shared" si="5"/>
        <v>70629</v>
      </c>
      <c r="EX11" s="2522">
        <f t="shared" si="5"/>
        <v>44475</v>
      </c>
      <c r="EY11" s="2522">
        <f t="shared" si="5"/>
        <v>26154</v>
      </c>
      <c r="EZ11" s="2523">
        <f t="shared" si="5"/>
        <v>0</v>
      </c>
      <c r="FA11" s="2524">
        <f t="shared" si="5"/>
        <v>6671</v>
      </c>
      <c r="FB11" s="2522">
        <f t="shared" si="5"/>
        <v>34514.51</v>
      </c>
      <c r="FC11" s="2522">
        <f t="shared" si="5"/>
        <v>34514.51</v>
      </c>
      <c r="FD11" s="2522">
        <f t="shared" si="5"/>
        <v>138.76999999999964</v>
      </c>
      <c r="FE11" s="2522">
        <f t="shared" si="5"/>
        <v>7320</v>
      </c>
      <c r="FF11" s="2522">
        <f t="shared" si="5"/>
        <v>44453</v>
      </c>
      <c r="FG11" s="2522">
        <f t="shared" si="5"/>
        <v>32372.080000000002</v>
      </c>
      <c r="FH11" s="2522">
        <f t="shared" si="5"/>
        <v>5375</v>
      </c>
      <c r="FI11" s="2522">
        <f t="shared" si="5"/>
        <v>-6567.1500000000005</v>
      </c>
      <c r="FJ11" s="2522">
        <f t="shared" si="5"/>
        <v>7365</v>
      </c>
      <c r="FK11" s="2522">
        <f t="shared" si="5"/>
        <v>50383</v>
      </c>
      <c r="FL11" s="2522">
        <f t="shared" si="5"/>
        <v>32373</v>
      </c>
      <c r="FM11" s="2522">
        <f t="shared" si="5"/>
        <v>18010</v>
      </c>
      <c r="FN11" s="2523">
        <f t="shared" si="5"/>
        <v>0</v>
      </c>
      <c r="FO11" s="2524">
        <f t="shared" si="5"/>
        <v>8066</v>
      </c>
      <c r="FP11" s="2522">
        <f t="shared" si="5"/>
        <v>50275.675000000003</v>
      </c>
      <c r="FQ11" s="2522">
        <f t="shared" si="5"/>
        <v>50275.675000000003</v>
      </c>
      <c r="FR11" s="2522">
        <f t="shared" si="5"/>
        <v>688.32500000000391</v>
      </c>
      <c r="FS11" s="2522">
        <f t="shared" si="5"/>
        <v>9302</v>
      </c>
      <c r="FT11" s="2522">
        <f t="shared" si="5"/>
        <v>61371</v>
      </c>
      <c r="FU11" s="2522">
        <f t="shared" si="5"/>
        <v>46842.167999999998</v>
      </c>
      <c r="FV11" s="2522">
        <f t="shared" si="5"/>
        <v>6763</v>
      </c>
      <c r="FW11" s="2522">
        <f t="shared" si="5"/>
        <v>-7077.506999999996</v>
      </c>
      <c r="FX11" s="2522">
        <f t="shared" si="5"/>
        <v>9834</v>
      </c>
      <c r="FY11" s="2522">
        <f t="shared" si="5"/>
        <v>72589</v>
      </c>
      <c r="FZ11" s="2522">
        <f t="shared" si="5"/>
        <v>46842</v>
      </c>
      <c r="GA11" s="2522">
        <f t="shared" si="5"/>
        <v>25747</v>
      </c>
      <c r="GB11" s="2523">
        <f t="shared" si="5"/>
        <v>0</v>
      </c>
    </row>
    <row r="12" spans="1:184" ht="34.799999999999997">
      <c r="A12" s="2520">
        <v>1</v>
      </c>
      <c r="B12" s="2521" t="s">
        <v>1010</v>
      </c>
      <c r="C12" s="2522">
        <f>SUM(C13:C15)</f>
        <v>18228</v>
      </c>
      <c r="D12" s="2522">
        <f t="shared" ref="D12:BO12" si="6">SUM(D13:D15)</f>
        <v>12570.766999999998</v>
      </c>
      <c r="E12" s="2522">
        <f t="shared" si="6"/>
        <v>12570.766999999998</v>
      </c>
      <c r="F12" s="2522">
        <f t="shared" si="6"/>
        <v>15813.850499999999</v>
      </c>
      <c r="G12" s="2522">
        <f t="shared" si="6"/>
        <v>21496</v>
      </c>
      <c r="H12" s="2522">
        <f t="shared" si="6"/>
        <v>16863.560000000001</v>
      </c>
      <c r="I12" s="2522">
        <f t="shared" si="6"/>
        <v>15933.488000000001</v>
      </c>
      <c r="J12" s="2522">
        <f t="shared" si="6"/>
        <v>8237.2400000000016</v>
      </c>
      <c r="K12" s="2522">
        <f t="shared" si="6"/>
        <v>18662.165499999996</v>
      </c>
      <c r="L12" s="2522">
        <f t="shared" si="6"/>
        <v>23817</v>
      </c>
      <c r="M12" s="2522">
        <f t="shared" si="6"/>
        <v>19844</v>
      </c>
      <c r="N12" s="2522">
        <f t="shared" si="6"/>
        <v>15934.232</v>
      </c>
      <c r="O12" s="2522">
        <f>SUM(O13:O15)</f>
        <v>3909.768</v>
      </c>
      <c r="P12" s="2523">
        <f t="shared" si="6"/>
        <v>0</v>
      </c>
      <c r="Q12" s="2524">
        <f t="shared" si="6"/>
        <v>1940</v>
      </c>
      <c r="R12" s="2522">
        <f t="shared" si="6"/>
        <v>1455.1469999999999</v>
      </c>
      <c r="S12" s="2522">
        <f t="shared" si="6"/>
        <v>1455.1469999999999</v>
      </c>
      <c r="T12" s="2522">
        <f t="shared" si="6"/>
        <v>4458.8530000000001</v>
      </c>
      <c r="U12" s="2522">
        <f t="shared" si="6"/>
        <v>1372</v>
      </c>
      <c r="V12" s="2522">
        <f t="shared" si="6"/>
        <v>1730</v>
      </c>
      <c r="W12" s="2522">
        <f t="shared" si="6"/>
        <v>1305</v>
      </c>
      <c r="X12" s="2522">
        <f t="shared" si="6"/>
        <v>1047</v>
      </c>
      <c r="Y12" s="2946">
        <f>SUM(Y13:Y15)</f>
        <v>622</v>
      </c>
      <c r="Z12" s="2968">
        <f t="shared" si="6"/>
        <v>1309</v>
      </c>
      <c r="AA12" s="2968">
        <f t="shared" si="6"/>
        <v>1727</v>
      </c>
      <c r="AB12" s="2522">
        <f t="shared" si="6"/>
        <v>1305</v>
      </c>
      <c r="AC12" s="2961">
        <f t="shared" si="6"/>
        <v>422</v>
      </c>
      <c r="AD12" s="2523">
        <f t="shared" si="6"/>
        <v>0</v>
      </c>
      <c r="AE12" s="2524">
        <f t="shared" si="6"/>
        <v>746</v>
      </c>
      <c r="AF12" s="2522">
        <f t="shared" si="6"/>
        <v>482</v>
      </c>
      <c r="AG12" s="2522">
        <f t="shared" si="6"/>
        <v>482</v>
      </c>
      <c r="AH12" s="2956">
        <f t="shared" si="6"/>
        <v>513.35</v>
      </c>
      <c r="AI12" s="2522">
        <f t="shared" si="6"/>
        <v>645</v>
      </c>
      <c r="AJ12" s="2522">
        <f t="shared" si="6"/>
        <v>988.84</v>
      </c>
      <c r="AK12" s="2522">
        <f t="shared" si="6"/>
        <v>444</v>
      </c>
      <c r="AL12" s="2522">
        <f t="shared" si="6"/>
        <v>557</v>
      </c>
      <c r="AM12" s="2522">
        <f t="shared" si="6"/>
        <v>525.51</v>
      </c>
      <c r="AN12" s="2522">
        <f t="shared" si="6"/>
        <v>1525</v>
      </c>
      <c r="AO12" s="2522">
        <f t="shared" si="6"/>
        <v>802</v>
      </c>
      <c r="AP12" s="2522">
        <f t="shared" si="6"/>
        <v>444</v>
      </c>
      <c r="AQ12" s="2961">
        <f t="shared" si="6"/>
        <v>358</v>
      </c>
      <c r="AR12" s="2523">
        <f t="shared" si="6"/>
        <v>0</v>
      </c>
      <c r="AS12" s="2524">
        <f t="shared" si="6"/>
        <v>1213</v>
      </c>
      <c r="AT12" s="2522">
        <f t="shared" si="6"/>
        <v>1655</v>
      </c>
      <c r="AU12" s="2522">
        <f t="shared" si="6"/>
        <v>1655</v>
      </c>
      <c r="AV12" s="2956">
        <f t="shared" si="6"/>
        <v>393</v>
      </c>
      <c r="AW12" s="2522">
        <f t="shared" si="6"/>
        <v>2716</v>
      </c>
      <c r="AX12" s="2522">
        <f t="shared" si="6"/>
        <v>1957</v>
      </c>
      <c r="AY12" s="2522">
        <f t="shared" si="6"/>
        <v>1213.1759999999999</v>
      </c>
      <c r="AZ12" s="2522">
        <f t="shared" si="6"/>
        <v>2378.8239999999996</v>
      </c>
      <c r="BA12" s="2956">
        <f t="shared" si="6"/>
        <v>2028</v>
      </c>
      <c r="BB12" s="2522">
        <f t="shared" si="6"/>
        <v>3843</v>
      </c>
      <c r="BC12" s="2522">
        <f t="shared" si="6"/>
        <v>3575</v>
      </c>
      <c r="BD12" s="2522">
        <f t="shared" si="6"/>
        <v>1213.1759999999999</v>
      </c>
      <c r="BE12" s="2961">
        <f t="shared" si="6"/>
        <v>2361.8240000000001</v>
      </c>
      <c r="BF12" s="2523">
        <f t="shared" si="6"/>
        <v>0</v>
      </c>
      <c r="BG12" s="2524">
        <f t="shared" si="6"/>
        <v>1796</v>
      </c>
      <c r="BH12" s="2522">
        <f t="shared" si="6"/>
        <v>1371</v>
      </c>
      <c r="BI12" s="2522">
        <f t="shared" si="6"/>
        <v>1371</v>
      </c>
      <c r="BJ12" s="2956">
        <f>SUM(BJ13:BJ15)</f>
        <v>314.83999999999997</v>
      </c>
      <c r="BK12" s="2522">
        <f t="shared" si="6"/>
        <v>1871</v>
      </c>
      <c r="BL12" s="2522">
        <f t="shared" si="6"/>
        <v>1461</v>
      </c>
      <c r="BM12" s="2522">
        <f t="shared" si="6"/>
        <v>1658.24</v>
      </c>
      <c r="BN12" s="2522">
        <f t="shared" si="6"/>
        <v>782.76</v>
      </c>
      <c r="BO12" s="2522">
        <f t="shared" si="6"/>
        <v>1294.8399999999997</v>
      </c>
      <c r="BP12" s="2522">
        <f t="shared" ref="BP12:EA12" si="7">SUM(BP13:BP15)</f>
        <v>1669</v>
      </c>
      <c r="BQ12" s="2522">
        <f t="shared" si="7"/>
        <v>1701</v>
      </c>
      <c r="BR12" s="2522">
        <f t="shared" si="7"/>
        <v>1658.24</v>
      </c>
      <c r="BS12" s="2522">
        <f t="shared" si="7"/>
        <v>42.760000000000048</v>
      </c>
      <c r="BT12" s="2523">
        <f t="shared" si="7"/>
        <v>0</v>
      </c>
      <c r="BU12" s="2524">
        <f t="shared" si="7"/>
        <v>1429</v>
      </c>
      <c r="BV12" s="2522">
        <f t="shared" si="7"/>
        <v>914</v>
      </c>
      <c r="BW12" s="2522">
        <f t="shared" si="7"/>
        <v>914</v>
      </c>
      <c r="BX12" s="2522">
        <f t="shared" si="7"/>
        <v>468.69199999999972</v>
      </c>
      <c r="BY12" s="2522">
        <f t="shared" si="7"/>
        <v>1441</v>
      </c>
      <c r="BZ12" s="2522">
        <f t="shared" si="7"/>
        <v>1330</v>
      </c>
      <c r="CA12" s="2522">
        <f t="shared" si="7"/>
        <v>1367.6480000000001</v>
      </c>
      <c r="CB12" s="2522">
        <f t="shared" si="7"/>
        <v>682.35199999999998</v>
      </c>
      <c r="CC12" s="2522">
        <f t="shared" si="7"/>
        <v>1188.6919999999998</v>
      </c>
      <c r="CD12" s="2522">
        <f t="shared" si="7"/>
        <v>1468</v>
      </c>
      <c r="CE12" s="2522">
        <f t="shared" si="7"/>
        <v>1578</v>
      </c>
      <c r="CF12" s="2522">
        <f t="shared" si="7"/>
        <v>1367.6480000000001</v>
      </c>
      <c r="CG12" s="2522">
        <f t="shared" si="7"/>
        <v>210.35199999999998</v>
      </c>
      <c r="CH12" s="2523">
        <f t="shared" si="7"/>
        <v>0</v>
      </c>
      <c r="CI12" s="2524">
        <f t="shared" si="7"/>
        <v>320</v>
      </c>
      <c r="CJ12" s="2522">
        <f t="shared" si="7"/>
        <v>327</v>
      </c>
      <c r="CK12" s="2522">
        <f t="shared" si="7"/>
        <v>327</v>
      </c>
      <c r="CL12" s="2522">
        <f t="shared" si="7"/>
        <v>1578.8</v>
      </c>
      <c r="CM12" s="2522">
        <f t="shared" si="7"/>
        <v>520</v>
      </c>
      <c r="CN12" s="2522">
        <f t="shared" si="7"/>
        <v>732</v>
      </c>
      <c r="CO12" s="2522">
        <f t="shared" si="7"/>
        <v>976.8</v>
      </c>
      <c r="CP12" s="2522">
        <f t="shared" si="7"/>
        <v>0</v>
      </c>
      <c r="CQ12" s="2522">
        <f t="shared" si="7"/>
        <v>1823.6</v>
      </c>
      <c r="CR12" s="2522">
        <f t="shared" si="7"/>
        <v>544</v>
      </c>
      <c r="CS12" s="2522">
        <f t="shared" si="7"/>
        <v>757</v>
      </c>
      <c r="CT12" s="2522">
        <f t="shared" si="7"/>
        <v>976.8</v>
      </c>
      <c r="CU12" s="2522">
        <f t="shared" si="7"/>
        <v>-219.8</v>
      </c>
      <c r="CV12" s="2523">
        <f t="shared" si="7"/>
        <v>0</v>
      </c>
      <c r="CW12" s="2524">
        <f t="shared" si="7"/>
        <v>2402</v>
      </c>
      <c r="CX12" s="2522">
        <f t="shared" si="7"/>
        <v>1019.079</v>
      </c>
      <c r="CY12" s="2522">
        <f t="shared" si="7"/>
        <v>1019.079</v>
      </c>
      <c r="CZ12" s="2522">
        <f t="shared" si="7"/>
        <v>4102.5074999999997</v>
      </c>
      <c r="DA12" s="2522">
        <f t="shared" si="7"/>
        <v>3022</v>
      </c>
      <c r="DB12" s="2522">
        <f t="shared" si="7"/>
        <v>2126</v>
      </c>
      <c r="DC12" s="2522">
        <f t="shared" si="7"/>
        <v>2565.4879999999998</v>
      </c>
      <c r="DD12" s="2522">
        <f t="shared" si="7"/>
        <v>1170.7919999999999</v>
      </c>
      <c r="DE12" s="2522">
        <f t="shared" si="7"/>
        <v>5712.7875000000004</v>
      </c>
      <c r="DF12" s="2522">
        <f t="shared" si="7"/>
        <v>3183</v>
      </c>
      <c r="DG12" s="2522">
        <f>SUM(DG13:DG15)</f>
        <v>2384</v>
      </c>
      <c r="DH12" s="2522">
        <f t="shared" si="7"/>
        <v>2565.9679999999998</v>
      </c>
      <c r="DI12" s="2522">
        <f t="shared" si="7"/>
        <v>-181.96799999999996</v>
      </c>
      <c r="DJ12" s="2523">
        <f t="shared" si="7"/>
        <v>0</v>
      </c>
      <c r="DK12" s="2524">
        <f t="shared" si="7"/>
        <v>2101</v>
      </c>
      <c r="DL12" s="2522">
        <f t="shared" si="7"/>
        <v>1053</v>
      </c>
      <c r="DM12" s="2522">
        <f t="shared" si="7"/>
        <v>1053</v>
      </c>
      <c r="DN12" s="2522">
        <f t="shared" si="7"/>
        <v>-249.43700000000024</v>
      </c>
      <c r="DO12" s="2522">
        <f t="shared" si="7"/>
        <v>2278</v>
      </c>
      <c r="DP12" s="2522">
        <f t="shared" si="7"/>
        <v>1385</v>
      </c>
      <c r="DQ12" s="2522">
        <f t="shared" si="7"/>
        <v>1355.4</v>
      </c>
      <c r="DR12" s="2522">
        <f t="shared" si="7"/>
        <v>0</v>
      </c>
      <c r="DS12" s="2522">
        <f t="shared" si="7"/>
        <v>-279.03700000000026</v>
      </c>
      <c r="DT12" s="2522">
        <f t="shared" si="7"/>
        <v>2529</v>
      </c>
      <c r="DU12" s="2522">
        <f t="shared" si="7"/>
        <v>1469</v>
      </c>
      <c r="DV12" s="2522">
        <f t="shared" si="7"/>
        <v>1355.4</v>
      </c>
      <c r="DW12" s="2522">
        <f t="shared" si="7"/>
        <v>113.6</v>
      </c>
      <c r="DX12" s="2523">
        <f t="shared" si="7"/>
        <v>0</v>
      </c>
      <c r="DY12" s="2524">
        <f t="shared" si="7"/>
        <v>1783</v>
      </c>
      <c r="DZ12" s="2522">
        <f t="shared" si="7"/>
        <v>1150.32</v>
      </c>
      <c r="EA12" s="2522">
        <f t="shared" si="7"/>
        <v>1150.32</v>
      </c>
      <c r="EB12" s="2522">
        <f t="shared" ref="EB12:GB12" si="8">SUM(EB13:EB15)</f>
        <v>329.48</v>
      </c>
      <c r="EC12" s="2522">
        <f t="shared" si="8"/>
        <v>1851</v>
      </c>
      <c r="ED12" s="2522">
        <f t="shared" si="8"/>
        <v>1537.72</v>
      </c>
      <c r="EE12" s="2522">
        <f t="shared" si="8"/>
        <v>1204.1999999999998</v>
      </c>
      <c r="EF12" s="2522">
        <f t="shared" si="8"/>
        <v>568.80000000000007</v>
      </c>
      <c r="EG12" s="2522">
        <f t="shared" si="8"/>
        <v>564.7600000000001</v>
      </c>
      <c r="EH12" s="2522">
        <f t="shared" si="8"/>
        <v>1982</v>
      </c>
      <c r="EI12" s="2522">
        <f t="shared" si="8"/>
        <v>1880</v>
      </c>
      <c r="EJ12" s="2522">
        <f t="shared" si="8"/>
        <v>1204</v>
      </c>
      <c r="EK12" s="2522">
        <f t="shared" si="8"/>
        <v>676</v>
      </c>
      <c r="EL12" s="2523">
        <f t="shared" si="8"/>
        <v>0</v>
      </c>
      <c r="EM12" s="2524">
        <f t="shared" si="8"/>
        <v>2885</v>
      </c>
      <c r="EN12" s="2522">
        <f t="shared" si="8"/>
        <v>1952.0360000000001</v>
      </c>
      <c r="EO12" s="2522">
        <f t="shared" si="8"/>
        <v>1952.0360000000001</v>
      </c>
      <c r="EP12" s="2522">
        <f t="shared" si="8"/>
        <v>1948.3320000000001</v>
      </c>
      <c r="EQ12" s="2522">
        <f t="shared" si="8"/>
        <v>3048</v>
      </c>
      <c r="ER12" s="2522">
        <f t="shared" si="8"/>
        <v>1582</v>
      </c>
      <c r="ES12" s="2522">
        <f t="shared" si="8"/>
        <v>1690.288</v>
      </c>
      <c r="ET12" s="2522">
        <f t="shared" si="8"/>
        <v>182.71199999999999</v>
      </c>
      <c r="EU12" s="2522">
        <f t="shared" si="8"/>
        <v>2239.3319999999999</v>
      </c>
      <c r="EV12" s="2522">
        <f t="shared" si="8"/>
        <v>2778</v>
      </c>
      <c r="EW12" s="2522">
        <f t="shared" si="8"/>
        <v>1703</v>
      </c>
      <c r="EX12" s="2522">
        <f t="shared" si="8"/>
        <v>1690</v>
      </c>
      <c r="EY12" s="2522">
        <f t="shared" si="8"/>
        <v>13</v>
      </c>
      <c r="EZ12" s="2523">
        <f t="shared" si="8"/>
        <v>0</v>
      </c>
      <c r="FA12" s="2524">
        <f t="shared" si="8"/>
        <v>939</v>
      </c>
      <c r="FB12" s="2522">
        <f t="shared" si="8"/>
        <v>672.51</v>
      </c>
      <c r="FC12" s="2522">
        <f t="shared" si="8"/>
        <v>672.51</v>
      </c>
      <c r="FD12" s="2522">
        <f t="shared" si="8"/>
        <v>574.76999999999964</v>
      </c>
      <c r="FE12" s="2522">
        <f t="shared" si="8"/>
        <v>1476</v>
      </c>
      <c r="FF12" s="2522">
        <f t="shared" si="8"/>
        <v>909</v>
      </c>
      <c r="FG12" s="2522">
        <f t="shared" si="8"/>
        <v>874.07999999999993</v>
      </c>
      <c r="FH12" s="2522">
        <f t="shared" si="8"/>
        <v>867</v>
      </c>
      <c r="FI12" s="2522">
        <f t="shared" si="8"/>
        <v>1406.8499999999997</v>
      </c>
      <c r="FJ12" s="2522">
        <f t="shared" si="8"/>
        <v>1598</v>
      </c>
      <c r="FK12" s="2522">
        <f t="shared" si="8"/>
        <v>1021</v>
      </c>
      <c r="FL12" s="2522">
        <f t="shared" si="8"/>
        <v>875</v>
      </c>
      <c r="FM12" s="2522">
        <f t="shared" si="8"/>
        <v>146</v>
      </c>
      <c r="FN12" s="2523">
        <f t="shared" si="8"/>
        <v>0</v>
      </c>
      <c r="FO12" s="2524">
        <f t="shared" si="8"/>
        <v>674</v>
      </c>
      <c r="FP12" s="2522">
        <f t="shared" si="8"/>
        <v>519.67499999999995</v>
      </c>
      <c r="FQ12" s="2522">
        <f t="shared" si="8"/>
        <v>519.67499999999995</v>
      </c>
      <c r="FR12" s="2522">
        <f t="shared" si="8"/>
        <v>1380.663</v>
      </c>
      <c r="FS12" s="2522">
        <f t="shared" si="8"/>
        <v>1256</v>
      </c>
      <c r="FT12" s="2522">
        <f t="shared" si="8"/>
        <v>1125</v>
      </c>
      <c r="FU12" s="2522">
        <f t="shared" si="8"/>
        <v>1279.1679999999999</v>
      </c>
      <c r="FV12" s="2522">
        <f t="shared" si="8"/>
        <v>0</v>
      </c>
      <c r="FW12" s="2522">
        <f t="shared" si="8"/>
        <v>1534.8310000000001</v>
      </c>
      <c r="FX12" s="2522">
        <f t="shared" si="8"/>
        <v>1389</v>
      </c>
      <c r="FY12" s="2522">
        <f t="shared" si="8"/>
        <v>1247</v>
      </c>
      <c r="FZ12" s="2522">
        <f t="shared" si="8"/>
        <v>1279</v>
      </c>
      <c r="GA12" s="2522">
        <f t="shared" si="8"/>
        <v>-32</v>
      </c>
      <c r="GB12" s="2523">
        <f t="shared" si="8"/>
        <v>0</v>
      </c>
    </row>
    <row r="13" spans="1:184" s="433" customFormat="1" ht="104.25" customHeight="1">
      <c r="A13" s="2520" t="s">
        <v>29</v>
      </c>
      <c r="B13" s="2525" t="s">
        <v>1608</v>
      </c>
      <c r="C13" s="2526">
        <f>SUM(Q13,AE13,AS13,BG13,BU13,CI13,CW13,DK13,DY13,EM13,FA13,FO13)</f>
        <v>15827</v>
      </c>
      <c r="D13" s="2526">
        <f t="shared" ref="D13:P15" si="9">SUM(R13,AF13,AT13,BH13,BV13,CJ13,CX13,DL13,DZ13,EN13,FB13,FP13)</f>
        <v>9207.3369999999977</v>
      </c>
      <c r="E13" s="2526">
        <f t="shared" si="9"/>
        <v>9207.3369999999977</v>
      </c>
      <c r="F13" s="2526">
        <f t="shared" si="9"/>
        <v>8735.2884999999987</v>
      </c>
      <c r="G13" s="2526">
        <f t="shared" si="9"/>
        <v>19730</v>
      </c>
      <c r="H13" s="2526">
        <f t="shared" si="9"/>
        <v>11406</v>
      </c>
      <c r="I13" s="2526">
        <f t="shared" si="9"/>
        <v>9734</v>
      </c>
      <c r="J13" s="2526">
        <f t="shared" si="9"/>
        <v>6961.2720000000008</v>
      </c>
      <c r="K13" s="2526">
        <f t="shared" si="9"/>
        <v>12998.357499999996</v>
      </c>
      <c r="L13" s="2526">
        <f t="shared" si="9"/>
        <v>21803</v>
      </c>
      <c r="M13" s="2526">
        <f t="shared" si="9"/>
        <v>13130</v>
      </c>
      <c r="N13" s="2526">
        <f t="shared" si="9"/>
        <v>9734</v>
      </c>
      <c r="O13" s="2526">
        <f t="shared" si="9"/>
        <v>3396</v>
      </c>
      <c r="P13" s="2527">
        <f t="shared" si="9"/>
        <v>0</v>
      </c>
      <c r="Q13" s="2932">
        <v>1778</v>
      </c>
      <c r="R13" s="2933">
        <v>963.79700000000003</v>
      </c>
      <c r="S13" s="2526">
        <f>R13</f>
        <v>963.79700000000003</v>
      </c>
      <c r="T13" s="2934">
        <f>SUM([37]CĐCS!$AM$12:$AP$12)-S13</f>
        <v>1026.203</v>
      </c>
      <c r="U13" s="2938">
        <v>1232</v>
      </c>
      <c r="V13" s="2938">
        <v>1143</v>
      </c>
      <c r="W13" s="2941">
        <v>796</v>
      </c>
      <c r="X13" s="2526">
        <v>715</v>
      </c>
      <c r="Y13" s="2934">
        <f>X13+W13-V13</f>
        <v>368</v>
      </c>
      <c r="Z13" s="2969">
        <v>1178</v>
      </c>
      <c r="AA13" s="2969">
        <v>1095</v>
      </c>
      <c r="AB13" s="2526">
        <v>796</v>
      </c>
      <c r="AC13" s="2963">
        <f>AA13-AB13</f>
        <v>299</v>
      </c>
      <c r="AD13" s="2527"/>
      <c r="AE13" s="2949">
        <v>655</v>
      </c>
      <c r="AF13" s="2950">
        <v>403</v>
      </c>
      <c r="AG13" s="2529">
        <f>AF13</f>
        <v>403</v>
      </c>
      <c r="AH13" s="2957">
        <f>SUM([37]CĐCS!$BP$12:$BS$12)-AG13</f>
        <v>410.35</v>
      </c>
      <c r="AI13" s="2533">
        <v>557</v>
      </c>
      <c r="AJ13" s="2533">
        <v>814</v>
      </c>
      <c r="AK13" s="2533">
        <v>363</v>
      </c>
      <c r="AL13" s="2533">
        <v>484</v>
      </c>
      <c r="AM13" s="2526">
        <f>AL13+AK13-AJ13+AH13</f>
        <v>443.35</v>
      </c>
      <c r="AN13" s="2530">
        <v>1440</v>
      </c>
      <c r="AO13" s="2530">
        <v>663</v>
      </c>
      <c r="AP13" s="2530">
        <v>363</v>
      </c>
      <c r="AQ13" s="2962">
        <f>AO13-AP13</f>
        <v>300</v>
      </c>
      <c r="AR13" s="2531"/>
      <c r="AS13" s="2528">
        <v>769</v>
      </c>
      <c r="AT13" s="2526">
        <v>1119</v>
      </c>
      <c r="AU13" s="2529">
        <f>+AT13</f>
        <v>1119</v>
      </c>
      <c r="AV13" s="2957">
        <f>SUM([37]CĐCS!$CS$12:$CV$12)-AU13-16</f>
        <v>553</v>
      </c>
      <c r="AW13" s="2530">
        <v>2460</v>
      </c>
      <c r="AX13" s="2530">
        <v>1022</v>
      </c>
      <c r="AY13" s="2530">
        <v>769</v>
      </c>
      <c r="AZ13" s="2530">
        <v>1754</v>
      </c>
      <c r="BA13" s="2957">
        <f>AZ13+AY13-AX13+AV13</f>
        <v>2054</v>
      </c>
      <c r="BB13" s="2530">
        <v>3480</v>
      </c>
      <c r="BC13" s="2530">
        <v>2251</v>
      </c>
      <c r="BD13" s="2530">
        <v>769</v>
      </c>
      <c r="BE13" s="2962">
        <f>BC13-BD13</f>
        <v>1482</v>
      </c>
      <c r="BF13" s="2531"/>
      <c r="BG13" s="2528">
        <v>1544</v>
      </c>
      <c r="BH13" s="2526">
        <v>1022</v>
      </c>
      <c r="BI13" s="2529">
        <f>BH13</f>
        <v>1022</v>
      </c>
      <c r="BJ13" s="2957">
        <f>SUM([37]CĐCS!$DV$12:$DY$12)-BI13-993</f>
        <v>213</v>
      </c>
      <c r="BK13" s="2530">
        <v>1718</v>
      </c>
      <c r="BL13" s="2530">
        <v>958</v>
      </c>
      <c r="BM13" s="2530">
        <v>824</v>
      </c>
      <c r="BN13" s="2530">
        <v>782.76</v>
      </c>
      <c r="BO13" s="2526">
        <f>BN13+BM13-BL13+BJ13</f>
        <v>861.76</v>
      </c>
      <c r="BP13" s="2530">
        <v>1498</v>
      </c>
      <c r="BQ13" s="2530">
        <v>1028</v>
      </c>
      <c r="BR13" s="2530">
        <v>824</v>
      </c>
      <c r="BS13" s="2530">
        <f>BQ13-BR13</f>
        <v>204</v>
      </c>
      <c r="BT13" s="2531"/>
      <c r="BU13" s="2528">
        <v>1238</v>
      </c>
      <c r="BV13" s="2532">
        <v>748</v>
      </c>
      <c r="BW13" s="2529">
        <f>BV13</f>
        <v>748</v>
      </c>
      <c r="BX13" s="2532">
        <f>SUM([37]CĐCS!$EY$12:$FB$12)-BW13-877</f>
        <v>309.01999999999975</v>
      </c>
      <c r="BY13" s="2530">
        <v>1251</v>
      </c>
      <c r="BZ13" s="2530">
        <v>999</v>
      </c>
      <c r="CA13" s="2530">
        <v>970</v>
      </c>
      <c r="CB13" s="2530">
        <v>643</v>
      </c>
      <c r="CC13" s="2526">
        <f>CB13+CA13-BZ13+BX13</f>
        <v>923.01999999999975</v>
      </c>
      <c r="CD13" s="2530">
        <v>1235</v>
      </c>
      <c r="CE13" s="2530">
        <v>1194</v>
      </c>
      <c r="CF13" s="2530">
        <v>970</v>
      </c>
      <c r="CG13" s="2530">
        <f>CE13-CF13</f>
        <v>224</v>
      </c>
      <c r="CH13" s="2531"/>
      <c r="CI13" s="2528">
        <v>277</v>
      </c>
      <c r="CJ13" s="2532">
        <v>265</v>
      </c>
      <c r="CK13" s="2529">
        <f>+CJ13</f>
        <v>265</v>
      </c>
      <c r="CL13" s="2532">
        <f>SUM([37]CĐCS!$GB$12:$GE$12)-CK13</f>
        <v>1111</v>
      </c>
      <c r="CM13" s="2530">
        <v>520</v>
      </c>
      <c r="CN13" s="2530">
        <v>732</v>
      </c>
      <c r="CO13" s="2530">
        <v>696</v>
      </c>
      <c r="CP13" s="2530"/>
      <c r="CQ13" s="2526">
        <f>CP13+CO13-CN13+CL13</f>
        <v>1075</v>
      </c>
      <c r="CR13" s="2530">
        <v>544</v>
      </c>
      <c r="CS13" s="2530">
        <v>757</v>
      </c>
      <c r="CT13" s="2530">
        <v>696</v>
      </c>
      <c r="CU13" s="2530">
        <f>CS13-CT13</f>
        <v>61</v>
      </c>
      <c r="CV13" s="2531"/>
      <c r="CW13" s="2528">
        <v>1913</v>
      </c>
      <c r="CX13" s="2532">
        <v>313.73500000000001</v>
      </c>
      <c r="CY13" s="2529">
        <f>CX13</f>
        <v>313.73500000000001</v>
      </c>
      <c r="CZ13" s="2532">
        <f>SUM([37]CĐCS!$HE$12:$HH$12)-CY13</f>
        <v>2466.2275</v>
      </c>
      <c r="DA13" s="2530">
        <v>2657</v>
      </c>
      <c r="DB13" s="2530">
        <v>917</v>
      </c>
      <c r="DC13" s="2530">
        <v>1028</v>
      </c>
      <c r="DD13" s="2530">
        <v>1045</v>
      </c>
      <c r="DE13" s="2526">
        <f>DD13+DC13-DB13+CZ13</f>
        <v>3622.2275</v>
      </c>
      <c r="DF13" s="2530">
        <v>2784</v>
      </c>
      <c r="DG13" s="2530">
        <v>903</v>
      </c>
      <c r="DH13" s="2530">
        <v>1028</v>
      </c>
      <c r="DI13" s="2530">
        <f>DG13-DH13</f>
        <v>-125</v>
      </c>
      <c r="DJ13" s="2531"/>
      <c r="DK13" s="2533">
        <v>1957</v>
      </c>
      <c r="DL13" s="2532">
        <v>919</v>
      </c>
      <c r="DM13" s="2529">
        <f>+DL13</f>
        <v>919</v>
      </c>
      <c r="DN13" s="2532">
        <f>SUM([37]CĐCS!$IH$12:$IK$12)-DM13-1689</f>
        <v>-285.07700000000023</v>
      </c>
      <c r="DO13" s="2530">
        <v>2165</v>
      </c>
      <c r="DP13" s="2530">
        <v>1189</v>
      </c>
      <c r="DQ13" s="2530">
        <v>1125</v>
      </c>
      <c r="DR13" s="2530"/>
      <c r="DS13" s="2526">
        <f>DR13+DQ13-DP13+DN13</f>
        <v>-349.07700000000023</v>
      </c>
      <c r="DT13" s="2533">
        <v>2401</v>
      </c>
      <c r="DU13" s="2530">
        <v>1284</v>
      </c>
      <c r="DV13" s="2530">
        <v>1125</v>
      </c>
      <c r="DW13" s="2530">
        <f>DU13-DV13</f>
        <v>159</v>
      </c>
      <c r="DX13" s="2531"/>
      <c r="DY13" s="2528">
        <v>1632</v>
      </c>
      <c r="DZ13" s="2532">
        <v>758</v>
      </c>
      <c r="EA13" s="2529">
        <f>+DZ13</f>
        <v>758</v>
      </c>
      <c r="EB13" s="2532">
        <f>SUM([37]CĐCS!$JK$12:$JN$12)-EA13-79</f>
        <v>59</v>
      </c>
      <c r="EC13" s="2530">
        <v>1723</v>
      </c>
      <c r="ED13" s="2530">
        <v>884</v>
      </c>
      <c r="EE13" s="2530">
        <v>445</v>
      </c>
      <c r="EF13" s="2530">
        <v>568.80000000000007</v>
      </c>
      <c r="EG13" s="2526">
        <f>EF13+EE13-ED13+EB13</f>
        <v>188.80000000000007</v>
      </c>
      <c r="EH13" s="2530">
        <v>1846</v>
      </c>
      <c r="EI13" s="2530">
        <v>953</v>
      </c>
      <c r="EJ13" s="2530">
        <v>445</v>
      </c>
      <c r="EK13" s="2530">
        <f>EI13-EJ13</f>
        <v>508</v>
      </c>
      <c r="EL13" s="2531"/>
      <c r="EM13" s="2528">
        <v>2579</v>
      </c>
      <c r="EN13" s="2532">
        <v>1684</v>
      </c>
      <c r="EO13" s="2529">
        <f>+EN13</f>
        <v>1684</v>
      </c>
      <c r="EP13" s="2532">
        <f>SUM([37]CĐCS!$KN$12:$KQ$12)-EO13</f>
        <v>1483</v>
      </c>
      <c r="EQ13" s="2530">
        <v>2877</v>
      </c>
      <c r="ER13" s="2530">
        <v>1345</v>
      </c>
      <c r="ES13" s="2530">
        <v>1270</v>
      </c>
      <c r="ET13" s="2530">
        <v>182.71199999999999</v>
      </c>
      <c r="EU13" s="2526">
        <f>ET13+ES13-ER13+EP13</f>
        <v>1590.712</v>
      </c>
      <c r="EV13" s="2530">
        <v>2593</v>
      </c>
      <c r="EW13" s="2530">
        <v>1420</v>
      </c>
      <c r="EX13" s="2530">
        <v>1270</v>
      </c>
      <c r="EY13" s="2530">
        <f>EW13-EX13</f>
        <v>150</v>
      </c>
      <c r="EZ13" s="2531"/>
      <c r="FA13" s="2528">
        <v>863</v>
      </c>
      <c r="FB13" s="2532">
        <v>601.13</v>
      </c>
      <c r="FC13" s="2529">
        <f>+FB13</f>
        <v>601.13</v>
      </c>
      <c r="FD13" s="2532">
        <f>SUM([37]CĐCS!$LQ$12:$LT$12)-FC13-1152</f>
        <v>340.06999999999971</v>
      </c>
      <c r="FE13" s="2530">
        <v>1433</v>
      </c>
      <c r="FF13" s="2530">
        <v>578</v>
      </c>
      <c r="FG13" s="2530">
        <v>448</v>
      </c>
      <c r="FH13" s="2530">
        <v>786</v>
      </c>
      <c r="FI13" s="2526">
        <f>FH13+FG13-FF13+FD13</f>
        <v>996.06999999999971</v>
      </c>
      <c r="FJ13" s="2530">
        <v>1534</v>
      </c>
      <c r="FK13" s="2530">
        <v>654</v>
      </c>
      <c r="FL13" s="2530">
        <v>448</v>
      </c>
      <c r="FM13" s="2530">
        <f>FK13-FL13</f>
        <v>206</v>
      </c>
      <c r="FN13" s="2531"/>
      <c r="FO13" s="2528">
        <v>622</v>
      </c>
      <c r="FP13" s="2532">
        <v>410.67500000000001</v>
      </c>
      <c r="FQ13" s="2529">
        <f>+FP13</f>
        <v>410.67500000000001</v>
      </c>
      <c r="FR13" s="2532">
        <f>SUM([37]CĐCS!$MT$12:$MW$12)-FQ13</f>
        <v>1049.4950000000001</v>
      </c>
      <c r="FS13" s="2530">
        <v>1137</v>
      </c>
      <c r="FT13" s="2530">
        <v>825</v>
      </c>
      <c r="FU13" s="2530">
        <v>1000</v>
      </c>
      <c r="FV13" s="2530"/>
      <c r="FW13" s="2526">
        <f>FV13+FU13-FT13+FR13</f>
        <v>1224.4950000000001</v>
      </c>
      <c r="FX13" s="2530">
        <v>1270</v>
      </c>
      <c r="FY13" s="2530">
        <v>928</v>
      </c>
      <c r="FZ13" s="2530">
        <v>1000</v>
      </c>
      <c r="GA13" s="2530">
        <f>FY13-FZ13</f>
        <v>-72</v>
      </c>
      <c r="GB13" s="2531"/>
    </row>
    <row r="14" spans="1:184" s="433" customFormat="1" ht="59.25" customHeight="1">
      <c r="A14" s="2520" t="s">
        <v>29</v>
      </c>
      <c r="B14" s="2525" t="s">
        <v>1609</v>
      </c>
      <c r="C14" s="2526">
        <f t="shared" ref="C14:C15" si="10">SUM(Q14,AE14,AS14,BG14,BU14,CI14,CW14,DK14,DY14,EM14,FA14,FO14)</f>
        <v>2085</v>
      </c>
      <c r="D14" s="2526">
        <f t="shared" si="9"/>
        <v>1961.28</v>
      </c>
      <c r="E14" s="2526">
        <f t="shared" si="9"/>
        <v>1961.28</v>
      </c>
      <c r="F14" s="2526">
        <f t="shared" si="9"/>
        <v>2358.5200000000004</v>
      </c>
      <c r="G14" s="2526">
        <f t="shared" si="9"/>
        <v>1538</v>
      </c>
      <c r="H14" s="2526">
        <f t="shared" si="9"/>
        <v>2252.7200000000003</v>
      </c>
      <c r="I14" s="2526">
        <f t="shared" si="9"/>
        <v>3431.88</v>
      </c>
      <c r="J14" s="2526">
        <f t="shared" si="9"/>
        <v>561.04</v>
      </c>
      <c r="K14" s="2526">
        <f t="shared" si="9"/>
        <v>3717.4799999999991</v>
      </c>
      <c r="L14" s="2526">
        <f t="shared" si="9"/>
        <v>1699</v>
      </c>
      <c r="M14" s="2526">
        <f t="shared" si="9"/>
        <v>2554</v>
      </c>
      <c r="N14" s="2526">
        <f t="shared" si="9"/>
        <v>3433.32</v>
      </c>
      <c r="O14" s="2526">
        <f>SUM(AC14,AQ14,BE14,BS14,CG14,CU14,DI14,DW14,EK14,EY14,FM14,GA14)</f>
        <v>-879.32</v>
      </c>
      <c r="P14" s="2527">
        <f t="shared" si="9"/>
        <v>0</v>
      </c>
      <c r="Q14" s="2932">
        <v>137</v>
      </c>
      <c r="R14" s="2933">
        <v>185.76</v>
      </c>
      <c r="S14" s="2526">
        <f>R14</f>
        <v>185.76</v>
      </c>
      <c r="T14" s="2934">
        <f>SUM([37]CĐCS!$AM$13:$AP$13)-S14</f>
        <v>381.24</v>
      </c>
      <c r="U14" s="2938">
        <v>113</v>
      </c>
      <c r="V14" s="2938">
        <v>163</v>
      </c>
      <c r="W14" s="2942">
        <v>228</v>
      </c>
      <c r="X14" s="2526">
        <v>96</v>
      </c>
      <c r="Y14" s="2934">
        <f t="shared" ref="Y14:Y17" si="11">X14+W14-V14</f>
        <v>161</v>
      </c>
      <c r="Z14" s="2969">
        <v>27</v>
      </c>
      <c r="AA14" s="2969">
        <v>150</v>
      </c>
      <c r="AB14" s="2526">
        <v>228</v>
      </c>
      <c r="AC14" s="2963">
        <f>AA14-AB14</f>
        <v>-78</v>
      </c>
      <c r="AD14" s="2527"/>
      <c r="AE14" s="2949">
        <v>90</v>
      </c>
      <c r="AF14" s="2950">
        <v>72</v>
      </c>
      <c r="AG14" s="2529">
        <f>AF14</f>
        <v>72</v>
      </c>
      <c r="AH14" s="2957">
        <f>SUM([37]CĐCS!$BP$13:$BS$13)-AG14</f>
        <v>60</v>
      </c>
      <c r="AI14" s="2533">
        <v>87</v>
      </c>
      <c r="AJ14" s="2533">
        <v>153</v>
      </c>
      <c r="AK14" s="2533">
        <v>69</v>
      </c>
      <c r="AL14" s="2533">
        <v>35</v>
      </c>
      <c r="AM14" s="2526">
        <f>AL14+AK14-AJ14+AH14</f>
        <v>11</v>
      </c>
      <c r="AN14" s="2530">
        <v>84</v>
      </c>
      <c r="AO14" s="2530">
        <v>121</v>
      </c>
      <c r="AP14" s="2530">
        <v>69</v>
      </c>
      <c r="AQ14" s="2962">
        <f>AO14-AP14</f>
        <v>52</v>
      </c>
      <c r="AR14" s="2531"/>
      <c r="AS14" s="2528">
        <v>245</v>
      </c>
      <c r="AT14" s="2526">
        <v>307</v>
      </c>
      <c r="AU14" s="2529">
        <f>+AT14</f>
        <v>307</v>
      </c>
      <c r="AV14" s="2957">
        <f>SUM([37]CĐCS!$CS$13:$CV$13)-AU14-240</f>
        <v>-138</v>
      </c>
      <c r="AW14" s="2530">
        <v>207</v>
      </c>
      <c r="AX14" s="2530">
        <v>298</v>
      </c>
      <c r="AY14" s="2530">
        <v>244.8</v>
      </c>
      <c r="AZ14" s="2530">
        <v>307.2</v>
      </c>
      <c r="BA14" s="2957">
        <f t="shared" ref="BA14:BA18" si="12">AZ14+AY14-AX14+AV14</f>
        <v>116</v>
      </c>
      <c r="BB14" s="2530">
        <v>314</v>
      </c>
      <c r="BC14" s="2530">
        <v>449</v>
      </c>
      <c r="BD14" s="2530">
        <v>244.8</v>
      </c>
      <c r="BE14" s="2962">
        <f>BC14-BD14</f>
        <v>204.2</v>
      </c>
      <c r="BF14" s="2531"/>
      <c r="BG14" s="2528">
        <v>239</v>
      </c>
      <c r="BH14" s="2526">
        <v>203</v>
      </c>
      <c r="BI14" s="2529">
        <f>BH14</f>
        <v>203</v>
      </c>
      <c r="BJ14" s="2957">
        <f>SUM([37]CĐCS!$DV$13:$DY$13)-BI14-409</f>
        <v>-12</v>
      </c>
      <c r="BK14" s="2530">
        <v>131</v>
      </c>
      <c r="BL14" s="2530">
        <v>189</v>
      </c>
      <c r="BM14" s="2530">
        <v>482.4</v>
      </c>
      <c r="BN14" s="2530"/>
      <c r="BO14" s="2526">
        <f>BN14+BM14-BL14+BJ14</f>
        <v>281.39999999999998</v>
      </c>
      <c r="BP14" s="2530">
        <v>145</v>
      </c>
      <c r="BQ14" s="2530">
        <v>209</v>
      </c>
      <c r="BR14" s="2530">
        <v>482.4</v>
      </c>
      <c r="BS14" s="2530">
        <f>BQ14-BR14</f>
        <v>-273.39999999999998</v>
      </c>
      <c r="BT14" s="2531"/>
      <c r="BU14" s="2528">
        <v>189</v>
      </c>
      <c r="BV14" s="2532">
        <v>141</v>
      </c>
      <c r="BW14" s="2529">
        <f>BV14</f>
        <v>141</v>
      </c>
      <c r="BX14" s="2532">
        <f>SUM([37]CĐCS!$EY$13:$FB$13)-BW14-248</f>
        <v>214.76</v>
      </c>
      <c r="BY14" s="2530">
        <v>186</v>
      </c>
      <c r="BZ14" s="2530">
        <v>268</v>
      </c>
      <c r="CA14" s="2530">
        <v>385.92</v>
      </c>
      <c r="CB14" s="2530">
        <v>9.0799999999999841</v>
      </c>
      <c r="CC14" s="2526">
        <f>CB14+CA14-BZ14+BX14</f>
        <v>341.76</v>
      </c>
      <c r="CD14" s="2530">
        <v>230</v>
      </c>
      <c r="CE14" s="2530">
        <v>330</v>
      </c>
      <c r="CF14" s="2530">
        <v>385.92</v>
      </c>
      <c r="CG14" s="2530">
        <f t="shared" ref="CG14:CG18" si="13">CE14-CF14</f>
        <v>-55.920000000000016</v>
      </c>
      <c r="CH14" s="2531"/>
      <c r="CI14" s="2528">
        <v>43</v>
      </c>
      <c r="CJ14" s="2532">
        <v>62</v>
      </c>
      <c r="CK14" s="2529">
        <f>+CJ14</f>
        <v>62</v>
      </c>
      <c r="CL14" s="2532">
        <f>SUM([37]CĐCS!$GB$13:$GE$13)-CK14</f>
        <v>467.79999999999995</v>
      </c>
      <c r="CM14" s="2530"/>
      <c r="CN14" s="2530"/>
      <c r="CO14" s="2530">
        <v>280.8</v>
      </c>
      <c r="CP14" s="2530"/>
      <c r="CQ14" s="2526">
        <f>CP14+CO14-CN14+CL14</f>
        <v>748.59999999999991</v>
      </c>
      <c r="CR14" s="2530"/>
      <c r="CS14" s="2530"/>
      <c r="CT14" s="2530">
        <v>280.8</v>
      </c>
      <c r="CU14" s="2530">
        <f>CS14-CT14</f>
        <v>-280.8</v>
      </c>
      <c r="CV14" s="2531"/>
      <c r="CW14" s="2528">
        <v>459</v>
      </c>
      <c r="CX14" s="2532">
        <v>385.92</v>
      </c>
      <c r="CY14" s="2529">
        <f>CX14</f>
        <v>385.92</v>
      </c>
      <c r="CZ14" s="2532">
        <f>SUM([37]CĐCS!$HE$13:$HH$13)-CY14</f>
        <v>545.55999999999995</v>
      </c>
      <c r="DA14" s="2530">
        <v>303</v>
      </c>
      <c r="DB14" s="2530">
        <v>437</v>
      </c>
      <c r="DC14" s="2530">
        <v>587.52</v>
      </c>
      <c r="DD14" s="2530">
        <v>113.75999999999999</v>
      </c>
      <c r="DE14" s="2526">
        <f>DD14+DC14-DB14+CZ14</f>
        <v>809.83999999999992</v>
      </c>
      <c r="DF14" s="2530">
        <v>342</v>
      </c>
      <c r="DG14" s="2530">
        <v>493</v>
      </c>
      <c r="DH14" s="2530">
        <v>588</v>
      </c>
      <c r="DI14" s="2530">
        <f t="shared" ref="DI14:DI15" si="14">DG14-DH14</f>
        <v>-95</v>
      </c>
      <c r="DJ14" s="2531"/>
      <c r="DK14" s="2533">
        <v>144</v>
      </c>
      <c r="DL14" s="2532">
        <v>134</v>
      </c>
      <c r="DM14" s="2529">
        <f>+DL14</f>
        <v>134</v>
      </c>
      <c r="DN14" s="2532">
        <f>SUM([37]CĐCS!$IH$13:$IK$13)-DM14-197</f>
        <v>35.639999999999986</v>
      </c>
      <c r="DO14" s="2530">
        <v>113</v>
      </c>
      <c r="DP14" s="2530">
        <v>196</v>
      </c>
      <c r="DQ14" s="2530">
        <v>230.4</v>
      </c>
      <c r="DR14" s="2530"/>
      <c r="DS14" s="2526">
        <f>DR14+DQ14-DP14+DN14</f>
        <v>70.039999999999992</v>
      </c>
      <c r="DT14" s="2533">
        <v>128</v>
      </c>
      <c r="DU14" s="2530">
        <v>185</v>
      </c>
      <c r="DV14" s="2530">
        <v>230.4</v>
      </c>
      <c r="DW14" s="2530">
        <f>DU14-DV14</f>
        <v>-45.400000000000006</v>
      </c>
      <c r="DX14" s="2531"/>
      <c r="DY14" s="2528">
        <v>128</v>
      </c>
      <c r="DZ14" s="2532">
        <v>108.32</v>
      </c>
      <c r="EA14" s="2529">
        <f>+DZ14</f>
        <v>108.32</v>
      </c>
      <c r="EB14" s="2532">
        <f>SUM([37]CĐCS!$JK$13:$JN$13)-EA14-31</f>
        <v>77.480000000000018</v>
      </c>
      <c r="EC14" s="2530">
        <v>88</v>
      </c>
      <c r="ED14" s="2530">
        <v>126.72</v>
      </c>
      <c r="EE14" s="2530">
        <v>172.8</v>
      </c>
      <c r="EF14" s="2530"/>
      <c r="EG14" s="2526">
        <f>EF14+EE14-ED14+EB14</f>
        <v>123.56000000000003</v>
      </c>
      <c r="EH14" s="2530">
        <v>89</v>
      </c>
      <c r="EI14" s="2530">
        <v>128</v>
      </c>
      <c r="EJ14" s="2530">
        <v>173</v>
      </c>
      <c r="EK14" s="2530">
        <f>EI14-EJ14</f>
        <v>-45</v>
      </c>
      <c r="EL14" s="2531"/>
      <c r="EM14" s="2528">
        <v>304</v>
      </c>
      <c r="EN14" s="2532">
        <v>248.8</v>
      </c>
      <c r="EO14" s="2529">
        <f>+EN14</f>
        <v>248.8</v>
      </c>
      <c r="EP14" s="2532">
        <f>SUM([37]CĐCS!$KN$13:$KQ$13)-EO14</f>
        <v>402.2</v>
      </c>
      <c r="EQ14" s="2530">
        <v>170</v>
      </c>
      <c r="ER14" s="2530">
        <v>221</v>
      </c>
      <c r="ES14" s="2530">
        <v>349.92</v>
      </c>
      <c r="ET14" s="2530"/>
      <c r="EU14" s="2526">
        <f>ET14+ES14-ER14+EP14</f>
        <v>531.12</v>
      </c>
      <c r="EV14" s="2530">
        <v>184</v>
      </c>
      <c r="EW14" s="2530">
        <v>265</v>
      </c>
      <c r="EX14" s="2530">
        <v>350</v>
      </c>
      <c r="EY14" s="2530">
        <f t="shared" ref="EY14:EY18" si="15">EW14-EX14</f>
        <v>-85</v>
      </c>
      <c r="EZ14" s="2531"/>
      <c r="FA14" s="2528">
        <v>59</v>
      </c>
      <c r="FB14" s="2532">
        <v>52.48</v>
      </c>
      <c r="FC14" s="2529">
        <f>+FB14</f>
        <v>52.48</v>
      </c>
      <c r="FD14" s="2532">
        <f>SUM([37]CĐCS!$LQ$13:$LT$13)-FC14-194</f>
        <v>32.039999999999992</v>
      </c>
      <c r="FE14" s="2530">
        <v>30</v>
      </c>
      <c r="FF14" s="2530">
        <v>43</v>
      </c>
      <c r="FG14" s="2530">
        <v>191.52</v>
      </c>
      <c r="FH14" s="2530"/>
      <c r="FI14" s="2526">
        <f>FH14+FG14-FF14+FD14</f>
        <v>180.56</v>
      </c>
      <c r="FJ14" s="2530">
        <v>46</v>
      </c>
      <c r="FK14" s="2530">
        <v>66</v>
      </c>
      <c r="FL14" s="2530">
        <v>192</v>
      </c>
      <c r="FM14" s="2530">
        <f>FK14-FL14</f>
        <v>-126</v>
      </c>
      <c r="FN14" s="2531"/>
      <c r="FO14" s="2528">
        <v>48</v>
      </c>
      <c r="FP14" s="2532">
        <v>61</v>
      </c>
      <c r="FQ14" s="2529">
        <f>+FP14</f>
        <v>61</v>
      </c>
      <c r="FR14" s="2532">
        <f>SUM([37]CĐCS!$MT$13:$MW$13)-FQ14</f>
        <v>291.8</v>
      </c>
      <c r="FS14" s="2530">
        <v>110</v>
      </c>
      <c r="FT14" s="2530">
        <v>158</v>
      </c>
      <c r="FU14" s="2530">
        <v>208.8</v>
      </c>
      <c r="FV14" s="2530"/>
      <c r="FW14" s="2526">
        <f>FV14+FU14-FT14+FR14</f>
        <v>342.6</v>
      </c>
      <c r="FX14" s="2530">
        <v>110</v>
      </c>
      <c r="FY14" s="2530">
        <v>158</v>
      </c>
      <c r="FZ14" s="2530">
        <v>209</v>
      </c>
      <c r="GA14" s="2530">
        <f>FY14-FZ14</f>
        <v>-51</v>
      </c>
      <c r="GB14" s="2531"/>
    </row>
    <row r="15" spans="1:184" s="433" customFormat="1" ht="87" customHeight="1">
      <c r="A15" s="2520" t="s">
        <v>29</v>
      </c>
      <c r="B15" s="2525" t="s">
        <v>1026</v>
      </c>
      <c r="C15" s="2526">
        <f t="shared" si="10"/>
        <v>316</v>
      </c>
      <c r="D15" s="2526">
        <f t="shared" si="9"/>
        <v>1402.15</v>
      </c>
      <c r="E15" s="2526">
        <f t="shared" si="9"/>
        <v>1402.15</v>
      </c>
      <c r="F15" s="2526">
        <f t="shared" si="9"/>
        <v>4720.0419999999995</v>
      </c>
      <c r="G15" s="2526">
        <f t="shared" si="9"/>
        <v>228</v>
      </c>
      <c r="H15" s="2526">
        <f t="shared" si="9"/>
        <v>3204.84</v>
      </c>
      <c r="I15" s="2526">
        <f t="shared" si="9"/>
        <v>2767.6079999999997</v>
      </c>
      <c r="J15" s="2526">
        <f t="shared" si="9"/>
        <v>714.92800000000011</v>
      </c>
      <c r="K15" s="2526">
        <f t="shared" si="9"/>
        <v>1946.328</v>
      </c>
      <c r="L15" s="2526">
        <f t="shared" si="9"/>
        <v>315</v>
      </c>
      <c r="M15" s="2526">
        <f t="shared" si="9"/>
        <v>4160</v>
      </c>
      <c r="N15" s="2526">
        <f t="shared" si="9"/>
        <v>2766.9119999999998</v>
      </c>
      <c r="O15" s="2526">
        <f t="shared" si="9"/>
        <v>1393.0880000000002</v>
      </c>
      <c r="P15" s="2527">
        <f t="shared" si="9"/>
        <v>0</v>
      </c>
      <c r="Q15" s="2932">
        <v>25</v>
      </c>
      <c r="R15" s="2933">
        <v>305.58999999999997</v>
      </c>
      <c r="S15" s="2526">
        <f>R15</f>
        <v>305.58999999999997</v>
      </c>
      <c r="T15" s="2526">
        <f>SUM([37]CĐCS!$AM$14:$AP$14)-S15</f>
        <v>3051.41</v>
      </c>
      <c r="U15" s="2938">
        <v>27</v>
      </c>
      <c r="V15" s="2938">
        <v>424</v>
      </c>
      <c r="W15" s="2942">
        <v>281</v>
      </c>
      <c r="X15" s="2526">
        <v>236</v>
      </c>
      <c r="Y15" s="2934">
        <f t="shared" si="11"/>
        <v>93</v>
      </c>
      <c r="Z15" s="2969">
        <v>104</v>
      </c>
      <c r="AA15" s="2969">
        <v>482</v>
      </c>
      <c r="AB15" s="2526">
        <v>281</v>
      </c>
      <c r="AC15" s="2963">
        <f>AA15-AB15</f>
        <v>201</v>
      </c>
      <c r="AD15" s="2527"/>
      <c r="AE15" s="2949">
        <v>1</v>
      </c>
      <c r="AF15" s="2950">
        <v>7</v>
      </c>
      <c r="AG15" s="2535">
        <f>AF15</f>
        <v>7</v>
      </c>
      <c r="AH15" s="2957">
        <f>SUM([37]CĐCS!$BP$14:$BS$14)-AG15</f>
        <v>43</v>
      </c>
      <c r="AI15" s="2533">
        <v>1</v>
      </c>
      <c r="AJ15" s="2533">
        <v>21.84</v>
      </c>
      <c r="AK15" s="2533">
        <v>12</v>
      </c>
      <c r="AL15" s="2533">
        <v>38</v>
      </c>
      <c r="AM15" s="2526">
        <f>AL15+AK15-AJ15+AH15</f>
        <v>71.16</v>
      </c>
      <c r="AN15" s="2530">
        <v>1</v>
      </c>
      <c r="AO15" s="2530">
        <v>18</v>
      </c>
      <c r="AP15" s="2530">
        <v>12</v>
      </c>
      <c r="AQ15" s="2962">
        <f>AO15-AP15</f>
        <v>6</v>
      </c>
      <c r="AR15" s="2531"/>
      <c r="AS15" s="2528">
        <v>199</v>
      </c>
      <c r="AT15" s="2526">
        <v>229</v>
      </c>
      <c r="AU15" s="2535">
        <f>+AT15</f>
        <v>229</v>
      </c>
      <c r="AV15" s="2957">
        <f>SUM([37]CĐCS!$CS$14:$CV$14)-AU15-78</f>
        <v>-22</v>
      </c>
      <c r="AW15" s="2530">
        <v>49</v>
      </c>
      <c r="AX15" s="2530">
        <v>637</v>
      </c>
      <c r="AY15" s="2530">
        <v>199.376</v>
      </c>
      <c r="AZ15" s="2530">
        <v>317.62400000000002</v>
      </c>
      <c r="BA15" s="2957">
        <f t="shared" si="12"/>
        <v>-142</v>
      </c>
      <c r="BB15" s="2530">
        <v>49</v>
      </c>
      <c r="BC15" s="2530">
        <v>875</v>
      </c>
      <c r="BD15" s="2530">
        <v>199.376</v>
      </c>
      <c r="BE15" s="2962">
        <f>BC15-BD15</f>
        <v>675.62400000000002</v>
      </c>
      <c r="BF15" s="2531"/>
      <c r="BG15" s="2528">
        <v>13</v>
      </c>
      <c r="BH15" s="2526">
        <v>146</v>
      </c>
      <c r="BI15" s="2535">
        <f>BH15</f>
        <v>146</v>
      </c>
      <c r="BJ15" s="2957">
        <f>SUM([37]CĐCS!$DV$14:$DY$14)-BI15-92</f>
        <v>113.83999999999997</v>
      </c>
      <c r="BK15" s="2530">
        <v>22</v>
      </c>
      <c r="BL15" s="2530">
        <v>314</v>
      </c>
      <c r="BM15" s="2530">
        <v>351.84</v>
      </c>
      <c r="BN15" s="2530"/>
      <c r="BO15" s="2526">
        <f>BN15+BM15-BL15+BJ15</f>
        <v>151.67999999999995</v>
      </c>
      <c r="BP15" s="2530">
        <v>26</v>
      </c>
      <c r="BQ15" s="2530">
        <v>464</v>
      </c>
      <c r="BR15" s="2530">
        <v>351.84</v>
      </c>
      <c r="BS15" s="2530">
        <f>BQ15-BR15</f>
        <v>112.16000000000003</v>
      </c>
      <c r="BT15" s="2531"/>
      <c r="BU15" s="2528">
        <v>2</v>
      </c>
      <c r="BV15" s="2532">
        <v>25</v>
      </c>
      <c r="BW15" s="2535">
        <f>BV15</f>
        <v>25</v>
      </c>
      <c r="BX15" s="2536">
        <f>SUM([37]CĐCS!$EY$14:$FB$14)-BW15-46</f>
        <v>-55.088000000000001</v>
      </c>
      <c r="BY15" s="2530">
        <v>4</v>
      </c>
      <c r="BZ15" s="2530">
        <v>63</v>
      </c>
      <c r="CA15" s="2530">
        <v>11.728</v>
      </c>
      <c r="CB15" s="2530">
        <v>30.271999999999998</v>
      </c>
      <c r="CC15" s="2526">
        <f>CB15+CA15-BZ15+BX15</f>
        <v>-76.087999999999994</v>
      </c>
      <c r="CD15" s="2530">
        <v>3</v>
      </c>
      <c r="CE15" s="2530">
        <v>54</v>
      </c>
      <c r="CF15" s="2530">
        <v>11.728</v>
      </c>
      <c r="CG15" s="2530">
        <f t="shared" si="13"/>
        <v>42.271999999999998</v>
      </c>
      <c r="CH15" s="2531"/>
      <c r="CI15" s="2528"/>
      <c r="CJ15" s="2532"/>
      <c r="CK15" s="2534">
        <f>+CJ15</f>
        <v>0</v>
      </c>
      <c r="CL15" s="2536">
        <f>SUM([37]CĐCS!$GB$14:$GE$14)-CK15</f>
        <v>0</v>
      </c>
      <c r="CM15" s="2530"/>
      <c r="CN15" s="2530"/>
      <c r="CO15" s="2530"/>
      <c r="CP15" s="2530">
        <v>0</v>
      </c>
      <c r="CQ15" s="2526">
        <f>CP15+CO15-CN15+CL15</f>
        <v>0</v>
      </c>
      <c r="CR15" s="2530"/>
      <c r="CS15" s="2530"/>
      <c r="CT15" s="2530"/>
      <c r="CU15" s="2530">
        <f>CS15-CT15</f>
        <v>0</v>
      </c>
      <c r="CV15" s="2531"/>
      <c r="CW15" s="2528">
        <v>30</v>
      </c>
      <c r="CX15" s="2532">
        <v>319.42399999999998</v>
      </c>
      <c r="CY15" s="2535">
        <f>CX15</f>
        <v>319.42399999999998</v>
      </c>
      <c r="CZ15" s="2532">
        <f>SUM([37]CĐCS!$HE$14:$HH$14)-CY15</f>
        <v>1090.7199999999998</v>
      </c>
      <c r="DA15" s="2530">
        <v>62</v>
      </c>
      <c r="DB15" s="2530">
        <v>772</v>
      </c>
      <c r="DC15" s="2530">
        <v>949.96799999999996</v>
      </c>
      <c r="DD15" s="2530">
        <v>12.032000000000039</v>
      </c>
      <c r="DE15" s="2526">
        <f>DD15+DC15-DB15+CZ15</f>
        <v>1280.7199999999998</v>
      </c>
      <c r="DF15" s="2530">
        <v>57</v>
      </c>
      <c r="DG15" s="2530">
        <v>988</v>
      </c>
      <c r="DH15" s="2530">
        <v>949.96799999999996</v>
      </c>
      <c r="DI15" s="2530">
        <f t="shared" si="14"/>
        <v>38.032000000000039</v>
      </c>
      <c r="DJ15" s="2531"/>
      <c r="DK15" s="2528"/>
      <c r="DL15" s="2532"/>
      <c r="DM15" s="2534">
        <f>+DL15</f>
        <v>0</v>
      </c>
      <c r="DN15" s="2532">
        <f>SUM([37]CĐCS!$IH$14:$IK$14)-DM15</f>
        <v>0</v>
      </c>
      <c r="DO15" s="2530"/>
      <c r="DP15" s="2530"/>
      <c r="DQ15" s="2530"/>
      <c r="DR15" s="2530">
        <v>0</v>
      </c>
      <c r="DS15" s="2526">
        <f>DR15+DQ15-DP15+DN15</f>
        <v>0</v>
      </c>
      <c r="DT15" s="2530"/>
      <c r="DU15" s="2530"/>
      <c r="DV15" s="2530"/>
      <c r="DW15" s="2530"/>
      <c r="DX15" s="2531"/>
      <c r="DY15" s="2528">
        <v>23</v>
      </c>
      <c r="DZ15" s="2532">
        <v>284</v>
      </c>
      <c r="EA15" s="2534">
        <f>+DZ15</f>
        <v>284</v>
      </c>
      <c r="EB15" s="2532">
        <f>SUM([37]CĐCS!$JK$14:$JN$14)-EA15-393</f>
        <v>193</v>
      </c>
      <c r="EC15" s="2530">
        <v>40</v>
      </c>
      <c r="ED15" s="2530">
        <v>527</v>
      </c>
      <c r="EE15" s="2530">
        <v>586.4</v>
      </c>
      <c r="EF15" s="2530"/>
      <c r="EG15" s="2526">
        <f>EF15+EE15-ED15+EB15</f>
        <v>252.39999999999998</v>
      </c>
      <c r="EH15" s="2530">
        <v>47</v>
      </c>
      <c r="EI15" s="2530">
        <v>799</v>
      </c>
      <c r="EJ15" s="2530">
        <v>586</v>
      </c>
      <c r="EK15" s="2530">
        <f>EI15-EJ15</f>
        <v>213</v>
      </c>
      <c r="EL15" s="2531"/>
      <c r="EM15" s="2528">
        <v>2</v>
      </c>
      <c r="EN15" s="2532">
        <v>19.236000000000001</v>
      </c>
      <c r="EO15" s="2534">
        <f>+EN15</f>
        <v>19.236000000000001</v>
      </c>
      <c r="EP15" s="2532">
        <f>SUM([37]CĐCS!$KN$14:$KQ$14)-EO15</f>
        <v>63.131999999999991</v>
      </c>
      <c r="EQ15" s="2530">
        <v>1</v>
      </c>
      <c r="ER15" s="2530">
        <v>16</v>
      </c>
      <c r="ES15" s="2530">
        <v>70.367999999999995</v>
      </c>
      <c r="ET15" s="2530"/>
      <c r="EU15" s="2526">
        <f>ET15+ES15-ER15+EP15</f>
        <v>117.49999999999999</v>
      </c>
      <c r="EV15" s="2530">
        <v>1</v>
      </c>
      <c r="EW15" s="2530">
        <v>18</v>
      </c>
      <c r="EX15" s="2530">
        <v>70</v>
      </c>
      <c r="EY15" s="2530">
        <f t="shared" si="15"/>
        <v>-52</v>
      </c>
      <c r="EZ15" s="2531"/>
      <c r="FA15" s="2528">
        <v>17</v>
      </c>
      <c r="FB15" s="2532">
        <v>18.899999999999999</v>
      </c>
      <c r="FC15" s="2534">
        <f>+FB15</f>
        <v>18.899999999999999</v>
      </c>
      <c r="FD15" s="2532">
        <f>SUM([37]CĐCS!$LQ$14:$LT$14)-FC15-27</f>
        <v>202.66</v>
      </c>
      <c r="FE15" s="2530">
        <v>13</v>
      </c>
      <c r="FF15" s="2530">
        <v>288</v>
      </c>
      <c r="FG15" s="2530">
        <v>234.56</v>
      </c>
      <c r="FH15" s="2530">
        <v>81</v>
      </c>
      <c r="FI15" s="2526">
        <f>FH15+FG15-FF15+FD15</f>
        <v>230.22</v>
      </c>
      <c r="FJ15" s="2530">
        <v>18</v>
      </c>
      <c r="FK15" s="2530">
        <v>301</v>
      </c>
      <c r="FL15" s="2530">
        <v>235</v>
      </c>
      <c r="FM15" s="2530">
        <f>FK15-FL15</f>
        <v>66</v>
      </c>
      <c r="FN15" s="2531"/>
      <c r="FO15" s="2528">
        <v>4</v>
      </c>
      <c r="FP15" s="2532">
        <v>48</v>
      </c>
      <c r="FQ15" s="2534">
        <f>+FP15</f>
        <v>48</v>
      </c>
      <c r="FR15" s="2532">
        <f>SUM([37]CĐCS!$MT$14:$MW$14)-FQ15</f>
        <v>39.367999999999995</v>
      </c>
      <c r="FS15" s="2530">
        <v>9</v>
      </c>
      <c r="FT15" s="2530">
        <v>142</v>
      </c>
      <c r="FU15" s="2530">
        <v>70.367999999999995</v>
      </c>
      <c r="FV15" s="2530"/>
      <c r="FW15" s="2526">
        <f>FV15+FU15-FT15+FR15</f>
        <v>-32.26400000000001</v>
      </c>
      <c r="FX15" s="2530">
        <v>9</v>
      </c>
      <c r="FY15" s="2530">
        <v>161</v>
      </c>
      <c r="FZ15" s="2530">
        <v>70</v>
      </c>
      <c r="GA15" s="2530">
        <f>FY15-FZ15</f>
        <v>91</v>
      </c>
      <c r="GB15" s="2531"/>
    </row>
    <row r="16" spans="1:184" s="49" customFormat="1" ht="34.799999999999997">
      <c r="A16" s="2520">
        <v>2</v>
      </c>
      <c r="B16" s="2521" t="s">
        <v>1087</v>
      </c>
      <c r="C16" s="2537">
        <f>SUM(C17:C18)</f>
        <v>84698</v>
      </c>
      <c r="D16" s="2537">
        <f t="shared" ref="D16:BO16" si="16">SUM(D17:D18)</f>
        <v>486245.47800000006</v>
      </c>
      <c r="E16" s="2537">
        <f t="shared" si="16"/>
        <v>486245.47800000006</v>
      </c>
      <c r="F16" s="2537">
        <f t="shared" si="16"/>
        <v>630.05199999999923</v>
      </c>
      <c r="G16" s="2537">
        <f t="shared" si="16"/>
        <v>82821</v>
      </c>
      <c r="H16" s="2537">
        <f>SUM(H17:H18)</f>
        <v>606013</v>
      </c>
      <c r="I16" s="2537">
        <f t="shared" si="16"/>
        <v>414119</v>
      </c>
      <c r="J16" s="2537">
        <f t="shared" si="16"/>
        <v>85430.155999999988</v>
      </c>
      <c r="K16" s="2537">
        <f t="shared" si="16"/>
        <v>-111804.19200000001</v>
      </c>
      <c r="L16" s="2537">
        <f>SUM(L17:L18)</f>
        <v>84783</v>
      </c>
      <c r="M16" s="2537">
        <f>SUM(M17:M18)</f>
        <v>703682</v>
      </c>
      <c r="N16" s="2537">
        <f>SUM(N17:N18)</f>
        <v>414119</v>
      </c>
      <c r="O16" s="2537">
        <f>SUM(O17:O18)</f>
        <v>289563</v>
      </c>
      <c r="P16" s="2538">
        <f t="shared" si="16"/>
        <v>0</v>
      </c>
      <c r="Q16" s="2539">
        <f t="shared" si="16"/>
        <v>7893</v>
      </c>
      <c r="R16" s="2537">
        <f t="shared" si="16"/>
        <v>43921.3</v>
      </c>
      <c r="S16" s="2537">
        <f t="shared" si="16"/>
        <v>43921.3</v>
      </c>
      <c r="T16" s="2537">
        <f t="shared" si="16"/>
        <v>5970.4</v>
      </c>
      <c r="U16" s="2939">
        <f t="shared" ref="U16:W16" si="17">U17+U18</f>
        <v>8123</v>
      </c>
      <c r="V16" s="2939">
        <f t="shared" si="17"/>
        <v>51416</v>
      </c>
      <c r="W16" s="2937">
        <f t="shared" si="17"/>
        <v>43059</v>
      </c>
      <c r="X16" s="2537">
        <v>2384</v>
      </c>
      <c r="Y16" s="2947">
        <f t="shared" si="16"/>
        <v>-5973</v>
      </c>
      <c r="Z16" s="2970">
        <v>8210</v>
      </c>
      <c r="AA16" s="2970">
        <v>62278</v>
      </c>
      <c r="AB16" s="2537">
        <v>43059</v>
      </c>
      <c r="AC16" s="2963">
        <f t="shared" si="16"/>
        <v>24293</v>
      </c>
      <c r="AD16" s="2538">
        <f t="shared" si="16"/>
        <v>0</v>
      </c>
      <c r="AE16" s="2951">
        <v>3464</v>
      </c>
      <c r="AF16" s="2952">
        <v>19783</v>
      </c>
      <c r="AG16" s="2537">
        <f t="shared" si="16"/>
        <v>19783</v>
      </c>
      <c r="AH16" s="2958">
        <f t="shared" si="16"/>
        <v>218.26799999999844</v>
      </c>
      <c r="AI16" s="2937">
        <f t="shared" ref="AI16:AL16" si="18">AI17+AI18</f>
        <v>3792</v>
      </c>
      <c r="AJ16" s="2937">
        <f t="shared" si="18"/>
        <v>24293</v>
      </c>
      <c r="AK16" s="2937">
        <f t="shared" si="18"/>
        <v>16907</v>
      </c>
      <c r="AL16" s="2937">
        <f t="shared" si="18"/>
        <v>3498</v>
      </c>
      <c r="AM16" s="2537">
        <f t="shared" si="16"/>
        <v>-3669.7320000000018</v>
      </c>
      <c r="AN16" s="2537">
        <v>3624</v>
      </c>
      <c r="AO16" s="2537">
        <v>28263</v>
      </c>
      <c r="AP16" s="2537">
        <v>16907</v>
      </c>
      <c r="AQ16" s="2963">
        <f t="shared" si="16"/>
        <v>13327</v>
      </c>
      <c r="AR16" s="2538">
        <f t="shared" si="16"/>
        <v>0</v>
      </c>
      <c r="AS16" s="2539">
        <v>4263</v>
      </c>
      <c r="AT16" s="2537">
        <v>22613.850999999999</v>
      </c>
      <c r="AU16" s="2537">
        <f t="shared" si="16"/>
        <v>22613.850000000002</v>
      </c>
      <c r="AV16" s="2958">
        <f t="shared" si="16"/>
        <v>713.1499999999993</v>
      </c>
      <c r="AW16" s="2537">
        <v>3564</v>
      </c>
      <c r="AX16" s="2537">
        <v>28778</v>
      </c>
      <c r="AY16" s="2537">
        <v>20254</v>
      </c>
      <c r="AZ16" s="2537">
        <v>4545</v>
      </c>
      <c r="BA16" s="2958">
        <f t="shared" si="16"/>
        <v>-3265.8500000000008</v>
      </c>
      <c r="BB16" s="2537">
        <v>3564</v>
      </c>
      <c r="BC16" s="2537">
        <v>34071</v>
      </c>
      <c r="BD16" s="2537">
        <v>20254</v>
      </c>
      <c r="BE16" s="2963">
        <f t="shared" si="16"/>
        <v>16996</v>
      </c>
      <c r="BF16" s="2538">
        <f t="shared" si="16"/>
        <v>0</v>
      </c>
      <c r="BG16" s="2539">
        <v>4805</v>
      </c>
      <c r="BH16" s="2537">
        <v>25766.06</v>
      </c>
      <c r="BI16" s="2537">
        <f t="shared" si="16"/>
        <v>25766.06</v>
      </c>
      <c r="BJ16" s="2958">
        <f t="shared" si="16"/>
        <v>-2303.06</v>
      </c>
      <c r="BK16" s="2537">
        <v>4545</v>
      </c>
      <c r="BL16" s="2537">
        <v>38120</v>
      </c>
      <c r="BM16" s="2537">
        <v>27240</v>
      </c>
      <c r="BN16" s="2537">
        <v>904</v>
      </c>
      <c r="BO16" s="2537">
        <f t="shared" si="16"/>
        <v>-12279.06</v>
      </c>
      <c r="BP16" s="2537">
        <v>4484</v>
      </c>
      <c r="BQ16" s="2537">
        <v>43662</v>
      </c>
      <c r="BR16" s="2537">
        <v>27240</v>
      </c>
      <c r="BS16" s="2537">
        <f>SUM(BS17:BS18)</f>
        <v>9791</v>
      </c>
      <c r="BT16" s="2538">
        <f t="shared" ref="BT16:EA16" si="19">SUM(BT17:BT18)</f>
        <v>0</v>
      </c>
      <c r="BU16" s="2539">
        <v>7245</v>
      </c>
      <c r="BV16" s="2537">
        <v>40703.300000000003</v>
      </c>
      <c r="BW16" s="2537">
        <f t="shared" si="19"/>
        <v>40703.300000000003</v>
      </c>
      <c r="BX16" s="2537">
        <f t="shared" si="19"/>
        <v>2125.9999999999973</v>
      </c>
      <c r="BY16" s="2537">
        <v>6690</v>
      </c>
      <c r="BZ16" s="2537">
        <v>50549</v>
      </c>
      <c r="CA16" s="2537">
        <v>42023</v>
      </c>
      <c r="CB16" s="2537">
        <v>3359</v>
      </c>
      <c r="CC16" s="2537">
        <f t="shared" si="19"/>
        <v>-3041.0000000000027</v>
      </c>
      <c r="CD16" s="2537">
        <v>7090</v>
      </c>
      <c r="CE16" s="2537">
        <v>61014</v>
      </c>
      <c r="CF16" s="2537">
        <v>42023</v>
      </c>
      <c r="CG16" s="2537">
        <f t="shared" si="19"/>
        <v>19913</v>
      </c>
      <c r="CH16" s="2538">
        <f t="shared" si="19"/>
        <v>0</v>
      </c>
      <c r="CI16" s="2539">
        <v>6954</v>
      </c>
      <c r="CJ16" s="2537">
        <v>40926.880000000005</v>
      </c>
      <c r="CK16" s="2537">
        <f t="shared" si="19"/>
        <v>40926.880000000005</v>
      </c>
      <c r="CL16" s="2537">
        <f t="shared" si="19"/>
        <v>-381.68000000000364</v>
      </c>
      <c r="CM16" s="2537">
        <v>6603</v>
      </c>
      <c r="CN16" s="2537">
        <v>51129</v>
      </c>
      <c r="CO16" s="2537">
        <v>30257</v>
      </c>
      <c r="CP16" s="2537">
        <v>11159</v>
      </c>
      <c r="CQ16" s="2537">
        <f>SUM(CQ17:CQ18)</f>
        <v>-10094.680000000004</v>
      </c>
      <c r="CR16" s="2537">
        <v>6819</v>
      </c>
      <c r="CS16" s="2537">
        <v>59809</v>
      </c>
      <c r="CT16" s="2537">
        <v>30257</v>
      </c>
      <c r="CU16" s="2537">
        <f>SUM(CU17:CU18)</f>
        <v>27093</v>
      </c>
      <c r="CV16" s="2538">
        <f t="shared" si="19"/>
        <v>0</v>
      </c>
      <c r="CW16" s="2539">
        <v>10697</v>
      </c>
      <c r="CX16" s="2537">
        <v>57899.087999999996</v>
      </c>
      <c r="CY16" s="2537">
        <f t="shared" si="19"/>
        <v>57899.087999999996</v>
      </c>
      <c r="CZ16" s="2537">
        <f t="shared" si="19"/>
        <v>764.11199999999985</v>
      </c>
      <c r="DA16" s="2537">
        <v>9991</v>
      </c>
      <c r="DB16" s="2537">
        <v>72185</v>
      </c>
      <c r="DC16" s="2537">
        <v>38805</v>
      </c>
      <c r="DD16" s="2537">
        <v>16750.407999999999</v>
      </c>
      <c r="DE16" s="2537">
        <f t="shared" si="19"/>
        <v>-15865.480000000005</v>
      </c>
      <c r="DF16" s="2537">
        <v>10162</v>
      </c>
      <c r="DG16" s="2537">
        <f>SUM(DG17:DG18)</f>
        <v>83869</v>
      </c>
      <c r="DH16" s="2537">
        <f>SUM(DH17:DH18)</f>
        <v>38805</v>
      </c>
      <c r="DI16" s="2537">
        <f t="shared" si="19"/>
        <v>45064</v>
      </c>
      <c r="DJ16" s="2538">
        <f t="shared" si="19"/>
        <v>0</v>
      </c>
      <c r="DK16" s="2539">
        <v>5160</v>
      </c>
      <c r="DL16" s="2537">
        <v>32136</v>
      </c>
      <c r="DM16" s="2537">
        <f t="shared" si="19"/>
        <v>32136</v>
      </c>
      <c r="DN16" s="2537">
        <f t="shared" si="19"/>
        <v>-336</v>
      </c>
      <c r="DO16" s="2537">
        <f>SUM(DO17:DO18)</f>
        <v>5903</v>
      </c>
      <c r="DP16" s="2537">
        <f t="shared" ref="DP16:DW16" si="20">SUM(DP17:DP18)</f>
        <v>42715</v>
      </c>
      <c r="DQ16" s="2537">
        <f t="shared" si="20"/>
        <v>30940</v>
      </c>
      <c r="DR16" s="2537">
        <f t="shared" si="20"/>
        <v>2610.6</v>
      </c>
      <c r="DS16" s="2537">
        <f t="shared" si="20"/>
        <v>-9500.4000000000015</v>
      </c>
      <c r="DT16" s="2537">
        <f t="shared" si="20"/>
        <v>6243</v>
      </c>
      <c r="DU16" s="2537">
        <f t="shared" si="20"/>
        <v>51793</v>
      </c>
      <c r="DV16" s="2537">
        <f t="shared" si="20"/>
        <v>30940</v>
      </c>
      <c r="DW16" s="2537">
        <f t="shared" si="20"/>
        <v>20853</v>
      </c>
      <c r="DX16" s="2538">
        <f>SUM(DX17:DX18)</f>
        <v>0</v>
      </c>
      <c r="DY16" s="2539">
        <v>10926</v>
      </c>
      <c r="DZ16" s="2537">
        <v>65016</v>
      </c>
      <c r="EA16" s="2537">
        <f t="shared" si="19"/>
        <v>65016</v>
      </c>
      <c r="EB16" s="2537">
        <f t="shared" ref="EB16:GB16" si="21">SUM(EB17:EB18)</f>
        <v>-1089.7999999999956</v>
      </c>
      <c r="EC16" s="2537">
        <f>SUM(EC17:EC18)</f>
        <v>9927</v>
      </c>
      <c r="ED16" s="2537">
        <f t="shared" ref="ED16:EG16" si="22">SUM(ED17:ED18)</f>
        <v>75061</v>
      </c>
      <c r="EE16" s="2537">
        <f t="shared" si="22"/>
        <v>44788</v>
      </c>
      <c r="EF16" s="2537">
        <f t="shared" si="22"/>
        <v>21869.148000000001</v>
      </c>
      <c r="EG16" s="2537">
        <f t="shared" si="22"/>
        <v>-9493.6519999999946</v>
      </c>
      <c r="EH16" s="2537">
        <f>SUM(EH17:EH18)</f>
        <v>10483</v>
      </c>
      <c r="EI16" s="2537">
        <f t="shared" ref="EI16:EK16" si="23">SUM(EI17:EI18)</f>
        <v>87237</v>
      </c>
      <c r="EJ16" s="2537">
        <f t="shared" si="23"/>
        <v>44788</v>
      </c>
      <c r="EK16" s="2537">
        <f t="shared" si="23"/>
        <v>42449</v>
      </c>
      <c r="EL16" s="2538">
        <f t="shared" si="21"/>
        <v>0</v>
      </c>
      <c r="EM16" s="2539">
        <v>10167</v>
      </c>
      <c r="EN16" s="2537">
        <v>53882</v>
      </c>
      <c r="EO16" s="2537">
        <f t="shared" si="21"/>
        <v>53882</v>
      </c>
      <c r="EP16" s="2537">
        <f t="shared" si="21"/>
        <v>-3923</v>
      </c>
      <c r="EQ16" s="2537">
        <f>SUM(EQ17:EQ18)</f>
        <v>9793</v>
      </c>
      <c r="ER16" s="2537">
        <f t="shared" ref="ER16:EU16" si="24">SUM(ER17:ER18)</f>
        <v>67977</v>
      </c>
      <c r="ES16" s="2537">
        <f t="shared" si="24"/>
        <v>42785</v>
      </c>
      <c r="ET16" s="2537">
        <f t="shared" si="24"/>
        <v>7080</v>
      </c>
      <c r="EU16" s="2537">
        <f t="shared" si="24"/>
        <v>-22035</v>
      </c>
      <c r="EV16" s="2537">
        <f>SUM(EV17:EV18)</f>
        <v>9892</v>
      </c>
      <c r="EW16" s="2537">
        <f t="shared" ref="EW16:EY16" si="25">SUM(EW17:EW18)</f>
        <v>68926</v>
      </c>
      <c r="EX16" s="2537">
        <f t="shared" si="25"/>
        <v>42785</v>
      </c>
      <c r="EY16" s="2537">
        <f t="shared" si="25"/>
        <v>26141</v>
      </c>
      <c r="EZ16" s="2538">
        <f t="shared" si="21"/>
        <v>0</v>
      </c>
      <c r="FA16" s="2539">
        <v>5732</v>
      </c>
      <c r="FB16" s="2537">
        <v>33842</v>
      </c>
      <c r="FC16" s="2537">
        <f t="shared" si="21"/>
        <v>33842</v>
      </c>
      <c r="FD16" s="2537">
        <f t="shared" si="21"/>
        <v>-436</v>
      </c>
      <c r="FE16" s="2537">
        <v>5844</v>
      </c>
      <c r="FF16" s="2537">
        <v>43544</v>
      </c>
      <c r="FG16" s="2537">
        <v>31498</v>
      </c>
      <c r="FH16" s="2537">
        <v>4508</v>
      </c>
      <c r="FI16" s="2537">
        <f t="shared" si="21"/>
        <v>-7974</v>
      </c>
      <c r="FJ16" s="2537">
        <f>SUM(FJ17:FJ18)</f>
        <v>5767</v>
      </c>
      <c r="FK16" s="2537">
        <f t="shared" ref="FK16:FM16" si="26">SUM(FK17:FK18)</f>
        <v>49362</v>
      </c>
      <c r="FL16" s="2537">
        <f t="shared" si="26"/>
        <v>31498</v>
      </c>
      <c r="FM16" s="2537">
        <f t="shared" si="26"/>
        <v>17864</v>
      </c>
      <c r="FN16" s="2538">
        <f t="shared" si="21"/>
        <v>0</v>
      </c>
      <c r="FO16" s="2539">
        <v>7392</v>
      </c>
      <c r="FP16" s="2537">
        <v>49756</v>
      </c>
      <c r="FQ16" s="2537">
        <f t="shared" si="21"/>
        <v>49756</v>
      </c>
      <c r="FR16" s="2537">
        <f t="shared" si="21"/>
        <v>-692.3379999999961</v>
      </c>
      <c r="FS16" s="2537">
        <f>SUM(FS17:FS18)</f>
        <v>8046</v>
      </c>
      <c r="FT16" s="2537">
        <f t="shared" ref="FT16:FW16" si="27">SUM(FT17:FT18)</f>
        <v>60246</v>
      </c>
      <c r="FU16" s="2537">
        <f t="shared" si="27"/>
        <v>45563</v>
      </c>
      <c r="FV16" s="2537">
        <f t="shared" si="27"/>
        <v>6763</v>
      </c>
      <c r="FW16" s="2537">
        <f t="shared" si="27"/>
        <v>-8612.3379999999961</v>
      </c>
      <c r="FX16" s="2537">
        <f t="shared" ref="FX16" si="28">SUM(FX17:FX18)</f>
        <v>8445</v>
      </c>
      <c r="FY16" s="2537">
        <f t="shared" ref="FY16" si="29">SUM(FY17:FY18)</f>
        <v>71342</v>
      </c>
      <c r="FZ16" s="2537">
        <f t="shared" ref="FZ16" si="30">SUM(FZ17:FZ18)</f>
        <v>45563</v>
      </c>
      <c r="GA16" s="2537">
        <f t="shared" ref="GA16" si="31">SUM(GA17:GA18)</f>
        <v>25779</v>
      </c>
      <c r="GB16" s="2538">
        <f t="shared" si="21"/>
        <v>0</v>
      </c>
    </row>
    <row r="17" spans="1:184" s="433" customFormat="1" ht="90" customHeight="1">
      <c r="A17" s="2520" t="s">
        <v>29</v>
      </c>
      <c r="B17" s="2525" t="s">
        <v>1610</v>
      </c>
      <c r="C17" s="2526">
        <f t="shared" ref="C17:P18" si="32">SUM(Q17,AE17,AS17,BG17,BU17,CI17,CW17,DK17,DY17,EM17,FA17,FO17)</f>
        <v>74210</v>
      </c>
      <c r="D17" s="2526">
        <f t="shared" si="32"/>
        <v>479037.13800000004</v>
      </c>
      <c r="E17" s="2526">
        <f t="shared" si="32"/>
        <v>479037.13800000004</v>
      </c>
      <c r="F17" s="2526">
        <f t="shared" si="32"/>
        <v>-1743.9680000000008</v>
      </c>
      <c r="G17" s="2526">
        <f t="shared" si="32"/>
        <v>74470</v>
      </c>
      <c r="H17" s="2526">
        <f t="shared" si="32"/>
        <v>599942</v>
      </c>
      <c r="I17" s="2526">
        <f t="shared" si="32"/>
        <v>404812</v>
      </c>
      <c r="J17" s="2526">
        <f t="shared" si="32"/>
        <v>83749.155999999988</v>
      </c>
      <c r="K17" s="2526">
        <f t="shared" si="32"/>
        <v>-118927.81200000001</v>
      </c>
      <c r="L17" s="2526">
        <f t="shared" si="32"/>
        <v>77316</v>
      </c>
      <c r="M17" s="2526">
        <f t="shared" si="32"/>
        <v>698038</v>
      </c>
      <c r="N17" s="2526">
        <f t="shared" si="32"/>
        <v>404812</v>
      </c>
      <c r="O17" s="2526">
        <f>SUM(AC17,AQ17,BE17,BS17,CG17,CU17,DI17,DW17,EK17,EY17,FM17,GA17)</f>
        <v>293226</v>
      </c>
      <c r="P17" s="2527">
        <f t="shared" si="32"/>
        <v>0</v>
      </c>
      <c r="Q17" s="2932">
        <v>6668</v>
      </c>
      <c r="R17" s="2934">
        <v>43130</v>
      </c>
      <c r="S17" s="2526">
        <f>+R17</f>
        <v>43130</v>
      </c>
      <c r="T17" s="2526">
        <f>SUM([37]CĐCS!$AM$16:$AP$16)-S17</f>
        <v>5803</v>
      </c>
      <c r="U17" s="2938">
        <v>6916</v>
      </c>
      <c r="V17" s="2938">
        <v>50721</v>
      </c>
      <c r="W17" s="2942">
        <v>41000</v>
      </c>
      <c r="X17" s="2526">
        <v>2384</v>
      </c>
      <c r="Y17" s="2934">
        <f t="shared" si="11"/>
        <v>-7337</v>
      </c>
      <c r="Z17" s="2969">
        <v>7264</v>
      </c>
      <c r="AA17" s="2969">
        <f>70161-3473</f>
        <v>66688</v>
      </c>
      <c r="AB17" s="2526">
        <v>41000</v>
      </c>
      <c r="AC17" s="2963">
        <f>AA17-AB17</f>
        <v>25688</v>
      </c>
      <c r="AD17" s="2527"/>
      <c r="AE17" s="2949">
        <v>2830</v>
      </c>
      <c r="AF17" s="2950">
        <v>19365</v>
      </c>
      <c r="AG17" s="2529">
        <f>AF17</f>
        <v>19365</v>
      </c>
      <c r="AH17" s="2957">
        <f>SUM([37]CĐCS!$BP$16:$BS$16)-AG17</f>
        <v>149.2599999999984</v>
      </c>
      <c r="AI17" s="2533">
        <v>3301</v>
      </c>
      <c r="AJ17" s="2533">
        <v>23942</v>
      </c>
      <c r="AK17" s="2533">
        <v>16548</v>
      </c>
      <c r="AL17" s="2533">
        <v>3498</v>
      </c>
      <c r="AM17" s="2526">
        <f>AL17+AK17-AJ17+AH17</f>
        <v>-3746.7400000000016</v>
      </c>
      <c r="AN17" s="2530">
        <v>3147</v>
      </c>
      <c r="AO17" s="2530">
        <f>32330-2431</f>
        <v>29899</v>
      </c>
      <c r="AP17" s="2530">
        <v>16548</v>
      </c>
      <c r="AQ17" s="2962">
        <f>AO17-AP17</f>
        <v>13351</v>
      </c>
      <c r="AR17" s="2531"/>
      <c r="AS17" s="2528">
        <v>3464</v>
      </c>
      <c r="AT17" s="2526">
        <v>22087.45</v>
      </c>
      <c r="AU17" s="2529">
        <f>+AT17</f>
        <v>22087.45</v>
      </c>
      <c r="AV17" s="2957">
        <f>SUM([37]CĐCS!$CS$16:$CV$16)-AU17-79</f>
        <v>73.549999999999272</v>
      </c>
      <c r="AW17" s="2530">
        <v>2839</v>
      </c>
      <c r="AX17" s="2530">
        <v>28331</v>
      </c>
      <c r="AY17" s="2530">
        <v>19088</v>
      </c>
      <c r="AZ17" s="2530">
        <v>4545</v>
      </c>
      <c r="BA17" s="2957">
        <f>AZ17+AY17-AX17+AV17</f>
        <v>-4624.4500000000007</v>
      </c>
      <c r="BB17" s="2530">
        <v>2839</v>
      </c>
      <c r="BC17" s="2530">
        <f>39929-3126</f>
        <v>36803</v>
      </c>
      <c r="BD17" s="2530">
        <v>19088</v>
      </c>
      <c r="BE17" s="2962">
        <f>BC17-BD17</f>
        <v>17715</v>
      </c>
      <c r="BF17" s="2531"/>
      <c r="BG17" s="2528">
        <v>4014</v>
      </c>
      <c r="BH17" s="2526">
        <v>25244</v>
      </c>
      <c r="BI17" s="2529">
        <f>BH17</f>
        <v>25244</v>
      </c>
      <c r="BJ17" s="2957">
        <f>SUM([37]CĐCS!$DV$16:$DY$16)-BI17-4095</f>
        <v>-2317</v>
      </c>
      <c r="BK17" s="2530">
        <v>4053</v>
      </c>
      <c r="BL17" s="2530">
        <v>37775</v>
      </c>
      <c r="BM17" s="2530">
        <v>27022</v>
      </c>
      <c r="BN17" s="2530">
        <v>770</v>
      </c>
      <c r="BO17" s="2526">
        <f>BN17+BM17-BL17+BJ17</f>
        <v>-12300</v>
      </c>
      <c r="BP17" s="2530">
        <v>4159</v>
      </c>
      <c r="BQ17" s="2530">
        <f>40971-4168</f>
        <v>36803</v>
      </c>
      <c r="BR17" s="2530">
        <v>27022</v>
      </c>
      <c r="BS17" s="2530">
        <f>BQ17-BR17</f>
        <v>9781</v>
      </c>
      <c r="BT17" s="2531"/>
      <c r="BU17" s="2528">
        <v>6451</v>
      </c>
      <c r="BV17" s="2532">
        <v>40178.300000000003</v>
      </c>
      <c r="BW17" s="2529">
        <f>BV17</f>
        <v>40178.300000000003</v>
      </c>
      <c r="BX17" s="2532">
        <f>SUM([37]CĐCS!$EY$16:$FB$16)-BW17-8168</f>
        <v>1922.6999999999971</v>
      </c>
      <c r="BY17" s="2530">
        <v>6058</v>
      </c>
      <c r="BZ17" s="2530">
        <v>50105</v>
      </c>
      <c r="CA17" s="2530">
        <v>40000</v>
      </c>
      <c r="CB17" s="2530">
        <v>3359</v>
      </c>
      <c r="CC17" s="2526">
        <f>CB17+CA17-BZ17+BX17</f>
        <v>-4823.3000000000029</v>
      </c>
      <c r="CD17" s="2530">
        <v>6503</v>
      </c>
      <c r="CE17" s="2530">
        <f>66039-4515</f>
        <v>61524</v>
      </c>
      <c r="CF17" s="2530">
        <v>40000</v>
      </c>
      <c r="CG17" s="2530">
        <f>CE17-CF17</f>
        <v>21524</v>
      </c>
      <c r="CH17" s="2531"/>
      <c r="CI17" s="2528">
        <v>6422</v>
      </c>
      <c r="CJ17" s="2532">
        <v>40623.08</v>
      </c>
      <c r="CK17" s="2529">
        <f>CJ17</f>
        <v>40623.08</v>
      </c>
      <c r="CL17" s="2532">
        <f>SUM([37]CĐCS!$GB$16:$GE$16)-CK17</f>
        <v>-459.23200000000361</v>
      </c>
      <c r="CM17" s="2530">
        <v>6219</v>
      </c>
      <c r="CN17" s="2530">
        <v>50846</v>
      </c>
      <c r="CO17" s="2530">
        <v>30000</v>
      </c>
      <c r="CP17" s="2530">
        <v>11146</v>
      </c>
      <c r="CQ17" s="2526">
        <f>CP17+CO17-CN17+CL17</f>
        <v>-10159.232000000004</v>
      </c>
      <c r="CR17" s="2530">
        <v>6519</v>
      </c>
      <c r="CS17" s="2530">
        <f>62336-5210</f>
        <v>57126</v>
      </c>
      <c r="CT17" s="2530">
        <v>30000</v>
      </c>
      <c r="CU17" s="2530">
        <f>CS17-CT17</f>
        <v>27126</v>
      </c>
      <c r="CV17" s="2531"/>
      <c r="CW17" s="2528">
        <v>9271</v>
      </c>
      <c r="CX17" s="2532">
        <v>56958.307999999997</v>
      </c>
      <c r="CY17" s="2529">
        <f>CX17</f>
        <v>56958.307999999997</v>
      </c>
      <c r="CZ17" s="2532">
        <f>SUM([37]CĐCS!$HE$16:$HH$16)-CY17</f>
        <v>900.89199999999983</v>
      </c>
      <c r="DA17" s="2530">
        <v>9317</v>
      </c>
      <c r="DB17" s="2530">
        <v>71725</v>
      </c>
      <c r="DC17" s="2530">
        <v>38000</v>
      </c>
      <c r="DD17" s="2530">
        <v>16750.407999999999</v>
      </c>
      <c r="DE17" s="2526">
        <f>DD17+DC17-DB17+CZ17</f>
        <v>-16073.700000000004</v>
      </c>
      <c r="DF17" s="2530">
        <v>9695</v>
      </c>
      <c r="DG17" s="2530">
        <f>89793-6252</f>
        <v>83541</v>
      </c>
      <c r="DH17" s="2530">
        <v>38000</v>
      </c>
      <c r="DI17" s="2530">
        <f>DG17-DH17</f>
        <v>45541</v>
      </c>
      <c r="DJ17" s="2531"/>
      <c r="DK17" s="2528">
        <v>4460</v>
      </c>
      <c r="DL17" s="2532">
        <v>31707</v>
      </c>
      <c r="DM17" s="2529">
        <f>+DL17</f>
        <v>31707</v>
      </c>
      <c r="DN17" s="2532">
        <f>SUM([37]CĐCS!$IH$16:$IK$16)-DM17</f>
        <v>-361</v>
      </c>
      <c r="DO17" s="2530">
        <v>5411</v>
      </c>
      <c r="DP17" s="2530">
        <v>42369</v>
      </c>
      <c r="DQ17" s="2530">
        <v>30471</v>
      </c>
      <c r="DR17" s="2530">
        <v>2610.6</v>
      </c>
      <c r="DS17" s="2526">
        <f>DR17+DQ17-DP17+DN17</f>
        <v>-9648.4000000000015</v>
      </c>
      <c r="DT17" s="2533">
        <v>5788</v>
      </c>
      <c r="DU17" s="2530">
        <f>55989-4515</f>
        <v>51474</v>
      </c>
      <c r="DV17" s="2530">
        <v>30471</v>
      </c>
      <c r="DW17" s="2530">
        <f>DU17-DV17</f>
        <v>21003</v>
      </c>
      <c r="DX17" s="2531"/>
      <c r="DY17" s="2528">
        <v>9931</v>
      </c>
      <c r="DZ17" s="2532">
        <v>64510</v>
      </c>
      <c r="EA17" s="2529">
        <f>+DZ17</f>
        <v>64510</v>
      </c>
      <c r="EB17" s="2532">
        <f>SUM([37]CĐCS!$JK$16:$JN$16)-EA17-2165</f>
        <v>-1465.7999999999956</v>
      </c>
      <c r="EC17" s="2530">
        <v>9144</v>
      </c>
      <c r="ED17" s="2530">
        <v>74544</v>
      </c>
      <c r="EE17" s="2530">
        <v>44000</v>
      </c>
      <c r="EF17" s="2530">
        <v>21869.148000000001</v>
      </c>
      <c r="EG17" s="2526">
        <f>EF17+EE17-ED17+EB17</f>
        <v>-10140.651999999995</v>
      </c>
      <c r="EH17" s="2530">
        <v>9721</v>
      </c>
      <c r="EI17" s="2530">
        <f>91217-4515</f>
        <v>86702</v>
      </c>
      <c r="EJ17" s="2530">
        <v>44000</v>
      </c>
      <c r="EK17" s="2530">
        <f>EI17-EJ17</f>
        <v>42702</v>
      </c>
      <c r="EL17" s="2531"/>
      <c r="EM17" s="2528">
        <v>8509</v>
      </c>
      <c r="EN17" s="2532">
        <v>52254</v>
      </c>
      <c r="EO17" s="2529">
        <f>+EN17</f>
        <v>52254</v>
      </c>
      <c r="EP17" s="2532">
        <f>SUM([37]CĐCS!$KN$16:$KQ$16)-EO17</f>
        <v>-4860</v>
      </c>
      <c r="EQ17" s="2530">
        <v>8135</v>
      </c>
      <c r="ER17" s="2530">
        <v>66349</v>
      </c>
      <c r="ES17" s="2530">
        <v>42350</v>
      </c>
      <c r="ET17" s="2530">
        <v>5627</v>
      </c>
      <c r="EU17" s="2526">
        <f>ET17+ES17-ER17+EP17</f>
        <v>-23232</v>
      </c>
      <c r="EV17" s="2530">
        <v>8234</v>
      </c>
      <c r="EW17" s="2530">
        <f>71466-4168</f>
        <v>67298</v>
      </c>
      <c r="EX17" s="2530">
        <v>42350</v>
      </c>
      <c r="EY17" s="2530">
        <f t="shared" si="15"/>
        <v>24948</v>
      </c>
      <c r="EZ17" s="2531"/>
      <c r="FA17" s="2528">
        <v>5213</v>
      </c>
      <c r="FB17" s="2532">
        <v>33500</v>
      </c>
      <c r="FC17" s="2529">
        <f>+FB17</f>
        <v>33500</v>
      </c>
      <c r="FD17" s="2532">
        <f>SUM([37]CĐCS!$LQ$16:$LT$16)-FC17+342</f>
        <v>-482</v>
      </c>
      <c r="FE17" s="2530">
        <v>5415</v>
      </c>
      <c r="FF17" s="2530">
        <v>43259</v>
      </c>
      <c r="FG17" s="2530">
        <v>31000</v>
      </c>
      <c r="FH17" s="2530">
        <v>4508</v>
      </c>
      <c r="FI17" s="2526">
        <f>FH17+FG17-FF17+FD17</f>
        <v>-8233</v>
      </c>
      <c r="FJ17" s="2530">
        <v>5415</v>
      </c>
      <c r="FK17" s="2530">
        <f>52254-3126</f>
        <v>49128</v>
      </c>
      <c r="FL17" s="2530">
        <v>31000</v>
      </c>
      <c r="FM17" s="2530">
        <f>FK17-FL17</f>
        <v>18128</v>
      </c>
      <c r="FN17" s="2531"/>
      <c r="FO17" s="2528">
        <v>6977</v>
      </c>
      <c r="FP17" s="2532">
        <v>49480</v>
      </c>
      <c r="FQ17" s="2529">
        <f>+FP17</f>
        <v>49480</v>
      </c>
      <c r="FR17" s="2532">
        <f>SUM([37]CĐCS!$MT$16:$MW$16)-FQ17</f>
        <v>-648.3379999999961</v>
      </c>
      <c r="FS17" s="2530">
        <v>7662</v>
      </c>
      <c r="FT17" s="2530">
        <v>59976</v>
      </c>
      <c r="FU17" s="2530">
        <v>45333</v>
      </c>
      <c r="FV17" s="2530">
        <v>6682</v>
      </c>
      <c r="FW17" s="2526">
        <f>FV17+FU17-FT17+FR17</f>
        <v>-8609.3379999999961</v>
      </c>
      <c r="FX17" s="2530">
        <v>8032</v>
      </c>
      <c r="FY17" s="2530">
        <f>75220-4168</f>
        <v>71052</v>
      </c>
      <c r="FZ17" s="2530">
        <v>45333</v>
      </c>
      <c r="GA17" s="2530">
        <f>FY17-FZ17</f>
        <v>25719</v>
      </c>
      <c r="GB17" s="2531"/>
    </row>
    <row r="18" spans="1:184" s="433" customFormat="1" ht="72.599999999999994" thickBot="1">
      <c r="A18" s="2540" t="s">
        <v>29</v>
      </c>
      <c r="B18" s="2541" t="s">
        <v>1093</v>
      </c>
      <c r="C18" s="2542">
        <f t="shared" si="32"/>
        <v>10488</v>
      </c>
      <c r="D18" s="2542">
        <f t="shared" si="32"/>
        <v>7208.34</v>
      </c>
      <c r="E18" s="2542">
        <f t="shared" si="32"/>
        <v>7208.34</v>
      </c>
      <c r="F18" s="2542">
        <f t="shared" si="32"/>
        <v>2374.02</v>
      </c>
      <c r="G18" s="2542">
        <f t="shared" si="32"/>
        <v>8351</v>
      </c>
      <c r="H18" s="2542">
        <f t="shared" si="32"/>
        <v>6071</v>
      </c>
      <c r="I18" s="2542">
        <f t="shared" si="32"/>
        <v>9307</v>
      </c>
      <c r="J18" s="2542">
        <f t="shared" si="32"/>
        <v>1681</v>
      </c>
      <c r="K18" s="2542">
        <f t="shared" si="32"/>
        <v>7123.62</v>
      </c>
      <c r="L18" s="2542">
        <f t="shared" si="32"/>
        <v>7467</v>
      </c>
      <c r="M18" s="2542">
        <f t="shared" si="32"/>
        <v>5644</v>
      </c>
      <c r="N18" s="2542">
        <f t="shared" si="32"/>
        <v>9307</v>
      </c>
      <c r="O18" s="2542">
        <f t="shared" si="32"/>
        <v>-3663</v>
      </c>
      <c r="P18" s="2543">
        <f t="shared" si="32"/>
        <v>0</v>
      </c>
      <c r="Q18" s="2935">
        <v>1225</v>
      </c>
      <c r="R18" s="2936">
        <v>791.3</v>
      </c>
      <c r="S18" s="2542">
        <f>+R18</f>
        <v>791.3</v>
      </c>
      <c r="T18" s="2542">
        <f>SUM([37]CĐCS!$AM$17:$AP$17)-S18</f>
        <v>167.39999999999986</v>
      </c>
      <c r="U18" s="2940">
        <v>1207</v>
      </c>
      <c r="V18" s="2940">
        <v>695</v>
      </c>
      <c r="W18" s="2943">
        <v>2059</v>
      </c>
      <c r="X18" s="2542"/>
      <c r="Y18" s="2936">
        <f>X18+W18-V18</f>
        <v>1364</v>
      </c>
      <c r="Z18" s="2971">
        <v>946</v>
      </c>
      <c r="AA18" s="2971">
        <v>664</v>
      </c>
      <c r="AB18" s="2542">
        <v>2059</v>
      </c>
      <c r="AC18" s="2964">
        <f>AA18-AB18</f>
        <v>-1395</v>
      </c>
      <c r="AD18" s="2543"/>
      <c r="AE18" s="2953">
        <v>634</v>
      </c>
      <c r="AF18" s="2954">
        <v>418</v>
      </c>
      <c r="AG18" s="2545">
        <f>AF18</f>
        <v>418</v>
      </c>
      <c r="AH18" s="2959">
        <f>SUM([37]CĐCS!$BP$17:$BS$17)-AG18</f>
        <v>69.008000000000038</v>
      </c>
      <c r="AI18" s="2549">
        <v>491</v>
      </c>
      <c r="AJ18" s="2549">
        <v>351</v>
      </c>
      <c r="AK18" s="2549">
        <v>359</v>
      </c>
      <c r="AL18" s="2549"/>
      <c r="AM18" s="2542">
        <f>AL18+AK18-AJ18+AH18</f>
        <v>77.008000000000038</v>
      </c>
      <c r="AN18" s="2546">
        <v>477</v>
      </c>
      <c r="AO18" s="2546">
        <v>335</v>
      </c>
      <c r="AP18" s="2546">
        <v>359</v>
      </c>
      <c r="AQ18" s="2964">
        <f>AO18-AP18</f>
        <v>-24</v>
      </c>
      <c r="AR18" s="2547"/>
      <c r="AS18" s="2544">
        <v>799</v>
      </c>
      <c r="AT18" s="2542">
        <v>526.4</v>
      </c>
      <c r="AU18" s="2545">
        <f>+AT18</f>
        <v>526.4</v>
      </c>
      <c r="AV18" s="2959">
        <f>SUM([37]CĐCS!$CS$17:$CV$17)-AU18</f>
        <v>639.6</v>
      </c>
      <c r="AW18" s="2546">
        <v>725</v>
      </c>
      <c r="AX18" s="2546">
        <v>447</v>
      </c>
      <c r="AY18" s="2546">
        <v>1166</v>
      </c>
      <c r="AZ18" s="2546"/>
      <c r="BA18" s="2959">
        <f t="shared" si="12"/>
        <v>1358.6</v>
      </c>
      <c r="BB18" s="2546">
        <v>725</v>
      </c>
      <c r="BC18" s="2546">
        <v>447</v>
      </c>
      <c r="BD18" s="2546">
        <v>1166</v>
      </c>
      <c r="BE18" s="2964">
        <f>BC18-BD18</f>
        <v>-719</v>
      </c>
      <c r="BF18" s="2547"/>
      <c r="BG18" s="2544">
        <v>791</v>
      </c>
      <c r="BH18" s="2542">
        <v>522.05999999999995</v>
      </c>
      <c r="BI18" s="2545">
        <f>BH18</f>
        <v>522.05999999999995</v>
      </c>
      <c r="BJ18" s="2959">
        <f>SUM([37]CĐCS!$DV$17:$DY$17)-BI18+41</f>
        <v>13.940000000000055</v>
      </c>
      <c r="BK18" s="2546">
        <v>492</v>
      </c>
      <c r="BL18" s="2546">
        <v>345</v>
      </c>
      <c r="BM18" s="2546">
        <v>218</v>
      </c>
      <c r="BN18" s="2546">
        <v>134</v>
      </c>
      <c r="BO18" s="2542">
        <f>BN18+BM18-BL18+BJ18</f>
        <v>20.940000000000055</v>
      </c>
      <c r="BP18" s="2546">
        <v>325</v>
      </c>
      <c r="BQ18" s="2546">
        <v>228</v>
      </c>
      <c r="BR18" s="2546">
        <v>218</v>
      </c>
      <c r="BS18" s="2546">
        <f>BQ18-BR18</f>
        <v>10</v>
      </c>
      <c r="BT18" s="2547"/>
      <c r="BU18" s="2544">
        <v>794</v>
      </c>
      <c r="BV18" s="2548">
        <v>525</v>
      </c>
      <c r="BW18" s="2545">
        <f>BV18</f>
        <v>525</v>
      </c>
      <c r="BX18" s="2548">
        <f>SUM([37]CĐCS!$EY$17:$FB$17)-BW18-1204</f>
        <v>203.30000000000018</v>
      </c>
      <c r="BY18" s="2546">
        <v>632</v>
      </c>
      <c r="BZ18" s="2546">
        <v>444</v>
      </c>
      <c r="CA18" s="2546">
        <v>2023</v>
      </c>
      <c r="CB18" s="2546"/>
      <c r="CC18" s="2542">
        <f>CB18+CA18-BZ18+BX18</f>
        <v>1782.3000000000002</v>
      </c>
      <c r="CD18" s="2546">
        <v>587</v>
      </c>
      <c r="CE18" s="2546">
        <v>412</v>
      </c>
      <c r="CF18" s="2546">
        <v>2023</v>
      </c>
      <c r="CG18" s="2546">
        <f t="shared" si="13"/>
        <v>-1611</v>
      </c>
      <c r="CH18" s="2547"/>
      <c r="CI18" s="2544">
        <v>532</v>
      </c>
      <c r="CJ18" s="2548">
        <v>303.8</v>
      </c>
      <c r="CK18" s="2545">
        <f>CJ18</f>
        <v>303.8</v>
      </c>
      <c r="CL18" s="2548">
        <f>SUM([37]CĐCS!$GB$17:$GE$17)-CK18</f>
        <v>77.551999999999964</v>
      </c>
      <c r="CM18" s="2546">
        <v>384</v>
      </c>
      <c r="CN18" s="2546">
        <v>283</v>
      </c>
      <c r="CO18" s="2546">
        <v>257</v>
      </c>
      <c r="CP18" s="2546">
        <v>13</v>
      </c>
      <c r="CQ18" s="2542">
        <f>CP18+CO18-CN18+CL18</f>
        <v>64.551999999999964</v>
      </c>
      <c r="CR18" s="2546">
        <v>300</v>
      </c>
      <c r="CS18" s="2546">
        <v>224</v>
      </c>
      <c r="CT18" s="2546">
        <v>257</v>
      </c>
      <c r="CU18" s="2546">
        <f>CS18-CT18</f>
        <v>-33</v>
      </c>
      <c r="CV18" s="2547"/>
      <c r="CW18" s="2544">
        <v>1426</v>
      </c>
      <c r="CX18" s="2548">
        <v>940.78</v>
      </c>
      <c r="CY18" s="2545">
        <f>CX18</f>
        <v>940.78</v>
      </c>
      <c r="CZ18" s="2548">
        <f>SUM([37]CĐCS!$HE$17:$HH$17)-CY18</f>
        <v>-136.77999999999997</v>
      </c>
      <c r="DA18" s="2546">
        <v>674</v>
      </c>
      <c r="DB18" s="2546">
        <v>460</v>
      </c>
      <c r="DC18" s="2546">
        <v>805</v>
      </c>
      <c r="DD18" s="2546"/>
      <c r="DE18" s="2542">
        <f>DD18+DC18-DB18+CZ18</f>
        <v>208.22000000000003</v>
      </c>
      <c r="DF18" s="2546">
        <v>467</v>
      </c>
      <c r="DG18" s="2546">
        <v>328</v>
      </c>
      <c r="DH18" s="2546">
        <v>805</v>
      </c>
      <c r="DI18" s="2546">
        <f>DG18-DH18</f>
        <v>-477</v>
      </c>
      <c r="DJ18" s="2547"/>
      <c r="DK18" s="2544">
        <v>700</v>
      </c>
      <c r="DL18" s="2548">
        <v>429</v>
      </c>
      <c r="DM18" s="2545">
        <f>+DL18</f>
        <v>429</v>
      </c>
      <c r="DN18" s="2548">
        <f>SUM([37]CĐCS!$IH$17:$IK$17)-DM18</f>
        <v>25</v>
      </c>
      <c r="DO18" s="2546">
        <v>492</v>
      </c>
      <c r="DP18" s="2546">
        <v>346</v>
      </c>
      <c r="DQ18" s="2546">
        <v>469</v>
      </c>
      <c r="DR18" s="2546"/>
      <c r="DS18" s="2542">
        <f>DR18+DQ18-DP18+DN18</f>
        <v>148</v>
      </c>
      <c r="DT18" s="2549">
        <v>455</v>
      </c>
      <c r="DU18" s="2546">
        <v>319</v>
      </c>
      <c r="DV18" s="2546">
        <v>469</v>
      </c>
      <c r="DW18" s="2546">
        <f>DU18-DV18</f>
        <v>-150</v>
      </c>
      <c r="DX18" s="2547"/>
      <c r="DY18" s="2544">
        <v>995</v>
      </c>
      <c r="DZ18" s="2548">
        <v>506</v>
      </c>
      <c r="EA18" s="2545">
        <f>+DZ18</f>
        <v>506</v>
      </c>
      <c r="EB18" s="2548">
        <f>SUM([37]CĐCS!$JK$17:$JN$17)-EA18</f>
        <v>376</v>
      </c>
      <c r="EC18" s="2546">
        <v>783</v>
      </c>
      <c r="ED18" s="2546">
        <v>517</v>
      </c>
      <c r="EE18" s="2546">
        <v>788</v>
      </c>
      <c r="EF18" s="2546"/>
      <c r="EG18" s="2542">
        <f>EF18+EE18-ED18+EB18</f>
        <v>647</v>
      </c>
      <c r="EH18" s="2546">
        <v>762</v>
      </c>
      <c r="EI18" s="2546">
        <v>535</v>
      </c>
      <c r="EJ18" s="2546">
        <v>788</v>
      </c>
      <c r="EK18" s="2546">
        <f>EI18-EJ18</f>
        <v>-253</v>
      </c>
      <c r="EL18" s="2547"/>
      <c r="EM18" s="2544">
        <v>1658</v>
      </c>
      <c r="EN18" s="2548">
        <v>1628</v>
      </c>
      <c r="EO18" s="2545">
        <f>+EN18</f>
        <v>1628</v>
      </c>
      <c r="EP18" s="2548">
        <f>SUM([37]CĐCS!$KN$17:$KQ$17)-EO18</f>
        <v>937</v>
      </c>
      <c r="EQ18" s="2546">
        <v>1658</v>
      </c>
      <c r="ER18" s="2546">
        <v>1628</v>
      </c>
      <c r="ES18" s="2546">
        <v>435</v>
      </c>
      <c r="ET18" s="2546">
        <v>1453</v>
      </c>
      <c r="EU18" s="2542">
        <f>ET18+ES18-ER18+EP18</f>
        <v>1197</v>
      </c>
      <c r="EV18" s="2546">
        <v>1658</v>
      </c>
      <c r="EW18" s="2546">
        <v>1628</v>
      </c>
      <c r="EX18" s="2546">
        <v>435</v>
      </c>
      <c r="EY18" s="2546">
        <f t="shared" si="15"/>
        <v>1193</v>
      </c>
      <c r="EZ18" s="2547"/>
      <c r="FA18" s="2544">
        <v>519</v>
      </c>
      <c r="FB18" s="2548">
        <v>342</v>
      </c>
      <c r="FC18" s="2545">
        <f>+FB18</f>
        <v>342</v>
      </c>
      <c r="FD18" s="2548">
        <f>SUM([37]CĐCS!$LQ$17:$LT$17)-FC18-115</f>
        <v>46</v>
      </c>
      <c r="FE18" s="2546">
        <v>429</v>
      </c>
      <c r="FF18" s="2546">
        <v>285</v>
      </c>
      <c r="FG18" s="2546">
        <v>498</v>
      </c>
      <c r="FH18" s="2546"/>
      <c r="FI18" s="2542">
        <f>FH18+FG18-FF18+FD18</f>
        <v>259</v>
      </c>
      <c r="FJ18" s="2546">
        <v>352</v>
      </c>
      <c r="FK18" s="2546">
        <v>234</v>
      </c>
      <c r="FL18" s="2546">
        <v>498</v>
      </c>
      <c r="FM18" s="2546">
        <f>FK18-FL18</f>
        <v>-264</v>
      </c>
      <c r="FN18" s="2547"/>
      <c r="FO18" s="2544">
        <v>415</v>
      </c>
      <c r="FP18" s="2548">
        <v>276</v>
      </c>
      <c r="FQ18" s="2545">
        <f>+FP18</f>
        <v>276</v>
      </c>
      <c r="FR18" s="2548">
        <f>SUM([37]CĐCS!$MT$17:$MW$17)-FQ18</f>
        <v>-44</v>
      </c>
      <c r="FS18" s="2546">
        <v>384</v>
      </c>
      <c r="FT18" s="2546">
        <v>270</v>
      </c>
      <c r="FU18" s="2546">
        <v>230</v>
      </c>
      <c r="FV18" s="2546">
        <v>81</v>
      </c>
      <c r="FW18" s="2542">
        <f>FV18+FU18-FT18+FR18</f>
        <v>-3</v>
      </c>
      <c r="FX18" s="2546">
        <v>413</v>
      </c>
      <c r="FY18" s="2546">
        <v>290</v>
      </c>
      <c r="FZ18" s="2546">
        <v>230</v>
      </c>
      <c r="GA18" s="2546">
        <f>FY18-FZ18</f>
        <v>60</v>
      </c>
      <c r="GB18" s="2547"/>
    </row>
    <row r="19" spans="1:184" s="433" customFormat="1">
      <c r="A19" s="2948"/>
      <c r="B19" s="2948" t="s">
        <v>1835</v>
      </c>
      <c r="O19" s="2550">
        <f>SUM(AC19,AQ19,BE19,BS19,CG19,CU19,DI19,DW19,EK19,EY19,FM19,GA19)</f>
        <v>6310.5199999999995</v>
      </c>
      <c r="AC19" s="2550">
        <f>-AC18-AC14</f>
        <v>1473</v>
      </c>
      <c r="AQ19" s="2550">
        <f>-AQ18</f>
        <v>24</v>
      </c>
      <c r="BE19" s="2550">
        <f>-BE18</f>
        <v>719</v>
      </c>
      <c r="BS19" s="2550">
        <f>-BS14</f>
        <v>273.39999999999998</v>
      </c>
      <c r="CG19" s="2550">
        <f>-CG18-CG14</f>
        <v>1666.92</v>
      </c>
      <c r="CU19" s="2550">
        <f>-CU18-CU14</f>
        <v>313.8</v>
      </c>
      <c r="DI19" s="2550">
        <f>-DI18-DI13-DI14</f>
        <v>697</v>
      </c>
      <c r="DW19" s="2550">
        <f>-DW18-DW14</f>
        <v>195.4</v>
      </c>
      <c r="EK19" s="2550">
        <f>-EK14-EK18</f>
        <v>298</v>
      </c>
      <c r="EY19" s="2550">
        <f>-EY14-EY15</f>
        <v>137</v>
      </c>
      <c r="FM19" s="2550">
        <f>-FM18-FM14</f>
        <v>390</v>
      </c>
      <c r="GA19" s="2550">
        <f>-GA13-GA14</f>
        <v>123</v>
      </c>
    </row>
    <row r="20" spans="1:184" s="433" customFormat="1">
      <c r="A20" s="2551"/>
      <c r="B20" s="2551" t="s">
        <v>1833</v>
      </c>
      <c r="N20" s="2550"/>
      <c r="O20" s="2550">
        <f>O10</f>
        <v>293472.76799999998</v>
      </c>
      <c r="AC20" s="2550">
        <f>AC10</f>
        <v>24715</v>
      </c>
      <c r="AQ20" s="2550">
        <f>AQ10</f>
        <v>13685</v>
      </c>
      <c r="BE20" s="2550">
        <f>BE10</f>
        <v>19357.824000000001</v>
      </c>
      <c r="BS20" s="2550">
        <f>BS10</f>
        <v>9833.76</v>
      </c>
      <c r="CG20" s="2550">
        <f>CG10</f>
        <v>20123.351999999999</v>
      </c>
      <c r="CU20" s="2550">
        <f>CU10</f>
        <v>26873.200000000001</v>
      </c>
      <c r="DI20" s="2550">
        <f>DI10</f>
        <v>44882.031999999999</v>
      </c>
      <c r="DW20" s="2550">
        <f>DW10</f>
        <v>20966.599999999999</v>
      </c>
      <c r="EK20" s="2550">
        <f>EK10</f>
        <v>43125</v>
      </c>
      <c r="EY20" s="2550">
        <f>EY10</f>
        <v>26154</v>
      </c>
      <c r="FM20" s="2550">
        <f>FM10</f>
        <v>18010</v>
      </c>
      <c r="GA20" s="2550">
        <f>GA10</f>
        <v>25747</v>
      </c>
    </row>
    <row r="21" spans="1:184" s="433" customFormat="1">
      <c r="A21" s="2551"/>
      <c r="B21" s="2551" t="s">
        <v>1834</v>
      </c>
      <c r="N21" s="2550"/>
      <c r="O21" s="2552">
        <f>O20+O19</f>
        <v>299783.288</v>
      </c>
      <c r="AC21" s="2552">
        <f>AC20+AC19</f>
        <v>26188</v>
      </c>
      <c r="AQ21" s="2552">
        <f>AQ20+AQ19</f>
        <v>13709</v>
      </c>
      <c r="BE21" s="2552">
        <f>BE20+BE19</f>
        <v>20076.824000000001</v>
      </c>
      <c r="BS21" s="2552">
        <f>BS20+BS19</f>
        <v>10107.16</v>
      </c>
      <c r="CG21" s="2552">
        <f>CG20+CG19</f>
        <v>21790.271999999997</v>
      </c>
      <c r="CU21" s="2552">
        <f>CU20+CU19</f>
        <v>27187</v>
      </c>
      <c r="DI21" s="2552">
        <f>DI20+DI19</f>
        <v>45579.031999999999</v>
      </c>
      <c r="DW21" s="2552">
        <f>DW20+DW19</f>
        <v>21162</v>
      </c>
      <c r="EK21" s="2552">
        <f>EK20+EK19</f>
        <v>43423</v>
      </c>
      <c r="EY21" s="2552">
        <f>EY20+EY19</f>
        <v>26291</v>
      </c>
      <c r="FH21" s="2550"/>
      <c r="FI21" s="2550"/>
      <c r="FM21" s="2552">
        <f>FM20+FM19</f>
        <v>18400</v>
      </c>
      <c r="GA21" s="2552">
        <f>GA20+GA19</f>
        <v>25870</v>
      </c>
    </row>
    <row r="22" spans="1:184">
      <c r="A22" s="2553"/>
      <c r="D22" s="2554">
        <v>3.2240000000000002</v>
      </c>
      <c r="L22" s="6082" t="s">
        <v>1786</v>
      </c>
      <c r="M22" s="6082"/>
      <c r="N22" s="6082"/>
      <c r="O22" s="6082"/>
      <c r="P22" s="6082"/>
      <c r="Z22" s="6082" t="str">
        <f>+L22</f>
        <v>Đồng Tháp, ngày     tháng     năm 2024</v>
      </c>
      <c r="AA22" s="6082"/>
      <c r="AB22" s="6082"/>
      <c r="AC22" s="6082"/>
      <c r="AD22" s="6082"/>
      <c r="AN22" s="6082" t="str">
        <f>+Z22</f>
        <v>Đồng Tháp, ngày     tháng     năm 2024</v>
      </c>
      <c r="AO22" s="6082"/>
      <c r="AP22" s="6082"/>
      <c r="AQ22" s="6082"/>
      <c r="AR22" s="6082"/>
      <c r="BB22" s="6082" t="str">
        <f>+AN22</f>
        <v>Đồng Tháp, ngày     tháng     năm 2024</v>
      </c>
      <c r="BC22" s="6082"/>
      <c r="BD22" s="6082"/>
      <c r="BE22" s="6082"/>
      <c r="BF22" s="6082"/>
      <c r="BP22" s="6082" t="str">
        <f>+BB22</f>
        <v>Đồng Tháp, ngày     tháng     năm 2024</v>
      </c>
      <c r="BQ22" s="6082"/>
      <c r="BR22" s="6082"/>
      <c r="BS22" s="6082"/>
      <c r="BT22" s="6082"/>
      <c r="CD22" s="6082" t="str">
        <f>+BP22</f>
        <v>Đồng Tháp, ngày     tháng     năm 2024</v>
      </c>
      <c r="CE22" s="6082"/>
      <c r="CF22" s="6082"/>
      <c r="CG22" s="6082"/>
      <c r="CH22" s="6082"/>
      <c r="CR22" s="6082" t="str">
        <f>+CD22</f>
        <v>Đồng Tháp, ngày     tháng     năm 2024</v>
      </c>
      <c r="CS22" s="6082"/>
      <c r="CT22" s="6082"/>
      <c r="CU22" s="6082"/>
      <c r="CV22" s="6082"/>
      <c r="DF22" s="6082" t="str">
        <f>+CR22</f>
        <v>Đồng Tháp, ngày     tháng     năm 2024</v>
      </c>
      <c r="DG22" s="6082"/>
      <c r="DH22" s="6082"/>
      <c r="DI22" s="6082"/>
      <c r="DJ22" s="6082"/>
      <c r="DT22" s="6082" t="str">
        <f>+DF22</f>
        <v>Đồng Tháp, ngày     tháng     năm 2024</v>
      </c>
      <c r="DU22" s="6082"/>
      <c r="DV22" s="6082"/>
      <c r="DW22" s="6082"/>
      <c r="DX22" s="6082"/>
      <c r="EH22" s="6082" t="str">
        <f>+DT22</f>
        <v>Đồng Tháp, ngày     tháng     năm 2024</v>
      </c>
      <c r="EI22" s="6082"/>
      <c r="EJ22" s="6082"/>
      <c r="EK22" s="6082"/>
      <c r="EL22" s="6082"/>
      <c r="EV22" s="6082" t="str">
        <f>+EH22</f>
        <v>Đồng Tháp, ngày     tháng     năm 2024</v>
      </c>
      <c r="EW22" s="6082"/>
      <c r="EX22" s="6082"/>
      <c r="EY22" s="6082"/>
      <c r="EZ22" s="6082"/>
      <c r="FJ22" s="6082" t="str">
        <f>+EV22</f>
        <v>Đồng Tháp, ngày     tháng     năm 2024</v>
      </c>
      <c r="FK22" s="6082"/>
      <c r="FL22" s="6082"/>
      <c r="FM22" s="6082"/>
      <c r="FN22" s="6082"/>
      <c r="FX22" s="6082" t="str">
        <f>+FJ22</f>
        <v>Đồng Tháp, ngày     tháng     năm 2024</v>
      </c>
      <c r="FY22" s="6082"/>
      <c r="FZ22" s="6082"/>
      <c r="GA22" s="6082"/>
      <c r="GB22" s="6082"/>
    </row>
    <row r="23" spans="1:184">
      <c r="A23" s="2553"/>
      <c r="B23" s="319" t="s">
        <v>1611</v>
      </c>
      <c r="G23" s="6080" t="s">
        <v>1612</v>
      </c>
      <c r="H23" s="6080"/>
      <c r="I23" s="6080"/>
      <c r="J23" s="6080"/>
      <c r="K23" s="6080"/>
      <c r="L23" s="6080" t="s">
        <v>1613</v>
      </c>
      <c r="M23" s="6080"/>
      <c r="N23" s="6080"/>
      <c r="O23" s="6080"/>
      <c r="P23" s="6080"/>
      <c r="U23" s="6080" t="s">
        <v>1612</v>
      </c>
      <c r="V23" s="6080"/>
      <c r="W23" s="6080"/>
      <c r="X23" s="6080"/>
      <c r="Y23" s="6080"/>
      <c r="Z23" s="6080" t="s">
        <v>1613</v>
      </c>
      <c r="AA23" s="6080"/>
      <c r="AB23" s="6080"/>
      <c r="AC23" s="6080"/>
      <c r="AD23" s="6080"/>
      <c r="AI23" s="6080" t="s">
        <v>1612</v>
      </c>
      <c r="AJ23" s="6080"/>
      <c r="AK23" s="6080"/>
      <c r="AL23" s="6080"/>
      <c r="AM23" s="6080"/>
      <c r="AN23" s="6080" t="s">
        <v>1613</v>
      </c>
      <c r="AO23" s="6080"/>
      <c r="AP23" s="6080"/>
      <c r="AQ23" s="6080"/>
      <c r="AR23" s="6080"/>
      <c r="AW23" s="6080" t="s">
        <v>1612</v>
      </c>
      <c r="AX23" s="6080"/>
      <c r="AY23" s="6080"/>
      <c r="AZ23" s="6080"/>
      <c r="BA23" s="6080"/>
      <c r="BB23" s="6080" t="s">
        <v>1613</v>
      </c>
      <c r="BC23" s="6080"/>
      <c r="BD23" s="6080"/>
      <c r="BE23" s="6080"/>
      <c r="BF23" s="6080"/>
      <c r="BK23" s="6080" t="s">
        <v>1612</v>
      </c>
      <c r="BL23" s="6080"/>
      <c r="BM23" s="6080"/>
      <c r="BN23" s="6080"/>
      <c r="BO23" s="6080"/>
      <c r="BP23" s="6080" t="s">
        <v>1613</v>
      </c>
      <c r="BQ23" s="6080"/>
      <c r="BR23" s="6080"/>
      <c r="BS23" s="6080"/>
      <c r="BT23" s="6080"/>
      <c r="BY23" s="6080" t="s">
        <v>1612</v>
      </c>
      <c r="BZ23" s="6080"/>
      <c r="CA23" s="6080"/>
      <c r="CB23" s="6080"/>
      <c r="CC23" s="6080"/>
      <c r="CD23" s="6080" t="s">
        <v>1613</v>
      </c>
      <c r="CE23" s="6080"/>
      <c r="CF23" s="6080"/>
      <c r="CG23" s="6080"/>
      <c r="CH23" s="6080"/>
      <c r="CM23" s="6080" t="s">
        <v>1612</v>
      </c>
      <c r="CN23" s="6080"/>
      <c r="CO23" s="6080"/>
      <c r="CP23" s="6080"/>
      <c r="CQ23" s="6080"/>
      <c r="CR23" s="6080" t="s">
        <v>1613</v>
      </c>
      <c r="CS23" s="6080"/>
      <c r="CT23" s="6080"/>
      <c r="CU23" s="6080"/>
      <c r="CV23" s="6080"/>
      <c r="DA23" s="6080" t="s">
        <v>1612</v>
      </c>
      <c r="DB23" s="6080"/>
      <c r="DC23" s="6080"/>
      <c r="DD23" s="6080"/>
      <c r="DE23" s="6080"/>
      <c r="DF23" s="6080" t="s">
        <v>1613</v>
      </c>
      <c r="DG23" s="6080"/>
      <c r="DH23" s="6080"/>
      <c r="DI23" s="6080"/>
      <c r="DJ23" s="6080"/>
      <c r="DO23" s="6080" t="s">
        <v>1612</v>
      </c>
      <c r="DP23" s="6080"/>
      <c r="DQ23" s="6080"/>
      <c r="DR23" s="6080"/>
      <c r="DS23" s="6080"/>
      <c r="DT23" s="6080" t="s">
        <v>1613</v>
      </c>
      <c r="DU23" s="6080"/>
      <c r="DV23" s="6080"/>
      <c r="DW23" s="6080"/>
      <c r="DX23" s="6080"/>
      <c r="EC23" s="6080" t="s">
        <v>1612</v>
      </c>
      <c r="ED23" s="6080"/>
      <c r="EE23" s="6080"/>
      <c r="EF23" s="6080"/>
      <c r="EG23" s="6080"/>
      <c r="EH23" s="6080" t="s">
        <v>1613</v>
      </c>
      <c r="EI23" s="6080"/>
      <c r="EJ23" s="6080"/>
      <c r="EK23" s="6080"/>
      <c r="EL23" s="6080"/>
      <c r="EQ23" s="6080" t="s">
        <v>1612</v>
      </c>
      <c r="ER23" s="6080"/>
      <c r="ES23" s="6080"/>
      <c r="ET23" s="6080"/>
      <c r="EU23" s="6080"/>
      <c r="EV23" s="6080" t="s">
        <v>1613</v>
      </c>
      <c r="EW23" s="6080"/>
      <c r="EX23" s="6080"/>
      <c r="EY23" s="6080"/>
      <c r="EZ23" s="6080"/>
      <c r="FE23" s="6080" t="s">
        <v>1612</v>
      </c>
      <c r="FF23" s="6080"/>
      <c r="FG23" s="6080"/>
      <c r="FH23" s="6080"/>
      <c r="FI23" s="6080"/>
      <c r="FJ23" s="6080" t="s">
        <v>1613</v>
      </c>
      <c r="FK23" s="6080"/>
      <c r="FL23" s="6080"/>
      <c r="FM23" s="6080"/>
      <c r="FN23" s="6080"/>
      <c r="FS23" s="6080" t="s">
        <v>1612</v>
      </c>
      <c r="FT23" s="6080"/>
      <c r="FU23" s="6080"/>
      <c r="FV23" s="6080"/>
      <c r="FW23" s="6080"/>
      <c r="FX23" s="6080" t="s">
        <v>1613</v>
      </c>
      <c r="FY23" s="6080"/>
      <c r="FZ23" s="6080"/>
      <c r="GA23" s="6080"/>
      <c r="GB23" s="6080"/>
    </row>
    <row r="24" spans="1:184">
      <c r="A24" s="2555"/>
      <c r="AC24" s="1535">
        <f>+AC10/$O$10</f>
        <v>8.4215650291614111E-2</v>
      </c>
      <c r="AQ24" s="1535">
        <f>+AQ10/$O$10</f>
        <v>4.6631243141442007E-2</v>
      </c>
      <c r="BE24" s="1535">
        <f>+BE10/$O$10</f>
        <v>6.5961227448537926E-2</v>
      </c>
      <c r="BS24" s="1535">
        <f>+BS10/$O$10</f>
        <v>3.3508253822037759E-2</v>
      </c>
      <c r="CG24" s="1535">
        <f>+CG10/$O$10</f>
        <v>6.8569742048434287E-2</v>
      </c>
      <c r="CU24" s="1535">
        <f>+CU10/$O$10</f>
        <v>9.1569654599093844E-2</v>
      </c>
      <c r="DI24" s="1535">
        <f>+DI10/$O$10</f>
        <v>0.1529342306813285</v>
      </c>
      <c r="DW24" s="1535">
        <f>+DW10/$O$10</f>
        <v>7.1443085308685261E-2</v>
      </c>
      <c r="EK24" s="1535">
        <f>+EK10/$O$10</f>
        <v>0.14694719477345169</v>
      </c>
      <c r="EY24" s="1535">
        <f>+EY10/$O$10</f>
        <v>8.9119001324170569E-2</v>
      </c>
      <c r="FM24" s="1535">
        <f>+FM10/$O$10</f>
        <v>6.1368556008576582E-2</v>
      </c>
      <c r="GA24" s="1535">
        <f>+GA10/$O$10</f>
        <v>8.7732160552627503E-2</v>
      </c>
    </row>
    <row r="25" spans="1:184">
      <c r="A25" s="2555"/>
    </row>
    <row r="26" spans="1:184">
      <c r="A26" s="2555"/>
      <c r="O26" s="679">
        <v>158210</v>
      </c>
    </row>
    <row r="27" spans="1:184">
      <c r="A27" s="2555"/>
      <c r="O27" s="2526">
        <f>SUM(AC27,AQ27,BE27,BS27,CG27,CU27,DI27,DW27,EK27,EY27,FM27,GA27)</f>
        <v>158210</v>
      </c>
      <c r="AC27" s="5215">
        <f>(AC24*$O$26)</f>
        <v>13323.758032636268</v>
      </c>
      <c r="AQ27" s="5215">
        <f>(AQ24*$O$26)</f>
        <v>7377.52897740754</v>
      </c>
      <c r="BE27" s="5215">
        <f>(BE24*$O$26)</f>
        <v>10435.725794633185</v>
      </c>
      <c r="BS27" s="5215">
        <f>(BS24*$O$26)</f>
        <v>5301.3408371845935</v>
      </c>
      <c r="CG27" s="5215">
        <f>(CG24*$O$26)</f>
        <v>10848.418889482789</v>
      </c>
      <c r="CU27" s="5215">
        <f>(CU24*$O$26)</f>
        <v>14487.235054122637</v>
      </c>
      <c r="DI27" s="5215">
        <f>(DI24*$O$26)</f>
        <v>24195.724636092982</v>
      </c>
      <c r="DW27" s="5215">
        <f>(DW24*$O$26)</f>
        <v>11303.010526687096</v>
      </c>
      <c r="EK27" s="5215">
        <f>(EK24*$O$26)</f>
        <v>23248.515685107792</v>
      </c>
      <c r="EY27" s="5215">
        <f>(EY24*$O$26)</f>
        <v>14099.517199497026</v>
      </c>
      <c r="FM27" s="5215">
        <f>(FM24*$O$26)</f>
        <v>9709.1192461169012</v>
      </c>
      <c r="GA27" s="5215">
        <f>(GA24*$O$26)</f>
        <v>13880.105121031198</v>
      </c>
    </row>
    <row r="28" spans="1:184">
      <c r="A28" s="2555"/>
      <c r="O28" s="2526">
        <f>SUM(AC28,AQ28,BE28,BS28,CG28,CU28,DI28,DW28,EK28,EY28,FM28,GA28)</f>
        <v>135262.76799999998</v>
      </c>
      <c r="AC28" s="5238">
        <f>+AC10-AC27</f>
        <v>11391.241967363732</v>
      </c>
      <c r="AQ28" s="5238">
        <f>+AQ10-AQ27</f>
        <v>6307.47102259246</v>
      </c>
      <c r="BE28" s="5238">
        <f>+BE10-BE27</f>
        <v>8922.0982053668158</v>
      </c>
      <c r="BS28" s="5238">
        <f>+BS10-BS27</f>
        <v>4532.4191628154067</v>
      </c>
      <c r="CG28" s="5238">
        <f>+CG10-CG27</f>
        <v>9274.9331105172096</v>
      </c>
      <c r="CU28" s="5238">
        <f>+CU10-CU27</f>
        <v>12385.964945877364</v>
      </c>
      <c r="DI28" s="5238">
        <f>+DI10-DI27</f>
        <v>20686.307363907017</v>
      </c>
      <c r="DW28" s="5238">
        <f>+DW10-DW27</f>
        <v>9663.5894733129026</v>
      </c>
      <c r="EK28" s="5238">
        <f>+EK10-EK27</f>
        <v>19876.484314892208</v>
      </c>
      <c r="EY28" s="5238">
        <f>+EY10-EY27</f>
        <v>12054.482800502974</v>
      </c>
      <c r="FM28" s="5238">
        <f>+FM10-FM27</f>
        <v>8300.8807538830988</v>
      </c>
      <c r="GA28" s="5238">
        <f>+GA10-GA27</f>
        <v>11866.894878968802</v>
      </c>
    </row>
    <row r="29" spans="1:184">
      <c r="A29" s="2555"/>
    </row>
    <row r="30" spans="1:184">
      <c r="A30" s="2553"/>
      <c r="O30" s="5197">
        <v>190053</v>
      </c>
    </row>
    <row r="31" spans="1:184">
      <c r="A31" s="2553"/>
      <c r="O31" s="5196">
        <f>+O17-O30</f>
        <v>103173</v>
      </c>
    </row>
    <row r="35" spans="39:39">
      <c r="AM35" s="47" t="s">
        <v>117</v>
      </c>
    </row>
  </sheetData>
  <mergeCells count="146">
    <mergeCell ref="I1:P1"/>
    <mergeCell ref="C2:P2"/>
    <mergeCell ref="Q2:AD2"/>
    <mergeCell ref="AE2:AR2"/>
    <mergeCell ref="AS2:BF2"/>
    <mergeCell ref="BG2:BT2"/>
    <mergeCell ref="I5:K5"/>
    <mergeCell ref="O5:P5"/>
    <mergeCell ref="W5:Y5"/>
    <mergeCell ref="AC5:AD5"/>
    <mergeCell ref="AK5:AM5"/>
    <mergeCell ref="BE5:BF5"/>
    <mergeCell ref="BM5:BO5"/>
    <mergeCell ref="BS5:BT5"/>
    <mergeCell ref="FA2:FN2"/>
    <mergeCell ref="FO2:GB2"/>
    <mergeCell ref="C3:P3"/>
    <mergeCell ref="Q3:AD3"/>
    <mergeCell ref="AE3:AR3"/>
    <mergeCell ref="AS3:BF3"/>
    <mergeCell ref="BG3:BT3"/>
    <mergeCell ref="BU3:CH3"/>
    <mergeCell ref="CI3:CV3"/>
    <mergeCell ref="CW3:DJ3"/>
    <mergeCell ref="BU2:CH2"/>
    <mergeCell ref="CI2:CV2"/>
    <mergeCell ref="CW2:DJ2"/>
    <mergeCell ref="DK2:DX2"/>
    <mergeCell ref="DY2:EL2"/>
    <mergeCell ref="EM2:EZ2"/>
    <mergeCell ref="CA5:CC5"/>
    <mergeCell ref="DK3:DX3"/>
    <mergeCell ref="DY3:EL3"/>
    <mergeCell ref="EM3:EZ3"/>
    <mergeCell ref="FA3:FN3"/>
    <mergeCell ref="FO3:GB3"/>
    <mergeCell ref="FM5:FN5"/>
    <mergeCell ref="FU5:FW5"/>
    <mergeCell ref="GA5:GB5"/>
    <mergeCell ref="EK5:EL5"/>
    <mergeCell ref="ES5:EU5"/>
    <mergeCell ref="EY5:EZ5"/>
    <mergeCell ref="FG5:FI5"/>
    <mergeCell ref="A6:A8"/>
    <mergeCell ref="B6:B8"/>
    <mergeCell ref="C6:P6"/>
    <mergeCell ref="Q6:AD6"/>
    <mergeCell ref="AE6:AR6"/>
    <mergeCell ref="AS6:BF6"/>
    <mergeCell ref="BG6:BT6"/>
    <mergeCell ref="DW5:DX5"/>
    <mergeCell ref="EE5:EG5"/>
    <mergeCell ref="CG5:CH5"/>
    <mergeCell ref="CO5:CQ5"/>
    <mergeCell ref="CU5:CV5"/>
    <mergeCell ref="DC5:DE5"/>
    <mergeCell ref="DI5:DJ5"/>
    <mergeCell ref="DQ5:DS5"/>
    <mergeCell ref="AQ5:AR5"/>
    <mergeCell ref="AY5:BA5"/>
    <mergeCell ref="AN7:AR7"/>
    <mergeCell ref="AS7:AV7"/>
    <mergeCell ref="AW7:BA7"/>
    <mergeCell ref="BB7:BF7"/>
    <mergeCell ref="BG7:BJ7"/>
    <mergeCell ref="BK7:BO7"/>
    <mergeCell ref="CI7:CL7"/>
    <mergeCell ref="FA6:FN6"/>
    <mergeCell ref="FO6:GB6"/>
    <mergeCell ref="C7:F7"/>
    <mergeCell ref="G7:K7"/>
    <mergeCell ref="L7:P7"/>
    <mergeCell ref="Q7:T7"/>
    <mergeCell ref="U7:Y7"/>
    <mergeCell ref="Z7:AD7"/>
    <mergeCell ref="AE7:AH7"/>
    <mergeCell ref="AI7:AM7"/>
    <mergeCell ref="BU6:CH6"/>
    <mergeCell ref="CI6:CV6"/>
    <mergeCell ref="CW6:DJ6"/>
    <mergeCell ref="DK6:DX6"/>
    <mergeCell ref="DY6:EL6"/>
    <mergeCell ref="EM6:EZ6"/>
    <mergeCell ref="DA7:DE7"/>
    <mergeCell ref="DF7:DJ7"/>
    <mergeCell ref="DK7:DN7"/>
    <mergeCell ref="DO7:DS7"/>
    <mergeCell ref="BP7:BT7"/>
    <mergeCell ref="BU7:BX7"/>
    <mergeCell ref="BY7:CC7"/>
    <mergeCell ref="CD7:CH7"/>
    <mergeCell ref="CM7:CQ7"/>
    <mergeCell ref="FX7:GB7"/>
    <mergeCell ref="L22:P22"/>
    <mergeCell ref="Z22:AD22"/>
    <mergeCell ref="AN22:AR22"/>
    <mergeCell ref="BB22:BF22"/>
    <mergeCell ref="BP22:BT22"/>
    <mergeCell ref="CD22:CH22"/>
    <mergeCell ref="CR22:CV22"/>
    <mergeCell ref="DF22:DJ22"/>
    <mergeCell ref="EV7:EZ7"/>
    <mergeCell ref="FA7:FD7"/>
    <mergeCell ref="FE7:FI7"/>
    <mergeCell ref="FJ7:FN7"/>
    <mergeCell ref="FO7:FR7"/>
    <mergeCell ref="FS7:FW7"/>
    <mergeCell ref="DT7:DX7"/>
    <mergeCell ref="DY7:EB7"/>
    <mergeCell ref="EC7:EG7"/>
    <mergeCell ref="EH7:EL7"/>
    <mergeCell ref="EM7:EP7"/>
    <mergeCell ref="EQ7:EU7"/>
    <mergeCell ref="CR7:CV7"/>
    <mergeCell ref="G23:K23"/>
    <mergeCell ref="L23:P23"/>
    <mergeCell ref="U23:Y23"/>
    <mergeCell ref="Z23:AD23"/>
    <mergeCell ref="AI23:AM23"/>
    <mergeCell ref="CD23:CH23"/>
    <mergeCell ref="CM23:CQ23"/>
    <mergeCell ref="CR23:CV23"/>
    <mergeCell ref="DA23:DE23"/>
    <mergeCell ref="AN23:AR23"/>
    <mergeCell ref="AW23:BA23"/>
    <mergeCell ref="BB23:BF23"/>
    <mergeCell ref="BK23:BO23"/>
    <mergeCell ref="BP23:BT23"/>
    <mergeCell ref="BY23:CC23"/>
    <mergeCell ref="FS23:FW23"/>
    <mergeCell ref="FX23:GB23"/>
    <mergeCell ref="DT23:DX23"/>
    <mergeCell ref="EC23:EG23"/>
    <mergeCell ref="EH23:EL23"/>
    <mergeCell ref="EQ23:EU23"/>
    <mergeCell ref="EV23:EZ23"/>
    <mergeCell ref="FE23:FI23"/>
    <mergeCell ref="CW7:CZ7"/>
    <mergeCell ref="DT22:DX22"/>
    <mergeCell ref="EH22:EL22"/>
    <mergeCell ref="EV22:EZ22"/>
    <mergeCell ref="FJ22:FN22"/>
    <mergeCell ref="FX22:GB22"/>
    <mergeCell ref="DF23:DJ23"/>
    <mergeCell ref="DO23:DS23"/>
    <mergeCell ref="FJ23:FN23"/>
  </mergeCells>
  <hyperlinks>
    <hyperlink ref="A6:A8" location="'Danh mục file'!A1" display="STT"/>
  </hyperlinks>
  <printOptions horizontalCentered="1"/>
  <pageMargins left="0" right="0" top="0.39370078740157483" bottom="0" header="0" footer="0"/>
  <pageSetup paperSize="9" scale="55" orientation="landscape" verticalDpi="0" r:id="rId1"/>
  <headerFooter>
    <oddHeader>&amp;R&amp;A</oddHeader>
    <oddFooter>&amp;C&amp;P/&amp;N</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39"/>
  <sheetViews>
    <sheetView topLeftCell="A7" workbookViewId="0">
      <selection activeCell="E22" sqref="E22"/>
    </sheetView>
  </sheetViews>
  <sheetFormatPr defaultColWidth="9.109375" defaultRowHeight="15.6"/>
  <cols>
    <col min="1" max="1" width="5.109375" style="2845" bestFit="1" customWidth="1"/>
    <col min="2" max="4" width="22" style="1" customWidth="1"/>
    <col min="5" max="5" width="16.6640625" style="1" customWidth="1"/>
    <col min="6" max="6" width="17.33203125" style="1" customWidth="1"/>
    <col min="7" max="7" width="19.33203125" style="1" customWidth="1"/>
    <col min="8" max="12" width="21.6640625" style="1" customWidth="1"/>
    <col min="13" max="13" width="32.5546875" style="1" customWidth="1"/>
    <col min="14" max="16384" width="9.109375" style="1"/>
  </cols>
  <sheetData>
    <row r="1" spans="1:13">
      <c r="A1" s="6138" t="s">
        <v>1758</v>
      </c>
      <c r="B1" s="6138"/>
      <c r="C1" s="6138"/>
      <c r="D1" s="6138"/>
      <c r="E1" s="6138"/>
      <c r="F1" s="6138"/>
      <c r="G1" s="6138"/>
      <c r="H1" s="6138"/>
      <c r="I1" s="6138"/>
      <c r="J1" s="6138"/>
      <c r="K1" s="6138"/>
      <c r="L1" s="6138"/>
      <c r="M1" s="6138"/>
    </row>
    <row r="3" spans="1:13">
      <c r="M3" s="1409" t="s">
        <v>246</v>
      </c>
    </row>
    <row r="4" spans="1:13" s="1382" customFormat="1">
      <c r="A4" s="6400" t="s">
        <v>247</v>
      </c>
      <c r="B4" s="6558" t="s">
        <v>1759</v>
      </c>
      <c r="C4" s="6694" t="s">
        <v>645</v>
      </c>
      <c r="D4" s="6695"/>
      <c r="E4" s="6695"/>
      <c r="F4" s="6695"/>
      <c r="G4" s="6695"/>
      <c r="H4" s="6695"/>
      <c r="I4" s="6695"/>
      <c r="J4" s="6695"/>
      <c r="K4" s="6695"/>
      <c r="L4" s="6696"/>
      <c r="M4" s="6558" t="s">
        <v>861</v>
      </c>
    </row>
    <row r="5" spans="1:13" s="1382" customFormat="1">
      <c r="A5" s="6328"/>
      <c r="B5" s="6693"/>
      <c r="C5" s="6132" t="s">
        <v>1858</v>
      </c>
      <c r="D5" s="6132" t="s">
        <v>1760</v>
      </c>
      <c r="E5" s="6132" t="s">
        <v>1761</v>
      </c>
      <c r="F5" s="6132" t="s">
        <v>1555</v>
      </c>
      <c r="G5" s="6132" t="s">
        <v>1762</v>
      </c>
      <c r="H5" s="6132"/>
      <c r="I5" s="6132" t="s">
        <v>1762</v>
      </c>
      <c r="J5" s="6132"/>
      <c r="K5" s="6132" t="s">
        <v>1762</v>
      </c>
      <c r="L5" s="6132"/>
      <c r="M5" s="6693"/>
    </row>
    <row r="6" spans="1:13" s="1382" customFormat="1" ht="62.4">
      <c r="A6" s="6329"/>
      <c r="B6" s="6401"/>
      <c r="C6" s="6132"/>
      <c r="D6" s="6132"/>
      <c r="E6" s="6132"/>
      <c r="F6" s="6132"/>
      <c r="G6" s="1383" t="s">
        <v>1763</v>
      </c>
      <c r="H6" s="1383" t="s">
        <v>1762</v>
      </c>
      <c r="I6" s="1383" t="s">
        <v>1764</v>
      </c>
      <c r="J6" s="1383" t="s">
        <v>1765</v>
      </c>
      <c r="K6" s="1383" t="s">
        <v>1856</v>
      </c>
      <c r="L6" s="1383" t="s">
        <v>1857</v>
      </c>
      <c r="M6" s="6401"/>
    </row>
    <row r="7" spans="1:13" s="1382" customFormat="1">
      <c r="A7" s="2846">
        <v>1</v>
      </c>
      <c r="B7" s="2846">
        <v>2</v>
      </c>
      <c r="C7" s="2846"/>
      <c r="D7" s="2846"/>
      <c r="E7" s="2846" t="s">
        <v>1766</v>
      </c>
      <c r="F7" s="2846">
        <v>4</v>
      </c>
      <c r="G7" s="2846">
        <v>5</v>
      </c>
      <c r="H7" s="2846" t="s">
        <v>1767</v>
      </c>
      <c r="I7" s="2846"/>
      <c r="J7" s="2846"/>
      <c r="K7" s="2846"/>
      <c r="L7" s="2846"/>
      <c r="M7" s="2846">
        <v>7</v>
      </c>
    </row>
    <row r="8" spans="1:13" s="763" customFormat="1" ht="25.5" customHeight="1">
      <c r="A8" s="2847">
        <v>1</v>
      </c>
      <c r="B8" s="2848" t="s">
        <v>251</v>
      </c>
      <c r="C8" s="2849">
        <f>L8</f>
        <v>200</v>
      </c>
      <c r="D8" s="2849">
        <f>J8</f>
        <v>0</v>
      </c>
      <c r="E8" s="4920">
        <f>F8+H8</f>
        <v>8796</v>
      </c>
      <c r="F8" s="4920">
        <v>8396</v>
      </c>
      <c r="G8" s="4920">
        <v>4000</v>
      </c>
      <c r="H8" s="4920">
        <f>INT(G8*10%)</f>
        <v>400</v>
      </c>
      <c r="I8" s="4920">
        <f>IF('[28]Phụ lục 6.1 Chi'!P63&lt;0,0,'[28]Phụ lục 6.1 Chi'!P63)</f>
        <v>0</v>
      </c>
      <c r="J8" s="4921">
        <f>(I8*10%)</f>
        <v>0</v>
      </c>
      <c r="K8" s="4922">
        <f>'Phụ lục số 8.1'!N50</f>
        <v>2000</v>
      </c>
      <c r="L8" s="4922">
        <f>K8*10%</f>
        <v>200</v>
      </c>
      <c r="M8" s="4923"/>
    </row>
    <row r="9" spans="1:13" s="763" customFormat="1" ht="25.5" customHeight="1">
      <c r="A9" s="2850">
        <v>2</v>
      </c>
      <c r="B9" s="2851" t="s">
        <v>252</v>
      </c>
      <c r="C9" s="2852">
        <f t="shared" ref="C9:C19" si="0">L9</f>
        <v>0</v>
      </c>
      <c r="D9" s="2852">
        <f>J9</f>
        <v>60.054508638145698</v>
      </c>
      <c r="E9" s="4921">
        <f t="shared" ref="E9:E19" si="1">F9+H9</f>
        <v>6409</v>
      </c>
      <c r="F9" s="4921">
        <v>6009</v>
      </c>
      <c r="G9" s="4921">
        <v>4000</v>
      </c>
      <c r="H9" s="4921">
        <f t="shared" ref="H9:H19" si="2">INT(G9*10%)</f>
        <v>400</v>
      </c>
      <c r="I9" s="2853">
        <f>'[28]Phụ lục 6.1 Chi'!V43</f>
        <v>600.54508638145694</v>
      </c>
      <c r="J9" s="2854">
        <f>(I9*10%)</f>
        <v>60.054508638145698</v>
      </c>
      <c r="K9" s="2854">
        <f>'Phụ lục số 8.1'!V50</f>
        <v>0</v>
      </c>
      <c r="L9" s="4922">
        <f>K9*10%</f>
        <v>0</v>
      </c>
      <c r="M9" s="4924"/>
    </row>
    <row r="10" spans="1:13" s="763" customFormat="1" ht="25.5" customHeight="1">
      <c r="A10" s="2850">
        <v>3</v>
      </c>
      <c r="B10" s="2851" t="s">
        <v>253</v>
      </c>
      <c r="C10" s="2852">
        <f t="shared" si="0"/>
        <v>0</v>
      </c>
      <c r="D10" s="2852">
        <f>J10</f>
        <v>575.8259883746822</v>
      </c>
      <c r="E10" s="4921">
        <f>F10+H10</f>
        <v>8511</v>
      </c>
      <c r="F10" s="4921">
        <v>7811</v>
      </c>
      <c r="G10" s="4921">
        <v>7000</v>
      </c>
      <c r="H10" s="4921">
        <f>INT(G10*10%)</f>
        <v>700</v>
      </c>
      <c r="I10" s="2853">
        <f>'[28]Phụ lục 6.1 Chi'!AD43</f>
        <v>5758.2598837468213</v>
      </c>
      <c r="J10" s="4921">
        <f t="shared" ref="J10:J19" si="3">(I10*10%)</f>
        <v>575.8259883746822</v>
      </c>
      <c r="K10" s="4921"/>
      <c r="L10" s="4922">
        <f t="shared" ref="L10:L19" si="4">K10*10%</f>
        <v>0</v>
      </c>
      <c r="M10" s="4924"/>
    </row>
    <row r="11" spans="1:13" s="763" customFormat="1" ht="25.5" customHeight="1">
      <c r="A11" s="2850">
        <v>4</v>
      </c>
      <c r="B11" s="2851" t="s">
        <v>254</v>
      </c>
      <c r="C11" s="2852">
        <f t="shared" si="0"/>
        <v>0</v>
      </c>
      <c r="D11" s="2852">
        <f t="shared" ref="D11:D19" si="5">J11</f>
        <v>273.22123367437069</v>
      </c>
      <c r="E11" s="4921">
        <f t="shared" si="1"/>
        <v>9169</v>
      </c>
      <c r="F11" s="4921">
        <v>8369</v>
      </c>
      <c r="G11" s="4921">
        <v>8000</v>
      </c>
      <c r="H11" s="4921">
        <f t="shared" si="2"/>
        <v>800</v>
      </c>
      <c r="I11" s="2853">
        <f>'[28]Phụ lục 6.1 Chi'!AL43</f>
        <v>2732.2123367437066</v>
      </c>
      <c r="J11" s="4921">
        <f t="shared" si="3"/>
        <v>273.22123367437069</v>
      </c>
      <c r="K11" s="4921">
        <f>'Phụ lục số 8.1'!AL50</f>
        <v>0</v>
      </c>
      <c r="L11" s="4922">
        <f t="shared" si="4"/>
        <v>0</v>
      </c>
      <c r="M11" s="4924"/>
    </row>
    <row r="12" spans="1:13" s="763" customFormat="1" ht="25.5" customHeight="1">
      <c r="A12" s="2850">
        <v>5</v>
      </c>
      <c r="B12" s="2851" t="s">
        <v>255</v>
      </c>
      <c r="C12" s="2852">
        <f t="shared" si="0"/>
        <v>0</v>
      </c>
      <c r="D12" s="2852">
        <f t="shared" si="5"/>
        <v>2544.9044324105798</v>
      </c>
      <c r="E12" s="4921">
        <f t="shared" si="1"/>
        <v>10215</v>
      </c>
      <c r="F12" s="4921">
        <v>9615</v>
      </c>
      <c r="G12" s="4921">
        <v>6000</v>
      </c>
      <c r="H12" s="4921">
        <f t="shared" si="2"/>
        <v>600</v>
      </c>
      <c r="I12" s="2853">
        <f>'[28]Phụ lục 6.1 Chi'!AT43</f>
        <v>25449.044324105798</v>
      </c>
      <c r="J12" s="4921">
        <f t="shared" si="3"/>
        <v>2544.9044324105798</v>
      </c>
      <c r="K12" s="4921">
        <f>'Phụ lục số 8.1'!AT50</f>
        <v>0</v>
      </c>
      <c r="L12" s="4922">
        <f t="shared" si="4"/>
        <v>0</v>
      </c>
      <c r="M12" s="4924"/>
    </row>
    <row r="13" spans="1:13" s="763" customFormat="1" ht="25.5" customHeight="1">
      <c r="A13" s="2850">
        <v>6</v>
      </c>
      <c r="B13" s="2851" t="s">
        <v>256</v>
      </c>
      <c r="C13" s="2852">
        <f t="shared" si="0"/>
        <v>1457.5</v>
      </c>
      <c r="D13" s="2852">
        <f t="shared" si="5"/>
        <v>12198.344142151807</v>
      </c>
      <c r="E13" s="4921">
        <f t="shared" si="1"/>
        <v>12804</v>
      </c>
      <c r="F13" s="4921">
        <v>12104</v>
      </c>
      <c r="G13" s="4921">
        <v>7000</v>
      </c>
      <c r="H13" s="4921">
        <f t="shared" si="2"/>
        <v>700</v>
      </c>
      <c r="I13" s="2853">
        <f>'[28]Phụ lục 6.1 Chi'!BB43</f>
        <v>121983.44142151806</v>
      </c>
      <c r="J13" s="4921">
        <f t="shared" si="3"/>
        <v>12198.344142151807</v>
      </c>
      <c r="K13" s="4921">
        <f>'Phụ lục số 8.1'!BB50</f>
        <v>14575</v>
      </c>
      <c r="L13" s="4922">
        <f t="shared" si="4"/>
        <v>1457.5</v>
      </c>
      <c r="M13" s="4924"/>
    </row>
    <row r="14" spans="1:13" s="763" customFormat="1" ht="25.5" customHeight="1">
      <c r="A14" s="2850">
        <v>7</v>
      </c>
      <c r="B14" s="2851" t="s">
        <v>257</v>
      </c>
      <c r="C14" s="2852">
        <f t="shared" si="0"/>
        <v>0</v>
      </c>
      <c r="D14" s="2852">
        <f t="shared" si="5"/>
        <v>1717.5070488188319</v>
      </c>
      <c r="E14" s="4921">
        <f t="shared" si="1"/>
        <v>13710</v>
      </c>
      <c r="F14" s="4921">
        <v>12910</v>
      </c>
      <c r="G14" s="4921">
        <v>8000</v>
      </c>
      <c r="H14" s="4921">
        <f t="shared" si="2"/>
        <v>800</v>
      </c>
      <c r="I14" s="2853">
        <f>'[28]Phụ lục 6.1 Chi'!BJ43</f>
        <v>17175.070488188318</v>
      </c>
      <c r="J14" s="4921">
        <f t="shared" si="3"/>
        <v>1717.5070488188319</v>
      </c>
      <c r="K14" s="4921">
        <f>'Phụ lục số 8.1'!BJ50</f>
        <v>0</v>
      </c>
      <c r="L14" s="4922">
        <f t="shared" si="4"/>
        <v>0</v>
      </c>
      <c r="M14" s="4924"/>
    </row>
    <row r="15" spans="1:13" s="763" customFormat="1" ht="25.5" customHeight="1">
      <c r="A15" s="2850">
        <v>8</v>
      </c>
      <c r="B15" s="2851" t="s">
        <v>258</v>
      </c>
      <c r="C15" s="2852">
        <f t="shared" si="0"/>
        <v>47.5</v>
      </c>
      <c r="D15" s="2852">
        <f t="shared" si="5"/>
        <v>738.63338839258017</v>
      </c>
      <c r="E15" s="4921">
        <f t="shared" si="1"/>
        <v>11468</v>
      </c>
      <c r="F15" s="4921">
        <v>10768</v>
      </c>
      <c r="G15" s="4921">
        <v>7000</v>
      </c>
      <c r="H15" s="4921">
        <f t="shared" si="2"/>
        <v>700</v>
      </c>
      <c r="I15" s="2853">
        <f>'[28]Phụ lục 6.1 Chi'!BR43</f>
        <v>7386.3338839258013</v>
      </c>
      <c r="J15" s="4921">
        <f t="shared" si="3"/>
        <v>738.63338839258017</v>
      </c>
      <c r="K15" s="4921">
        <f>'Phụ lục số 8.1'!BR50</f>
        <v>475</v>
      </c>
      <c r="L15" s="4922">
        <f t="shared" si="4"/>
        <v>47.5</v>
      </c>
      <c r="M15" s="4924"/>
    </row>
    <row r="16" spans="1:13" s="763" customFormat="1" ht="25.5" customHeight="1">
      <c r="A16" s="2850">
        <v>9</v>
      </c>
      <c r="B16" s="2851" t="s">
        <v>259</v>
      </c>
      <c r="C16" s="2852">
        <f t="shared" si="0"/>
        <v>0</v>
      </c>
      <c r="D16" s="2852">
        <f t="shared" si="5"/>
        <v>1996.937547413263</v>
      </c>
      <c r="E16" s="4921">
        <f t="shared" si="1"/>
        <v>11760</v>
      </c>
      <c r="F16" s="4921">
        <v>11060</v>
      </c>
      <c r="G16" s="4921">
        <v>7000</v>
      </c>
      <c r="H16" s="4921">
        <f t="shared" si="2"/>
        <v>700</v>
      </c>
      <c r="I16" s="2853">
        <f>'[28]Phụ lục 6.1 Chi'!BZ43</f>
        <v>19969.37547413263</v>
      </c>
      <c r="J16" s="4921">
        <f t="shared" si="3"/>
        <v>1996.937547413263</v>
      </c>
      <c r="K16" s="4921">
        <f>'Phụ lục số 8.1'!BZ50</f>
        <v>0</v>
      </c>
      <c r="L16" s="4922">
        <f t="shared" si="4"/>
        <v>0</v>
      </c>
      <c r="M16" s="4924"/>
    </row>
    <row r="17" spans="1:13" s="763" customFormat="1" ht="25.5" customHeight="1">
      <c r="A17" s="2850">
        <v>10</v>
      </c>
      <c r="B17" s="2851" t="s">
        <v>260</v>
      </c>
      <c r="C17" s="2852">
        <f t="shared" si="0"/>
        <v>949.2600000000001</v>
      </c>
      <c r="D17" s="2852">
        <f t="shared" si="5"/>
        <v>2.5509571213825667E-2</v>
      </c>
      <c r="E17" s="4921">
        <f t="shared" si="1"/>
        <v>10274</v>
      </c>
      <c r="F17" s="4921">
        <v>9574</v>
      </c>
      <c r="G17" s="4921">
        <v>7000</v>
      </c>
      <c r="H17" s="4921">
        <f t="shared" si="2"/>
        <v>700</v>
      </c>
      <c r="I17" s="2853">
        <f>'[28]Phụ lục 6.1 Chi'!CH43</f>
        <v>0.25509571213825666</v>
      </c>
      <c r="J17" s="4921">
        <f t="shared" si="3"/>
        <v>2.5509571213825667E-2</v>
      </c>
      <c r="K17" s="4921">
        <f>'Phụ lục số 8.1'!CH50</f>
        <v>9492.6</v>
      </c>
      <c r="L17" s="4922">
        <f t="shared" si="4"/>
        <v>949.2600000000001</v>
      </c>
      <c r="M17" s="4924"/>
    </row>
    <row r="18" spans="1:13" s="763" customFormat="1" ht="25.5" customHeight="1">
      <c r="A18" s="2850">
        <v>11</v>
      </c>
      <c r="B18" s="2851" t="s">
        <v>261</v>
      </c>
      <c r="C18" s="2852">
        <f t="shared" si="0"/>
        <v>0</v>
      </c>
      <c r="D18" s="2852">
        <f t="shared" si="5"/>
        <v>3464.8364037845445</v>
      </c>
      <c r="E18" s="4921">
        <f>F18+H18</f>
        <v>11336</v>
      </c>
      <c r="F18" s="4921">
        <v>10936</v>
      </c>
      <c r="G18" s="4921">
        <v>4000</v>
      </c>
      <c r="H18" s="4921">
        <f t="shared" si="2"/>
        <v>400</v>
      </c>
      <c r="I18" s="2853">
        <f>'[28]Phụ lục 6.1 Chi'!CP43</f>
        <v>34648.364037845444</v>
      </c>
      <c r="J18" s="4921">
        <f t="shared" si="3"/>
        <v>3464.8364037845445</v>
      </c>
      <c r="K18" s="4921">
        <f>'Phụ lục số 8.1'!CP50</f>
        <v>0</v>
      </c>
      <c r="L18" s="4922">
        <f t="shared" si="4"/>
        <v>0</v>
      </c>
      <c r="M18" s="4924"/>
    </row>
    <row r="19" spans="1:13" s="763" customFormat="1" ht="25.5" customHeight="1">
      <c r="A19" s="2850">
        <v>12</v>
      </c>
      <c r="B19" s="2851" t="s">
        <v>262</v>
      </c>
      <c r="C19" s="2852">
        <f t="shared" si="0"/>
        <v>0</v>
      </c>
      <c r="D19" s="2852">
        <f t="shared" si="5"/>
        <v>1729.7333069020206</v>
      </c>
      <c r="E19" s="4921">
        <f t="shared" si="1"/>
        <v>9763</v>
      </c>
      <c r="F19" s="4921">
        <v>9163</v>
      </c>
      <c r="G19" s="4921">
        <v>6000</v>
      </c>
      <c r="H19" s="4921">
        <f t="shared" si="2"/>
        <v>600</v>
      </c>
      <c r="I19" s="2853">
        <f>'[28]Phụ lục 6.1 Chi'!CX43</f>
        <v>17297.333069020206</v>
      </c>
      <c r="J19" s="4921">
        <f t="shared" si="3"/>
        <v>1729.7333069020206</v>
      </c>
      <c r="K19" s="4921">
        <f>'Phụ lục số 8.1'!CX50</f>
        <v>0</v>
      </c>
      <c r="L19" s="4922">
        <f t="shared" si="4"/>
        <v>0</v>
      </c>
      <c r="M19" s="4924"/>
    </row>
    <row r="20" spans="1:13" s="763" customFormat="1" ht="31.2">
      <c r="A20" s="2850" t="s">
        <v>3</v>
      </c>
      <c r="B20" s="2855" t="s">
        <v>1768</v>
      </c>
      <c r="C20" s="2856">
        <f>SUM(C8:C19)</f>
        <v>2654.26</v>
      </c>
      <c r="D20" s="2856">
        <f>SUM(D8:D19)</f>
        <v>25300.02351013204</v>
      </c>
      <c r="E20" s="2856">
        <f>SUM(E8:E19)</f>
        <v>124215</v>
      </c>
      <c r="F20" s="2856">
        <f>SUM(F8:F19)</f>
        <v>116715</v>
      </c>
      <c r="G20" s="2856">
        <f>SUM(G8:G19)</f>
        <v>75000</v>
      </c>
      <c r="H20" s="2856">
        <f t="shared" ref="H20:I20" si="6">SUM(H8:H19)</f>
        <v>7500</v>
      </c>
      <c r="I20" s="2856">
        <f t="shared" si="6"/>
        <v>253000.2351013204</v>
      </c>
      <c r="J20" s="2856">
        <f>SUM(J8:J19)</f>
        <v>25300.02351013204</v>
      </c>
      <c r="K20" s="2856">
        <f t="shared" ref="K20:L20" si="7">SUM(K8:K19)</f>
        <v>26542.6</v>
      </c>
      <c r="L20" s="2856">
        <f t="shared" si="7"/>
        <v>2654.26</v>
      </c>
      <c r="M20" s="2857"/>
    </row>
    <row r="21" spans="1:13" s="763" customFormat="1" ht="25.5" customHeight="1">
      <c r="A21" s="2850" t="s">
        <v>33</v>
      </c>
      <c r="B21" s="4925" t="s">
        <v>249</v>
      </c>
      <c r="C21" s="4925"/>
      <c r="D21" s="4925"/>
      <c r="E21" s="4925"/>
      <c r="F21" s="4925"/>
      <c r="G21" s="4925"/>
      <c r="H21" s="4925"/>
      <c r="I21" s="4925"/>
      <c r="J21" s="4925"/>
      <c r="K21" s="4925"/>
      <c r="L21" s="4925"/>
      <c r="M21" s="4925"/>
    </row>
    <row r="22" spans="1:13" s="763" customFormat="1" ht="27.75" customHeight="1">
      <c r="A22" s="2858" t="s">
        <v>182</v>
      </c>
      <c r="B22" s="2859" t="s">
        <v>1769</v>
      </c>
      <c r="C22" s="3018">
        <f>C21+C20</f>
        <v>2654.26</v>
      </c>
      <c r="D22" s="2859"/>
      <c r="E22" s="4926"/>
      <c r="F22" s="4926"/>
      <c r="G22" s="4926"/>
      <c r="H22" s="4927"/>
      <c r="I22" s="4927"/>
      <c r="J22" s="4927"/>
      <c r="K22" s="4927"/>
      <c r="L22" s="4927"/>
      <c r="M22" s="4926"/>
    </row>
    <row r="23" spans="1:13" s="2861" customFormat="1" ht="31.2">
      <c r="A23" s="1383" t="s">
        <v>215</v>
      </c>
      <c r="B23" s="2860" t="s">
        <v>1770</v>
      </c>
      <c r="C23" s="2860"/>
      <c r="D23" s="2860"/>
      <c r="E23" s="2860"/>
      <c r="F23" s="2860"/>
      <c r="G23" s="2860"/>
      <c r="H23" s="2860"/>
      <c r="I23" s="2860"/>
      <c r="J23" s="2860"/>
      <c r="K23" s="2860"/>
      <c r="L23" s="2860"/>
      <c r="M23" s="2860"/>
    </row>
    <row r="24" spans="1:13" s="763" customFormat="1" ht="25.5" customHeight="1">
      <c r="A24" s="1383" t="s">
        <v>718</v>
      </c>
      <c r="B24" s="2862" t="s">
        <v>1771</v>
      </c>
      <c r="C24" s="2862"/>
      <c r="D24" s="4928">
        <f>D22-D23</f>
        <v>0</v>
      </c>
      <c r="E24" s="4929"/>
      <c r="F24" s="4929"/>
      <c r="G24" s="4929"/>
      <c r="H24" s="4929"/>
      <c r="I24" s="4929"/>
      <c r="J24" s="4929"/>
      <c r="K24" s="4929"/>
      <c r="L24" s="4929"/>
      <c r="M24" s="4929"/>
    </row>
    <row r="32" spans="1:13">
      <c r="E32" s="1">
        <v>167395</v>
      </c>
      <c r="H32" s="1">
        <v>103205</v>
      </c>
      <c r="M32" s="1">
        <v>132508</v>
      </c>
    </row>
    <row r="33" spans="5:13">
      <c r="E33" s="1703">
        <f>+E32-E20</f>
        <v>43180</v>
      </c>
      <c r="M33" s="1">
        <f>M32-H32</f>
        <v>29303</v>
      </c>
    </row>
    <row r="34" spans="5:13">
      <c r="M34" s="1">
        <v>160</v>
      </c>
    </row>
    <row r="35" spans="5:13">
      <c r="E35" s="4930">
        <v>9045866</v>
      </c>
      <c r="M35" s="1">
        <v>60</v>
      </c>
    </row>
    <row r="36" spans="5:13">
      <c r="E36" s="4930">
        <v>9402554</v>
      </c>
      <c r="M36" s="1">
        <f>+M34*M35</f>
        <v>9600</v>
      </c>
    </row>
    <row r="37" spans="5:13">
      <c r="E37" s="4931">
        <f>+E36-E35</f>
        <v>356688</v>
      </c>
      <c r="M37" s="1">
        <f>9000/M34</f>
        <v>56.25</v>
      </c>
    </row>
    <row r="38" spans="5:13">
      <c r="E38" s="4930">
        <f>+E37*10%</f>
        <v>35668.800000000003</v>
      </c>
    </row>
    <row r="39" spans="5:13">
      <c r="E39" s="4931">
        <f>+E38+E32</f>
        <v>203063.8</v>
      </c>
    </row>
  </sheetData>
  <mergeCells count="12">
    <mergeCell ref="A1:M1"/>
    <mergeCell ref="A4:A6"/>
    <mergeCell ref="B4:B6"/>
    <mergeCell ref="M4:M6"/>
    <mergeCell ref="D5:D6"/>
    <mergeCell ref="E5:E6"/>
    <mergeCell ref="F5:F6"/>
    <mergeCell ref="G5:H5"/>
    <mergeCell ref="I5:J5"/>
    <mergeCell ref="K5:L5"/>
    <mergeCell ref="C4:L4"/>
    <mergeCell ref="C5:C6"/>
  </mergeCells>
  <hyperlinks>
    <hyperlink ref="A4:A6" location="'Danh mục file'!A1" display="STT"/>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25"/>
  <sheetViews>
    <sheetView zoomScale="70" zoomScaleNormal="70" workbookViewId="0">
      <selection activeCell="AG36" sqref="AG36"/>
    </sheetView>
  </sheetViews>
  <sheetFormatPr defaultColWidth="10.33203125" defaultRowHeight="18"/>
  <cols>
    <col min="1" max="1" width="6.5546875" style="317" bestFit="1" customWidth="1"/>
    <col min="2" max="2" width="24.6640625" style="47" customWidth="1"/>
    <col min="3" max="8" width="9.6640625" style="47" customWidth="1"/>
    <col min="9" max="9" width="11.109375" style="47" customWidth="1"/>
    <col min="10" max="10" width="11.33203125" style="47" customWidth="1"/>
    <col min="11" max="11" width="11.109375" style="47" customWidth="1"/>
    <col min="12" max="21" width="9.6640625" style="47" customWidth="1"/>
    <col min="22" max="16384" width="10.33203125" style="47"/>
  </cols>
  <sheetData>
    <row r="1" spans="1:22">
      <c r="A1" s="6080" t="s">
        <v>3164</v>
      </c>
      <c r="B1" s="6080"/>
      <c r="C1" s="6080"/>
      <c r="D1" s="6080"/>
      <c r="E1" s="6080"/>
      <c r="F1" s="6080"/>
      <c r="G1" s="6080"/>
      <c r="H1" s="6080"/>
      <c r="I1" s="6080"/>
      <c r="J1" s="6080"/>
      <c r="K1" s="6080"/>
      <c r="L1" s="6080"/>
      <c r="M1" s="6080"/>
      <c r="N1" s="6080"/>
      <c r="O1" s="6080"/>
      <c r="P1" s="6080"/>
      <c r="Q1" s="6080"/>
      <c r="R1" s="6080"/>
      <c r="S1" s="6080"/>
      <c r="T1" s="6080"/>
      <c r="U1" s="6080"/>
      <c r="V1" s="6080"/>
    </row>
    <row r="2" spans="1:22">
      <c r="A2" s="6522" t="str">
        <f>+'Phụ lục số 8'!A2:O2</f>
        <v>(Kèm theo Báo cáo số     462/BC-UBND ngày 22 tháng 11 năm 2024 của Ủy ban nhân dân tỉnh Đồng Tháp)</v>
      </c>
      <c r="B2" s="6522"/>
      <c r="C2" s="6522"/>
      <c r="D2" s="6522"/>
      <c r="E2" s="6522"/>
      <c r="F2" s="6522"/>
      <c r="G2" s="6522"/>
      <c r="H2" s="6522"/>
      <c r="I2" s="6522"/>
      <c r="J2" s="6522"/>
      <c r="K2" s="6522"/>
      <c r="L2" s="6522"/>
      <c r="M2" s="6522"/>
      <c r="N2" s="6522"/>
      <c r="O2" s="6522"/>
      <c r="P2" s="6522"/>
      <c r="Q2" s="6522"/>
      <c r="R2" s="6522"/>
      <c r="S2" s="6522"/>
      <c r="T2" s="6522"/>
      <c r="U2" s="6522"/>
      <c r="V2" s="6522"/>
    </row>
    <row r="3" spans="1:22">
      <c r="A3" s="319"/>
      <c r="B3" s="319"/>
      <c r="C3" s="319"/>
      <c r="D3" s="319"/>
      <c r="E3" s="319"/>
      <c r="F3" s="319"/>
      <c r="G3" s="319"/>
      <c r="H3" s="319"/>
      <c r="I3" s="319"/>
      <c r="J3" s="319"/>
      <c r="K3" s="319"/>
      <c r="L3" s="319"/>
      <c r="M3" s="319"/>
      <c r="N3" s="319"/>
      <c r="O3" s="319"/>
      <c r="P3" s="319"/>
      <c r="Q3" s="319"/>
      <c r="R3" s="319"/>
      <c r="S3" s="319"/>
      <c r="T3" s="319"/>
    </row>
    <row r="4" spans="1:22" ht="17.25" customHeight="1" thickBot="1">
      <c r="R4" s="6506" t="s">
        <v>638</v>
      </c>
      <c r="S4" s="6506"/>
      <c r="T4" s="6506"/>
      <c r="U4" s="6506"/>
      <c r="V4" s="6506"/>
    </row>
    <row r="5" spans="1:22" s="49" customFormat="1" ht="16.5" customHeight="1" thickTop="1">
      <c r="A5" s="6501" t="s">
        <v>247</v>
      </c>
      <c r="B5" s="6569" t="s">
        <v>1526</v>
      </c>
      <c r="C5" s="6569" t="s">
        <v>3195</v>
      </c>
      <c r="D5" s="6569" t="s">
        <v>1527</v>
      </c>
      <c r="E5" s="6569"/>
      <c r="F5" s="6569"/>
      <c r="G5" s="6569"/>
      <c r="H5" s="6569"/>
      <c r="I5" s="6569"/>
      <c r="J5" s="6569"/>
      <c r="K5" s="6569"/>
      <c r="L5" s="6569"/>
      <c r="M5" s="6569" t="s">
        <v>3169</v>
      </c>
      <c r="N5" s="6225" t="s">
        <v>3168</v>
      </c>
      <c r="O5" s="6226"/>
      <c r="P5" s="6226"/>
      <c r="Q5" s="6226"/>
      <c r="R5" s="6226"/>
      <c r="S5" s="6226"/>
      <c r="T5" s="6226"/>
      <c r="U5" s="6226"/>
      <c r="V5" s="6227"/>
    </row>
    <row r="6" spans="1:22" s="49" customFormat="1" ht="15.75" customHeight="1">
      <c r="A6" s="6701"/>
      <c r="B6" s="6293"/>
      <c r="C6" s="6293"/>
      <c r="D6" s="6293" t="s">
        <v>1528</v>
      </c>
      <c r="E6" s="6293" t="s">
        <v>1529</v>
      </c>
      <c r="F6" s="6293" t="s">
        <v>645</v>
      </c>
      <c r="G6" s="6293"/>
      <c r="H6" s="6293" t="s">
        <v>1530</v>
      </c>
      <c r="I6" s="6293" t="s">
        <v>645</v>
      </c>
      <c r="J6" s="6293"/>
      <c r="K6" s="6293"/>
      <c r="L6" s="6293" t="s">
        <v>1531</v>
      </c>
      <c r="M6" s="6293"/>
      <c r="N6" s="6699" t="s">
        <v>208</v>
      </c>
      <c r="O6" s="6699"/>
      <c r="P6" s="6699"/>
      <c r="Q6" s="6699" t="s">
        <v>209</v>
      </c>
      <c r="R6" s="6699"/>
      <c r="S6" s="6699"/>
      <c r="T6" s="6700" t="s">
        <v>175</v>
      </c>
      <c r="U6" s="6702" t="s">
        <v>176</v>
      </c>
      <c r="V6" s="6703" t="s">
        <v>825</v>
      </c>
    </row>
    <row r="7" spans="1:22" s="49" customFormat="1" ht="15.75" customHeight="1">
      <c r="A7" s="6701"/>
      <c r="B7" s="6293"/>
      <c r="C7" s="6293"/>
      <c r="D7" s="6293"/>
      <c r="E7" s="6293"/>
      <c r="F7" s="6293"/>
      <c r="G7" s="6293"/>
      <c r="H7" s="6293"/>
      <c r="I7" s="6293" t="s">
        <v>205</v>
      </c>
      <c r="J7" s="6293" t="s">
        <v>3163</v>
      </c>
      <c r="K7" s="6293" t="s">
        <v>3167</v>
      </c>
      <c r="L7" s="6293"/>
      <c r="M7" s="6293"/>
      <c r="N7" s="6293" t="s">
        <v>387</v>
      </c>
      <c r="O7" s="6293" t="s">
        <v>645</v>
      </c>
      <c r="P7" s="6293"/>
      <c r="Q7" s="6293" t="s">
        <v>387</v>
      </c>
      <c r="R7" s="6504" t="s">
        <v>645</v>
      </c>
      <c r="S7" s="6504"/>
      <c r="T7" s="6293"/>
      <c r="U7" s="6702"/>
      <c r="V7" s="6703"/>
    </row>
    <row r="8" spans="1:22" s="49" customFormat="1" ht="278.25" customHeight="1">
      <c r="A8" s="6701"/>
      <c r="B8" s="6293"/>
      <c r="C8" s="6293"/>
      <c r="D8" s="6293"/>
      <c r="E8" s="6293"/>
      <c r="F8" s="2247" t="s">
        <v>1533</v>
      </c>
      <c r="G8" s="2247" t="s">
        <v>1534</v>
      </c>
      <c r="H8" s="6293"/>
      <c r="I8" s="6293"/>
      <c r="J8" s="6293"/>
      <c r="K8" s="6293"/>
      <c r="L8" s="6293"/>
      <c r="M8" s="6293"/>
      <c r="N8" s="6293"/>
      <c r="O8" s="2247" t="s">
        <v>143</v>
      </c>
      <c r="P8" s="2247" t="s">
        <v>144</v>
      </c>
      <c r="Q8" s="6293"/>
      <c r="R8" s="2247" t="s">
        <v>824</v>
      </c>
      <c r="S8" s="2247" t="s">
        <v>740</v>
      </c>
      <c r="T8" s="6293"/>
      <c r="U8" s="6700"/>
      <c r="V8" s="6704"/>
    </row>
    <row r="9" spans="1:22" s="49" customFormat="1" ht="17.399999999999999">
      <c r="A9" s="2763">
        <v>1</v>
      </c>
      <c r="B9" s="2764">
        <v>2</v>
      </c>
      <c r="C9" s="2764">
        <v>3</v>
      </c>
      <c r="D9" s="2764" t="s">
        <v>3166</v>
      </c>
      <c r="E9" s="2764" t="s">
        <v>1536</v>
      </c>
      <c r="F9" s="2764">
        <v>6</v>
      </c>
      <c r="G9" s="2764">
        <v>7</v>
      </c>
      <c r="H9" s="2764" t="s">
        <v>3165</v>
      </c>
      <c r="I9" s="2764">
        <v>9</v>
      </c>
      <c r="J9" s="2764">
        <v>10</v>
      </c>
      <c r="K9" s="2764">
        <v>11</v>
      </c>
      <c r="L9" s="2764">
        <v>12</v>
      </c>
      <c r="M9" s="2764" t="s">
        <v>3171</v>
      </c>
      <c r="N9" s="2764" t="s">
        <v>3170</v>
      </c>
      <c r="O9" s="2764">
        <v>15</v>
      </c>
      <c r="P9" s="2764">
        <v>16</v>
      </c>
      <c r="Q9" s="2764" t="s">
        <v>2395</v>
      </c>
      <c r="R9" s="2764">
        <v>18</v>
      </c>
      <c r="S9" s="2764">
        <v>19</v>
      </c>
      <c r="T9" s="2764">
        <v>20</v>
      </c>
      <c r="U9" s="51">
        <v>21</v>
      </c>
      <c r="V9" s="1640">
        <v>22</v>
      </c>
    </row>
    <row r="10" spans="1:22" s="2770" customFormat="1" ht="36" customHeight="1">
      <c r="A10" s="2765">
        <v>1</v>
      </c>
      <c r="B10" s="2766" t="s">
        <v>811</v>
      </c>
      <c r="C10" s="4977">
        <f>'Phụ lục số 7'!F7</f>
        <v>156150</v>
      </c>
      <c r="D10" s="4991">
        <f>SUM(E10,H10,L10)</f>
        <v>800543.99</v>
      </c>
      <c r="E10" s="2768">
        <f>'Phụ lục số 7'!H7</f>
        <v>134750</v>
      </c>
      <c r="F10" s="2768">
        <f>E10-G10</f>
        <v>46350</v>
      </c>
      <c r="G10" s="2768">
        <f>'Phụ lục số 7'!H10+'Phụ lục số 7'!H11+'Phụ lục số 7'!H15+'Phụ lục số 7'!H27+'Phụ lục số 7'!H30</f>
        <v>88400</v>
      </c>
      <c r="H10" s="2767">
        <f>SUM(I10:K10)</f>
        <v>620300.99</v>
      </c>
      <c r="I10" s="2767">
        <f>'Phụ lục số 7'!H37</f>
        <v>413967</v>
      </c>
      <c r="J10" s="2767">
        <f>'Phụ lục số 7'!H38</f>
        <v>146571</v>
      </c>
      <c r="K10" s="2767">
        <f>'Phụ lục số 7'!H39</f>
        <v>59762.99</v>
      </c>
      <c r="L10" s="2767">
        <f>'Phụ lục số 7'!H40</f>
        <v>45493</v>
      </c>
      <c r="M10" s="4994">
        <f>N10+Q10+T10+U10+V10</f>
        <v>800543.99</v>
      </c>
      <c r="N10" s="2768">
        <f>O10+P10</f>
        <v>82000</v>
      </c>
      <c r="O10" s="2768">
        <f>'Phụ lục số 8'!D8</f>
        <v>28000</v>
      </c>
      <c r="P10" s="2768">
        <f>'Phụ lục số 8'!D9</f>
        <v>54000</v>
      </c>
      <c r="Q10" s="2768">
        <f>SUM(R10:S10)</f>
        <v>684403.33196736372</v>
      </c>
      <c r="R10" s="2768">
        <f>'Phụ lục số 8'!D12</f>
        <v>400128</v>
      </c>
      <c r="S10" s="2768">
        <f>'Phụ lục số 8'!D13</f>
        <v>284275.33196736372</v>
      </c>
      <c r="T10" s="2768">
        <f>'Phụ lục số 8'!D14</f>
        <v>14837.9</v>
      </c>
      <c r="U10" s="2768">
        <f>'Phụ lục số 8'!D15</f>
        <v>0</v>
      </c>
      <c r="V10" s="4978">
        <f>'Phụ lục số 8'!D16</f>
        <v>19302.758032636266</v>
      </c>
    </row>
    <row r="11" spans="1:22" s="2770" customFormat="1" ht="36" customHeight="1">
      <c r="A11" s="603">
        <v>2</v>
      </c>
      <c r="B11" s="1929" t="s">
        <v>252</v>
      </c>
      <c r="C11" s="4979">
        <f>'Phụ lục số 7'!I7</f>
        <v>392350</v>
      </c>
      <c r="D11" s="4992">
        <f t="shared" ref="D11:D21" si="0">SUM(E11,H11,L11)</f>
        <v>767830.174</v>
      </c>
      <c r="E11" s="4980">
        <f>'Phụ lục số 7'!K7</f>
        <v>353410</v>
      </c>
      <c r="F11" s="4980">
        <f t="shared" ref="F11:F21" si="1">E11-G11</f>
        <v>31350</v>
      </c>
      <c r="G11" s="4980">
        <f>+'Phụ lục số 7'!K10+'Phụ lục số 7'!K11+'Phụ lục số 7'!K15+'Phụ lục số 7'!K27+'Phụ lục số 7'!K30</f>
        <v>322060</v>
      </c>
      <c r="H11" s="2769">
        <f t="shared" ref="H11:H21" si="2">SUM(I11:K11)</f>
        <v>414420.174</v>
      </c>
      <c r="I11" s="2769">
        <f>'Phụ lục số 7'!K37</f>
        <v>225665</v>
      </c>
      <c r="J11" s="2769">
        <f>'Phụ lục số 7'!K38</f>
        <v>141419</v>
      </c>
      <c r="K11" s="2769">
        <f>'Phụ lục số 7'!K39</f>
        <v>47336.173999999999</v>
      </c>
      <c r="L11" s="2769">
        <f>'Phụ lục số 7'!K40</f>
        <v>0</v>
      </c>
      <c r="M11" s="4430">
        <f>N11+Q11+T11+U11+V11</f>
        <v>767830.17399999988</v>
      </c>
      <c r="N11" s="4980">
        <f t="shared" ref="N11:N21" si="3">O11+P11</f>
        <v>289000</v>
      </c>
      <c r="O11" s="4980">
        <f>'Phụ lục số 8'!E8</f>
        <v>28000</v>
      </c>
      <c r="P11" s="4980">
        <f>'Phụ lục số 8'!E9</f>
        <v>261000</v>
      </c>
      <c r="Q11" s="4980">
        <f t="shared" ref="Q11:Q21" si="4">SUM(R11:S11)</f>
        <v>452281.24502259243</v>
      </c>
      <c r="R11" s="4980">
        <f>'Phụ lục số 8'!E12</f>
        <v>232764.4</v>
      </c>
      <c r="S11" s="4980">
        <f>'Phụ lục số 8'!E13</f>
        <v>219516.84502259243</v>
      </c>
      <c r="T11" s="4980">
        <f>'Phụ lục số 8'!E14</f>
        <v>14699.4</v>
      </c>
      <c r="U11" s="4980">
        <f>'Phụ lục số 8'!E15</f>
        <v>0</v>
      </c>
      <c r="V11" s="4981">
        <f>'Phụ lục số 8'!E16</f>
        <v>11849.528977407539</v>
      </c>
    </row>
    <row r="12" spans="1:22" s="2770" customFormat="1" ht="36" customHeight="1">
      <c r="A12" s="603">
        <v>3</v>
      </c>
      <c r="B12" s="1929" t="s">
        <v>812</v>
      </c>
      <c r="C12" s="4979">
        <f>'Phụ lục số 7'!L7</f>
        <v>104800</v>
      </c>
      <c r="D12" s="4992">
        <f t="shared" si="0"/>
        <v>713376.21900000004</v>
      </c>
      <c r="E12" s="4980">
        <f>'Phụ lục số 7'!N7</f>
        <v>98950</v>
      </c>
      <c r="F12" s="4980">
        <f t="shared" si="1"/>
        <v>24150</v>
      </c>
      <c r="G12" s="4980">
        <f>'Phụ lục số 7'!N10+'Phụ lục số 7'!N11+'Phụ lục số 7'!N15+'Phụ lục số 7'!N27+'Phụ lục số 7'!N30</f>
        <v>74800</v>
      </c>
      <c r="H12" s="2769">
        <f t="shared" si="2"/>
        <v>578186.21900000004</v>
      </c>
      <c r="I12" s="2769">
        <f>'Phụ lục số 7'!N37</f>
        <v>391207</v>
      </c>
      <c r="J12" s="2769">
        <f>'Phụ lục số 7'!N38</f>
        <v>114393</v>
      </c>
      <c r="K12" s="2769">
        <f>'Phụ lục số 7'!N39</f>
        <v>72586.218999999997</v>
      </c>
      <c r="L12" s="2769">
        <f>'Phụ lục số 7'!N40</f>
        <v>36240</v>
      </c>
      <c r="M12" s="4430">
        <f>N12+Q12+T12+U12+V12</f>
        <v>713376.21900000004</v>
      </c>
      <c r="N12" s="4980">
        <f t="shared" si="3"/>
        <v>59000</v>
      </c>
      <c r="O12" s="4980">
        <f>'Phụ lục số 8'!F8</f>
        <v>32000</v>
      </c>
      <c r="P12" s="4980">
        <f>'Phụ lục số 8'!F9</f>
        <v>27000</v>
      </c>
      <c r="Q12" s="4980">
        <f t="shared" si="4"/>
        <v>621134.09320536687</v>
      </c>
      <c r="R12" s="4980">
        <f>'Phụ lục số 8'!F12</f>
        <v>354771.20000000001</v>
      </c>
      <c r="S12" s="4980">
        <f>'Phụ lục số 8'!F13</f>
        <v>266362.89320536685</v>
      </c>
      <c r="T12" s="4980">
        <f>'Phụ lục số 8'!F14</f>
        <v>12842.4</v>
      </c>
      <c r="U12" s="4980">
        <f>'Phụ lục số 8'!F15</f>
        <v>0</v>
      </c>
      <c r="V12" s="4981">
        <f>'Phụ lục số 8'!F16</f>
        <v>20399.725794633185</v>
      </c>
    </row>
    <row r="13" spans="1:22" s="2770" customFormat="1" ht="36" customHeight="1">
      <c r="A13" s="603">
        <v>4</v>
      </c>
      <c r="B13" s="1929" t="s">
        <v>813</v>
      </c>
      <c r="C13" s="4979">
        <f>'Phụ lục số 7'!O7</f>
        <v>155200</v>
      </c>
      <c r="D13" s="4992">
        <f t="shared" si="0"/>
        <v>778427.45200000005</v>
      </c>
      <c r="E13" s="4980">
        <f>'Phụ lục số 7'!Q7</f>
        <v>137300</v>
      </c>
      <c r="F13" s="4980">
        <f t="shared" si="1"/>
        <v>33700</v>
      </c>
      <c r="G13" s="4980">
        <f>'Phụ lục số 7'!Q10+'Phụ lục số 7'!Q11+'Phụ lục số 7'!Q15+'Phụ lục số 7'!Q27+'Phụ lục số 7'!Q30</f>
        <v>103600</v>
      </c>
      <c r="H13" s="4980">
        <f t="shared" si="2"/>
        <v>624717.45200000005</v>
      </c>
      <c r="I13" s="4980">
        <f>'Phụ lục số 7'!Q37</f>
        <v>388772</v>
      </c>
      <c r="J13" s="4980">
        <f>'Phụ lục số 7'!Q38</f>
        <v>152060</v>
      </c>
      <c r="K13" s="4980">
        <f>'Phụ lục số 7'!Q39</f>
        <v>83885.45199999999</v>
      </c>
      <c r="L13" s="4980">
        <f>'Phụ lục số 7'!Q40</f>
        <v>16410</v>
      </c>
      <c r="M13" s="4430">
        <f t="shared" ref="M13:M21" si="5">N13+Q13+T13+U13+V13</f>
        <v>778427.45200000005</v>
      </c>
      <c r="N13" s="4980">
        <f t="shared" si="3"/>
        <v>84000</v>
      </c>
      <c r="O13" s="4980">
        <f>'Phụ lục số 8'!G8</f>
        <v>30000</v>
      </c>
      <c r="P13" s="4980">
        <f>'Phụ lục số 8'!G9</f>
        <v>54000</v>
      </c>
      <c r="Q13" s="4980">
        <f t="shared" si="4"/>
        <v>660673.11116281548</v>
      </c>
      <c r="R13" s="4980">
        <f>'Phụ lục số 8'!G12</f>
        <v>331568</v>
      </c>
      <c r="S13" s="4980">
        <f>'Phụ lục số 8'!G13</f>
        <v>329105.11116281548</v>
      </c>
      <c r="T13" s="4980">
        <f>'Phụ lục số 8'!G14</f>
        <v>13989</v>
      </c>
      <c r="U13" s="4980">
        <f>'Phụ lục số 8'!G15</f>
        <v>0</v>
      </c>
      <c r="V13" s="4981">
        <f>'Phụ lục số 8'!G16</f>
        <v>19765.340837184594</v>
      </c>
    </row>
    <row r="14" spans="1:22" s="2770" customFormat="1" ht="36" customHeight="1">
      <c r="A14" s="603">
        <v>5</v>
      </c>
      <c r="B14" s="1929" t="s">
        <v>814</v>
      </c>
      <c r="C14" s="4979">
        <f>'Phụ lục số 7'!R7</f>
        <v>196200</v>
      </c>
      <c r="D14" s="4992">
        <f t="shared" si="0"/>
        <v>950436.22600000002</v>
      </c>
      <c r="E14" s="4980">
        <f>'Phụ lục số 7'!T7</f>
        <v>180900</v>
      </c>
      <c r="F14" s="4980">
        <f t="shared" si="1"/>
        <v>43300</v>
      </c>
      <c r="G14" s="4980">
        <f>'Phụ lục số 7'!T10+'Phụ lục số 7'!T11+'Phụ lục số 7'!T15+'Phụ lục số 7'!T27+'Phụ lục số 7'!T30</f>
        <v>137600</v>
      </c>
      <c r="H14" s="4980">
        <f>SUM(I14:K14)</f>
        <v>751634.22600000002</v>
      </c>
      <c r="I14" s="4980">
        <f>'Phụ lục số 7'!T37</f>
        <v>449761</v>
      </c>
      <c r="J14" s="4980">
        <f>'Phụ lục số 7'!T38</f>
        <v>204980</v>
      </c>
      <c r="K14" s="4980">
        <f>'Phụ lục số 7'!T39</f>
        <v>96893.225999999995</v>
      </c>
      <c r="L14" s="4980">
        <f>'Phụ lục số 7'!T40</f>
        <v>17902</v>
      </c>
      <c r="M14" s="4430">
        <f t="shared" si="5"/>
        <v>950436.22600000002</v>
      </c>
      <c r="N14" s="4980">
        <f t="shared" si="3"/>
        <v>89000</v>
      </c>
      <c r="O14" s="4980">
        <f>'Phụ lục số 8'!H8</f>
        <v>44000</v>
      </c>
      <c r="P14" s="4980">
        <f>'Phụ lục số 8'!H9</f>
        <v>45000</v>
      </c>
      <c r="Q14" s="4980">
        <f t="shared" si="4"/>
        <v>822292.80711051729</v>
      </c>
      <c r="R14" s="4980">
        <f>'Phụ lục số 8'!H12</f>
        <v>448049</v>
      </c>
      <c r="S14" s="4980">
        <f>'Phụ lục số 8'!H13</f>
        <v>374243.80711051729</v>
      </c>
      <c r="T14" s="4980">
        <f>'Phụ lục số 8'!H14</f>
        <v>17519</v>
      </c>
      <c r="U14" s="4980">
        <f>'Phụ lục số 8'!H15</f>
        <v>0</v>
      </c>
      <c r="V14" s="4981">
        <f>'Phụ lục số 8'!H16</f>
        <v>21624.418889482789</v>
      </c>
    </row>
    <row r="15" spans="1:22" s="2770" customFormat="1" ht="36" customHeight="1">
      <c r="A15" s="603">
        <v>6</v>
      </c>
      <c r="B15" s="1929" t="s">
        <v>815</v>
      </c>
      <c r="C15" s="4979">
        <f>'Phụ lục số 7'!U7</f>
        <v>1501500</v>
      </c>
      <c r="D15" s="4992">
        <f t="shared" si="0"/>
        <v>1814306.929</v>
      </c>
      <c r="E15" s="4980">
        <f>'Phụ lục số 7'!W7</f>
        <v>1200500</v>
      </c>
      <c r="F15" s="4980">
        <f t="shared" si="1"/>
        <v>117800</v>
      </c>
      <c r="G15" s="4980">
        <f>'Phụ lục số 7'!W10+'Phụ lục số 7'!W11+'Phụ lục số 7'!W15+'Phụ lục số 7'!W27+'Phụ lục số 7'!W30</f>
        <v>1082700</v>
      </c>
      <c r="H15" s="4980">
        <f t="shared" si="2"/>
        <v>96559.929000000004</v>
      </c>
      <c r="I15" s="4980">
        <f>'Phụ lục số 7'!W37</f>
        <v>37354</v>
      </c>
      <c r="J15" s="4980">
        <f>'Phụ lục số 7'!W38</f>
        <v>0</v>
      </c>
      <c r="K15" s="4980">
        <f>'Phụ lục số 7'!W39</f>
        <v>59205.928999999996</v>
      </c>
      <c r="L15" s="4980">
        <f>'Phụ lục số 7'!W40</f>
        <v>517247</v>
      </c>
      <c r="M15" s="4430">
        <f t="shared" si="5"/>
        <v>1814306.929</v>
      </c>
      <c r="N15" s="4980">
        <f t="shared" si="3"/>
        <v>292000</v>
      </c>
      <c r="O15" s="4980">
        <f>'Phụ lục số 8'!I8</f>
        <v>148000</v>
      </c>
      <c r="P15" s="4980">
        <f>'Phụ lục số 8'!I9</f>
        <v>144000</v>
      </c>
      <c r="Q15" s="4980">
        <f t="shared" si="4"/>
        <v>996810.69394587737</v>
      </c>
      <c r="R15" s="4980">
        <f>'Phụ lục số 8'!I12</f>
        <v>481230</v>
      </c>
      <c r="S15" s="4980">
        <f>'Phụ lục số 8'!I13</f>
        <v>515580.69394587737</v>
      </c>
      <c r="T15" s="4980">
        <f>'Phụ lục số 8'!I14</f>
        <v>29340</v>
      </c>
      <c r="U15" s="4980">
        <f>'Phụ lục số 8'!I15</f>
        <v>479075</v>
      </c>
      <c r="V15" s="4981">
        <f>'Phụ lục số 8'!I16</f>
        <v>17081.235054122637</v>
      </c>
    </row>
    <row r="16" spans="1:22" s="2770" customFormat="1" ht="36" customHeight="1">
      <c r="A16" s="603">
        <v>7</v>
      </c>
      <c r="B16" s="1929" t="s">
        <v>816</v>
      </c>
      <c r="C16" s="4979">
        <f>'Phụ lục số 7'!X7</f>
        <v>266950</v>
      </c>
      <c r="D16" s="4992">
        <f t="shared" si="0"/>
        <v>1193776.621</v>
      </c>
      <c r="E16" s="4980">
        <f>'Phụ lục số 7'!Z7</f>
        <v>243800</v>
      </c>
      <c r="F16" s="4980">
        <f t="shared" si="1"/>
        <v>63050</v>
      </c>
      <c r="G16" s="4980">
        <f>'Phụ lục số 7'!Z10+'Phụ lục số 7'!Z11+'Phụ lục số 7'!Z15+'Phụ lục số 7'!Z27+'Phụ lục số 7'!Z30</f>
        <v>180750</v>
      </c>
      <c r="H16" s="4980">
        <f t="shared" si="2"/>
        <v>904084.62100000004</v>
      </c>
      <c r="I16" s="4980">
        <f>'Phụ lục số 7'!Z37</f>
        <v>566422</v>
      </c>
      <c r="J16" s="4980">
        <f>'Phụ lục số 7'!Z38</f>
        <v>199350</v>
      </c>
      <c r="K16" s="4980">
        <f>'Phụ lục số 7'!Z39</f>
        <v>138312.62099999998</v>
      </c>
      <c r="L16" s="4980">
        <f>'Phụ lục số 7'!Z40</f>
        <v>45892</v>
      </c>
      <c r="M16" s="4430">
        <f t="shared" si="5"/>
        <v>1193776.621</v>
      </c>
      <c r="N16" s="4980">
        <f t="shared" si="3"/>
        <v>114500</v>
      </c>
      <c r="O16" s="4980">
        <f>'Phụ lục số 8'!J8</f>
        <v>47000</v>
      </c>
      <c r="P16" s="4980">
        <f>'Phụ lục số 8'!J9</f>
        <v>67500</v>
      </c>
      <c r="Q16" s="4980">
        <f t="shared" si="4"/>
        <v>1019433.2963639069</v>
      </c>
      <c r="R16" s="4980">
        <f>'Phụ lục số 8'!J12</f>
        <v>538158.5</v>
      </c>
      <c r="S16" s="4980">
        <f>'Phụ lục số 8'!J13</f>
        <v>481274.79636390693</v>
      </c>
      <c r="T16" s="4980">
        <f>'Phụ lục số 8'!J14</f>
        <v>21524.6</v>
      </c>
      <c r="U16" s="4980">
        <f>'Phụ lục số 8'!J15</f>
        <v>0</v>
      </c>
      <c r="V16" s="4981">
        <f>'Phụ lục số 8'!J16</f>
        <v>38318.724636092986</v>
      </c>
    </row>
    <row r="17" spans="1:22" s="2770" customFormat="1" ht="36" customHeight="1">
      <c r="A17" s="603">
        <v>8</v>
      </c>
      <c r="B17" s="1929" t="s">
        <v>258</v>
      </c>
      <c r="C17" s="4979">
        <f>'Phụ lục số 7'!AA7</f>
        <v>278300</v>
      </c>
      <c r="D17" s="4992">
        <f t="shared" si="0"/>
        <v>1015582.879</v>
      </c>
      <c r="E17" s="4980">
        <f>'Phụ lục số 7'!AC7</f>
        <v>258700</v>
      </c>
      <c r="F17" s="4980">
        <f t="shared" si="1"/>
        <v>52300</v>
      </c>
      <c r="G17" s="4980">
        <f>'Phụ lục số 7'!AC10+'Phụ lục số 7'!AC11+'Phụ lục số 7'!AC15+'Phụ lục số 7'!AC27+'Phụ lục số 7'!AC30</f>
        <v>206400</v>
      </c>
      <c r="H17" s="4980">
        <f t="shared" si="2"/>
        <v>736843.87899999996</v>
      </c>
      <c r="I17" s="4980">
        <f>'Phụ lục số 7'!AC37</f>
        <v>441700</v>
      </c>
      <c r="J17" s="4980">
        <f>'Phụ lục số 7'!AC38</f>
        <v>179744</v>
      </c>
      <c r="K17" s="4980">
        <f>'Phụ lục số 7'!AC39</f>
        <v>115399.87899999999</v>
      </c>
      <c r="L17" s="4980">
        <f>'Phụ lục số 7'!AC40</f>
        <v>20039</v>
      </c>
      <c r="M17" s="4430">
        <f>N17+Q17+T17+U17+V17</f>
        <v>1015582.879</v>
      </c>
      <c r="N17" s="4980">
        <f t="shared" si="3"/>
        <v>130000</v>
      </c>
      <c r="O17" s="4980">
        <f>'Phụ lục số 8'!K8</f>
        <v>40000</v>
      </c>
      <c r="P17" s="4980">
        <f>'Phụ lục số 8'!K9</f>
        <v>90000</v>
      </c>
      <c r="Q17" s="4980">
        <f t="shared" si="4"/>
        <v>838525.81847331277</v>
      </c>
      <c r="R17" s="4980">
        <f>'Phụ lục số 8'!K12</f>
        <v>455069.2</v>
      </c>
      <c r="S17" s="4980">
        <f>'Phụ lục số 8'!K13</f>
        <v>383456.61847331276</v>
      </c>
      <c r="T17" s="4980">
        <f>'Phụ lục số 8'!K14</f>
        <v>18131.05</v>
      </c>
      <c r="U17" s="4980">
        <f>'Phụ lục số 8'!K15</f>
        <v>0</v>
      </c>
      <c r="V17" s="4981">
        <f>'Phụ lục số 8'!K16</f>
        <v>28926.010526687096</v>
      </c>
    </row>
    <row r="18" spans="1:22" s="2770" customFormat="1" ht="36" customHeight="1">
      <c r="A18" s="603">
        <v>9</v>
      </c>
      <c r="B18" s="1929" t="s">
        <v>259</v>
      </c>
      <c r="C18" s="4979">
        <f>'Phụ lục số 7'!AD7</f>
        <v>276200</v>
      </c>
      <c r="D18" s="4992">
        <f t="shared" si="0"/>
        <v>1007609.827</v>
      </c>
      <c r="E18" s="4980">
        <f>'Phụ lục số 7'!AF7</f>
        <v>256900</v>
      </c>
      <c r="F18" s="4980">
        <f t="shared" si="1"/>
        <v>57700</v>
      </c>
      <c r="G18" s="4980">
        <f>'Phụ lục số 7'!AF10+'Phụ lục số 7'!AF11+'Phụ lục số 7'!AF15+'Phụ lục số 7'!AF27+'Phụ lục số 7'!AF30</f>
        <v>199200</v>
      </c>
      <c r="H18" s="4980">
        <f t="shared" si="2"/>
        <v>750709.82700000005</v>
      </c>
      <c r="I18" s="4980">
        <f>'Phụ lục số 7'!AF37</f>
        <v>470689</v>
      </c>
      <c r="J18" s="4980">
        <f>'Phụ lục số 7'!AF38</f>
        <v>201862</v>
      </c>
      <c r="K18" s="4980">
        <f>'Phụ lục số 7'!AF39</f>
        <v>78158.827000000005</v>
      </c>
      <c r="L18" s="4980">
        <f>'Phụ lục số 7'!AF40</f>
        <v>0</v>
      </c>
      <c r="M18" s="4430">
        <f t="shared" si="5"/>
        <v>1007609.827</v>
      </c>
      <c r="N18" s="4980">
        <f t="shared" si="3"/>
        <v>96000</v>
      </c>
      <c r="O18" s="4980">
        <f>'Phụ lục số 8'!L8</f>
        <v>42000</v>
      </c>
      <c r="P18" s="4980">
        <f>'Phụ lục số 8'!L9</f>
        <v>54000</v>
      </c>
      <c r="Q18" s="4980">
        <f t="shared" si="4"/>
        <v>865247.91131489223</v>
      </c>
      <c r="R18" s="4980">
        <f>'Phụ lục số 8'!L12</f>
        <v>451849.5</v>
      </c>
      <c r="S18" s="4980">
        <f>'Phụ lục số 8'!L13</f>
        <v>413398.41131489223</v>
      </c>
      <c r="T18" s="4980">
        <f>'Phụ lục số 8'!L14</f>
        <v>18754.400000000001</v>
      </c>
      <c r="U18" s="4980">
        <f>'Phụ lục số 8'!L15</f>
        <v>0</v>
      </c>
      <c r="V18" s="4981">
        <f>'Phụ lục số 8'!L16</f>
        <v>27607.515685107792</v>
      </c>
    </row>
    <row r="19" spans="1:22" s="2770" customFormat="1" ht="36" customHeight="1">
      <c r="A19" s="603">
        <v>10</v>
      </c>
      <c r="B19" s="1929" t="s">
        <v>818</v>
      </c>
      <c r="C19" s="4979">
        <f>'Phụ lục số 7'!AG7</f>
        <v>221700</v>
      </c>
      <c r="D19" s="4992">
        <f t="shared" si="0"/>
        <v>891369.38300000003</v>
      </c>
      <c r="E19" s="4980">
        <f>'Phụ lục số 7'!AI7</f>
        <v>207080</v>
      </c>
      <c r="F19" s="4980">
        <f t="shared" si="1"/>
        <v>50900</v>
      </c>
      <c r="G19" s="4980">
        <f>'Phụ lục số 7'!AI10+'Phụ lục số 7'!AI11+'Phụ lục số 7'!AI15+'Phụ lục số 7'!AI27+'Phụ lục số 7'!AI30</f>
        <v>156180</v>
      </c>
      <c r="H19" s="4980">
        <f t="shared" si="2"/>
        <v>668080.38300000003</v>
      </c>
      <c r="I19" s="4980">
        <f>'Phụ lục số 7'!AI37</f>
        <v>440874</v>
      </c>
      <c r="J19" s="4980">
        <f>'Phụ lục số 7'!AI38</f>
        <v>175043</v>
      </c>
      <c r="K19" s="4980">
        <f>'Phụ lục số 7'!AI39</f>
        <v>52163.383000000002</v>
      </c>
      <c r="L19" s="4980">
        <f>'Phụ lục số 7'!AI40</f>
        <v>16209</v>
      </c>
      <c r="M19" s="4430">
        <f t="shared" si="5"/>
        <v>891369.38300000003</v>
      </c>
      <c r="N19" s="4980">
        <f t="shared" si="3"/>
        <v>98000</v>
      </c>
      <c r="O19" s="4980">
        <f>'Phụ lục số 8'!M8</f>
        <v>35000</v>
      </c>
      <c r="P19" s="4980">
        <f>'Phụ lục số 8'!M9</f>
        <v>63000</v>
      </c>
      <c r="Q19" s="4980">
        <f t="shared" si="4"/>
        <v>758129.46580050304</v>
      </c>
      <c r="R19" s="4980">
        <f>'Phụ lục số 8'!M12</f>
        <v>415824.2</v>
      </c>
      <c r="S19" s="4980">
        <f>'Phụ lục số 8'!M13</f>
        <v>342305.26580050302</v>
      </c>
      <c r="T19" s="4980">
        <f>'Phụ lục số 8'!M14</f>
        <v>16783.400000000001</v>
      </c>
      <c r="U19" s="4982">
        <f>'Phụ lục số 8'!M15</f>
        <v>0</v>
      </c>
      <c r="V19" s="4981">
        <f>'Phụ lục số 8'!M16</f>
        <v>18456.517199497026</v>
      </c>
    </row>
    <row r="20" spans="1:22" s="2770" customFormat="1" ht="36" customHeight="1">
      <c r="A20" s="603">
        <v>11</v>
      </c>
      <c r="B20" s="1929" t="s">
        <v>819</v>
      </c>
      <c r="C20" s="4979">
        <f>'Phụ lục số 7'!AJ7</f>
        <v>707000</v>
      </c>
      <c r="D20" s="4992">
        <f t="shared" si="0"/>
        <v>946873.73499999999</v>
      </c>
      <c r="E20" s="4980">
        <f>'Phụ lục số 7'!AL7</f>
        <v>439400</v>
      </c>
      <c r="F20" s="4980">
        <f t="shared" si="1"/>
        <v>68000</v>
      </c>
      <c r="G20" s="4980">
        <f>'Phụ lục số 7'!AL10+'Phụ lục số 7'!AL11+'Phụ lục số 7'!AL15+'Phụ lục số 7'!AL27+'Phụ lục số 7'!AL30</f>
        <v>371400</v>
      </c>
      <c r="H20" s="4980">
        <f t="shared" si="2"/>
        <v>304362.73499999999</v>
      </c>
      <c r="I20" s="4980">
        <f>'Phụ lục số 7'!AL37</f>
        <v>224584</v>
      </c>
      <c r="J20" s="4980">
        <f>'Phụ lục số 7'!AL38</f>
        <v>0</v>
      </c>
      <c r="K20" s="4980">
        <f>'Phụ lục số 7'!AL39</f>
        <v>79778.735000000001</v>
      </c>
      <c r="L20" s="4980">
        <f>'Phụ lục số 7'!AL40</f>
        <v>203111</v>
      </c>
      <c r="M20" s="4430">
        <f t="shared" si="5"/>
        <v>946873.73499999999</v>
      </c>
      <c r="N20" s="4980">
        <f t="shared" si="3"/>
        <v>227000</v>
      </c>
      <c r="O20" s="4980">
        <f>'Phụ lục số 8'!N8</f>
        <v>83000</v>
      </c>
      <c r="P20" s="4980">
        <f>'Phụ lục số 8'!N9</f>
        <v>144000</v>
      </c>
      <c r="Q20" s="4980">
        <f t="shared" si="4"/>
        <v>650267.61575388303</v>
      </c>
      <c r="R20" s="4980">
        <f>'Phụ lục số 8'!N12</f>
        <v>283567.59999999998</v>
      </c>
      <c r="S20" s="4980">
        <f>'Phụ lục số 8'!N13</f>
        <v>366700.01575388305</v>
      </c>
      <c r="T20" s="4980">
        <f>'Phụ lục số 8'!N14</f>
        <v>17717</v>
      </c>
      <c r="U20" s="4982">
        <f>'Phụ lục số 8'!N15</f>
        <v>40825</v>
      </c>
      <c r="V20" s="4981">
        <f>'Phụ lục số 8'!N16</f>
        <v>11064.119246116901</v>
      </c>
    </row>
    <row r="21" spans="1:22" s="2770" customFormat="1" ht="36" customHeight="1">
      <c r="A21" s="4983">
        <v>12</v>
      </c>
      <c r="B21" s="4984" t="s">
        <v>262</v>
      </c>
      <c r="C21" s="4985">
        <f>'Phụ lục số 7'!AM7</f>
        <v>237050</v>
      </c>
      <c r="D21" s="4993">
        <f t="shared" si="0"/>
        <v>871518.47200000007</v>
      </c>
      <c r="E21" s="4986">
        <f>'Phụ lục số 7'!AO7</f>
        <v>220610</v>
      </c>
      <c r="F21" s="4986">
        <f t="shared" si="1"/>
        <v>39300</v>
      </c>
      <c r="G21" s="4986">
        <f>'Phụ lục số 7'!AO10+'Phụ lục số 7'!AO11+'Phụ lục số 7'!AO15+'Phụ lục số 7'!AO27+'Phụ lục số 7'!AO30</f>
        <v>181310</v>
      </c>
      <c r="H21" s="4986">
        <f t="shared" si="2"/>
        <v>628451.47200000007</v>
      </c>
      <c r="I21" s="4986">
        <f>'Phụ lục số 7'!AO37</f>
        <v>379928</v>
      </c>
      <c r="J21" s="4986">
        <f>'Phụ lục số 7'!AO38</f>
        <v>166047</v>
      </c>
      <c r="K21" s="4986">
        <f>'Phụ lục số 7'!AO39</f>
        <v>82476.472000000009</v>
      </c>
      <c r="L21" s="4986">
        <f>'Phụ lục số 7'!AO40</f>
        <v>22457</v>
      </c>
      <c r="M21" s="4995">
        <f t="shared" si="5"/>
        <v>871518.47200000007</v>
      </c>
      <c r="N21" s="4986">
        <f t="shared" si="3"/>
        <v>123000</v>
      </c>
      <c r="O21" s="4986">
        <f>'Phụ lục số 8'!O8</f>
        <v>33000</v>
      </c>
      <c r="P21" s="4986">
        <f>'Phụ lục số 8'!O9</f>
        <v>90000</v>
      </c>
      <c r="Q21" s="4986">
        <f t="shared" si="4"/>
        <v>712225.96687896887</v>
      </c>
      <c r="R21" s="4986">
        <f>'Phụ lục số 8'!O12</f>
        <v>359883.4</v>
      </c>
      <c r="S21" s="4986">
        <f>'Phụ lục số 8'!O13</f>
        <v>352342.56687896885</v>
      </c>
      <c r="T21" s="4986">
        <f>'Phụ lục số 8'!O14</f>
        <v>16303.4</v>
      </c>
      <c r="U21" s="4987">
        <f>'Phụ lục số 8'!O15</f>
        <v>0</v>
      </c>
      <c r="V21" s="4988">
        <f>'Phụ lục số 8'!O16</f>
        <v>19989.1051210312</v>
      </c>
    </row>
    <row r="22" spans="1:22" s="4598" customFormat="1" ht="36" customHeight="1" thickBot="1">
      <c r="A22" s="6697" t="s">
        <v>1538</v>
      </c>
      <c r="B22" s="6698"/>
      <c r="C22" s="4989">
        <f t="shared" ref="C22:L22" si="6">SUM(C10:C21)</f>
        <v>4493400</v>
      </c>
      <c r="D22" s="4989">
        <f t="shared" si="6"/>
        <v>11751651.906999998</v>
      </c>
      <c r="E22" s="4989">
        <f t="shared" si="6"/>
        <v>3732300</v>
      </c>
      <c r="F22" s="4989">
        <f t="shared" si="6"/>
        <v>627900</v>
      </c>
      <c r="G22" s="4989">
        <f t="shared" si="6"/>
        <v>3104400</v>
      </c>
      <c r="H22" s="4989">
        <f t="shared" si="6"/>
        <v>7078351.9070000006</v>
      </c>
      <c r="I22" s="4989">
        <f t="shared" si="6"/>
        <v>4430923</v>
      </c>
      <c r="J22" s="4989">
        <f t="shared" si="6"/>
        <v>1681469</v>
      </c>
      <c r="K22" s="4989">
        <f t="shared" si="6"/>
        <v>965959.90700000012</v>
      </c>
      <c r="L22" s="4989">
        <f t="shared" si="6"/>
        <v>941000</v>
      </c>
      <c r="M22" s="2774">
        <f t="shared" ref="M22:V22" si="7">SUM(M10:M21)</f>
        <v>11751651.906999998</v>
      </c>
      <c r="N22" s="4989">
        <f t="shared" si="7"/>
        <v>1683500</v>
      </c>
      <c r="O22" s="4989">
        <f t="shared" si="7"/>
        <v>590000</v>
      </c>
      <c r="P22" s="4989">
        <f t="shared" si="7"/>
        <v>1093500</v>
      </c>
      <c r="Q22" s="4989">
        <f t="shared" si="7"/>
        <v>9081425.3570000008</v>
      </c>
      <c r="R22" s="4989">
        <f t="shared" si="7"/>
        <v>4752863.0000000009</v>
      </c>
      <c r="S22" s="4989">
        <f t="shared" si="7"/>
        <v>4328562.3569999998</v>
      </c>
      <c r="T22" s="4989">
        <f>SUM(T10:T21)</f>
        <v>212441.54999999996</v>
      </c>
      <c r="U22" s="4989">
        <f t="shared" si="7"/>
        <v>519900</v>
      </c>
      <c r="V22" s="2775">
        <f t="shared" si="7"/>
        <v>254385.00000000003</v>
      </c>
    </row>
    <row r="23" spans="1:22" ht="18.600000000000001" hidden="1" thickTop="1">
      <c r="E23" s="2751">
        <f>E22/C22</f>
        <v>0.8306182400854587</v>
      </c>
      <c r="M23" s="2776"/>
    </row>
    <row r="24" spans="1:22" ht="18.600000000000001" thickTop="1"/>
    <row r="25" spans="1:22">
      <c r="T25" s="4990"/>
    </row>
  </sheetData>
  <mergeCells count="28">
    <mergeCell ref="M5:M8"/>
    <mergeCell ref="J7:J8"/>
    <mergeCell ref="I6:K6"/>
    <mergeCell ref="N5:V5"/>
    <mergeCell ref="U6:U8"/>
    <mergeCell ref="V6:V8"/>
    <mergeCell ref="H6:H8"/>
    <mergeCell ref="L6:L8"/>
    <mergeCell ref="A5:A8"/>
    <mergeCell ref="B5:B8"/>
    <mergeCell ref="C5:C8"/>
    <mergeCell ref="D5:L5"/>
    <mergeCell ref="R4:V4"/>
    <mergeCell ref="A2:V2"/>
    <mergeCell ref="A1:V1"/>
    <mergeCell ref="A22:B22"/>
    <mergeCell ref="N6:P6"/>
    <mergeCell ref="Q6:S6"/>
    <mergeCell ref="T6:T8"/>
    <mergeCell ref="I7:I8"/>
    <mergeCell ref="K7:K8"/>
    <mergeCell ref="N7:N8"/>
    <mergeCell ref="O7:P7"/>
    <mergeCell ref="Q7:Q8"/>
    <mergeCell ref="R7:S7"/>
    <mergeCell ref="D6:D8"/>
    <mergeCell ref="E6:E8"/>
    <mergeCell ref="F6:G7"/>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sheetPr>
  <dimension ref="A1:AE30"/>
  <sheetViews>
    <sheetView workbookViewId="0">
      <selection activeCell="A5" sqref="A5:A8"/>
    </sheetView>
  </sheetViews>
  <sheetFormatPr defaultRowHeight="15.6"/>
  <cols>
    <col min="1" max="1" width="5" style="1193" customWidth="1"/>
    <col min="2" max="2" width="21.88671875" style="1192" customWidth="1"/>
    <col min="3" max="15" width="9.6640625" style="1192" customWidth="1"/>
    <col min="16" max="16" width="10.88671875" style="1192" customWidth="1"/>
    <col min="17" max="28" width="9.6640625" style="1192" customWidth="1"/>
    <col min="29" max="30" width="11.33203125" style="1192" hidden="1" customWidth="1"/>
    <col min="31" max="271" width="9.109375" style="1192"/>
    <col min="272" max="272" width="5" style="1192" customWidth="1"/>
    <col min="273" max="273" width="23.5546875" style="1192" customWidth="1"/>
    <col min="274" max="277" width="12.33203125" style="1192" customWidth="1"/>
    <col min="278" max="281" width="11.5546875" style="1192" customWidth="1"/>
    <col min="282" max="282" width="8.6640625" style="1192" customWidth="1"/>
    <col min="283" max="283" width="12.5546875" style="1192" customWidth="1"/>
    <col min="284" max="284" width="15.33203125" style="1192" customWidth="1"/>
    <col min="285" max="286" width="11.33203125" style="1192" customWidth="1"/>
    <col min="287" max="527" width="9.109375" style="1192"/>
    <col min="528" max="528" width="5" style="1192" customWidth="1"/>
    <col min="529" max="529" width="23.5546875" style="1192" customWidth="1"/>
    <col min="530" max="533" width="12.33203125" style="1192" customWidth="1"/>
    <col min="534" max="537" width="11.5546875" style="1192" customWidth="1"/>
    <col min="538" max="538" width="8.6640625" style="1192" customWidth="1"/>
    <col min="539" max="539" width="12.5546875" style="1192" customWidth="1"/>
    <col min="540" max="540" width="15.33203125" style="1192" customWidth="1"/>
    <col min="541" max="542" width="11.33203125" style="1192" customWidth="1"/>
    <col min="543" max="783" width="9.109375" style="1192"/>
    <col min="784" max="784" width="5" style="1192" customWidth="1"/>
    <col min="785" max="785" width="23.5546875" style="1192" customWidth="1"/>
    <col min="786" max="789" width="12.33203125" style="1192" customWidth="1"/>
    <col min="790" max="793" width="11.5546875" style="1192" customWidth="1"/>
    <col min="794" max="794" width="8.6640625" style="1192" customWidth="1"/>
    <col min="795" max="795" width="12.5546875" style="1192" customWidth="1"/>
    <col min="796" max="796" width="15.33203125" style="1192" customWidth="1"/>
    <col min="797" max="798" width="11.33203125" style="1192" customWidth="1"/>
    <col min="799" max="1039" width="9.109375" style="1192"/>
    <col min="1040" max="1040" width="5" style="1192" customWidth="1"/>
    <col min="1041" max="1041" width="23.5546875" style="1192" customWidth="1"/>
    <col min="1042" max="1045" width="12.33203125" style="1192" customWidth="1"/>
    <col min="1046" max="1049" width="11.5546875" style="1192" customWidth="1"/>
    <col min="1050" max="1050" width="8.6640625" style="1192" customWidth="1"/>
    <col min="1051" max="1051" width="12.5546875" style="1192" customWidth="1"/>
    <col min="1052" max="1052" width="15.33203125" style="1192" customWidth="1"/>
    <col min="1053" max="1054" width="11.33203125" style="1192" customWidth="1"/>
    <col min="1055" max="1295" width="9.109375" style="1192"/>
    <col min="1296" max="1296" width="5" style="1192" customWidth="1"/>
    <col min="1297" max="1297" width="23.5546875" style="1192" customWidth="1"/>
    <col min="1298" max="1301" width="12.33203125" style="1192" customWidth="1"/>
    <col min="1302" max="1305" width="11.5546875" style="1192" customWidth="1"/>
    <col min="1306" max="1306" width="8.6640625" style="1192" customWidth="1"/>
    <col min="1307" max="1307" width="12.5546875" style="1192" customWidth="1"/>
    <col min="1308" max="1308" width="15.33203125" style="1192" customWidth="1"/>
    <col min="1309" max="1310" width="11.33203125" style="1192" customWidth="1"/>
    <col min="1311" max="1551" width="9.109375" style="1192"/>
    <col min="1552" max="1552" width="5" style="1192" customWidth="1"/>
    <col min="1553" max="1553" width="23.5546875" style="1192" customWidth="1"/>
    <col min="1554" max="1557" width="12.33203125" style="1192" customWidth="1"/>
    <col min="1558" max="1561" width="11.5546875" style="1192" customWidth="1"/>
    <col min="1562" max="1562" width="8.6640625" style="1192" customWidth="1"/>
    <col min="1563" max="1563" width="12.5546875" style="1192" customWidth="1"/>
    <col min="1564" max="1564" width="15.33203125" style="1192" customWidth="1"/>
    <col min="1565" max="1566" width="11.33203125" style="1192" customWidth="1"/>
    <col min="1567" max="1807" width="9.109375" style="1192"/>
    <col min="1808" max="1808" width="5" style="1192" customWidth="1"/>
    <col min="1809" max="1809" width="23.5546875" style="1192" customWidth="1"/>
    <col min="1810" max="1813" width="12.33203125" style="1192" customWidth="1"/>
    <col min="1814" max="1817" width="11.5546875" style="1192" customWidth="1"/>
    <col min="1818" max="1818" width="8.6640625" style="1192" customWidth="1"/>
    <col min="1819" max="1819" width="12.5546875" style="1192" customWidth="1"/>
    <col min="1820" max="1820" width="15.33203125" style="1192" customWidth="1"/>
    <col min="1821" max="1822" width="11.33203125" style="1192" customWidth="1"/>
    <col min="1823" max="2063" width="9.109375" style="1192"/>
    <col min="2064" max="2064" width="5" style="1192" customWidth="1"/>
    <col min="2065" max="2065" width="23.5546875" style="1192" customWidth="1"/>
    <col min="2066" max="2069" width="12.33203125" style="1192" customWidth="1"/>
    <col min="2070" max="2073" width="11.5546875" style="1192" customWidth="1"/>
    <col min="2074" max="2074" width="8.6640625" style="1192" customWidth="1"/>
    <col min="2075" max="2075" width="12.5546875" style="1192" customWidth="1"/>
    <col min="2076" max="2076" width="15.33203125" style="1192" customWidth="1"/>
    <col min="2077" max="2078" width="11.33203125" style="1192" customWidth="1"/>
    <col min="2079" max="2319" width="9.109375" style="1192"/>
    <col min="2320" max="2320" width="5" style="1192" customWidth="1"/>
    <col min="2321" max="2321" width="23.5546875" style="1192" customWidth="1"/>
    <col min="2322" max="2325" width="12.33203125" style="1192" customWidth="1"/>
    <col min="2326" max="2329" width="11.5546875" style="1192" customWidth="1"/>
    <col min="2330" max="2330" width="8.6640625" style="1192" customWidth="1"/>
    <col min="2331" max="2331" width="12.5546875" style="1192" customWidth="1"/>
    <col min="2332" max="2332" width="15.33203125" style="1192" customWidth="1"/>
    <col min="2333" max="2334" width="11.33203125" style="1192" customWidth="1"/>
    <col min="2335" max="2575" width="9.109375" style="1192"/>
    <col min="2576" max="2576" width="5" style="1192" customWidth="1"/>
    <col min="2577" max="2577" width="23.5546875" style="1192" customWidth="1"/>
    <col min="2578" max="2581" width="12.33203125" style="1192" customWidth="1"/>
    <col min="2582" max="2585" width="11.5546875" style="1192" customWidth="1"/>
    <col min="2586" max="2586" width="8.6640625" style="1192" customWidth="1"/>
    <col min="2587" max="2587" width="12.5546875" style="1192" customWidth="1"/>
    <col min="2588" max="2588" width="15.33203125" style="1192" customWidth="1"/>
    <col min="2589" max="2590" width="11.33203125" style="1192" customWidth="1"/>
    <col min="2591" max="2831" width="9.109375" style="1192"/>
    <col min="2832" max="2832" width="5" style="1192" customWidth="1"/>
    <col min="2833" max="2833" width="23.5546875" style="1192" customWidth="1"/>
    <col min="2834" max="2837" width="12.33203125" style="1192" customWidth="1"/>
    <col min="2838" max="2841" width="11.5546875" style="1192" customWidth="1"/>
    <col min="2842" max="2842" width="8.6640625" style="1192" customWidth="1"/>
    <col min="2843" max="2843" width="12.5546875" style="1192" customWidth="1"/>
    <col min="2844" max="2844" width="15.33203125" style="1192" customWidth="1"/>
    <col min="2845" max="2846" width="11.33203125" style="1192" customWidth="1"/>
    <col min="2847" max="3087" width="9.109375" style="1192"/>
    <col min="3088" max="3088" width="5" style="1192" customWidth="1"/>
    <col min="3089" max="3089" width="23.5546875" style="1192" customWidth="1"/>
    <col min="3090" max="3093" width="12.33203125" style="1192" customWidth="1"/>
    <col min="3094" max="3097" width="11.5546875" style="1192" customWidth="1"/>
    <col min="3098" max="3098" width="8.6640625" style="1192" customWidth="1"/>
    <col min="3099" max="3099" width="12.5546875" style="1192" customWidth="1"/>
    <col min="3100" max="3100" width="15.33203125" style="1192" customWidth="1"/>
    <col min="3101" max="3102" width="11.33203125" style="1192" customWidth="1"/>
    <col min="3103" max="3343" width="9.109375" style="1192"/>
    <col min="3344" max="3344" width="5" style="1192" customWidth="1"/>
    <col min="3345" max="3345" width="23.5546875" style="1192" customWidth="1"/>
    <col min="3346" max="3349" width="12.33203125" style="1192" customWidth="1"/>
    <col min="3350" max="3353" width="11.5546875" style="1192" customWidth="1"/>
    <col min="3354" max="3354" width="8.6640625" style="1192" customWidth="1"/>
    <col min="3355" max="3355" width="12.5546875" style="1192" customWidth="1"/>
    <col min="3356" max="3356" width="15.33203125" style="1192" customWidth="1"/>
    <col min="3357" max="3358" width="11.33203125" style="1192" customWidth="1"/>
    <col min="3359" max="3599" width="9.109375" style="1192"/>
    <col min="3600" max="3600" width="5" style="1192" customWidth="1"/>
    <col min="3601" max="3601" width="23.5546875" style="1192" customWidth="1"/>
    <col min="3602" max="3605" width="12.33203125" style="1192" customWidth="1"/>
    <col min="3606" max="3609" width="11.5546875" style="1192" customWidth="1"/>
    <col min="3610" max="3610" width="8.6640625" style="1192" customWidth="1"/>
    <col min="3611" max="3611" width="12.5546875" style="1192" customWidth="1"/>
    <col min="3612" max="3612" width="15.33203125" style="1192" customWidth="1"/>
    <col min="3613" max="3614" width="11.33203125" style="1192" customWidth="1"/>
    <col min="3615" max="3855" width="9.109375" style="1192"/>
    <col min="3856" max="3856" width="5" style="1192" customWidth="1"/>
    <col min="3857" max="3857" width="23.5546875" style="1192" customWidth="1"/>
    <col min="3858" max="3861" width="12.33203125" style="1192" customWidth="1"/>
    <col min="3862" max="3865" width="11.5546875" style="1192" customWidth="1"/>
    <col min="3866" max="3866" width="8.6640625" style="1192" customWidth="1"/>
    <col min="3867" max="3867" width="12.5546875" style="1192" customWidth="1"/>
    <col min="3868" max="3868" width="15.33203125" style="1192" customWidth="1"/>
    <col min="3869" max="3870" width="11.33203125" style="1192" customWidth="1"/>
    <col min="3871" max="4111" width="9.109375" style="1192"/>
    <col min="4112" max="4112" width="5" style="1192" customWidth="1"/>
    <col min="4113" max="4113" width="23.5546875" style="1192" customWidth="1"/>
    <col min="4114" max="4117" width="12.33203125" style="1192" customWidth="1"/>
    <col min="4118" max="4121" width="11.5546875" style="1192" customWidth="1"/>
    <col min="4122" max="4122" width="8.6640625" style="1192" customWidth="1"/>
    <col min="4123" max="4123" width="12.5546875" style="1192" customWidth="1"/>
    <col min="4124" max="4124" width="15.33203125" style="1192" customWidth="1"/>
    <col min="4125" max="4126" width="11.33203125" style="1192" customWidth="1"/>
    <col min="4127" max="4367" width="9.109375" style="1192"/>
    <col min="4368" max="4368" width="5" style="1192" customWidth="1"/>
    <col min="4369" max="4369" width="23.5546875" style="1192" customWidth="1"/>
    <col min="4370" max="4373" width="12.33203125" style="1192" customWidth="1"/>
    <col min="4374" max="4377" width="11.5546875" style="1192" customWidth="1"/>
    <col min="4378" max="4378" width="8.6640625" style="1192" customWidth="1"/>
    <col min="4379" max="4379" width="12.5546875" style="1192" customWidth="1"/>
    <col min="4380" max="4380" width="15.33203125" style="1192" customWidth="1"/>
    <col min="4381" max="4382" width="11.33203125" style="1192" customWidth="1"/>
    <col min="4383" max="4623" width="9.109375" style="1192"/>
    <col min="4624" max="4624" width="5" style="1192" customWidth="1"/>
    <col min="4625" max="4625" width="23.5546875" style="1192" customWidth="1"/>
    <col min="4626" max="4629" width="12.33203125" style="1192" customWidth="1"/>
    <col min="4630" max="4633" width="11.5546875" style="1192" customWidth="1"/>
    <col min="4634" max="4634" width="8.6640625" style="1192" customWidth="1"/>
    <col min="4635" max="4635" width="12.5546875" style="1192" customWidth="1"/>
    <col min="4636" max="4636" width="15.33203125" style="1192" customWidth="1"/>
    <col min="4637" max="4638" width="11.33203125" style="1192" customWidth="1"/>
    <col min="4639" max="4879" width="9.109375" style="1192"/>
    <col min="4880" max="4880" width="5" style="1192" customWidth="1"/>
    <col min="4881" max="4881" width="23.5546875" style="1192" customWidth="1"/>
    <col min="4882" max="4885" width="12.33203125" style="1192" customWidth="1"/>
    <col min="4886" max="4889" width="11.5546875" style="1192" customWidth="1"/>
    <col min="4890" max="4890" width="8.6640625" style="1192" customWidth="1"/>
    <col min="4891" max="4891" width="12.5546875" style="1192" customWidth="1"/>
    <col min="4892" max="4892" width="15.33203125" style="1192" customWidth="1"/>
    <col min="4893" max="4894" width="11.33203125" style="1192" customWidth="1"/>
    <col min="4895" max="5135" width="9.109375" style="1192"/>
    <col min="5136" max="5136" width="5" style="1192" customWidth="1"/>
    <col min="5137" max="5137" width="23.5546875" style="1192" customWidth="1"/>
    <col min="5138" max="5141" width="12.33203125" style="1192" customWidth="1"/>
    <col min="5142" max="5145" width="11.5546875" style="1192" customWidth="1"/>
    <col min="5146" max="5146" width="8.6640625" style="1192" customWidth="1"/>
    <col min="5147" max="5147" width="12.5546875" style="1192" customWidth="1"/>
    <col min="5148" max="5148" width="15.33203125" style="1192" customWidth="1"/>
    <col min="5149" max="5150" width="11.33203125" style="1192" customWidth="1"/>
    <col min="5151" max="5391" width="9.109375" style="1192"/>
    <col min="5392" max="5392" width="5" style="1192" customWidth="1"/>
    <col min="5393" max="5393" width="23.5546875" style="1192" customWidth="1"/>
    <col min="5394" max="5397" width="12.33203125" style="1192" customWidth="1"/>
    <col min="5398" max="5401" width="11.5546875" style="1192" customWidth="1"/>
    <col min="5402" max="5402" width="8.6640625" style="1192" customWidth="1"/>
    <col min="5403" max="5403" width="12.5546875" style="1192" customWidth="1"/>
    <col min="5404" max="5404" width="15.33203125" style="1192" customWidth="1"/>
    <col min="5405" max="5406" width="11.33203125" style="1192" customWidth="1"/>
    <col min="5407" max="5647" width="9.109375" style="1192"/>
    <col min="5648" max="5648" width="5" style="1192" customWidth="1"/>
    <col min="5649" max="5649" width="23.5546875" style="1192" customWidth="1"/>
    <col min="5650" max="5653" width="12.33203125" style="1192" customWidth="1"/>
    <col min="5654" max="5657" width="11.5546875" style="1192" customWidth="1"/>
    <col min="5658" max="5658" width="8.6640625" style="1192" customWidth="1"/>
    <col min="5659" max="5659" width="12.5546875" style="1192" customWidth="1"/>
    <col min="5660" max="5660" width="15.33203125" style="1192" customWidth="1"/>
    <col min="5661" max="5662" width="11.33203125" style="1192" customWidth="1"/>
    <col min="5663" max="5903" width="9.109375" style="1192"/>
    <col min="5904" max="5904" width="5" style="1192" customWidth="1"/>
    <col min="5905" max="5905" width="23.5546875" style="1192" customWidth="1"/>
    <col min="5906" max="5909" width="12.33203125" style="1192" customWidth="1"/>
    <col min="5910" max="5913" width="11.5546875" style="1192" customWidth="1"/>
    <col min="5914" max="5914" width="8.6640625" style="1192" customWidth="1"/>
    <col min="5915" max="5915" width="12.5546875" style="1192" customWidth="1"/>
    <col min="5916" max="5916" width="15.33203125" style="1192" customWidth="1"/>
    <col min="5917" max="5918" width="11.33203125" style="1192" customWidth="1"/>
    <col min="5919" max="6159" width="9.109375" style="1192"/>
    <col min="6160" max="6160" width="5" style="1192" customWidth="1"/>
    <col min="6161" max="6161" width="23.5546875" style="1192" customWidth="1"/>
    <col min="6162" max="6165" width="12.33203125" style="1192" customWidth="1"/>
    <col min="6166" max="6169" width="11.5546875" style="1192" customWidth="1"/>
    <col min="6170" max="6170" width="8.6640625" style="1192" customWidth="1"/>
    <col min="6171" max="6171" width="12.5546875" style="1192" customWidth="1"/>
    <col min="6172" max="6172" width="15.33203125" style="1192" customWidth="1"/>
    <col min="6173" max="6174" width="11.33203125" style="1192" customWidth="1"/>
    <col min="6175" max="6415" width="9.109375" style="1192"/>
    <col min="6416" max="6416" width="5" style="1192" customWidth="1"/>
    <col min="6417" max="6417" width="23.5546875" style="1192" customWidth="1"/>
    <col min="6418" max="6421" width="12.33203125" style="1192" customWidth="1"/>
    <col min="6422" max="6425" width="11.5546875" style="1192" customWidth="1"/>
    <col min="6426" max="6426" width="8.6640625" style="1192" customWidth="1"/>
    <col min="6427" max="6427" width="12.5546875" style="1192" customWidth="1"/>
    <col min="6428" max="6428" width="15.33203125" style="1192" customWidth="1"/>
    <col min="6429" max="6430" width="11.33203125" style="1192" customWidth="1"/>
    <col min="6431" max="6671" width="9.109375" style="1192"/>
    <col min="6672" max="6672" width="5" style="1192" customWidth="1"/>
    <col min="6673" max="6673" width="23.5546875" style="1192" customWidth="1"/>
    <col min="6674" max="6677" width="12.33203125" style="1192" customWidth="1"/>
    <col min="6678" max="6681" width="11.5546875" style="1192" customWidth="1"/>
    <col min="6682" max="6682" width="8.6640625" style="1192" customWidth="1"/>
    <col min="6683" max="6683" width="12.5546875" style="1192" customWidth="1"/>
    <col min="6684" max="6684" width="15.33203125" style="1192" customWidth="1"/>
    <col min="6685" max="6686" width="11.33203125" style="1192" customWidth="1"/>
    <col min="6687" max="6927" width="9.109375" style="1192"/>
    <col min="6928" max="6928" width="5" style="1192" customWidth="1"/>
    <col min="6929" max="6929" width="23.5546875" style="1192" customWidth="1"/>
    <col min="6930" max="6933" width="12.33203125" style="1192" customWidth="1"/>
    <col min="6934" max="6937" width="11.5546875" style="1192" customWidth="1"/>
    <col min="6938" max="6938" width="8.6640625" style="1192" customWidth="1"/>
    <col min="6939" max="6939" width="12.5546875" style="1192" customWidth="1"/>
    <col min="6940" max="6940" width="15.33203125" style="1192" customWidth="1"/>
    <col min="6941" max="6942" width="11.33203125" style="1192" customWidth="1"/>
    <col min="6943" max="7183" width="9.109375" style="1192"/>
    <col min="7184" max="7184" width="5" style="1192" customWidth="1"/>
    <col min="7185" max="7185" width="23.5546875" style="1192" customWidth="1"/>
    <col min="7186" max="7189" width="12.33203125" style="1192" customWidth="1"/>
    <col min="7190" max="7193" width="11.5546875" style="1192" customWidth="1"/>
    <col min="7194" max="7194" width="8.6640625" style="1192" customWidth="1"/>
    <col min="7195" max="7195" width="12.5546875" style="1192" customWidth="1"/>
    <col min="7196" max="7196" width="15.33203125" style="1192" customWidth="1"/>
    <col min="7197" max="7198" width="11.33203125" style="1192" customWidth="1"/>
    <col min="7199" max="7439" width="9.109375" style="1192"/>
    <col min="7440" max="7440" width="5" style="1192" customWidth="1"/>
    <col min="7441" max="7441" width="23.5546875" style="1192" customWidth="1"/>
    <col min="7442" max="7445" width="12.33203125" style="1192" customWidth="1"/>
    <col min="7446" max="7449" width="11.5546875" style="1192" customWidth="1"/>
    <col min="7450" max="7450" width="8.6640625" style="1192" customWidth="1"/>
    <col min="7451" max="7451" width="12.5546875" style="1192" customWidth="1"/>
    <col min="7452" max="7452" width="15.33203125" style="1192" customWidth="1"/>
    <col min="7453" max="7454" width="11.33203125" style="1192" customWidth="1"/>
    <col min="7455" max="7695" width="9.109375" style="1192"/>
    <col min="7696" max="7696" width="5" style="1192" customWidth="1"/>
    <col min="7697" max="7697" width="23.5546875" style="1192" customWidth="1"/>
    <col min="7698" max="7701" width="12.33203125" style="1192" customWidth="1"/>
    <col min="7702" max="7705" width="11.5546875" style="1192" customWidth="1"/>
    <col min="7706" max="7706" width="8.6640625" style="1192" customWidth="1"/>
    <col min="7707" max="7707" width="12.5546875" style="1192" customWidth="1"/>
    <col min="7708" max="7708" width="15.33203125" style="1192" customWidth="1"/>
    <col min="7709" max="7710" width="11.33203125" style="1192" customWidth="1"/>
    <col min="7711" max="7951" width="9.109375" style="1192"/>
    <col min="7952" max="7952" width="5" style="1192" customWidth="1"/>
    <col min="7953" max="7953" width="23.5546875" style="1192" customWidth="1"/>
    <col min="7954" max="7957" width="12.33203125" style="1192" customWidth="1"/>
    <col min="7958" max="7961" width="11.5546875" style="1192" customWidth="1"/>
    <col min="7962" max="7962" width="8.6640625" style="1192" customWidth="1"/>
    <col min="7963" max="7963" width="12.5546875" style="1192" customWidth="1"/>
    <col min="7964" max="7964" width="15.33203125" style="1192" customWidth="1"/>
    <col min="7965" max="7966" width="11.33203125" style="1192" customWidth="1"/>
    <col min="7967" max="8207" width="9.109375" style="1192"/>
    <col min="8208" max="8208" width="5" style="1192" customWidth="1"/>
    <col min="8209" max="8209" width="23.5546875" style="1192" customWidth="1"/>
    <col min="8210" max="8213" width="12.33203125" style="1192" customWidth="1"/>
    <col min="8214" max="8217" width="11.5546875" style="1192" customWidth="1"/>
    <col min="8218" max="8218" width="8.6640625" style="1192" customWidth="1"/>
    <col min="8219" max="8219" width="12.5546875" style="1192" customWidth="1"/>
    <col min="8220" max="8220" width="15.33203125" style="1192" customWidth="1"/>
    <col min="8221" max="8222" width="11.33203125" style="1192" customWidth="1"/>
    <col min="8223" max="8463" width="9.109375" style="1192"/>
    <col min="8464" max="8464" width="5" style="1192" customWidth="1"/>
    <col min="8465" max="8465" width="23.5546875" style="1192" customWidth="1"/>
    <col min="8466" max="8469" width="12.33203125" style="1192" customWidth="1"/>
    <col min="8470" max="8473" width="11.5546875" style="1192" customWidth="1"/>
    <col min="8474" max="8474" width="8.6640625" style="1192" customWidth="1"/>
    <col min="8475" max="8475" width="12.5546875" style="1192" customWidth="1"/>
    <col min="8476" max="8476" width="15.33203125" style="1192" customWidth="1"/>
    <col min="8477" max="8478" width="11.33203125" style="1192" customWidth="1"/>
    <col min="8479" max="8719" width="9.109375" style="1192"/>
    <col min="8720" max="8720" width="5" style="1192" customWidth="1"/>
    <col min="8721" max="8721" width="23.5546875" style="1192" customWidth="1"/>
    <col min="8722" max="8725" width="12.33203125" style="1192" customWidth="1"/>
    <col min="8726" max="8729" width="11.5546875" style="1192" customWidth="1"/>
    <col min="8730" max="8730" width="8.6640625" style="1192" customWidth="1"/>
    <col min="8731" max="8731" width="12.5546875" style="1192" customWidth="1"/>
    <col min="8732" max="8732" width="15.33203125" style="1192" customWidth="1"/>
    <col min="8733" max="8734" width="11.33203125" style="1192" customWidth="1"/>
    <col min="8735" max="8975" width="9.109375" style="1192"/>
    <col min="8976" max="8976" width="5" style="1192" customWidth="1"/>
    <col min="8977" max="8977" width="23.5546875" style="1192" customWidth="1"/>
    <col min="8978" max="8981" width="12.33203125" style="1192" customWidth="1"/>
    <col min="8982" max="8985" width="11.5546875" style="1192" customWidth="1"/>
    <col min="8986" max="8986" width="8.6640625" style="1192" customWidth="1"/>
    <col min="8987" max="8987" width="12.5546875" style="1192" customWidth="1"/>
    <col min="8988" max="8988" width="15.33203125" style="1192" customWidth="1"/>
    <col min="8989" max="8990" width="11.33203125" style="1192" customWidth="1"/>
    <col min="8991" max="9231" width="9.109375" style="1192"/>
    <col min="9232" max="9232" width="5" style="1192" customWidth="1"/>
    <col min="9233" max="9233" width="23.5546875" style="1192" customWidth="1"/>
    <col min="9234" max="9237" width="12.33203125" style="1192" customWidth="1"/>
    <col min="9238" max="9241" width="11.5546875" style="1192" customWidth="1"/>
    <col min="9242" max="9242" width="8.6640625" style="1192" customWidth="1"/>
    <col min="9243" max="9243" width="12.5546875" style="1192" customWidth="1"/>
    <col min="9244" max="9244" width="15.33203125" style="1192" customWidth="1"/>
    <col min="9245" max="9246" width="11.33203125" style="1192" customWidth="1"/>
    <col min="9247" max="9487" width="9.109375" style="1192"/>
    <col min="9488" max="9488" width="5" style="1192" customWidth="1"/>
    <col min="9489" max="9489" width="23.5546875" style="1192" customWidth="1"/>
    <col min="9490" max="9493" width="12.33203125" style="1192" customWidth="1"/>
    <col min="9494" max="9497" width="11.5546875" style="1192" customWidth="1"/>
    <col min="9498" max="9498" width="8.6640625" style="1192" customWidth="1"/>
    <col min="9499" max="9499" width="12.5546875" style="1192" customWidth="1"/>
    <col min="9500" max="9500" width="15.33203125" style="1192" customWidth="1"/>
    <col min="9501" max="9502" width="11.33203125" style="1192" customWidth="1"/>
    <col min="9503" max="9743" width="9.109375" style="1192"/>
    <col min="9744" max="9744" width="5" style="1192" customWidth="1"/>
    <col min="9745" max="9745" width="23.5546875" style="1192" customWidth="1"/>
    <col min="9746" max="9749" width="12.33203125" style="1192" customWidth="1"/>
    <col min="9750" max="9753" width="11.5546875" style="1192" customWidth="1"/>
    <col min="9754" max="9754" width="8.6640625" style="1192" customWidth="1"/>
    <col min="9755" max="9755" width="12.5546875" style="1192" customWidth="1"/>
    <col min="9756" max="9756" width="15.33203125" style="1192" customWidth="1"/>
    <col min="9757" max="9758" width="11.33203125" style="1192" customWidth="1"/>
    <col min="9759" max="9999" width="9.109375" style="1192"/>
    <col min="10000" max="10000" width="5" style="1192" customWidth="1"/>
    <col min="10001" max="10001" width="23.5546875" style="1192" customWidth="1"/>
    <col min="10002" max="10005" width="12.33203125" style="1192" customWidth="1"/>
    <col min="10006" max="10009" width="11.5546875" style="1192" customWidth="1"/>
    <col min="10010" max="10010" width="8.6640625" style="1192" customWidth="1"/>
    <col min="10011" max="10011" width="12.5546875" style="1192" customWidth="1"/>
    <col min="10012" max="10012" width="15.33203125" style="1192" customWidth="1"/>
    <col min="10013" max="10014" width="11.33203125" style="1192" customWidth="1"/>
    <col min="10015" max="10255" width="9.109375" style="1192"/>
    <col min="10256" max="10256" width="5" style="1192" customWidth="1"/>
    <col min="10257" max="10257" width="23.5546875" style="1192" customWidth="1"/>
    <col min="10258" max="10261" width="12.33203125" style="1192" customWidth="1"/>
    <col min="10262" max="10265" width="11.5546875" style="1192" customWidth="1"/>
    <col min="10266" max="10266" width="8.6640625" style="1192" customWidth="1"/>
    <col min="10267" max="10267" width="12.5546875" style="1192" customWidth="1"/>
    <col min="10268" max="10268" width="15.33203125" style="1192" customWidth="1"/>
    <col min="10269" max="10270" width="11.33203125" style="1192" customWidth="1"/>
    <col min="10271" max="10511" width="9.109375" style="1192"/>
    <col min="10512" max="10512" width="5" style="1192" customWidth="1"/>
    <col min="10513" max="10513" width="23.5546875" style="1192" customWidth="1"/>
    <col min="10514" max="10517" width="12.33203125" style="1192" customWidth="1"/>
    <col min="10518" max="10521" width="11.5546875" style="1192" customWidth="1"/>
    <col min="10522" max="10522" width="8.6640625" style="1192" customWidth="1"/>
    <col min="10523" max="10523" width="12.5546875" style="1192" customWidth="1"/>
    <col min="10524" max="10524" width="15.33203125" style="1192" customWidth="1"/>
    <col min="10525" max="10526" width="11.33203125" style="1192" customWidth="1"/>
    <col min="10527" max="10767" width="9.109375" style="1192"/>
    <col min="10768" max="10768" width="5" style="1192" customWidth="1"/>
    <col min="10769" max="10769" width="23.5546875" style="1192" customWidth="1"/>
    <col min="10770" max="10773" width="12.33203125" style="1192" customWidth="1"/>
    <col min="10774" max="10777" width="11.5546875" style="1192" customWidth="1"/>
    <col min="10778" max="10778" width="8.6640625" style="1192" customWidth="1"/>
    <col min="10779" max="10779" width="12.5546875" style="1192" customWidth="1"/>
    <col min="10780" max="10780" width="15.33203125" style="1192" customWidth="1"/>
    <col min="10781" max="10782" width="11.33203125" style="1192" customWidth="1"/>
    <col min="10783" max="11023" width="9.109375" style="1192"/>
    <col min="11024" max="11024" width="5" style="1192" customWidth="1"/>
    <col min="11025" max="11025" width="23.5546875" style="1192" customWidth="1"/>
    <col min="11026" max="11029" width="12.33203125" style="1192" customWidth="1"/>
    <col min="11030" max="11033" width="11.5546875" style="1192" customWidth="1"/>
    <col min="11034" max="11034" width="8.6640625" style="1192" customWidth="1"/>
    <col min="11035" max="11035" width="12.5546875" style="1192" customWidth="1"/>
    <col min="11036" max="11036" width="15.33203125" style="1192" customWidth="1"/>
    <col min="11037" max="11038" width="11.33203125" style="1192" customWidth="1"/>
    <col min="11039" max="11279" width="9.109375" style="1192"/>
    <col min="11280" max="11280" width="5" style="1192" customWidth="1"/>
    <col min="11281" max="11281" width="23.5546875" style="1192" customWidth="1"/>
    <col min="11282" max="11285" width="12.33203125" style="1192" customWidth="1"/>
    <col min="11286" max="11289" width="11.5546875" style="1192" customWidth="1"/>
    <col min="11290" max="11290" width="8.6640625" style="1192" customWidth="1"/>
    <col min="11291" max="11291" width="12.5546875" style="1192" customWidth="1"/>
    <col min="11292" max="11292" width="15.33203125" style="1192" customWidth="1"/>
    <col min="11293" max="11294" width="11.33203125" style="1192" customWidth="1"/>
    <col min="11295" max="11535" width="9.109375" style="1192"/>
    <col min="11536" max="11536" width="5" style="1192" customWidth="1"/>
    <col min="11537" max="11537" width="23.5546875" style="1192" customWidth="1"/>
    <col min="11538" max="11541" width="12.33203125" style="1192" customWidth="1"/>
    <col min="11542" max="11545" width="11.5546875" style="1192" customWidth="1"/>
    <col min="11546" max="11546" width="8.6640625" style="1192" customWidth="1"/>
    <col min="11547" max="11547" width="12.5546875" style="1192" customWidth="1"/>
    <col min="11548" max="11548" width="15.33203125" style="1192" customWidth="1"/>
    <col min="11549" max="11550" width="11.33203125" style="1192" customWidth="1"/>
    <col min="11551" max="11791" width="9.109375" style="1192"/>
    <col min="11792" max="11792" width="5" style="1192" customWidth="1"/>
    <col min="11793" max="11793" width="23.5546875" style="1192" customWidth="1"/>
    <col min="11794" max="11797" width="12.33203125" style="1192" customWidth="1"/>
    <col min="11798" max="11801" width="11.5546875" style="1192" customWidth="1"/>
    <col min="11802" max="11802" width="8.6640625" style="1192" customWidth="1"/>
    <col min="11803" max="11803" width="12.5546875" style="1192" customWidth="1"/>
    <col min="11804" max="11804" width="15.33203125" style="1192" customWidth="1"/>
    <col min="11805" max="11806" width="11.33203125" style="1192" customWidth="1"/>
    <col min="11807" max="12047" width="9.109375" style="1192"/>
    <col min="12048" max="12048" width="5" style="1192" customWidth="1"/>
    <col min="12049" max="12049" width="23.5546875" style="1192" customWidth="1"/>
    <col min="12050" max="12053" width="12.33203125" style="1192" customWidth="1"/>
    <col min="12054" max="12057" width="11.5546875" style="1192" customWidth="1"/>
    <col min="12058" max="12058" width="8.6640625" style="1192" customWidth="1"/>
    <col min="12059" max="12059" width="12.5546875" style="1192" customWidth="1"/>
    <col min="12060" max="12060" width="15.33203125" style="1192" customWidth="1"/>
    <col min="12061" max="12062" width="11.33203125" style="1192" customWidth="1"/>
    <col min="12063" max="12303" width="9.109375" style="1192"/>
    <col min="12304" max="12304" width="5" style="1192" customWidth="1"/>
    <col min="12305" max="12305" width="23.5546875" style="1192" customWidth="1"/>
    <col min="12306" max="12309" width="12.33203125" style="1192" customWidth="1"/>
    <col min="12310" max="12313" width="11.5546875" style="1192" customWidth="1"/>
    <col min="12314" max="12314" width="8.6640625" style="1192" customWidth="1"/>
    <col min="12315" max="12315" width="12.5546875" style="1192" customWidth="1"/>
    <col min="12316" max="12316" width="15.33203125" style="1192" customWidth="1"/>
    <col min="12317" max="12318" width="11.33203125" style="1192" customWidth="1"/>
    <col min="12319" max="12559" width="9.109375" style="1192"/>
    <col min="12560" max="12560" width="5" style="1192" customWidth="1"/>
    <col min="12561" max="12561" width="23.5546875" style="1192" customWidth="1"/>
    <col min="12562" max="12565" width="12.33203125" style="1192" customWidth="1"/>
    <col min="12566" max="12569" width="11.5546875" style="1192" customWidth="1"/>
    <col min="12570" max="12570" width="8.6640625" style="1192" customWidth="1"/>
    <col min="12571" max="12571" width="12.5546875" style="1192" customWidth="1"/>
    <col min="12572" max="12572" width="15.33203125" style="1192" customWidth="1"/>
    <col min="12573" max="12574" width="11.33203125" style="1192" customWidth="1"/>
    <col min="12575" max="12815" width="9.109375" style="1192"/>
    <col min="12816" max="12816" width="5" style="1192" customWidth="1"/>
    <col min="12817" max="12817" width="23.5546875" style="1192" customWidth="1"/>
    <col min="12818" max="12821" width="12.33203125" style="1192" customWidth="1"/>
    <col min="12822" max="12825" width="11.5546875" style="1192" customWidth="1"/>
    <col min="12826" max="12826" width="8.6640625" style="1192" customWidth="1"/>
    <col min="12827" max="12827" width="12.5546875" style="1192" customWidth="1"/>
    <col min="12828" max="12828" width="15.33203125" style="1192" customWidth="1"/>
    <col min="12829" max="12830" width="11.33203125" style="1192" customWidth="1"/>
    <col min="12831" max="13071" width="9.109375" style="1192"/>
    <col min="13072" max="13072" width="5" style="1192" customWidth="1"/>
    <col min="13073" max="13073" width="23.5546875" style="1192" customWidth="1"/>
    <col min="13074" max="13077" width="12.33203125" style="1192" customWidth="1"/>
    <col min="13078" max="13081" width="11.5546875" style="1192" customWidth="1"/>
    <col min="13082" max="13082" width="8.6640625" style="1192" customWidth="1"/>
    <col min="13083" max="13083" width="12.5546875" style="1192" customWidth="1"/>
    <col min="13084" max="13084" width="15.33203125" style="1192" customWidth="1"/>
    <col min="13085" max="13086" width="11.33203125" style="1192" customWidth="1"/>
    <col min="13087" max="13327" width="9.109375" style="1192"/>
    <col min="13328" max="13328" width="5" style="1192" customWidth="1"/>
    <col min="13329" max="13329" width="23.5546875" style="1192" customWidth="1"/>
    <col min="13330" max="13333" width="12.33203125" style="1192" customWidth="1"/>
    <col min="13334" max="13337" width="11.5546875" style="1192" customWidth="1"/>
    <col min="13338" max="13338" width="8.6640625" style="1192" customWidth="1"/>
    <col min="13339" max="13339" width="12.5546875" style="1192" customWidth="1"/>
    <col min="13340" max="13340" width="15.33203125" style="1192" customWidth="1"/>
    <col min="13341" max="13342" width="11.33203125" style="1192" customWidth="1"/>
    <col min="13343" max="13583" width="9.109375" style="1192"/>
    <col min="13584" max="13584" width="5" style="1192" customWidth="1"/>
    <col min="13585" max="13585" width="23.5546875" style="1192" customWidth="1"/>
    <col min="13586" max="13589" width="12.33203125" style="1192" customWidth="1"/>
    <col min="13590" max="13593" width="11.5546875" style="1192" customWidth="1"/>
    <col min="13594" max="13594" width="8.6640625" style="1192" customWidth="1"/>
    <col min="13595" max="13595" width="12.5546875" style="1192" customWidth="1"/>
    <col min="13596" max="13596" width="15.33203125" style="1192" customWidth="1"/>
    <col min="13597" max="13598" width="11.33203125" style="1192" customWidth="1"/>
    <col min="13599" max="13839" width="9.109375" style="1192"/>
    <col min="13840" max="13840" width="5" style="1192" customWidth="1"/>
    <col min="13841" max="13841" width="23.5546875" style="1192" customWidth="1"/>
    <col min="13842" max="13845" width="12.33203125" style="1192" customWidth="1"/>
    <col min="13846" max="13849" width="11.5546875" style="1192" customWidth="1"/>
    <col min="13850" max="13850" width="8.6640625" style="1192" customWidth="1"/>
    <col min="13851" max="13851" width="12.5546875" style="1192" customWidth="1"/>
    <col min="13852" max="13852" width="15.33203125" style="1192" customWidth="1"/>
    <col min="13853" max="13854" width="11.33203125" style="1192" customWidth="1"/>
    <col min="13855" max="14095" width="9.109375" style="1192"/>
    <col min="14096" max="14096" width="5" style="1192" customWidth="1"/>
    <col min="14097" max="14097" width="23.5546875" style="1192" customWidth="1"/>
    <col min="14098" max="14101" width="12.33203125" style="1192" customWidth="1"/>
    <col min="14102" max="14105" width="11.5546875" style="1192" customWidth="1"/>
    <col min="14106" max="14106" width="8.6640625" style="1192" customWidth="1"/>
    <col min="14107" max="14107" width="12.5546875" style="1192" customWidth="1"/>
    <col min="14108" max="14108" width="15.33203125" style="1192" customWidth="1"/>
    <col min="14109" max="14110" width="11.33203125" style="1192" customWidth="1"/>
    <col min="14111" max="14351" width="9.109375" style="1192"/>
    <col min="14352" max="14352" width="5" style="1192" customWidth="1"/>
    <col min="14353" max="14353" width="23.5546875" style="1192" customWidth="1"/>
    <col min="14354" max="14357" width="12.33203125" style="1192" customWidth="1"/>
    <col min="14358" max="14361" width="11.5546875" style="1192" customWidth="1"/>
    <col min="14362" max="14362" width="8.6640625" style="1192" customWidth="1"/>
    <col min="14363" max="14363" width="12.5546875" style="1192" customWidth="1"/>
    <col min="14364" max="14364" width="15.33203125" style="1192" customWidth="1"/>
    <col min="14365" max="14366" width="11.33203125" style="1192" customWidth="1"/>
    <col min="14367" max="14607" width="9.109375" style="1192"/>
    <col min="14608" max="14608" width="5" style="1192" customWidth="1"/>
    <col min="14609" max="14609" width="23.5546875" style="1192" customWidth="1"/>
    <col min="14610" max="14613" width="12.33203125" style="1192" customWidth="1"/>
    <col min="14614" max="14617" width="11.5546875" style="1192" customWidth="1"/>
    <col min="14618" max="14618" width="8.6640625" style="1192" customWidth="1"/>
    <col min="14619" max="14619" width="12.5546875" style="1192" customWidth="1"/>
    <col min="14620" max="14620" width="15.33203125" style="1192" customWidth="1"/>
    <col min="14621" max="14622" width="11.33203125" style="1192" customWidth="1"/>
    <col min="14623" max="14863" width="9.109375" style="1192"/>
    <col min="14864" max="14864" width="5" style="1192" customWidth="1"/>
    <col min="14865" max="14865" width="23.5546875" style="1192" customWidth="1"/>
    <col min="14866" max="14869" width="12.33203125" style="1192" customWidth="1"/>
    <col min="14870" max="14873" width="11.5546875" style="1192" customWidth="1"/>
    <col min="14874" max="14874" width="8.6640625" style="1192" customWidth="1"/>
    <col min="14875" max="14875" width="12.5546875" style="1192" customWidth="1"/>
    <col min="14876" max="14876" width="15.33203125" style="1192" customWidth="1"/>
    <col min="14877" max="14878" width="11.33203125" style="1192" customWidth="1"/>
    <col min="14879" max="15119" width="9.109375" style="1192"/>
    <col min="15120" max="15120" width="5" style="1192" customWidth="1"/>
    <col min="15121" max="15121" width="23.5546875" style="1192" customWidth="1"/>
    <col min="15122" max="15125" width="12.33203125" style="1192" customWidth="1"/>
    <col min="15126" max="15129" width="11.5546875" style="1192" customWidth="1"/>
    <col min="15130" max="15130" width="8.6640625" style="1192" customWidth="1"/>
    <col min="15131" max="15131" width="12.5546875" style="1192" customWidth="1"/>
    <col min="15132" max="15132" width="15.33203125" style="1192" customWidth="1"/>
    <col min="15133" max="15134" width="11.33203125" style="1192" customWidth="1"/>
    <col min="15135" max="15375" width="9.109375" style="1192"/>
    <col min="15376" max="15376" width="5" style="1192" customWidth="1"/>
    <col min="15377" max="15377" width="23.5546875" style="1192" customWidth="1"/>
    <col min="15378" max="15381" width="12.33203125" style="1192" customWidth="1"/>
    <col min="15382" max="15385" width="11.5546875" style="1192" customWidth="1"/>
    <col min="15386" max="15386" width="8.6640625" style="1192" customWidth="1"/>
    <col min="15387" max="15387" width="12.5546875" style="1192" customWidth="1"/>
    <col min="15388" max="15388" width="15.33203125" style="1192" customWidth="1"/>
    <col min="15389" max="15390" width="11.33203125" style="1192" customWidth="1"/>
    <col min="15391" max="15631" width="9.109375" style="1192"/>
    <col min="15632" max="15632" width="5" style="1192" customWidth="1"/>
    <col min="15633" max="15633" width="23.5546875" style="1192" customWidth="1"/>
    <col min="15634" max="15637" width="12.33203125" style="1192" customWidth="1"/>
    <col min="15638" max="15641" width="11.5546875" style="1192" customWidth="1"/>
    <col min="15642" max="15642" width="8.6640625" style="1192" customWidth="1"/>
    <col min="15643" max="15643" width="12.5546875" style="1192" customWidth="1"/>
    <col min="15644" max="15644" width="15.33203125" style="1192" customWidth="1"/>
    <col min="15645" max="15646" width="11.33203125" style="1192" customWidth="1"/>
    <col min="15647" max="15887" width="9.109375" style="1192"/>
    <col min="15888" max="15888" width="5" style="1192" customWidth="1"/>
    <col min="15889" max="15889" width="23.5546875" style="1192" customWidth="1"/>
    <col min="15890" max="15893" width="12.33203125" style="1192" customWidth="1"/>
    <col min="15894" max="15897" width="11.5546875" style="1192" customWidth="1"/>
    <col min="15898" max="15898" width="8.6640625" style="1192" customWidth="1"/>
    <col min="15899" max="15899" width="12.5546875" style="1192" customWidth="1"/>
    <col min="15900" max="15900" width="15.33203125" style="1192" customWidth="1"/>
    <col min="15901" max="15902" width="11.33203125" style="1192" customWidth="1"/>
    <col min="15903" max="16143" width="9.109375" style="1192"/>
    <col min="16144" max="16144" width="5" style="1192" customWidth="1"/>
    <col min="16145" max="16145" width="23.5546875" style="1192" customWidth="1"/>
    <col min="16146" max="16149" width="12.33203125" style="1192" customWidth="1"/>
    <col min="16150" max="16153" width="11.5546875" style="1192" customWidth="1"/>
    <col min="16154" max="16154" width="8.6640625" style="1192" customWidth="1"/>
    <col min="16155" max="16155" width="12.5546875" style="1192" customWidth="1"/>
    <col min="16156" max="16156" width="15.33203125" style="1192" customWidth="1"/>
    <col min="16157" max="16158" width="11.33203125" style="1192" customWidth="1"/>
    <col min="16159" max="16384" width="9.109375" style="1192"/>
  </cols>
  <sheetData>
    <row r="1" spans="1:31">
      <c r="A1" s="1189" t="str">
        <f>'[4]1a'!A1:B1</f>
        <v>ỦY BAN NHÂN DÂN TỈNH ĐỒNG THÁP</v>
      </c>
      <c r="B1" s="1189"/>
      <c r="O1" s="6138"/>
      <c r="P1" s="6138"/>
      <c r="AA1" s="6138"/>
      <c r="AB1" s="6138"/>
      <c r="AC1" s="6138" t="s">
        <v>1159</v>
      </c>
      <c r="AD1" s="6138"/>
    </row>
    <row r="2" spans="1:31">
      <c r="A2" s="6133" t="s">
        <v>1160</v>
      </c>
      <c r="B2" s="6133"/>
      <c r="C2" s="6133"/>
      <c r="D2" s="6133"/>
      <c r="E2" s="6133"/>
      <c r="F2" s="6133"/>
      <c r="G2" s="6133"/>
      <c r="H2" s="6133"/>
      <c r="I2" s="6133"/>
      <c r="J2" s="6133"/>
      <c r="K2" s="6133"/>
      <c r="L2" s="6133"/>
      <c r="M2" s="6133"/>
      <c r="N2" s="6133"/>
      <c r="O2" s="6133"/>
      <c r="P2" s="6133"/>
      <c r="Q2" s="6133"/>
      <c r="R2" s="6133"/>
      <c r="S2" s="6133"/>
      <c r="T2" s="6133"/>
      <c r="U2" s="6133"/>
      <c r="V2" s="6133"/>
      <c r="W2" s="6133"/>
      <c r="X2" s="6133"/>
      <c r="Y2" s="6133"/>
      <c r="Z2" s="6133"/>
      <c r="AA2" s="6133"/>
      <c r="AB2" s="6133"/>
      <c r="AC2" s="6133"/>
      <c r="AD2" s="6133"/>
    </row>
    <row r="3" spans="1:31">
      <c r="A3" s="6133"/>
      <c r="B3" s="6133"/>
      <c r="C3" s="6133"/>
      <c r="D3" s="6133"/>
      <c r="E3" s="6133"/>
      <c r="F3" s="6133"/>
      <c r="G3" s="6133"/>
      <c r="H3" s="6133"/>
      <c r="I3" s="6133"/>
      <c r="J3" s="6133"/>
      <c r="K3" s="6133"/>
      <c r="L3" s="6133"/>
      <c r="M3" s="6133"/>
      <c r="N3" s="6133"/>
      <c r="O3" s="6133"/>
      <c r="P3" s="6133"/>
      <c r="Q3" s="6133"/>
      <c r="R3" s="6133"/>
      <c r="S3" s="6133"/>
      <c r="T3" s="6133"/>
      <c r="U3" s="6133"/>
      <c r="V3" s="6133"/>
      <c r="W3" s="6133"/>
      <c r="X3" s="6133"/>
      <c r="Y3" s="6133"/>
      <c r="Z3" s="6133"/>
      <c r="AA3" s="6133"/>
      <c r="AB3" s="6133"/>
      <c r="AC3" s="1382"/>
      <c r="AD3" s="1382"/>
    </row>
    <row r="4" spans="1:31">
      <c r="A4" s="1382"/>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6139" t="s">
        <v>1121</v>
      </c>
      <c r="AA4" s="6139"/>
      <c r="AB4" s="6139"/>
      <c r="AC4" s="1382"/>
      <c r="AD4" s="1382"/>
    </row>
    <row r="5" spans="1:31" ht="16.5" customHeight="1">
      <c r="A5" s="6073" t="s">
        <v>200</v>
      </c>
      <c r="B5" s="6132" t="s">
        <v>1161</v>
      </c>
      <c r="C5" s="6136" t="s">
        <v>985</v>
      </c>
      <c r="D5" s="6136"/>
      <c r="E5" s="6136"/>
      <c r="F5" s="6136"/>
      <c r="G5" s="6136"/>
      <c r="H5" s="6136"/>
      <c r="I5" s="6136"/>
      <c r="J5" s="6136"/>
      <c r="K5" s="6136"/>
      <c r="L5" s="6136"/>
      <c r="M5" s="6136"/>
      <c r="N5" s="6136"/>
      <c r="O5" s="6136"/>
      <c r="P5" s="6136"/>
      <c r="Q5" s="6137" t="s">
        <v>1122</v>
      </c>
      <c r="R5" s="6137"/>
      <c r="S5" s="6137"/>
      <c r="T5" s="6137"/>
      <c r="U5" s="6137"/>
      <c r="V5" s="6137"/>
      <c r="W5" s="6137"/>
      <c r="X5" s="6137"/>
      <c r="Y5" s="6137"/>
      <c r="Z5" s="6137"/>
      <c r="AA5" s="6137"/>
      <c r="AB5" s="6137"/>
      <c r="AC5" s="6137"/>
      <c r="AD5" s="6137"/>
    </row>
    <row r="6" spans="1:31" ht="15.75" customHeight="1">
      <c r="A6" s="6073"/>
      <c r="B6" s="6132"/>
      <c r="C6" s="6132" t="s">
        <v>1162</v>
      </c>
      <c r="D6" s="6132"/>
      <c r="E6" s="6132"/>
      <c r="F6" s="6132"/>
      <c r="G6" s="6132"/>
      <c r="H6" s="6132"/>
      <c r="I6" s="6132"/>
      <c r="J6" s="6132"/>
      <c r="K6" s="6132" t="s">
        <v>1023</v>
      </c>
      <c r="L6" s="6132"/>
      <c r="M6" s="6132" t="s">
        <v>1163</v>
      </c>
      <c r="N6" s="6132" t="s">
        <v>1164</v>
      </c>
      <c r="O6" s="6132" t="s">
        <v>996</v>
      </c>
      <c r="P6" s="6134" t="s">
        <v>1125</v>
      </c>
      <c r="Q6" s="6132" t="s">
        <v>1162</v>
      </c>
      <c r="R6" s="6132"/>
      <c r="S6" s="6132"/>
      <c r="T6" s="6132"/>
      <c r="U6" s="6132"/>
      <c r="V6" s="6132"/>
      <c r="W6" s="6132"/>
      <c r="X6" s="6132"/>
      <c r="Y6" s="6132" t="s">
        <v>1023</v>
      </c>
      <c r="Z6" s="6132"/>
      <c r="AA6" s="6132" t="s">
        <v>1163</v>
      </c>
      <c r="AB6" s="6132" t="s">
        <v>1164</v>
      </c>
      <c r="AC6" s="6132" t="s">
        <v>1165</v>
      </c>
      <c r="AD6" s="6134" t="s">
        <v>1125</v>
      </c>
    </row>
    <row r="7" spans="1:31" ht="15.75" customHeight="1">
      <c r="A7" s="6073"/>
      <c r="B7" s="6132"/>
      <c r="C7" s="6132" t="s">
        <v>1166</v>
      </c>
      <c r="D7" s="6132"/>
      <c r="E7" s="6132"/>
      <c r="F7" s="6132"/>
      <c r="G7" s="6135" t="s">
        <v>1167</v>
      </c>
      <c r="H7" s="6135"/>
      <c r="I7" s="6135"/>
      <c r="J7" s="6135"/>
      <c r="K7" s="6132"/>
      <c r="L7" s="6132"/>
      <c r="M7" s="6132"/>
      <c r="N7" s="6132"/>
      <c r="O7" s="6132"/>
      <c r="P7" s="6134"/>
      <c r="Q7" s="6132" t="s">
        <v>1168</v>
      </c>
      <c r="R7" s="6132"/>
      <c r="S7" s="6132"/>
      <c r="T7" s="6132"/>
      <c r="U7" s="6135" t="s">
        <v>1169</v>
      </c>
      <c r="V7" s="6135"/>
      <c r="W7" s="6135"/>
      <c r="X7" s="6135"/>
      <c r="Y7" s="6132"/>
      <c r="Z7" s="6132"/>
      <c r="AA7" s="6132"/>
      <c r="AB7" s="6132"/>
      <c r="AC7" s="6132"/>
      <c r="AD7" s="6134"/>
    </row>
    <row r="8" spans="1:31" ht="117" customHeight="1">
      <c r="A8" s="6073"/>
      <c r="B8" s="6132"/>
      <c r="C8" s="1383" t="s">
        <v>1170</v>
      </c>
      <c r="D8" s="1383" t="s">
        <v>1171</v>
      </c>
      <c r="E8" s="1383" t="s">
        <v>1172</v>
      </c>
      <c r="F8" s="1383" t="s">
        <v>1173</v>
      </c>
      <c r="G8" s="1383" t="s">
        <v>1170</v>
      </c>
      <c r="H8" s="1383" t="s">
        <v>1171</v>
      </c>
      <c r="I8" s="1383" t="s">
        <v>1172</v>
      </c>
      <c r="J8" s="1383" t="s">
        <v>1129</v>
      </c>
      <c r="K8" s="1383" t="s">
        <v>1174</v>
      </c>
      <c r="L8" s="1383" t="s">
        <v>1175</v>
      </c>
      <c r="M8" s="6132"/>
      <c r="N8" s="6132"/>
      <c r="O8" s="6132"/>
      <c r="P8" s="6134"/>
      <c r="Q8" s="1383" t="s">
        <v>1170</v>
      </c>
      <c r="R8" s="1383" t="s">
        <v>1171</v>
      </c>
      <c r="S8" s="1383" t="s">
        <v>1172</v>
      </c>
      <c r="T8" s="1383" t="s">
        <v>1173</v>
      </c>
      <c r="U8" s="1383" t="s">
        <v>1170</v>
      </c>
      <c r="V8" s="1383" t="s">
        <v>1171</v>
      </c>
      <c r="W8" s="1383" t="s">
        <v>1172</v>
      </c>
      <c r="X8" s="1383" t="s">
        <v>1129</v>
      </c>
      <c r="Y8" s="1383" t="s">
        <v>1174</v>
      </c>
      <c r="Z8" s="1383" t="s">
        <v>1175</v>
      </c>
      <c r="AA8" s="6132"/>
      <c r="AB8" s="6132"/>
      <c r="AC8" s="6132"/>
      <c r="AD8" s="6134"/>
    </row>
    <row r="9" spans="1:31">
      <c r="A9" s="1384" t="s">
        <v>1</v>
      </c>
      <c r="B9" s="1384" t="s">
        <v>37</v>
      </c>
      <c r="C9" s="1385">
        <v>1</v>
      </c>
      <c r="D9" s="1385">
        <v>2</v>
      </c>
      <c r="E9" s="1385">
        <v>3</v>
      </c>
      <c r="F9" s="1385" t="s">
        <v>1176</v>
      </c>
      <c r="G9" s="1385">
        <v>5</v>
      </c>
      <c r="H9" s="1385">
        <v>6</v>
      </c>
      <c r="I9" s="1385">
        <v>7</v>
      </c>
      <c r="J9" s="1385" t="s">
        <v>1177</v>
      </c>
      <c r="K9" s="1385">
        <v>9</v>
      </c>
      <c r="L9" s="1385">
        <v>10</v>
      </c>
      <c r="M9" s="1385">
        <v>11</v>
      </c>
      <c r="N9" s="1386" t="s">
        <v>1178</v>
      </c>
      <c r="O9" s="1385">
        <v>13</v>
      </c>
      <c r="P9" s="1386" t="s">
        <v>1179</v>
      </c>
      <c r="Q9" s="1385">
        <v>1</v>
      </c>
      <c r="R9" s="1385">
        <v>2</v>
      </c>
      <c r="S9" s="1385">
        <v>3</v>
      </c>
      <c r="T9" s="1385" t="s">
        <v>1176</v>
      </c>
      <c r="U9" s="1385">
        <v>5</v>
      </c>
      <c r="V9" s="1385">
        <v>6</v>
      </c>
      <c r="W9" s="1385">
        <v>7</v>
      </c>
      <c r="X9" s="1385" t="s">
        <v>1177</v>
      </c>
      <c r="Y9" s="1385">
        <v>9</v>
      </c>
      <c r="Z9" s="1385">
        <v>10</v>
      </c>
      <c r="AA9" s="1385">
        <v>11</v>
      </c>
      <c r="AB9" s="1386" t="s">
        <v>1178</v>
      </c>
      <c r="AC9" s="1385">
        <v>13</v>
      </c>
      <c r="AD9" s="1385" t="s">
        <v>1179</v>
      </c>
    </row>
    <row r="10" spans="1:31" ht="24.75" customHeight="1">
      <c r="A10" s="1387"/>
      <c r="B10" s="1387" t="s">
        <v>387</v>
      </c>
      <c r="C10" s="1388">
        <f>SUM(C11,C13)</f>
        <v>1538</v>
      </c>
      <c r="D10" s="1388">
        <f t="shared" ref="D10:AB10" si="0">SUM(D11,D13)</f>
        <v>1.7599999999999998</v>
      </c>
      <c r="E10" s="1388">
        <f t="shared" si="0"/>
        <v>55</v>
      </c>
      <c r="F10" s="1388">
        <f t="shared" si="0"/>
        <v>1245.18</v>
      </c>
      <c r="G10" s="1388">
        <f t="shared" si="0"/>
        <v>1538</v>
      </c>
      <c r="H10" s="1388">
        <f t="shared" si="0"/>
        <v>1.7599999999999998</v>
      </c>
      <c r="I10" s="1388">
        <f t="shared" si="0"/>
        <v>44</v>
      </c>
      <c r="J10" s="1388">
        <f t="shared" si="0"/>
        <v>973.50000000000023</v>
      </c>
      <c r="K10" s="1166">
        <f t="shared" si="0"/>
        <v>0</v>
      </c>
      <c r="L10" s="1166">
        <f t="shared" si="0"/>
        <v>0</v>
      </c>
      <c r="M10" s="1166">
        <f t="shared" si="0"/>
        <v>0</v>
      </c>
      <c r="N10" s="1388">
        <f t="shared" si="0"/>
        <v>2218.6800000000003</v>
      </c>
      <c r="O10" s="1388">
        <f t="shared" si="0"/>
        <v>0</v>
      </c>
      <c r="P10" s="1388">
        <f t="shared" si="0"/>
        <v>2218.6800000000003</v>
      </c>
      <c r="Q10" s="1388">
        <f t="shared" si="0"/>
        <v>1775</v>
      </c>
      <c r="R10" s="1388">
        <f t="shared" si="0"/>
        <v>1.7599999999999998</v>
      </c>
      <c r="S10" s="1388">
        <f t="shared" si="0"/>
        <v>55</v>
      </c>
      <c r="T10" s="1388">
        <f t="shared" si="0"/>
        <v>1420</v>
      </c>
      <c r="U10" s="1388">
        <f t="shared" si="0"/>
        <v>1775</v>
      </c>
      <c r="V10" s="1388">
        <f t="shared" si="0"/>
        <v>1.7599999999999998</v>
      </c>
      <c r="W10" s="1388">
        <f t="shared" si="0"/>
        <v>44</v>
      </c>
      <c r="X10" s="1388">
        <f t="shared" si="0"/>
        <v>1136.0000000000002</v>
      </c>
      <c r="Y10" s="1166">
        <f t="shared" si="0"/>
        <v>0</v>
      </c>
      <c r="Z10" s="1166">
        <f t="shared" si="0"/>
        <v>0</v>
      </c>
      <c r="AA10" s="1166">
        <f t="shared" si="0"/>
        <v>0</v>
      </c>
      <c r="AB10" s="1388">
        <f t="shared" si="0"/>
        <v>2556.0000000000005</v>
      </c>
      <c r="AC10" s="1389"/>
      <c r="AD10" s="1389"/>
      <c r="AE10" s="1390"/>
    </row>
    <row r="11" spans="1:31" ht="24.75" customHeight="1">
      <c r="A11" s="1391" t="s">
        <v>1180</v>
      </c>
      <c r="B11" s="1392" t="s">
        <v>1181</v>
      </c>
      <c r="C11" s="1166"/>
      <c r="D11" s="1166"/>
      <c r="E11" s="1166"/>
      <c r="F11" s="1166"/>
      <c r="G11" s="1166"/>
      <c r="H11" s="1166"/>
      <c r="I11" s="1166"/>
      <c r="J11" s="1166"/>
      <c r="K11" s="1393"/>
      <c r="L11" s="1393"/>
      <c r="M11" s="1393">
        <f>'[4]1c'!F10</f>
        <v>0</v>
      </c>
      <c r="N11" s="1166"/>
      <c r="O11" s="1166"/>
      <c r="P11" s="1166"/>
      <c r="Q11" s="1166"/>
      <c r="R11" s="1166"/>
      <c r="S11" s="1166"/>
      <c r="T11" s="1166"/>
      <c r="U11" s="1166"/>
      <c r="V11" s="1166"/>
      <c r="W11" s="1166"/>
      <c r="X11" s="1166"/>
      <c r="Y11" s="1393"/>
      <c r="Z11" s="1393">
        <f>'[4]1c'!J10</f>
        <v>0</v>
      </c>
      <c r="AA11" s="1393"/>
      <c r="AB11" s="1166"/>
      <c r="AC11" s="1394"/>
      <c r="AD11" s="1394"/>
      <c r="AE11" s="1390"/>
    </row>
    <row r="12" spans="1:31" ht="24.75" hidden="1" customHeight="1">
      <c r="A12" s="1395"/>
      <c r="B12" s="1396" t="s">
        <v>1182</v>
      </c>
      <c r="C12" s="1166"/>
      <c r="D12" s="1166"/>
      <c r="E12" s="1166"/>
      <c r="F12" s="1166"/>
      <c r="G12" s="1166"/>
      <c r="H12" s="1166"/>
      <c r="I12" s="1166"/>
      <c r="J12" s="1166"/>
      <c r="K12" s="1393"/>
      <c r="L12" s="1393"/>
      <c r="M12" s="1393"/>
      <c r="N12" s="1166"/>
      <c r="O12" s="1166"/>
      <c r="P12" s="1166"/>
      <c r="Q12" s="1166"/>
      <c r="R12" s="1166"/>
      <c r="S12" s="1166"/>
      <c r="T12" s="1166"/>
      <c r="U12" s="1166"/>
      <c r="V12" s="1166"/>
      <c r="W12" s="1166"/>
      <c r="X12" s="1166"/>
      <c r="Y12" s="1393"/>
      <c r="Z12" s="1393"/>
      <c r="AA12" s="1393"/>
      <c r="AB12" s="1166"/>
      <c r="AC12" s="1394"/>
      <c r="AD12" s="1394"/>
      <c r="AE12" s="1390"/>
    </row>
    <row r="13" spans="1:31" ht="24.75" customHeight="1">
      <c r="A13" s="1391" t="s">
        <v>1183</v>
      </c>
      <c r="B13" s="1392" t="s">
        <v>1184</v>
      </c>
      <c r="C13" s="1166">
        <f>SUM(C14,C15,C16,C17,C18,C19,C20,C21,C22,C23,C24,C25)</f>
        <v>1538</v>
      </c>
      <c r="D13" s="1166">
        <f t="shared" ref="D13:AD13" si="1">SUM(D14,D15,D16,D17,D18,D19,D20,D21,D22,D23,D24,D25)</f>
        <v>1.7599999999999998</v>
      </c>
      <c r="E13" s="1166">
        <f t="shared" si="1"/>
        <v>55</v>
      </c>
      <c r="F13" s="1166">
        <f t="shared" si="1"/>
        <v>1245.18</v>
      </c>
      <c r="G13" s="1166">
        <f t="shared" si="1"/>
        <v>1538</v>
      </c>
      <c r="H13" s="1393">
        <f t="shared" si="1"/>
        <v>1.7599999999999998</v>
      </c>
      <c r="I13" s="1166">
        <f t="shared" si="1"/>
        <v>44</v>
      </c>
      <c r="J13" s="1166">
        <f t="shared" si="1"/>
        <v>973.50000000000023</v>
      </c>
      <c r="K13" s="1166">
        <f>SUM(K14,K15,K16,K17,K18,K19,K20,K21,K22,K23,K24,K25)</f>
        <v>0</v>
      </c>
      <c r="L13" s="1166">
        <f t="shared" si="1"/>
        <v>0</v>
      </c>
      <c r="M13" s="1166">
        <f>SUM(M14,M15,M16,M17,M18,M19,M20,M21,M22,M23,M24,M25)</f>
        <v>0</v>
      </c>
      <c r="N13" s="1166">
        <f t="shared" si="1"/>
        <v>2218.6800000000003</v>
      </c>
      <c r="O13" s="1166">
        <f t="shared" si="1"/>
        <v>0</v>
      </c>
      <c r="P13" s="1166">
        <f t="shared" si="1"/>
        <v>2218.6800000000003</v>
      </c>
      <c r="Q13" s="1166">
        <f>SUM(Q14,Q15,Q16,Q17,Q18,Q19,Q20,Q21,Q22,Q23,Q24,Q25)</f>
        <v>1775</v>
      </c>
      <c r="R13" s="1166">
        <f t="shared" si="1"/>
        <v>1.7599999999999998</v>
      </c>
      <c r="S13" s="1166">
        <f t="shared" si="1"/>
        <v>55</v>
      </c>
      <c r="T13" s="1166">
        <f t="shared" si="1"/>
        <v>1420</v>
      </c>
      <c r="U13" s="1166">
        <f t="shared" si="1"/>
        <v>1775</v>
      </c>
      <c r="V13" s="1166">
        <f t="shared" si="1"/>
        <v>1.7599999999999998</v>
      </c>
      <c r="W13" s="1166">
        <f t="shared" si="1"/>
        <v>44</v>
      </c>
      <c r="X13" s="1166">
        <f t="shared" si="1"/>
        <v>1136.0000000000002</v>
      </c>
      <c r="Y13" s="1166">
        <f t="shared" si="1"/>
        <v>0</v>
      </c>
      <c r="Z13" s="1166">
        <f t="shared" si="1"/>
        <v>0</v>
      </c>
      <c r="AA13" s="1166">
        <f t="shared" si="1"/>
        <v>0</v>
      </c>
      <c r="AB13" s="1166">
        <f t="shared" si="1"/>
        <v>2556.0000000000005</v>
      </c>
      <c r="AC13" s="1394">
        <f t="shared" si="1"/>
        <v>0</v>
      </c>
      <c r="AD13" s="1394">
        <f t="shared" si="1"/>
        <v>2556.0000000000005</v>
      </c>
      <c r="AE13" s="1390"/>
    </row>
    <row r="14" spans="1:31" s="1190" customFormat="1" ht="24.75" customHeight="1">
      <c r="A14" s="1397"/>
      <c r="B14" s="1398" t="s">
        <v>1135</v>
      </c>
      <c r="C14" s="2165">
        <v>113</v>
      </c>
      <c r="D14" s="1399">
        <v>0.16</v>
      </c>
      <c r="E14" s="1399">
        <v>5</v>
      </c>
      <c r="F14" s="1400">
        <f>C14*D14*E14</f>
        <v>90.4</v>
      </c>
      <c r="G14" s="2165">
        <v>113</v>
      </c>
      <c r="H14" s="1399">
        <v>0.16</v>
      </c>
      <c r="I14" s="1399">
        <v>4</v>
      </c>
      <c r="J14" s="1400">
        <f>G14*H14*I14</f>
        <v>72.320000000000007</v>
      </c>
      <c r="K14" s="1400"/>
      <c r="L14" s="1400"/>
      <c r="M14" s="1400">
        <f>'[4]1c'!F13</f>
        <v>0</v>
      </c>
      <c r="N14" s="1400">
        <f>F14+J14+L14+M14</f>
        <v>162.72000000000003</v>
      </c>
      <c r="O14" s="1400"/>
      <c r="P14" s="1400">
        <f>N14-O14</f>
        <v>162.72000000000003</v>
      </c>
      <c r="Q14" s="1399">
        <v>104</v>
      </c>
      <c r="R14" s="1399">
        <v>0.16</v>
      </c>
      <c r="S14" s="1399">
        <v>5</v>
      </c>
      <c r="T14" s="1400">
        <f>Q14*R14*S14</f>
        <v>83.2</v>
      </c>
      <c r="U14" s="1399">
        <v>104</v>
      </c>
      <c r="V14" s="1399">
        <v>0.16</v>
      </c>
      <c r="W14" s="1399">
        <v>4</v>
      </c>
      <c r="X14" s="1400">
        <f>U14*V14*W14</f>
        <v>66.56</v>
      </c>
      <c r="Y14" s="1400"/>
      <c r="Z14" s="1400">
        <f>'[4]1c'!J13</f>
        <v>0</v>
      </c>
      <c r="AA14" s="1400">
        <f>'[4]1c'!J13</f>
        <v>0</v>
      </c>
      <c r="AB14" s="1400">
        <f>T14+X14+Z14+AA14</f>
        <v>149.76</v>
      </c>
      <c r="AC14" s="1401"/>
      <c r="AD14" s="1401">
        <f>AB14-AC14</f>
        <v>149.76</v>
      </c>
    </row>
    <row r="15" spans="1:31" s="1190" customFormat="1" ht="24.75" customHeight="1">
      <c r="A15" s="1397"/>
      <c r="B15" s="1398" t="s">
        <v>1136</v>
      </c>
      <c r="C15" s="2166">
        <v>87</v>
      </c>
      <c r="D15" s="1399">
        <v>0.16</v>
      </c>
      <c r="E15" s="1399">
        <v>5</v>
      </c>
      <c r="F15" s="1403">
        <f>((30+11+27)*D15*9)</f>
        <v>97.92</v>
      </c>
      <c r="G15" s="2092">
        <v>87</v>
      </c>
      <c r="H15" s="1399">
        <v>0.16</v>
      </c>
      <c r="I15" s="1399">
        <v>4</v>
      </c>
      <c r="J15" s="1403">
        <f>G15*H15*I15</f>
        <v>55.68</v>
      </c>
      <c r="K15" s="1403"/>
      <c r="L15" s="1403"/>
      <c r="M15" s="1403">
        <f>'[4]1c'!F14</f>
        <v>0</v>
      </c>
      <c r="N15" s="1403">
        <f>F15+J15+L15+M15</f>
        <v>153.6</v>
      </c>
      <c r="O15" s="1403"/>
      <c r="P15" s="1403">
        <f t="shared" ref="P15:P25" si="2">N15-O15</f>
        <v>153.6</v>
      </c>
      <c r="Q15" s="1403">
        <v>84</v>
      </c>
      <c r="R15" s="1399">
        <v>0.16</v>
      </c>
      <c r="S15" s="1399">
        <v>5</v>
      </c>
      <c r="T15" s="1403">
        <f t="shared" ref="T15:T25" si="3">Q15*R15*S15</f>
        <v>67.2</v>
      </c>
      <c r="U15" s="1403">
        <v>84</v>
      </c>
      <c r="V15" s="1399">
        <v>0.16</v>
      </c>
      <c r="W15" s="1399">
        <v>4</v>
      </c>
      <c r="X15" s="1403">
        <f t="shared" ref="X15:X25" si="4">U15*V15*W15</f>
        <v>53.76</v>
      </c>
      <c r="Y15" s="1403"/>
      <c r="Z15" s="1403">
        <f>'[4]1c'!J14</f>
        <v>0</v>
      </c>
      <c r="AA15" s="1403">
        <f>'[4]1c'!J14</f>
        <v>0</v>
      </c>
      <c r="AB15" s="1403">
        <f t="shared" ref="AB15:AB25" si="5">T15+X15+Z15+AA15</f>
        <v>120.96000000000001</v>
      </c>
      <c r="AC15" s="1401"/>
      <c r="AD15" s="1401">
        <f t="shared" ref="AD15:AD25" si="6">AB15-AC15</f>
        <v>120.96000000000001</v>
      </c>
    </row>
    <row r="16" spans="1:31" s="1190" customFormat="1" ht="24.75" customHeight="1">
      <c r="A16" s="1397"/>
      <c r="B16" s="1398" t="s">
        <v>1137</v>
      </c>
      <c r="C16" s="2165">
        <v>207</v>
      </c>
      <c r="D16" s="1399">
        <v>0.16</v>
      </c>
      <c r="E16" s="1399">
        <v>5</v>
      </c>
      <c r="F16" s="1400">
        <f>C16*D16*E16</f>
        <v>165.6</v>
      </c>
      <c r="G16" s="2168">
        <v>207</v>
      </c>
      <c r="H16" s="1399">
        <v>0.16</v>
      </c>
      <c r="I16" s="1399">
        <v>4</v>
      </c>
      <c r="J16" s="1400">
        <f t="shared" ref="J16:J25" si="7">G16*H16*I16</f>
        <v>132.47999999999999</v>
      </c>
      <c r="K16" s="1400"/>
      <c r="L16" s="1400"/>
      <c r="M16" s="1400">
        <f>'[4]1c'!F15</f>
        <v>0</v>
      </c>
      <c r="N16" s="1400">
        <f t="shared" ref="N16:N25" si="8">F16+J16+L16+M16</f>
        <v>298.08</v>
      </c>
      <c r="O16" s="1400"/>
      <c r="P16" s="1400">
        <f t="shared" si="2"/>
        <v>298.08</v>
      </c>
      <c r="Q16" s="1400">
        <v>314</v>
      </c>
      <c r="R16" s="1399">
        <v>0.16</v>
      </c>
      <c r="S16" s="1399">
        <v>5</v>
      </c>
      <c r="T16" s="1400">
        <f t="shared" si="3"/>
        <v>251.20000000000002</v>
      </c>
      <c r="U16" s="1400">
        <v>314</v>
      </c>
      <c r="V16" s="1399">
        <v>0.16</v>
      </c>
      <c r="W16" s="1399">
        <v>4</v>
      </c>
      <c r="X16" s="1400">
        <f t="shared" si="4"/>
        <v>200.96</v>
      </c>
      <c r="Y16" s="1400"/>
      <c r="Z16" s="1400">
        <f>'[4]1c'!J15</f>
        <v>0</v>
      </c>
      <c r="AA16" s="1400">
        <f>'[4]1c'!J15</f>
        <v>0</v>
      </c>
      <c r="AB16" s="1400">
        <f t="shared" si="5"/>
        <v>452.16</v>
      </c>
      <c r="AC16" s="1401"/>
      <c r="AD16" s="1401">
        <f t="shared" si="6"/>
        <v>452.16</v>
      </c>
    </row>
    <row r="17" spans="1:31" s="1190" customFormat="1" ht="24.75" customHeight="1">
      <c r="A17" s="1397"/>
      <c r="B17" s="1398" t="s">
        <v>1138</v>
      </c>
      <c r="C17" s="2165">
        <v>131</v>
      </c>
      <c r="D17" s="1399">
        <v>0.16</v>
      </c>
      <c r="E17" s="1399">
        <v>5</v>
      </c>
      <c r="F17" s="1399">
        <f t="shared" ref="F17:F25" si="9">C17*D17*E17</f>
        <v>104.80000000000001</v>
      </c>
      <c r="G17" s="2165">
        <v>131</v>
      </c>
      <c r="H17" s="1399">
        <v>0.16</v>
      </c>
      <c r="I17" s="1399">
        <v>4</v>
      </c>
      <c r="J17" s="1399">
        <f t="shared" si="7"/>
        <v>83.84</v>
      </c>
      <c r="K17" s="1399"/>
      <c r="L17" s="1399"/>
      <c r="M17" s="1399">
        <f>'[4]1c'!F16</f>
        <v>0</v>
      </c>
      <c r="N17" s="1399">
        <f t="shared" si="8"/>
        <v>188.64000000000001</v>
      </c>
      <c r="O17" s="1399"/>
      <c r="P17" s="1399">
        <f t="shared" si="2"/>
        <v>188.64000000000001</v>
      </c>
      <c r="Q17" s="1399">
        <v>145</v>
      </c>
      <c r="R17" s="1399">
        <v>0.16</v>
      </c>
      <c r="S17" s="1399">
        <v>5</v>
      </c>
      <c r="T17" s="1399">
        <f t="shared" si="3"/>
        <v>116</v>
      </c>
      <c r="U17" s="1399">
        <v>145</v>
      </c>
      <c r="V17" s="1399">
        <v>0.16</v>
      </c>
      <c r="W17" s="1399">
        <v>4</v>
      </c>
      <c r="X17" s="1399">
        <f t="shared" si="4"/>
        <v>92.8</v>
      </c>
      <c r="Y17" s="1399"/>
      <c r="Z17" s="1399">
        <f>'[4]1c'!J16</f>
        <v>0</v>
      </c>
      <c r="AA17" s="1399">
        <f>'[4]1c'!J16</f>
        <v>0</v>
      </c>
      <c r="AB17" s="1399">
        <f t="shared" si="5"/>
        <v>208.8</v>
      </c>
      <c r="AC17" s="1401"/>
      <c r="AD17" s="1401">
        <f t="shared" si="6"/>
        <v>208.8</v>
      </c>
    </row>
    <row r="18" spans="1:31" s="1190" customFormat="1" ht="24.75" customHeight="1">
      <c r="A18" s="1397"/>
      <c r="B18" s="1398" t="s">
        <v>1139</v>
      </c>
      <c r="C18" s="2165">
        <v>186</v>
      </c>
      <c r="D18" s="1399">
        <v>0.16</v>
      </c>
      <c r="E18" s="1399">
        <v>5</v>
      </c>
      <c r="F18" s="1400">
        <f t="shared" si="9"/>
        <v>148.80000000000001</v>
      </c>
      <c r="G18" s="2165">
        <v>186</v>
      </c>
      <c r="H18" s="1399">
        <v>0.16</v>
      </c>
      <c r="I18" s="1399">
        <v>4</v>
      </c>
      <c r="J18" s="1400">
        <f t="shared" si="7"/>
        <v>119.04</v>
      </c>
      <c r="K18" s="1400"/>
      <c r="L18" s="1400"/>
      <c r="M18" s="1400">
        <f>'[4]1c'!F17</f>
        <v>0</v>
      </c>
      <c r="N18" s="1400">
        <f t="shared" si="8"/>
        <v>267.84000000000003</v>
      </c>
      <c r="O18" s="1400"/>
      <c r="P18" s="1400">
        <f t="shared" si="2"/>
        <v>267.84000000000003</v>
      </c>
      <c r="Q18" s="1400">
        <v>229</v>
      </c>
      <c r="R18" s="1399">
        <v>0.16</v>
      </c>
      <c r="S18" s="1399">
        <v>5</v>
      </c>
      <c r="T18" s="1400">
        <f t="shared" si="3"/>
        <v>183.2</v>
      </c>
      <c r="U18" s="1400">
        <v>229</v>
      </c>
      <c r="V18" s="1399">
        <v>0.16</v>
      </c>
      <c r="W18" s="1399">
        <v>4</v>
      </c>
      <c r="X18" s="1400">
        <f t="shared" si="4"/>
        <v>146.56</v>
      </c>
      <c r="Y18" s="1400"/>
      <c r="Z18" s="1400">
        <f>'[4]1c'!J17</f>
        <v>0</v>
      </c>
      <c r="AA18" s="1400">
        <f>'[4]1c'!J17</f>
        <v>0</v>
      </c>
      <c r="AB18" s="1400">
        <f t="shared" si="5"/>
        <v>329.76</v>
      </c>
      <c r="AC18" s="1401"/>
      <c r="AD18" s="1401">
        <f t="shared" si="6"/>
        <v>329.76</v>
      </c>
    </row>
    <row r="19" spans="1:31" s="1190" customFormat="1" ht="24.75" customHeight="1">
      <c r="A19" s="1397"/>
      <c r="B19" s="1398" t="s">
        <v>1140</v>
      </c>
      <c r="C19" s="2165"/>
      <c r="D19" s="1399"/>
      <c r="E19" s="1400"/>
      <c r="F19" s="1400">
        <f t="shared" si="9"/>
        <v>0</v>
      </c>
      <c r="G19" s="2168"/>
      <c r="H19" s="1400"/>
      <c r="I19" s="1400"/>
      <c r="J19" s="1400">
        <f t="shared" si="7"/>
        <v>0</v>
      </c>
      <c r="K19" s="1400"/>
      <c r="L19" s="1400"/>
      <c r="M19" s="1400">
        <f>'[4]1c'!F18</f>
        <v>0</v>
      </c>
      <c r="N19" s="1400">
        <f t="shared" si="8"/>
        <v>0</v>
      </c>
      <c r="O19" s="1400"/>
      <c r="P19" s="1400">
        <f t="shared" si="2"/>
        <v>0</v>
      </c>
      <c r="Q19" s="1400"/>
      <c r="R19" s="1400"/>
      <c r="S19" s="1400"/>
      <c r="T19" s="1400">
        <f t="shared" si="3"/>
        <v>0</v>
      </c>
      <c r="U19" s="1400"/>
      <c r="V19" s="1400"/>
      <c r="W19" s="1400"/>
      <c r="X19" s="1400">
        <f t="shared" si="4"/>
        <v>0</v>
      </c>
      <c r="Y19" s="1400"/>
      <c r="Z19" s="1400">
        <f>'[4]1c'!J18</f>
        <v>0</v>
      </c>
      <c r="AA19" s="1400">
        <f>'[4]1c'!J18</f>
        <v>0</v>
      </c>
      <c r="AB19" s="1400">
        <f t="shared" si="5"/>
        <v>0</v>
      </c>
      <c r="AC19" s="1401"/>
      <c r="AD19" s="1401">
        <f t="shared" si="6"/>
        <v>0</v>
      </c>
      <c r="AE19" s="1190" t="s">
        <v>1185</v>
      </c>
    </row>
    <row r="20" spans="1:31" s="1190" customFormat="1" ht="24.75" customHeight="1">
      <c r="A20" s="1397"/>
      <c r="B20" s="1398" t="s">
        <v>1141</v>
      </c>
      <c r="C20" s="2165">
        <v>303</v>
      </c>
      <c r="D20" s="1399">
        <v>0.16</v>
      </c>
      <c r="E20" s="1399">
        <v>5</v>
      </c>
      <c r="F20" s="1400">
        <f t="shared" si="9"/>
        <v>242.40000000000003</v>
      </c>
      <c r="G20" s="2168">
        <v>303</v>
      </c>
      <c r="H20" s="1399">
        <v>0.16</v>
      </c>
      <c r="I20" s="1399">
        <v>4</v>
      </c>
      <c r="J20" s="1400">
        <f t="shared" si="7"/>
        <v>193.92000000000002</v>
      </c>
      <c r="K20" s="1400"/>
      <c r="L20" s="1400"/>
      <c r="M20" s="1400">
        <f>'[4]1c'!F19</f>
        <v>0</v>
      </c>
      <c r="N20" s="1400">
        <f t="shared" si="8"/>
        <v>436.32000000000005</v>
      </c>
      <c r="O20" s="1400"/>
      <c r="P20" s="1400">
        <f t="shared" si="2"/>
        <v>436.32000000000005</v>
      </c>
      <c r="Q20" s="1400">
        <v>342</v>
      </c>
      <c r="R20" s="1399">
        <v>0.16</v>
      </c>
      <c r="S20" s="1399">
        <v>5</v>
      </c>
      <c r="T20" s="1400">
        <f t="shared" si="3"/>
        <v>273.60000000000002</v>
      </c>
      <c r="U20" s="1400">
        <v>342</v>
      </c>
      <c r="V20" s="1399">
        <v>0.16</v>
      </c>
      <c r="W20" s="1399">
        <v>4</v>
      </c>
      <c r="X20" s="1400">
        <f t="shared" si="4"/>
        <v>218.88</v>
      </c>
      <c r="Y20" s="1400"/>
      <c r="Z20" s="1400">
        <f>'[4]1c'!J19</f>
        <v>0</v>
      </c>
      <c r="AA20" s="1400">
        <f>'[4]1c'!J19</f>
        <v>0</v>
      </c>
      <c r="AB20" s="1400">
        <f t="shared" si="5"/>
        <v>492.48</v>
      </c>
      <c r="AC20" s="1401"/>
      <c r="AD20" s="1401">
        <f t="shared" si="6"/>
        <v>492.48</v>
      </c>
    </row>
    <row r="21" spans="1:31" s="1190" customFormat="1" ht="24.75" customHeight="1">
      <c r="A21" s="1397"/>
      <c r="B21" s="1398" t="s">
        <v>1142</v>
      </c>
      <c r="C21" s="2165">
        <v>113</v>
      </c>
      <c r="D21" s="1399">
        <v>0.16</v>
      </c>
      <c r="E21" s="1399">
        <v>5</v>
      </c>
      <c r="F21" s="1400">
        <f t="shared" si="9"/>
        <v>90.4</v>
      </c>
      <c r="G21" s="2168">
        <v>113</v>
      </c>
      <c r="H21" s="1399">
        <v>0.16</v>
      </c>
      <c r="I21" s="1399">
        <v>4</v>
      </c>
      <c r="J21" s="1400">
        <f t="shared" si="7"/>
        <v>72.320000000000007</v>
      </c>
      <c r="K21" s="1400"/>
      <c r="L21" s="1400"/>
      <c r="M21" s="1400">
        <f>'[4]1c'!F20</f>
        <v>0</v>
      </c>
      <c r="N21" s="1400">
        <f t="shared" si="8"/>
        <v>162.72000000000003</v>
      </c>
      <c r="O21" s="1400"/>
      <c r="P21" s="1400">
        <f t="shared" si="2"/>
        <v>162.72000000000003</v>
      </c>
      <c r="Q21" s="1400">
        <v>128</v>
      </c>
      <c r="R21" s="1399">
        <v>0.16</v>
      </c>
      <c r="S21" s="1399">
        <v>5</v>
      </c>
      <c r="T21" s="1400">
        <f t="shared" si="3"/>
        <v>102.4</v>
      </c>
      <c r="U21" s="1400">
        <v>128</v>
      </c>
      <c r="V21" s="1399">
        <v>0.16</v>
      </c>
      <c r="W21" s="1399">
        <v>4</v>
      </c>
      <c r="X21" s="1400">
        <f t="shared" si="4"/>
        <v>81.92</v>
      </c>
      <c r="Y21" s="1400"/>
      <c r="Z21" s="1400">
        <f>'[4]1c'!J20</f>
        <v>0</v>
      </c>
      <c r="AA21" s="1400">
        <f>'[4]1c'!J20</f>
        <v>0</v>
      </c>
      <c r="AB21" s="1400">
        <f t="shared" si="5"/>
        <v>184.32</v>
      </c>
      <c r="AC21" s="1401"/>
      <c r="AD21" s="1401">
        <f t="shared" si="6"/>
        <v>184.32</v>
      </c>
    </row>
    <row r="22" spans="1:31" s="1190" customFormat="1" ht="24.75" customHeight="1">
      <c r="A22" s="1397"/>
      <c r="B22" s="1398" t="s">
        <v>1143</v>
      </c>
      <c r="C22" s="2165">
        <v>88</v>
      </c>
      <c r="D22" s="1399">
        <v>0.16</v>
      </c>
      <c r="E22" s="1399">
        <v>5</v>
      </c>
      <c r="F22" s="1400">
        <f t="shared" si="9"/>
        <v>70.400000000000006</v>
      </c>
      <c r="G22" s="2168">
        <v>88</v>
      </c>
      <c r="H22" s="1399">
        <v>0.16</v>
      </c>
      <c r="I22" s="1399">
        <v>4</v>
      </c>
      <c r="J22" s="1400">
        <f t="shared" si="7"/>
        <v>56.32</v>
      </c>
      <c r="K22" s="1400"/>
      <c r="L22" s="1400"/>
      <c r="M22" s="1400">
        <f>'[4]1c'!F21</f>
        <v>0</v>
      </c>
      <c r="N22" s="1400">
        <f t="shared" si="8"/>
        <v>126.72</v>
      </c>
      <c r="O22" s="1400"/>
      <c r="P22" s="1400">
        <f t="shared" si="2"/>
        <v>126.72</v>
      </c>
      <c r="Q22" s="1400">
        <v>89</v>
      </c>
      <c r="R22" s="1399">
        <v>0.16</v>
      </c>
      <c r="S22" s="1399">
        <v>5</v>
      </c>
      <c r="T22" s="1400">
        <f t="shared" si="3"/>
        <v>71.2</v>
      </c>
      <c r="U22" s="1400">
        <v>89</v>
      </c>
      <c r="V22" s="1399">
        <v>0.16</v>
      </c>
      <c r="W22" s="1399">
        <v>4</v>
      </c>
      <c r="X22" s="1400">
        <f t="shared" si="4"/>
        <v>56.96</v>
      </c>
      <c r="Y22" s="1400"/>
      <c r="Z22" s="1400">
        <f>'[4]1c'!J21</f>
        <v>0</v>
      </c>
      <c r="AA22" s="1400">
        <f>'[4]1c'!J21</f>
        <v>0</v>
      </c>
      <c r="AB22" s="1400">
        <f t="shared" si="5"/>
        <v>128.16</v>
      </c>
      <c r="AC22" s="1401"/>
      <c r="AD22" s="1401">
        <f t="shared" si="6"/>
        <v>128.16</v>
      </c>
    </row>
    <row r="23" spans="1:31" s="1190" customFormat="1" ht="24.75" customHeight="1">
      <c r="A23" s="1397"/>
      <c r="B23" s="1398" t="s">
        <v>1144</v>
      </c>
      <c r="C23" s="2165">
        <v>170</v>
      </c>
      <c r="D23" s="1399">
        <v>0.16</v>
      </c>
      <c r="E23" s="1399">
        <v>5</v>
      </c>
      <c r="F23" s="1400">
        <v>122.46</v>
      </c>
      <c r="G23" s="2168">
        <v>170</v>
      </c>
      <c r="H23" s="1399">
        <v>0.16</v>
      </c>
      <c r="I23" s="1399">
        <v>4</v>
      </c>
      <c r="J23" s="1400">
        <v>97.98</v>
      </c>
      <c r="K23" s="1400"/>
      <c r="L23" s="1400"/>
      <c r="M23" s="1400">
        <f>'[4]1c'!F22</f>
        <v>0</v>
      </c>
      <c r="N23" s="1400">
        <f>F23+J23+L23+M23</f>
        <v>220.44</v>
      </c>
      <c r="O23" s="1400"/>
      <c r="P23" s="1400">
        <f t="shared" si="2"/>
        <v>220.44</v>
      </c>
      <c r="Q23" s="1403">
        <v>184</v>
      </c>
      <c r="R23" s="1402">
        <v>0.16</v>
      </c>
      <c r="S23" s="1402">
        <v>5</v>
      </c>
      <c r="T23" s="1403">
        <f t="shared" si="3"/>
        <v>147.20000000000002</v>
      </c>
      <c r="U23" s="1403">
        <v>184</v>
      </c>
      <c r="V23" s="1402">
        <v>0.16</v>
      </c>
      <c r="W23" s="1402">
        <v>4</v>
      </c>
      <c r="X23" s="1403">
        <f t="shared" si="4"/>
        <v>117.76</v>
      </c>
      <c r="Y23" s="1403"/>
      <c r="Z23" s="1403">
        <f>'[4]1c'!J22</f>
        <v>0</v>
      </c>
      <c r="AA23" s="1403">
        <f>'[4]1c'!J22</f>
        <v>0</v>
      </c>
      <c r="AB23" s="1403">
        <f t="shared" si="5"/>
        <v>264.96000000000004</v>
      </c>
      <c r="AC23" s="1401"/>
      <c r="AD23" s="1401">
        <f t="shared" si="6"/>
        <v>264.96000000000004</v>
      </c>
    </row>
    <row r="24" spans="1:31" s="1190" customFormat="1" ht="24.75" customHeight="1">
      <c r="A24" s="1397"/>
      <c r="B24" s="1398" t="s">
        <v>1145</v>
      </c>
      <c r="C24" s="2165">
        <v>30</v>
      </c>
      <c r="D24" s="1399">
        <v>0.16</v>
      </c>
      <c r="E24" s="1399">
        <v>5</v>
      </c>
      <c r="F24" s="1400">
        <f t="shared" si="9"/>
        <v>24</v>
      </c>
      <c r="G24" s="2168">
        <v>30</v>
      </c>
      <c r="H24" s="1399">
        <v>0.16</v>
      </c>
      <c r="I24" s="1399">
        <v>4</v>
      </c>
      <c r="J24" s="1400">
        <f t="shared" si="7"/>
        <v>19.2</v>
      </c>
      <c r="K24" s="1400"/>
      <c r="L24" s="1400"/>
      <c r="M24" s="1400">
        <f>'[4]1c'!F23</f>
        <v>0</v>
      </c>
      <c r="N24" s="1400">
        <f t="shared" si="8"/>
        <v>43.2</v>
      </c>
      <c r="O24" s="1400"/>
      <c r="P24" s="1400">
        <f t="shared" si="2"/>
        <v>43.2</v>
      </c>
      <c r="Q24" s="1400">
        <v>46</v>
      </c>
      <c r="R24" s="1399">
        <v>0.16</v>
      </c>
      <c r="S24" s="1399">
        <v>5</v>
      </c>
      <c r="T24" s="1400">
        <f t="shared" si="3"/>
        <v>36.800000000000004</v>
      </c>
      <c r="U24" s="1400">
        <v>46</v>
      </c>
      <c r="V24" s="1399">
        <v>0.16</v>
      </c>
      <c r="W24" s="1399">
        <v>4</v>
      </c>
      <c r="X24" s="1400">
        <f t="shared" si="4"/>
        <v>29.44</v>
      </c>
      <c r="Y24" s="1400"/>
      <c r="Z24" s="1400">
        <f>'[4]1c'!J23</f>
        <v>0</v>
      </c>
      <c r="AA24" s="1400">
        <f>'[4]1c'!J23</f>
        <v>0</v>
      </c>
      <c r="AB24" s="1400">
        <f t="shared" si="5"/>
        <v>66.240000000000009</v>
      </c>
      <c r="AC24" s="1401"/>
      <c r="AD24" s="1401">
        <f t="shared" si="6"/>
        <v>66.240000000000009</v>
      </c>
    </row>
    <row r="25" spans="1:31" s="1190" customFormat="1" ht="24.75" customHeight="1">
      <c r="A25" s="1404"/>
      <c r="B25" s="1405" t="s">
        <v>1146</v>
      </c>
      <c r="C25" s="2167">
        <v>110</v>
      </c>
      <c r="D25" s="1406">
        <v>0.16</v>
      </c>
      <c r="E25" s="1406">
        <v>5</v>
      </c>
      <c r="F25" s="1407">
        <f t="shared" si="9"/>
        <v>88</v>
      </c>
      <c r="G25" s="2169">
        <v>110</v>
      </c>
      <c r="H25" s="1406">
        <v>0.16</v>
      </c>
      <c r="I25" s="1406">
        <v>4</v>
      </c>
      <c r="J25" s="1407">
        <f t="shared" si="7"/>
        <v>70.400000000000006</v>
      </c>
      <c r="K25" s="1407"/>
      <c r="L25" s="1407"/>
      <c r="M25" s="1407">
        <f>'[4]1c'!F24</f>
        <v>0</v>
      </c>
      <c r="N25" s="1407">
        <f t="shared" si="8"/>
        <v>158.4</v>
      </c>
      <c r="O25" s="1407"/>
      <c r="P25" s="1407">
        <f t="shared" si="2"/>
        <v>158.4</v>
      </c>
      <c r="Q25" s="1407">
        <v>110</v>
      </c>
      <c r="R25" s="1406">
        <v>0.16</v>
      </c>
      <c r="S25" s="1406">
        <v>5</v>
      </c>
      <c r="T25" s="1407">
        <f t="shared" si="3"/>
        <v>88</v>
      </c>
      <c r="U25" s="1407">
        <v>110</v>
      </c>
      <c r="V25" s="1406">
        <v>0.16</v>
      </c>
      <c r="W25" s="1406">
        <v>4</v>
      </c>
      <c r="X25" s="1407">
        <f t="shared" si="4"/>
        <v>70.400000000000006</v>
      </c>
      <c r="Y25" s="1407"/>
      <c r="Z25" s="1407">
        <f>'[4]1c'!J24</f>
        <v>0</v>
      </c>
      <c r="AA25" s="1407">
        <f>'[4]1c'!J24</f>
        <v>0</v>
      </c>
      <c r="AB25" s="1407">
        <f t="shared" si="5"/>
        <v>158.4</v>
      </c>
      <c r="AC25" s="1408"/>
      <c r="AD25" s="1408">
        <f t="shared" si="6"/>
        <v>158.4</v>
      </c>
    </row>
    <row r="27" spans="1:31">
      <c r="L27" s="6128"/>
      <c r="M27" s="6128"/>
      <c r="N27" s="6128"/>
      <c r="O27" s="6128"/>
      <c r="P27" s="6128"/>
      <c r="Z27" s="6128"/>
      <c r="AA27" s="6128"/>
      <c r="AB27" s="6128"/>
      <c r="AC27" s="6128"/>
      <c r="AD27" s="6128"/>
    </row>
    <row r="28" spans="1:31">
      <c r="L28" s="6121"/>
      <c r="M28" s="6121"/>
      <c r="N28" s="6121"/>
      <c r="O28" s="6121"/>
      <c r="P28" s="6121"/>
      <c r="Z28" s="6121"/>
      <c r="AA28" s="6121"/>
      <c r="AB28" s="6121"/>
      <c r="AC28" s="6121"/>
      <c r="AD28" s="6121"/>
    </row>
    <row r="29" spans="1:31">
      <c r="L29" s="6121"/>
      <c r="M29" s="6121"/>
      <c r="N29" s="6121"/>
      <c r="O29" s="6121"/>
      <c r="P29" s="6121"/>
      <c r="Z29" s="6121"/>
      <c r="AA29" s="6121"/>
      <c r="AB29" s="6121"/>
      <c r="AC29" s="6121"/>
      <c r="AD29" s="6121"/>
    </row>
    <row r="30" spans="1:31">
      <c r="L30" s="6127"/>
      <c r="M30" s="6127"/>
      <c r="N30" s="6127"/>
      <c r="O30" s="6127"/>
      <c r="P30" s="6127"/>
      <c r="Z30" s="6127"/>
      <c r="AA30" s="6127"/>
      <c r="AB30" s="6127"/>
      <c r="AC30" s="6127"/>
      <c r="AD30" s="6127"/>
    </row>
  </sheetData>
  <mergeCells count="34">
    <mergeCell ref="C5:P5"/>
    <mergeCell ref="Q5:AD5"/>
    <mergeCell ref="O1:P1"/>
    <mergeCell ref="AA1:AB1"/>
    <mergeCell ref="AC1:AD1"/>
    <mergeCell ref="A2:AD2"/>
    <mergeCell ref="Z4:AB4"/>
    <mergeCell ref="AA6:AA8"/>
    <mergeCell ref="AB6:AB8"/>
    <mergeCell ref="C6:J6"/>
    <mergeCell ref="K6:L7"/>
    <mergeCell ref="M6:M8"/>
    <mergeCell ref="N6:N8"/>
    <mergeCell ref="U7:X7"/>
    <mergeCell ref="O6:O8"/>
    <mergeCell ref="P6:P8"/>
    <mergeCell ref="Q6:X6"/>
    <mergeCell ref="Y6:Z7"/>
    <mergeCell ref="L30:P30"/>
    <mergeCell ref="Z30:AD30"/>
    <mergeCell ref="B5:B8"/>
    <mergeCell ref="A5:A8"/>
    <mergeCell ref="A3:AB3"/>
    <mergeCell ref="L27:P27"/>
    <mergeCell ref="Z27:AD27"/>
    <mergeCell ref="L28:P28"/>
    <mergeCell ref="Z28:AD28"/>
    <mergeCell ref="L29:P29"/>
    <mergeCell ref="Z29:AD29"/>
    <mergeCell ref="AC6:AC8"/>
    <mergeCell ref="AD6:AD8"/>
    <mergeCell ref="C7:F7"/>
    <mergeCell ref="G7:J7"/>
    <mergeCell ref="Q7:T7"/>
  </mergeCells>
  <hyperlinks>
    <hyperlink ref="A5:A8" location="'Danh mục file'!A1" display="TT"/>
  </hyperlinks>
  <printOptions horizontalCentered="1"/>
  <pageMargins left="0" right="0" top="0.39370078740157483" bottom="0.39370078740157483" header="0" footer="0"/>
  <pageSetup paperSize="9" scale="50" orientation="landscape" r:id="rId1"/>
  <headerFooter>
    <oddHeader>&amp;R&amp;A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workbookViewId="0">
      <selection activeCell="AG36" sqref="AG36"/>
    </sheetView>
  </sheetViews>
  <sheetFormatPr defaultColWidth="9.109375" defaultRowHeight="18"/>
  <cols>
    <col min="1" max="1" width="6.44140625" style="47" customWidth="1"/>
    <col min="2" max="2" width="26.88671875" style="47" customWidth="1"/>
    <col min="3" max="11" width="22.5546875" style="47" customWidth="1"/>
    <col min="12" max="12" width="12.33203125" style="47" bestFit="1" customWidth="1"/>
    <col min="13" max="14" width="9.109375" style="47"/>
    <col min="15" max="15" width="14.33203125" style="47" customWidth="1"/>
    <col min="16" max="16" width="13.109375" style="47" customWidth="1"/>
    <col min="17" max="17" width="9.109375" style="47"/>
    <col min="18" max="18" width="15.6640625" style="47" bestFit="1" customWidth="1"/>
    <col min="19" max="19" width="14" style="47" customWidth="1"/>
    <col min="20" max="16384" width="9.109375" style="47"/>
  </cols>
  <sheetData>
    <row r="1" spans="1:19">
      <c r="A1" s="6080" t="s">
        <v>3172</v>
      </c>
      <c r="B1" s="6080"/>
      <c r="C1" s="6080"/>
      <c r="D1" s="6080"/>
      <c r="E1" s="6080"/>
      <c r="F1" s="6080"/>
      <c r="G1" s="6080"/>
      <c r="H1" s="6080"/>
      <c r="I1" s="6080"/>
      <c r="J1" s="6080"/>
      <c r="K1" s="6080"/>
    </row>
    <row r="2" spans="1:19">
      <c r="A2" s="6258" t="str" cm="1">
        <f t="array" ref="A2">'Phụ lục số 8'!A2:O2</f>
        <v>(Kèm theo Báo cáo số     462/BC-UBND ngày 22 tháng 11 năm 2024 của Ủy ban nhân dân tỉnh Đồng Tháp)</v>
      </c>
      <c r="B2" s="6258"/>
      <c r="C2" s="6258"/>
      <c r="D2" s="6258"/>
      <c r="E2" s="6258"/>
      <c r="F2" s="6258"/>
      <c r="G2" s="6258"/>
      <c r="H2" s="6258"/>
      <c r="I2" s="6258"/>
      <c r="J2" s="6258"/>
      <c r="K2" s="6258"/>
    </row>
    <row r="4" spans="1:19" ht="19.5" customHeight="1" thickBot="1">
      <c r="E4" s="47" t="s">
        <v>117</v>
      </c>
      <c r="H4" s="6572" t="s">
        <v>638</v>
      </c>
      <c r="I4" s="6572"/>
      <c r="J4" s="6572"/>
      <c r="K4" s="6572"/>
    </row>
    <row r="5" spans="1:19" s="49" customFormat="1" thickTop="1">
      <c r="A5" s="6561" t="s">
        <v>136</v>
      </c>
      <c r="B5" s="6569" t="s">
        <v>3137</v>
      </c>
      <c r="C5" s="6085" t="s">
        <v>54</v>
      </c>
      <c r="D5" s="6503" t="s">
        <v>186</v>
      </c>
      <c r="E5" s="6503"/>
      <c r="F5" s="6503"/>
      <c r="G5" s="6503"/>
      <c r="H5" s="6503"/>
      <c r="I5" s="6503"/>
      <c r="J5" s="6503"/>
      <c r="K5" s="6573"/>
    </row>
    <row r="6" spans="1:19" s="49" customFormat="1" ht="327" customHeight="1">
      <c r="A6" s="6562"/>
      <c r="B6" s="6293"/>
      <c r="C6" s="6086"/>
      <c r="D6" s="4852" t="s">
        <v>805</v>
      </c>
      <c r="E6" s="5871" t="s">
        <v>1535</v>
      </c>
      <c r="F6" s="4853" t="s">
        <v>807</v>
      </c>
      <c r="G6" s="4853" t="s">
        <v>3254</v>
      </c>
      <c r="H6" s="2762" t="s">
        <v>3156</v>
      </c>
      <c r="I6" s="2762" t="s">
        <v>3155</v>
      </c>
      <c r="J6" s="5152" t="s">
        <v>3223</v>
      </c>
      <c r="K6" s="5170" t="s">
        <v>3234</v>
      </c>
      <c r="O6" s="4852" t="s">
        <v>3235</v>
      </c>
      <c r="R6" s="2883" t="s">
        <v>3242</v>
      </c>
    </row>
    <row r="7" spans="1:19" s="1638" customFormat="1" ht="23.25" customHeight="1">
      <c r="A7" s="4854">
        <v>1</v>
      </c>
      <c r="B7" s="2738">
        <v>2</v>
      </c>
      <c r="C7" s="2738" t="s">
        <v>3255</v>
      </c>
      <c r="D7" s="2738">
        <v>4</v>
      </c>
      <c r="E7" s="2738">
        <v>5</v>
      </c>
      <c r="F7" s="2738">
        <v>6</v>
      </c>
      <c r="G7" s="2738">
        <v>7</v>
      </c>
      <c r="H7" s="2738">
        <v>8</v>
      </c>
      <c r="I7" s="2738">
        <v>9</v>
      </c>
      <c r="J7" s="2738">
        <v>10</v>
      </c>
      <c r="K7" s="2739">
        <v>11</v>
      </c>
    </row>
    <row r="8" spans="1:19" s="2770" customFormat="1" ht="33.9" customHeight="1">
      <c r="A8" s="4855">
        <v>1</v>
      </c>
      <c r="B8" s="388" t="s">
        <v>811</v>
      </c>
      <c r="C8" s="4856">
        <f>SUM(D8:K8)</f>
        <v>59762.99</v>
      </c>
      <c r="D8" s="4856">
        <f>+'Phụ lục số 8.1'!P14</f>
        <v>14893.36</v>
      </c>
      <c r="E8" s="4856">
        <f>+'Phụ lục số 8.1'!P15</f>
        <v>15250</v>
      </c>
      <c r="F8" s="4856">
        <f>+'Phụ lục số 8.1'!P17</f>
        <v>24715</v>
      </c>
      <c r="G8" s="4856">
        <f>+'Phụ lục số 8.1'!P18</f>
        <v>1229</v>
      </c>
      <c r="H8" s="4856">
        <f>+'Phụ lục số 8.1'!P20</f>
        <v>986.43</v>
      </c>
      <c r="I8" s="4856">
        <f>+'Phụ lục số 8.1'!P22</f>
        <v>0</v>
      </c>
      <c r="J8" s="4857"/>
      <c r="K8" s="5186">
        <f>+'Phụ lục số 8.1'!P16</f>
        <v>2689.2</v>
      </c>
      <c r="O8" s="5194">
        <v>14893.4</v>
      </c>
      <c r="P8" s="2750">
        <f>+O8-D8</f>
        <v>3.9999999999054126E-2</v>
      </c>
      <c r="R8" s="5194">
        <v>14250</v>
      </c>
      <c r="S8" s="2750">
        <f>+R8-E8</f>
        <v>-1000</v>
      </c>
    </row>
    <row r="9" spans="1:19" s="2770" customFormat="1" ht="33.9" customHeight="1">
      <c r="A9" s="593">
        <v>2</v>
      </c>
      <c r="B9" s="43" t="s">
        <v>252</v>
      </c>
      <c r="C9" s="2748">
        <f>SUM(D9:K9)</f>
        <v>47336.173999999999</v>
      </c>
      <c r="D9" s="2748">
        <f>+'Phụ lục số 8.1'!X14</f>
        <v>7094.85</v>
      </c>
      <c r="E9" s="2748">
        <f>+'Phụ lục số 8.1'!X15</f>
        <v>12250</v>
      </c>
      <c r="F9" s="2748">
        <f>+'Phụ lục số 8.1'!X17</f>
        <v>13685</v>
      </c>
      <c r="G9" s="2748">
        <f>+'Phụ lục số 8.1'!X18</f>
        <v>722</v>
      </c>
      <c r="H9" s="2748">
        <f>+'Phụ lục số 8.1'!X20</f>
        <v>542.16</v>
      </c>
      <c r="I9" s="2748">
        <f>+'Phụ lục số 8.1'!X22</f>
        <v>10860</v>
      </c>
      <c r="J9" s="297"/>
      <c r="K9" s="4273">
        <f>+'Phụ lục số 8.1'!X16</f>
        <v>2182.1640000000002</v>
      </c>
      <c r="O9" s="5194">
        <v>7095</v>
      </c>
      <c r="P9" s="2750">
        <f t="shared" ref="P9:P19" si="0">+O9-D9</f>
        <v>0.1499999999996362</v>
      </c>
      <c r="R9" s="5194">
        <v>11250</v>
      </c>
      <c r="S9" s="2750">
        <f t="shared" ref="S9:S19" si="1">+R9-E9</f>
        <v>-1000</v>
      </c>
    </row>
    <row r="10" spans="1:19" s="2770" customFormat="1" ht="33.9" customHeight="1">
      <c r="A10" s="593">
        <v>3</v>
      </c>
      <c r="B10" s="43" t="s">
        <v>812</v>
      </c>
      <c r="C10" s="2748">
        <f>SUM(D10:K10)</f>
        <v>72586.219000000012</v>
      </c>
      <c r="D10" s="2748">
        <f>+'Phụ lục số 8.1'!AF14</f>
        <v>21220.17</v>
      </c>
      <c r="E10" s="2748">
        <f>+'Phụ lục số 8.1'!AF15</f>
        <v>28000</v>
      </c>
      <c r="F10" s="2748">
        <f>+'Phụ lục số 8.1'!AF17</f>
        <v>19357.824000000001</v>
      </c>
      <c r="G10" s="2748">
        <f>+'Phụ lục số 8.1'!AF18</f>
        <v>964</v>
      </c>
      <c r="H10" s="2748">
        <f>+'Phụ lục số 8.1'!AF20</f>
        <v>617.46</v>
      </c>
      <c r="I10" s="2748">
        <f>+'Phụ lục số 8.1'!AF22</f>
        <v>0</v>
      </c>
      <c r="J10" s="297"/>
      <c r="K10" s="4273">
        <f>+'Phụ lục số 8.1'!AF16</f>
        <v>2426.7649999999999</v>
      </c>
      <c r="O10" s="5194">
        <v>21220</v>
      </c>
      <c r="P10" s="2750">
        <f t="shared" si="0"/>
        <v>-0.16999999999825377</v>
      </c>
      <c r="R10" s="5194">
        <v>27000</v>
      </c>
      <c r="S10" s="2750">
        <f t="shared" si="1"/>
        <v>-1000</v>
      </c>
    </row>
    <row r="11" spans="1:19" s="2770" customFormat="1" ht="33.9" customHeight="1">
      <c r="A11" s="593">
        <v>4</v>
      </c>
      <c r="B11" s="43" t="s">
        <v>813</v>
      </c>
      <c r="C11" s="2748">
        <f t="shared" ref="C11:C19" si="2">SUM(D11:K11)</f>
        <v>83885.45199999999</v>
      </c>
      <c r="D11" s="2748">
        <f>+'Phụ lục số 8.1'!AN14</f>
        <v>25274.37</v>
      </c>
      <c r="E11" s="2748">
        <f>+'Phụ lục số 8.1'!AN15</f>
        <v>41500</v>
      </c>
      <c r="F11" s="2748">
        <f>+'Phụ lục số 8.1'!AN17</f>
        <v>9833.76</v>
      </c>
      <c r="G11" s="2748">
        <f>+'Phụ lục số 8.1'!AN18</f>
        <v>964</v>
      </c>
      <c r="H11" s="2748">
        <f>+'Phụ lục số 8.1'!AN20</f>
        <v>707.82</v>
      </c>
      <c r="I11" s="2748">
        <f>+'Phụ lục số 8.1'!AN22</f>
        <v>1820</v>
      </c>
      <c r="J11" s="297">
        <f>+'Phụ lục số 8.1'!AN21</f>
        <v>235</v>
      </c>
      <c r="K11" s="4273">
        <f>+'Phụ lục số 8.1'!AN16</f>
        <v>3550.502</v>
      </c>
      <c r="O11" s="5194">
        <v>25274</v>
      </c>
      <c r="P11" s="2750">
        <f t="shared" si="0"/>
        <v>-0.36999999999898137</v>
      </c>
      <c r="R11" s="5194">
        <v>40500</v>
      </c>
      <c r="S11" s="2750">
        <f t="shared" si="1"/>
        <v>-1000</v>
      </c>
    </row>
    <row r="12" spans="1:19" s="2770" customFormat="1" ht="33.9" customHeight="1">
      <c r="A12" s="593">
        <v>5</v>
      </c>
      <c r="B12" s="43" t="s">
        <v>814</v>
      </c>
      <c r="C12" s="2748">
        <f t="shared" si="2"/>
        <v>96893.225999999995</v>
      </c>
      <c r="D12" s="2748">
        <f>+'Phụ lục số 8.1'!AV14</f>
        <v>18981.66</v>
      </c>
      <c r="E12" s="2748">
        <f>+'Phụ lục số 8.1'!AV15</f>
        <v>29647</v>
      </c>
      <c r="F12" s="2748">
        <f>+'Phụ lục số 8.1'!AV17</f>
        <v>20123.351999999999</v>
      </c>
      <c r="G12" s="2748">
        <f>+'Phụ lục số 8.1'!AV18</f>
        <v>1227</v>
      </c>
      <c r="H12" s="2748">
        <f>+'Phụ lục số 8.1'!AV20</f>
        <v>1144.56</v>
      </c>
      <c r="I12" s="2748">
        <f>+'Phụ lục số 8.1'!AV22</f>
        <v>21475</v>
      </c>
      <c r="J12" s="297">
        <f>+'Phụ lục số 8.1'!AV21</f>
        <v>142</v>
      </c>
      <c r="K12" s="4273">
        <f>+'Phụ lục số 8.1'!AV16</f>
        <v>4152.6540000000005</v>
      </c>
      <c r="O12" s="5194">
        <v>18982</v>
      </c>
      <c r="P12" s="2750">
        <f t="shared" si="0"/>
        <v>0.34000000000014552</v>
      </c>
      <c r="R12" s="5194">
        <v>28647</v>
      </c>
      <c r="S12" s="2750">
        <f t="shared" si="1"/>
        <v>-1000</v>
      </c>
    </row>
    <row r="13" spans="1:19" s="2770" customFormat="1" ht="33.9" customHeight="1">
      <c r="A13" s="593">
        <v>6</v>
      </c>
      <c r="B13" s="43" t="s">
        <v>815</v>
      </c>
      <c r="C13" s="2748">
        <f t="shared" si="2"/>
        <v>59205.929000000004</v>
      </c>
      <c r="D13" s="2748">
        <f>+'Phụ lục số 8.1'!BD14</f>
        <v>20149.2</v>
      </c>
      <c r="E13" s="2748">
        <f>+'Phụ lục số 8.1'!BD15</f>
        <v>5500</v>
      </c>
      <c r="F13" s="2748">
        <f>+'Phụ lục số 8.1'!BD17</f>
        <v>26873.200000000001</v>
      </c>
      <c r="G13" s="2748">
        <f>+'Phụ lục số 8.1'!BD18</f>
        <v>1094</v>
      </c>
      <c r="H13" s="2748">
        <f>+'Phụ lục số 8.1'!BD20</f>
        <v>993.96</v>
      </c>
      <c r="I13" s="2748">
        <f>+'Phụ lục số 8.1'!BD22</f>
        <v>0</v>
      </c>
      <c r="J13" s="297"/>
      <c r="K13" s="4273">
        <f>+'Phụ lục số 8.1'!BD16</f>
        <v>4595.5690000000004</v>
      </c>
      <c r="O13" s="5194">
        <v>20149</v>
      </c>
      <c r="P13" s="2750">
        <f t="shared" si="0"/>
        <v>-0.2000000000007276</v>
      </c>
      <c r="R13" s="5194">
        <v>4500</v>
      </c>
      <c r="S13" s="2750">
        <f t="shared" si="1"/>
        <v>-1000</v>
      </c>
    </row>
    <row r="14" spans="1:19" s="2770" customFormat="1" ht="33.9" customHeight="1">
      <c r="A14" s="593">
        <v>7</v>
      </c>
      <c r="B14" s="43" t="s">
        <v>816</v>
      </c>
      <c r="C14" s="2748">
        <f t="shared" si="2"/>
        <v>138312.62099999998</v>
      </c>
      <c r="D14" s="2748">
        <f>+'Phụ lục số 8.1'!BL14</f>
        <v>31386.989999999998</v>
      </c>
      <c r="E14" s="2748">
        <f>+'Phụ lục số 8.1'!BL15</f>
        <v>40000</v>
      </c>
      <c r="F14" s="2748">
        <f>+'Phụ lục số 8.1'!BL17</f>
        <v>44882.031999999999</v>
      </c>
      <c r="G14" s="2748">
        <f>+'Phụ lục số 8.1'!BL18</f>
        <v>1123</v>
      </c>
      <c r="H14" s="2748">
        <f>+'Phụ lục số 8.1'!BL20</f>
        <v>1490.94</v>
      </c>
      <c r="I14" s="2748">
        <f>+'Phụ lục số 8.1'!BL22</f>
        <v>14395</v>
      </c>
      <c r="J14" s="297"/>
      <c r="K14" s="4273">
        <f>+'Phụ lục số 8.1'!BL16</f>
        <v>5034.6589999999997</v>
      </c>
      <c r="O14" s="5194">
        <v>31387</v>
      </c>
      <c r="P14" s="2750">
        <f t="shared" si="0"/>
        <v>1.0000000002037268E-2</v>
      </c>
      <c r="R14" s="5194">
        <v>39000</v>
      </c>
      <c r="S14" s="2750">
        <f t="shared" si="1"/>
        <v>-1000</v>
      </c>
    </row>
    <row r="15" spans="1:19" s="2770" customFormat="1" ht="33.9" customHeight="1">
      <c r="A15" s="593">
        <v>8</v>
      </c>
      <c r="B15" s="43" t="s">
        <v>258</v>
      </c>
      <c r="C15" s="2748">
        <f t="shared" si="2"/>
        <v>115399.879</v>
      </c>
      <c r="D15" s="2748">
        <f>+'Phụ lục số 8.1'!BT14</f>
        <v>38241.72</v>
      </c>
      <c r="E15" s="2748">
        <f>+'Phụ lục số 8.1'!BT15</f>
        <v>50500</v>
      </c>
      <c r="F15" s="2748">
        <f>+'Phụ lục số 8.1'!BT17</f>
        <v>20966.599999999999</v>
      </c>
      <c r="G15" s="2748">
        <f>+'Phụ lục số 8.1'!BT18</f>
        <v>1123</v>
      </c>
      <c r="H15" s="2748">
        <f>+'Phụ lục số 8.1'!BT20</f>
        <v>956.31</v>
      </c>
      <c r="I15" s="2748">
        <f>+'Phụ lục số 8.1'!BT22</f>
        <v>0</v>
      </c>
      <c r="J15" s="297"/>
      <c r="K15" s="4273">
        <f>+'Phụ lục số 8.1'!BT16</f>
        <v>3612.2489999999998</v>
      </c>
      <c r="O15" s="5194">
        <v>38242</v>
      </c>
      <c r="P15" s="2750">
        <f t="shared" si="0"/>
        <v>0.27999999999883585</v>
      </c>
      <c r="R15" s="5194">
        <v>49500</v>
      </c>
      <c r="S15" s="2750">
        <f t="shared" si="1"/>
        <v>-1000</v>
      </c>
    </row>
    <row r="16" spans="1:19" s="2770" customFormat="1" ht="33.9" customHeight="1">
      <c r="A16" s="593">
        <v>9</v>
      </c>
      <c r="B16" s="43" t="s">
        <v>259</v>
      </c>
      <c r="C16" s="2748">
        <f t="shared" si="2"/>
        <v>78158.827000000005</v>
      </c>
      <c r="D16" s="2748">
        <f>+'Phụ lục số 8.1'!CB14</f>
        <v>10564.41</v>
      </c>
      <c r="E16" s="2748">
        <f>+'Phụ lục số 8.1'!CB15</f>
        <v>11500</v>
      </c>
      <c r="F16" s="2748">
        <f>+'Phụ lục số 8.1'!CB17</f>
        <v>43125</v>
      </c>
      <c r="G16" s="2748">
        <f>+'Phụ lục số 8.1'!CB18</f>
        <v>859</v>
      </c>
      <c r="H16" s="2748">
        <f>+'Phụ lục số 8.1'!CB20</f>
        <v>1249.98</v>
      </c>
      <c r="I16" s="2748">
        <f>+'Phụ lục số 8.1'!CB22</f>
        <v>6150</v>
      </c>
      <c r="J16" s="297">
        <f>+'Phụ lục số 8.1'!CB21</f>
        <v>475</v>
      </c>
      <c r="K16" s="4273">
        <f>+'Phụ lục số 8.1'!CB16</f>
        <v>4235.4369999999999</v>
      </c>
      <c r="O16" s="5194">
        <v>10564</v>
      </c>
      <c r="P16" s="2750">
        <f t="shared" si="0"/>
        <v>-0.40999999999985448</v>
      </c>
      <c r="R16" s="5194">
        <v>10500</v>
      </c>
      <c r="S16" s="2750">
        <f t="shared" si="1"/>
        <v>-1000</v>
      </c>
    </row>
    <row r="17" spans="1:19" s="2770" customFormat="1" ht="33.9" customHeight="1">
      <c r="A17" s="593">
        <v>10</v>
      </c>
      <c r="B17" s="43" t="s">
        <v>818</v>
      </c>
      <c r="C17" s="2748">
        <f t="shared" si="2"/>
        <v>52163.383000000002</v>
      </c>
      <c r="D17" s="2748">
        <f>+'Phụ lục số 8.1'!CJ14</f>
        <v>9228.09</v>
      </c>
      <c r="E17" s="2748">
        <f>+'Phụ lục số 8.1'!CJ15</f>
        <v>11500</v>
      </c>
      <c r="F17" s="2748">
        <f>+'Phụ lục số 8.1'!CJ17</f>
        <v>26154</v>
      </c>
      <c r="G17" s="2748">
        <f>+'Phụ lục số 8.1'!CJ18</f>
        <v>857</v>
      </c>
      <c r="H17" s="2748">
        <f>+'Phụ lục số 8.1'!CJ20</f>
        <v>1061.73</v>
      </c>
      <c r="I17" s="2748">
        <f>+'Phụ lục số 8.1'!CJ22</f>
        <v>0</v>
      </c>
      <c r="J17" s="297"/>
      <c r="K17" s="4273">
        <f>+'Phụ lục số 8.1'!CJ16</f>
        <v>3362.5630000000001</v>
      </c>
      <c r="O17" s="5194">
        <v>9228</v>
      </c>
      <c r="P17" s="2750">
        <f t="shared" si="0"/>
        <v>-9.0000000000145519E-2</v>
      </c>
      <c r="R17" s="5194">
        <v>10500</v>
      </c>
      <c r="S17" s="2750">
        <f t="shared" si="1"/>
        <v>-1000</v>
      </c>
    </row>
    <row r="18" spans="1:19" s="2770" customFormat="1" ht="33.9" customHeight="1">
      <c r="A18" s="593">
        <v>11</v>
      </c>
      <c r="B18" s="43" t="s">
        <v>819</v>
      </c>
      <c r="C18" s="2748">
        <f t="shared" si="2"/>
        <v>79778.735000000001</v>
      </c>
      <c r="D18" s="2748">
        <f>+'Phụ lục số 8.1'!CR14</f>
        <v>1448.55</v>
      </c>
      <c r="E18" s="2748">
        <f>+'Phụ lục số 8.1'!CR15</f>
        <v>3250</v>
      </c>
      <c r="F18" s="2748">
        <f>+'Phụ lục số 8.1'!CR17</f>
        <v>18010</v>
      </c>
      <c r="G18" s="2748">
        <f>+'Phụ lục số 8.1'!CR18</f>
        <v>605</v>
      </c>
      <c r="H18" s="2748">
        <f>+'Phụ lục số 8.1'!CR20</f>
        <v>594.87</v>
      </c>
      <c r="I18" s="2748">
        <f>+'Phụ lục số 8.1'!CR22</f>
        <v>52520</v>
      </c>
      <c r="J18" s="297"/>
      <c r="K18" s="4273">
        <f>+'Phụ lục số 8.1'!CR16</f>
        <v>3350.3150000000001</v>
      </c>
      <c r="O18" s="5194">
        <v>1449</v>
      </c>
      <c r="P18" s="2750">
        <f t="shared" si="0"/>
        <v>0.45000000000004547</v>
      </c>
      <c r="R18" s="5194">
        <v>2250</v>
      </c>
      <c r="S18" s="2750">
        <f t="shared" si="1"/>
        <v>-1000</v>
      </c>
    </row>
    <row r="19" spans="1:19" s="2770" customFormat="1" ht="33.9" customHeight="1">
      <c r="A19" s="2418">
        <v>12</v>
      </c>
      <c r="B19" s="2419" t="s">
        <v>262</v>
      </c>
      <c r="C19" s="2748">
        <f t="shared" si="2"/>
        <v>82476.471999999994</v>
      </c>
      <c r="D19" s="4858">
        <f>+'Phụ lục số 8.1'!CZ14</f>
        <v>12728.220000000001</v>
      </c>
      <c r="E19" s="4858">
        <f>+'Phụ lục số 8.1'!CZ15</f>
        <v>16750</v>
      </c>
      <c r="F19" s="4858">
        <f>+'Phụ lục số 8.1'!CZ17</f>
        <v>25747</v>
      </c>
      <c r="G19" s="4858">
        <f>+'Phụ lục số 8.1'!CZ18</f>
        <v>859</v>
      </c>
      <c r="H19" s="4858">
        <f>+'Phụ lục số 8.1'!CZ20</f>
        <v>948.78</v>
      </c>
      <c r="I19" s="4858">
        <f>+'Phụ lục số 8.1'!CZ22</f>
        <v>22450</v>
      </c>
      <c r="J19" s="4859"/>
      <c r="K19" s="5400">
        <f>+'Phụ lục số 8.1'!CZ16</f>
        <v>2993.4720000000002</v>
      </c>
      <c r="O19" s="5194">
        <v>12728.4</v>
      </c>
      <c r="P19" s="2750">
        <f t="shared" si="0"/>
        <v>0.17999999999847205</v>
      </c>
      <c r="R19" s="5194">
        <v>15750</v>
      </c>
      <c r="S19" s="2750">
        <f t="shared" si="1"/>
        <v>-1000</v>
      </c>
    </row>
    <row r="20" spans="1:19" s="2770" customFormat="1" ht="33.9" customHeight="1" thickBot="1">
      <c r="A20" s="6705" t="s">
        <v>1538</v>
      </c>
      <c r="B20" s="6706"/>
      <c r="C20" s="5397">
        <f>SUM(C8:C19)</f>
        <v>965959.90700000001</v>
      </c>
      <c r="D20" s="5397">
        <f t="shared" ref="D20:I20" si="3">SUM(D8:D19)</f>
        <v>211211.59</v>
      </c>
      <c r="E20" s="5397">
        <f t="shared" si="3"/>
        <v>265647</v>
      </c>
      <c r="F20" s="5398">
        <f>SUM(F8:F19)</f>
        <v>293472.76800000004</v>
      </c>
      <c r="G20" s="5398">
        <f>SUM(G8:G19)</f>
        <v>11626</v>
      </c>
      <c r="H20" s="5398">
        <f t="shared" si="3"/>
        <v>11295</v>
      </c>
      <c r="I20" s="5397">
        <f t="shared" si="3"/>
        <v>129670</v>
      </c>
      <c r="J20" s="5428">
        <f>SUM(J8:J19)</f>
        <v>852</v>
      </c>
      <c r="K20" s="5399">
        <f>SUM(K8:K19)</f>
        <v>42185.549000000006</v>
      </c>
      <c r="O20" s="5195">
        <f>SUM(O8:O19)</f>
        <v>211211.8</v>
      </c>
      <c r="P20" s="5195">
        <f>SUM(P8:P19)</f>
        <v>0.21000000000026375</v>
      </c>
      <c r="R20" s="5195">
        <f>SUM(R8:R19)</f>
        <v>253647</v>
      </c>
      <c r="S20" s="5195">
        <f>SUM(S8:S19)</f>
        <v>-12000</v>
      </c>
    </row>
    <row r="21" spans="1:19" ht="18.600000000000001" thickTop="1">
      <c r="O21" s="5197">
        <v>3950</v>
      </c>
      <c r="P21" s="5196">
        <f>+O21</f>
        <v>3950</v>
      </c>
      <c r="R21" s="679">
        <f>+R20-E20</f>
        <v>-12000</v>
      </c>
      <c r="S21" s="679">
        <f>+'Phụ lục số 6'!E33</f>
        <v>96890</v>
      </c>
    </row>
    <row r="22" spans="1:19">
      <c r="O22" s="5196">
        <f>+O21+O20</f>
        <v>215161.8</v>
      </c>
      <c r="P22" s="5196">
        <f>+P21+P20</f>
        <v>3950.21</v>
      </c>
      <c r="S22" s="5196">
        <f>+S21-S20</f>
        <v>108890</v>
      </c>
    </row>
    <row r="25" spans="1:19">
      <c r="F25" s="47">
        <v>93668</v>
      </c>
      <c r="J25" s="679">
        <f>+H20+K20</f>
        <v>53480.549000000006</v>
      </c>
      <c r="K25" s="679">
        <f>+K20+J20+H20</f>
        <v>54332.549000000006</v>
      </c>
    </row>
    <row r="26" spans="1:19">
      <c r="E26" s="679">
        <f>+F20-'Phụ lục số 3-CĐC'!K58</f>
        <v>39087.76800000004</v>
      </c>
      <c r="F26" s="679">
        <f>+F20-F25</f>
        <v>199804.76800000004</v>
      </c>
      <c r="G26" s="679"/>
      <c r="J26" s="47">
        <f>+K26</f>
        <v>67685.400000000373</v>
      </c>
      <c r="K26" s="47">
        <f>-+'Phụ lục số 4'!L24</f>
        <v>67685.400000000373</v>
      </c>
      <c r="L26" s="5196">
        <f>+K26+O21</f>
        <v>71635.400000000373</v>
      </c>
    </row>
    <row r="27" spans="1:19">
      <c r="E27" s="679">
        <f>+H28-E26</f>
        <v>28597.632000000332</v>
      </c>
      <c r="H27" s="679">
        <f>+H20+J20+K20</f>
        <v>54332.549000000006</v>
      </c>
      <c r="J27" s="679">
        <f>+J25-J26</f>
        <v>-14204.851000000366</v>
      </c>
      <c r="K27" s="679">
        <f>+K25-K26</f>
        <v>-13352.851000000366</v>
      </c>
      <c r="L27" s="679">
        <f>+L26-K25</f>
        <v>17302.851000000366</v>
      </c>
    </row>
    <row r="28" spans="1:19">
      <c r="F28" s="679"/>
      <c r="G28" s="679"/>
      <c r="H28" s="679">
        <f>+J26</f>
        <v>67685.400000000373</v>
      </c>
    </row>
    <row r="29" spans="1:19">
      <c r="F29" s="5430"/>
      <c r="G29" s="5430"/>
      <c r="H29" s="679">
        <f>+H28-H27</f>
        <v>13352.851000000366</v>
      </c>
      <c r="J29" s="5429">
        <f>-+'Phụ lục số 4'!L24</f>
        <v>67685.400000000373</v>
      </c>
    </row>
    <row r="30" spans="1:19">
      <c r="J30" s="5429">
        <f>+K20+H20</f>
        <v>53480.549000000006</v>
      </c>
    </row>
    <row r="31" spans="1:19">
      <c r="J31" s="5429">
        <f>+J29-J30</f>
        <v>14204.851000000366</v>
      </c>
    </row>
    <row r="32" spans="1:19">
      <c r="J32" s="5430">
        <f>+J31-J20</f>
        <v>13352.851000000366</v>
      </c>
    </row>
  </sheetData>
  <mergeCells count="8">
    <mergeCell ref="A1:K1"/>
    <mergeCell ref="A2:K2"/>
    <mergeCell ref="A20:B20"/>
    <mergeCell ref="A5:A6"/>
    <mergeCell ref="B5:B6"/>
    <mergeCell ref="C5:C6"/>
    <mergeCell ref="D5:K5"/>
    <mergeCell ref="H4:K4"/>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24"/>
  <sheetViews>
    <sheetView workbookViewId="0">
      <selection activeCell="E13" sqref="E13"/>
    </sheetView>
  </sheetViews>
  <sheetFormatPr defaultColWidth="10.33203125" defaultRowHeight="15.6"/>
  <cols>
    <col min="1" max="1" width="7.88671875" style="1192" customWidth="1"/>
    <col min="2" max="2" width="16.109375" style="1192" customWidth="1"/>
    <col min="3" max="3" width="11.44140625" style="1192" customWidth="1"/>
    <col min="4" max="4" width="10.88671875" style="1192" customWidth="1"/>
    <col min="5" max="6" width="11.33203125" style="1192" customWidth="1"/>
    <col min="7" max="7" width="12" style="1192" customWidth="1"/>
    <col min="8" max="8" width="11.5546875" style="1192" customWidth="1"/>
    <col min="9" max="9" width="10.109375" style="1192" customWidth="1"/>
    <col min="10" max="16384" width="10.33203125" style="1192"/>
  </cols>
  <sheetData>
    <row r="1" spans="1:10">
      <c r="A1" s="6708" t="s">
        <v>1539</v>
      </c>
      <c r="B1" s="6708"/>
      <c r="C1" s="6708"/>
      <c r="D1" s="6708"/>
      <c r="E1" s="6708"/>
      <c r="F1" s="6708"/>
      <c r="G1" s="6708"/>
      <c r="H1" s="6708"/>
      <c r="I1" s="6708"/>
    </row>
    <row r="2" spans="1:10">
      <c r="B2" s="6138"/>
      <c r="C2" s="6138"/>
      <c r="D2" s="6138"/>
      <c r="E2" s="6138"/>
      <c r="F2" s="6138"/>
      <c r="G2" s="6138"/>
      <c r="H2" s="6138"/>
      <c r="I2" s="6138"/>
    </row>
    <row r="3" spans="1:10">
      <c r="H3" s="2421" t="s">
        <v>246</v>
      </c>
      <c r="I3" s="2422"/>
    </row>
    <row r="4" spans="1:10" s="2423" customFormat="1">
      <c r="A4" s="6709" t="s">
        <v>247</v>
      </c>
      <c r="B4" s="6558" t="s">
        <v>1526</v>
      </c>
      <c r="C4" s="6132" t="s">
        <v>1527</v>
      </c>
      <c r="D4" s="6132"/>
      <c r="E4" s="6132"/>
      <c r="F4" s="6132"/>
      <c r="G4" s="6132"/>
      <c r="H4" s="6558" t="s">
        <v>1540</v>
      </c>
      <c r="I4" s="6558" t="s">
        <v>1541</v>
      </c>
    </row>
    <row r="5" spans="1:10" s="2423" customFormat="1">
      <c r="A5" s="6710"/>
      <c r="B5" s="6693"/>
      <c r="C5" s="6693" t="s">
        <v>1528</v>
      </c>
      <c r="D5" s="6693" t="s">
        <v>1529</v>
      </c>
      <c r="E5" s="6693" t="s">
        <v>1530</v>
      </c>
      <c r="F5" s="6694" t="s">
        <v>645</v>
      </c>
      <c r="G5" s="6696"/>
      <c r="H5" s="6693"/>
      <c r="I5" s="6693"/>
    </row>
    <row r="6" spans="1:10" s="2423" customFormat="1" ht="46.8">
      <c r="A6" s="6711"/>
      <c r="B6" s="6401"/>
      <c r="C6" s="6401"/>
      <c r="D6" s="6401"/>
      <c r="E6" s="6401"/>
      <c r="F6" s="1383" t="s">
        <v>205</v>
      </c>
      <c r="G6" s="1383" t="s">
        <v>1532</v>
      </c>
      <c r="H6" s="6401"/>
      <c r="I6" s="6401"/>
    </row>
    <row r="7" spans="1:10" s="2423" customFormat="1">
      <c r="A7" s="2237">
        <v>1</v>
      </c>
      <c r="B7" s="2237">
        <v>2</v>
      </c>
      <c r="C7" s="1383" t="s">
        <v>1360</v>
      </c>
      <c r="D7" s="1383">
        <v>4</v>
      </c>
      <c r="E7" s="2424" t="s">
        <v>1536</v>
      </c>
      <c r="F7" s="2424">
        <v>6</v>
      </c>
      <c r="G7" s="2424">
        <v>7</v>
      </c>
      <c r="H7" s="2237">
        <v>8</v>
      </c>
      <c r="I7" s="2237" t="s">
        <v>1131</v>
      </c>
    </row>
    <row r="8" spans="1:10">
      <c r="A8" s="2425">
        <v>1</v>
      </c>
      <c r="B8" s="2426" t="s">
        <v>1542</v>
      </c>
      <c r="C8" s="2427">
        <f>SUM(D8:E8)</f>
        <v>564217</v>
      </c>
      <c r="D8" s="2427">
        <f>'[1]Chi NSH'!N8</f>
        <v>131450</v>
      </c>
      <c r="E8" s="2427">
        <f>SUM(F8:G8)</f>
        <v>432767</v>
      </c>
      <c r="F8" s="2427">
        <f>'[1]Chi NSH'!N10</f>
        <v>413967</v>
      </c>
      <c r="G8" s="2427">
        <f>'[1]Chi NSH'!N11</f>
        <v>18800</v>
      </c>
      <c r="H8" s="2427">
        <f>'[1]Chi NSH'!P15</f>
        <v>564217</v>
      </c>
      <c r="I8" s="2427">
        <f>INT(C8-H8)</f>
        <v>0</v>
      </c>
      <c r="J8" s="2428"/>
    </row>
    <row r="9" spans="1:10">
      <c r="A9" s="2425">
        <v>2</v>
      </c>
      <c r="B9" s="2426" t="s">
        <v>252</v>
      </c>
      <c r="C9" s="2427">
        <f t="shared" ref="C9:C19" si="0">SUM(D9:E9)</f>
        <v>508165</v>
      </c>
      <c r="D9" s="2427">
        <f>'[1]Chi NSH'!V8</f>
        <v>269200</v>
      </c>
      <c r="E9" s="2427">
        <f>SUM(F9:G9)</f>
        <v>238965</v>
      </c>
      <c r="F9" s="2427">
        <f>'[1]Chi NSH'!V10</f>
        <v>225665</v>
      </c>
      <c r="G9" s="2427">
        <f>'[1]Chi NSH'!V11</f>
        <v>13300</v>
      </c>
      <c r="H9" s="2427">
        <f>'[1]Chi NSH'!X15</f>
        <v>508165</v>
      </c>
      <c r="I9" s="2427">
        <f>INT(C9-H9)</f>
        <v>0</v>
      </c>
      <c r="J9" s="2428"/>
    </row>
    <row r="10" spans="1:10">
      <c r="A10" s="2425">
        <v>3</v>
      </c>
      <c r="B10" s="2426" t="s">
        <v>1543</v>
      </c>
      <c r="C10" s="2427">
        <f t="shared" si="0"/>
        <v>486557</v>
      </c>
      <c r="D10" s="2427">
        <f>'[1]Chi NSH'!AD8</f>
        <v>61250</v>
      </c>
      <c r="E10" s="2427">
        <f t="shared" ref="E10:E19" si="1">SUM(F10:G10)</f>
        <v>425307</v>
      </c>
      <c r="F10" s="2427">
        <f>'[1]Chi NSH'!AD10</f>
        <v>391207</v>
      </c>
      <c r="G10" s="2427">
        <f>'[1]Chi NSH'!AD11</f>
        <v>34100</v>
      </c>
      <c r="H10" s="2427">
        <f>'[1]Chi NSH'!AF15</f>
        <v>486557</v>
      </c>
      <c r="I10" s="2427">
        <f t="shared" ref="I10:I19" si="2">INT(C10-H10)</f>
        <v>0</v>
      </c>
      <c r="J10" s="2428"/>
    </row>
    <row r="11" spans="1:10">
      <c r="A11" s="2425">
        <v>4</v>
      </c>
      <c r="B11" s="2426" t="s">
        <v>1544</v>
      </c>
      <c r="C11" s="2427">
        <f t="shared" si="0"/>
        <v>531772</v>
      </c>
      <c r="D11" s="2427">
        <f>'[1]Chi NSH'!AL8</f>
        <v>97100</v>
      </c>
      <c r="E11" s="2427">
        <f t="shared" si="1"/>
        <v>434672</v>
      </c>
      <c r="F11" s="2427">
        <f>'[1]Chi NSH'!AL10</f>
        <v>388772</v>
      </c>
      <c r="G11" s="2427">
        <f>'[1]Chi NSH'!AL11</f>
        <v>45900</v>
      </c>
      <c r="H11" s="2427">
        <f>'[1]Chi NSH'!AN15</f>
        <v>531772</v>
      </c>
      <c r="I11" s="2427">
        <f>INT(C11-H11)</f>
        <v>0</v>
      </c>
      <c r="J11" s="2428"/>
    </row>
    <row r="12" spans="1:10">
      <c r="A12" s="2425">
        <v>5</v>
      </c>
      <c r="B12" s="2426" t="s">
        <v>1545</v>
      </c>
      <c r="C12" s="2427">
        <f t="shared" si="0"/>
        <v>648709</v>
      </c>
      <c r="D12" s="2427">
        <f>'[1]Chi NSH'!AT8</f>
        <v>166650</v>
      </c>
      <c r="E12" s="2427">
        <f t="shared" si="1"/>
        <v>482059</v>
      </c>
      <c r="F12" s="2427">
        <f>'[1]Chi NSH'!AT10</f>
        <v>449761</v>
      </c>
      <c r="G12" s="2427">
        <f>'[1]Chi NSH'!AT11</f>
        <v>32298</v>
      </c>
      <c r="H12" s="2427">
        <f>'[1]Chi NSH'!AV15</f>
        <v>648709</v>
      </c>
      <c r="I12" s="2427">
        <f t="shared" si="2"/>
        <v>0</v>
      </c>
      <c r="J12" s="2428"/>
    </row>
    <row r="13" spans="1:10">
      <c r="A13" s="2425">
        <v>6</v>
      </c>
      <c r="B13" s="2426" t="s">
        <v>1546</v>
      </c>
      <c r="C13" s="2427">
        <f t="shared" si="0"/>
        <v>846554</v>
      </c>
      <c r="D13" s="2427">
        <f>'[1]Chi NSH'!BB8</f>
        <v>801200</v>
      </c>
      <c r="E13" s="2427">
        <f t="shared" si="1"/>
        <v>45354</v>
      </c>
      <c r="F13" s="2427">
        <f>'[1]Chi NSH'!BB10</f>
        <v>37354</v>
      </c>
      <c r="G13" s="2427">
        <f>'[1]Chi NSH'!BB11</f>
        <v>8000</v>
      </c>
      <c r="H13" s="2427">
        <f>'[1]Chi NSH'!BD15</f>
        <v>846554</v>
      </c>
      <c r="I13" s="2427">
        <f t="shared" si="2"/>
        <v>0</v>
      </c>
      <c r="J13" s="2428"/>
    </row>
    <row r="14" spans="1:10">
      <c r="A14" s="2425">
        <v>7</v>
      </c>
      <c r="B14" s="2426" t="s">
        <v>816</v>
      </c>
      <c r="C14" s="2427">
        <f t="shared" si="0"/>
        <v>799582</v>
      </c>
      <c r="D14" s="2427">
        <f>'[1]Chi NSH'!BJ8</f>
        <v>185760</v>
      </c>
      <c r="E14" s="2427">
        <f t="shared" si="1"/>
        <v>613822</v>
      </c>
      <c r="F14" s="2427">
        <f>'[1]Chi NSH'!BJ10</f>
        <v>566422</v>
      </c>
      <c r="G14" s="2427">
        <f>'[1]Chi NSH'!BJ11</f>
        <v>47400</v>
      </c>
      <c r="H14" s="2427">
        <f>'[1]Chi NSH'!BL15</f>
        <v>799582</v>
      </c>
      <c r="I14" s="2427">
        <f t="shared" si="2"/>
        <v>0</v>
      </c>
      <c r="J14" s="2428"/>
    </row>
    <row r="15" spans="1:10">
      <c r="A15" s="2425">
        <v>8</v>
      </c>
      <c r="B15" s="2426" t="s">
        <v>1547</v>
      </c>
      <c r="C15" s="2427">
        <f t="shared" si="0"/>
        <v>714760</v>
      </c>
      <c r="D15" s="2427">
        <f>'[1]Chi NSH'!BR8</f>
        <v>211460</v>
      </c>
      <c r="E15" s="2427">
        <f t="shared" si="1"/>
        <v>503300</v>
      </c>
      <c r="F15" s="2427">
        <f>'[1]Chi NSH'!BR10</f>
        <v>441700</v>
      </c>
      <c r="G15" s="2427">
        <f>'[1]Chi NSH'!BR11</f>
        <v>61600</v>
      </c>
      <c r="H15" s="2427">
        <f>'[1]Chi NSH'!BT15</f>
        <v>714760</v>
      </c>
      <c r="I15" s="2427">
        <f t="shared" si="2"/>
        <v>0</v>
      </c>
      <c r="J15" s="2428"/>
    </row>
    <row r="16" spans="1:10">
      <c r="A16" s="2425">
        <v>9</v>
      </c>
      <c r="B16" s="2426" t="s">
        <v>1548</v>
      </c>
      <c r="C16" s="2427">
        <f t="shared" si="0"/>
        <v>672489</v>
      </c>
      <c r="D16" s="2427">
        <f>'[1]Chi NSH'!BZ8</f>
        <v>185900</v>
      </c>
      <c r="E16" s="2427">
        <f t="shared" si="1"/>
        <v>486589</v>
      </c>
      <c r="F16" s="2427">
        <f>'[1]Chi NSH'!BZ10</f>
        <v>470689</v>
      </c>
      <c r="G16" s="2427">
        <f>'[1]Chi NSH'!BZ11</f>
        <v>15900</v>
      </c>
      <c r="H16" s="2427">
        <f>'[1]Chi NSH'!CB15</f>
        <v>672489</v>
      </c>
      <c r="I16" s="2427">
        <f t="shared" si="2"/>
        <v>0</v>
      </c>
      <c r="J16" s="2428"/>
    </row>
    <row r="17" spans="1:12">
      <c r="A17" s="2425">
        <v>10</v>
      </c>
      <c r="B17" s="2426" t="s">
        <v>1549</v>
      </c>
      <c r="C17" s="2427">
        <f t="shared" si="0"/>
        <v>600774</v>
      </c>
      <c r="D17" s="2427">
        <f>'[1]Chi NSH'!CH8</f>
        <v>141600</v>
      </c>
      <c r="E17" s="2427">
        <f t="shared" si="1"/>
        <v>459174</v>
      </c>
      <c r="F17" s="2427">
        <f>'[1]Chi NSH'!CH10</f>
        <v>440874</v>
      </c>
      <c r="G17" s="2427">
        <f>'[1]Chi NSH'!CH11</f>
        <v>18300</v>
      </c>
      <c r="H17" s="2427">
        <f>'[1]Chi NSH'!CJ15</f>
        <v>600774</v>
      </c>
      <c r="I17" s="2427">
        <f t="shared" si="2"/>
        <v>0</v>
      </c>
      <c r="J17" s="2428"/>
    </row>
    <row r="18" spans="1:12">
      <c r="A18" s="2425">
        <v>11</v>
      </c>
      <c r="B18" s="2426" t="s">
        <v>1550</v>
      </c>
      <c r="C18" s="2427">
        <f t="shared" si="0"/>
        <v>700384</v>
      </c>
      <c r="D18" s="2427">
        <f>'[1]Chi NSH'!CP8</f>
        <v>471300</v>
      </c>
      <c r="E18" s="2427">
        <f t="shared" si="1"/>
        <v>229084</v>
      </c>
      <c r="F18" s="2427">
        <f>'[1]Chi NSH'!CP10</f>
        <v>224584</v>
      </c>
      <c r="G18" s="2427">
        <f>'[1]Chi NSH'!CP11</f>
        <v>4500</v>
      </c>
      <c r="H18" s="2427">
        <f>'[1]Chi NSH'!CR15</f>
        <v>700384</v>
      </c>
      <c r="I18" s="2427">
        <f t="shared" si="2"/>
        <v>0</v>
      </c>
      <c r="J18" s="2428"/>
    </row>
    <row r="19" spans="1:12">
      <c r="A19" s="2425">
        <v>12</v>
      </c>
      <c r="B19" s="2426" t="s">
        <v>1551</v>
      </c>
      <c r="C19" s="2427">
        <f t="shared" si="0"/>
        <v>572108</v>
      </c>
      <c r="D19" s="2427">
        <f>'[1]Chi NSH'!CX8</f>
        <v>174480</v>
      </c>
      <c r="E19" s="2427">
        <f t="shared" si="1"/>
        <v>397628</v>
      </c>
      <c r="F19" s="2427">
        <f>'[1]Chi NSH'!CX10</f>
        <v>379928</v>
      </c>
      <c r="G19" s="2427">
        <f>'[1]Chi NSH'!CX11</f>
        <v>17700</v>
      </c>
      <c r="H19" s="2427">
        <f>'[1]Chi NSH'!CZ15</f>
        <v>572108</v>
      </c>
      <c r="I19" s="2427">
        <f t="shared" si="2"/>
        <v>0</v>
      </c>
      <c r="J19" s="2428"/>
    </row>
    <row r="20" spans="1:12" s="2423" customFormat="1">
      <c r="A20" s="6707" t="s">
        <v>1538</v>
      </c>
      <c r="B20" s="6707"/>
      <c r="C20" s="2429">
        <f>SUM(C8:C19)</f>
        <v>7646071</v>
      </c>
      <c r="D20" s="2429">
        <f t="shared" ref="D20:I20" si="3">SUM(D8:D19)</f>
        <v>2897350</v>
      </c>
      <c r="E20" s="2429">
        <f t="shared" si="3"/>
        <v>4748721</v>
      </c>
      <c r="F20" s="2429">
        <f>SUM(F8:F19)</f>
        <v>4430923</v>
      </c>
      <c r="G20" s="2429">
        <f t="shared" si="3"/>
        <v>317798</v>
      </c>
      <c r="H20" s="2429">
        <f>SUM(H8:H19)</f>
        <v>7646071</v>
      </c>
      <c r="I20" s="2429">
        <f t="shared" si="3"/>
        <v>0</v>
      </c>
      <c r="J20" s="2430"/>
    </row>
    <row r="22" spans="1:12">
      <c r="L22" s="1192" t="s">
        <v>117</v>
      </c>
    </row>
    <row r="23" spans="1:12">
      <c r="F23" s="2431"/>
    </row>
    <row r="24" spans="1:12">
      <c r="F24" s="2431"/>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Danh mục file'!A1" display="STT"/>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V34"/>
  <sheetViews>
    <sheetView workbookViewId="0">
      <selection activeCell="A6" sqref="A6:A8"/>
    </sheetView>
  </sheetViews>
  <sheetFormatPr defaultColWidth="9.109375" defaultRowHeight="15.6"/>
  <cols>
    <col min="1" max="1" width="5.109375" style="1" customWidth="1"/>
    <col min="2" max="2" width="62.6640625" style="1" customWidth="1"/>
    <col min="3" max="3" width="11.33203125" style="1" bestFit="1" customWidth="1"/>
    <col min="4" max="4" width="10.109375" style="1" bestFit="1" customWidth="1"/>
    <col min="5" max="6" width="9.33203125" style="1" hidden="1" customWidth="1"/>
    <col min="7" max="9" width="10.109375" style="1" hidden="1" customWidth="1"/>
    <col min="10" max="10" width="10.109375" style="1" bestFit="1" customWidth="1"/>
    <col min="11" max="13" width="9.33203125" style="1" bestFit="1" customWidth="1"/>
    <col min="14" max="17" width="10.109375" style="1" bestFit="1" customWidth="1"/>
    <col min="18" max="18" width="9.33203125" style="1" bestFit="1" customWidth="1"/>
    <col min="19" max="22" width="10.109375" style="1" bestFit="1" customWidth="1"/>
    <col min="23" max="16384" width="9.109375" style="1"/>
  </cols>
  <sheetData>
    <row r="1" spans="1:22">
      <c r="A1" s="6056" t="str">
        <f>+'Phụ lục số I'!A1:V1</f>
        <v>ƯỚC THỰC HIỆN THU NGÂN SÁCH NHÀ NƯỚC TRÊN ĐỊA BÀN NĂM 2024</v>
      </c>
      <c r="B1" s="6056"/>
      <c r="C1" s="6056"/>
      <c r="D1" s="6056"/>
      <c r="E1" s="6056"/>
      <c r="F1" s="6056"/>
      <c r="G1" s="6056"/>
      <c r="H1" s="6056"/>
      <c r="I1" s="6056"/>
      <c r="J1" s="6056"/>
      <c r="K1" s="6056"/>
      <c r="L1" s="6056"/>
      <c r="M1" s="6056"/>
      <c r="N1" s="6056"/>
      <c r="O1" s="6056"/>
      <c r="P1" s="6056"/>
      <c r="Q1" s="6056"/>
      <c r="R1" s="6056"/>
      <c r="S1" s="6056"/>
      <c r="T1" s="6056"/>
      <c r="U1" s="6056"/>
      <c r="V1" s="6056"/>
    </row>
    <row r="2" spans="1:22">
      <c r="A2" s="6056" t="str">
        <f>+'Phụ lục số I'!A2:V2</f>
        <v>DỰ TOÁN THU NGÂN SÁCH NHÀ NƯỚC TRÊN ĐỊA BÀN NĂM 2025</v>
      </c>
      <c r="B2" s="6056"/>
      <c r="C2" s="6056"/>
      <c r="D2" s="6056"/>
      <c r="E2" s="6056"/>
      <c r="F2" s="6056"/>
      <c r="G2" s="6056"/>
      <c r="H2" s="6056"/>
      <c r="I2" s="6056"/>
      <c r="J2" s="6056"/>
      <c r="K2" s="6056"/>
      <c r="L2" s="6056"/>
      <c r="M2" s="6056"/>
      <c r="N2" s="6056"/>
      <c r="O2" s="6056"/>
      <c r="P2" s="6056"/>
      <c r="Q2" s="6056"/>
      <c r="R2" s="6056"/>
      <c r="S2" s="6056"/>
      <c r="T2" s="6056"/>
      <c r="U2" s="6056"/>
      <c r="V2" s="6056"/>
    </row>
    <row r="3" spans="1:22">
      <c r="A3" s="6059" t="s">
        <v>1414</v>
      </c>
      <c r="B3" s="6059"/>
      <c r="C3" s="6059"/>
      <c r="D3" s="6059"/>
      <c r="E3" s="6059"/>
      <c r="F3" s="6059"/>
      <c r="G3" s="6059"/>
      <c r="H3" s="6059"/>
      <c r="I3" s="6059"/>
      <c r="J3" s="6059"/>
      <c r="K3" s="6059"/>
      <c r="L3" s="6059"/>
      <c r="M3" s="6059"/>
      <c r="N3" s="6059"/>
      <c r="O3" s="6059"/>
      <c r="P3" s="6059"/>
      <c r="Q3" s="6059"/>
      <c r="R3" s="6059"/>
      <c r="S3" s="6059"/>
      <c r="T3" s="6059"/>
      <c r="U3" s="6059"/>
      <c r="V3" s="6059"/>
    </row>
    <row r="4" spans="1:22">
      <c r="A4" s="760"/>
      <c r="B4" s="760"/>
      <c r="C4" s="760"/>
      <c r="D4" s="760"/>
      <c r="E4" s="760"/>
      <c r="F4" s="760"/>
      <c r="G4" s="760"/>
      <c r="H4" s="760"/>
      <c r="I4" s="760"/>
      <c r="J4" s="760"/>
      <c r="K4" s="760"/>
      <c r="L4" s="760"/>
      <c r="M4" s="760"/>
      <c r="N4" s="760"/>
      <c r="O4" s="760"/>
      <c r="P4" s="760"/>
      <c r="Q4" s="760"/>
      <c r="R4" s="760"/>
      <c r="S4" s="760"/>
      <c r="T4" s="760"/>
      <c r="U4" s="760"/>
      <c r="V4" s="760"/>
    </row>
    <row r="5" spans="1:22">
      <c r="T5" s="6058" t="str">
        <f>'Phụ lục số I'!T5:V5</f>
        <v>ĐVT: Triệu đồng</v>
      </c>
      <c r="U5" s="6712"/>
      <c r="V5" s="6712"/>
    </row>
    <row r="6" spans="1:22">
      <c r="A6" s="6713" t="s">
        <v>0</v>
      </c>
      <c r="B6" s="6370" t="s">
        <v>49</v>
      </c>
      <c r="C6" s="6062" t="s">
        <v>50</v>
      </c>
      <c r="D6" s="6062"/>
      <c r="E6" s="6062"/>
      <c r="F6" s="6062"/>
      <c r="G6" s="6062"/>
      <c r="H6" s="6062"/>
      <c r="I6" s="6062"/>
      <c r="J6" s="6065" t="s">
        <v>120</v>
      </c>
      <c r="K6" s="6065"/>
      <c r="L6" s="6065"/>
      <c r="M6" s="6065"/>
      <c r="N6" s="6065"/>
      <c r="O6" s="6065"/>
      <c r="P6" s="6065"/>
      <c r="Q6" s="6065" t="s">
        <v>121</v>
      </c>
      <c r="R6" s="6065"/>
      <c r="S6" s="6065"/>
      <c r="T6" s="6065"/>
      <c r="U6" s="6065"/>
      <c r="V6" s="6065"/>
    </row>
    <row r="7" spans="1:22">
      <c r="A7" s="6713"/>
      <c r="B7" s="6370"/>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row>
    <row r="8" spans="1:22" ht="46.8">
      <c r="A8" s="6713"/>
      <c r="B8" s="6370"/>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row>
    <row r="9" spans="1:22">
      <c r="A9" s="131">
        <v>1</v>
      </c>
      <c r="B9" s="132">
        <v>2</v>
      </c>
      <c r="C9" s="133"/>
      <c r="D9" s="133"/>
      <c r="E9" s="133"/>
      <c r="F9" s="133"/>
      <c r="G9" s="133"/>
      <c r="H9" s="133"/>
      <c r="I9" s="133"/>
      <c r="J9" s="10"/>
      <c r="K9" s="10"/>
      <c r="L9" s="10"/>
      <c r="M9" s="10"/>
      <c r="N9" s="10"/>
      <c r="O9" s="10"/>
      <c r="P9" s="10"/>
      <c r="Q9" s="10"/>
      <c r="R9" s="134"/>
      <c r="S9" s="10"/>
      <c r="T9" s="10"/>
      <c r="U9" s="10"/>
      <c r="V9" s="10"/>
    </row>
    <row r="10" spans="1:22" s="4" customFormat="1">
      <c r="A10" s="135" t="s">
        <v>1</v>
      </c>
      <c r="B10" s="136" t="s">
        <v>2</v>
      </c>
      <c r="C10" s="859">
        <f>'Phụ lục số I'!C10</f>
        <v>8914000</v>
      </c>
      <c r="D10" s="859">
        <f>'Phụ lục số I'!D10</f>
        <v>9674054.1620000005</v>
      </c>
      <c r="E10" s="859">
        <f>'Phụ lục số I'!E10</f>
        <v>0</v>
      </c>
      <c r="F10" s="859">
        <f>'Phụ lục số I'!F10</f>
        <v>781100</v>
      </c>
      <c r="G10" s="859">
        <f>'Phụ lục số I'!G10</f>
        <v>8892984.1620000005</v>
      </c>
      <c r="H10" s="859">
        <f>'Phụ lục số I'!H10</f>
        <v>4953904.1620000005</v>
      </c>
      <c r="I10" s="859">
        <f>'Phụ lục số I'!I10</f>
        <v>3939080</v>
      </c>
      <c r="J10" s="859">
        <f>'Phụ lục số I'!J10</f>
        <v>9114053.7314166669</v>
      </c>
      <c r="K10" s="1541">
        <f>'Phụ lục số I'!K10</f>
        <v>102.24426443141874</v>
      </c>
      <c r="L10" s="1541">
        <f>'Phụ lục số I'!L10</f>
        <v>94.211315946699642</v>
      </c>
      <c r="M10" s="859">
        <f>'Phụ lục số I'!M10</f>
        <v>792499.69906901778</v>
      </c>
      <c r="N10" s="859">
        <f>'Phụ lục số I'!N10</f>
        <v>8321554.0323476475</v>
      </c>
      <c r="O10" s="859">
        <f>'Phụ lục số I'!O10</f>
        <v>4903753.5607353877</v>
      </c>
      <c r="P10" s="859">
        <f>'Phụ lục số I'!P10</f>
        <v>3417800.4716122607</v>
      </c>
      <c r="Q10" s="859">
        <f>'Phụ lục số I'!Q10</f>
        <v>9655999.6999999993</v>
      </c>
      <c r="R10" s="1541">
        <f>'Phụ lục số I'!R10</f>
        <v>105.9462669911108</v>
      </c>
      <c r="S10" s="859">
        <f>'Phụ lục số I'!S10</f>
        <v>1073079.8702548956</v>
      </c>
      <c r="T10" s="859">
        <f>'Phụ lục số I'!T10</f>
        <v>8582919.8297451045</v>
      </c>
      <c r="U10" s="859">
        <f>'Phụ lục số I'!U10</f>
        <v>4856420.0640200041</v>
      </c>
      <c r="V10" s="859">
        <f>'Phụ lục số I'!V10</f>
        <v>3726499.7657251004</v>
      </c>
    </row>
    <row r="11" spans="1:22" s="4" customFormat="1">
      <c r="A11" s="139" t="s">
        <v>3</v>
      </c>
      <c r="B11" s="140" t="s">
        <v>4</v>
      </c>
      <c r="C11" s="161">
        <f>'Phụ lục số I'!C11</f>
        <v>8757000</v>
      </c>
      <c r="D11" s="161">
        <f>'Phụ lục số I'!D11</f>
        <v>9474054.1620000005</v>
      </c>
      <c r="E11" s="161">
        <f>'Phụ lục số I'!E11</f>
        <v>0</v>
      </c>
      <c r="F11" s="161">
        <f>'Phụ lục số I'!F11</f>
        <v>581100</v>
      </c>
      <c r="G11" s="161">
        <f>'Phụ lục số I'!G11</f>
        <v>8892984.1620000005</v>
      </c>
      <c r="H11" s="161">
        <f>'Phụ lục số I'!H11</f>
        <v>4953904.1620000005</v>
      </c>
      <c r="I11" s="161">
        <f>'Phụ lục số I'!I11</f>
        <v>3939080</v>
      </c>
      <c r="J11" s="161">
        <f>'Phụ lục số I'!J11</f>
        <v>8854054.1620000005</v>
      </c>
      <c r="K11" s="1542">
        <f>'Phụ lục số I'!K11</f>
        <v>101.10830377983329</v>
      </c>
      <c r="L11" s="1542">
        <f>'Phụ lục số I'!L11</f>
        <v>93.455811108967566</v>
      </c>
      <c r="M11" s="161">
        <f>'Phụ lục số I'!M11</f>
        <v>532500.12965235172</v>
      </c>
      <c r="N11" s="161">
        <f>'Phụ lục số I'!N11</f>
        <v>8321554.0323476475</v>
      </c>
      <c r="O11" s="161">
        <f>'Phụ lục số I'!O11</f>
        <v>4903753.5607353877</v>
      </c>
      <c r="P11" s="161">
        <f>'Phụ lục số I'!P11</f>
        <v>3417800.4716122607</v>
      </c>
      <c r="Q11" s="161">
        <f>'Phụ lục số I'!Q11</f>
        <v>9383000</v>
      </c>
      <c r="R11" s="1542">
        <f>'Phụ lục số I'!R11</f>
        <v>105.97405243205016</v>
      </c>
      <c r="S11" s="161">
        <f>'Phụ lục số I'!S11</f>
        <v>800080.17025489558</v>
      </c>
      <c r="T11" s="161">
        <f>'Phụ lục số I'!T11</f>
        <v>8582919.8297451045</v>
      </c>
      <c r="U11" s="161">
        <f>'Phụ lục số I'!U11</f>
        <v>4856420.0640200041</v>
      </c>
      <c r="V11" s="161">
        <f>'Phụ lục số I'!V11</f>
        <v>3726499.7657251004</v>
      </c>
    </row>
    <row r="12" spans="1:22" s="4" customFormat="1" ht="16.2">
      <c r="A12" s="143"/>
      <c r="B12" s="146" t="s">
        <v>1410</v>
      </c>
      <c r="C12" s="161">
        <f>'Phụ lục số I'!C12</f>
        <v>5100000</v>
      </c>
      <c r="D12" s="161">
        <f>'Phụ lục số I'!D12</f>
        <v>5309000</v>
      </c>
      <c r="E12" s="161">
        <f>'Phụ lục số I'!E12</f>
        <v>0</v>
      </c>
      <c r="F12" s="161">
        <f>'Phụ lục số I'!F12</f>
        <v>581100</v>
      </c>
      <c r="G12" s="161">
        <f>'Phụ lục số I'!G12</f>
        <v>4727930</v>
      </c>
      <c r="H12" s="161">
        <f>'Phụ lục số I'!H12</f>
        <v>1931850.0000000005</v>
      </c>
      <c r="I12" s="161">
        <f>'Phụ lục số I'!I12</f>
        <v>2796080</v>
      </c>
      <c r="J12" s="161">
        <f>'Phụ lục số I'!J12</f>
        <v>4689000</v>
      </c>
      <c r="K12" s="1542">
        <f>'Phụ lục số I'!K12</f>
        <v>91.941176470588232</v>
      </c>
      <c r="L12" s="1542">
        <f>'Phụ lục số I'!L12</f>
        <v>88.32171783763421</v>
      </c>
      <c r="M12" s="161">
        <f>'Phụ lục số I'!M12</f>
        <v>532500.12965235172</v>
      </c>
      <c r="N12" s="161">
        <f>'Phụ lục số I'!N12</f>
        <v>4156499.8703476475</v>
      </c>
      <c r="O12" s="161">
        <f>'Phụ lục số I'!O12</f>
        <v>1881699.3987353877</v>
      </c>
      <c r="P12" s="161">
        <f>'Phụ lục số I'!P12</f>
        <v>2274800.4716122607</v>
      </c>
      <c r="Q12" s="161">
        <f>'Phụ lục số I'!Q12</f>
        <v>5596000</v>
      </c>
      <c r="R12" s="1542">
        <f>'Phụ lục số I'!R12</f>
        <v>119.34314352740456</v>
      </c>
      <c r="S12" s="161">
        <f>'Phụ lục số I'!S12</f>
        <v>800080.17025489558</v>
      </c>
      <c r="T12" s="161">
        <f>'Phụ lục số I'!T12</f>
        <v>4795919.8297451045</v>
      </c>
      <c r="U12" s="161">
        <f>'Phụ lục số I'!U12</f>
        <v>2329420.0640200041</v>
      </c>
      <c r="V12" s="161">
        <f>'Phụ lục số I'!V12</f>
        <v>2466499.7657251004</v>
      </c>
    </row>
    <row r="13" spans="1:22" s="4" customFormat="1" ht="16.2">
      <c r="A13" s="143"/>
      <c r="B13" s="144" t="s">
        <v>234</v>
      </c>
      <c r="C13" s="161"/>
      <c r="D13" s="161"/>
      <c r="E13" s="161"/>
      <c r="F13" s="161"/>
      <c r="G13" s="161"/>
      <c r="H13" s="161"/>
      <c r="I13" s="161"/>
      <c r="J13" s="161"/>
      <c r="K13" s="1542"/>
      <c r="L13" s="1542"/>
      <c r="M13" s="161"/>
      <c r="N13" s="161"/>
      <c r="O13" s="161"/>
      <c r="P13" s="161"/>
      <c r="Q13" s="161"/>
      <c r="R13" s="1542"/>
      <c r="S13" s="161"/>
      <c r="T13" s="161"/>
      <c r="U13" s="161"/>
      <c r="V13" s="161"/>
    </row>
    <row r="14" spans="1:22">
      <c r="A14" s="1540">
        <v>1</v>
      </c>
      <c r="B14" s="151" t="s">
        <v>15</v>
      </c>
      <c r="C14" s="160">
        <f>'Phụ lục số I'!C30</f>
        <v>1652000</v>
      </c>
      <c r="D14" s="160">
        <f>'Phụ lục số I'!D30</f>
        <v>1701000</v>
      </c>
      <c r="E14" s="160">
        <f>'Phụ lục số I'!E30</f>
        <v>0</v>
      </c>
      <c r="F14" s="160">
        <f>'Phụ lục số I'!F30</f>
        <v>0</v>
      </c>
      <c r="G14" s="160">
        <f>'Phụ lục số I'!G30</f>
        <v>1701000</v>
      </c>
      <c r="H14" s="160">
        <f>'Phụ lục số I'!H30</f>
        <v>70920</v>
      </c>
      <c r="I14" s="160">
        <f>'Phụ lục số I'!I30</f>
        <v>1630080</v>
      </c>
      <c r="J14" s="160">
        <f>'Phụ lục số I'!J30</f>
        <v>1318000</v>
      </c>
      <c r="K14" s="1543">
        <f>'Phụ lục số I'!K30</f>
        <v>79.782082324455203</v>
      </c>
      <c r="L14" s="1543">
        <f>'Phụ lục số I'!L30</f>
        <v>77.4838330393886</v>
      </c>
      <c r="M14" s="160">
        <f>'Phụ lục số I'!M30</f>
        <v>0</v>
      </c>
      <c r="N14" s="160">
        <f>'Phụ lục số I'!N30</f>
        <v>1318000</v>
      </c>
      <c r="O14" s="160">
        <f>'Phụ lục số I'!O30</f>
        <v>68000</v>
      </c>
      <c r="P14" s="160">
        <f>'Phụ lục số I'!P30</f>
        <v>1250000</v>
      </c>
      <c r="Q14" s="160">
        <f>'Phụ lục số I'!Q30</f>
        <v>1470000</v>
      </c>
      <c r="R14" s="1543">
        <f>'Phụ lục số I'!R30</f>
        <v>111.53262518968134</v>
      </c>
      <c r="S14" s="160">
        <f>'Phụ lục số I'!S30</f>
        <v>0</v>
      </c>
      <c r="T14" s="160">
        <f>'Phụ lục số I'!T30</f>
        <v>1470000</v>
      </c>
      <c r="U14" s="160">
        <f>'Phụ lục số I'!U30</f>
        <v>73000</v>
      </c>
      <c r="V14" s="160">
        <f>'Phụ lục số I'!V30</f>
        <v>1397000</v>
      </c>
    </row>
    <row r="15" spans="1:22">
      <c r="A15" s="1540">
        <v>2</v>
      </c>
      <c r="B15" s="151" t="s">
        <v>21</v>
      </c>
      <c r="C15" s="160">
        <f>'Phụ lục số I'!C40</f>
        <v>1065000</v>
      </c>
      <c r="D15" s="160">
        <f>'Phụ lục số I'!D40</f>
        <v>1065000</v>
      </c>
      <c r="E15" s="160">
        <f>'Phụ lục số I'!E40</f>
        <v>0</v>
      </c>
      <c r="F15" s="160">
        <f>'Phụ lục số I'!F40</f>
        <v>426000</v>
      </c>
      <c r="G15" s="160">
        <f>'Phụ lục số I'!G40</f>
        <v>639000</v>
      </c>
      <c r="H15" s="160">
        <f>'Phụ lục số I'!H40</f>
        <v>639000</v>
      </c>
      <c r="I15" s="160">
        <f>'Phụ lục số I'!I40</f>
        <v>0</v>
      </c>
      <c r="J15" s="160">
        <f>'Phụ lục số I'!J40</f>
        <v>856000</v>
      </c>
      <c r="K15" s="1543">
        <f>'Phụ lục số I'!K40</f>
        <v>80.375586854460096</v>
      </c>
      <c r="L15" s="1543">
        <f>'Phụ lục số I'!L40</f>
        <v>80.375586854460096</v>
      </c>
      <c r="M15" s="160">
        <f>'Phụ lục số I'!M40</f>
        <v>342400</v>
      </c>
      <c r="N15" s="160">
        <f>'Phụ lục số I'!N40</f>
        <v>513600</v>
      </c>
      <c r="O15" s="160">
        <f>'Phụ lục số I'!O40</f>
        <v>513600</v>
      </c>
      <c r="P15" s="160">
        <f>'Phụ lục số I'!P40</f>
        <v>0</v>
      </c>
      <c r="Q15" s="160">
        <f>'Phụ lục số I'!Q40</f>
        <v>1500000</v>
      </c>
      <c r="R15" s="1543">
        <f>'Phụ lục số I'!R40</f>
        <v>175.23364485981307</v>
      </c>
      <c r="S15" s="160">
        <f>'Phụ lục số I'!S40</f>
        <v>600000</v>
      </c>
      <c r="T15" s="160">
        <f>'Phụ lục số I'!T40</f>
        <v>900000</v>
      </c>
      <c r="U15" s="160">
        <f>'Phụ lục số I'!U40</f>
        <v>900000</v>
      </c>
      <c r="V15" s="160">
        <f>'Phụ lục số I'!V40</f>
        <v>0</v>
      </c>
    </row>
    <row r="16" spans="1:22">
      <c r="A16" s="1540">
        <v>3</v>
      </c>
      <c r="B16" s="151" t="s">
        <v>23</v>
      </c>
      <c r="C16" s="160">
        <f>'Phụ lục số I'!C42</f>
        <v>1770000</v>
      </c>
      <c r="D16" s="160">
        <f>'Phụ lục số I'!D42</f>
        <v>1770000</v>
      </c>
      <c r="E16" s="160">
        <f>'Phụ lục số I'!E42</f>
        <v>0</v>
      </c>
      <c r="F16" s="160">
        <f>'Phụ lục số I'!F42</f>
        <v>0</v>
      </c>
      <c r="G16" s="160">
        <f>'Phụ lục số I'!G42</f>
        <v>1770000</v>
      </c>
      <c r="H16" s="160">
        <f>'Phụ lục số I'!H42</f>
        <v>627000</v>
      </c>
      <c r="I16" s="160">
        <f>'Phụ lục số I'!I42</f>
        <v>1143000</v>
      </c>
      <c r="J16" s="160">
        <f>'Phụ lục số I'!J42</f>
        <v>1770000</v>
      </c>
      <c r="K16" s="1543">
        <f>'Phụ lục số I'!K42</f>
        <v>100</v>
      </c>
      <c r="L16" s="1543">
        <f>'Phụ lục số I'!L42</f>
        <v>100</v>
      </c>
      <c r="M16" s="160">
        <f>'Phụ lục số I'!M42</f>
        <v>0</v>
      </c>
      <c r="N16" s="160">
        <f>'Phụ lục số I'!N42</f>
        <v>1770000</v>
      </c>
      <c r="O16" s="160">
        <f>'Phụ lục số I'!O42</f>
        <v>627000</v>
      </c>
      <c r="P16" s="160">
        <f>'Phụ lục số I'!P42</f>
        <v>1143000</v>
      </c>
      <c r="Q16" s="160">
        <f>'Phụ lục số I'!Q42</f>
        <v>1800000</v>
      </c>
      <c r="R16" s="1543">
        <f>'Phụ lục số I'!R42</f>
        <v>101.69491525423729</v>
      </c>
      <c r="S16" s="160">
        <f>'Phụ lục số I'!S42</f>
        <v>0</v>
      </c>
      <c r="T16" s="160">
        <f>'Phụ lục số I'!T42</f>
        <v>1800000</v>
      </c>
      <c r="U16" s="160">
        <f>'Phụ lục số I'!U42</f>
        <v>540000</v>
      </c>
      <c r="V16" s="160">
        <f>'Phụ lục số I'!V42</f>
        <v>1260000</v>
      </c>
    </row>
    <row r="17" spans="1:22">
      <c r="A17" s="1540">
        <v>4</v>
      </c>
      <c r="B17" s="151" t="s">
        <v>32</v>
      </c>
      <c r="C17" s="160">
        <f>'Phụ lục số I'!C50</f>
        <v>1850000</v>
      </c>
      <c r="D17" s="160">
        <f>'Phụ lục số I'!D50</f>
        <v>1950000</v>
      </c>
      <c r="E17" s="160">
        <f>'Phụ lục số I'!E50</f>
        <v>0</v>
      </c>
      <c r="F17" s="160">
        <f>'Phụ lục số I'!F50</f>
        <v>0</v>
      </c>
      <c r="G17" s="160">
        <f>'Phụ lục số I'!G50</f>
        <v>1950000</v>
      </c>
      <c r="H17" s="160">
        <f>'Phụ lục số I'!H50</f>
        <v>1950000</v>
      </c>
      <c r="I17" s="160">
        <f>'Phụ lục số I'!I50</f>
        <v>0</v>
      </c>
      <c r="J17" s="160">
        <f>'Phụ lục số I'!J50</f>
        <v>1950000</v>
      </c>
      <c r="K17" s="1543">
        <f>'Phụ lục số I'!K50</f>
        <v>105.40540540540539</v>
      </c>
      <c r="L17" s="1543">
        <f>'Phụ lục số I'!L50</f>
        <v>100</v>
      </c>
      <c r="M17" s="160">
        <f>'Phụ lục số I'!M50</f>
        <v>0</v>
      </c>
      <c r="N17" s="160">
        <f>'Phụ lục số I'!N50</f>
        <v>1950000</v>
      </c>
      <c r="O17" s="160">
        <f>'Phụ lục số I'!O50</f>
        <v>1950000</v>
      </c>
      <c r="P17" s="160">
        <f>'Phụ lục số I'!P50</f>
        <v>0</v>
      </c>
      <c r="Q17" s="160">
        <f>'Phụ lục số I'!Q50</f>
        <v>1950000</v>
      </c>
      <c r="R17" s="1543">
        <f>'Phụ lục số I'!R50</f>
        <v>100</v>
      </c>
      <c r="S17" s="160">
        <f>'Phụ lục số I'!S50</f>
        <v>0</v>
      </c>
      <c r="T17" s="160">
        <f>'Phụ lục số I'!T50</f>
        <v>1950000</v>
      </c>
      <c r="U17" s="160">
        <f>'Phụ lục số I'!U50</f>
        <v>1950000</v>
      </c>
      <c r="V17" s="160">
        <f>'Phụ lục số I'!V50</f>
        <v>0</v>
      </c>
    </row>
    <row r="18" spans="1:22" s="739" customFormat="1">
      <c r="A18" s="139" t="s">
        <v>33</v>
      </c>
      <c r="B18" s="140" t="s">
        <v>34</v>
      </c>
      <c r="C18" s="744">
        <f>+'Phụ lục số I'!C51</f>
        <v>157000</v>
      </c>
      <c r="D18" s="744">
        <f>+'Phụ lục số I'!D51</f>
        <v>200000</v>
      </c>
      <c r="E18" s="744">
        <f>+'Phụ lục số I'!E51</f>
        <v>0</v>
      </c>
      <c r="F18" s="744">
        <f>+'Phụ lục số I'!F51</f>
        <v>200000</v>
      </c>
      <c r="G18" s="744">
        <f>+'Phụ lục số I'!G51</f>
        <v>0</v>
      </c>
      <c r="H18" s="744">
        <f>+'Phụ lục số I'!H51</f>
        <v>0</v>
      </c>
      <c r="I18" s="744">
        <f>+'Phụ lục số I'!I51</f>
        <v>0</v>
      </c>
      <c r="J18" s="744">
        <f>+'Phụ lục số I'!J51</f>
        <v>259999.569416666</v>
      </c>
      <c r="K18" s="1544">
        <f>+'Phụ lục số I'!K51</f>
        <v>165.60482128450062</v>
      </c>
      <c r="L18" s="1544">
        <f>+'Phụ lục số I'!L51</f>
        <v>129.99978470833301</v>
      </c>
      <c r="M18" s="744">
        <f>+'Phụ lục số I'!M51</f>
        <v>259999.569416666</v>
      </c>
      <c r="N18" s="744">
        <f>+'Phụ lục số I'!N51</f>
        <v>-1.4551915228366852E-11</v>
      </c>
      <c r="O18" s="744">
        <f>+'Phụ lục số I'!O51</f>
        <v>-1.4551915228366852E-11</v>
      </c>
      <c r="P18" s="744">
        <f>+'Phụ lục số I'!P51</f>
        <v>0</v>
      </c>
      <c r="Q18" s="744">
        <f>+'Phụ lục số I'!Q51</f>
        <v>272999.7</v>
      </c>
      <c r="R18" s="1544">
        <f>+'Phụ lục số I'!R51</f>
        <v>105.00005850490486</v>
      </c>
      <c r="S18" s="744">
        <f>+'Phụ lục số I'!S51</f>
        <v>272999.7</v>
      </c>
      <c r="T18" s="744">
        <f>+'Phụ lục số I'!T51</f>
        <v>0</v>
      </c>
      <c r="U18" s="744">
        <f>+'Phụ lục số I'!U51</f>
        <v>0</v>
      </c>
      <c r="V18" s="744">
        <f>+'Phụ lục số I'!V51</f>
        <v>0</v>
      </c>
    </row>
    <row r="19" spans="1:22" s="739" customFormat="1">
      <c r="A19" s="139" t="s">
        <v>37</v>
      </c>
      <c r="B19" s="140" t="s">
        <v>38</v>
      </c>
      <c r="C19" s="744">
        <f>+'Phụ lục số I'!C55</f>
        <v>9256479</v>
      </c>
      <c r="D19" s="758">
        <f>+'Phụ lục số I'!D55</f>
        <v>9256479</v>
      </c>
      <c r="E19" s="758">
        <f>+'Phụ lục số I'!E55</f>
        <v>0</v>
      </c>
      <c r="F19" s="758">
        <f>+'Phụ lục số I'!F55</f>
        <v>0</v>
      </c>
      <c r="G19" s="758">
        <f>+'Phụ lục số I'!G55</f>
        <v>9256479</v>
      </c>
      <c r="H19" s="758">
        <f>+'Phụ lục số I'!H55</f>
        <v>9256479</v>
      </c>
      <c r="I19" s="758">
        <f>+'Phụ lục số I'!I55</f>
        <v>0</v>
      </c>
      <c r="J19" s="758">
        <f>+'Phụ lục số I'!J55</f>
        <v>9904812</v>
      </c>
      <c r="K19" s="758">
        <f>+'Phụ lục số I'!K55</f>
        <v>0</v>
      </c>
      <c r="L19" s="758">
        <f>+'Phụ lục số I'!L55</f>
        <v>0</v>
      </c>
      <c r="M19" s="758">
        <f>+'Phụ lục số I'!M55</f>
        <v>0</v>
      </c>
      <c r="N19" s="758">
        <f>+'Phụ lục số I'!N55</f>
        <v>9904812</v>
      </c>
      <c r="O19" s="758">
        <f>+'Phụ lục số I'!O55</f>
        <v>9904812</v>
      </c>
      <c r="P19" s="758">
        <f>+'Phụ lục số I'!P55</f>
        <v>0</v>
      </c>
      <c r="Q19" s="758">
        <f>+'Phụ lục số I'!Q55</f>
        <v>13326475.800000001</v>
      </c>
      <c r="R19" s="758">
        <f>+'Phụ lục số I'!R55</f>
        <v>0</v>
      </c>
      <c r="S19" s="758">
        <f>+'Phụ lục số I'!S55</f>
        <v>0</v>
      </c>
      <c r="T19" s="758">
        <f>+'Phụ lục số I'!T55</f>
        <v>13326475.800000001</v>
      </c>
      <c r="U19" s="758">
        <f>+'Phụ lục số I'!U55</f>
        <v>13326475.800000001</v>
      </c>
      <c r="V19" s="758">
        <f>+'Phụ lục số I'!V55</f>
        <v>0</v>
      </c>
    </row>
    <row r="20" spans="1:22" s="739" customFormat="1">
      <c r="A20" s="139" t="s">
        <v>3</v>
      </c>
      <c r="B20" s="140" t="s">
        <v>39</v>
      </c>
      <c r="C20" s="758">
        <f>+'Phụ lục số I'!C56</f>
        <v>6617188</v>
      </c>
      <c r="D20" s="758">
        <f>+'Phụ lục số I'!D56</f>
        <v>6617188</v>
      </c>
      <c r="E20" s="758">
        <f>+'Phụ lục số I'!E56</f>
        <v>0</v>
      </c>
      <c r="F20" s="758">
        <f>+'Phụ lục số I'!F56</f>
        <v>0</v>
      </c>
      <c r="G20" s="758">
        <f>+'Phụ lục số I'!G56</f>
        <v>6617188</v>
      </c>
      <c r="H20" s="758">
        <f>+'Phụ lục số I'!H56</f>
        <v>6617188</v>
      </c>
      <c r="I20" s="758">
        <f>+'Phụ lục số I'!I56</f>
        <v>0</v>
      </c>
      <c r="J20" s="758">
        <f>+'Phụ lục số I'!J56</f>
        <v>6617188</v>
      </c>
      <c r="K20" s="758">
        <f>+'Phụ lục số I'!K56</f>
        <v>0</v>
      </c>
      <c r="L20" s="758">
        <f>+'Phụ lục số I'!L56</f>
        <v>0</v>
      </c>
      <c r="M20" s="758">
        <f>+'Phụ lục số I'!M56</f>
        <v>0</v>
      </c>
      <c r="N20" s="758">
        <f>+'Phụ lục số I'!N56</f>
        <v>6617188</v>
      </c>
      <c r="O20" s="758">
        <f>+'Phụ lục số I'!O56</f>
        <v>6617188</v>
      </c>
      <c r="P20" s="758">
        <f>+'Phụ lục số I'!P56</f>
        <v>0</v>
      </c>
      <c r="Q20" s="758">
        <f>+'Phụ lục số I'!Q56</f>
        <v>6617188</v>
      </c>
      <c r="R20" s="758">
        <f>+'Phụ lục số I'!R56</f>
        <v>0</v>
      </c>
      <c r="S20" s="758">
        <f>+'Phụ lục số I'!S56</f>
        <v>0</v>
      </c>
      <c r="T20" s="758">
        <f>+'Phụ lục số I'!T56</f>
        <v>6617188</v>
      </c>
      <c r="U20" s="758">
        <f>+'Phụ lục số I'!U56</f>
        <v>6617188</v>
      </c>
      <c r="V20" s="758">
        <f>+'Phụ lục số I'!V56</f>
        <v>0</v>
      </c>
    </row>
    <row r="21" spans="1:22">
      <c r="A21" s="177"/>
      <c r="B21" s="178" t="s">
        <v>40</v>
      </c>
      <c r="C21" s="157">
        <f>+'Phụ lục số I'!C57</f>
        <v>129700</v>
      </c>
      <c r="D21" s="157">
        <f>+'Phụ lục số I'!D57</f>
        <v>129700</v>
      </c>
      <c r="E21" s="157">
        <f>+'Phụ lục số I'!E57</f>
        <v>0</v>
      </c>
      <c r="F21" s="157">
        <f>+'Phụ lục số I'!F57</f>
        <v>0</v>
      </c>
      <c r="G21" s="157">
        <f>+'Phụ lục số I'!G57</f>
        <v>129700</v>
      </c>
      <c r="H21" s="157">
        <f>+'Phụ lục số I'!H57</f>
        <v>129700</v>
      </c>
      <c r="I21" s="157">
        <f>+'Phụ lục số I'!I57</f>
        <v>0</v>
      </c>
      <c r="J21" s="157">
        <f>+'Phụ lục số I'!J57</f>
        <v>129700</v>
      </c>
      <c r="K21" s="157">
        <f>+'Phụ lục số I'!K57</f>
        <v>0</v>
      </c>
      <c r="L21" s="157">
        <f>+'Phụ lục số I'!L57</f>
        <v>0</v>
      </c>
      <c r="M21" s="157">
        <f>+'Phụ lục số I'!M57</f>
        <v>0</v>
      </c>
      <c r="N21" s="157">
        <f>+'Phụ lục số I'!N57</f>
        <v>129700</v>
      </c>
      <c r="O21" s="157">
        <f>+'Phụ lục số I'!O57</f>
        <v>129700</v>
      </c>
      <c r="P21" s="157">
        <f>+'Phụ lục số I'!P57</f>
        <v>0</v>
      </c>
      <c r="Q21" s="157">
        <f>+'Phụ lục số I'!Q57</f>
        <v>129700</v>
      </c>
      <c r="R21" s="157">
        <f>+'Phụ lục số I'!R57</f>
        <v>0</v>
      </c>
      <c r="S21" s="157">
        <f>+'Phụ lục số I'!S57</f>
        <v>0</v>
      </c>
      <c r="T21" s="157">
        <f>+'Phụ lục số I'!T57</f>
        <v>129700</v>
      </c>
      <c r="U21" s="157">
        <f>+'Phụ lục số I'!U57</f>
        <v>129700</v>
      </c>
      <c r="V21" s="157">
        <f>+'Phụ lục số I'!V57</f>
        <v>0</v>
      </c>
    </row>
    <row r="22" spans="1:22" s="739" customFormat="1">
      <c r="A22" s="139" t="s">
        <v>33</v>
      </c>
      <c r="B22" s="140" t="s">
        <v>41</v>
      </c>
      <c r="C22" s="758">
        <f>+'Phụ lục số I'!C58</f>
        <v>2639291</v>
      </c>
      <c r="D22" s="758">
        <f>+'Phụ lục số I'!D58</f>
        <v>2639291</v>
      </c>
      <c r="E22" s="758">
        <f>+'Phụ lục số I'!E58</f>
        <v>0</v>
      </c>
      <c r="F22" s="758">
        <f>+'Phụ lục số I'!F58</f>
        <v>0</v>
      </c>
      <c r="G22" s="758">
        <f>+'Phụ lục số I'!G58</f>
        <v>2639291</v>
      </c>
      <c r="H22" s="758">
        <f>+'Phụ lục số I'!H58</f>
        <v>2639291</v>
      </c>
      <c r="I22" s="758">
        <f>+'Phụ lục số I'!I58</f>
        <v>0</v>
      </c>
      <c r="J22" s="758">
        <f>+'Phụ lục số I'!J58</f>
        <v>3287624</v>
      </c>
      <c r="K22" s="758">
        <f>+'Phụ lục số I'!K58</f>
        <v>0</v>
      </c>
      <c r="L22" s="758">
        <f>+'Phụ lục số I'!L58</f>
        <v>0</v>
      </c>
      <c r="M22" s="758">
        <f>+'Phụ lục số I'!M58</f>
        <v>0</v>
      </c>
      <c r="N22" s="758">
        <f>+'Phụ lục số I'!N58</f>
        <v>3287624</v>
      </c>
      <c r="O22" s="758">
        <f>+'Phụ lục số I'!O58</f>
        <v>3287624</v>
      </c>
      <c r="P22" s="758">
        <f>+'Phụ lục số I'!P58</f>
        <v>0</v>
      </c>
      <c r="Q22" s="758">
        <f>+'Phụ lục số I'!Q58</f>
        <v>6709287.7999999998</v>
      </c>
      <c r="R22" s="758">
        <f>+'Phụ lục số I'!R58</f>
        <v>0</v>
      </c>
      <c r="S22" s="758">
        <f>+'Phụ lục số I'!S58</f>
        <v>0</v>
      </c>
      <c r="T22" s="758">
        <f>+'Phụ lục số I'!T58</f>
        <v>6709287.7999999998</v>
      </c>
      <c r="U22" s="758">
        <f>+'Phụ lục số I'!U58</f>
        <v>6709287.7999999998</v>
      </c>
      <c r="V22" s="758">
        <f>+'Phụ lục số I'!V58</f>
        <v>0</v>
      </c>
    </row>
    <row r="23" spans="1:22" ht="31.2">
      <c r="A23" s="145">
        <v>1</v>
      </c>
      <c r="B23" s="151" t="s">
        <v>42</v>
      </c>
      <c r="C23" s="157">
        <f>+'Phụ lục số I'!C59</f>
        <v>1814491</v>
      </c>
      <c r="D23" s="157">
        <f>+'Phụ lục số I'!D59</f>
        <v>1814491</v>
      </c>
      <c r="E23" s="157">
        <f>+'Phụ lục số I'!E59</f>
        <v>0</v>
      </c>
      <c r="F23" s="157">
        <f>+'Phụ lục số I'!F59</f>
        <v>0</v>
      </c>
      <c r="G23" s="157">
        <f>+'Phụ lục số I'!G59</f>
        <v>1814491</v>
      </c>
      <c r="H23" s="157">
        <f>+'Phụ lục số I'!H59</f>
        <v>1814491</v>
      </c>
      <c r="I23" s="157">
        <f>+'Phụ lục số I'!I59</f>
        <v>0</v>
      </c>
      <c r="J23" s="157">
        <f>+'Phụ lục số I'!J59</f>
        <v>1814491</v>
      </c>
      <c r="K23" s="157">
        <f>+'Phụ lục số I'!K59</f>
        <v>0</v>
      </c>
      <c r="L23" s="157">
        <f>+'Phụ lục số I'!L59</f>
        <v>0</v>
      </c>
      <c r="M23" s="157">
        <f>+'Phụ lục số I'!M59</f>
        <v>0</v>
      </c>
      <c r="N23" s="157">
        <f>+'Phụ lục số I'!N59</f>
        <v>1814491</v>
      </c>
      <c r="O23" s="157">
        <f>+'Phụ lục số I'!O59</f>
        <v>1814491</v>
      </c>
      <c r="P23" s="157">
        <f>+'Phụ lục số I'!P59</f>
        <v>0</v>
      </c>
      <c r="Q23" s="157">
        <f>+'Phụ lục số I'!Q59</f>
        <v>3101719</v>
      </c>
      <c r="R23" s="157">
        <f>+'Phụ lục số I'!R59</f>
        <v>0</v>
      </c>
      <c r="S23" s="157">
        <f>+'Phụ lục số I'!S59</f>
        <v>0</v>
      </c>
      <c r="T23" s="157">
        <f>+'Phụ lục số I'!T59</f>
        <v>3101719</v>
      </c>
      <c r="U23" s="157">
        <f>+'Phụ lục số I'!U59</f>
        <v>3101719</v>
      </c>
      <c r="V23" s="157">
        <f>+'Phụ lục số I'!V59</f>
        <v>0</v>
      </c>
    </row>
    <row r="24" spans="1:22" hidden="1">
      <c r="A24" s="1531" t="s">
        <v>99</v>
      </c>
      <c r="B24" s="1532" t="s">
        <v>100</v>
      </c>
      <c r="C24" s="157">
        <f>+'Phụ lục số I'!C60</f>
        <v>1681570</v>
      </c>
      <c r="D24" s="157">
        <f>+'Phụ lục số I'!D60</f>
        <v>1681570</v>
      </c>
      <c r="E24" s="157">
        <f>+'Phụ lục số I'!E60</f>
        <v>0</v>
      </c>
      <c r="F24" s="157">
        <f>+'Phụ lục số I'!F60</f>
        <v>0</v>
      </c>
      <c r="G24" s="157">
        <f>+'Phụ lục số I'!G60</f>
        <v>1681570</v>
      </c>
      <c r="H24" s="157">
        <f>+'Phụ lục số I'!H60</f>
        <v>1681570</v>
      </c>
      <c r="I24" s="157">
        <f>+'Phụ lục số I'!I60</f>
        <v>0</v>
      </c>
      <c r="J24" s="157">
        <f>+'Phụ lục số I'!J60</f>
        <v>1681570</v>
      </c>
      <c r="K24" s="157">
        <f>+'Phụ lục số I'!K60</f>
        <v>0</v>
      </c>
      <c r="L24" s="157">
        <f>+'Phụ lục số I'!L60</f>
        <v>0</v>
      </c>
      <c r="M24" s="157">
        <f>+'Phụ lục số I'!M60</f>
        <v>0</v>
      </c>
      <c r="N24" s="157">
        <f>+'Phụ lục số I'!N60</f>
        <v>1681570</v>
      </c>
      <c r="O24" s="157">
        <f>+'Phụ lục số I'!O60</f>
        <v>1681570</v>
      </c>
      <c r="P24" s="157">
        <f>+'Phụ lục số I'!P60</f>
        <v>0</v>
      </c>
      <c r="Q24" s="157">
        <f>+'Phụ lục số I'!Q60</f>
        <v>2970480</v>
      </c>
      <c r="R24" s="157">
        <f>+'Phụ lục số I'!R60</f>
        <v>0</v>
      </c>
      <c r="S24" s="157">
        <f>+'Phụ lục số I'!S60</f>
        <v>0</v>
      </c>
      <c r="T24" s="157">
        <f>+'Phụ lục số I'!T60</f>
        <v>2970480</v>
      </c>
      <c r="U24" s="157">
        <f>+'Phụ lục số I'!U60</f>
        <v>2970480</v>
      </c>
      <c r="V24" s="157">
        <f>+'Phụ lục số I'!V60</f>
        <v>0</v>
      </c>
    </row>
    <row r="25" spans="1:22" hidden="1">
      <c r="A25" s="1531" t="s">
        <v>101</v>
      </c>
      <c r="B25" s="1532" t="s">
        <v>102</v>
      </c>
      <c r="C25" s="157">
        <f>+'Phụ lục số I'!C61</f>
        <v>132921</v>
      </c>
      <c r="D25" s="157">
        <f>+'Phụ lục số I'!D61</f>
        <v>132921</v>
      </c>
      <c r="E25" s="157">
        <f>+'Phụ lục số I'!E61</f>
        <v>0</v>
      </c>
      <c r="F25" s="157">
        <f>+'Phụ lục số I'!F61</f>
        <v>0</v>
      </c>
      <c r="G25" s="157">
        <f>+'Phụ lục số I'!G61</f>
        <v>132921</v>
      </c>
      <c r="H25" s="157">
        <f>+'Phụ lục số I'!H61</f>
        <v>132921</v>
      </c>
      <c r="I25" s="157">
        <f>+'Phụ lục số I'!I61</f>
        <v>0</v>
      </c>
      <c r="J25" s="157">
        <f>+'Phụ lục số I'!J61</f>
        <v>132921</v>
      </c>
      <c r="K25" s="157">
        <f>+'Phụ lục số I'!K61</f>
        <v>0</v>
      </c>
      <c r="L25" s="157">
        <f>+'Phụ lục số I'!L61</f>
        <v>0</v>
      </c>
      <c r="M25" s="157">
        <f>+'Phụ lục số I'!M61</f>
        <v>0</v>
      </c>
      <c r="N25" s="157">
        <f>+'Phụ lục số I'!N61</f>
        <v>132921</v>
      </c>
      <c r="O25" s="157">
        <f>+'Phụ lục số I'!O61</f>
        <v>132921</v>
      </c>
      <c r="P25" s="157">
        <f>+'Phụ lục số I'!P61</f>
        <v>0</v>
      </c>
      <c r="Q25" s="157">
        <f>+'Phụ lục số I'!Q61</f>
        <v>131239</v>
      </c>
      <c r="R25" s="157">
        <f>+'Phụ lục số I'!R61</f>
        <v>0</v>
      </c>
      <c r="S25" s="157">
        <f>+'Phụ lục số I'!S61</f>
        <v>0</v>
      </c>
      <c r="T25" s="157">
        <f>+'Phụ lục số I'!T61</f>
        <v>131239</v>
      </c>
      <c r="U25" s="157">
        <f>+'Phụ lục số I'!U61</f>
        <v>131239</v>
      </c>
      <c r="V25" s="157">
        <f>+'Phụ lục số I'!V61</f>
        <v>0</v>
      </c>
    </row>
    <row r="26" spans="1:22">
      <c r="A26" s="145">
        <v>2</v>
      </c>
      <c r="B26" s="151" t="s">
        <v>43</v>
      </c>
      <c r="C26" s="157">
        <f>+'Phụ lục số I'!C62</f>
        <v>174485</v>
      </c>
      <c r="D26" s="157">
        <f>+'Phụ lục số I'!D62</f>
        <v>174485</v>
      </c>
      <c r="E26" s="157">
        <f>+'Phụ lục số I'!E62</f>
        <v>0</v>
      </c>
      <c r="F26" s="157">
        <f>+'Phụ lục số I'!F62</f>
        <v>0</v>
      </c>
      <c r="G26" s="157">
        <f>+'Phụ lục số I'!G62</f>
        <v>174485</v>
      </c>
      <c r="H26" s="157">
        <f>+'Phụ lục số I'!H62</f>
        <v>174485</v>
      </c>
      <c r="I26" s="157">
        <f>+'Phụ lục số I'!I62</f>
        <v>0</v>
      </c>
      <c r="J26" s="157">
        <f>+'Phụ lục số I'!J62</f>
        <v>174485</v>
      </c>
      <c r="K26" s="157">
        <f>+'Phụ lục số I'!K62</f>
        <v>0</v>
      </c>
      <c r="L26" s="157">
        <f>+'Phụ lục số I'!L62</f>
        <v>0</v>
      </c>
      <c r="M26" s="157">
        <f>+'Phụ lục số I'!M62</f>
        <v>0</v>
      </c>
      <c r="N26" s="157">
        <f>+'Phụ lục số I'!N62</f>
        <v>174485</v>
      </c>
      <c r="O26" s="157">
        <f>+'Phụ lục số I'!O62</f>
        <v>174485</v>
      </c>
      <c r="P26" s="157">
        <f>+'Phụ lục số I'!P62</f>
        <v>0</v>
      </c>
      <c r="Q26" s="157">
        <f>+'Phụ lục số I'!Q62</f>
        <v>195063.8</v>
      </c>
      <c r="R26" s="157">
        <f>+'Phụ lục số I'!R62</f>
        <v>0</v>
      </c>
      <c r="S26" s="157">
        <f>+'Phụ lục số I'!S62</f>
        <v>0</v>
      </c>
      <c r="T26" s="157">
        <f>+'Phụ lục số I'!T62</f>
        <v>195063.8</v>
      </c>
      <c r="U26" s="157">
        <f>+'Phụ lục số I'!U62</f>
        <v>195063.8</v>
      </c>
      <c r="V26" s="157">
        <f>+'Phụ lục số I'!V62</f>
        <v>0</v>
      </c>
    </row>
    <row r="27" spans="1:22" hidden="1">
      <c r="A27" s="1531" t="s">
        <v>99</v>
      </c>
      <c r="B27" s="1532" t="s">
        <v>103</v>
      </c>
      <c r="C27" s="157">
        <f>+'Phụ lục số I'!C63</f>
        <v>72469</v>
      </c>
      <c r="D27" s="157">
        <f>+'Phụ lục số I'!D63</f>
        <v>72469</v>
      </c>
      <c r="E27" s="157">
        <f>+'Phụ lục số I'!E63</f>
        <v>0</v>
      </c>
      <c r="F27" s="157">
        <f>+'Phụ lục số I'!F63</f>
        <v>0</v>
      </c>
      <c r="G27" s="157">
        <f>+'Phụ lục số I'!G63</f>
        <v>72469</v>
      </c>
      <c r="H27" s="157">
        <f>+'Phụ lục số I'!H63</f>
        <v>72469</v>
      </c>
      <c r="I27" s="157">
        <f>+'Phụ lục số I'!I63</f>
        <v>0</v>
      </c>
      <c r="J27" s="157">
        <f>+'Phụ lục số I'!J63</f>
        <v>72469</v>
      </c>
      <c r="K27" s="157">
        <f>+'Phụ lục số I'!K63</f>
        <v>0</v>
      </c>
      <c r="L27" s="157">
        <f>+'Phụ lục số I'!L63</f>
        <v>0</v>
      </c>
      <c r="M27" s="157">
        <f>+'Phụ lục số I'!M63</f>
        <v>0</v>
      </c>
      <c r="N27" s="157">
        <f>+'Phụ lục số I'!N63</f>
        <v>72469</v>
      </c>
      <c r="O27" s="157">
        <f>+'Phụ lục số I'!O63</f>
        <v>72469</v>
      </c>
      <c r="P27" s="157">
        <f>+'Phụ lục số I'!P63</f>
        <v>0</v>
      </c>
      <c r="Q27" s="157">
        <f>+'Phụ lục số I'!Q63</f>
        <v>86962.8</v>
      </c>
      <c r="R27" s="157">
        <f>+'Phụ lục số I'!R63</f>
        <v>0</v>
      </c>
      <c r="S27" s="157">
        <f>+'Phụ lục số I'!S63</f>
        <v>0</v>
      </c>
      <c r="T27" s="157">
        <f>+'Phụ lục số I'!T63</f>
        <v>86962.8</v>
      </c>
      <c r="U27" s="157">
        <f>+'Phụ lục số I'!U63</f>
        <v>86962.8</v>
      </c>
      <c r="V27" s="157">
        <f>+'Phụ lục số I'!V63</f>
        <v>0</v>
      </c>
    </row>
    <row r="28" spans="1:22" hidden="1">
      <c r="A28" s="1531" t="s">
        <v>101</v>
      </c>
      <c r="B28" s="1532" t="s">
        <v>102</v>
      </c>
      <c r="C28" s="157">
        <f>+'Phụ lục số I'!C64</f>
        <v>102016</v>
      </c>
      <c r="D28" s="157">
        <f>+'Phụ lục số I'!D64</f>
        <v>102016</v>
      </c>
      <c r="E28" s="157">
        <f>+'Phụ lục số I'!E64</f>
        <v>0</v>
      </c>
      <c r="F28" s="157">
        <f>+'Phụ lục số I'!F64</f>
        <v>0</v>
      </c>
      <c r="G28" s="157">
        <f>+'Phụ lục số I'!G64</f>
        <v>102016</v>
      </c>
      <c r="H28" s="157">
        <f>+'Phụ lục số I'!H64</f>
        <v>102016</v>
      </c>
      <c r="I28" s="157">
        <f>+'Phụ lục số I'!I64</f>
        <v>0</v>
      </c>
      <c r="J28" s="157">
        <f>+'Phụ lục số I'!J64</f>
        <v>102016</v>
      </c>
      <c r="K28" s="157">
        <f>+'Phụ lục số I'!K64</f>
        <v>0</v>
      </c>
      <c r="L28" s="157">
        <f>+'Phụ lục số I'!L64</f>
        <v>0</v>
      </c>
      <c r="M28" s="157">
        <f>+'Phụ lục số I'!M64</f>
        <v>0</v>
      </c>
      <c r="N28" s="157">
        <f>+'Phụ lục số I'!N64</f>
        <v>102016</v>
      </c>
      <c r="O28" s="157">
        <f>+'Phụ lục số I'!O64</f>
        <v>102016</v>
      </c>
      <c r="P28" s="157">
        <f>+'Phụ lục số I'!P64</f>
        <v>0</v>
      </c>
      <c r="Q28" s="157">
        <f>+'Phụ lục số I'!Q64</f>
        <v>108101</v>
      </c>
      <c r="R28" s="157">
        <f>+'Phụ lục số I'!R64</f>
        <v>0</v>
      </c>
      <c r="S28" s="157">
        <f>+'Phụ lục số I'!S64</f>
        <v>0</v>
      </c>
      <c r="T28" s="157">
        <f>+'Phụ lục số I'!T64</f>
        <v>108101</v>
      </c>
      <c r="U28" s="157">
        <f>+'Phụ lục số I'!U64</f>
        <v>108101</v>
      </c>
      <c r="V28" s="157">
        <f>+'Phụ lục số I'!V64</f>
        <v>0</v>
      </c>
    </row>
    <row r="29" spans="1:22">
      <c r="A29" s="145">
        <v>3</v>
      </c>
      <c r="B29" s="1513" t="s">
        <v>106</v>
      </c>
      <c r="C29" s="157">
        <f>+'Phụ lục số I'!C65</f>
        <v>650315</v>
      </c>
      <c r="D29" s="157">
        <f>+'Phụ lục số I'!D65</f>
        <v>650315</v>
      </c>
      <c r="E29" s="157">
        <f>+'Phụ lục số I'!E65</f>
        <v>0</v>
      </c>
      <c r="F29" s="157">
        <f>+'Phụ lục số I'!F65</f>
        <v>0</v>
      </c>
      <c r="G29" s="157">
        <f>+'Phụ lục số I'!G65</f>
        <v>650315</v>
      </c>
      <c r="H29" s="157">
        <f>+'Phụ lục số I'!H65</f>
        <v>650315</v>
      </c>
      <c r="I29" s="157">
        <f>+'Phụ lục số I'!I65</f>
        <v>0</v>
      </c>
      <c r="J29" s="157">
        <f>+'Phụ lục số I'!J65</f>
        <v>1298648</v>
      </c>
      <c r="K29" s="157">
        <f>+'Phụ lục số I'!K65</f>
        <v>0</v>
      </c>
      <c r="L29" s="157">
        <f>+'Phụ lục số I'!L65</f>
        <v>0</v>
      </c>
      <c r="M29" s="157">
        <f>+'Phụ lục số I'!M65</f>
        <v>0</v>
      </c>
      <c r="N29" s="157">
        <f>+'Phụ lục số I'!N65</f>
        <v>1298648</v>
      </c>
      <c r="O29" s="157">
        <f>+'Phụ lục số I'!O65</f>
        <v>1298648</v>
      </c>
      <c r="P29" s="157">
        <f>+'Phụ lục số I'!P65</f>
        <v>0</v>
      </c>
      <c r="Q29" s="157">
        <f>+'Phụ lục số I'!Q65</f>
        <v>3412505</v>
      </c>
      <c r="R29" s="157">
        <f>+'Phụ lục số I'!R65</f>
        <v>0</v>
      </c>
      <c r="S29" s="157">
        <f>+'Phụ lục số I'!S65</f>
        <v>0</v>
      </c>
      <c r="T29" s="157">
        <f>+'Phụ lục số I'!T65</f>
        <v>3412505</v>
      </c>
      <c r="U29" s="157">
        <f>+'Phụ lục số I'!U65</f>
        <v>3412505</v>
      </c>
      <c r="V29" s="157">
        <f>+'Phụ lục số I'!V65</f>
        <v>0</v>
      </c>
    </row>
    <row r="30" spans="1:22">
      <c r="A30" s="1531" t="s">
        <v>99</v>
      </c>
      <c r="B30" s="1532" t="s">
        <v>104</v>
      </c>
      <c r="C30" s="157">
        <f>+'Phụ lục số I'!C66</f>
        <v>650315</v>
      </c>
      <c r="D30" s="157">
        <f>+'Phụ lục số I'!D66</f>
        <v>650315</v>
      </c>
      <c r="E30" s="157">
        <f>+'Phụ lục số I'!E66</f>
        <v>0</v>
      </c>
      <c r="F30" s="157">
        <f>+'Phụ lục số I'!F66</f>
        <v>0</v>
      </c>
      <c r="G30" s="157">
        <f>+'Phụ lục số I'!G66</f>
        <v>650315</v>
      </c>
      <c r="H30" s="157">
        <f>+'Phụ lục số I'!H66</f>
        <v>650315</v>
      </c>
      <c r="I30" s="157">
        <f>+'Phụ lục số I'!I66</f>
        <v>0</v>
      </c>
      <c r="J30" s="157">
        <f>+'Phụ lục số I'!J66</f>
        <v>1160089</v>
      </c>
      <c r="K30" s="157">
        <f>+'Phụ lục số I'!K66</f>
        <v>0</v>
      </c>
      <c r="L30" s="157">
        <f>+'Phụ lục số I'!L66</f>
        <v>0</v>
      </c>
      <c r="M30" s="157">
        <f>+'Phụ lục số I'!M66</f>
        <v>0</v>
      </c>
      <c r="N30" s="157">
        <f>+'Phụ lục số I'!N66</f>
        <v>1160089</v>
      </c>
      <c r="O30" s="157">
        <f>+'Phụ lục số I'!O66</f>
        <v>1160089</v>
      </c>
      <c r="P30" s="157">
        <f>+'Phụ lục số I'!P66</f>
        <v>0</v>
      </c>
      <c r="Q30" s="157">
        <f>+'Phụ lục số I'!Q66</f>
        <v>3033239</v>
      </c>
      <c r="R30" s="157">
        <f>+'Phụ lục số I'!R66</f>
        <v>0</v>
      </c>
      <c r="S30" s="157">
        <f>+'Phụ lục số I'!S66</f>
        <v>0</v>
      </c>
      <c r="T30" s="157">
        <f>+'Phụ lục số I'!T66</f>
        <v>3033239</v>
      </c>
      <c r="U30" s="157">
        <f>+'Phụ lục số I'!U66</f>
        <v>3033239</v>
      </c>
      <c r="V30" s="157">
        <f>+'Phụ lục số I'!V66</f>
        <v>0</v>
      </c>
    </row>
    <row r="31" spans="1:22">
      <c r="A31" s="1531" t="s">
        <v>101</v>
      </c>
      <c r="B31" s="1532" t="s">
        <v>105</v>
      </c>
      <c r="C31" s="157">
        <f>+'Phụ lục số I'!C67</f>
        <v>0</v>
      </c>
      <c r="D31" s="157">
        <f>+'Phụ lục số I'!D67</f>
        <v>0</v>
      </c>
      <c r="E31" s="157">
        <f>+'Phụ lục số I'!E67</f>
        <v>0</v>
      </c>
      <c r="F31" s="157">
        <f>+'Phụ lục số I'!F67</f>
        <v>0</v>
      </c>
      <c r="G31" s="157">
        <f>+'Phụ lục số I'!G67</f>
        <v>0</v>
      </c>
      <c r="H31" s="157">
        <f>+'Phụ lục số I'!H67</f>
        <v>0</v>
      </c>
      <c r="I31" s="157">
        <f>+'Phụ lục số I'!I67</f>
        <v>0</v>
      </c>
      <c r="J31" s="157">
        <f>+'Phụ lục số I'!J67</f>
        <v>138559</v>
      </c>
      <c r="K31" s="157">
        <f>+'Phụ lục số I'!K67</f>
        <v>0</v>
      </c>
      <c r="L31" s="157">
        <f>+'Phụ lục số I'!L67</f>
        <v>0</v>
      </c>
      <c r="M31" s="157">
        <f>+'Phụ lục số I'!M67</f>
        <v>0</v>
      </c>
      <c r="N31" s="157">
        <f>+'Phụ lục số I'!N67</f>
        <v>138559</v>
      </c>
      <c r="O31" s="157">
        <f>+'Phụ lục số I'!O67</f>
        <v>138559</v>
      </c>
      <c r="P31" s="157">
        <f>+'Phụ lục số I'!P67</f>
        <v>0</v>
      </c>
      <c r="Q31" s="157">
        <f>+'Phụ lục số I'!Q67</f>
        <v>379266</v>
      </c>
      <c r="R31" s="157">
        <f>+'Phụ lục số I'!R67</f>
        <v>0</v>
      </c>
      <c r="S31" s="157">
        <f>+'Phụ lục số I'!S67</f>
        <v>0</v>
      </c>
      <c r="T31" s="157">
        <f>+'Phụ lục số I'!T67</f>
        <v>379266</v>
      </c>
      <c r="U31" s="157">
        <f>+'Phụ lục số I'!U67</f>
        <v>379266</v>
      </c>
      <c r="V31" s="157">
        <f>+'Phụ lục số I'!V67</f>
        <v>0</v>
      </c>
    </row>
    <row r="32" spans="1:22" s="739" customFormat="1">
      <c r="A32" s="139" t="s">
        <v>44</v>
      </c>
      <c r="B32" s="140" t="s">
        <v>45</v>
      </c>
      <c r="C32" s="758">
        <f>+'Phụ lục số I'!C68</f>
        <v>0</v>
      </c>
      <c r="D32" s="758">
        <f>+'Phụ lục số I'!D68</f>
        <v>886000</v>
      </c>
      <c r="E32" s="758">
        <f>+'Phụ lục số I'!E68</f>
        <v>0</v>
      </c>
      <c r="F32" s="758">
        <f>+'Phụ lục số I'!F68</f>
        <v>0</v>
      </c>
      <c r="G32" s="758">
        <f>+'Phụ lục số I'!G68</f>
        <v>886000</v>
      </c>
      <c r="H32" s="758">
        <f>+'Phụ lục số I'!H68</f>
        <v>0</v>
      </c>
      <c r="I32" s="758">
        <f>+'Phụ lục số I'!I68</f>
        <v>886000</v>
      </c>
      <c r="J32" s="758">
        <f>+'Phụ lục số I'!J68</f>
        <v>1156399</v>
      </c>
      <c r="K32" s="758">
        <f>+'Phụ lục số I'!K68</f>
        <v>0</v>
      </c>
      <c r="L32" s="758">
        <f>+'Phụ lục số I'!L68</f>
        <v>0</v>
      </c>
      <c r="M32" s="758">
        <f>+'Phụ lục số I'!M68</f>
        <v>0</v>
      </c>
      <c r="N32" s="758">
        <f>+'Phụ lục số I'!N68</f>
        <v>1156399</v>
      </c>
      <c r="O32" s="758">
        <f>+'Phụ lục số I'!O68</f>
        <v>0</v>
      </c>
      <c r="P32" s="758">
        <f>+'Phụ lục số I'!P68</f>
        <v>1156399</v>
      </c>
      <c r="Q32" s="758">
        <f>+'Phụ lục số I'!Q68</f>
        <v>0.40000000001455194</v>
      </c>
      <c r="R32" s="758">
        <f>+'Phụ lục số I'!R68</f>
        <v>0</v>
      </c>
      <c r="S32" s="758">
        <f>+'Phụ lục số I'!S68</f>
        <v>0</v>
      </c>
      <c r="T32" s="758">
        <f>+'Phụ lục số I'!T68</f>
        <v>0.40000000001455194</v>
      </c>
      <c r="U32" s="758">
        <f>+'Phụ lục số I'!U68</f>
        <v>0.40000000001455194</v>
      </c>
      <c r="V32" s="758">
        <f>+'Phụ lục số I'!V68</f>
        <v>0</v>
      </c>
    </row>
    <row r="33" spans="1:22" s="739" customFormat="1">
      <c r="A33" s="139" t="s">
        <v>46</v>
      </c>
      <c r="B33" s="140" t="s">
        <v>47</v>
      </c>
      <c r="C33" s="758">
        <f>+'Phụ lục số I'!C69</f>
        <v>0</v>
      </c>
      <c r="D33" s="758">
        <f>+'Phụ lục số I'!D69</f>
        <v>0</v>
      </c>
      <c r="E33" s="758">
        <f>+'Phụ lục số I'!E69</f>
        <v>0</v>
      </c>
      <c r="F33" s="758">
        <f>+'Phụ lục số I'!F69</f>
        <v>0</v>
      </c>
      <c r="G33" s="758">
        <f>+'Phụ lục số I'!G69</f>
        <v>0</v>
      </c>
      <c r="H33" s="758">
        <f>+'Phụ lục số I'!H69</f>
        <v>0</v>
      </c>
      <c r="I33" s="758">
        <f>+'Phụ lục số I'!I69</f>
        <v>0</v>
      </c>
      <c r="J33" s="758">
        <f>+'Phụ lục số I'!J69</f>
        <v>0</v>
      </c>
      <c r="K33" s="758">
        <f>+'Phụ lục số I'!K69</f>
        <v>0</v>
      </c>
      <c r="L33" s="758">
        <f>+'Phụ lục số I'!L69</f>
        <v>0</v>
      </c>
      <c r="M33" s="758">
        <f>+'Phụ lục số I'!M69</f>
        <v>0</v>
      </c>
      <c r="N33" s="758">
        <f>+'Phụ lục số I'!N69</f>
        <v>0</v>
      </c>
      <c r="O33" s="758">
        <f>+'Phụ lục số I'!O69</f>
        <v>0</v>
      </c>
      <c r="P33" s="758">
        <f>+'Phụ lục số I'!P69</f>
        <v>0</v>
      </c>
      <c r="Q33" s="758">
        <f>+'Phụ lục số I'!Q69</f>
        <v>0</v>
      </c>
      <c r="R33" s="758">
        <f>+'Phụ lục số I'!R69</f>
        <v>0</v>
      </c>
      <c r="S33" s="758">
        <f>+'Phụ lục số I'!S69</f>
        <v>0</v>
      </c>
      <c r="T33" s="758">
        <f>+'Phụ lục số I'!T69</f>
        <v>0</v>
      </c>
      <c r="U33" s="758">
        <f>+'Phụ lục số I'!U69</f>
        <v>0</v>
      </c>
      <c r="V33" s="758">
        <f>+'Phụ lục số I'!V69</f>
        <v>0</v>
      </c>
    </row>
    <row r="34" spans="1:22" s="739" customFormat="1">
      <c r="A34" s="2"/>
      <c r="B34" s="3" t="s">
        <v>48</v>
      </c>
      <c r="C34" s="1545">
        <f>+'Phụ lục số I'!C70</f>
        <v>18170479</v>
      </c>
      <c r="D34" s="1545">
        <f>+'Phụ lục số I'!D70</f>
        <v>19816533.162</v>
      </c>
      <c r="E34" s="1545">
        <f>+'Phụ lục số I'!E70</f>
        <v>0</v>
      </c>
      <c r="F34" s="1545">
        <f>+'Phụ lục số I'!F70</f>
        <v>781100</v>
      </c>
      <c r="G34" s="1545">
        <f>+'Phụ lục số I'!G70</f>
        <v>19035463.162</v>
      </c>
      <c r="H34" s="1545">
        <f>+'Phụ lục số I'!H70</f>
        <v>14210383.162</v>
      </c>
      <c r="I34" s="1545">
        <f>+'Phụ lục số I'!I70</f>
        <v>4825080</v>
      </c>
      <c r="J34" s="1545">
        <f>+'Phụ lục số I'!J70</f>
        <v>20175264.731416665</v>
      </c>
      <c r="K34" s="1545">
        <f>+'Phụ lục số I'!K70</f>
        <v>0</v>
      </c>
      <c r="L34" s="1545">
        <f>+'Phụ lục số I'!L70</f>
        <v>0</v>
      </c>
      <c r="M34" s="1545">
        <f>+'Phụ lục số I'!M70</f>
        <v>792499.69906901778</v>
      </c>
      <c r="N34" s="1545">
        <f>+'Phụ lục số I'!N70</f>
        <v>19382765.032347649</v>
      </c>
      <c r="O34" s="1545">
        <f>+'Phụ lục số I'!O70</f>
        <v>14808565.560735388</v>
      </c>
      <c r="P34" s="1545">
        <f>+'Phụ lục số I'!P70</f>
        <v>4574199.4716122607</v>
      </c>
      <c r="Q34" s="1545">
        <f>+'Phụ lục số I'!Q70</f>
        <v>22982475.899999999</v>
      </c>
      <c r="R34" s="1545">
        <f>+'Phụ lục số I'!R70</f>
        <v>0</v>
      </c>
      <c r="S34" s="1545">
        <f>+'Phụ lục số I'!S70</f>
        <v>1073079.8702548956</v>
      </c>
      <c r="T34" s="1545">
        <f>+'Phụ lục số I'!T70</f>
        <v>21909396.029745102</v>
      </c>
      <c r="U34" s="1545">
        <f>+'Phụ lục số I'!U70</f>
        <v>18182896.264020003</v>
      </c>
      <c r="V34" s="1545">
        <f>+'Phụ lục số I'!V70</f>
        <v>3726499.7657251004</v>
      </c>
    </row>
  </sheetData>
  <mergeCells count="21">
    <mergeCell ref="C7:D7"/>
    <mergeCell ref="E7:E8"/>
    <mergeCell ref="F7:F8"/>
    <mergeCell ref="G7:I7"/>
    <mergeCell ref="J7:J8"/>
    <mergeCell ref="T7:V7"/>
    <mergeCell ref="A1:V1"/>
    <mergeCell ref="A2:V2"/>
    <mergeCell ref="A3:V3"/>
    <mergeCell ref="T5:V5"/>
    <mergeCell ref="K7:L7"/>
    <mergeCell ref="M7:M8"/>
    <mergeCell ref="N7:P7"/>
    <mergeCell ref="Q7:Q8"/>
    <mergeCell ref="R7:R8"/>
    <mergeCell ref="S7:S8"/>
    <mergeCell ref="A6:A8"/>
    <mergeCell ref="B6:B8"/>
    <mergeCell ref="C6:I6"/>
    <mergeCell ref="J6:P6"/>
    <mergeCell ref="Q6:V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46"/>
  <sheetViews>
    <sheetView workbookViewId="0">
      <selection activeCell="S21" sqref="S21"/>
    </sheetView>
  </sheetViews>
  <sheetFormatPr defaultColWidth="9.109375" defaultRowHeight="15.6"/>
  <cols>
    <col min="1" max="1" width="5.109375" style="1" customWidth="1"/>
    <col min="2" max="2" width="75.6640625" style="1" customWidth="1"/>
    <col min="3" max="4" width="9.6640625" style="1" customWidth="1"/>
    <col min="5" max="5" width="6.6640625" style="1" customWidth="1"/>
    <col min="6" max="8" width="9.6640625" style="1" customWidth="1"/>
    <col min="9" max="9" width="6.6640625" style="1" customWidth="1"/>
    <col min="10" max="10" width="7.6640625" style="1" customWidth="1"/>
    <col min="11" max="13" width="9.6640625" style="1" customWidth="1"/>
    <col min="14" max="14" width="6.6640625" style="1" customWidth="1"/>
    <col min="15" max="15" width="7.6640625" style="1" customWidth="1"/>
    <col min="16" max="17" width="9.6640625" style="1" customWidth="1"/>
    <col min="18" max="16384" width="9.109375" style="1"/>
  </cols>
  <sheetData>
    <row r="1" spans="1:17" s="4" customFormat="1">
      <c r="A1" s="6056" t="str">
        <f>'Phụ lục số II'!A1:Q1</f>
        <v>ƯỚC THỰC HIỆN CHI NGÂN SÁCH ĐỊA PHƯƠNG NĂM 2024</v>
      </c>
      <c r="B1" s="6056"/>
      <c r="C1" s="6056"/>
      <c r="D1" s="6056"/>
      <c r="E1" s="6056"/>
      <c r="F1" s="6056"/>
      <c r="G1" s="6056"/>
      <c r="H1" s="6056"/>
      <c r="I1" s="6056"/>
      <c r="J1" s="6056"/>
      <c r="K1" s="6056"/>
      <c r="L1" s="6056"/>
      <c r="M1" s="6056"/>
      <c r="N1" s="6056"/>
      <c r="O1" s="6056"/>
      <c r="P1" s="6056"/>
      <c r="Q1" s="6056"/>
    </row>
    <row r="2" spans="1:17" s="4" customFormat="1">
      <c r="A2" s="6056" t="str">
        <f>'Phụ lục số II'!A2:Q2</f>
        <v>DỰ TOÁN CHI NGÂN SÁCH ĐỊA PHƯƠNG NĂM 2025</v>
      </c>
      <c r="B2" s="6056"/>
      <c r="C2" s="6056"/>
      <c r="D2" s="6056"/>
      <c r="E2" s="6056"/>
      <c r="F2" s="6056"/>
      <c r="G2" s="6056"/>
      <c r="H2" s="6056"/>
      <c r="I2" s="6056"/>
      <c r="J2" s="6056"/>
      <c r="K2" s="6056"/>
      <c r="L2" s="6056"/>
      <c r="M2" s="6056"/>
      <c r="N2" s="6056"/>
      <c r="O2" s="6056"/>
      <c r="P2" s="6056"/>
      <c r="Q2" s="6056"/>
    </row>
    <row r="3" spans="1:17" s="4" customFormat="1">
      <c r="A3" s="6059" t="str">
        <f>'PHỤ LỤC 1 TRÌNH '!A3:V3</f>
        <v>(Kèm theo Công văn số         /STC-QLNS ngày       tháng 8 năm 2024 của Sở Tài chính)</v>
      </c>
      <c r="B3" s="6059"/>
      <c r="C3" s="6059"/>
      <c r="D3" s="6059"/>
      <c r="E3" s="6059"/>
      <c r="F3" s="6059"/>
      <c r="G3" s="6059"/>
      <c r="H3" s="6059"/>
      <c r="I3" s="6059"/>
      <c r="J3" s="6059"/>
      <c r="K3" s="6059"/>
      <c r="L3" s="6059"/>
      <c r="M3" s="6059"/>
      <c r="N3" s="6059"/>
      <c r="O3" s="6059"/>
      <c r="P3" s="6059"/>
      <c r="Q3" s="6059"/>
    </row>
    <row r="5" spans="1:17">
      <c r="O5" s="6712" t="s">
        <v>246</v>
      </c>
      <c r="P5" s="6712"/>
      <c r="Q5" s="6712"/>
    </row>
    <row r="6" spans="1:17">
      <c r="A6" s="6073" t="s">
        <v>136</v>
      </c>
      <c r="B6" s="6064" t="s">
        <v>137</v>
      </c>
      <c r="C6" s="6064" t="s">
        <v>140</v>
      </c>
      <c r="D6" s="6064"/>
      <c r="E6" s="6064"/>
      <c r="F6" s="6064"/>
      <c r="G6" s="6064"/>
      <c r="H6" s="6064" t="s">
        <v>120</v>
      </c>
      <c r="I6" s="6064"/>
      <c r="J6" s="6064"/>
      <c r="K6" s="6064"/>
      <c r="L6" s="6064"/>
      <c r="M6" s="6064" t="s">
        <v>121</v>
      </c>
      <c r="N6" s="6064"/>
      <c r="O6" s="6064"/>
      <c r="P6" s="6064"/>
      <c r="Q6" s="6064"/>
    </row>
    <row r="7" spans="1:17">
      <c r="A7" s="6073"/>
      <c r="B7" s="6064"/>
      <c r="C7" s="6064" t="s">
        <v>119</v>
      </c>
      <c r="D7" s="6064" t="s">
        <v>118</v>
      </c>
      <c r="E7" s="6064" t="s">
        <v>69</v>
      </c>
      <c r="F7" s="6064" t="s">
        <v>186</v>
      </c>
      <c r="G7" s="6064"/>
      <c r="H7" s="6064" t="s">
        <v>59</v>
      </c>
      <c r="I7" s="6064" t="s">
        <v>69</v>
      </c>
      <c r="J7" s="6064" t="s">
        <v>1418</v>
      </c>
      <c r="K7" s="6064" t="s">
        <v>186</v>
      </c>
      <c r="L7" s="6064"/>
      <c r="M7" s="6064" t="s">
        <v>59</v>
      </c>
      <c r="N7" s="6064" t="s">
        <v>69</v>
      </c>
      <c r="O7" s="6064" t="s">
        <v>194</v>
      </c>
      <c r="P7" s="6064" t="s">
        <v>186</v>
      </c>
      <c r="Q7" s="6064"/>
    </row>
    <row r="8" spans="1:17" ht="132" customHeight="1">
      <c r="A8" s="6073"/>
      <c r="B8" s="6064"/>
      <c r="C8" s="6064"/>
      <c r="D8" s="6064"/>
      <c r="E8" s="6064"/>
      <c r="F8" s="755" t="s">
        <v>138</v>
      </c>
      <c r="G8" s="755" t="s">
        <v>139</v>
      </c>
      <c r="H8" s="6064"/>
      <c r="I8" s="6064"/>
      <c r="J8" s="6064"/>
      <c r="K8" s="755" t="s">
        <v>138</v>
      </c>
      <c r="L8" s="755" t="s">
        <v>139</v>
      </c>
      <c r="M8" s="6064"/>
      <c r="N8" s="6064"/>
      <c r="O8" s="6064"/>
      <c r="P8" s="755" t="s">
        <v>138</v>
      </c>
      <c r="Q8" s="755" t="s">
        <v>139</v>
      </c>
    </row>
    <row r="9" spans="1:17" s="4" customFormat="1">
      <c r="A9" s="1547" t="s">
        <v>1</v>
      </c>
      <c r="B9" s="1547" t="s">
        <v>191</v>
      </c>
      <c r="C9" s="138">
        <f>'Phụ lục số II'!C9</f>
        <v>17419409</v>
      </c>
      <c r="D9" s="138">
        <f>'Phụ lục số II'!D9</f>
        <v>19035463.077999998</v>
      </c>
      <c r="E9" s="138">
        <f>'Phụ lục số II'!E9</f>
        <v>100</v>
      </c>
      <c r="F9" s="138">
        <f>'Phụ lục số II'!F9</f>
        <v>9127059.7300000004</v>
      </c>
      <c r="G9" s="138">
        <f>'Phụ lục số II'!G9</f>
        <v>9908403.3479999993</v>
      </c>
      <c r="H9" s="138">
        <f>'Phụ lục số II'!H9</f>
        <v>19382765.094239719</v>
      </c>
      <c r="I9" s="1568">
        <f>'Phụ lục số II'!I9</f>
        <v>100</v>
      </c>
      <c r="J9" s="1561">
        <f>'Phụ lục số II'!J9</f>
        <v>1.0182449995997791</v>
      </c>
      <c r="K9" s="138">
        <f>'Phụ lục số II'!K9</f>
        <v>9429600.2589892782</v>
      </c>
      <c r="L9" s="138">
        <f>'Phụ lục số II'!L9</f>
        <v>9953164.8352504428</v>
      </c>
      <c r="M9" s="138">
        <f>'Phụ lục số II'!M9</f>
        <v>21909395.833801579</v>
      </c>
      <c r="N9" s="1568">
        <f>'Phụ lục số II'!N9</f>
        <v>100</v>
      </c>
      <c r="O9" s="1561">
        <f>'Phụ lục số II'!O9</f>
        <v>1.1509778219749796</v>
      </c>
      <c r="P9" s="138">
        <f>'Phụ lục số II'!P9</f>
        <v>10975001.773972481</v>
      </c>
      <c r="Q9" s="138">
        <f>'Phụ lục số II'!Q9</f>
        <v>10934394.059829095</v>
      </c>
    </row>
    <row r="10" spans="1:17" s="4" customFormat="1">
      <c r="A10" s="861" t="s">
        <v>3</v>
      </c>
      <c r="B10" s="861" t="s">
        <v>192</v>
      </c>
      <c r="C10" s="142">
        <f>'Phụ lục số II'!C10</f>
        <v>15430433</v>
      </c>
      <c r="D10" s="142">
        <f>'Phụ lục số II'!D10</f>
        <v>17046487.077999998</v>
      </c>
      <c r="E10" s="142">
        <f>'Phụ lục số II'!E10</f>
        <v>89.551207701909107</v>
      </c>
      <c r="F10" s="142">
        <f>'Phụ lục số II'!F10</f>
        <v>7138083.7300000004</v>
      </c>
      <c r="G10" s="142">
        <f>'Phụ lục số II'!G10</f>
        <v>9908403.3479999993</v>
      </c>
      <c r="H10" s="142">
        <f>'Phụ lục số II'!H10</f>
        <v>17255230.094239719</v>
      </c>
      <c r="I10" s="1067">
        <f>'Phụ lục số II'!I10</f>
        <v>89.023573315490097</v>
      </c>
      <c r="J10" s="1562">
        <f>'Phụ lục số II'!J10</f>
        <v>1.0122455151776768</v>
      </c>
      <c r="K10" s="142">
        <f>'Phụ lục số II'!K10</f>
        <v>7302065.2589892773</v>
      </c>
      <c r="L10" s="142">
        <f>'Phụ lục số II'!L10</f>
        <v>9953164.8352504428</v>
      </c>
      <c r="M10" s="142">
        <f>'Phụ lục số II'!M10</f>
        <v>18233347.033801578</v>
      </c>
      <c r="N10" s="1067">
        <f>'Phụ lục số II'!N10</f>
        <v>83.221587542233223</v>
      </c>
      <c r="O10" s="1562">
        <f>'Phụ lục số II'!O10</f>
        <v>1.0696248998618212</v>
      </c>
      <c r="P10" s="142">
        <f>'Phụ lục số II'!P10</f>
        <v>7298952.9739724817</v>
      </c>
      <c r="Q10" s="142">
        <f>'Phụ lục số II'!Q10</f>
        <v>10934394.059829095</v>
      </c>
    </row>
    <row r="11" spans="1:17" s="4" customFormat="1">
      <c r="A11" s="861">
        <v>1</v>
      </c>
      <c r="B11" s="158" t="s">
        <v>150</v>
      </c>
      <c r="C11" s="142">
        <f>'Phụ lục số II'!C11</f>
        <v>4690186</v>
      </c>
      <c r="D11" s="142">
        <f>'Phụ lục số II'!D11</f>
        <v>5331240.5709698759</v>
      </c>
      <c r="E11" s="142">
        <f>'Phụ lục số II'!E11</f>
        <v>28.006886667923471</v>
      </c>
      <c r="F11" s="142">
        <f>'Phụ lục số II'!F11</f>
        <v>3607240.162</v>
      </c>
      <c r="G11" s="142">
        <f>'Phụ lục số II'!G11</f>
        <v>1724000.4089698761</v>
      </c>
      <c r="H11" s="142">
        <f>'Phụ lục số II'!H11</f>
        <v>5331240.5709698759</v>
      </c>
      <c r="I11" s="1067">
        <f>'Phụ lục số II'!I11</f>
        <v>27.505056915508121</v>
      </c>
      <c r="J11" s="1562">
        <f>'Phụ lục số II'!J11</f>
        <v>1</v>
      </c>
      <c r="K11" s="142">
        <f>'Phụ lục số II'!K11</f>
        <v>3607240.162</v>
      </c>
      <c r="L11" s="142">
        <f>'Phụ lục số II'!L11</f>
        <v>1724000.4089698761</v>
      </c>
      <c r="M11" s="142">
        <f>'Phụ lục số II'!M11</f>
        <v>4950795.363429876</v>
      </c>
      <c r="N11" s="1067">
        <f>'Phụ lục số II'!N11</f>
        <v>22.596676791022428</v>
      </c>
      <c r="O11" s="1562">
        <f>'Phụ lục số II'!O11</f>
        <v>0.92863852184580964</v>
      </c>
      <c r="P11" s="142">
        <f>'Phụ lục số II'!P11</f>
        <v>3109794.9544600002</v>
      </c>
      <c r="Q11" s="142">
        <f>'Phụ lục số II'!Q11</f>
        <v>1841000.4089698761</v>
      </c>
    </row>
    <row r="12" spans="1:17">
      <c r="A12" s="862" t="s">
        <v>99</v>
      </c>
      <c r="B12" s="1548" t="s">
        <v>143</v>
      </c>
      <c r="C12" s="157">
        <f>'Phụ lục số II'!C12</f>
        <v>1070186</v>
      </c>
      <c r="D12" s="157">
        <f>'Phụ lục số II'!D12</f>
        <v>1143186.4089698761</v>
      </c>
      <c r="E12" s="157">
        <f>'Phụ lục số II'!E12</f>
        <v>6.0055613266960641</v>
      </c>
      <c r="F12" s="157">
        <f>'Phụ lục số II'!F12</f>
        <v>562186</v>
      </c>
      <c r="G12" s="157">
        <f>'Phụ lục số II'!G12</f>
        <v>581000.40896987612</v>
      </c>
      <c r="H12" s="157">
        <f>'Phụ lục số II'!H12</f>
        <v>1143186.4089698761</v>
      </c>
      <c r="I12" s="1068">
        <f>'Phụ lục số II'!I12</f>
        <v>5.897953173407724</v>
      </c>
      <c r="J12" s="1563">
        <f>'Phụ lục số II'!J12</f>
        <v>1</v>
      </c>
      <c r="K12" s="157">
        <f>'Phụ lục số II'!K12</f>
        <v>562186</v>
      </c>
      <c r="L12" s="157">
        <f>'Phụ lục số II'!L12</f>
        <v>581000.40896987612</v>
      </c>
      <c r="M12" s="157">
        <f>'Phụ lục số II'!M12</f>
        <v>1170795.363429876</v>
      </c>
      <c r="N12" s="1068">
        <f>'Phụ lục số II'!N12</f>
        <v>5.343804878560757</v>
      </c>
      <c r="O12" s="1563">
        <f>'Phụ lục số II'!O12</f>
        <v>1.0241508770952572</v>
      </c>
      <c r="P12" s="157">
        <f>'Phụ lục số II'!P12</f>
        <v>589794.95446000004</v>
      </c>
      <c r="Q12" s="157">
        <f>'Phụ lục số II'!Q12</f>
        <v>581000.40896987612</v>
      </c>
    </row>
    <row r="13" spans="1:17">
      <c r="A13" s="862" t="s">
        <v>101</v>
      </c>
      <c r="B13" s="1548" t="s">
        <v>144</v>
      </c>
      <c r="C13" s="157">
        <f>'Phụ lục số II'!C13</f>
        <v>1770000</v>
      </c>
      <c r="D13" s="157">
        <f>'Phụ lục số II'!D13</f>
        <v>1770000</v>
      </c>
      <c r="E13" s="157">
        <f>'Phụ lục số II'!E13</f>
        <v>9.298434152861013</v>
      </c>
      <c r="F13" s="157">
        <f>'Phụ lục số II'!F13</f>
        <v>627000</v>
      </c>
      <c r="G13" s="157">
        <f>'Phụ lục số II'!G13</f>
        <v>1143000</v>
      </c>
      <c r="H13" s="157">
        <f>'Phụ lục số II'!H13</f>
        <v>1770000</v>
      </c>
      <c r="I13" s="1068">
        <f>'Phụ lục số II'!I13</f>
        <v>9.1318240271405795</v>
      </c>
      <c r="J13" s="1563">
        <f>'Phụ lục số II'!J13</f>
        <v>1</v>
      </c>
      <c r="K13" s="157">
        <f>'Phụ lục số II'!K13</f>
        <v>627000</v>
      </c>
      <c r="L13" s="157">
        <f>'Phụ lục số II'!L13</f>
        <v>1143000</v>
      </c>
      <c r="M13" s="157">
        <f>'Phụ lục số II'!M13</f>
        <v>1660000</v>
      </c>
      <c r="N13" s="1068">
        <f>'Phụ lục số II'!N13</f>
        <v>7.5766580356313158</v>
      </c>
      <c r="O13" s="1563">
        <f>'Phụ lục số II'!O13</f>
        <v>0.93785310734463279</v>
      </c>
      <c r="P13" s="157">
        <f>'Phụ lục số II'!P13</f>
        <v>400000</v>
      </c>
      <c r="Q13" s="157">
        <f>'Phụ lục số II'!Q13</f>
        <v>1260000</v>
      </c>
    </row>
    <row r="14" spans="1:17">
      <c r="A14" s="862" t="s">
        <v>147</v>
      </c>
      <c r="B14" s="1548" t="s">
        <v>145</v>
      </c>
      <c r="C14" s="157">
        <f>'Phụ lục số II'!C14</f>
        <v>1850000</v>
      </c>
      <c r="D14" s="157">
        <f>'Phụ lục số II'!D14</f>
        <v>1950000</v>
      </c>
      <c r="E14" s="157">
        <f>'Phụ lục số II'!E14</f>
        <v>10.24403762603332</v>
      </c>
      <c r="F14" s="157">
        <f>'Phụ lục số II'!F14</f>
        <v>1950000</v>
      </c>
      <c r="G14" s="157">
        <f>'Phụ lục số II'!G14</f>
        <v>0</v>
      </c>
      <c r="H14" s="157">
        <f>'Phụ lục số II'!H14</f>
        <v>1950000</v>
      </c>
      <c r="I14" s="1068">
        <f>'Phụ lục số II'!I14</f>
        <v>10.060484097697248</v>
      </c>
      <c r="J14" s="1563">
        <f>'Phụ lục số II'!J14</f>
        <v>1</v>
      </c>
      <c r="K14" s="157">
        <f>'Phụ lục số II'!K14</f>
        <v>1950000</v>
      </c>
      <c r="L14" s="157">
        <f>'Phụ lục số II'!L14</f>
        <v>0</v>
      </c>
      <c r="M14" s="157">
        <f>'Phụ lục số II'!M14</f>
        <v>1850000</v>
      </c>
      <c r="N14" s="1068">
        <f>'Phụ lục số II'!N14</f>
        <v>8.4438658830830935</v>
      </c>
      <c r="O14" s="1563">
        <f>'Phụ lục số II'!O14</f>
        <v>0.94871794871794868</v>
      </c>
      <c r="P14" s="157">
        <f>'Phụ lục số II'!P14</f>
        <v>1850000</v>
      </c>
      <c r="Q14" s="157">
        <f>'Phụ lục số II'!Q14</f>
        <v>0</v>
      </c>
    </row>
    <row r="15" spans="1:17">
      <c r="A15" s="862" t="s">
        <v>148</v>
      </c>
      <c r="B15" s="152" t="s">
        <v>146</v>
      </c>
      <c r="C15" s="157">
        <f>'Phụ lục số II'!C15</f>
        <v>0</v>
      </c>
      <c r="D15" s="157">
        <f>'Phụ lục số II'!D15</f>
        <v>408054.16200000001</v>
      </c>
      <c r="E15" s="157">
        <f>'Phụ lục số II'!E15</f>
        <v>2.143652404608972</v>
      </c>
      <c r="F15" s="157">
        <f>'Phụ lục số II'!F15</f>
        <v>408054.16200000001</v>
      </c>
      <c r="G15" s="157">
        <f>'Phụ lục số II'!G15</f>
        <v>0</v>
      </c>
      <c r="H15" s="157">
        <f>'Phụ lục số II'!H15</f>
        <v>408054.16200000001</v>
      </c>
      <c r="I15" s="1068">
        <f>'Phụ lục số II'!I15</f>
        <v>2.1052422604103471</v>
      </c>
      <c r="J15" s="1563">
        <f>'Phụ lục số II'!J15</f>
        <v>1</v>
      </c>
      <c r="K15" s="157">
        <f>'Phụ lục số II'!K15</f>
        <v>408054.16200000001</v>
      </c>
      <c r="L15" s="157">
        <f>'Phụ lục số II'!L15</f>
        <v>0</v>
      </c>
      <c r="M15" s="157">
        <f>'Phụ lục số II'!M15</f>
        <v>0</v>
      </c>
      <c r="N15" s="1068">
        <f>'Phụ lục số II'!N15</f>
        <v>0</v>
      </c>
      <c r="O15" s="1563">
        <f>'Phụ lục số II'!O15</f>
        <v>0</v>
      </c>
      <c r="P15" s="157">
        <f>'Phụ lục số II'!P15</f>
        <v>0</v>
      </c>
      <c r="Q15" s="157">
        <f>'Phụ lục số II'!Q15</f>
        <v>0</v>
      </c>
    </row>
    <row r="16" spans="1:17">
      <c r="A16" s="1423" t="s">
        <v>149</v>
      </c>
      <c r="B16" s="1548" t="s">
        <v>185</v>
      </c>
      <c r="C16" s="157">
        <f>'Phụ lục số II'!C16</f>
        <v>0</v>
      </c>
      <c r="D16" s="157">
        <f>'Phụ lục số II'!D16</f>
        <v>60000</v>
      </c>
      <c r="E16" s="157">
        <f>'Phụ lục số II'!E16</f>
        <v>0.31520115772410212</v>
      </c>
      <c r="F16" s="157">
        <f>'Phụ lục số II'!F16</f>
        <v>60000</v>
      </c>
      <c r="G16" s="157">
        <f>'Phụ lục số II'!G16</f>
        <v>0</v>
      </c>
      <c r="H16" s="157">
        <f>'Phụ lục số II'!H16</f>
        <v>60000</v>
      </c>
      <c r="I16" s="1068">
        <f>'Phụ lục số II'!I16</f>
        <v>0.30955335685222302</v>
      </c>
      <c r="J16" s="1563">
        <f>'Phụ lục số II'!J16</f>
        <v>1</v>
      </c>
      <c r="K16" s="157">
        <f>'Phụ lục số II'!K16</f>
        <v>60000</v>
      </c>
      <c r="L16" s="157">
        <f>'Phụ lục số II'!L16</f>
        <v>0</v>
      </c>
      <c r="M16" s="157">
        <f>'Phụ lục số II'!M16</f>
        <v>270000</v>
      </c>
      <c r="N16" s="1068">
        <f>'Phụ lục số II'!N16</f>
        <v>1.2323479937472621</v>
      </c>
      <c r="O16" s="1563">
        <f>'Phụ lục số II'!O16</f>
        <v>4.5</v>
      </c>
      <c r="P16" s="157">
        <f>'Phụ lục số II'!P16</f>
        <v>270000</v>
      </c>
      <c r="Q16" s="157">
        <f>'Phụ lục số II'!Q16</f>
        <v>0</v>
      </c>
    </row>
    <row r="17" spans="1:17" s="4" customFormat="1">
      <c r="A17" s="861">
        <v>2</v>
      </c>
      <c r="B17" s="158" t="s">
        <v>151</v>
      </c>
      <c r="C17" s="142">
        <f>'Phụ lục số II'!C17</f>
        <v>10426978</v>
      </c>
      <c r="D17" s="142">
        <f>'Phụ lục số II'!D17</f>
        <v>10664978.394711081</v>
      </c>
      <c r="E17" s="142">
        <f>'Phụ lục số II'!E17</f>
        <v>56.026892285257816</v>
      </c>
      <c r="F17" s="142">
        <f>'Phụ lục số II'!F17</f>
        <v>3294440</v>
      </c>
      <c r="G17" s="142">
        <f>'Phụ lục số II'!G17</f>
        <v>7370538.3947110809</v>
      </c>
      <c r="H17" s="142">
        <f>'Phụ lục số II'!H17</f>
        <v>11591120.210950801</v>
      </c>
      <c r="I17" s="1067">
        <f>'Phụ lục số II'!I17</f>
        <v>59.801169516291132</v>
      </c>
      <c r="J17" s="1562">
        <f>'Phụ lục số II'!J17</f>
        <v>1.0868395398437007</v>
      </c>
      <c r="K17" s="142">
        <f>'Phụ lục số II'!K17</f>
        <v>3537560.3289892771</v>
      </c>
      <c r="L17" s="142">
        <f>'Phụ lục số II'!L17</f>
        <v>8053559.8819615236</v>
      </c>
      <c r="M17" s="142">
        <f>'Phụ lục số II'!M17</f>
        <v>12923457.19126975</v>
      </c>
      <c r="N17" s="1067">
        <f>'Phụ lục số II'!N17</f>
        <v>58.98591311829594</v>
      </c>
      <c r="O17" s="1562">
        <f>'Phụ lục số II'!O17</f>
        <v>1.2117659045309159</v>
      </c>
      <c r="P17" s="142">
        <f>'Phụ lục số II'!P17</f>
        <v>4000399.9484000015</v>
      </c>
      <c r="Q17" s="142">
        <f>'Phụ lục số II'!Q17</f>
        <v>8923057.2428697497</v>
      </c>
    </row>
    <row r="18" spans="1:17">
      <c r="A18" s="861"/>
      <c r="B18" s="155" t="s">
        <v>186</v>
      </c>
      <c r="C18" s="157"/>
      <c r="D18" s="157"/>
      <c r="E18" s="157"/>
      <c r="F18" s="157"/>
      <c r="G18" s="157"/>
      <c r="H18" s="157"/>
      <c r="I18" s="1068"/>
      <c r="J18" s="1563"/>
      <c r="K18" s="157"/>
      <c r="L18" s="157"/>
      <c r="M18" s="157"/>
      <c r="N18" s="1068"/>
      <c r="O18" s="1563"/>
      <c r="P18" s="157"/>
      <c r="Q18" s="157"/>
    </row>
    <row r="19" spans="1:17">
      <c r="A19" s="1549" t="s">
        <v>99</v>
      </c>
      <c r="B19" s="1550" t="s">
        <v>152</v>
      </c>
      <c r="C19" s="157">
        <f>'Phụ lục số II'!C18</f>
        <v>4650946</v>
      </c>
      <c r="D19" s="157">
        <f>'Phụ lục số II'!D18</f>
        <v>4797945.7831797441</v>
      </c>
      <c r="E19" s="157">
        <f>'Phụ lục số II'!E18</f>
        <v>25.205301092595491</v>
      </c>
      <c r="F19" s="157">
        <f>'Phụ lục số II'!F18</f>
        <v>956676</v>
      </c>
      <c r="G19" s="157">
        <f>'Phụ lục số II'!G18</f>
        <v>3841269.7831797441</v>
      </c>
      <c r="H19" s="157">
        <f>'Phụ lục số II'!H18</f>
        <v>5395798.649100964</v>
      </c>
      <c r="I19" s="1068">
        <f>'Phụ lục số II'!I18</f>
        <v>27.838126412131558</v>
      </c>
      <c r="J19" s="1563">
        <f>'Phụ lục số II'!J18</f>
        <v>1.1246060070159869</v>
      </c>
      <c r="K19" s="157">
        <f>'Phụ lục số II'!K18</f>
        <v>1052842.94860096</v>
      </c>
      <c r="L19" s="157">
        <f>'Phụ lục số II'!L18</f>
        <v>4342955.700500004</v>
      </c>
      <c r="M19" s="157">
        <f>'Phụ lục số II'!M18</f>
        <v>6069834.0480443519</v>
      </c>
      <c r="N19" s="1068">
        <f>'Phụ lục số II'!N18</f>
        <v>27.704251153652887</v>
      </c>
      <c r="O19" s="1563">
        <f>'Phụ lục số II'!O18</f>
        <v>1.265090170323202</v>
      </c>
      <c r="P19" s="157">
        <f>'Phụ lục số II'!P18</f>
        <v>1200270.35836</v>
      </c>
      <c r="Q19" s="157">
        <f>'Phụ lục số II'!Q18</f>
        <v>4869563.6896843519</v>
      </c>
    </row>
    <row r="20" spans="1:17">
      <c r="A20" s="1549" t="s">
        <v>101</v>
      </c>
      <c r="B20" s="1550" t="s">
        <v>153</v>
      </c>
      <c r="C20" s="157">
        <f>'Phụ lục số II'!C19</f>
        <v>29314</v>
      </c>
      <c r="D20" s="157">
        <f>'Phụ lục số II'!D19</f>
        <v>31218</v>
      </c>
      <c r="E20" s="157">
        <f>'Phụ lục số II'!E19</f>
        <v>0.16399916236385034</v>
      </c>
      <c r="F20" s="157">
        <f>'Phụ lục số II'!F19</f>
        <v>31218</v>
      </c>
      <c r="G20" s="157">
        <f>'Phụ lục số II'!G19</f>
        <v>0</v>
      </c>
      <c r="H20" s="157">
        <f>'Phụ lục số II'!H19</f>
        <v>31107.539891692453</v>
      </c>
      <c r="I20" s="1068">
        <f>'Phụ lục số II'!I19</f>
        <v>0.16049072328146397</v>
      </c>
      <c r="J20" s="1563">
        <f>'Phụ lục số II'!J19</f>
        <v>0.99646165326710401</v>
      </c>
      <c r="K20" s="157">
        <f>'Phụ lục số II'!K19</f>
        <v>31107.539891692453</v>
      </c>
      <c r="L20" s="157">
        <f>'Phụ lục số II'!L19</f>
        <v>0</v>
      </c>
      <c r="M20" s="157">
        <f>'Phụ lục số II'!M19</f>
        <v>33297.115980000002</v>
      </c>
      <c r="N20" s="1068">
        <f>'Phụ lục số II'!N19</f>
        <v>0.15197642250193669</v>
      </c>
      <c r="O20" s="1563">
        <f>'Phụ lục số II'!O19</f>
        <v>1.0665999096674996</v>
      </c>
      <c r="P20" s="157">
        <f>'Phụ lục số II'!P19</f>
        <v>33297.115980000002</v>
      </c>
      <c r="Q20" s="157">
        <f>'Phụ lục số II'!Q19</f>
        <v>0</v>
      </c>
    </row>
    <row r="21" spans="1:17">
      <c r="A21" s="1549" t="s">
        <v>149</v>
      </c>
      <c r="B21" s="1550" t="s">
        <v>156</v>
      </c>
      <c r="C21" s="157">
        <f>'Phụ lục số II'!C22</f>
        <v>0</v>
      </c>
      <c r="D21" s="157">
        <f>'Phụ lục số II'!D22</f>
        <v>828538</v>
      </c>
      <c r="E21" s="157">
        <f>'Phụ lục số II'!E22</f>
        <v>4.3526022803068685</v>
      </c>
      <c r="F21" s="157">
        <f>'Phụ lục số II'!F22</f>
        <v>828538</v>
      </c>
      <c r="G21" s="157">
        <f>'Phụ lục số II'!G22</f>
        <v>0</v>
      </c>
      <c r="H21" s="157">
        <f>'Phụ lục số II'!H22</f>
        <v>918904.34527461987</v>
      </c>
      <c r="I21" s="1068">
        <f>'Phụ lục số II'!I22</f>
        <v>4.7408320784308797</v>
      </c>
      <c r="J21" s="1563">
        <f>'Phụ lục số II'!J22</f>
        <v>1.1090672308024736</v>
      </c>
      <c r="K21" s="157">
        <f>'Phụ lục số II'!K22</f>
        <v>918904.34527461987</v>
      </c>
      <c r="L21" s="157">
        <f>'Phụ lục số II'!L22</f>
        <v>0</v>
      </c>
      <c r="M21" s="157">
        <f>'Phụ lục số II'!M22</f>
        <v>1055349.5011800001</v>
      </c>
      <c r="N21" s="1068">
        <f>'Phụ lục số II'!N22</f>
        <v>4.8168808906716558</v>
      </c>
      <c r="O21" s="1563">
        <f>'Phụ lục số II'!O22</f>
        <v>1.2737490630242669</v>
      </c>
      <c r="P21" s="157">
        <f>'Phụ lục số II'!P22</f>
        <v>1055349.5011800001</v>
      </c>
      <c r="Q21" s="157">
        <f>'Phụ lục số II'!Q22</f>
        <v>0</v>
      </c>
    </row>
    <row r="22" spans="1:17">
      <c r="A22" s="1549" t="s">
        <v>163</v>
      </c>
      <c r="B22" s="1550" t="s">
        <v>164</v>
      </c>
      <c r="C22" s="157">
        <f>'Phụ lục số II'!C26</f>
        <v>0</v>
      </c>
      <c r="D22" s="157">
        <f>'Phụ lục số II'!D26</f>
        <v>151965</v>
      </c>
      <c r="E22" s="157">
        <f>'Phụ lục số II'!E26</f>
        <v>0.79832573222571968</v>
      </c>
      <c r="F22" s="157">
        <f>'Phụ lục số II'!F26</f>
        <v>67965</v>
      </c>
      <c r="G22" s="157">
        <f>'Phụ lục số II'!G26</f>
        <v>84000</v>
      </c>
      <c r="H22" s="157">
        <f>'Phụ lục số II'!H26</f>
        <v>150523.83502817666</v>
      </c>
      <c r="I22" s="1068">
        <f>'Phụ lục số II'!I26</f>
        <v>0.77658597365403859</v>
      </c>
      <c r="J22" s="1563">
        <f>'Phụ lục số II'!J26</f>
        <v>0.99051646779308833</v>
      </c>
      <c r="K22" s="157">
        <f>'Phụ lục số II'!K26</f>
        <v>69147.116264298733</v>
      </c>
      <c r="L22" s="157">
        <f>'Phụ lục số II'!L26</f>
        <v>81376.718763877929</v>
      </c>
      <c r="M22" s="157">
        <f>'Phụ lục số II'!M26</f>
        <v>155618.76115000001</v>
      </c>
      <c r="N22" s="1068">
        <f>'Phụ lục số II'!N26</f>
        <v>0.71028321515791437</v>
      </c>
      <c r="O22" s="1563">
        <f>'Phụ lục số II'!O26</f>
        <v>1.0240434386207351</v>
      </c>
      <c r="P22" s="157">
        <f>'Phụ lục số II'!P26</f>
        <v>74148.761150000006</v>
      </c>
      <c r="Q22" s="157">
        <f>'Phụ lục số II'!Q26</f>
        <v>81470</v>
      </c>
    </row>
    <row r="23" spans="1:17" s="4" customFormat="1">
      <c r="A23" s="1551">
        <v>3</v>
      </c>
      <c r="B23" s="1552" t="s">
        <v>173</v>
      </c>
      <c r="C23" s="142">
        <f>'Phụ lục số II'!C31</f>
        <v>3000</v>
      </c>
      <c r="D23" s="142">
        <f>'Phụ lục số II'!D31</f>
        <v>3000</v>
      </c>
      <c r="E23" s="142">
        <f>'Phụ lục số II'!E31</f>
        <v>1.5760057886205107E-2</v>
      </c>
      <c r="F23" s="142">
        <f>'Phụ lục số II'!F31</f>
        <v>3000</v>
      </c>
      <c r="G23" s="142">
        <f>'Phụ lục số II'!G31</f>
        <v>0</v>
      </c>
      <c r="H23" s="142">
        <f>'Phụ lục số II'!H31</f>
        <v>3000</v>
      </c>
      <c r="I23" s="1067">
        <f>'Phụ lục số II'!I31</f>
        <v>1.5477667842611151E-2</v>
      </c>
      <c r="J23" s="1562">
        <f>'Phụ lục số II'!J31</f>
        <v>1</v>
      </c>
      <c r="K23" s="142">
        <f>'Phụ lục số II'!K31</f>
        <v>3000</v>
      </c>
      <c r="L23" s="142">
        <f>'Phụ lục số II'!L31</f>
        <v>0</v>
      </c>
      <c r="M23" s="142">
        <f>'Phụ lục số II'!M31</f>
        <v>3000</v>
      </c>
      <c r="N23" s="1067">
        <f>'Phụ lục số II'!N31</f>
        <v>1.3692755486080692E-2</v>
      </c>
      <c r="O23" s="1562">
        <f>'Phụ lục số II'!O31</f>
        <v>1</v>
      </c>
      <c r="P23" s="142">
        <f>'Phụ lục số II'!P31</f>
        <v>3000</v>
      </c>
      <c r="Q23" s="142">
        <f>'Phụ lục số II'!Q31</f>
        <v>0</v>
      </c>
    </row>
    <row r="24" spans="1:17" s="4" customFormat="1">
      <c r="A24" s="1551">
        <v>4</v>
      </c>
      <c r="B24" s="1552" t="s">
        <v>174</v>
      </c>
      <c r="C24" s="142">
        <f>'Phụ lục số II'!C32</f>
        <v>1400</v>
      </c>
      <c r="D24" s="142">
        <f>'Phụ lục số II'!D32</f>
        <v>2000</v>
      </c>
      <c r="E24" s="142">
        <f>'Phụ lục số II'!E32</f>
        <v>1.0506705257470071E-2</v>
      </c>
      <c r="F24" s="142">
        <f>'Phụ lục số II'!F32</f>
        <v>2000</v>
      </c>
      <c r="G24" s="142">
        <f>'Phụ lục số II'!G32</f>
        <v>0</v>
      </c>
      <c r="H24" s="142">
        <f>'Phụ lục số II'!H32</f>
        <v>2000</v>
      </c>
      <c r="I24" s="1067">
        <f>'Phụ lục số II'!I32</f>
        <v>1.0318445228407434E-2</v>
      </c>
      <c r="J24" s="1562">
        <f>'Phụ lục số II'!J32</f>
        <v>1</v>
      </c>
      <c r="K24" s="142">
        <f>'Phụ lục số II'!K32</f>
        <v>2000</v>
      </c>
      <c r="L24" s="142">
        <f>'Phụ lục số II'!L32</f>
        <v>0</v>
      </c>
      <c r="M24" s="142">
        <f>'Phụ lục số II'!M32</f>
        <v>2000</v>
      </c>
      <c r="N24" s="1067">
        <f>'Phụ lục số II'!N32</f>
        <v>9.128503657387127E-3</v>
      </c>
      <c r="O24" s="1562">
        <f>'Phụ lục số II'!O32</f>
        <v>1</v>
      </c>
      <c r="P24" s="142">
        <f>'Phụ lục số II'!P32</f>
        <v>2000</v>
      </c>
      <c r="Q24" s="142">
        <f>'Phụ lục số II'!Q32</f>
        <v>0</v>
      </c>
    </row>
    <row r="25" spans="1:17" s="4" customFormat="1">
      <c r="A25" s="1551">
        <v>5</v>
      </c>
      <c r="B25" s="1552" t="s">
        <v>175</v>
      </c>
      <c r="C25" s="142">
        <f>'Phụ lục số II'!C33</f>
        <v>308869</v>
      </c>
      <c r="D25" s="142">
        <f>'Phụ lục số II'!D33</f>
        <v>327868.91231904214</v>
      </c>
      <c r="E25" s="142">
        <f>'Phụ lục số II'!E33</f>
        <v>1.7224110124117371</v>
      </c>
      <c r="F25" s="142">
        <f>'Phụ lục số II'!F33</f>
        <v>152264.36799999999</v>
      </c>
      <c r="G25" s="142">
        <f>'Phụ lục số II'!G33</f>
        <v>175604.54431904212</v>
      </c>
      <c r="H25" s="142">
        <f>'Phụ lục số II'!H33</f>
        <v>327868.91231904214</v>
      </c>
      <c r="I25" s="1067">
        <f>'Phụ lục số II'!I33</f>
        <v>1.6915487069307777</v>
      </c>
      <c r="J25" s="1562">
        <f>'Phụ lục số II'!J33</f>
        <v>1</v>
      </c>
      <c r="K25" s="142">
        <f>'Phụ lục số II'!K33</f>
        <v>152264.36799999999</v>
      </c>
      <c r="L25" s="142">
        <f>'Phụ lục số II'!L33</f>
        <v>175604.54431904212</v>
      </c>
      <c r="M25" s="142">
        <f>'Phụ lục số II'!M33</f>
        <v>354094.47910195083</v>
      </c>
      <c r="N25" s="1067">
        <f>'Phụ lục số II'!N33</f>
        <v>1.6161763737713739</v>
      </c>
      <c r="O25" s="1562">
        <f>'Phụ lục số II'!O33</f>
        <v>1.0799879640842227</v>
      </c>
      <c r="P25" s="142">
        <f>'Phụ lục số II'!P33</f>
        <v>183758.07111247999</v>
      </c>
      <c r="Q25" s="142">
        <f>'Phụ lục số II'!Q33</f>
        <v>170336.40798947084</v>
      </c>
    </row>
    <row r="26" spans="1:17" s="4" customFormat="1">
      <c r="A26" s="1551">
        <v>6</v>
      </c>
      <c r="B26" s="1552" t="str">
        <f>'Phụ lục số II'!B34</f>
        <v>Chi tạo nguồn tiền lương</v>
      </c>
      <c r="C26" s="142">
        <f>'Phụ lục số II'!C34</f>
        <v>0</v>
      </c>
      <c r="D26" s="142">
        <f>'Phụ lục số II'!D34</f>
        <v>717399.2</v>
      </c>
      <c r="E26" s="142">
        <f>'Phụ lục số II'!E34</f>
        <v>3.7687509731724114</v>
      </c>
      <c r="F26" s="142">
        <f>'Phụ lục số II'!F34</f>
        <v>79139.200000000012</v>
      </c>
      <c r="G26" s="142">
        <f>'Phụ lục số II'!G34</f>
        <v>638260</v>
      </c>
      <c r="H26" s="142">
        <f>'Phụ lục số II'!H34</f>
        <v>0.40000000001455194</v>
      </c>
      <c r="I26" s="1067">
        <f>'Phụ lục số II'!I34</f>
        <v>2.0636890457565637E-6</v>
      </c>
      <c r="J26" s="1562">
        <f>'Phụ lục số II'!J34</f>
        <v>5.5756962095100188E-7</v>
      </c>
      <c r="K26" s="142">
        <f>'Phụ lục số II'!K34</f>
        <v>0.40000000001455194</v>
      </c>
      <c r="L26" s="142">
        <f>'Phụ lục số II'!L34</f>
        <v>0</v>
      </c>
      <c r="M26" s="142">
        <f>'Phụ lục số II'!M34</f>
        <v>0</v>
      </c>
      <c r="N26" s="1067">
        <f>'Phụ lục số II'!N34</f>
        <v>0</v>
      </c>
      <c r="O26" s="1562">
        <f>'Phụ lục số II'!O34</f>
        <v>0</v>
      </c>
      <c r="P26" s="142">
        <f>'Phụ lục số II'!P34</f>
        <v>0</v>
      </c>
      <c r="Q26" s="142">
        <f>'Phụ lục số II'!Q34</f>
        <v>0</v>
      </c>
    </row>
    <row r="27" spans="1:17" s="4" customFormat="1">
      <c r="A27" s="1553" t="s">
        <v>33</v>
      </c>
      <c r="B27" s="1554" t="s">
        <v>177</v>
      </c>
      <c r="C27" s="142">
        <f>'Phụ lục số II'!C35</f>
        <v>1988976</v>
      </c>
      <c r="D27" s="142">
        <f>'Phụ lục số II'!D35</f>
        <v>1988976</v>
      </c>
      <c r="E27" s="142">
        <f>'Phụ lục số II'!E35</f>
        <v>10.448792298090897</v>
      </c>
      <c r="F27" s="142">
        <f>'Phụ lục số II'!F35</f>
        <v>1988976</v>
      </c>
      <c r="G27" s="142">
        <f>'Phụ lục số II'!G35</f>
        <v>0</v>
      </c>
      <c r="H27" s="142">
        <f>'Phụ lục số II'!H35</f>
        <v>2127535</v>
      </c>
      <c r="I27" s="1067">
        <f>'Phụ lục số II'!I35</f>
        <v>10.976426684509905</v>
      </c>
      <c r="J27" s="1562">
        <f>'Phụ lục số II'!J35</f>
        <v>1.0696634851300368</v>
      </c>
      <c r="K27" s="142">
        <f>'Phụ lục số II'!K35</f>
        <v>2127535</v>
      </c>
      <c r="L27" s="142">
        <f>'Phụ lục số II'!L35</f>
        <v>0</v>
      </c>
      <c r="M27" s="142">
        <f>'Phụ lục số II'!M35</f>
        <v>3676048.8</v>
      </c>
      <c r="N27" s="1067">
        <f>'Phụ lục số II'!N35</f>
        <v>16.778412457766777</v>
      </c>
      <c r="O27" s="1562">
        <f>'Phụ lục số II'!O35</f>
        <v>1.8482117431281222</v>
      </c>
      <c r="P27" s="142">
        <f>'Phụ lục số II'!P35</f>
        <v>3676048.8</v>
      </c>
      <c r="Q27" s="142">
        <f>'Phụ lục số II'!Q35</f>
        <v>0</v>
      </c>
    </row>
    <row r="28" spans="1:17">
      <c r="A28" s="1555">
        <v>1</v>
      </c>
      <c r="B28" s="1556" t="s">
        <v>178</v>
      </c>
      <c r="C28" s="157">
        <f>'Phụ lục số II'!C36</f>
        <v>1814491</v>
      </c>
      <c r="D28" s="157">
        <f>'Phụ lục số II'!D36</f>
        <v>1814491</v>
      </c>
      <c r="E28" s="157">
        <f>'Phụ lục số II'!E36</f>
        <v>9.5321610646660631</v>
      </c>
      <c r="F28" s="157">
        <f>'Phụ lục số II'!F36</f>
        <v>1814491</v>
      </c>
      <c r="G28" s="157">
        <f>'Phụ lục số II'!G36</f>
        <v>0</v>
      </c>
      <c r="H28" s="157">
        <f>'Phụ lục số II'!H36</f>
        <v>1814491</v>
      </c>
      <c r="I28" s="1068">
        <f>'Phụ lục số II'!I36</f>
        <v>9.3613630004691171</v>
      </c>
      <c r="J28" s="1563">
        <f>'Phụ lục số II'!J36</f>
        <v>1</v>
      </c>
      <c r="K28" s="157">
        <f>'Phụ lục số II'!K36</f>
        <v>1814491</v>
      </c>
      <c r="L28" s="157">
        <f>'Phụ lục số II'!L36</f>
        <v>0</v>
      </c>
      <c r="M28" s="157">
        <f>'Phụ lục số II'!M36</f>
        <v>3101719</v>
      </c>
      <c r="N28" s="1068">
        <f>'Phụ lục số II'!N36</f>
        <v>14.15702661784357</v>
      </c>
      <c r="O28" s="1563">
        <f>'Phụ lục số II'!O36</f>
        <v>0</v>
      </c>
      <c r="P28" s="157">
        <f>'Phụ lục số II'!P36</f>
        <v>3101719</v>
      </c>
      <c r="Q28" s="157">
        <f>'Phụ lục số II'!Q36</f>
        <v>0</v>
      </c>
    </row>
    <row r="29" spans="1:17" hidden="1">
      <c r="A29" s="1540" t="s">
        <v>99</v>
      </c>
      <c r="B29" s="151" t="s">
        <v>100</v>
      </c>
      <c r="C29" s="157">
        <f>'Phụ lục số II'!C37</f>
        <v>1681570</v>
      </c>
      <c r="D29" s="157">
        <f>'Phụ lục số II'!D37</f>
        <v>1681570</v>
      </c>
      <c r="E29" s="157">
        <f>'Phụ lục số II'!E37</f>
        <v>8.8338801799019731</v>
      </c>
      <c r="F29" s="157">
        <f>'Phụ lục số II'!F37</f>
        <v>1681570</v>
      </c>
      <c r="G29" s="157">
        <f>'Phụ lục số II'!G37</f>
        <v>0</v>
      </c>
      <c r="H29" s="157">
        <f>'Phụ lục số II'!H37</f>
        <v>1681570</v>
      </c>
      <c r="I29" s="1068">
        <f>'Phụ lục số II'!I37</f>
        <v>0</v>
      </c>
      <c r="J29" s="1563">
        <f>'Phụ lục số II'!J37</f>
        <v>1</v>
      </c>
      <c r="K29" s="157">
        <f>'Phụ lục số II'!K37</f>
        <v>1681570</v>
      </c>
      <c r="L29" s="157">
        <f>'Phụ lục số II'!L37</f>
        <v>0</v>
      </c>
      <c r="M29" s="157">
        <f>'Phụ lục số II'!M37</f>
        <v>2970480</v>
      </c>
      <c r="N29" s="1068">
        <f>'Phụ lục số II'!N37</f>
        <v>0</v>
      </c>
      <c r="O29" s="1563">
        <f>'Phụ lục số II'!O37</f>
        <v>0</v>
      </c>
      <c r="P29" s="157">
        <f>'Phụ lục số II'!P37</f>
        <v>2970480</v>
      </c>
      <c r="Q29" s="157">
        <f>'Phụ lục số II'!Q37</f>
        <v>0</v>
      </c>
    </row>
    <row r="30" spans="1:17" hidden="1">
      <c r="A30" s="1540" t="s">
        <v>101</v>
      </c>
      <c r="B30" s="151" t="s">
        <v>102</v>
      </c>
      <c r="C30" s="157">
        <f>'Phụ lục số II'!C38</f>
        <v>132921</v>
      </c>
      <c r="D30" s="157">
        <f>'Phụ lục số II'!D38</f>
        <v>132921</v>
      </c>
      <c r="E30" s="157">
        <f>'Phụ lục số II'!E38</f>
        <v>0.69828088476408967</v>
      </c>
      <c r="F30" s="157">
        <f>'Phụ lục số II'!F38</f>
        <v>132921</v>
      </c>
      <c r="G30" s="157">
        <f>'Phụ lục số II'!G38</f>
        <v>0</v>
      </c>
      <c r="H30" s="157">
        <f>'Phụ lục số II'!H38</f>
        <v>132921</v>
      </c>
      <c r="I30" s="1068">
        <f>'Phụ lục số II'!I38</f>
        <v>0</v>
      </c>
      <c r="J30" s="1563">
        <f>'Phụ lục số II'!J38</f>
        <v>1</v>
      </c>
      <c r="K30" s="157">
        <f>'Phụ lục số II'!K38</f>
        <v>132921</v>
      </c>
      <c r="L30" s="157">
        <f>'Phụ lục số II'!L38</f>
        <v>0</v>
      </c>
      <c r="M30" s="157">
        <f>'Phụ lục số II'!M38</f>
        <v>131239</v>
      </c>
      <c r="N30" s="1068">
        <f>'Phụ lục số II'!N38</f>
        <v>0</v>
      </c>
      <c r="O30" s="1563">
        <f>'Phụ lục số II'!O38</f>
        <v>0</v>
      </c>
      <c r="P30" s="157">
        <f>'Phụ lục số II'!P38</f>
        <v>131239</v>
      </c>
      <c r="Q30" s="157">
        <f>'Phụ lục số II'!Q38</f>
        <v>0</v>
      </c>
    </row>
    <row r="31" spans="1:17">
      <c r="A31" s="1555">
        <v>2</v>
      </c>
      <c r="B31" s="1556" t="s">
        <v>179</v>
      </c>
      <c r="C31" s="157">
        <f>'Phụ lục số II'!C39</f>
        <v>174485</v>
      </c>
      <c r="D31" s="157">
        <f>'Phụ lục số II'!D39</f>
        <v>174485</v>
      </c>
      <c r="E31" s="157">
        <f>'Phụ lục số II'!E39</f>
        <v>0.91663123342483266</v>
      </c>
      <c r="F31" s="157">
        <f>'Phụ lục số II'!F39</f>
        <v>174485</v>
      </c>
      <c r="G31" s="157">
        <f>'Phụ lục số II'!G39</f>
        <v>0</v>
      </c>
      <c r="H31" s="157">
        <f>'Phụ lục số II'!H39</f>
        <v>174485</v>
      </c>
      <c r="I31" s="1068">
        <f>'Phụ lục số II'!I39</f>
        <v>0.90020695783933558</v>
      </c>
      <c r="J31" s="1563">
        <f>'Phụ lục số II'!J39</f>
        <v>1</v>
      </c>
      <c r="K31" s="157">
        <f>'Phụ lục số II'!K39</f>
        <v>174485</v>
      </c>
      <c r="L31" s="157">
        <f>'Phụ lục số II'!L39</f>
        <v>0</v>
      </c>
      <c r="M31" s="157">
        <f>'Phụ lục số II'!M39</f>
        <v>195063.8</v>
      </c>
      <c r="N31" s="1068">
        <f>'Phụ lục số II'!N39</f>
        <v>0.89032030586191546</v>
      </c>
      <c r="O31" s="1563">
        <f>'Phụ lục số II'!O39</f>
        <v>0</v>
      </c>
      <c r="P31" s="157">
        <f>'Phụ lục số II'!P39</f>
        <v>195063.8</v>
      </c>
      <c r="Q31" s="157">
        <f>'Phụ lục số II'!Q39</f>
        <v>0</v>
      </c>
    </row>
    <row r="32" spans="1:17" hidden="1">
      <c r="A32" s="1540" t="s">
        <v>99</v>
      </c>
      <c r="B32" s="151" t="s">
        <v>103</v>
      </c>
      <c r="C32" s="157">
        <f>'Phụ lục số II'!C40</f>
        <v>72469</v>
      </c>
      <c r="D32" s="157">
        <f>'Phụ lục số II'!D40</f>
        <v>72469</v>
      </c>
      <c r="E32" s="157">
        <f>'Phụ lục số II'!E40</f>
        <v>0.38070521165179927</v>
      </c>
      <c r="F32" s="157">
        <f>'Phụ lục số II'!F40</f>
        <v>72469</v>
      </c>
      <c r="G32" s="157">
        <f>'Phụ lục số II'!G40</f>
        <v>0</v>
      </c>
      <c r="H32" s="157">
        <f>'Phụ lục số II'!H40</f>
        <v>72469</v>
      </c>
      <c r="I32" s="1068">
        <f>'Phụ lục số II'!I40</f>
        <v>0</v>
      </c>
      <c r="J32" s="1563">
        <f>'Phụ lục số II'!J40</f>
        <v>1</v>
      </c>
      <c r="K32" s="157">
        <f>'Phụ lục số II'!K40</f>
        <v>72469</v>
      </c>
      <c r="L32" s="157">
        <f>'Phụ lục số II'!L40</f>
        <v>0</v>
      </c>
      <c r="M32" s="157">
        <f>'Phụ lục số II'!M40</f>
        <v>86962.8</v>
      </c>
      <c r="N32" s="1068">
        <f>'Phụ lục số II'!N40</f>
        <v>0</v>
      </c>
      <c r="O32" s="1563">
        <f>'Phụ lục số II'!O40</f>
        <v>0</v>
      </c>
      <c r="P32" s="157">
        <f>'Phụ lục số II'!P40</f>
        <v>86962.8</v>
      </c>
      <c r="Q32" s="157">
        <f>'Phụ lục số II'!Q40</f>
        <v>0</v>
      </c>
    </row>
    <row r="33" spans="1:17" hidden="1">
      <c r="A33" s="1540" t="s">
        <v>101</v>
      </c>
      <c r="B33" s="151" t="s">
        <v>102</v>
      </c>
      <c r="C33" s="157">
        <f>'Phụ lục số II'!C41</f>
        <v>102016</v>
      </c>
      <c r="D33" s="157">
        <f>'Phụ lục số II'!D41</f>
        <v>102016</v>
      </c>
      <c r="E33" s="157">
        <f>'Phụ lục số II'!E41</f>
        <v>0.53592602177303339</v>
      </c>
      <c r="F33" s="157">
        <f>'Phụ lục số II'!F41</f>
        <v>102016</v>
      </c>
      <c r="G33" s="157">
        <f>'Phụ lục số II'!G41</f>
        <v>0</v>
      </c>
      <c r="H33" s="157">
        <f>'Phụ lục số II'!H41</f>
        <v>102016</v>
      </c>
      <c r="I33" s="1068">
        <f>'Phụ lục số II'!I41</f>
        <v>0</v>
      </c>
      <c r="J33" s="1563">
        <f>'Phụ lục số II'!J41</f>
        <v>1</v>
      </c>
      <c r="K33" s="157">
        <f>'Phụ lục số II'!K41</f>
        <v>102016</v>
      </c>
      <c r="L33" s="157">
        <f>'Phụ lục số II'!L41</f>
        <v>0</v>
      </c>
      <c r="M33" s="157">
        <f>'Phụ lục số II'!M41</f>
        <v>108101</v>
      </c>
      <c r="N33" s="1068">
        <f>'Phụ lục số II'!N41</f>
        <v>0</v>
      </c>
      <c r="O33" s="1563">
        <f>'Phụ lục số II'!O41</f>
        <v>0</v>
      </c>
      <c r="P33" s="157">
        <f>'Phụ lục số II'!P41</f>
        <v>108101</v>
      </c>
      <c r="Q33" s="157">
        <f>'Phụ lục số II'!Q41</f>
        <v>0</v>
      </c>
    </row>
    <row r="34" spans="1:17">
      <c r="A34" s="1555">
        <v>3</v>
      </c>
      <c r="B34" s="1556" t="s">
        <v>180</v>
      </c>
      <c r="C34" s="157">
        <f>'Phụ lục số II'!C42</f>
        <v>0</v>
      </c>
      <c r="D34" s="157">
        <f>'Phụ lục số II'!D42</f>
        <v>0</v>
      </c>
      <c r="E34" s="157">
        <f>'Phụ lục số II'!E42</f>
        <v>0</v>
      </c>
      <c r="F34" s="157">
        <f>'Phụ lục số II'!F42</f>
        <v>0</v>
      </c>
      <c r="G34" s="157">
        <f>'Phụ lục số II'!G42</f>
        <v>0</v>
      </c>
      <c r="H34" s="157">
        <f>'Phụ lục số II'!H42</f>
        <v>138559</v>
      </c>
      <c r="I34" s="1068">
        <f>'Phụ lục số II'!I42</f>
        <v>0.7148567262014528</v>
      </c>
      <c r="J34" s="1564" t="e">
        <f>'Phụ lục số II'!J42</f>
        <v>#DIV/0!</v>
      </c>
      <c r="K34" s="157">
        <f>'Phụ lục số II'!K42</f>
        <v>138559</v>
      </c>
      <c r="L34" s="157">
        <f>'Phụ lục số II'!L42</f>
        <v>0</v>
      </c>
      <c r="M34" s="157">
        <f>'Phụ lục số II'!M42</f>
        <v>379266</v>
      </c>
      <c r="N34" s="1068">
        <f>'Phụ lục số II'!N42</f>
        <v>1.731065534061293</v>
      </c>
      <c r="O34" s="1563">
        <f>'Phụ lục số II'!O42</f>
        <v>0</v>
      </c>
      <c r="P34" s="157">
        <f>'Phụ lục số II'!P42</f>
        <v>379266</v>
      </c>
      <c r="Q34" s="157">
        <f>'Phụ lục số II'!Q42</f>
        <v>0</v>
      </c>
    </row>
    <row r="35" spans="1:17" hidden="1">
      <c r="A35" s="1540" t="s">
        <v>99</v>
      </c>
      <c r="B35" s="151" t="s">
        <v>104</v>
      </c>
      <c r="C35" s="157">
        <f>'Phụ lục số II'!C43</f>
        <v>0</v>
      </c>
      <c r="D35" s="157">
        <f>'Phụ lục số II'!D43</f>
        <v>0</v>
      </c>
      <c r="E35" s="157">
        <f>'Phụ lục số II'!E43</f>
        <v>0</v>
      </c>
      <c r="F35" s="157">
        <f>'Phụ lục số II'!F43</f>
        <v>0</v>
      </c>
      <c r="G35" s="157">
        <f>'Phụ lục số II'!G43</f>
        <v>0</v>
      </c>
      <c r="H35" s="157">
        <f>'Phụ lục số II'!H43</f>
        <v>0</v>
      </c>
      <c r="I35" s="1068">
        <f>'Phụ lục số II'!I43</f>
        <v>0</v>
      </c>
      <c r="J35" s="1564" t="e">
        <f>'Phụ lục số II'!J43</f>
        <v>#DIV/0!</v>
      </c>
      <c r="K35" s="157">
        <f>'Phụ lục số II'!K43</f>
        <v>0</v>
      </c>
      <c r="L35" s="157">
        <f>'Phụ lục số II'!L43</f>
        <v>0</v>
      </c>
      <c r="M35" s="157">
        <f>'Phụ lục số II'!M43</f>
        <v>0</v>
      </c>
      <c r="N35" s="1068">
        <f>'Phụ lục số II'!N43</f>
        <v>0</v>
      </c>
      <c r="O35" s="1563">
        <f>'Phụ lục số II'!O43</f>
        <v>0</v>
      </c>
      <c r="P35" s="157">
        <f>'Phụ lục số II'!P43</f>
        <v>0</v>
      </c>
      <c r="Q35" s="157">
        <f>'Phụ lục số II'!Q43</f>
        <v>0</v>
      </c>
    </row>
    <row r="36" spans="1:17" hidden="1">
      <c r="A36" s="1540" t="s">
        <v>101</v>
      </c>
      <c r="B36" s="151" t="s">
        <v>105</v>
      </c>
      <c r="C36" s="157">
        <f>'Phụ lục số II'!C44</f>
        <v>0</v>
      </c>
      <c r="D36" s="157">
        <f>'Phụ lục số II'!D44</f>
        <v>0</v>
      </c>
      <c r="E36" s="157">
        <f>'Phụ lục số II'!E44</f>
        <v>0</v>
      </c>
      <c r="F36" s="157">
        <f>'Phụ lục số II'!F44</f>
        <v>0</v>
      </c>
      <c r="G36" s="157">
        <f>'Phụ lục số II'!G44</f>
        <v>0</v>
      </c>
      <c r="H36" s="157">
        <f>'Phụ lục số II'!H44</f>
        <v>138559</v>
      </c>
      <c r="I36" s="1068">
        <f>'Phụ lục số II'!I44</f>
        <v>0</v>
      </c>
      <c r="J36" s="1564" t="e">
        <f>'Phụ lục số II'!J44</f>
        <v>#DIV/0!</v>
      </c>
      <c r="K36" s="157">
        <f>'Phụ lục số II'!K44</f>
        <v>138559</v>
      </c>
      <c r="L36" s="157">
        <f>'Phụ lục số II'!L44</f>
        <v>0</v>
      </c>
      <c r="M36" s="157">
        <f>'Phụ lục số II'!M44</f>
        <v>379266</v>
      </c>
      <c r="N36" s="1068">
        <f>'Phụ lục số II'!N44</f>
        <v>0</v>
      </c>
      <c r="O36" s="1563">
        <f>'Phụ lục số II'!O44</f>
        <v>0</v>
      </c>
      <c r="P36" s="157">
        <f>'Phụ lục số II'!P44</f>
        <v>379266</v>
      </c>
      <c r="Q36" s="157">
        <f>'Phụ lục số II'!Q44</f>
        <v>0</v>
      </c>
    </row>
    <row r="37" spans="1:17" s="4" customFormat="1">
      <c r="A37" s="1553" t="s">
        <v>182</v>
      </c>
      <c r="B37" s="1554" t="s">
        <v>181</v>
      </c>
      <c r="C37" s="142">
        <f>'Phụ lục số II'!C45</f>
        <v>0</v>
      </c>
      <c r="D37" s="142">
        <f>'Phụ lục số II'!D45</f>
        <v>0</v>
      </c>
      <c r="E37" s="142">
        <f>'Phụ lục số II'!E45</f>
        <v>0</v>
      </c>
      <c r="F37" s="142">
        <f>'Phụ lục số II'!F45</f>
        <v>0</v>
      </c>
      <c r="G37" s="142">
        <f>'Phụ lục số II'!G45</f>
        <v>0</v>
      </c>
      <c r="H37" s="142">
        <f>'Phụ lục số II'!H45</f>
        <v>0</v>
      </c>
      <c r="I37" s="1067">
        <f>'Phụ lục số II'!I45</f>
        <v>0</v>
      </c>
      <c r="J37" s="1565" t="e">
        <f>'Phụ lục số II'!J45</f>
        <v>#DIV/0!</v>
      </c>
      <c r="K37" s="142">
        <f>'Phụ lục số II'!K45</f>
        <v>0</v>
      </c>
      <c r="L37" s="142">
        <f>'Phụ lục số II'!L45</f>
        <v>0</v>
      </c>
      <c r="M37" s="142">
        <f>'Phụ lục số II'!M45</f>
        <v>0</v>
      </c>
      <c r="N37" s="1067">
        <f>'Phụ lục số II'!N45</f>
        <v>0</v>
      </c>
      <c r="O37" s="1562">
        <f>'Phụ lục số II'!O45</f>
        <v>0</v>
      </c>
      <c r="P37" s="142">
        <f>'Phụ lục số II'!P45</f>
        <v>0</v>
      </c>
      <c r="Q37" s="142">
        <f>'Phụ lục số II'!Q45</f>
        <v>0</v>
      </c>
    </row>
    <row r="38" spans="1:17" s="4" customFormat="1">
      <c r="A38" s="1551" t="s">
        <v>37</v>
      </c>
      <c r="B38" s="1557" t="s">
        <v>183</v>
      </c>
      <c r="C38" s="142">
        <f>'Phụ lục số II'!C46</f>
        <v>0</v>
      </c>
      <c r="D38" s="142">
        <f>'Phụ lục số II'!D46</f>
        <v>0</v>
      </c>
      <c r="E38" s="142">
        <f>'Phụ lục số II'!E46</f>
        <v>0</v>
      </c>
      <c r="F38" s="142">
        <f>'Phụ lục số II'!F46</f>
        <v>0</v>
      </c>
      <c r="G38" s="142">
        <f>'Phụ lục số II'!G46</f>
        <v>0</v>
      </c>
      <c r="H38" s="142">
        <f>'Phụ lục số II'!H46</f>
        <v>0</v>
      </c>
      <c r="I38" s="1067">
        <f>'Phụ lục số II'!I46</f>
        <v>0</v>
      </c>
      <c r="J38" s="1565" t="e">
        <f>'Phụ lục số II'!J46</f>
        <v>#DIV/0!</v>
      </c>
      <c r="K38" s="142">
        <f>'Phụ lục số II'!K46</f>
        <v>0</v>
      </c>
      <c r="L38" s="142">
        <f>'Phụ lục số II'!L46</f>
        <v>0</v>
      </c>
      <c r="M38" s="142">
        <f>'Phụ lục số II'!M46</f>
        <v>0</v>
      </c>
      <c r="N38" s="1067">
        <f>'Phụ lục số II'!N46</f>
        <v>0</v>
      </c>
      <c r="O38" s="1562">
        <f>'Phụ lục số II'!O46</f>
        <v>0</v>
      </c>
      <c r="P38" s="142">
        <f>'Phụ lục số II'!P46</f>
        <v>0</v>
      </c>
      <c r="Q38" s="142">
        <f>'Phụ lục số II'!Q46</f>
        <v>0</v>
      </c>
    </row>
    <row r="39" spans="1:17" s="4" customFormat="1">
      <c r="A39" s="1558" t="s">
        <v>44</v>
      </c>
      <c r="B39" s="1559" t="s">
        <v>184</v>
      </c>
      <c r="C39" s="184">
        <f>'Phụ lục số II'!C47</f>
        <v>0</v>
      </c>
      <c r="D39" s="184">
        <f>'Phụ lục số II'!D47</f>
        <v>0</v>
      </c>
      <c r="E39" s="184">
        <f>'Phụ lục số II'!E47</f>
        <v>0</v>
      </c>
      <c r="F39" s="184">
        <f>'Phụ lục số II'!F47</f>
        <v>0</v>
      </c>
      <c r="G39" s="184">
        <f>'Phụ lục số II'!G47</f>
        <v>0</v>
      </c>
      <c r="H39" s="184">
        <f>'Phụ lục số II'!H47</f>
        <v>0</v>
      </c>
      <c r="I39" s="1569">
        <f>'Phụ lục số II'!I47</f>
        <v>0</v>
      </c>
      <c r="J39" s="1566" t="e">
        <f>'Phụ lục số II'!J47</f>
        <v>#DIV/0!</v>
      </c>
      <c r="K39" s="184">
        <f>'Phụ lục số II'!K47</f>
        <v>0</v>
      </c>
      <c r="L39" s="184">
        <f>'Phụ lục số II'!L47</f>
        <v>0</v>
      </c>
      <c r="M39" s="184">
        <f>'Phụ lục số II'!M47</f>
        <v>0</v>
      </c>
      <c r="N39" s="1569">
        <f>'Phụ lục số II'!N47</f>
        <v>0</v>
      </c>
      <c r="O39" s="1567">
        <f>'Phụ lục số II'!O47</f>
        <v>0</v>
      </c>
      <c r="P39" s="184">
        <f>'Phụ lục số II'!P47</f>
        <v>0</v>
      </c>
      <c r="Q39" s="184">
        <f>'Phụ lục số II'!Q47</f>
        <v>0</v>
      </c>
    </row>
    <row r="44" spans="1:17">
      <c r="J44" s="1066">
        <f>H9/C9</f>
        <v>1.1127108327406354</v>
      </c>
      <c r="M44" s="1066">
        <f>M11/C11</f>
        <v>1.0555648248128915</v>
      </c>
    </row>
    <row r="45" spans="1:17">
      <c r="M45" s="1066">
        <f>M11/M10</f>
        <v>0.27152422175982988</v>
      </c>
    </row>
    <row r="46" spans="1:17">
      <c r="M46" s="1066">
        <f>M17/M10</f>
        <v>0.70878139747528635</v>
      </c>
    </row>
  </sheetData>
  <mergeCells count="21">
    <mergeCell ref="C7:C8"/>
    <mergeCell ref="D7:D8"/>
    <mergeCell ref="E7:E8"/>
    <mergeCell ref="F7:G7"/>
    <mergeCell ref="H7:H8"/>
    <mergeCell ref="P7:Q7"/>
    <mergeCell ref="A1:Q1"/>
    <mergeCell ref="A2:Q2"/>
    <mergeCell ref="A3:Q3"/>
    <mergeCell ref="O5:Q5"/>
    <mergeCell ref="I7:I8"/>
    <mergeCell ref="J7:J8"/>
    <mergeCell ref="K7:L7"/>
    <mergeCell ref="M7:M8"/>
    <mergeCell ref="N7:N8"/>
    <mergeCell ref="O7:O8"/>
    <mergeCell ref="A6:A8"/>
    <mergeCell ref="B6:B8"/>
    <mergeCell ref="C6:G6"/>
    <mergeCell ref="H6:L6"/>
    <mergeCell ref="M6:Q6"/>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66"/>
  <sheetViews>
    <sheetView workbookViewId="0">
      <selection activeCell="A6" sqref="A6:A7"/>
    </sheetView>
  </sheetViews>
  <sheetFormatPr defaultColWidth="9.109375" defaultRowHeight="15.6"/>
  <cols>
    <col min="1" max="1" width="5.33203125" style="1" customWidth="1"/>
    <col min="2" max="2" width="89" style="1" customWidth="1"/>
    <col min="3" max="11" width="11.5546875" style="1" customWidth="1"/>
    <col min="12" max="16384" width="9.109375" style="1"/>
  </cols>
  <sheetData>
    <row r="1" spans="1:11">
      <c r="A1" s="6056" t="s">
        <v>230</v>
      </c>
      <c r="B1" s="6056"/>
      <c r="C1" s="6056"/>
      <c r="D1" s="6056"/>
      <c r="E1" s="6056"/>
      <c r="F1" s="6056"/>
      <c r="G1" s="6056"/>
      <c r="H1" s="6056"/>
      <c r="I1" s="6056"/>
      <c r="J1" s="6056"/>
      <c r="K1" s="6056"/>
    </row>
    <row r="2" spans="1:11" ht="16.2">
      <c r="A2" s="6589" t="s">
        <v>232</v>
      </c>
      <c r="B2" s="6589"/>
      <c r="C2" s="6589"/>
      <c r="D2" s="6589"/>
      <c r="E2" s="6589"/>
      <c r="F2" s="6589"/>
      <c r="G2" s="6589"/>
      <c r="H2" s="6589"/>
      <c r="I2" s="6589"/>
      <c r="J2" s="6589"/>
      <c r="K2" s="6589"/>
    </row>
    <row r="3" spans="1:11">
      <c r="A3" s="6059" t="str">
        <f>+'PHỤ LỤC 2 TRÌNH'!A3:Q3</f>
        <v>(Kèm theo Công văn số         /STC-QLNS ngày       tháng 8 năm 2024 của Sở Tài chính)</v>
      </c>
      <c r="B3" s="6059"/>
      <c r="C3" s="6059"/>
      <c r="D3" s="6059"/>
      <c r="E3" s="6059"/>
      <c r="F3" s="6059"/>
      <c r="G3" s="6059"/>
      <c r="H3" s="6059"/>
      <c r="I3" s="6059"/>
      <c r="J3" s="6059"/>
      <c r="K3" s="6059"/>
    </row>
    <row r="5" spans="1:11" ht="16.2" thickBot="1"/>
    <row r="6" spans="1:11" ht="16.2" thickTop="1">
      <c r="A6" s="6714" t="s">
        <v>200</v>
      </c>
      <c r="B6" s="6716" t="s">
        <v>201</v>
      </c>
      <c r="C6" s="6556" t="s">
        <v>219</v>
      </c>
      <c r="D6" s="6556"/>
      <c r="E6" s="6556"/>
      <c r="F6" s="6556" t="s">
        <v>223</v>
      </c>
      <c r="G6" s="6556"/>
      <c r="H6" s="6556"/>
      <c r="I6" s="6527" t="s">
        <v>224</v>
      </c>
      <c r="J6" s="6527"/>
      <c r="K6" s="6527"/>
    </row>
    <row r="7" spans="1:11">
      <c r="A7" s="6715"/>
      <c r="B7" s="6354"/>
      <c r="C7" s="1585" t="s">
        <v>220</v>
      </c>
      <c r="D7" s="1586" t="s">
        <v>221</v>
      </c>
      <c r="E7" s="1586" t="s">
        <v>222</v>
      </c>
      <c r="F7" s="1537" t="s">
        <v>220</v>
      </c>
      <c r="G7" s="1539" t="s">
        <v>221</v>
      </c>
      <c r="H7" s="1539" t="s">
        <v>222</v>
      </c>
      <c r="I7" s="1537" t="s">
        <v>220</v>
      </c>
      <c r="J7" s="1539" t="s">
        <v>221</v>
      </c>
      <c r="K7" s="1539" t="s">
        <v>222</v>
      </c>
    </row>
    <row r="8" spans="1:11">
      <c r="A8" s="1587" t="s">
        <v>1</v>
      </c>
      <c r="B8" s="1588" t="s">
        <v>233</v>
      </c>
      <c r="C8" s="1589">
        <f>SUM(D8:E8)</f>
        <v>24118786.609999999</v>
      </c>
      <c r="D8" s="1589">
        <f>SUM(D12+D18+D30+D31)</f>
        <v>14210383.162</v>
      </c>
      <c r="E8" s="1589">
        <f t="shared" ref="E8" si="0">SUM(E12+E18+E30+E31)</f>
        <v>9908403.4479999989</v>
      </c>
      <c r="F8" s="1589">
        <f>SUM(G8:H8)</f>
        <v>24466088.480347648</v>
      </c>
      <c r="G8" s="1589">
        <f>SUM(G12+G18+G30+G31)</f>
        <v>14808565.560735388</v>
      </c>
      <c r="H8" s="1589">
        <f t="shared" ref="H8" si="1">SUM(H12+H18+H30+H31)</f>
        <v>9657522.9196122605</v>
      </c>
      <c r="I8" s="1589">
        <f>SUM(J8:K8)</f>
        <v>26992719.477745105</v>
      </c>
      <c r="J8" s="1589">
        <f>SUM(J12+J18+J30+J31)</f>
        <v>18182896.264020003</v>
      </c>
      <c r="K8" s="1589">
        <f t="shared" ref="K8" si="2">SUM(K12+K18+K30+K31)</f>
        <v>8809823.2137251012</v>
      </c>
    </row>
    <row r="9" spans="1:11">
      <c r="A9" s="1590"/>
      <c r="B9" s="732" t="s">
        <v>234</v>
      </c>
      <c r="C9" s="1591"/>
      <c r="D9" s="1591"/>
      <c r="E9" s="1591"/>
      <c r="F9" s="147"/>
      <c r="G9" s="147"/>
      <c r="H9" s="147"/>
      <c r="I9" s="152"/>
      <c r="J9" s="152"/>
      <c r="K9" s="152"/>
    </row>
    <row r="10" spans="1:11">
      <c r="A10" s="1590"/>
      <c r="B10" s="732" t="s">
        <v>235</v>
      </c>
      <c r="C10" s="1591">
        <f>SUM(D10:E10)</f>
        <v>21710344.262000002</v>
      </c>
      <c r="D10" s="1591">
        <f>SUM(D12,D19,D28,D30)</f>
        <v>12221407.162</v>
      </c>
      <c r="E10" s="1591">
        <f>SUM(E12,E19,E28,E30)</f>
        <v>9488937.0999999996</v>
      </c>
      <c r="F10" s="147">
        <f>SUM(G10:H10)</f>
        <v>21919087.132347651</v>
      </c>
      <c r="G10" s="1591">
        <f>SUM(G12,G19,G28,G30)</f>
        <v>12681030.560735388</v>
      </c>
      <c r="H10" s="1591">
        <f>SUM(H12,H19,H28,H30)</f>
        <v>9238056.5716122612</v>
      </c>
      <c r="I10" s="147">
        <f>SUM(J10:K10)</f>
        <v>22897204.329745106</v>
      </c>
      <c r="J10" s="1591">
        <f>SUM(J12,J19,J28,J30)</f>
        <v>14506847.464020004</v>
      </c>
      <c r="K10" s="1591">
        <f>SUM(K12,K19,K28,K30)</f>
        <v>8390356.8657251</v>
      </c>
    </row>
    <row r="11" spans="1:11">
      <c r="A11" s="1590"/>
      <c r="B11" s="732" t="s">
        <v>236</v>
      </c>
      <c r="C11" s="1591">
        <f>SUM(D11:E11)</f>
        <v>17545290.100000001</v>
      </c>
      <c r="D11" s="1591">
        <f>D10-D14-D15-D16</f>
        <v>9199353</v>
      </c>
      <c r="E11" s="1591">
        <f t="shared" ref="E11" si="3">E10-E14-E15-E16</f>
        <v>8345937.0999999996</v>
      </c>
      <c r="F11" s="147">
        <f>SUM(G11:H11)</f>
        <v>17754032.97034765</v>
      </c>
      <c r="G11" s="1591">
        <f>G10-G14-G15-G16</f>
        <v>9658976.3987353873</v>
      </c>
      <c r="H11" s="1591">
        <f t="shared" ref="H11" si="4">H10-H14-H15-H16</f>
        <v>8095056.5716122612</v>
      </c>
      <c r="I11" s="147">
        <f>SUM(J11:K11)</f>
        <v>19110204.329745106</v>
      </c>
      <c r="J11" s="1591">
        <f>J10-J14-J15-J16</f>
        <v>11979847.464020004</v>
      </c>
      <c r="K11" s="1591">
        <f>K10-K14-K15-K16</f>
        <v>7130356.8657251</v>
      </c>
    </row>
    <row r="12" spans="1:11">
      <c r="A12" s="1590" t="s">
        <v>3</v>
      </c>
      <c r="B12" s="732" t="s">
        <v>202</v>
      </c>
      <c r="C12" s="1591">
        <f>SUM(D12:E12)</f>
        <v>8892984.1620000005</v>
      </c>
      <c r="D12" s="1591">
        <f>'Phụ lục số I'!H10</f>
        <v>4953904.1620000005</v>
      </c>
      <c r="E12" s="1591">
        <f>'Phụ lục số I'!I10</f>
        <v>3939080</v>
      </c>
      <c r="F12" s="147">
        <f>SUM(G12:H12)</f>
        <v>8321554.0323476484</v>
      </c>
      <c r="G12" s="147">
        <f>'Phụ lục số I'!O10</f>
        <v>4903753.5607353877</v>
      </c>
      <c r="H12" s="147">
        <f>'Phụ lục số I'!P10</f>
        <v>3417800.4716122607</v>
      </c>
      <c r="I12" s="147">
        <f>SUM(J12:K12)</f>
        <v>8582919.8297451045</v>
      </c>
      <c r="J12" s="147">
        <f>'Phụ lục số I'!U10</f>
        <v>4856420.0640200041</v>
      </c>
      <c r="K12" s="147">
        <f>'Phụ lục số I'!V10</f>
        <v>3726499.7657251004</v>
      </c>
    </row>
    <row r="13" spans="1:11">
      <c r="A13" s="1590"/>
      <c r="B13" s="732" t="s">
        <v>186</v>
      </c>
      <c r="C13" s="152"/>
      <c r="D13" s="152"/>
      <c r="E13" s="152"/>
      <c r="F13" s="152"/>
      <c r="G13" s="152"/>
      <c r="H13" s="152"/>
      <c r="I13" s="152"/>
      <c r="J13" s="152"/>
      <c r="K13" s="152"/>
    </row>
    <row r="14" spans="1:11">
      <c r="A14" s="1592"/>
      <c r="B14" s="829" t="s">
        <v>242</v>
      </c>
      <c r="C14" s="1593">
        <f>SUM(D14:E14)</f>
        <v>1770000</v>
      </c>
      <c r="D14" s="1593">
        <f>'Phụ lục số I'!H42</f>
        <v>627000</v>
      </c>
      <c r="E14" s="1593">
        <f>'Phụ lục số I'!I42</f>
        <v>1143000</v>
      </c>
      <c r="F14" s="263">
        <f>SUM(G14:H14)</f>
        <v>1770000</v>
      </c>
      <c r="G14" s="263">
        <f>'Phụ lục số I'!O42</f>
        <v>627000</v>
      </c>
      <c r="H14" s="263">
        <f>'Phụ lục số I'!P42</f>
        <v>1143000</v>
      </c>
      <c r="I14" s="263">
        <f>SUM(J14:K14)</f>
        <v>1800000</v>
      </c>
      <c r="J14" s="263">
        <f>'Phụ lục số I'!U42</f>
        <v>540000</v>
      </c>
      <c r="K14" s="263">
        <f>'Phụ lục số I'!V42</f>
        <v>1260000</v>
      </c>
    </row>
    <row r="15" spans="1:11">
      <c r="A15" s="1592"/>
      <c r="B15" s="1594" t="s">
        <v>243</v>
      </c>
      <c r="C15" s="1593">
        <f>SUM(D15:E15)</f>
        <v>1950000</v>
      </c>
      <c r="D15" s="1593">
        <f>'Phụ lục số I'!H50</f>
        <v>1950000</v>
      </c>
      <c r="E15" s="1593">
        <f>'Phụ lục số I'!I50</f>
        <v>0</v>
      </c>
      <c r="F15" s="263">
        <f t="shared" ref="F15:F17" si="5">SUM(G15:H15)</f>
        <v>1950000</v>
      </c>
      <c r="G15" s="263">
        <f>'Phụ lục số I'!O50</f>
        <v>1950000</v>
      </c>
      <c r="H15" s="263">
        <f>'Phụ lục số I'!P50</f>
        <v>0</v>
      </c>
      <c r="I15" s="263">
        <f t="shared" ref="I15:I17" si="6">SUM(J15:K15)</f>
        <v>1950000</v>
      </c>
      <c r="J15" s="263">
        <f>'Phụ lục số I'!U50</f>
        <v>1950000</v>
      </c>
      <c r="K15" s="263">
        <f>'Phụ lục số I'!V50</f>
        <v>0</v>
      </c>
    </row>
    <row r="16" spans="1:11">
      <c r="A16" s="1592"/>
      <c r="B16" s="1594" t="s">
        <v>244</v>
      </c>
      <c r="C16" s="1593">
        <f>SUM(D16:E16)</f>
        <v>445054.16200000001</v>
      </c>
      <c r="D16" s="1593">
        <f>'Phụ lục số I'!H47</f>
        <v>445054.16200000001</v>
      </c>
      <c r="E16" s="1593">
        <f>'Phụ lục số I'!I47</f>
        <v>0</v>
      </c>
      <c r="F16" s="263">
        <f t="shared" si="5"/>
        <v>445054.16200000001</v>
      </c>
      <c r="G16" s="263">
        <f>'Phụ lục số I'!O47</f>
        <v>445054.16200000001</v>
      </c>
      <c r="H16" s="263">
        <f>'Phụ lục số I'!P47</f>
        <v>0</v>
      </c>
      <c r="I16" s="263">
        <f t="shared" si="6"/>
        <v>37000</v>
      </c>
      <c r="J16" s="263">
        <f>'Phụ lục số I'!U47</f>
        <v>37000</v>
      </c>
      <c r="K16" s="263">
        <f>'Phụ lục số I'!V47</f>
        <v>0</v>
      </c>
    </row>
    <row r="17" spans="1:11">
      <c r="A17" s="1592"/>
      <c r="B17" s="1594" t="s">
        <v>245</v>
      </c>
      <c r="C17" s="1593">
        <f t="shared" ref="C17" si="7">SUM(D17:E17)</f>
        <v>4727930</v>
      </c>
      <c r="D17" s="1593">
        <f>D12-D14-D15-D16</f>
        <v>1931850.0000000005</v>
      </c>
      <c r="E17" s="1593">
        <f t="shared" ref="E17" si="8">E12-E14-E15-E16</f>
        <v>2796080</v>
      </c>
      <c r="F17" s="263">
        <f t="shared" si="5"/>
        <v>4156499.8703476484</v>
      </c>
      <c r="G17" s="1593">
        <f>G12-G14-G15-G16</f>
        <v>1881699.3987353877</v>
      </c>
      <c r="H17" s="1595">
        <f t="shared" ref="H17" si="9">H12-H14-H15-H16</f>
        <v>2274800.4716122607</v>
      </c>
      <c r="I17" s="263">
        <f t="shared" si="6"/>
        <v>4795919.8297451045</v>
      </c>
      <c r="J17" s="1595">
        <f>J12-J14-J15-J16</f>
        <v>2329420.0640200041</v>
      </c>
      <c r="K17" s="1595">
        <f t="shared" ref="K17" si="10">K12-K14-K15-K16</f>
        <v>2466499.7657251004</v>
      </c>
    </row>
    <row r="18" spans="1:11">
      <c r="A18" s="1590" t="s">
        <v>33</v>
      </c>
      <c r="B18" s="732" t="s">
        <v>203</v>
      </c>
      <c r="C18" s="1591">
        <f>SUM(C19:C20)</f>
        <v>14339802.447999999</v>
      </c>
      <c r="D18" s="1591">
        <f t="shared" ref="D18:H18" si="11">SUM(D19:D20)</f>
        <v>9256479</v>
      </c>
      <c r="E18" s="1591">
        <f t="shared" si="11"/>
        <v>5083323.4479999999</v>
      </c>
      <c r="F18" s="1591">
        <f>SUM(F19:F20)</f>
        <v>14988135.447999999</v>
      </c>
      <c r="G18" s="1591">
        <f t="shared" si="11"/>
        <v>9904812</v>
      </c>
      <c r="H18" s="147">
        <f t="shared" si="11"/>
        <v>5083323.4479999999</v>
      </c>
      <c r="I18" s="147">
        <f>SUM(I19:I20)</f>
        <v>18409799.248</v>
      </c>
      <c r="J18" s="147">
        <f>SUM(J19:J20)</f>
        <v>13326475.800000001</v>
      </c>
      <c r="K18" s="147">
        <f t="shared" ref="K18" si="12">SUM(K19:K20)</f>
        <v>5083323.4479999999</v>
      </c>
    </row>
    <row r="19" spans="1:11">
      <c r="A19" s="1590">
        <v>1</v>
      </c>
      <c r="B19" s="732" t="s">
        <v>205</v>
      </c>
      <c r="C19" s="1591">
        <f>SUM(D19:E19)</f>
        <v>11048111</v>
      </c>
      <c r="D19" s="1591">
        <f>'Phụ lục số I'!H56</f>
        <v>6617188</v>
      </c>
      <c r="E19" s="1591">
        <f>'[3]TỔNG CỘNG'!$C$40</f>
        <v>4430923</v>
      </c>
      <c r="F19" s="147">
        <f>SUM(G19:H19)</f>
        <v>11048111</v>
      </c>
      <c r="G19" s="147">
        <f>'Phụ lục số I'!O56</f>
        <v>6617188</v>
      </c>
      <c r="H19" s="147">
        <f>E19</f>
        <v>4430923</v>
      </c>
      <c r="I19" s="147">
        <f>SUM(J19:K19)</f>
        <v>11048111</v>
      </c>
      <c r="J19" s="147">
        <f>'Phụ lục số I'!U56</f>
        <v>6617188</v>
      </c>
      <c r="K19" s="147">
        <f>H19</f>
        <v>4430923</v>
      </c>
    </row>
    <row r="20" spans="1:11">
      <c r="A20" s="1590">
        <v>2</v>
      </c>
      <c r="B20" s="732" t="s">
        <v>207</v>
      </c>
      <c r="C20" s="1591">
        <f>SUM(C21,C24,C27)</f>
        <v>3291691.4479999999</v>
      </c>
      <c r="D20" s="1591">
        <f t="shared" ref="D20:H20" si="13">SUM(D21,D24,D27)</f>
        <v>2639291</v>
      </c>
      <c r="E20" s="1591">
        <f t="shared" si="13"/>
        <v>652400.44799999997</v>
      </c>
      <c r="F20" s="1591">
        <f>SUM(F21,F24,F27)</f>
        <v>3940024.4479999999</v>
      </c>
      <c r="G20" s="1591">
        <f t="shared" si="13"/>
        <v>3287624</v>
      </c>
      <c r="H20" s="147">
        <f t="shared" si="13"/>
        <v>652400.44799999997</v>
      </c>
      <c r="I20" s="147">
        <f>SUM(I21,I24,I27)</f>
        <v>7361688.2479999997</v>
      </c>
      <c r="J20" s="147">
        <f t="shared" ref="J20:K20" si="14">SUM(J21,J24,J27)</f>
        <v>6709287.7999999998</v>
      </c>
      <c r="K20" s="147">
        <f t="shared" si="14"/>
        <v>652400.44799999997</v>
      </c>
    </row>
    <row r="21" spans="1:11">
      <c r="A21" s="1596" t="s">
        <v>204</v>
      </c>
      <c r="B21" s="151" t="s">
        <v>42</v>
      </c>
      <c r="C21" s="1597">
        <f>SUM(C22:C23)</f>
        <v>1814491</v>
      </c>
      <c r="D21" s="1597">
        <f t="shared" ref="D21:K21" si="15">SUM(D22:D23)</f>
        <v>1814491</v>
      </c>
      <c r="E21" s="1597">
        <f t="shared" si="15"/>
        <v>0</v>
      </c>
      <c r="F21" s="1597">
        <f>SUM(F22:F23)</f>
        <v>1814491</v>
      </c>
      <c r="G21" s="1597">
        <f t="shared" si="15"/>
        <v>1814491</v>
      </c>
      <c r="H21" s="152">
        <f t="shared" si="15"/>
        <v>0</v>
      </c>
      <c r="I21" s="152">
        <f>SUM(I22:I23)</f>
        <v>3101719</v>
      </c>
      <c r="J21" s="152">
        <f>SUM(J22:J23)</f>
        <v>3101719</v>
      </c>
      <c r="K21" s="152">
        <f t="shared" si="15"/>
        <v>0</v>
      </c>
    </row>
    <row r="22" spans="1:11" hidden="1">
      <c r="A22" s="1596" t="s">
        <v>99</v>
      </c>
      <c r="B22" s="151" t="s">
        <v>100</v>
      </c>
      <c r="C22" s="1597">
        <f>SUM(D22:E22)</f>
        <v>1681570</v>
      </c>
      <c r="D22" s="1597">
        <f>'Phụ lục số I'!H60</f>
        <v>1681570</v>
      </c>
      <c r="E22" s="1597"/>
      <c r="F22" s="152">
        <f>SUM(G22:H22)</f>
        <v>1681570</v>
      </c>
      <c r="G22" s="152">
        <f>'Phụ lục số I'!O60</f>
        <v>1681570</v>
      </c>
      <c r="H22" s="152"/>
      <c r="I22" s="152">
        <f>SUM(J22:K22)</f>
        <v>2970480</v>
      </c>
      <c r="J22" s="152">
        <f>'Phụ lục số I'!U60</f>
        <v>2970480</v>
      </c>
      <c r="K22" s="152"/>
    </row>
    <row r="23" spans="1:11" hidden="1">
      <c r="A23" s="1596" t="s">
        <v>101</v>
      </c>
      <c r="B23" s="151" t="s">
        <v>102</v>
      </c>
      <c r="C23" s="1597">
        <f t="shared" ref="C23" si="16">SUM(D23:E23)</f>
        <v>132921</v>
      </c>
      <c r="D23" s="1597">
        <f>'Phụ lục số I'!H61</f>
        <v>132921</v>
      </c>
      <c r="E23" s="1597"/>
      <c r="F23" s="152">
        <f>SUM(G23:H23)</f>
        <v>132921</v>
      </c>
      <c r="G23" s="152">
        <f>'Phụ lục số I'!O61</f>
        <v>132921</v>
      </c>
      <c r="H23" s="152"/>
      <c r="I23" s="152">
        <f>SUM(J23:K23)</f>
        <v>131239</v>
      </c>
      <c r="J23" s="152">
        <f>'Phụ lục số I'!U61</f>
        <v>131239</v>
      </c>
      <c r="K23" s="152"/>
    </row>
    <row r="24" spans="1:11">
      <c r="A24" s="1596" t="s">
        <v>206</v>
      </c>
      <c r="B24" s="151" t="s">
        <v>43</v>
      </c>
      <c r="C24" s="1597">
        <f>SUM(C25:C26)</f>
        <v>500283</v>
      </c>
      <c r="D24" s="1597">
        <f t="shared" ref="D24:K24" si="17">SUM(D25:D26)</f>
        <v>174485</v>
      </c>
      <c r="E24" s="1597">
        <f t="shared" si="17"/>
        <v>325798</v>
      </c>
      <c r="F24" s="1597">
        <f>SUM(F25:F26)</f>
        <v>500283</v>
      </c>
      <c r="G24" s="1597">
        <f t="shared" si="17"/>
        <v>174485</v>
      </c>
      <c r="H24" s="152">
        <f t="shared" si="17"/>
        <v>325798</v>
      </c>
      <c r="I24" s="152">
        <f>SUM(I25:I26)</f>
        <v>520861.8</v>
      </c>
      <c r="J24" s="152">
        <f t="shared" si="17"/>
        <v>195063.8</v>
      </c>
      <c r="K24" s="152">
        <f t="shared" si="17"/>
        <v>325798</v>
      </c>
    </row>
    <row r="25" spans="1:11" hidden="1">
      <c r="A25" s="1596" t="s">
        <v>99</v>
      </c>
      <c r="B25" s="151" t="s">
        <v>103</v>
      </c>
      <c r="C25" s="1597">
        <f>SUM(D25:E25)</f>
        <v>398267</v>
      </c>
      <c r="D25" s="1597">
        <f>'Phụ lục số I'!H63</f>
        <v>72469</v>
      </c>
      <c r="E25" s="1597">
        <f>'[3]TỔNG CỘNG'!$C$41-'[3]TỔNG CỘNG'!$C$45-'[3]TỔNG CỘNG'!$C$44</f>
        <v>325798</v>
      </c>
      <c r="F25" s="152">
        <f>SUM(G25:H25)</f>
        <v>398267</v>
      </c>
      <c r="G25" s="152">
        <f>'Phụ lục số I'!O63</f>
        <v>72469</v>
      </c>
      <c r="H25" s="152">
        <f>E25</f>
        <v>325798</v>
      </c>
      <c r="I25" s="152">
        <f>SUM(J25:K25)</f>
        <v>412760.8</v>
      </c>
      <c r="J25" s="152">
        <f>'Phụ lục số I'!U63</f>
        <v>86962.8</v>
      </c>
      <c r="K25" s="152">
        <f>H25</f>
        <v>325798</v>
      </c>
    </row>
    <row r="26" spans="1:11" hidden="1">
      <c r="A26" s="1596" t="s">
        <v>101</v>
      </c>
      <c r="B26" s="151" t="s">
        <v>102</v>
      </c>
      <c r="C26" s="1597">
        <f t="shared" ref="C26" si="18">SUM(D26:E26)</f>
        <v>102016</v>
      </c>
      <c r="D26" s="1597">
        <f>'Phụ lục số I'!H64</f>
        <v>102016</v>
      </c>
      <c r="E26" s="1597"/>
      <c r="F26" s="152">
        <f>SUM(G26:H26)</f>
        <v>102016</v>
      </c>
      <c r="G26" s="152">
        <f>'Phụ lục số I'!O64</f>
        <v>102016</v>
      </c>
      <c r="H26" s="152"/>
      <c r="I26" s="152">
        <f>SUM(J26:K26)</f>
        <v>108101</v>
      </c>
      <c r="J26" s="152">
        <f>'Phụ lục số I'!U64</f>
        <v>108101</v>
      </c>
      <c r="K26" s="152"/>
    </row>
    <row r="27" spans="1:11">
      <c r="A27" s="1596" t="s">
        <v>237</v>
      </c>
      <c r="B27" s="37" t="s">
        <v>106</v>
      </c>
      <c r="C27" s="1597">
        <f>SUM(C28:C29)</f>
        <v>976917.44799999997</v>
      </c>
      <c r="D27" s="1597">
        <f t="shared" ref="D27:K27" si="19">SUM(D28:D29)</f>
        <v>650315</v>
      </c>
      <c r="E27" s="1597">
        <f t="shared" si="19"/>
        <v>326602.44799999997</v>
      </c>
      <c r="F27" s="1597">
        <f>SUM(F28:F29)</f>
        <v>1625250.4480000001</v>
      </c>
      <c r="G27" s="1597">
        <f t="shared" si="19"/>
        <v>1298648</v>
      </c>
      <c r="H27" s="152">
        <f t="shared" si="19"/>
        <v>326602.44799999997</v>
      </c>
      <c r="I27" s="152">
        <f>SUM(I28:I29)</f>
        <v>3739107.4479999999</v>
      </c>
      <c r="J27" s="152">
        <f t="shared" si="19"/>
        <v>3412505</v>
      </c>
      <c r="K27" s="152">
        <f t="shared" si="19"/>
        <v>326602.44799999997</v>
      </c>
    </row>
    <row r="28" spans="1:11" hidden="1">
      <c r="A28" s="1596" t="s">
        <v>99</v>
      </c>
      <c r="B28" s="151" t="s">
        <v>104</v>
      </c>
      <c r="C28" s="1597">
        <f t="shared" ref="C28:C33" si="20">SUM(D28:E28)</f>
        <v>883249.1</v>
      </c>
      <c r="D28" s="1597">
        <f>'Phụ lục số I'!H66</f>
        <v>650315</v>
      </c>
      <c r="E28" s="1597">
        <f>'[3]TỔNG CỘNG'!$C$44+0.1</f>
        <v>232934.1</v>
      </c>
      <c r="F28" s="152">
        <f>SUM(G28:H28)</f>
        <v>1393023.1</v>
      </c>
      <c r="G28" s="152">
        <f>'Phụ lục số I'!O66</f>
        <v>1160089</v>
      </c>
      <c r="H28" s="152">
        <f>E28</f>
        <v>232934.1</v>
      </c>
      <c r="I28" s="152">
        <f>SUM(J28:K28)</f>
        <v>3266173.1</v>
      </c>
      <c r="J28" s="152">
        <f>'Phụ lục số I'!U66</f>
        <v>3033239</v>
      </c>
      <c r="K28" s="152">
        <f>H28</f>
        <v>232934.1</v>
      </c>
    </row>
    <row r="29" spans="1:11" hidden="1">
      <c r="A29" s="1596" t="s">
        <v>101</v>
      </c>
      <c r="B29" s="151" t="s">
        <v>105</v>
      </c>
      <c r="C29" s="1597">
        <f t="shared" si="20"/>
        <v>93668.347999999998</v>
      </c>
      <c r="D29" s="1597">
        <f>'Phụ lục số I'!H67</f>
        <v>0</v>
      </c>
      <c r="E29" s="1597">
        <f>'[3]TỔNG CỘNG'!$C$45</f>
        <v>93668.347999999998</v>
      </c>
      <c r="F29" s="152">
        <f>SUM(G29:H29)</f>
        <v>232227.348</v>
      </c>
      <c r="G29" s="152">
        <f>'Phụ lục số I'!O67</f>
        <v>138559</v>
      </c>
      <c r="H29" s="152">
        <f>E29</f>
        <v>93668.347999999998</v>
      </c>
      <c r="I29" s="152">
        <f>SUM(J29:K29)</f>
        <v>472934.348</v>
      </c>
      <c r="J29" s="152">
        <f>'Phụ lục số I'!U67</f>
        <v>379266</v>
      </c>
      <c r="K29" s="152">
        <f>H29</f>
        <v>93668.347999999998</v>
      </c>
    </row>
    <row r="30" spans="1:11">
      <c r="A30" s="1590" t="s">
        <v>182</v>
      </c>
      <c r="B30" s="39" t="s">
        <v>45</v>
      </c>
      <c r="C30" s="1591">
        <f t="shared" si="20"/>
        <v>886000</v>
      </c>
      <c r="D30" s="1591">
        <f>'Phụ lục số I'!H68</f>
        <v>0</v>
      </c>
      <c r="E30" s="1591">
        <f>'Phụ lục số I'!I68</f>
        <v>886000</v>
      </c>
      <c r="F30" s="147">
        <f>SUM(G30:H30)</f>
        <v>1156399</v>
      </c>
      <c r="G30" s="147">
        <f>'Phụ lục số I'!O68</f>
        <v>0</v>
      </c>
      <c r="H30" s="147">
        <f>'Phụ lục số I'!P68</f>
        <v>1156399</v>
      </c>
      <c r="I30" s="147">
        <f t="shared" ref="I30:I33" si="21">SUM(J30:K30)</f>
        <v>0.40000000001455194</v>
      </c>
      <c r="J30" s="147">
        <f>'Phụ lục số I'!U68</f>
        <v>0.40000000001455194</v>
      </c>
      <c r="K30" s="147">
        <f>'Phụ lục số I'!V68</f>
        <v>0</v>
      </c>
    </row>
    <row r="31" spans="1:11">
      <c r="A31" s="1590" t="s">
        <v>215</v>
      </c>
      <c r="B31" s="39" t="s">
        <v>47</v>
      </c>
      <c r="C31" s="1591">
        <f t="shared" si="20"/>
        <v>0</v>
      </c>
      <c r="D31" s="1591">
        <f>'Phụ lục số I'!H69</f>
        <v>0</v>
      </c>
      <c r="E31" s="1591">
        <f>'Phụ lục số I'!I69</f>
        <v>0</v>
      </c>
      <c r="F31" s="147">
        <f t="shared" ref="F31:F33" si="22">SUM(G31:H31)</f>
        <v>0</v>
      </c>
      <c r="G31" s="147">
        <f>'Phụ lục số I'!O69</f>
        <v>0</v>
      </c>
      <c r="H31" s="147">
        <f>'Phụ lục số I'!P69</f>
        <v>0</v>
      </c>
      <c r="I31" s="147">
        <f t="shared" si="21"/>
        <v>0</v>
      </c>
      <c r="J31" s="147">
        <f>'Phụ lục số I'!U69</f>
        <v>0</v>
      </c>
      <c r="K31" s="147">
        <f>'Phụ lục số I'!V69</f>
        <v>0</v>
      </c>
    </row>
    <row r="32" spans="1:11">
      <c r="A32" s="1598" t="s">
        <v>37</v>
      </c>
      <c r="B32" s="1599" t="s">
        <v>238</v>
      </c>
      <c r="C32" s="1600">
        <f t="shared" si="20"/>
        <v>24118786.526000001</v>
      </c>
      <c r="D32" s="1600">
        <f>D33+D53+D63+D64</f>
        <v>14210383.177999999</v>
      </c>
      <c r="E32" s="1600">
        <f>E33+E53+E63+E64</f>
        <v>9908403.3479999993</v>
      </c>
      <c r="F32" s="1600">
        <f t="shared" si="22"/>
        <v>24466088.542239718</v>
      </c>
      <c r="G32" s="1600">
        <f>G33+G53+G63+G64</f>
        <v>14512923.706989277</v>
      </c>
      <c r="H32" s="1600">
        <f>H33+H53+H63+H64</f>
        <v>9953164.8352504428</v>
      </c>
      <c r="I32" s="1600">
        <f t="shared" si="21"/>
        <v>26992719.281801574</v>
      </c>
      <c r="J32" s="1600">
        <f>J33+J53+J63+J64</f>
        <v>16058325.22197248</v>
      </c>
      <c r="K32" s="1600">
        <f>K33+K53+K63+K64</f>
        <v>10934394.059829095</v>
      </c>
    </row>
    <row r="33" spans="1:11">
      <c r="A33" s="1590" t="s">
        <v>3</v>
      </c>
      <c r="B33" s="732" t="s">
        <v>142</v>
      </c>
      <c r="C33" s="1591">
        <f t="shared" si="20"/>
        <v>17046487.078000002</v>
      </c>
      <c r="D33" s="1591">
        <f>SUM(D34,D40,D47,D48,D49,D50,D51,D52)</f>
        <v>7138083.7300000004</v>
      </c>
      <c r="E33" s="1591">
        <f>SUM(E34,E40,E47,E48,E49,E50,E51,E52)</f>
        <v>9908403.3479999993</v>
      </c>
      <c r="F33" s="1591">
        <f t="shared" si="22"/>
        <v>17255230.094239719</v>
      </c>
      <c r="G33" s="1591">
        <f>SUM(G34,G40,G47,G48,G49,G50,G51,G52)</f>
        <v>7302065.2589892773</v>
      </c>
      <c r="H33" s="1591">
        <f>SUM(H34,H40,H47,H48,H49,H50,H51,H52)</f>
        <v>9953164.8352504428</v>
      </c>
      <c r="I33" s="1591">
        <f t="shared" si="21"/>
        <v>18233347.033801578</v>
      </c>
      <c r="J33" s="1591">
        <f>SUM(J34,J40,J47,J48,J49,J50,J51,J52)</f>
        <v>7298952.9739724817</v>
      </c>
      <c r="K33" s="1591">
        <f>SUM(K34,K40,K47,K48,K49,K50,K51,K52)</f>
        <v>10934394.059829095</v>
      </c>
    </row>
    <row r="34" spans="1:11">
      <c r="A34" s="1590">
        <v>1</v>
      </c>
      <c r="B34" s="732" t="s">
        <v>208</v>
      </c>
      <c r="C34" s="1591">
        <f>SUM(C35:C39)</f>
        <v>5331240.5709698759</v>
      </c>
      <c r="D34" s="1591">
        <f t="shared" ref="D34:E34" si="23">SUM(D35:D39)</f>
        <v>3607240.162</v>
      </c>
      <c r="E34" s="1591">
        <f t="shared" si="23"/>
        <v>1724000.4089698761</v>
      </c>
      <c r="F34" s="1591">
        <f>SUM(F35:F39)</f>
        <v>5331240.5709698759</v>
      </c>
      <c r="G34" s="1591">
        <f t="shared" ref="G34:H34" si="24">SUM(G35:G39)</f>
        <v>3607240.162</v>
      </c>
      <c r="H34" s="1591">
        <f t="shared" si="24"/>
        <v>1724000.4089698761</v>
      </c>
      <c r="I34" s="1591">
        <f>SUM(I35:I39)</f>
        <v>4950795.363429876</v>
      </c>
      <c r="J34" s="1591">
        <f t="shared" ref="J34:K34" si="25">SUM(J35:J39)</f>
        <v>3109794.9544600002</v>
      </c>
      <c r="K34" s="1591">
        <f t="shared" si="25"/>
        <v>1841000.4089698761</v>
      </c>
    </row>
    <row r="35" spans="1:11">
      <c r="A35" s="1601" t="s">
        <v>29</v>
      </c>
      <c r="B35" s="828" t="s">
        <v>143</v>
      </c>
      <c r="C35" s="1597">
        <f>SUM(D35:E35)</f>
        <v>1143186.4089698761</v>
      </c>
      <c r="D35" s="1597">
        <f>'Phụ lục số II'!F12</f>
        <v>562186</v>
      </c>
      <c r="E35" s="1597">
        <f>'Phụ lục số II'!G12</f>
        <v>581000.40896987612</v>
      </c>
      <c r="F35" s="152">
        <f>SUM(G35:H35)</f>
        <v>1143186.4089698761</v>
      </c>
      <c r="G35" s="152">
        <f>'Phụ lục số II'!K12</f>
        <v>562186</v>
      </c>
      <c r="H35" s="152">
        <f>'Phụ lục số II'!L12</f>
        <v>581000.40896987612</v>
      </c>
      <c r="I35" s="152">
        <f>SUM(J35:K35)</f>
        <v>1170795.363429876</v>
      </c>
      <c r="J35" s="152">
        <f>'Phụ lục số II'!P12</f>
        <v>589794.95446000004</v>
      </c>
      <c r="K35" s="152">
        <f>'Phụ lục số II'!Q12</f>
        <v>581000.40896987612</v>
      </c>
    </row>
    <row r="36" spans="1:11">
      <c r="A36" s="1601" t="s">
        <v>29</v>
      </c>
      <c r="B36" s="828" t="s">
        <v>144</v>
      </c>
      <c r="C36" s="1597">
        <f t="shared" ref="C36:C39" si="26">SUM(D36:E36)</f>
        <v>1770000</v>
      </c>
      <c r="D36" s="1597">
        <f>'Phụ lục số II'!F13</f>
        <v>627000</v>
      </c>
      <c r="E36" s="1597">
        <f>'Phụ lục số II'!G13</f>
        <v>1143000</v>
      </c>
      <c r="F36" s="152">
        <f t="shared" ref="F36:F39" si="27">SUM(G36:H36)</f>
        <v>1770000</v>
      </c>
      <c r="G36" s="152">
        <f>'Phụ lục số II'!K13</f>
        <v>627000</v>
      </c>
      <c r="H36" s="152">
        <f>'Phụ lục số II'!L13</f>
        <v>1143000</v>
      </c>
      <c r="I36" s="152">
        <f t="shared" ref="I36:I39" si="28">SUM(J36:K36)</f>
        <v>1660000</v>
      </c>
      <c r="J36" s="152">
        <f>'Phụ lục số II'!P13</f>
        <v>400000</v>
      </c>
      <c r="K36" s="152">
        <f>'Phụ lục số II'!Q13</f>
        <v>1260000</v>
      </c>
    </row>
    <row r="37" spans="1:11">
      <c r="A37" s="1601" t="s">
        <v>29</v>
      </c>
      <c r="B37" s="37" t="s">
        <v>145</v>
      </c>
      <c r="C37" s="1597">
        <f t="shared" si="26"/>
        <v>1950000</v>
      </c>
      <c r="D37" s="1597">
        <f>'Phụ lục số II'!F14</f>
        <v>1950000</v>
      </c>
      <c r="E37" s="1597">
        <f>'Phụ lục số II'!G14</f>
        <v>0</v>
      </c>
      <c r="F37" s="152">
        <f t="shared" si="27"/>
        <v>1950000</v>
      </c>
      <c r="G37" s="152">
        <f>'Phụ lục số II'!K14</f>
        <v>1950000</v>
      </c>
      <c r="H37" s="152">
        <f>'Phụ lục số II'!L14</f>
        <v>0</v>
      </c>
      <c r="I37" s="152">
        <f t="shared" si="28"/>
        <v>1850000</v>
      </c>
      <c r="J37" s="152">
        <f>'Phụ lục số II'!P14</f>
        <v>1850000</v>
      </c>
      <c r="K37" s="152">
        <f>'Phụ lục số II'!Q14</f>
        <v>0</v>
      </c>
    </row>
    <row r="38" spans="1:11">
      <c r="A38" s="1601" t="s">
        <v>29</v>
      </c>
      <c r="B38" s="37" t="s">
        <v>146</v>
      </c>
      <c r="C38" s="1597">
        <f t="shared" si="26"/>
        <v>408054.16200000001</v>
      </c>
      <c r="D38" s="1597">
        <f>'Phụ lục số II'!F15</f>
        <v>408054.16200000001</v>
      </c>
      <c r="E38" s="1597">
        <f>'Phụ lục số II'!G15</f>
        <v>0</v>
      </c>
      <c r="F38" s="152">
        <f t="shared" si="27"/>
        <v>408054.16200000001</v>
      </c>
      <c r="G38" s="152">
        <f>'Phụ lục số II'!K15</f>
        <v>408054.16200000001</v>
      </c>
      <c r="H38" s="152">
        <f>'Phụ lục số II'!L15</f>
        <v>0</v>
      </c>
      <c r="I38" s="152">
        <f t="shared" si="28"/>
        <v>0</v>
      </c>
      <c r="J38" s="152">
        <f>'Phụ lục số II'!P15</f>
        <v>0</v>
      </c>
      <c r="K38" s="152">
        <f>'Phụ lục số II'!Q15</f>
        <v>0</v>
      </c>
    </row>
    <row r="39" spans="1:11">
      <c r="A39" s="1601" t="s">
        <v>29</v>
      </c>
      <c r="B39" s="37" t="s">
        <v>321</v>
      </c>
      <c r="C39" s="1597">
        <f t="shared" si="26"/>
        <v>60000</v>
      </c>
      <c r="D39" s="1597">
        <f>'Phụ lục số II'!F16</f>
        <v>60000</v>
      </c>
      <c r="E39" s="1597">
        <f>'Phụ lục số II'!G16</f>
        <v>0</v>
      </c>
      <c r="F39" s="152">
        <f t="shared" si="27"/>
        <v>60000</v>
      </c>
      <c r="G39" s="152">
        <f>'Phụ lục số II'!K16</f>
        <v>60000</v>
      </c>
      <c r="H39" s="152">
        <f>'Phụ lục số II'!L16</f>
        <v>0</v>
      </c>
      <c r="I39" s="152">
        <f t="shared" si="28"/>
        <v>270000</v>
      </c>
      <c r="J39" s="152">
        <f>'Phụ lục số II'!P16</f>
        <v>270000</v>
      </c>
      <c r="K39" s="152">
        <f>'Phụ lục số II'!Q16</f>
        <v>0</v>
      </c>
    </row>
    <row r="40" spans="1:11">
      <c r="A40" s="1602">
        <v>2</v>
      </c>
      <c r="B40" s="1603" t="s">
        <v>209</v>
      </c>
      <c r="C40" s="1591">
        <f>SUM(D40:E40)</f>
        <v>10664978.394711081</v>
      </c>
      <c r="D40" s="1591">
        <f>'Phụ lục số II'!F17</f>
        <v>3294440</v>
      </c>
      <c r="E40" s="1591">
        <f>'Phụ lục số II'!G17</f>
        <v>7370538.3947110809</v>
      </c>
      <c r="F40" s="1591">
        <f>SUM(G40:H40)</f>
        <v>11591120.210950801</v>
      </c>
      <c r="G40" s="147">
        <f>'Phụ lục số II'!K17</f>
        <v>3537560.3289892771</v>
      </c>
      <c r="H40" s="147">
        <f>'Phụ lục số II'!L17</f>
        <v>8053559.8819615236</v>
      </c>
      <c r="I40" s="147">
        <f>SUM(J40:K40)</f>
        <v>12923457.191269752</v>
      </c>
      <c r="J40" s="147">
        <f>'Phụ lục số II'!P17</f>
        <v>4000399.9484000015</v>
      </c>
      <c r="K40" s="147">
        <f>'Phụ lục số II'!Q17</f>
        <v>8923057.2428697497</v>
      </c>
    </row>
    <row r="41" spans="1:11">
      <c r="A41" s="1602"/>
      <c r="B41" s="1603" t="s">
        <v>234</v>
      </c>
      <c r="C41" s="1597"/>
      <c r="D41" s="1597"/>
      <c r="E41" s="1597"/>
      <c r="F41" s="152"/>
      <c r="G41" s="152"/>
      <c r="H41" s="152"/>
      <c r="I41" s="152"/>
      <c r="J41" s="152"/>
      <c r="K41" s="152"/>
    </row>
    <row r="42" spans="1:11">
      <c r="A42" s="1601" t="s">
        <v>29</v>
      </c>
      <c r="B42" s="1550" t="s">
        <v>152</v>
      </c>
      <c r="C42" s="1597">
        <f>SUM(D42:E42)</f>
        <v>4797945.7831797441</v>
      </c>
      <c r="D42" s="1597">
        <f>'Phụ lục số II'!F18</f>
        <v>956676</v>
      </c>
      <c r="E42" s="1597">
        <f>'Phụ lục số II'!G18</f>
        <v>3841269.7831797441</v>
      </c>
      <c r="F42" s="152">
        <f>SUM(G42:H42)</f>
        <v>5395798.649100964</v>
      </c>
      <c r="G42" s="152">
        <f>'Phụ lục số II'!K18</f>
        <v>1052842.94860096</v>
      </c>
      <c r="H42" s="152">
        <f>'Phụ lục số II'!L18</f>
        <v>4342955.700500004</v>
      </c>
      <c r="I42" s="152">
        <f>SUM(J42:K42)</f>
        <v>6069834.0480443519</v>
      </c>
      <c r="J42" s="152">
        <f>'Phụ lục số II'!P18</f>
        <v>1200270.35836</v>
      </c>
      <c r="K42" s="152">
        <f>'Phụ lục số II'!Q18</f>
        <v>4869563.6896843519</v>
      </c>
    </row>
    <row r="43" spans="1:11">
      <c r="A43" s="1601" t="s">
        <v>29</v>
      </c>
      <c r="B43" s="1550" t="s">
        <v>153</v>
      </c>
      <c r="C43" s="1597">
        <f t="shared" ref="C43:C45" si="29">SUM(D43:E43)</f>
        <v>31218</v>
      </c>
      <c r="D43" s="1597">
        <f>'Phụ lục số II'!F19</f>
        <v>31218</v>
      </c>
      <c r="E43" s="1597">
        <f>'Phụ lục số II'!G19</f>
        <v>0</v>
      </c>
      <c r="F43" s="152">
        <f>SUM(G43:H43)</f>
        <v>31107.539891692453</v>
      </c>
      <c r="G43" s="152">
        <f>'Phụ lục số II'!K19</f>
        <v>31107.539891692453</v>
      </c>
      <c r="H43" s="152">
        <f>'Phụ lục số II'!L19</f>
        <v>0</v>
      </c>
      <c r="I43" s="152">
        <f>SUM(J43:K43)</f>
        <v>33297.115980000002</v>
      </c>
      <c r="J43" s="152">
        <f>'Phụ lục số II'!P19</f>
        <v>33297.115980000002</v>
      </c>
      <c r="K43" s="152">
        <f>'Phụ lục số II'!Q19</f>
        <v>0</v>
      </c>
    </row>
    <row r="44" spans="1:11">
      <c r="A44" s="1601"/>
      <c r="B44" s="1550" t="s">
        <v>156</v>
      </c>
      <c r="C44" s="1597">
        <f t="shared" si="29"/>
        <v>828538</v>
      </c>
      <c r="D44" s="1597">
        <f>'Phụ lục số II'!F22</f>
        <v>828538</v>
      </c>
      <c r="E44" s="1597">
        <f>'Phụ lục số II'!G22</f>
        <v>0</v>
      </c>
      <c r="F44" s="1597">
        <f t="shared" ref="F44:F46" si="30">SUM(G44:H44)</f>
        <v>918904.34527461987</v>
      </c>
      <c r="G44" s="152">
        <f>'Phụ lục số II'!K22</f>
        <v>918904.34527461987</v>
      </c>
      <c r="H44" s="152">
        <f>'Phụ lục số II'!L22</f>
        <v>0</v>
      </c>
      <c r="I44" s="1597">
        <f t="shared" ref="I44:I46" si="31">SUM(J44:K44)</f>
        <v>1055349.5011800001</v>
      </c>
      <c r="J44" s="152">
        <f>'Phụ lục số II'!P22</f>
        <v>1055349.5011800001</v>
      </c>
      <c r="K44" s="152"/>
    </row>
    <row r="45" spans="1:11">
      <c r="A45" s="1601"/>
      <c r="B45" s="1550" t="s">
        <v>164</v>
      </c>
      <c r="C45" s="1597">
        <f t="shared" si="29"/>
        <v>151965</v>
      </c>
      <c r="D45" s="1597">
        <f>'Phụ lục số II'!F26</f>
        <v>67965</v>
      </c>
      <c r="E45" s="1597">
        <f>'Phụ lục số II'!G26</f>
        <v>84000</v>
      </c>
      <c r="F45" s="1597">
        <f t="shared" si="30"/>
        <v>150523.83502817666</v>
      </c>
      <c r="G45" s="152">
        <f>'Phụ lục số II'!K26</f>
        <v>69147.116264298733</v>
      </c>
      <c r="H45" s="152">
        <f>'Phụ lục số II'!L26</f>
        <v>81376.718763877929</v>
      </c>
      <c r="I45" s="1597">
        <f t="shared" si="31"/>
        <v>155618.76115000001</v>
      </c>
      <c r="J45" s="152">
        <f>'Phụ lục số II'!P26</f>
        <v>74148.761150000006</v>
      </c>
      <c r="K45" s="152">
        <f>'Phụ lục số II'!Q26</f>
        <v>81470</v>
      </c>
    </row>
    <row r="46" spans="1:11">
      <c r="A46" s="1601" t="s">
        <v>29</v>
      </c>
      <c r="B46" s="828" t="s">
        <v>240</v>
      </c>
      <c r="C46" s="1597">
        <f>SUM(D46:E46)</f>
        <v>4855311.6115313368</v>
      </c>
      <c r="D46" s="1597">
        <f>D40-D42-D43-D44-D45</f>
        <v>1410043</v>
      </c>
      <c r="E46" s="1597">
        <f>E40-E42-E43-E44-E45</f>
        <v>3445268.6115313368</v>
      </c>
      <c r="F46" s="1597">
        <f t="shared" si="30"/>
        <v>5094785.8416553475</v>
      </c>
      <c r="G46" s="1597">
        <f>G40-G42-G43-G44-G45</f>
        <v>1465558.3789577063</v>
      </c>
      <c r="H46" s="1597">
        <f>H40-H42-H43-H44-H45</f>
        <v>3629227.4626976415</v>
      </c>
      <c r="I46" s="1597">
        <f t="shared" si="31"/>
        <v>5609357.7649153993</v>
      </c>
      <c r="J46" s="1597">
        <f>J40-J42-J43-J44-J45</f>
        <v>1637334.2117300017</v>
      </c>
      <c r="K46" s="1597">
        <f>K40-K42-K43-K44-K45</f>
        <v>3972023.5531853978</v>
      </c>
    </row>
    <row r="47" spans="1:11" hidden="1">
      <c r="A47" s="1590">
        <v>3</v>
      </c>
      <c r="B47" s="1604" t="s">
        <v>210</v>
      </c>
      <c r="C47" s="1591"/>
      <c r="D47" s="1591"/>
      <c r="E47" s="1591"/>
      <c r="F47" s="152"/>
      <c r="G47" s="152"/>
      <c r="H47" s="152"/>
      <c r="I47" s="152"/>
      <c r="J47" s="152"/>
      <c r="K47" s="152"/>
    </row>
    <row r="48" spans="1:11">
      <c r="A48" s="1590">
        <v>4</v>
      </c>
      <c r="B48" s="1604" t="s">
        <v>210</v>
      </c>
      <c r="C48" s="1591">
        <f>SUM(D48:E48)</f>
        <v>717399.2</v>
      </c>
      <c r="D48" s="1591">
        <f>'Phụ lục số II'!F34</f>
        <v>79139.200000000012</v>
      </c>
      <c r="E48" s="1591">
        <f>'Phụ lục số II'!G34</f>
        <v>638260</v>
      </c>
      <c r="F48" s="147">
        <f>SUM(G48:H48)</f>
        <v>0.40000000001455194</v>
      </c>
      <c r="G48" s="147">
        <f>'Phụ lục số II'!K34</f>
        <v>0.40000000001455194</v>
      </c>
      <c r="H48" s="147">
        <f>'Phụ lục số II'!L34</f>
        <v>0</v>
      </c>
      <c r="I48" s="147">
        <f>SUM(J48:K48)</f>
        <v>0</v>
      </c>
      <c r="J48" s="147">
        <f>'Phụ lục số II'!P34</f>
        <v>0</v>
      </c>
      <c r="K48" s="147">
        <f>'Phụ lục số II'!Q34</f>
        <v>0</v>
      </c>
    </row>
    <row r="49" spans="1:11" hidden="1">
      <c r="A49" s="1590">
        <v>5</v>
      </c>
      <c r="B49" s="147" t="s">
        <v>212</v>
      </c>
      <c r="C49" s="1591">
        <f t="shared" ref="C49:C52" si="32">SUM(D49:E49)</f>
        <v>0</v>
      </c>
      <c r="D49" s="1591"/>
      <c r="E49" s="1591"/>
      <c r="F49" s="147">
        <f t="shared" ref="F49:F52" si="33">SUM(G49:H49)</f>
        <v>0</v>
      </c>
      <c r="G49" s="147"/>
      <c r="H49" s="147"/>
      <c r="I49" s="152"/>
      <c r="J49" s="152"/>
      <c r="K49" s="152"/>
    </row>
    <row r="50" spans="1:11">
      <c r="A50" s="1590">
        <v>6</v>
      </c>
      <c r="B50" s="732" t="s">
        <v>174</v>
      </c>
      <c r="C50" s="1591">
        <f t="shared" si="32"/>
        <v>2000</v>
      </c>
      <c r="D50" s="1591">
        <f>'Phụ lục số II'!F32</f>
        <v>2000</v>
      </c>
      <c r="E50" s="1591">
        <f>'Phụ lục số II'!G32</f>
        <v>0</v>
      </c>
      <c r="F50" s="147">
        <f t="shared" si="33"/>
        <v>2000</v>
      </c>
      <c r="G50" s="147">
        <f>'Phụ lục số II'!K32</f>
        <v>2000</v>
      </c>
      <c r="H50" s="147"/>
      <c r="I50" s="147">
        <f>SUM(J50:K50)</f>
        <v>2000</v>
      </c>
      <c r="J50" s="147">
        <f>'Phụ lục số II'!P32</f>
        <v>2000</v>
      </c>
      <c r="K50" s="147">
        <f>'Phụ lục số II'!Q32</f>
        <v>0</v>
      </c>
    </row>
    <row r="51" spans="1:11">
      <c r="A51" s="1605">
        <v>7</v>
      </c>
      <c r="B51" s="732" t="s">
        <v>175</v>
      </c>
      <c r="C51" s="1591">
        <f t="shared" si="32"/>
        <v>327868.91231904214</v>
      </c>
      <c r="D51" s="1591">
        <f>'Phụ lục số II'!F33</f>
        <v>152264.36799999999</v>
      </c>
      <c r="E51" s="1591">
        <f>'Phụ lục số II'!G33</f>
        <v>175604.54431904212</v>
      </c>
      <c r="F51" s="147">
        <f t="shared" si="33"/>
        <v>327868.91231904214</v>
      </c>
      <c r="G51" s="147">
        <f>'Phụ lục số II'!K33</f>
        <v>152264.36799999999</v>
      </c>
      <c r="H51" s="147">
        <f>'Phụ lục số II'!L33</f>
        <v>175604.54431904212</v>
      </c>
      <c r="I51" s="147">
        <f t="shared" ref="I51:I52" si="34">SUM(J51:K51)</f>
        <v>354094.47910195083</v>
      </c>
      <c r="J51" s="147">
        <f>'Phụ lục số II'!P33</f>
        <v>183758.07111247999</v>
      </c>
      <c r="K51" s="147">
        <f>'Phụ lục số II'!Q33</f>
        <v>170336.40798947084</v>
      </c>
    </row>
    <row r="52" spans="1:11">
      <c r="A52" s="1605">
        <v>8</v>
      </c>
      <c r="B52" s="732" t="s">
        <v>213</v>
      </c>
      <c r="C52" s="1591">
        <f t="shared" si="32"/>
        <v>3000</v>
      </c>
      <c r="D52" s="1591">
        <f>'Phụ lục số II'!F31</f>
        <v>3000</v>
      </c>
      <c r="E52" s="1591">
        <f>'Phụ lục số II'!G31</f>
        <v>0</v>
      </c>
      <c r="F52" s="147">
        <f t="shared" si="33"/>
        <v>3000</v>
      </c>
      <c r="G52" s="147">
        <f>'Phụ lục số II'!K31</f>
        <v>3000</v>
      </c>
      <c r="H52" s="147"/>
      <c r="I52" s="147">
        <f t="shared" si="34"/>
        <v>3000</v>
      </c>
      <c r="J52" s="147">
        <f>'Phụ lục số II'!P31</f>
        <v>3000</v>
      </c>
      <c r="K52" s="147">
        <f>'Phụ lục số II'!Q31</f>
        <v>0</v>
      </c>
    </row>
    <row r="53" spans="1:11">
      <c r="A53" s="1590" t="s">
        <v>33</v>
      </c>
      <c r="B53" s="732" t="s">
        <v>214</v>
      </c>
      <c r="C53" s="1591">
        <f>SUM(D53:E53)</f>
        <v>1988976</v>
      </c>
      <c r="D53" s="1591">
        <f>SUM(D54,D57,D60)</f>
        <v>1988976</v>
      </c>
      <c r="E53" s="1591">
        <f t="shared" ref="E53" si="35">SUM(E54,E57,E60)</f>
        <v>0</v>
      </c>
      <c r="F53" s="1591">
        <f>SUM(G53:H53)</f>
        <v>2127535</v>
      </c>
      <c r="G53" s="1591">
        <f>SUM(G54,G57,G60)</f>
        <v>2127535</v>
      </c>
      <c r="H53" s="1591">
        <f t="shared" ref="H53" si="36">SUM(H54,H57,H60)</f>
        <v>0</v>
      </c>
      <c r="I53" s="1591">
        <f>SUM(J53:K53)</f>
        <v>3676048.8</v>
      </c>
      <c r="J53" s="1591">
        <f>SUM(J54,J57,J60)</f>
        <v>3676048.8</v>
      </c>
      <c r="K53" s="1591">
        <f t="shared" ref="K53" si="37">SUM(K54,K57,K60)</f>
        <v>0</v>
      </c>
    </row>
    <row r="54" spans="1:11">
      <c r="A54" s="1601">
        <v>1</v>
      </c>
      <c r="B54" s="152" t="s">
        <v>178</v>
      </c>
      <c r="C54" s="1597">
        <f t="shared" ref="C54" si="38">SUM(D54:E54)</f>
        <v>1814491</v>
      </c>
      <c r="D54" s="1597">
        <f>SUM(D55:D56)</f>
        <v>1814491</v>
      </c>
      <c r="E54" s="1597">
        <f t="shared" ref="E54" si="39">SUM(E55:E56)</f>
        <v>0</v>
      </c>
      <c r="F54" s="1597">
        <f t="shared" ref="F54" si="40">SUM(G54:H54)</f>
        <v>1814491</v>
      </c>
      <c r="G54" s="1597">
        <f>SUM(G55:G56)</f>
        <v>1814491</v>
      </c>
      <c r="H54" s="1597">
        <f t="shared" ref="H54" si="41">SUM(H55:H56)</f>
        <v>0</v>
      </c>
      <c r="I54" s="1597">
        <f t="shared" ref="I54" si="42">SUM(J54:K54)</f>
        <v>3101719</v>
      </c>
      <c r="J54" s="1597">
        <f>SUM(J55:J56)</f>
        <v>3101719</v>
      </c>
      <c r="K54" s="1597">
        <f t="shared" ref="K54" si="43">SUM(K55:K56)</f>
        <v>0</v>
      </c>
    </row>
    <row r="55" spans="1:11" hidden="1">
      <c r="A55" s="1601" t="s">
        <v>99</v>
      </c>
      <c r="B55" s="152" t="s">
        <v>100</v>
      </c>
      <c r="C55" s="1597">
        <f>SUM(D55:E55)</f>
        <v>1681570</v>
      </c>
      <c r="D55" s="1597">
        <f>'Phụ lục số II'!F37</f>
        <v>1681570</v>
      </c>
      <c r="E55" s="1597"/>
      <c r="F55" s="152">
        <f>SUM(G55:H55)</f>
        <v>1681570</v>
      </c>
      <c r="G55" s="152">
        <f>'Phụ lục số II'!K37</f>
        <v>1681570</v>
      </c>
      <c r="H55" s="152">
        <f>'Phụ lục số II'!L37</f>
        <v>0</v>
      </c>
      <c r="I55" s="152">
        <f>SUM(J55:K55)</f>
        <v>2970480</v>
      </c>
      <c r="J55" s="152">
        <f>'Phụ lục số II'!P37</f>
        <v>2970480</v>
      </c>
      <c r="K55" s="152"/>
    </row>
    <row r="56" spans="1:11" hidden="1">
      <c r="A56" s="1601" t="s">
        <v>101</v>
      </c>
      <c r="B56" s="152" t="s">
        <v>102</v>
      </c>
      <c r="C56" s="1597">
        <f t="shared" ref="C56:C57" si="44">SUM(D56:E56)</f>
        <v>132921</v>
      </c>
      <c r="D56" s="1597">
        <f>'Phụ lục số II'!F38</f>
        <v>132921</v>
      </c>
      <c r="E56" s="1597"/>
      <c r="F56" s="152">
        <f>SUM(G56:H56)</f>
        <v>132921</v>
      </c>
      <c r="G56" s="152">
        <f>'Phụ lục số II'!K38</f>
        <v>132921</v>
      </c>
      <c r="H56" s="152">
        <f>'Phụ lục số II'!L38</f>
        <v>0</v>
      </c>
      <c r="I56" s="152">
        <f>SUM(J56:K56)</f>
        <v>131239</v>
      </c>
      <c r="J56" s="152">
        <f>'Phụ lục số II'!P38</f>
        <v>131239</v>
      </c>
      <c r="K56" s="152"/>
    </row>
    <row r="57" spans="1:11">
      <c r="A57" s="1601">
        <v>2</v>
      </c>
      <c r="B57" s="152" t="s">
        <v>179</v>
      </c>
      <c r="C57" s="1597">
        <f t="shared" si="44"/>
        <v>174485</v>
      </c>
      <c r="D57" s="1597">
        <f>SUM(D58:D59)</f>
        <v>174485</v>
      </c>
      <c r="E57" s="1597">
        <f t="shared" ref="E57" si="45">SUM(E58:E59)</f>
        <v>0</v>
      </c>
      <c r="F57" s="1597">
        <f t="shared" ref="F57" si="46">SUM(G57:H57)</f>
        <v>174485</v>
      </c>
      <c r="G57" s="1597">
        <f>SUM(G58:G59)</f>
        <v>174485</v>
      </c>
      <c r="H57" s="1597">
        <f t="shared" ref="H57" si="47">SUM(H58:H59)</f>
        <v>0</v>
      </c>
      <c r="I57" s="1597">
        <f t="shared" ref="I57" si="48">SUM(J57:K57)</f>
        <v>195063.8</v>
      </c>
      <c r="J57" s="1597">
        <f>SUM(J58:J59)</f>
        <v>195063.8</v>
      </c>
      <c r="K57" s="1597">
        <f t="shared" ref="K57" si="49">SUM(K58:K59)</f>
        <v>0</v>
      </c>
    </row>
    <row r="58" spans="1:11" hidden="1">
      <c r="A58" s="1601" t="s">
        <v>99</v>
      </c>
      <c r="B58" s="152" t="s">
        <v>103</v>
      </c>
      <c r="C58" s="1597">
        <f>SUM(D58:E58)</f>
        <v>72469</v>
      </c>
      <c r="D58" s="1597">
        <f>'Phụ lục số II'!F40</f>
        <v>72469</v>
      </c>
      <c r="E58" s="1597"/>
      <c r="F58" s="152">
        <f>SUM(G58:H58)</f>
        <v>72469</v>
      </c>
      <c r="G58" s="152">
        <f>'Phụ lục số II'!K40</f>
        <v>72469</v>
      </c>
      <c r="H58" s="152">
        <f>'Phụ lục số II'!L40</f>
        <v>0</v>
      </c>
      <c r="I58" s="152">
        <f>SUM(J58:K58)</f>
        <v>86962.8</v>
      </c>
      <c r="J58" s="152">
        <f>'Phụ lục số II'!P40</f>
        <v>86962.8</v>
      </c>
      <c r="K58" s="152"/>
    </row>
    <row r="59" spans="1:11" hidden="1">
      <c r="A59" s="1601" t="s">
        <v>101</v>
      </c>
      <c r="B59" s="152" t="s">
        <v>102</v>
      </c>
      <c r="C59" s="1597">
        <f t="shared" ref="C59:C64" si="50">SUM(D59:E59)</f>
        <v>102016</v>
      </c>
      <c r="D59" s="1597">
        <f>'Phụ lục số II'!F41</f>
        <v>102016</v>
      </c>
      <c r="E59" s="1597"/>
      <c r="F59" s="152">
        <f>SUM(G59:H59)</f>
        <v>102016</v>
      </c>
      <c r="G59" s="152">
        <f>'Phụ lục số II'!K41</f>
        <v>102016</v>
      </c>
      <c r="H59" s="152">
        <f>'Phụ lục số II'!L41</f>
        <v>0</v>
      </c>
      <c r="I59" s="152">
        <f>SUM(J59:K59)</f>
        <v>108101</v>
      </c>
      <c r="J59" s="152">
        <f>'Phụ lục số II'!P41</f>
        <v>108101</v>
      </c>
      <c r="K59" s="152"/>
    </row>
    <row r="60" spans="1:11">
      <c r="A60" s="1601">
        <v>3</v>
      </c>
      <c r="B60" s="152" t="s">
        <v>180</v>
      </c>
      <c r="C60" s="1597">
        <f t="shared" si="50"/>
        <v>0</v>
      </c>
      <c r="D60" s="1597">
        <f>SUM(D61:D62)</f>
        <v>0</v>
      </c>
      <c r="E60" s="1597">
        <f t="shared" ref="E60" si="51">SUM(E61:E62)</f>
        <v>0</v>
      </c>
      <c r="F60" s="152">
        <f>SUM(F61:F62)</f>
        <v>138559</v>
      </c>
      <c r="G60" s="152">
        <f t="shared" ref="G60:K60" si="52">SUM(G61:G62)</f>
        <v>138559</v>
      </c>
      <c r="H60" s="152">
        <f t="shared" si="52"/>
        <v>0</v>
      </c>
      <c r="I60" s="152">
        <f>SUM(I61:I62)</f>
        <v>379266</v>
      </c>
      <c r="J60" s="152">
        <f t="shared" si="52"/>
        <v>379266</v>
      </c>
      <c r="K60" s="152">
        <f t="shared" si="52"/>
        <v>0</v>
      </c>
    </row>
    <row r="61" spans="1:11" hidden="1">
      <c r="A61" s="1601" t="s">
        <v>99</v>
      </c>
      <c r="B61" s="152" t="s">
        <v>104</v>
      </c>
      <c r="C61" s="1597">
        <f t="shared" si="50"/>
        <v>0</v>
      </c>
      <c r="D61" s="1597"/>
      <c r="E61" s="1597"/>
      <c r="F61" s="152">
        <f>SUM(G61:H61)</f>
        <v>0</v>
      </c>
      <c r="G61" s="152">
        <f>'Phụ lục số II'!K43</f>
        <v>0</v>
      </c>
      <c r="H61" s="152">
        <f>'Phụ lục số II'!L43</f>
        <v>0</v>
      </c>
      <c r="I61" s="152">
        <f>SUM(J61:K61)</f>
        <v>0</v>
      </c>
      <c r="J61" s="152">
        <f>'Phụ lục số II'!P43</f>
        <v>0</v>
      </c>
      <c r="K61" s="152"/>
    </row>
    <row r="62" spans="1:11" hidden="1">
      <c r="A62" s="1601" t="s">
        <v>101</v>
      </c>
      <c r="B62" s="152" t="s">
        <v>105</v>
      </c>
      <c r="C62" s="1597">
        <f t="shared" si="50"/>
        <v>0</v>
      </c>
      <c r="D62" s="1597"/>
      <c r="E62" s="1597"/>
      <c r="F62" s="152">
        <f>SUM(G62:H62)</f>
        <v>138559</v>
      </c>
      <c r="G62" s="152">
        <f>'Phụ lục số II'!K44</f>
        <v>138559</v>
      </c>
      <c r="H62" s="152">
        <f>'Phụ lục số II'!L44</f>
        <v>0</v>
      </c>
      <c r="I62" s="152">
        <f>SUM(J62:K62)</f>
        <v>379266</v>
      </c>
      <c r="J62" s="152">
        <f>'Phụ lục số II'!P44</f>
        <v>379266</v>
      </c>
      <c r="K62" s="152"/>
    </row>
    <row r="63" spans="1:11">
      <c r="A63" s="1590" t="s">
        <v>182</v>
      </c>
      <c r="B63" s="1606" t="s">
        <v>181</v>
      </c>
      <c r="C63" s="1591">
        <f t="shared" si="50"/>
        <v>0</v>
      </c>
      <c r="D63" s="1597"/>
      <c r="E63" s="1597"/>
      <c r="F63" s="147">
        <f>SUM(G63:H63)</f>
        <v>0</v>
      </c>
      <c r="G63" s="152"/>
      <c r="H63" s="152"/>
      <c r="I63" s="147">
        <f>SUM(J63:K63)</f>
        <v>0</v>
      </c>
      <c r="J63" s="147">
        <f>'Phụ lục số II'!P45</f>
        <v>0</v>
      </c>
      <c r="K63" s="152"/>
    </row>
    <row r="64" spans="1:11">
      <c r="A64" s="1590" t="s">
        <v>215</v>
      </c>
      <c r="B64" s="732" t="s">
        <v>216</v>
      </c>
      <c r="C64" s="1591">
        <f t="shared" si="50"/>
        <v>5083323.4479999999</v>
      </c>
      <c r="D64" s="147">
        <f>E18</f>
        <v>5083323.4479999999</v>
      </c>
      <c r="E64" s="152"/>
      <c r="F64" s="147">
        <f>SUM(G64:H64)</f>
        <v>5083323.4479999999</v>
      </c>
      <c r="G64" s="147">
        <f>H18</f>
        <v>5083323.4479999999</v>
      </c>
      <c r="H64" s="147"/>
      <c r="I64" s="147">
        <f>SUM(J64:K64)</f>
        <v>5083323.4479999999</v>
      </c>
      <c r="J64" s="147">
        <f>K18</f>
        <v>5083323.4479999999</v>
      </c>
      <c r="K64" s="1607"/>
    </row>
    <row r="65" spans="1:11" ht="16.2" thickBot="1">
      <c r="A65" s="1608" t="s">
        <v>44</v>
      </c>
      <c r="B65" s="1609" t="s">
        <v>217</v>
      </c>
      <c r="C65" s="1610">
        <f>D65+E65</f>
        <v>8.4000000730156898E-2</v>
      </c>
      <c r="D65" s="1610">
        <f>D8-D32</f>
        <v>-1.5999998897314072E-2</v>
      </c>
      <c r="E65" s="1610">
        <f t="shared" ref="E65" si="53">E8-E32</f>
        <v>9.999999962747097E-2</v>
      </c>
      <c r="F65" s="1610">
        <f>G65+H65</f>
        <v>-6.1892071738839149E-2</v>
      </c>
      <c r="G65" s="1610">
        <f>G8-G32</f>
        <v>295641.85374611057</v>
      </c>
      <c r="H65" s="1610">
        <f>H8-H32</f>
        <v>-295641.91563818231</v>
      </c>
      <c r="I65" s="1610">
        <f>J65+K65</f>
        <v>0.19594352878630161</v>
      </c>
      <c r="J65" s="1610">
        <f>J8-J32</f>
        <v>2124571.042047523</v>
      </c>
      <c r="K65" s="1610">
        <f>K8-K32</f>
        <v>-2124570.8461039942</v>
      </c>
    </row>
    <row r="66" spans="1:11" ht="16.2" thickTop="1"/>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65"/>
  <sheetViews>
    <sheetView workbookViewId="0">
      <selection activeCell="N16" sqref="N16"/>
    </sheetView>
  </sheetViews>
  <sheetFormatPr defaultColWidth="9.109375" defaultRowHeight="13.8"/>
  <cols>
    <col min="1" max="1" width="6" style="30" customWidth="1"/>
    <col min="2" max="2" width="84.44140625" style="30" customWidth="1"/>
    <col min="3" max="9" width="10.33203125" style="30" customWidth="1"/>
    <col min="10" max="10" width="11.88671875" style="30" customWidth="1"/>
    <col min="11" max="11" width="12.88671875" style="30" customWidth="1"/>
    <col min="12" max="16384" width="9.109375" style="30"/>
  </cols>
  <sheetData>
    <row r="1" spans="1:11">
      <c r="A1" s="6067" t="s">
        <v>230</v>
      </c>
      <c r="B1" s="6067"/>
      <c r="C1" s="6067"/>
      <c r="D1" s="6067"/>
      <c r="E1" s="6067"/>
      <c r="F1" s="6067"/>
      <c r="G1" s="6067"/>
      <c r="H1" s="6067"/>
      <c r="I1" s="6067"/>
      <c r="J1" s="6067"/>
      <c r="K1" s="6067"/>
    </row>
    <row r="2" spans="1:11" ht="14.4">
      <c r="A2" s="6093" t="s">
        <v>231</v>
      </c>
      <c r="B2" s="6093"/>
      <c r="C2" s="6093"/>
      <c r="D2" s="6093"/>
      <c r="E2" s="6093"/>
      <c r="F2" s="6093"/>
      <c r="G2" s="6093"/>
      <c r="H2" s="6093"/>
      <c r="I2" s="6093"/>
      <c r="J2" s="6093"/>
      <c r="K2" s="6093"/>
    </row>
    <row r="3" spans="1:11">
      <c r="A3" s="6202" t="str">
        <f>+'PHỤ LỤC 3 - CĐC TRINH'!A3:K3</f>
        <v>(Kèm theo Công văn số         /STC-QLNS ngày       tháng 8 năm 2024 của Sở Tài chính)</v>
      </c>
      <c r="B3" s="6202"/>
      <c r="C3" s="6202"/>
      <c r="D3" s="6202"/>
      <c r="E3" s="6202"/>
      <c r="F3" s="6202"/>
      <c r="G3" s="6202"/>
      <c r="H3" s="6202"/>
      <c r="I3" s="6202"/>
      <c r="J3" s="6202"/>
      <c r="K3" s="6202"/>
    </row>
    <row r="6" spans="1:11">
      <c r="A6" s="6717" t="s">
        <v>200</v>
      </c>
      <c r="B6" s="6554" t="s">
        <v>201</v>
      </c>
      <c r="C6" s="6718" t="s">
        <v>219</v>
      </c>
      <c r="D6" s="6718"/>
      <c r="E6" s="6718"/>
      <c r="F6" s="6718" t="s">
        <v>223</v>
      </c>
      <c r="G6" s="6718"/>
      <c r="H6" s="6718"/>
      <c r="I6" s="6719" t="s">
        <v>224</v>
      </c>
      <c r="J6" s="6719"/>
      <c r="K6" s="6719"/>
    </row>
    <row r="7" spans="1:11">
      <c r="A7" s="6717"/>
      <c r="B7" s="6554"/>
      <c r="C7" s="1571" t="s">
        <v>220</v>
      </c>
      <c r="D7" s="1572" t="s">
        <v>221</v>
      </c>
      <c r="E7" s="1572" t="s">
        <v>222</v>
      </c>
      <c r="F7" s="1573" t="s">
        <v>220</v>
      </c>
      <c r="G7" s="1574" t="s">
        <v>221</v>
      </c>
      <c r="H7" s="1574" t="s">
        <v>222</v>
      </c>
      <c r="I7" s="1573" t="s">
        <v>220</v>
      </c>
      <c r="J7" s="1574" t="s">
        <v>221</v>
      </c>
      <c r="K7" s="1574" t="s">
        <v>222</v>
      </c>
    </row>
    <row r="8" spans="1:11">
      <c r="A8" s="1611" t="s">
        <v>1</v>
      </c>
      <c r="B8" s="1612" t="s">
        <v>233</v>
      </c>
      <c r="C8" s="1575">
        <f>SUM(D8:E8)</f>
        <v>19035463.162</v>
      </c>
      <c r="D8" s="1575">
        <f>SUM(D12+D18+D30+D31)</f>
        <v>14210383.162</v>
      </c>
      <c r="E8" s="1575">
        <f t="shared" ref="E8" si="0">SUM(E12+E18+E30+E31)</f>
        <v>4825080</v>
      </c>
      <c r="F8" s="1575">
        <f>SUM(G8:H8)</f>
        <v>19382765.032347649</v>
      </c>
      <c r="G8" s="1575">
        <f>SUM(G12+G18+G30+G31)</f>
        <v>14808565.560735388</v>
      </c>
      <c r="H8" s="1575">
        <f t="shared" ref="H8" si="1">SUM(H12+H18+H30+H31)</f>
        <v>4574199.4716122607</v>
      </c>
      <c r="I8" s="1575">
        <f>SUM(J8:K8)</f>
        <v>21909396.029745102</v>
      </c>
      <c r="J8" s="1575">
        <f>SUM(J12+J18+J30+J31)</f>
        <v>18182896.264020003</v>
      </c>
      <c r="K8" s="1575">
        <f t="shared" ref="K8" si="2">SUM(K12+K18+K30+K31)</f>
        <v>3726499.7657251004</v>
      </c>
    </row>
    <row r="9" spans="1:11" ht="14.4">
      <c r="A9" s="1613"/>
      <c r="B9" s="1614" t="s">
        <v>234</v>
      </c>
      <c r="C9" s="1576"/>
      <c r="D9" s="1576"/>
      <c r="E9" s="1576"/>
      <c r="F9" s="194"/>
      <c r="G9" s="194"/>
      <c r="H9" s="194"/>
      <c r="I9" s="1615"/>
      <c r="J9" s="1615"/>
      <c r="K9" s="1615"/>
    </row>
    <row r="10" spans="1:11">
      <c r="A10" s="1616"/>
      <c r="B10" s="1617" t="s">
        <v>235</v>
      </c>
      <c r="C10" s="126">
        <f>SUM(D10:E10)</f>
        <v>17046487.162</v>
      </c>
      <c r="D10" s="126">
        <f>SUM(D12,D19,D28,D30)</f>
        <v>12221407.162</v>
      </c>
      <c r="E10" s="126">
        <f t="shared" ref="E10" si="3">SUM(E12,E19,E28,E30)</f>
        <v>4825080</v>
      </c>
      <c r="F10" s="195">
        <f>SUM(G10:H10)</f>
        <v>17255230.032347649</v>
      </c>
      <c r="G10" s="126">
        <f>SUM(G12,G19,G28,G30)</f>
        <v>12681030.560735388</v>
      </c>
      <c r="H10" s="126">
        <f>SUM(H12,H19,H28,H30)</f>
        <v>4574199.4716122607</v>
      </c>
      <c r="I10" s="195">
        <f>SUM(J10:K10)</f>
        <v>18233347.229745105</v>
      </c>
      <c r="J10" s="126">
        <f>SUM(J12,J19,J28,J30)</f>
        <v>14506847.464020004</v>
      </c>
      <c r="K10" s="126">
        <f>SUM(K12,K19,K28,K30)</f>
        <v>3726499.7657251004</v>
      </c>
    </row>
    <row r="11" spans="1:11">
      <c r="A11" s="1616"/>
      <c r="B11" s="1617" t="s">
        <v>236</v>
      </c>
      <c r="C11" s="126">
        <f>SUM(D11:E11)</f>
        <v>12881433</v>
      </c>
      <c r="D11" s="126">
        <f>D10-D14-D15-D16</f>
        <v>9199353</v>
      </c>
      <c r="E11" s="126">
        <f t="shared" ref="E11" si="4">E10-E14-E15-E16</f>
        <v>3682080</v>
      </c>
      <c r="F11" s="195">
        <f>SUM(G11:H11)</f>
        <v>13090175.870347649</v>
      </c>
      <c r="G11" s="126">
        <f>G10-G14-G15-G16</f>
        <v>9658976.3987353873</v>
      </c>
      <c r="H11" s="126">
        <f t="shared" ref="H11" si="5">H10-H14-H15-H16</f>
        <v>3431199.4716122607</v>
      </c>
      <c r="I11" s="195">
        <f>SUM(J11:K11)</f>
        <v>14446347.229745105</v>
      </c>
      <c r="J11" s="126">
        <f>J10-J14-J15-J16</f>
        <v>11979847.464020004</v>
      </c>
      <c r="K11" s="126">
        <f t="shared" ref="K11" si="6">K10-K14-K15-K16</f>
        <v>2466499.7657251004</v>
      </c>
    </row>
    <row r="12" spans="1:11">
      <c r="A12" s="1616" t="s">
        <v>3</v>
      </c>
      <c r="B12" s="1617" t="s">
        <v>202</v>
      </c>
      <c r="C12" s="126">
        <f>SUM(D12:E12)</f>
        <v>8892984.1620000005</v>
      </c>
      <c r="D12" s="126">
        <f>'Phụ lục số I'!H10</f>
        <v>4953904.1620000005</v>
      </c>
      <c r="E12" s="126">
        <f>'Phụ lục số I'!I10</f>
        <v>3939080</v>
      </c>
      <c r="F12" s="195">
        <f>SUM(G12:H12)</f>
        <v>8321554.0323476484</v>
      </c>
      <c r="G12" s="195">
        <f>'Phụ lục số I'!O10</f>
        <v>4903753.5607353877</v>
      </c>
      <c r="H12" s="195">
        <f>'Phụ lục số I'!P10</f>
        <v>3417800.4716122607</v>
      </c>
      <c r="I12" s="196">
        <f>SUM(J12:K12)</f>
        <v>8582919.8297451045</v>
      </c>
      <c r="J12" s="196">
        <f>'Phụ lục số I'!U10</f>
        <v>4856420.0640200041</v>
      </c>
      <c r="K12" s="196">
        <f>'Phụ lục số I'!V10</f>
        <v>3726499.7657251004</v>
      </c>
    </row>
    <row r="13" spans="1:11">
      <c r="A13" s="1616"/>
      <c r="B13" s="1617" t="s">
        <v>186</v>
      </c>
      <c r="C13" s="1577"/>
      <c r="D13" s="1577"/>
      <c r="E13" s="1577"/>
      <c r="F13" s="196"/>
      <c r="G13" s="196"/>
      <c r="H13" s="196"/>
      <c r="I13" s="196"/>
      <c r="J13" s="196"/>
      <c r="K13" s="196"/>
    </row>
    <row r="14" spans="1:11">
      <c r="A14" s="1618"/>
      <c r="B14" s="1619" t="s">
        <v>242</v>
      </c>
      <c r="C14" s="1578">
        <f>SUM(D14:E14)</f>
        <v>1770000</v>
      </c>
      <c r="D14" s="1578">
        <f>'Phụ lục số I'!H42</f>
        <v>627000</v>
      </c>
      <c r="E14" s="1578">
        <f>'Phụ lục số I'!I42</f>
        <v>1143000</v>
      </c>
      <c r="F14" s="1620">
        <f>SUM(G14:H14)</f>
        <v>1770000</v>
      </c>
      <c r="G14" s="1620">
        <f>'Phụ lục số I'!O42</f>
        <v>627000</v>
      </c>
      <c r="H14" s="1620">
        <f>'Phụ lục số I'!P42</f>
        <v>1143000</v>
      </c>
      <c r="I14" s="1620">
        <f>SUM(J14:K14)</f>
        <v>1800000</v>
      </c>
      <c r="J14" s="1620">
        <f>'Phụ lục số I'!U42</f>
        <v>540000</v>
      </c>
      <c r="K14" s="1620">
        <f>'Phụ lục số I'!V42</f>
        <v>1260000</v>
      </c>
    </row>
    <row r="15" spans="1:11">
      <c r="A15" s="1618"/>
      <c r="B15" s="1621" t="s">
        <v>243</v>
      </c>
      <c r="C15" s="1578">
        <f>SUM(D15:E15)</f>
        <v>1950000</v>
      </c>
      <c r="D15" s="1578">
        <f>'Phụ lục số I'!H50</f>
        <v>1950000</v>
      </c>
      <c r="E15" s="1578">
        <f>'Phụ lục số I'!I50</f>
        <v>0</v>
      </c>
      <c r="F15" s="1620">
        <f t="shared" ref="F15:F17" si="7">SUM(G15:H15)</f>
        <v>1950000</v>
      </c>
      <c r="G15" s="1620">
        <f>'Phụ lục số I'!O50</f>
        <v>1950000</v>
      </c>
      <c r="H15" s="1620">
        <f>'Phụ lục số I'!P50</f>
        <v>0</v>
      </c>
      <c r="I15" s="1620">
        <f t="shared" ref="I15:I17" si="8">SUM(J15:K15)</f>
        <v>1950000</v>
      </c>
      <c r="J15" s="1620">
        <f>'Phụ lục số I'!U50</f>
        <v>1950000</v>
      </c>
      <c r="K15" s="1620">
        <f>'Phụ lục số I'!V50</f>
        <v>0</v>
      </c>
    </row>
    <row r="16" spans="1:11">
      <c r="A16" s="1618"/>
      <c r="B16" s="1621" t="s">
        <v>244</v>
      </c>
      <c r="C16" s="1578">
        <f>SUM(D16:E16)</f>
        <v>445054.16200000001</v>
      </c>
      <c r="D16" s="1578">
        <f>'Phụ lục số I'!H47</f>
        <v>445054.16200000001</v>
      </c>
      <c r="E16" s="1578">
        <f>'Phụ lục số I'!I47</f>
        <v>0</v>
      </c>
      <c r="F16" s="1620">
        <f t="shared" si="7"/>
        <v>445054.16200000001</v>
      </c>
      <c r="G16" s="1620">
        <f>'Phụ lục số I'!O47</f>
        <v>445054.16200000001</v>
      </c>
      <c r="H16" s="1620">
        <f>'Phụ lục số I'!P47</f>
        <v>0</v>
      </c>
      <c r="I16" s="1620">
        <f t="shared" si="8"/>
        <v>37000</v>
      </c>
      <c r="J16" s="1620">
        <f>'Phụ lục số I'!U47</f>
        <v>37000</v>
      </c>
      <c r="K16" s="1620">
        <f>'Phụ lục số I'!V47</f>
        <v>0</v>
      </c>
    </row>
    <row r="17" spans="1:11">
      <c r="A17" s="1618"/>
      <c r="B17" s="1621" t="s">
        <v>245</v>
      </c>
      <c r="C17" s="1578">
        <f t="shared" ref="C17" si="9">SUM(D17:E17)</f>
        <v>4727930</v>
      </c>
      <c r="D17" s="1578">
        <f>D12-D14-D15-D16</f>
        <v>1931850.0000000005</v>
      </c>
      <c r="E17" s="1578">
        <f t="shared" ref="E17" si="10">E12-E14-E15-E16</f>
        <v>2796080</v>
      </c>
      <c r="F17" s="1620">
        <f t="shared" si="7"/>
        <v>4156499.8703476484</v>
      </c>
      <c r="G17" s="129">
        <f>G12-G14-G15-G16</f>
        <v>1881699.3987353877</v>
      </c>
      <c r="H17" s="129">
        <f t="shared" ref="H17" si="11">H12-H14-H15-H16</f>
        <v>2274800.4716122607</v>
      </c>
      <c r="I17" s="1622">
        <f t="shared" si="8"/>
        <v>4795919.8297451045</v>
      </c>
      <c r="J17" s="129">
        <f>J12-J14-J15-J16</f>
        <v>2329420.0640200041</v>
      </c>
      <c r="K17" s="129">
        <f t="shared" ref="K17" si="12">K12-K14-K15-K16</f>
        <v>2466499.7657251004</v>
      </c>
    </row>
    <row r="18" spans="1:11">
      <c r="A18" s="1616" t="s">
        <v>33</v>
      </c>
      <c r="B18" s="1617" t="s">
        <v>203</v>
      </c>
      <c r="C18" s="126">
        <f>SUM(C19:C20)</f>
        <v>9256479</v>
      </c>
      <c r="D18" s="126">
        <f t="shared" ref="D18:E18" si="13">SUM(D19:D20)</f>
        <v>9256479</v>
      </c>
      <c r="E18" s="126">
        <f t="shared" si="13"/>
        <v>0</v>
      </c>
      <c r="F18" s="126">
        <f>SUM(F19:F20)</f>
        <v>9904812</v>
      </c>
      <c r="G18" s="126">
        <f t="shared" ref="G18" si="14">SUM(G19:G20)</f>
        <v>9904812</v>
      </c>
      <c r="H18" s="1579">
        <f>SUM(H19:H20)</f>
        <v>0</v>
      </c>
      <c r="I18" s="195">
        <f>SUM(I19:I20)</f>
        <v>13326475.800000001</v>
      </c>
      <c r="J18" s="195">
        <f t="shared" ref="J18:K18" si="15">SUM(J19:J20)</f>
        <v>13326475.800000001</v>
      </c>
      <c r="K18" s="1579">
        <f t="shared" si="15"/>
        <v>0</v>
      </c>
    </row>
    <row r="19" spans="1:11">
      <c r="A19" s="1616">
        <v>1</v>
      </c>
      <c r="B19" s="1617" t="s">
        <v>205</v>
      </c>
      <c r="C19" s="126">
        <f>SUM(D19:E19)</f>
        <v>6617188</v>
      </c>
      <c r="D19" s="126">
        <f>'Phụ lục số I'!H56</f>
        <v>6617188</v>
      </c>
      <c r="E19" s="126"/>
      <c r="F19" s="195">
        <f>SUM(G19:H19)</f>
        <v>6617188</v>
      </c>
      <c r="G19" s="195">
        <f>'Phụ lục số I'!O56</f>
        <v>6617188</v>
      </c>
      <c r="H19" s="195">
        <f>E19</f>
        <v>0</v>
      </c>
      <c r="I19" s="195">
        <f>SUM(J19:K19)</f>
        <v>6617188</v>
      </c>
      <c r="J19" s="195">
        <f>'Phụ lục số I'!U56</f>
        <v>6617188</v>
      </c>
      <c r="K19" s="195">
        <f>H19</f>
        <v>0</v>
      </c>
    </row>
    <row r="20" spans="1:11">
      <c r="A20" s="1616">
        <v>2</v>
      </c>
      <c r="B20" s="1617" t="s">
        <v>207</v>
      </c>
      <c r="C20" s="126">
        <f>SUM(C21,C24,C27)</f>
        <v>2639291</v>
      </c>
      <c r="D20" s="126">
        <f t="shared" ref="D20:E20" si="16">SUM(D21,D24,D27)</f>
        <v>2639291</v>
      </c>
      <c r="E20" s="126">
        <f t="shared" si="16"/>
        <v>0</v>
      </c>
      <c r="F20" s="126">
        <f>SUM(F21,F24,F27)</f>
        <v>3287624</v>
      </c>
      <c r="G20" s="126">
        <f t="shared" ref="G20:H20" si="17">SUM(G21,G24,G27)</f>
        <v>3287624</v>
      </c>
      <c r="H20" s="195">
        <f t="shared" si="17"/>
        <v>0</v>
      </c>
      <c r="I20" s="195">
        <f>SUM(I21,I24,I27)</f>
        <v>6709287.7999999998</v>
      </c>
      <c r="J20" s="195">
        <f t="shared" ref="J20:K20" si="18">SUM(J21,J24,J27)</f>
        <v>6709287.7999999998</v>
      </c>
      <c r="K20" s="195">
        <f t="shared" si="18"/>
        <v>0</v>
      </c>
    </row>
    <row r="21" spans="1:11">
      <c r="A21" s="1623" t="s">
        <v>204</v>
      </c>
      <c r="B21" s="1624" t="s">
        <v>42</v>
      </c>
      <c r="C21" s="127">
        <f>SUM(C22:C23)</f>
        <v>1814491</v>
      </c>
      <c r="D21" s="127">
        <f t="shared" ref="D21:E21" si="19">SUM(D22:D23)</f>
        <v>1814491</v>
      </c>
      <c r="E21" s="127">
        <f t="shared" si="19"/>
        <v>0</v>
      </c>
      <c r="F21" s="127">
        <f>SUM(F22:F23)</f>
        <v>1814491</v>
      </c>
      <c r="G21" s="127">
        <f t="shared" ref="G21:H21" si="20">SUM(G22:G23)</f>
        <v>1814491</v>
      </c>
      <c r="H21" s="196">
        <f t="shared" si="20"/>
        <v>0</v>
      </c>
      <c r="I21" s="196">
        <f>SUM(I22:I23)</f>
        <v>3101719</v>
      </c>
      <c r="J21" s="196">
        <f t="shared" ref="J21:K21" si="21">SUM(J22:J23)</f>
        <v>3101719</v>
      </c>
      <c r="K21" s="196">
        <f t="shared" si="21"/>
        <v>0</v>
      </c>
    </row>
    <row r="22" spans="1:11" ht="17.25" hidden="1" customHeight="1">
      <c r="A22" s="1623" t="s">
        <v>99</v>
      </c>
      <c r="B22" s="1624" t="s">
        <v>100</v>
      </c>
      <c r="C22" s="127">
        <f>SUM(D22:E22)</f>
        <v>1681570</v>
      </c>
      <c r="D22" s="127">
        <f>'Phụ lục số I'!H60</f>
        <v>1681570</v>
      </c>
      <c r="E22" s="127"/>
      <c r="F22" s="196">
        <f>SUM(G22:H22)</f>
        <v>1681570</v>
      </c>
      <c r="G22" s="196">
        <f>'Phụ lục số I'!O60</f>
        <v>1681570</v>
      </c>
      <c r="H22" s="196"/>
      <c r="I22" s="1584">
        <f>SUM(J22:K22)</f>
        <v>2970480</v>
      </c>
      <c r="J22" s="1584">
        <f>'Phụ lục số I'!U60</f>
        <v>2970480</v>
      </c>
      <c r="K22" s="1584"/>
    </row>
    <row r="23" spans="1:11" hidden="1">
      <c r="A23" s="1623" t="s">
        <v>101</v>
      </c>
      <c r="B23" s="1624" t="s">
        <v>102</v>
      </c>
      <c r="C23" s="127">
        <f t="shared" ref="C23" si="22">SUM(D23:E23)</f>
        <v>132921</v>
      </c>
      <c r="D23" s="127">
        <f>'Phụ lục số I'!H61</f>
        <v>132921</v>
      </c>
      <c r="E23" s="127"/>
      <c r="F23" s="196">
        <f>SUM(G23:H23)</f>
        <v>132921</v>
      </c>
      <c r="G23" s="196">
        <f>'Phụ lục số I'!O61</f>
        <v>132921</v>
      </c>
      <c r="H23" s="196"/>
      <c r="I23" s="1584">
        <f>SUM(J23:K23)</f>
        <v>131239</v>
      </c>
      <c r="J23" s="1584">
        <f>'Phụ lục số I'!U61</f>
        <v>131239</v>
      </c>
      <c r="K23" s="1584"/>
    </row>
    <row r="24" spans="1:11">
      <c r="A24" s="1623" t="s">
        <v>206</v>
      </c>
      <c r="B24" s="1624" t="s">
        <v>43</v>
      </c>
      <c r="C24" s="127">
        <f>SUM(C25:C26)</f>
        <v>174485</v>
      </c>
      <c r="D24" s="127">
        <f t="shared" ref="D24:E24" si="23">SUM(D25:D26)</f>
        <v>174485</v>
      </c>
      <c r="E24" s="127">
        <f t="shared" si="23"/>
        <v>0</v>
      </c>
      <c r="F24" s="127">
        <f>SUM(F25:F26)</f>
        <v>174485</v>
      </c>
      <c r="G24" s="127">
        <f t="shared" ref="G24:H24" si="24">SUM(G25:G26)</f>
        <v>174485</v>
      </c>
      <c r="H24" s="196">
        <f t="shared" si="24"/>
        <v>0</v>
      </c>
      <c r="I24" s="196">
        <f>SUM(I25:I26)</f>
        <v>195063.8</v>
      </c>
      <c r="J24" s="196">
        <f t="shared" ref="J24:K24" si="25">SUM(J25:J26)</f>
        <v>195063.8</v>
      </c>
      <c r="K24" s="196">
        <f t="shared" si="25"/>
        <v>0</v>
      </c>
    </row>
    <row r="25" spans="1:11" hidden="1">
      <c r="A25" s="1623" t="s">
        <v>99</v>
      </c>
      <c r="B25" s="1624" t="s">
        <v>103</v>
      </c>
      <c r="C25" s="127">
        <f>SUM(D25:E25)</f>
        <v>72469</v>
      </c>
      <c r="D25" s="127">
        <f>'Phụ lục số I'!H63</f>
        <v>72469</v>
      </c>
      <c r="E25" s="127"/>
      <c r="F25" s="196">
        <f>SUM(G25:H25)</f>
        <v>72469</v>
      </c>
      <c r="G25" s="196">
        <f>'Phụ lục số I'!O63</f>
        <v>72469</v>
      </c>
      <c r="H25" s="196">
        <f>E25</f>
        <v>0</v>
      </c>
      <c r="I25" s="1584">
        <f>SUM(J25:K25)</f>
        <v>86962.8</v>
      </c>
      <c r="J25" s="1584">
        <f>'Phụ lục số I'!U63</f>
        <v>86962.8</v>
      </c>
      <c r="K25" s="1560">
        <f>H25</f>
        <v>0</v>
      </c>
    </row>
    <row r="26" spans="1:11" hidden="1">
      <c r="A26" s="1623" t="s">
        <v>101</v>
      </c>
      <c r="B26" s="1624" t="s">
        <v>102</v>
      </c>
      <c r="C26" s="127">
        <f t="shared" ref="C26" si="26">SUM(D26:E26)</f>
        <v>102016</v>
      </c>
      <c r="D26" s="127">
        <f>'Phụ lục số I'!H64</f>
        <v>102016</v>
      </c>
      <c r="E26" s="127"/>
      <c r="F26" s="196">
        <f>SUM(G26:H26)</f>
        <v>102016</v>
      </c>
      <c r="G26" s="196">
        <f>'Phụ lục số I'!O64</f>
        <v>102016</v>
      </c>
      <c r="H26" s="196"/>
      <c r="I26" s="1584">
        <f>SUM(J26:K26)</f>
        <v>108101</v>
      </c>
      <c r="J26" s="1584">
        <f>'Phụ lục số I'!U64</f>
        <v>108101</v>
      </c>
      <c r="K26" s="1584"/>
    </row>
    <row r="27" spans="1:11">
      <c r="A27" s="1623" t="s">
        <v>237</v>
      </c>
      <c r="B27" s="1625" t="s">
        <v>106</v>
      </c>
      <c r="C27" s="127">
        <f>SUM(C28:C29)</f>
        <v>650315</v>
      </c>
      <c r="D27" s="127">
        <f t="shared" ref="D27:E27" si="27">SUM(D28:D29)</f>
        <v>650315</v>
      </c>
      <c r="E27" s="127">
        <f t="shared" si="27"/>
        <v>0</v>
      </c>
      <c r="F27" s="127">
        <f>SUM(F28:F29)</f>
        <v>1298648</v>
      </c>
      <c r="G27" s="127">
        <f t="shared" ref="G27:H27" si="28">SUM(G28:G29)</f>
        <v>1298648</v>
      </c>
      <c r="H27" s="196">
        <f t="shared" si="28"/>
        <v>0</v>
      </c>
      <c r="I27" s="196">
        <f>SUM(I28:I29)</f>
        <v>3412505</v>
      </c>
      <c r="J27" s="196">
        <f t="shared" ref="J27:K27" si="29">SUM(J28:J29)</f>
        <v>3412505</v>
      </c>
      <c r="K27" s="196">
        <f t="shared" si="29"/>
        <v>0</v>
      </c>
    </row>
    <row r="28" spans="1:11" hidden="1">
      <c r="A28" s="1623" t="s">
        <v>99</v>
      </c>
      <c r="B28" s="1624" t="s">
        <v>104</v>
      </c>
      <c r="C28" s="127">
        <f t="shared" ref="C28:C33" si="30">SUM(D28:E28)</f>
        <v>650315</v>
      </c>
      <c r="D28" s="127">
        <f>'Phụ lục số I'!H66</f>
        <v>650315</v>
      </c>
      <c r="E28" s="127"/>
      <c r="F28" s="196">
        <f>SUM(G28:H28)</f>
        <v>1160089</v>
      </c>
      <c r="G28" s="196">
        <f>'Phụ lục số I'!O66</f>
        <v>1160089</v>
      </c>
      <c r="H28" s="196">
        <f>E28</f>
        <v>0</v>
      </c>
      <c r="I28" s="1584">
        <f>SUM(J28:K28)</f>
        <v>3033239</v>
      </c>
      <c r="J28" s="1584">
        <f>'Phụ lục số I'!U66</f>
        <v>3033239</v>
      </c>
      <c r="K28" s="1560">
        <f>H28</f>
        <v>0</v>
      </c>
    </row>
    <row r="29" spans="1:11" hidden="1">
      <c r="A29" s="1623" t="s">
        <v>101</v>
      </c>
      <c r="B29" s="1624" t="s">
        <v>105</v>
      </c>
      <c r="C29" s="127">
        <f t="shared" si="30"/>
        <v>0</v>
      </c>
      <c r="D29" s="127">
        <f>'Phụ lục số I'!H67</f>
        <v>0</v>
      </c>
      <c r="E29" s="127"/>
      <c r="F29" s="196">
        <f>SUM(G29:H29)</f>
        <v>138559</v>
      </c>
      <c r="G29" s="196">
        <f>'Phụ lục số I'!O67</f>
        <v>138559</v>
      </c>
      <c r="H29" s="196">
        <f>E29</f>
        <v>0</v>
      </c>
      <c r="I29" s="1584">
        <f>SUM(J29:K29)</f>
        <v>379266</v>
      </c>
      <c r="J29" s="1584">
        <f>'Phụ lục số I'!U67</f>
        <v>379266</v>
      </c>
      <c r="K29" s="1560">
        <f>H29</f>
        <v>0</v>
      </c>
    </row>
    <row r="30" spans="1:11">
      <c r="A30" s="1616" t="s">
        <v>182</v>
      </c>
      <c r="B30" s="1626" t="s">
        <v>45</v>
      </c>
      <c r="C30" s="126">
        <f t="shared" si="30"/>
        <v>886000</v>
      </c>
      <c r="D30" s="126">
        <f>'Phụ lục số I'!H68</f>
        <v>0</v>
      </c>
      <c r="E30" s="126">
        <f>'Phụ lục số I'!I68</f>
        <v>886000</v>
      </c>
      <c r="F30" s="195">
        <f>SUM(G30:H30)</f>
        <v>1156399</v>
      </c>
      <c r="G30" s="195">
        <f>'Phụ lục số I'!O68</f>
        <v>0</v>
      </c>
      <c r="H30" s="195">
        <f>'Phụ lục số I'!P68</f>
        <v>1156399</v>
      </c>
      <c r="I30" s="1570">
        <f t="shared" ref="I30:I31" si="31">SUM(J30:K30)</f>
        <v>0.40000000001455194</v>
      </c>
      <c r="J30" s="1570">
        <f>'Phụ lục số I'!U68</f>
        <v>0.40000000001455194</v>
      </c>
      <c r="K30" s="1570">
        <f>'Phụ lục số I'!V68</f>
        <v>0</v>
      </c>
    </row>
    <row r="31" spans="1:11">
      <c r="A31" s="1616" t="s">
        <v>215</v>
      </c>
      <c r="B31" s="1626" t="s">
        <v>47</v>
      </c>
      <c r="C31" s="126">
        <f t="shared" si="30"/>
        <v>0</v>
      </c>
      <c r="D31" s="126">
        <f>'Phụ lục số I'!H69</f>
        <v>0</v>
      </c>
      <c r="E31" s="126">
        <f>'Phụ lục số I'!I69</f>
        <v>0</v>
      </c>
      <c r="F31" s="195">
        <f t="shared" ref="F31:F33" si="32">SUM(G31:H31)</f>
        <v>0</v>
      </c>
      <c r="G31" s="195">
        <f>'Phụ lục số I'!O69</f>
        <v>0</v>
      </c>
      <c r="H31" s="195">
        <f>'Phụ lục số I'!P69</f>
        <v>0</v>
      </c>
      <c r="I31" s="1570">
        <f t="shared" si="31"/>
        <v>0</v>
      </c>
      <c r="J31" s="1570">
        <f>'Phụ lục số I'!U69</f>
        <v>0</v>
      </c>
      <c r="K31" s="1570">
        <f>'Phụ lục số I'!V69</f>
        <v>0</v>
      </c>
    </row>
    <row r="32" spans="1:11">
      <c r="A32" s="1627" t="s">
        <v>37</v>
      </c>
      <c r="B32" s="1628" t="s">
        <v>238</v>
      </c>
      <c r="C32" s="126">
        <f t="shared" si="30"/>
        <v>19035463.078000002</v>
      </c>
      <c r="D32" s="126">
        <f>D33+D53+D63+D64</f>
        <v>9127059.7300000004</v>
      </c>
      <c r="E32" s="126">
        <f>E33+E53+E63+E64</f>
        <v>9908403.3479999993</v>
      </c>
      <c r="F32" s="128">
        <f t="shared" si="32"/>
        <v>19382765.494239721</v>
      </c>
      <c r="G32" s="128">
        <f>G33+G53+G63+G64+0.4</f>
        <v>9429600.6589892786</v>
      </c>
      <c r="H32" s="128">
        <f>H33+H53+H63+H64</f>
        <v>9953164.8352504428</v>
      </c>
      <c r="I32" s="128">
        <f t="shared" ref="I32:I33" si="33">SUM(J32:K32)</f>
        <v>21909395.833801575</v>
      </c>
      <c r="J32" s="128">
        <f>J33+J53+J63+J64</f>
        <v>10975001.773972481</v>
      </c>
      <c r="K32" s="128">
        <f>K33+K53+K63+K64</f>
        <v>10934394.059829095</v>
      </c>
    </row>
    <row r="33" spans="1:11">
      <c r="A33" s="1616" t="s">
        <v>3</v>
      </c>
      <c r="B33" s="1617" t="s">
        <v>142</v>
      </c>
      <c r="C33" s="126">
        <f t="shared" si="30"/>
        <v>17046487.078000002</v>
      </c>
      <c r="D33" s="126">
        <f>SUM(D34,D40,D47,D48,D49,D50,D51,D52)</f>
        <v>7138083.7300000004</v>
      </c>
      <c r="E33" s="126">
        <f>SUM(E34,E40,E47,E48,E49,E50,E51,E52)</f>
        <v>9908403.3479999993</v>
      </c>
      <c r="F33" s="126">
        <f t="shared" si="32"/>
        <v>17255230.094239719</v>
      </c>
      <c r="G33" s="126">
        <f>SUM(G34,G40,G47,G48,G49,G50,G51,G52)</f>
        <v>7302065.2589892773</v>
      </c>
      <c r="H33" s="126">
        <f>SUM(H34,H40,H47,H48,H49,H50,H51,H52)</f>
        <v>9953164.8352504428</v>
      </c>
      <c r="I33" s="126">
        <f t="shared" si="33"/>
        <v>18233347.033801578</v>
      </c>
      <c r="J33" s="126">
        <f>SUM(J34,J40,J47,J48,J49,J50,J51,J52)</f>
        <v>7298952.9739724817</v>
      </c>
      <c r="K33" s="126">
        <f>SUM(K34,K40,K47,K48,K49,K50,K51,K52)</f>
        <v>10934394.059829095</v>
      </c>
    </row>
    <row r="34" spans="1:11">
      <c r="A34" s="1616">
        <v>1</v>
      </c>
      <c r="B34" s="1617" t="s">
        <v>208</v>
      </c>
      <c r="C34" s="126">
        <f>SUM(C35:C39)</f>
        <v>5331240.5709698759</v>
      </c>
      <c r="D34" s="126">
        <f t="shared" ref="D34:E34" si="34">SUM(D35:D39)</f>
        <v>3607240.162</v>
      </c>
      <c r="E34" s="126">
        <f t="shared" si="34"/>
        <v>1724000.4089698761</v>
      </c>
      <c r="F34" s="126">
        <f>SUM(F35:F39)</f>
        <v>5331240.5709698759</v>
      </c>
      <c r="G34" s="126">
        <f t="shared" ref="G34:H34" si="35">SUM(G35:G39)</f>
        <v>3607240.162</v>
      </c>
      <c r="H34" s="126">
        <f t="shared" si="35"/>
        <v>1724000.4089698761</v>
      </c>
      <c r="I34" s="126">
        <f>SUM(I35:I39)</f>
        <v>4950795.363429876</v>
      </c>
      <c r="J34" s="126">
        <f t="shared" ref="J34:K34" si="36">SUM(J35:J39)</f>
        <v>3109794.9544600002</v>
      </c>
      <c r="K34" s="126">
        <f t="shared" si="36"/>
        <v>1841000.4089698761</v>
      </c>
    </row>
    <row r="35" spans="1:11">
      <c r="A35" s="1629" t="s">
        <v>29</v>
      </c>
      <c r="B35" s="1630" t="s">
        <v>143</v>
      </c>
      <c r="C35" s="127">
        <f>SUM(D35:E35)</f>
        <v>1143186.4089698761</v>
      </c>
      <c r="D35" s="127">
        <f>'Phụ lục số II'!F12</f>
        <v>562186</v>
      </c>
      <c r="E35" s="127">
        <f>'Phụ lục số II'!G12</f>
        <v>581000.40896987612</v>
      </c>
      <c r="F35" s="196">
        <f>SUM(G35:H35)</f>
        <v>1143186.4089698761</v>
      </c>
      <c r="G35" s="196">
        <f>'Phụ lục số II'!K12</f>
        <v>562186</v>
      </c>
      <c r="H35" s="196">
        <f>'Phụ lục số II'!L12</f>
        <v>581000.40896987612</v>
      </c>
      <c r="I35" s="196">
        <f>SUM(J35:K35)</f>
        <v>1170795.363429876</v>
      </c>
      <c r="J35" s="196">
        <f>'Phụ lục số II'!P12</f>
        <v>589794.95446000004</v>
      </c>
      <c r="K35" s="196">
        <f>'Phụ lục số II'!Q12</f>
        <v>581000.40896987612</v>
      </c>
    </row>
    <row r="36" spans="1:11">
      <c r="A36" s="1629" t="s">
        <v>29</v>
      </c>
      <c r="B36" s="1630" t="s">
        <v>144</v>
      </c>
      <c r="C36" s="127">
        <f t="shared" ref="C36:C39" si="37">SUM(D36:E36)</f>
        <v>1770000</v>
      </c>
      <c r="D36" s="127">
        <f>'Phụ lục số II'!F13</f>
        <v>627000</v>
      </c>
      <c r="E36" s="127">
        <f>'Phụ lục số II'!G13</f>
        <v>1143000</v>
      </c>
      <c r="F36" s="196">
        <f t="shared" ref="F36:F39" si="38">SUM(G36:H36)</f>
        <v>1770000</v>
      </c>
      <c r="G36" s="196">
        <f>'Phụ lục số II'!K13</f>
        <v>627000</v>
      </c>
      <c r="H36" s="196">
        <f>'Phụ lục số II'!L13</f>
        <v>1143000</v>
      </c>
      <c r="I36" s="196">
        <f t="shared" ref="I36:I39" si="39">SUM(J36:K36)</f>
        <v>1660000</v>
      </c>
      <c r="J36" s="196">
        <f>'Phụ lục số II'!P13</f>
        <v>400000</v>
      </c>
      <c r="K36" s="196">
        <f>'Phụ lục số II'!Q13</f>
        <v>1260000</v>
      </c>
    </row>
    <row r="37" spans="1:11">
      <c r="A37" s="1629" t="s">
        <v>29</v>
      </c>
      <c r="B37" s="1625" t="s">
        <v>145</v>
      </c>
      <c r="C37" s="127">
        <f t="shared" si="37"/>
        <v>1950000</v>
      </c>
      <c r="D37" s="127">
        <f>'Phụ lục số II'!F14</f>
        <v>1950000</v>
      </c>
      <c r="E37" s="127">
        <f>'Phụ lục số II'!G14</f>
        <v>0</v>
      </c>
      <c r="F37" s="196">
        <f t="shared" si="38"/>
        <v>1950000</v>
      </c>
      <c r="G37" s="196">
        <f>'Phụ lục số II'!K14</f>
        <v>1950000</v>
      </c>
      <c r="H37" s="196">
        <f>'Phụ lục số II'!L14</f>
        <v>0</v>
      </c>
      <c r="I37" s="196">
        <f t="shared" si="39"/>
        <v>1850000</v>
      </c>
      <c r="J37" s="196">
        <f>'Phụ lục số II'!P14</f>
        <v>1850000</v>
      </c>
      <c r="K37" s="196">
        <f>'Phụ lục số II'!Q14</f>
        <v>0</v>
      </c>
    </row>
    <row r="38" spans="1:11">
      <c r="A38" s="1629" t="s">
        <v>29</v>
      </c>
      <c r="B38" s="1625" t="s">
        <v>146</v>
      </c>
      <c r="C38" s="127">
        <f t="shared" si="37"/>
        <v>408054.16200000001</v>
      </c>
      <c r="D38" s="127">
        <f>'Phụ lục số II'!F15</f>
        <v>408054.16200000001</v>
      </c>
      <c r="E38" s="127">
        <f>'Phụ lục số II'!G15</f>
        <v>0</v>
      </c>
      <c r="F38" s="196">
        <f t="shared" si="38"/>
        <v>408054.16200000001</v>
      </c>
      <c r="G38" s="196">
        <f>'Phụ lục số II'!K15</f>
        <v>408054.16200000001</v>
      </c>
      <c r="H38" s="196">
        <f>'Phụ lục số II'!L15</f>
        <v>0</v>
      </c>
      <c r="I38" s="196">
        <f t="shared" si="39"/>
        <v>0</v>
      </c>
      <c r="J38" s="196">
        <f>'Phụ lục số II'!P15</f>
        <v>0</v>
      </c>
      <c r="K38" s="196">
        <f>'Phụ lục số II'!Q15</f>
        <v>0</v>
      </c>
    </row>
    <row r="39" spans="1:11">
      <c r="A39" s="1629" t="s">
        <v>29</v>
      </c>
      <c r="B39" s="1625" t="s">
        <v>218</v>
      </c>
      <c r="C39" s="127">
        <f t="shared" si="37"/>
        <v>60000</v>
      </c>
      <c r="D39" s="127">
        <f>'Phụ lục số II'!F16</f>
        <v>60000</v>
      </c>
      <c r="E39" s="127">
        <f>'Phụ lục số II'!G16</f>
        <v>0</v>
      </c>
      <c r="F39" s="196">
        <f t="shared" si="38"/>
        <v>60000</v>
      </c>
      <c r="G39" s="196">
        <f>'Phụ lục số II'!K16</f>
        <v>60000</v>
      </c>
      <c r="H39" s="196">
        <f>'Phụ lục số II'!L16</f>
        <v>0</v>
      </c>
      <c r="I39" s="196">
        <f t="shared" si="39"/>
        <v>270000</v>
      </c>
      <c r="J39" s="196">
        <f>'Phụ lục số II'!P16</f>
        <v>270000</v>
      </c>
      <c r="K39" s="196">
        <f>'Phụ lục số II'!Q16</f>
        <v>0</v>
      </c>
    </row>
    <row r="40" spans="1:11">
      <c r="A40" s="1616">
        <v>2</v>
      </c>
      <c r="B40" s="1617" t="s">
        <v>209</v>
      </c>
      <c r="C40" s="126">
        <f>SUM(D40:E40)</f>
        <v>10664978.394711081</v>
      </c>
      <c r="D40" s="126">
        <f>'Phụ lục số II'!F17</f>
        <v>3294440</v>
      </c>
      <c r="E40" s="126">
        <f>'Phụ lục số II'!G17</f>
        <v>7370538.3947110809</v>
      </c>
      <c r="F40" s="126">
        <f>SUM(G40:H40)</f>
        <v>11591120.210950801</v>
      </c>
      <c r="G40" s="195">
        <f>'Phụ lục số II'!K17</f>
        <v>3537560.3289892771</v>
      </c>
      <c r="H40" s="195">
        <f>'Phụ lục số II'!L17</f>
        <v>8053559.8819615236</v>
      </c>
      <c r="I40" s="195">
        <f>SUM(J40:K40)</f>
        <v>12923457.191269752</v>
      </c>
      <c r="J40" s="195">
        <f>'Phụ lục số II'!P17</f>
        <v>4000399.9484000015</v>
      </c>
      <c r="K40" s="195">
        <f>'Phụ lục số II'!Q17</f>
        <v>8923057.2428697497</v>
      </c>
    </row>
    <row r="41" spans="1:11">
      <c r="A41" s="1616"/>
      <c r="B41" s="1617" t="s">
        <v>234</v>
      </c>
      <c r="C41" s="1580"/>
      <c r="D41" s="1580"/>
      <c r="E41" s="1580"/>
      <c r="F41" s="196"/>
      <c r="G41" s="196"/>
      <c r="H41" s="196"/>
      <c r="I41" s="196"/>
      <c r="J41" s="196"/>
      <c r="K41" s="196"/>
    </row>
    <row r="42" spans="1:11">
      <c r="A42" s="1631" t="s">
        <v>29</v>
      </c>
      <c r="B42" s="1546" t="s">
        <v>152</v>
      </c>
      <c r="C42" s="127">
        <f>SUM(D42:E42)</f>
        <v>4797945.7831797441</v>
      </c>
      <c r="D42" s="127">
        <f>'Phụ lục số II'!F18</f>
        <v>956676</v>
      </c>
      <c r="E42" s="127">
        <f>'Phụ lục số II'!G18</f>
        <v>3841269.7831797441</v>
      </c>
      <c r="F42" s="196">
        <f>SUM(G42:H42)</f>
        <v>5395798.649100964</v>
      </c>
      <c r="G42" s="196">
        <f>'Phụ lục số II'!K18</f>
        <v>1052842.94860096</v>
      </c>
      <c r="H42" s="196">
        <f>'Phụ lục số II'!L18</f>
        <v>4342955.700500004</v>
      </c>
      <c r="I42" s="196">
        <f>SUM(J42:K42)</f>
        <v>6069834.0480443519</v>
      </c>
      <c r="J42" s="196">
        <f>'Phụ lục số II'!P18</f>
        <v>1200270.35836</v>
      </c>
      <c r="K42" s="196">
        <f>'Phụ lục số II'!Q18</f>
        <v>4869563.6896843519</v>
      </c>
    </row>
    <row r="43" spans="1:11">
      <c r="A43" s="1631" t="s">
        <v>29</v>
      </c>
      <c r="B43" s="1546" t="s">
        <v>153</v>
      </c>
      <c r="C43" s="127">
        <f t="shared" ref="C43:C45" si="40">SUM(D43:E43)</f>
        <v>31218</v>
      </c>
      <c r="D43" s="127">
        <f>'Phụ lục số II'!F19</f>
        <v>31218</v>
      </c>
      <c r="E43" s="127">
        <f>'Phụ lục số II'!G19</f>
        <v>0</v>
      </c>
      <c r="F43" s="196">
        <f>SUM(G43:H43)</f>
        <v>31107.539891692453</v>
      </c>
      <c r="G43" s="196">
        <f>'Phụ lục số II'!K19</f>
        <v>31107.539891692453</v>
      </c>
      <c r="H43" s="196">
        <f>'Phụ lục số II'!L19</f>
        <v>0</v>
      </c>
      <c r="I43" s="196">
        <f>SUM(J43:K43)</f>
        <v>33297.115980000002</v>
      </c>
      <c r="J43" s="196">
        <f>'Phụ lục số II'!P19</f>
        <v>33297.115980000002</v>
      </c>
      <c r="K43" s="196">
        <f>'Phụ lục số II'!Q19</f>
        <v>0</v>
      </c>
    </row>
    <row r="44" spans="1:11">
      <c r="A44" s="1631"/>
      <c r="B44" s="1546" t="s">
        <v>156</v>
      </c>
      <c r="C44" s="127">
        <f t="shared" si="40"/>
        <v>828538</v>
      </c>
      <c r="D44" s="127">
        <f>'Phụ lục số II'!F22</f>
        <v>828538</v>
      </c>
      <c r="E44" s="127">
        <f>'Phụ lục số II'!G22</f>
        <v>0</v>
      </c>
      <c r="F44" s="127">
        <f t="shared" ref="F44:F46" si="41">SUM(G44:H44)</f>
        <v>918904.34527461987</v>
      </c>
      <c r="G44" s="196">
        <f>'Phụ lục số II'!K22</f>
        <v>918904.34527461987</v>
      </c>
      <c r="H44" s="196">
        <f>'Phụ lục số II'!L22</f>
        <v>0</v>
      </c>
      <c r="I44" s="127">
        <f t="shared" ref="I44:I46" si="42">SUM(J44:K44)</f>
        <v>1055349.5011800001</v>
      </c>
      <c r="J44" s="196">
        <f>'Phụ lục số II'!P22</f>
        <v>1055349.5011800001</v>
      </c>
      <c r="K44" s="196"/>
    </row>
    <row r="45" spans="1:11">
      <c r="A45" s="1631"/>
      <c r="B45" s="1546" t="s">
        <v>164</v>
      </c>
      <c r="C45" s="127">
        <f t="shared" si="40"/>
        <v>151965</v>
      </c>
      <c r="D45" s="127">
        <f>'Phụ lục số II'!F26</f>
        <v>67965</v>
      </c>
      <c r="E45" s="127">
        <f>'Phụ lục số II'!G26</f>
        <v>84000</v>
      </c>
      <c r="F45" s="127">
        <f t="shared" si="41"/>
        <v>150523.83502817666</v>
      </c>
      <c r="G45" s="196">
        <f>'Phụ lục số II'!K26</f>
        <v>69147.116264298733</v>
      </c>
      <c r="H45" s="196">
        <f>'Phụ lục số II'!L26</f>
        <v>81376.718763877929</v>
      </c>
      <c r="I45" s="127">
        <f t="shared" si="42"/>
        <v>155618.76115000001</v>
      </c>
      <c r="J45" s="196">
        <f>'Phụ lục số II'!P26</f>
        <v>74148.761150000006</v>
      </c>
      <c r="K45" s="196">
        <f>'Phụ lục số II'!Q26</f>
        <v>81470</v>
      </c>
    </row>
    <row r="46" spans="1:11">
      <c r="A46" s="1629" t="s">
        <v>29</v>
      </c>
      <c r="B46" s="1630" t="s">
        <v>240</v>
      </c>
      <c r="C46" s="127">
        <f>SUM(D46:E46)</f>
        <v>4855311.6115313368</v>
      </c>
      <c r="D46" s="127">
        <f>D40-D42-D43-D44-D45</f>
        <v>1410043</v>
      </c>
      <c r="E46" s="127">
        <f>E40-E42-E43-E44-E45</f>
        <v>3445268.6115313368</v>
      </c>
      <c r="F46" s="127">
        <f t="shared" si="41"/>
        <v>5094785.8416553475</v>
      </c>
      <c r="G46" s="127">
        <f>G40-G42-G43-G44-G45</f>
        <v>1465558.3789577063</v>
      </c>
      <c r="H46" s="127">
        <f>H40-H42-H43-H44-H45</f>
        <v>3629227.4626976415</v>
      </c>
      <c r="I46" s="127">
        <f t="shared" si="42"/>
        <v>5609357.7649153993</v>
      </c>
      <c r="J46" s="127">
        <f>J40-J42-J43-J44-J45</f>
        <v>1637334.2117300017</v>
      </c>
      <c r="K46" s="127">
        <f>K40-K42-K43-K44-K45</f>
        <v>3972023.5531853978</v>
      </c>
    </row>
    <row r="47" spans="1:11" hidden="1">
      <c r="A47" s="1632">
        <v>3</v>
      </c>
      <c r="B47" s="1633" t="s">
        <v>210</v>
      </c>
      <c r="C47" s="1581"/>
      <c r="D47" s="1581"/>
      <c r="E47" s="1581"/>
      <c r="F47" s="196"/>
      <c r="G47" s="196"/>
      <c r="H47" s="196"/>
      <c r="I47" s="196"/>
      <c r="J47" s="196"/>
      <c r="K47" s="196"/>
    </row>
    <row r="48" spans="1:11">
      <c r="A48" s="1632">
        <v>4</v>
      </c>
      <c r="B48" s="1633" t="s">
        <v>210</v>
      </c>
      <c r="C48" s="1582">
        <f>SUM(D48:E48)</f>
        <v>717399.2</v>
      </c>
      <c r="D48" s="1582">
        <f>'Phụ lục số II'!F34</f>
        <v>79139.200000000012</v>
      </c>
      <c r="E48" s="1582">
        <f>'Phụ lục số II'!G34</f>
        <v>638260</v>
      </c>
      <c r="F48" s="195">
        <f>SUM(G48:H48)</f>
        <v>0.40000000001455194</v>
      </c>
      <c r="G48" s="195">
        <f>'Phụ lục số II'!K34</f>
        <v>0.40000000001455194</v>
      </c>
      <c r="H48" s="195">
        <f>'Phụ lục số II'!L34</f>
        <v>0</v>
      </c>
      <c r="I48" s="195">
        <f>SUM(J48:K48)</f>
        <v>0</v>
      </c>
      <c r="J48" s="195">
        <f>'Phụ lục số II'!P34</f>
        <v>0</v>
      </c>
      <c r="K48" s="195">
        <f>'Phụ lục số II'!Q34</f>
        <v>0</v>
      </c>
    </row>
    <row r="49" spans="1:11">
      <c r="A49" s="1632">
        <v>5</v>
      </c>
      <c r="B49" s="1582" t="s">
        <v>212</v>
      </c>
      <c r="C49" s="1582">
        <f t="shared" ref="C49:C52" si="43">SUM(D49:E49)</f>
        <v>0</v>
      </c>
      <c r="D49" s="1581"/>
      <c r="E49" s="1581"/>
      <c r="F49" s="195">
        <f t="shared" ref="F49:F52" si="44">SUM(G49:H49)</f>
        <v>0</v>
      </c>
      <c r="G49" s="195"/>
      <c r="H49" s="195"/>
      <c r="I49" s="196"/>
      <c r="J49" s="196"/>
      <c r="K49" s="196"/>
    </row>
    <row r="50" spans="1:11">
      <c r="A50" s="1632">
        <v>6</v>
      </c>
      <c r="B50" s="1634" t="s">
        <v>174</v>
      </c>
      <c r="C50" s="1582">
        <f t="shared" si="43"/>
        <v>2000</v>
      </c>
      <c r="D50" s="1582">
        <f>'Phụ lục số II'!F32</f>
        <v>2000</v>
      </c>
      <c r="E50" s="1582">
        <f>'Phụ lục số II'!G32</f>
        <v>0</v>
      </c>
      <c r="F50" s="195">
        <f t="shared" si="44"/>
        <v>2000</v>
      </c>
      <c r="G50" s="195">
        <f>'Phụ lục số II'!K32</f>
        <v>2000</v>
      </c>
      <c r="H50" s="195"/>
      <c r="I50" s="195">
        <f>SUM(J50:K50)</f>
        <v>2000</v>
      </c>
      <c r="J50" s="195">
        <f>'Phụ lục số II'!P32</f>
        <v>2000</v>
      </c>
      <c r="K50" s="195">
        <f>'Phụ lục số II'!Q32</f>
        <v>0</v>
      </c>
    </row>
    <row r="51" spans="1:11">
      <c r="A51" s="1632">
        <v>7</v>
      </c>
      <c r="B51" s="1634" t="s">
        <v>175</v>
      </c>
      <c r="C51" s="1582">
        <f t="shared" si="43"/>
        <v>327868.91231904214</v>
      </c>
      <c r="D51" s="1582">
        <f>'Phụ lục số II'!F33</f>
        <v>152264.36799999999</v>
      </c>
      <c r="E51" s="1582">
        <f>'Phụ lục số II'!G33</f>
        <v>175604.54431904212</v>
      </c>
      <c r="F51" s="195">
        <f t="shared" si="44"/>
        <v>327868.91231904214</v>
      </c>
      <c r="G51" s="195">
        <f>'Phụ lục số II'!K33</f>
        <v>152264.36799999999</v>
      </c>
      <c r="H51" s="195">
        <f>'Phụ lục số II'!L33</f>
        <v>175604.54431904212</v>
      </c>
      <c r="I51" s="195">
        <f t="shared" ref="I51:I52" si="45">SUM(J51:K51)</f>
        <v>354094.47910195083</v>
      </c>
      <c r="J51" s="195">
        <f>'Phụ lục số II'!P33</f>
        <v>183758.07111247999</v>
      </c>
      <c r="K51" s="195">
        <f>'Phụ lục số II'!Q33</f>
        <v>170336.40798947084</v>
      </c>
    </row>
    <row r="52" spans="1:11">
      <c r="A52" s="1632">
        <v>8</v>
      </c>
      <c r="B52" s="1634" t="s">
        <v>213</v>
      </c>
      <c r="C52" s="1582">
        <f t="shared" si="43"/>
        <v>3000</v>
      </c>
      <c r="D52" s="1582">
        <f>'Phụ lục số II'!F31</f>
        <v>3000</v>
      </c>
      <c r="E52" s="1582">
        <f>'Phụ lục số II'!G31</f>
        <v>0</v>
      </c>
      <c r="F52" s="195">
        <f t="shared" si="44"/>
        <v>3000</v>
      </c>
      <c r="G52" s="195">
        <f>'Phụ lục số II'!K31</f>
        <v>3000</v>
      </c>
      <c r="H52" s="195"/>
      <c r="I52" s="195">
        <f t="shared" si="45"/>
        <v>3000</v>
      </c>
      <c r="J52" s="195">
        <f>'Phụ lục số II'!P31</f>
        <v>3000</v>
      </c>
      <c r="K52" s="195">
        <f>'Phụ lục số II'!Q31</f>
        <v>0</v>
      </c>
    </row>
    <row r="53" spans="1:11">
      <c r="A53" s="1632" t="s">
        <v>33</v>
      </c>
      <c r="B53" s="1634" t="s">
        <v>214</v>
      </c>
      <c r="C53" s="1582">
        <f>SUM(D53:E53)</f>
        <v>1988976</v>
      </c>
      <c r="D53" s="1582">
        <f>SUM(D54,D57,D60)</f>
        <v>1988976</v>
      </c>
      <c r="E53" s="1582">
        <f t="shared" ref="E53" si="46">SUM(E54,E57,E60)</f>
        <v>0</v>
      </c>
      <c r="F53" s="126">
        <f>SUM(G53:H53)</f>
        <v>2127535</v>
      </c>
      <c r="G53" s="126">
        <f>SUM(G54,G57,G60)</f>
        <v>2127535</v>
      </c>
      <c r="H53" s="126">
        <f t="shared" ref="H53" si="47">SUM(H54,H57,H60)</f>
        <v>0</v>
      </c>
      <c r="I53" s="126">
        <f>SUM(J53:K53)</f>
        <v>3676048.8</v>
      </c>
      <c r="J53" s="126">
        <f>SUM(J54,J57,J60)</f>
        <v>3676048.8</v>
      </c>
      <c r="K53" s="126">
        <f t="shared" ref="K53" si="48">SUM(K54,K57,K60)</f>
        <v>0</v>
      </c>
    </row>
    <row r="54" spans="1:11">
      <c r="A54" s="1629">
        <v>1</v>
      </c>
      <c r="B54" s="127" t="s">
        <v>178</v>
      </c>
      <c r="C54" s="1577">
        <f t="shared" ref="C54" si="49">SUM(D54:E54)</f>
        <v>1814491</v>
      </c>
      <c r="D54" s="1577">
        <f>SUM(D55:D56)</f>
        <v>1814491</v>
      </c>
      <c r="E54" s="1577">
        <f t="shared" ref="E54" si="50">SUM(E55:E56)</f>
        <v>0</v>
      </c>
      <c r="F54" s="127">
        <f t="shared" ref="F54" si="51">SUM(G54:H54)</f>
        <v>1814491</v>
      </c>
      <c r="G54" s="127">
        <f>SUM(G55:G56)</f>
        <v>1814491</v>
      </c>
      <c r="H54" s="127">
        <f t="shared" ref="H54" si="52">SUM(H55:H56)</f>
        <v>0</v>
      </c>
      <c r="I54" s="127">
        <f t="shared" ref="I54" si="53">SUM(J54:K54)</f>
        <v>3101719</v>
      </c>
      <c r="J54" s="127">
        <f>SUM(J55:J56)</f>
        <v>3101719</v>
      </c>
      <c r="K54" s="127">
        <f t="shared" ref="K54" si="54">SUM(K55:K56)</f>
        <v>0</v>
      </c>
    </row>
    <row r="55" spans="1:11" hidden="1">
      <c r="A55" s="1629" t="s">
        <v>99</v>
      </c>
      <c r="B55" s="127" t="s">
        <v>100</v>
      </c>
      <c r="C55" s="1577">
        <f>SUM(D55:E55)</f>
        <v>1681570</v>
      </c>
      <c r="D55" s="1577">
        <f>'Phụ lục số II'!F37</f>
        <v>1681570</v>
      </c>
      <c r="E55" s="1577"/>
      <c r="F55" s="196">
        <f>SUM(G55:H55)</f>
        <v>1681570</v>
      </c>
      <c r="G55" s="196">
        <f>'Phụ lục số II'!K37</f>
        <v>1681570</v>
      </c>
      <c r="H55" s="196">
        <f>'Phụ lục số II'!L37</f>
        <v>0</v>
      </c>
      <c r="I55" s="196">
        <f>SUM(J55:K55)</f>
        <v>2970480</v>
      </c>
      <c r="J55" s="196">
        <f>'Phụ lục số II'!P37</f>
        <v>2970480</v>
      </c>
      <c r="K55" s="196"/>
    </row>
    <row r="56" spans="1:11" hidden="1">
      <c r="A56" s="1629" t="s">
        <v>101</v>
      </c>
      <c r="B56" s="127" t="s">
        <v>102</v>
      </c>
      <c r="C56" s="1577">
        <f t="shared" ref="C56:C57" si="55">SUM(D56:E56)</f>
        <v>132921</v>
      </c>
      <c r="D56" s="1577">
        <f>'Phụ lục số II'!F38</f>
        <v>132921</v>
      </c>
      <c r="E56" s="1577"/>
      <c r="F56" s="196">
        <f>SUM(G56:H56)</f>
        <v>132921</v>
      </c>
      <c r="G56" s="196">
        <f>'Phụ lục số II'!K38</f>
        <v>132921</v>
      </c>
      <c r="H56" s="196">
        <f>'Phụ lục số II'!L38</f>
        <v>0</v>
      </c>
      <c r="I56" s="196">
        <f>SUM(J56:K56)</f>
        <v>131239</v>
      </c>
      <c r="J56" s="196">
        <f>'Phụ lục số II'!P38</f>
        <v>131239</v>
      </c>
      <c r="K56" s="196"/>
    </row>
    <row r="57" spans="1:11">
      <c r="A57" s="1629">
        <v>2</v>
      </c>
      <c r="B57" s="127" t="s">
        <v>179</v>
      </c>
      <c r="C57" s="1577">
        <f t="shared" si="55"/>
        <v>174485</v>
      </c>
      <c r="D57" s="1577">
        <f>SUM(D58:D59)</f>
        <v>174485</v>
      </c>
      <c r="E57" s="1577">
        <f t="shared" ref="E57" si="56">SUM(E58:E59)</f>
        <v>0</v>
      </c>
      <c r="F57" s="127">
        <f t="shared" ref="F57" si="57">SUM(G57:H57)</f>
        <v>174485</v>
      </c>
      <c r="G57" s="127">
        <f>SUM(G58:G59)</f>
        <v>174485</v>
      </c>
      <c r="H57" s="127">
        <f t="shared" ref="H57" si="58">SUM(H58:H59)</f>
        <v>0</v>
      </c>
      <c r="I57" s="127">
        <f t="shared" ref="I57" si="59">SUM(J57:K57)</f>
        <v>195063.8</v>
      </c>
      <c r="J57" s="127">
        <f>SUM(J58:J59)</f>
        <v>195063.8</v>
      </c>
      <c r="K57" s="127">
        <f t="shared" ref="K57" si="60">SUM(K58:K59)</f>
        <v>0</v>
      </c>
    </row>
    <row r="58" spans="1:11" hidden="1">
      <c r="A58" s="1629" t="s">
        <v>99</v>
      </c>
      <c r="B58" s="127" t="s">
        <v>103</v>
      </c>
      <c r="C58" s="1577">
        <f>SUM(D58:E58)</f>
        <v>72469</v>
      </c>
      <c r="D58" s="1577">
        <f>'Phụ lục số II'!F40</f>
        <v>72469</v>
      </c>
      <c r="E58" s="1577"/>
      <c r="F58" s="196">
        <f>SUM(G58:H58)</f>
        <v>72469</v>
      </c>
      <c r="G58" s="196">
        <f>'Phụ lục số II'!K40</f>
        <v>72469</v>
      </c>
      <c r="H58" s="196">
        <f>'Phụ lục số II'!L40</f>
        <v>0</v>
      </c>
      <c r="I58" s="196">
        <f>SUM(J58:K58)</f>
        <v>86962.8</v>
      </c>
      <c r="J58" s="196">
        <f>'Phụ lục số II'!P40</f>
        <v>86962.8</v>
      </c>
      <c r="K58" s="196"/>
    </row>
    <row r="59" spans="1:11" hidden="1">
      <c r="A59" s="1629" t="s">
        <v>101</v>
      </c>
      <c r="B59" s="127" t="s">
        <v>102</v>
      </c>
      <c r="C59" s="1577">
        <f t="shared" ref="C59:C63" si="61">SUM(D59:E59)</f>
        <v>102016</v>
      </c>
      <c r="D59" s="1577">
        <f>'Phụ lục số II'!F41</f>
        <v>102016</v>
      </c>
      <c r="E59" s="1577"/>
      <c r="F59" s="196">
        <f>SUM(G59:H59)</f>
        <v>102016</v>
      </c>
      <c r="G59" s="196">
        <f>'Phụ lục số II'!K41</f>
        <v>102016</v>
      </c>
      <c r="H59" s="196">
        <f>'Phụ lục số II'!L41</f>
        <v>0</v>
      </c>
      <c r="I59" s="196">
        <f>SUM(J59:K59)</f>
        <v>108101</v>
      </c>
      <c r="J59" s="196">
        <f>'Phụ lục số II'!P41</f>
        <v>108101</v>
      </c>
      <c r="K59" s="196"/>
    </row>
    <row r="60" spans="1:11">
      <c r="A60" s="1629">
        <v>3</v>
      </c>
      <c r="B60" s="127" t="s">
        <v>180</v>
      </c>
      <c r="C60" s="1577">
        <f t="shared" si="61"/>
        <v>0</v>
      </c>
      <c r="D60" s="1577">
        <f>SUM(D61:D62)</f>
        <v>0</v>
      </c>
      <c r="E60" s="1577">
        <f t="shared" ref="E60" si="62">SUM(E61:E62)</f>
        <v>0</v>
      </c>
      <c r="F60" s="196">
        <f>SUM(F61:F62)</f>
        <v>138559</v>
      </c>
      <c r="G60" s="196">
        <f t="shared" ref="G60:H60" si="63">SUM(G61:G62)</f>
        <v>138559</v>
      </c>
      <c r="H60" s="196">
        <f t="shared" si="63"/>
        <v>0</v>
      </c>
      <c r="I60" s="196">
        <f>SUM(I61:I62)</f>
        <v>379266</v>
      </c>
      <c r="J60" s="196">
        <f t="shared" ref="J60:K60" si="64">SUM(J61:J62)</f>
        <v>379266</v>
      </c>
      <c r="K60" s="196">
        <f t="shared" si="64"/>
        <v>0</v>
      </c>
    </row>
    <row r="61" spans="1:11" hidden="1">
      <c r="A61" s="1629" t="s">
        <v>99</v>
      </c>
      <c r="B61" s="127" t="s">
        <v>104</v>
      </c>
      <c r="C61" s="1577">
        <f t="shared" si="61"/>
        <v>0</v>
      </c>
      <c r="D61" s="1577"/>
      <c r="E61" s="1577"/>
      <c r="F61" s="196">
        <f>SUM(G61:H61)</f>
        <v>0</v>
      </c>
      <c r="G61" s="196">
        <f>'Phụ lục số II'!K43</f>
        <v>0</v>
      </c>
      <c r="H61" s="196">
        <f>'Phụ lục số II'!L43</f>
        <v>0</v>
      </c>
      <c r="I61" s="196">
        <f>SUM(J61:K61)</f>
        <v>0</v>
      </c>
      <c r="J61" s="196">
        <f>'Phụ lục số II'!P43</f>
        <v>0</v>
      </c>
      <c r="K61" s="196"/>
    </row>
    <row r="62" spans="1:11" hidden="1">
      <c r="A62" s="1629" t="s">
        <v>101</v>
      </c>
      <c r="B62" s="127" t="s">
        <v>105</v>
      </c>
      <c r="C62" s="1577">
        <f t="shared" si="61"/>
        <v>0</v>
      </c>
      <c r="D62" s="1577"/>
      <c r="E62" s="1577"/>
      <c r="F62" s="196">
        <f>SUM(G62:H62)</f>
        <v>138559</v>
      </c>
      <c r="G62" s="196">
        <f>'Phụ lục số II'!K44</f>
        <v>138559</v>
      </c>
      <c r="H62" s="196">
        <f>'Phụ lục số II'!L44</f>
        <v>0</v>
      </c>
      <c r="I62" s="196">
        <f>SUM(J62:K62)</f>
        <v>379266</v>
      </c>
      <c r="J62" s="196">
        <f>'Phụ lục số II'!P44</f>
        <v>379266</v>
      </c>
      <c r="K62" s="196"/>
    </row>
    <row r="63" spans="1:11">
      <c r="A63" s="1616" t="s">
        <v>182</v>
      </c>
      <c r="B63" s="1626" t="s">
        <v>181</v>
      </c>
      <c r="C63" s="1582">
        <f t="shared" si="61"/>
        <v>0</v>
      </c>
      <c r="D63" s="1577"/>
      <c r="E63" s="1577"/>
      <c r="F63" s="195">
        <f>SUM(G63:H63)</f>
        <v>0</v>
      </c>
      <c r="G63" s="196"/>
      <c r="H63" s="196"/>
      <c r="I63" s="195">
        <f>SUM(J63:K63)</f>
        <v>0</v>
      </c>
      <c r="J63" s="195">
        <f>'Phụ lục số II'!P45</f>
        <v>0</v>
      </c>
      <c r="K63" s="196"/>
    </row>
    <row r="64" spans="1:11">
      <c r="A64" s="1616" t="s">
        <v>215</v>
      </c>
      <c r="B64" s="1617" t="s">
        <v>216</v>
      </c>
      <c r="C64" s="1577"/>
      <c r="D64" s="1577"/>
      <c r="E64" s="1577"/>
      <c r="F64" s="195">
        <f>SUM(G64:H64)</f>
        <v>0</v>
      </c>
      <c r="G64" s="195">
        <f>H18</f>
        <v>0</v>
      </c>
      <c r="H64" s="195"/>
      <c r="I64" s="1582">
        <f>SUM(J64:K64)</f>
        <v>0</v>
      </c>
      <c r="J64" s="1577"/>
      <c r="K64" s="1577"/>
    </row>
    <row r="65" spans="1:11">
      <c r="A65" s="1635" t="s">
        <v>44</v>
      </c>
      <c r="B65" s="1635" t="s">
        <v>217</v>
      </c>
      <c r="C65" s="1583">
        <f>SUM(D65:E65)</f>
        <v>8.4000000730156898E-2</v>
      </c>
      <c r="D65" s="1583">
        <f>D8-D32</f>
        <v>5083323.432</v>
      </c>
      <c r="E65" s="1583">
        <f>E8-E32</f>
        <v>-5083323.3479999993</v>
      </c>
      <c r="F65" s="1636">
        <f>G65+H65</f>
        <v>-0.46189207304269075</v>
      </c>
      <c r="G65" s="1636">
        <f>G8-G32</f>
        <v>5378964.9017461091</v>
      </c>
      <c r="H65" s="1636">
        <f>H8-H32</f>
        <v>-5378965.3636381822</v>
      </c>
      <c r="I65" s="1636">
        <f>J65+K65</f>
        <v>0.19594352692365646</v>
      </c>
      <c r="J65" s="1636">
        <f>J8-J32</f>
        <v>7207894.4900475219</v>
      </c>
      <c r="K65" s="1636">
        <f>K8-K32</f>
        <v>-7207894.294103995</v>
      </c>
    </row>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65"/>
  <sheetViews>
    <sheetView workbookViewId="0">
      <selection activeCell="A4" sqref="A4:A6"/>
    </sheetView>
  </sheetViews>
  <sheetFormatPr defaultRowHeight="14.4"/>
  <cols>
    <col min="1" max="1" width="7.44140625" customWidth="1"/>
    <col min="2" max="2" width="70" customWidth="1"/>
    <col min="3" max="3" width="15" bestFit="1" customWidth="1"/>
    <col min="4" max="4" width="13" bestFit="1" customWidth="1"/>
    <col min="5" max="5" width="15" bestFit="1" customWidth="1"/>
    <col min="6" max="6" width="14.6640625" bestFit="1" customWidth="1"/>
    <col min="7" max="7" width="12.109375" customWidth="1"/>
    <col min="8" max="8" width="14.33203125" customWidth="1"/>
  </cols>
  <sheetData>
    <row r="3" spans="1:30" ht="15" thickBot="1"/>
    <row r="4" spans="1:30" ht="18" thickTop="1">
      <c r="A4" s="6366" t="s">
        <v>136</v>
      </c>
      <c r="B4" s="6720" t="s">
        <v>1861</v>
      </c>
      <c r="C4" s="6720" t="s">
        <v>50</v>
      </c>
      <c r="D4" s="6721" t="s">
        <v>2836</v>
      </c>
      <c r="E4" s="6722"/>
      <c r="F4" s="6722"/>
      <c r="G4" s="6723"/>
      <c r="H4" s="6724" t="s">
        <v>2837</v>
      </c>
      <c r="I4" s="6725"/>
      <c r="J4" s="6725"/>
      <c r="K4" s="6725"/>
      <c r="L4" s="6725"/>
      <c r="M4" s="6726"/>
      <c r="N4" s="6724" t="s">
        <v>2838</v>
      </c>
      <c r="O4" s="6725"/>
      <c r="P4" s="6725"/>
      <c r="Q4" s="6725"/>
      <c r="R4" s="6725"/>
      <c r="S4" s="6726"/>
      <c r="T4" s="6724" t="s">
        <v>2839</v>
      </c>
      <c r="U4" s="6725"/>
      <c r="V4" s="6725"/>
      <c r="W4" s="6725"/>
      <c r="X4" s="6725"/>
      <c r="Y4" s="6726"/>
      <c r="Z4" s="6629" t="s">
        <v>2840</v>
      </c>
      <c r="AA4" s="6629"/>
      <c r="AB4" s="6629"/>
      <c r="AC4" s="6629"/>
      <c r="AD4" s="6727"/>
    </row>
    <row r="5" spans="1:30" ht="17.399999999999999" customHeight="1">
      <c r="A5" s="6367"/>
      <c r="B5" s="6315"/>
      <c r="C5" s="6315"/>
      <c r="D5" s="6315" t="s">
        <v>53</v>
      </c>
      <c r="E5" s="4447" t="s">
        <v>1867</v>
      </c>
      <c r="F5" s="4447"/>
      <c r="G5" s="4447"/>
      <c r="H5" s="6315" t="s">
        <v>51</v>
      </c>
      <c r="I5" s="6315" t="s">
        <v>1872</v>
      </c>
      <c r="J5" s="6315" t="s">
        <v>53</v>
      </c>
      <c r="K5" s="4447" t="s">
        <v>1867</v>
      </c>
      <c r="L5" s="4447"/>
      <c r="M5" s="4447"/>
      <c r="N5" s="6315" t="s">
        <v>51</v>
      </c>
      <c r="O5" s="6315" t="str">
        <f>I5</f>
        <v>% so với dự toán 2024</v>
      </c>
      <c r="P5" s="6315" t="s">
        <v>53</v>
      </c>
      <c r="Q5" s="4447" t="s">
        <v>1867</v>
      </c>
      <c r="R5" s="4447"/>
      <c r="S5" s="4447"/>
      <c r="T5" s="6315" t="s">
        <v>51</v>
      </c>
      <c r="U5" s="6315" t="str">
        <f>O5</f>
        <v>% so với dự toán 2024</v>
      </c>
      <c r="V5" s="6315" t="s">
        <v>53</v>
      </c>
      <c r="W5" s="4447" t="s">
        <v>1867</v>
      </c>
      <c r="X5" s="4447"/>
      <c r="Y5" s="4447"/>
      <c r="Z5" s="6315" t="s">
        <v>51</v>
      </c>
      <c r="AA5" s="6315" t="s">
        <v>53</v>
      </c>
      <c r="AB5" s="4447" t="s">
        <v>1867</v>
      </c>
      <c r="AC5" s="4447"/>
      <c r="AD5" s="4448"/>
    </row>
    <row r="6" spans="1:30" ht="52.2">
      <c r="A6" s="6367"/>
      <c r="B6" s="6315"/>
      <c r="C6" s="6315"/>
      <c r="D6" s="6308"/>
      <c r="E6" s="584" t="s">
        <v>54</v>
      </c>
      <c r="F6" s="584" t="s">
        <v>55</v>
      </c>
      <c r="G6" s="584" t="s">
        <v>56</v>
      </c>
      <c r="H6" s="6308"/>
      <c r="I6" s="6308"/>
      <c r="J6" s="6308"/>
      <c r="K6" s="584" t="s">
        <v>54</v>
      </c>
      <c r="L6" s="584" t="s">
        <v>55</v>
      </c>
      <c r="M6" s="584" t="s">
        <v>56</v>
      </c>
      <c r="N6" s="6308"/>
      <c r="O6" s="6308"/>
      <c r="P6" s="6308"/>
      <c r="Q6" s="584" t="s">
        <v>54</v>
      </c>
      <c r="R6" s="584" t="s">
        <v>55</v>
      </c>
      <c r="S6" s="584" t="s">
        <v>56</v>
      </c>
      <c r="T6" s="6308"/>
      <c r="U6" s="6308"/>
      <c r="V6" s="6308"/>
      <c r="W6" s="584" t="s">
        <v>54</v>
      </c>
      <c r="X6" s="584" t="s">
        <v>55</v>
      </c>
      <c r="Y6" s="584" t="s">
        <v>56</v>
      </c>
      <c r="Z6" s="6308"/>
      <c r="AA6" s="6308"/>
      <c r="AB6" s="584" t="s">
        <v>54</v>
      </c>
      <c r="AC6" s="584" t="s">
        <v>55</v>
      </c>
      <c r="AD6" s="4449" t="s">
        <v>56</v>
      </c>
    </row>
    <row r="7" spans="1:30" ht="18">
      <c r="A7" s="4450">
        <v>1</v>
      </c>
      <c r="B7" s="4451">
        <v>2</v>
      </c>
      <c r="C7" s="4452"/>
      <c r="D7" s="4452"/>
      <c r="E7" s="4452"/>
      <c r="F7" s="4452"/>
      <c r="G7" s="4452"/>
      <c r="H7" s="4451" t="s">
        <v>1874</v>
      </c>
      <c r="I7" s="4451" t="s">
        <v>1875</v>
      </c>
      <c r="J7" s="4451">
        <v>6</v>
      </c>
      <c r="K7" s="4451" t="s">
        <v>1876</v>
      </c>
      <c r="L7" s="4451">
        <v>8</v>
      </c>
      <c r="M7" s="4451">
        <v>9</v>
      </c>
      <c r="N7" s="4451" t="s">
        <v>1877</v>
      </c>
      <c r="O7" s="4451" t="s">
        <v>2841</v>
      </c>
      <c r="P7" s="4451">
        <v>12</v>
      </c>
      <c r="Q7" s="4451" t="s">
        <v>1879</v>
      </c>
      <c r="R7" s="4451">
        <v>14</v>
      </c>
      <c r="S7" s="4451">
        <v>15</v>
      </c>
      <c r="T7" s="4451"/>
      <c r="U7" s="4451"/>
      <c r="V7" s="4451"/>
      <c r="W7" s="4451"/>
      <c r="X7" s="4451"/>
      <c r="Y7" s="4451"/>
      <c r="Z7" s="4451"/>
      <c r="AA7" s="4451"/>
      <c r="AB7" s="4451"/>
      <c r="AC7" s="4451"/>
      <c r="AD7" s="4453"/>
    </row>
    <row r="8" spans="1:30" ht="17.399999999999999">
      <c r="A8" s="4454" t="s">
        <v>1</v>
      </c>
      <c r="B8" s="4455" t="s">
        <v>2</v>
      </c>
      <c r="C8" s="718">
        <f>SUM(C9,C49)</f>
        <v>9266000</v>
      </c>
      <c r="D8" s="718">
        <f t="shared" ref="D8:G8" si="0">SUM(D9,D49)</f>
        <v>781100</v>
      </c>
      <c r="E8" s="718">
        <f t="shared" si="0"/>
        <v>8484930</v>
      </c>
      <c r="F8" s="718">
        <f t="shared" si="0"/>
        <v>4545850</v>
      </c>
      <c r="G8" s="718">
        <f t="shared" si="0"/>
        <v>3939080</v>
      </c>
      <c r="H8" s="718">
        <f>SUM(H9,H49)</f>
        <v>4286741.4000000004</v>
      </c>
      <c r="I8" s="4456">
        <f>H8/C8*100</f>
        <v>46.263127563134042</v>
      </c>
      <c r="J8" s="718">
        <f>SUM(J9,J49)</f>
        <v>589000</v>
      </c>
      <c r="K8" s="718">
        <f>SUM(K9,K49)</f>
        <v>3697741.4</v>
      </c>
      <c r="L8" s="718">
        <f>SUM(L9,L49)</f>
        <v>1967711.4</v>
      </c>
      <c r="M8" s="718">
        <f>SUM(M9,M49)</f>
        <v>1730030</v>
      </c>
      <c r="N8" s="718">
        <f>SUM(N9,N49)</f>
        <v>2684982.4</v>
      </c>
      <c r="O8" s="4456">
        <f>N8/C8*100</f>
        <v>28.976714871573495</v>
      </c>
      <c r="P8" s="718">
        <f>SUM(P9,P49)</f>
        <v>312500</v>
      </c>
      <c r="Q8" s="718">
        <f>SUM(Q9,Q49)</f>
        <v>2372482.4</v>
      </c>
      <c r="R8" s="718">
        <f>SUM(R9,R49)</f>
        <v>1932085.4</v>
      </c>
      <c r="S8" s="718">
        <f>SUM(S9,S49)</f>
        <v>440397</v>
      </c>
      <c r="T8" s="718">
        <f>N8+H8</f>
        <v>6971723.8000000007</v>
      </c>
      <c r="U8" s="718">
        <f>T8/C8*100</f>
        <v>75.239842434707541</v>
      </c>
      <c r="V8" s="718">
        <f t="shared" ref="V8:Y8" si="1">P8+J8</f>
        <v>901500</v>
      </c>
      <c r="W8" s="718">
        <f t="shared" si="1"/>
        <v>6070223.7999999998</v>
      </c>
      <c r="X8" s="718">
        <f t="shared" si="1"/>
        <v>3899796.8</v>
      </c>
      <c r="Y8" s="718">
        <f t="shared" si="1"/>
        <v>2170427</v>
      </c>
      <c r="Z8" s="718">
        <f>T8-C8</f>
        <v>-2294276.1999999993</v>
      </c>
      <c r="AA8" s="718">
        <f>V8-D8</f>
        <v>120400</v>
      </c>
      <c r="AB8" s="718">
        <f>W8-E8</f>
        <v>-2414706.2000000002</v>
      </c>
      <c r="AC8" s="718">
        <f t="shared" ref="AC8:AD8" si="2">X8-F8</f>
        <v>-646053.20000000019</v>
      </c>
      <c r="AD8" s="4457">
        <f t="shared" si="2"/>
        <v>-1768653</v>
      </c>
    </row>
    <row r="9" spans="1:30" ht="17.399999999999999">
      <c r="A9" s="4458" t="s">
        <v>3</v>
      </c>
      <c r="B9" s="4118" t="s">
        <v>4</v>
      </c>
      <c r="C9" s="719">
        <f t="shared" ref="C9:H9" si="3">SUM(C11,C17,C23,C28,C34,C35,C36,C37,C38,C39,C40,C41,C42,C43,C44,C45,C47,C48)</f>
        <v>9066000</v>
      </c>
      <c r="D9" s="719">
        <f t="shared" si="3"/>
        <v>581100</v>
      </c>
      <c r="E9" s="719">
        <f t="shared" si="3"/>
        <v>8484930</v>
      </c>
      <c r="F9" s="719">
        <f t="shared" si="3"/>
        <v>4545850</v>
      </c>
      <c r="G9" s="719">
        <f t="shared" si="3"/>
        <v>3939080</v>
      </c>
      <c r="H9" s="719">
        <f t="shared" si="3"/>
        <v>4027741.4</v>
      </c>
      <c r="I9" s="4459">
        <f>H9/C9*100</f>
        <v>44.426885065078316</v>
      </c>
      <c r="J9" s="719">
        <f t="shared" ref="J9:N9" si="4">SUM(J11,J17,J23,J28,J34,J35,J36,J37,J38,J39,J40,J41,J42,J43,J44,J45,J47,J48)</f>
        <v>330000</v>
      </c>
      <c r="K9" s="719">
        <f t="shared" si="4"/>
        <v>3697741.4</v>
      </c>
      <c r="L9" s="719">
        <f t="shared" si="4"/>
        <v>1967711.4</v>
      </c>
      <c r="M9" s="719">
        <f t="shared" si="4"/>
        <v>1730030</v>
      </c>
      <c r="N9" s="719">
        <f t="shared" si="4"/>
        <v>2580482.4</v>
      </c>
      <c r="O9" s="4459">
        <f>N9/C9*100</f>
        <v>28.463295830575774</v>
      </c>
      <c r="P9" s="719">
        <f t="shared" ref="P9:T9" si="5">SUM(P11,P17,P23,P28,P34,P35,P36,P37,P38,P39,P40,P41,P42,P43,P44,P45,P47,P48)</f>
        <v>208000</v>
      </c>
      <c r="Q9" s="719">
        <f t="shared" si="5"/>
        <v>2372482.4</v>
      </c>
      <c r="R9" s="719">
        <f t="shared" si="5"/>
        <v>1932085.4</v>
      </c>
      <c r="S9" s="719">
        <f t="shared" si="5"/>
        <v>440397</v>
      </c>
      <c r="T9" s="719">
        <f t="shared" si="5"/>
        <v>6608223.7999999998</v>
      </c>
      <c r="U9" s="719">
        <f t="shared" ref="U9:U61" si="6">T9/C9*100</f>
        <v>72.890180895654083</v>
      </c>
      <c r="V9" s="719">
        <f t="shared" ref="V9:AD9" si="7">SUM(V11,V17,V23,V28,V34,V35,V36,V37,V38,V39,V40,V41,V42,V43,V44,V45,V47,V48)</f>
        <v>538000</v>
      </c>
      <c r="W9" s="719">
        <f t="shared" si="7"/>
        <v>6070223.7999999998</v>
      </c>
      <c r="X9" s="719">
        <f t="shared" si="7"/>
        <v>3899796.8</v>
      </c>
      <c r="Y9" s="719">
        <f t="shared" si="7"/>
        <v>2170427</v>
      </c>
      <c r="Z9" s="719">
        <f t="shared" si="7"/>
        <v>-2457776.2000000002</v>
      </c>
      <c r="AA9" s="719">
        <f t="shared" si="7"/>
        <v>-43100</v>
      </c>
      <c r="AB9" s="719">
        <f t="shared" si="7"/>
        <v>-2414706.2000000002</v>
      </c>
      <c r="AC9" s="719">
        <f t="shared" si="7"/>
        <v>-646053.19999999995</v>
      </c>
      <c r="AD9" s="4460">
        <f t="shared" si="7"/>
        <v>-1768653</v>
      </c>
    </row>
    <row r="10" spans="1:30" ht="18">
      <c r="A10" s="4461"/>
      <c r="B10" s="4462" t="s">
        <v>5</v>
      </c>
      <c r="C10" s="2261">
        <f t="shared" ref="C10:H10" si="8">C9-C40-C48</f>
        <v>5346000</v>
      </c>
      <c r="D10" s="2261">
        <f t="shared" si="8"/>
        <v>581100</v>
      </c>
      <c r="E10" s="2261">
        <f t="shared" si="8"/>
        <v>4764930</v>
      </c>
      <c r="F10" s="2261">
        <f t="shared" si="8"/>
        <v>1968850</v>
      </c>
      <c r="G10" s="2261">
        <f t="shared" si="8"/>
        <v>2796080</v>
      </c>
      <c r="H10" s="2261">
        <f t="shared" si="8"/>
        <v>2667515.4</v>
      </c>
      <c r="I10" s="4463">
        <f>H10/C10*100</f>
        <v>49.897407407407407</v>
      </c>
      <c r="J10" s="2261">
        <f>J9-J40-J48</f>
        <v>330000</v>
      </c>
      <c r="K10" s="2261">
        <f>K9-K40-K48</f>
        <v>2337515.4</v>
      </c>
      <c r="L10" s="2261">
        <f>L9-L40-L48</f>
        <v>1156196.3999999999</v>
      </c>
      <c r="M10" s="2261">
        <f>M9-M40-M48</f>
        <v>1181319</v>
      </c>
      <c r="N10" s="2261">
        <f>N9-N40-N48</f>
        <v>1489708.4</v>
      </c>
      <c r="O10" s="4463">
        <f>N10/C10*100</f>
        <v>27.865851103628881</v>
      </c>
      <c r="P10" s="2261">
        <f>P9-P40-P48</f>
        <v>208000</v>
      </c>
      <c r="Q10" s="2261">
        <f>Q9-Q40-Q48</f>
        <v>1281708.3999999999</v>
      </c>
      <c r="R10" s="2261">
        <f>R9-R40-R48</f>
        <v>616600.39999999991</v>
      </c>
      <c r="S10" s="2261">
        <f t="shared" ref="S10" si="9">S9-S40-S48</f>
        <v>665108</v>
      </c>
      <c r="T10" s="2261">
        <f>N10+H10</f>
        <v>4157223.8</v>
      </c>
      <c r="U10" s="2261">
        <f t="shared" si="6"/>
        <v>77.763258511036284</v>
      </c>
      <c r="V10" s="2261">
        <f t="shared" ref="V10:Y61" si="10">P10+J10</f>
        <v>538000</v>
      </c>
      <c r="W10" s="2261">
        <f t="shared" si="10"/>
        <v>3619223.8</v>
      </c>
      <c r="X10" s="2261">
        <f t="shared" si="10"/>
        <v>1772796.7999999998</v>
      </c>
      <c r="Y10" s="2261">
        <f t="shared" si="10"/>
        <v>1846427</v>
      </c>
      <c r="Z10" s="2261">
        <f t="shared" ref="Z10:Z61" si="11">T10-C10</f>
        <v>-1188776.2000000002</v>
      </c>
      <c r="AA10" s="2261">
        <f t="shared" ref="AA10:AD61" si="12">V10-D10</f>
        <v>-43100</v>
      </c>
      <c r="AB10" s="2261">
        <f t="shared" si="12"/>
        <v>-1145706.2000000002</v>
      </c>
      <c r="AC10" s="2261">
        <f t="shared" si="12"/>
        <v>-196053.20000000019</v>
      </c>
      <c r="AD10" s="4464">
        <f t="shared" si="12"/>
        <v>-949653</v>
      </c>
    </row>
    <row r="11" spans="1:30" s="2423" customFormat="1" ht="17.399999999999999">
      <c r="A11" s="4465">
        <v>1</v>
      </c>
      <c r="B11" s="4466" t="s">
        <v>6</v>
      </c>
      <c r="C11" s="4467">
        <f>SUM(C12:C16)</f>
        <v>230000</v>
      </c>
      <c r="D11" s="4467">
        <f t="shared" ref="D11:G11" si="13">SUM(D12:D16)</f>
        <v>0</v>
      </c>
      <c r="E11" s="4467">
        <f t="shared" si="13"/>
        <v>230000</v>
      </c>
      <c r="F11" s="4467">
        <f t="shared" si="13"/>
        <v>230000</v>
      </c>
      <c r="G11" s="4467">
        <f t="shared" si="13"/>
        <v>0</v>
      </c>
      <c r="H11" s="4468">
        <f>SUM(H12:H16)</f>
        <v>133583</v>
      </c>
      <c r="I11" s="4468">
        <f>H11/C11*100</f>
        <v>58.079565217391306</v>
      </c>
      <c r="J11" s="4468">
        <f>SUM(J12:J16)</f>
        <v>0</v>
      </c>
      <c r="K11" s="4468">
        <f>SUM(K12:K16)</f>
        <v>133583</v>
      </c>
      <c r="L11" s="4468">
        <f>SUM(L12:L16)</f>
        <v>133583</v>
      </c>
      <c r="M11" s="4468">
        <f>SUM(M12:M16)</f>
        <v>0</v>
      </c>
      <c r="N11" s="4468">
        <f>SUM(N12:N16)</f>
        <v>112418</v>
      </c>
      <c r="O11" s="4468">
        <f>N11/C11*100</f>
        <v>48.877391304347825</v>
      </c>
      <c r="P11" s="4468">
        <f>SUM(P12:P16)</f>
        <v>0</v>
      </c>
      <c r="Q11" s="4468">
        <f>SUM(Q12:Q16)</f>
        <v>112418</v>
      </c>
      <c r="R11" s="4468">
        <f>SUM(R12:R16)</f>
        <v>112418</v>
      </c>
      <c r="S11" s="4468">
        <f>SUM(S12:S16)</f>
        <v>0</v>
      </c>
      <c r="T11" s="4468">
        <f t="shared" ref="T11:T61" si="14">N11+H11</f>
        <v>246001</v>
      </c>
      <c r="U11" s="4468">
        <f t="shared" si="6"/>
        <v>106.95695652173913</v>
      </c>
      <c r="V11" s="4468">
        <f t="shared" si="10"/>
        <v>0</v>
      </c>
      <c r="W11" s="4468">
        <f t="shared" si="10"/>
        <v>246001</v>
      </c>
      <c r="X11" s="4468">
        <f t="shared" si="10"/>
        <v>246001</v>
      </c>
      <c r="Y11" s="4468">
        <f t="shared" si="10"/>
        <v>0</v>
      </c>
      <c r="Z11" s="4468">
        <f t="shared" si="11"/>
        <v>16001</v>
      </c>
      <c r="AA11" s="4468">
        <f t="shared" si="12"/>
        <v>0</v>
      </c>
      <c r="AB11" s="4468">
        <f t="shared" si="12"/>
        <v>16001</v>
      </c>
      <c r="AC11" s="4468">
        <f t="shared" si="12"/>
        <v>16001</v>
      </c>
      <c r="AD11" s="4469">
        <f t="shared" si="12"/>
        <v>0</v>
      </c>
    </row>
    <row r="12" spans="1:30" ht="18">
      <c r="A12" s="4465"/>
      <c r="B12" s="4132" t="s">
        <v>7</v>
      </c>
      <c r="C12" s="4470">
        <f>'[2]Phụ lục số 1'!AE12</f>
        <v>170000</v>
      </c>
      <c r="D12" s="4470">
        <f>'[2]Phụ lục số 1'!AG12</f>
        <v>0</v>
      </c>
      <c r="E12" s="4470">
        <f>SUM(F12:G12)</f>
        <v>170000</v>
      </c>
      <c r="F12" s="4470">
        <f>'[2]Phụ lục số 1'!AI12</f>
        <v>170000</v>
      </c>
      <c r="G12" s="4470">
        <f>'[2]Phụ lục số 1'!AJ12</f>
        <v>0</v>
      </c>
      <c r="H12" s="2277">
        <v>107151</v>
      </c>
      <c r="I12" s="723"/>
      <c r="J12" s="723">
        <f>0</f>
        <v>0</v>
      </c>
      <c r="K12" s="723">
        <f t="shared" ref="K12:K16" si="15">H12-J12</f>
        <v>107151</v>
      </c>
      <c r="L12" s="723">
        <f>K12-M12</f>
        <v>107151</v>
      </c>
      <c r="M12" s="723">
        <v>0</v>
      </c>
      <c r="N12" s="2277">
        <v>82418</v>
      </c>
      <c r="O12" s="723"/>
      <c r="P12" s="723">
        <f>0</f>
        <v>0</v>
      </c>
      <c r="Q12" s="723">
        <f t="shared" ref="Q12:Q16" si="16">N12-P12</f>
        <v>82418</v>
      </c>
      <c r="R12" s="723">
        <f t="shared" ref="R12:R16" si="17">Q12-S12</f>
        <v>82418</v>
      </c>
      <c r="S12" s="723">
        <v>0</v>
      </c>
      <c r="T12" s="723">
        <f t="shared" si="14"/>
        <v>189569</v>
      </c>
      <c r="U12" s="723">
        <f t="shared" si="6"/>
        <v>111.51117647058824</v>
      </c>
      <c r="V12" s="723">
        <f t="shared" si="10"/>
        <v>0</v>
      </c>
      <c r="W12" s="723">
        <f t="shared" si="10"/>
        <v>189569</v>
      </c>
      <c r="X12" s="723">
        <f>R12+L12</f>
        <v>189569</v>
      </c>
      <c r="Y12" s="723">
        <f t="shared" si="10"/>
        <v>0</v>
      </c>
      <c r="Z12" s="723">
        <f t="shared" si="11"/>
        <v>19569</v>
      </c>
      <c r="AA12" s="723">
        <f t="shared" si="12"/>
        <v>0</v>
      </c>
      <c r="AB12" s="723">
        <f t="shared" si="12"/>
        <v>19569</v>
      </c>
      <c r="AC12" s="723">
        <f t="shared" si="12"/>
        <v>19569</v>
      </c>
      <c r="AD12" s="4471">
        <f t="shared" si="12"/>
        <v>0</v>
      </c>
    </row>
    <row r="13" spans="1:30" ht="18">
      <c r="A13" s="4465"/>
      <c r="B13" s="4132" t="s">
        <v>8</v>
      </c>
      <c r="C13" s="4470">
        <f>'[2]Phụ lục số 1'!AE13</f>
        <v>20000</v>
      </c>
      <c r="D13" s="4470">
        <f>'[2]Phụ lục số 1'!AG13</f>
        <v>0</v>
      </c>
      <c r="E13" s="4470">
        <f t="shared" ref="E13:E16" si="18">SUM(F13:G13)</f>
        <v>20000</v>
      </c>
      <c r="F13" s="4470">
        <f>'[2]Phụ lục số 1'!AI13</f>
        <v>20000</v>
      </c>
      <c r="G13" s="4470">
        <f>'[2]Phụ lục số 1'!AJ13</f>
        <v>0</v>
      </c>
      <c r="H13" s="2277">
        <v>6197</v>
      </c>
      <c r="I13" s="723"/>
      <c r="J13" s="723">
        <f>0</f>
        <v>0</v>
      </c>
      <c r="K13" s="723">
        <f t="shared" si="15"/>
        <v>6197</v>
      </c>
      <c r="L13" s="723">
        <f t="shared" ref="L13:L16" si="19">K13-M13</f>
        <v>6197</v>
      </c>
      <c r="M13" s="723">
        <v>0</v>
      </c>
      <c r="N13" s="2277">
        <v>8000</v>
      </c>
      <c r="O13" s="723"/>
      <c r="P13" s="723">
        <f>0</f>
        <v>0</v>
      </c>
      <c r="Q13" s="723">
        <f t="shared" si="16"/>
        <v>8000</v>
      </c>
      <c r="R13" s="723">
        <f t="shared" si="17"/>
        <v>8000</v>
      </c>
      <c r="S13" s="723">
        <v>0</v>
      </c>
      <c r="T13" s="723">
        <f t="shared" si="14"/>
        <v>14197</v>
      </c>
      <c r="U13" s="723">
        <f t="shared" si="6"/>
        <v>70.984999999999999</v>
      </c>
      <c r="V13" s="723">
        <f t="shared" si="10"/>
        <v>0</v>
      </c>
      <c r="W13" s="723">
        <f t="shared" si="10"/>
        <v>14197</v>
      </c>
      <c r="X13" s="723">
        <f t="shared" si="10"/>
        <v>14197</v>
      </c>
      <c r="Y13" s="723">
        <f t="shared" si="10"/>
        <v>0</v>
      </c>
      <c r="Z13" s="723">
        <f>T13-C13</f>
        <v>-5803</v>
      </c>
      <c r="AA13" s="723">
        <f t="shared" si="12"/>
        <v>0</v>
      </c>
      <c r="AB13" s="723">
        <f t="shared" si="12"/>
        <v>-5803</v>
      </c>
      <c r="AC13" s="723">
        <f>X13-F13</f>
        <v>-5803</v>
      </c>
      <c r="AD13" s="4471">
        <f t="shared" si="12"/>
        <v>0</v>
      </c>
    </row>
    <row r="14" spans="1:30" ht="18">
      <c r="A14" s="4465"/>
      <c r="B14" s="4132" t="s">
        <v>9</v>
      </c>
      <c r="C14" s="4470">
        <f>'[2]Phụ lục số 1'!AE14</f>
        <v>40000</v>
      </c>
      <c r="D14" s="4470">
        <f>'[2]Phụ lục số 1'!AG14</f>
        <v>0</v>
      </c>
      <c r="E14" s="4470">
        <f t="shared" si="18"/>
        <v>40000</v>
      </c>
      <c r="F14" s="4470">
        <f>'[2]Phụ lục số 1'!AI14</f>
        <v>40000</v>
      </c>
      <c r="G14" s="4470">
        <f>'[2]Phụ lục số 1'!AJ14</f>
        <v>0</v>
      </c>
      <c r="H14" s="2277">
        <v>20231</v>
      </c>
      <c r="I14" s="723"/>
      <c r="J14" s="723">
        <f>0</f>
        <v>0</v>
      </c>
      <c r="K14" s="723">
        <f t="shared" si="15"/>
        <v>20231</v>
      </c>
      <c r="L14" s="723">
        <f t="shared" si="19"/>
        <v>20231</v>
      </c>
      <c r="M14" s="723">
        <v>0</v>
      </c>
      <c r="N14" s="2277">
        <v>22000</v>
      </c>
      <c r="O14" s="723"/>
      <c r="P14" s="723">
        <f>0</f>
        <v>0</v>
      </c>
      <c r="Q14" s="723">
        <f t="shared" si="16"/>
        <v>22000</v>
      </c>
      <c r="R14" s="723">
        <f t="shared" si="17"/>
        <v>22000</v>
      </c>
      <c r="S14" s="723">
        <v>0</v>
      </c>
      <c r="T14" s="723">
        <f t="shared" si="14"/>
        <v>42231</v>
      </c>
      <c r="U14" s="723">
        <f t="shared" si="6"/>
        <v>105.57749999999999</v>
      </c>
      <c r="V14" s="723">
        <f t="shared" si="10"/>
        <v>0</v>
      </c>
      <c r="W14" s="723">
        <f t="shared" si="10"/>
        <v>42231</v>
      </c>
      <c r="X14" s="723">
        <f t="shared" si="10"/>
        <v>42231</v>
      </c>
      <c r="Y14" s="723">
        <f t="shared" si="10"/>
        <v>0</v>
      </c>
      <c r="Z14" s="723">
        <f t="shared" si="11"/>
        <v>2231</v>
      </c>
      <c r="AA14" s="723">
        <f t="shared" si="12"/>
        <v>0</v>
      </c>
      <c r="AB14" s="723">
        <f t="shared" si="12"/>
        <v>2231</v>
      </c>
      <c r="AC14" s="723">
        <f t="shared" si="12"/>
        <v>2231</v>
      </c>
      <c r="AD14" s="4471">
        <f t="shared" si="12"/>
        <v>0</v>
      </c>
    </row>
    <row r="15" spans="1:30" ht="18">
      <c r="A15" s="4465"/>
      <c r="B15" s="4132" t="s">
        <v>10</v>
      </c>
      <c r="C15" s="4470">
        <f>'[2]Phụ lục số 1'!AE15</f>
        <v>0</v>
      </c>
      <c r="D15" s="4470">
        <f>'[2]Phụ lục số 1'!AG15</f>
        <v>0</v>
      </c>
      <c r="E15" s="4470">
        <f t="shared" si="18"/>
        <v>0</v>
      </c>
      <c r="F15" s="4470">
        <f>'[2]Phụ lục số 1'!AI15</f>
        <v>0</v>
      </c>
      <c r="G15" s="4470">
        <f>'[2]Phụ lục số 1'!AJ15</f>
        <v>0</v>
      </c>
      <c r="H15" s="2277">
        <v>4</v>
      </c>
      <c r="I15" s="723"/>
      <c r="J15" s="723">
        <f>0</f>
        <v>0</v>
      </c>
      <c r="K15" s="723">
        <f t="shared" si="15"/>
        <v>4</v>
      </c>
      <c r="L15" s="723">
        <f t="shared" si="19"/>
        <v>4</v>
      </c>
      <c r="M15" s="723">
        <v>0</v>
      </c>
      <c r="N15" s="2277">
        <v>0</v>
      </c>
      <c r="O15" s="723"/>
      <c r="P15" s="723">
        <f>0</f>
        <v>0</v>
      </c>
      <c r="Q15" s="723">
        <f t="shared" si="16"/>
        <v>0</v>
      </c>
      <c r="R15" s="723">
        <f t="shared" si="17"/>
        <v>0</v>
      </c>
      <c r="S15" s="723">
        <v>0</v>
      </c>
      <c r="T15" s="723">
        <f t="shared" si="14"/>
        <v>4</v>
      </c>
      <c r="U15" s="723"/>
      <c r="V15" s="723">
        <f t="shared" si="10"/>
        <v>0</v>
      </c>
      <c r="W15" s="723">
        <f t="shared" si="10"/>
        <v>4</v>
      </c>
      <c r="X15" s="723">
        <f t="shared" si="10"/>
        <v>4</v>
      </c>
      <c r="Y15" s="723">
        <f t="shared" si="10"/>
        <v>0</v>
      </c>
      <c r="Z15" s="723">
        <f t="shared" si="11"/>
        <v>4</v>
      </c>
      <c r="AA15" s="723">
        <f t="shared" si="12"/>
        <v>0</v>
      </c>
      <c r="AB15" s="723">
        <f t="shared" si="12"/>
        <v>4</v>
      </c>
      <c r="AC15" s="723">
        <f t="shared" si="12"/>
        <v>4</v>
      </c>
      <c r="AD15" s="4471">
        <f t="shared" si="12"/>
        <v>0</v>
      </c>
    </row>
    <row r="16" spans="1:30" ht="18">
      <c r="A16" s="4465"/>
      <c r="B16" s="4132" t="s">
        <v>11</v>
      </c>
      <c r="C16" s="4470">
        <f>'[2]Phụ lục số 1'!AE16</f>
        <v>0</v>
      </c>
      <c r="D16" s="4470">
        <f>'[2]Phụ lục số 1'!AG16</f>
        <v>0</v>
      </c>
      <c r="E16" s="4470">
        <f t="shared" si="18"/>
        <v>0</v>
      </c>
      <c r="F16" s="4470">
        <f>'[2]Phụ lục số 1'!AI16</f>
        <v>0</v>
      </c>
      <c r="G16" s="4470">
        <f>'[2]Phụ lục số 1'!AJ16</f>
        <v>0</v>
      </c>
      <c r="H16" s="2277"/>
      <c r="I16" s="723"/>
      <c r="J16" s="723">
        <f>H16</f>
        <v>0</v>
      </c>
      <c r="K16" s="723">
        <f t="shared" si="15"/>
        <v>0</v>
      </c>
      <c r="L16" s="723">
        <f t="shared" si="19"/>
        <v>0</v>
      </c>
      <c r="M16" s="723">
        <v>0</v>
      </c>
      <c r="N16" s="2277"/>
      <c r="O16" s="723"/>
      <c r="P16" s="723">
        <f>N16</f>
        <v>0</v>
      </c>
      <c r="Q16" s="723">
        <f t="shared" si="16"/>
        <v>0</v>
      </c>
      <c r="R16" s="723">
        <f t="shared" si="17"/>
        <v>0</v>
      </c>
      <c r="S16" s="723">
        <v>0</v>
      </c>
      <c r="T16" s="723">
        <f t="shared" si="14"/>
        <v>0</v>
      </c>
      <c r="U16" s="723"/>
      <c r="V16" s="723">
        <f t="shared" si="10"/>
        <v>0</v>
      </c>
      <c r="W16" s="723">
        <f t="shared" si="10"/>
        <v>0</v>
      </c>
      <c r="X16" s="723">
        <f t="shared" si="10"/>
        <v>0</v>
      </c>
      <c r="Y16" s="723">
        <f t="shared" si="10"/>
        <v>0</v>
      </c>
      <c r="Z16" s="723">
        <f t="shared" si="11"/>
        <v>0</v>
      </c>
      <c r="AA16" s="723">
        <f t="shared" si="12"/>
        <v>0</v>
      </c>
      <c r="AB16" s="723">
        <f t="shared" si="12"/>
        <v>0</v>
      </c>
      <c r="AC16" s="723">
        <f t="shared" si="12"/>
        <v>0</v>
      </c>
      <c r="AD16" s="4471">
        <f t="shared" si="12"/>
        <v>0</v>
      </c>
    </row>
    <row r="17" spans="1:30" s="2423" customFormat="1" ht="17.399999999999999">
      <c r="A17" s="4465">
        <v>2</v>
      </c>
      <c r="B17" s="4466" t="s">
        <v>12</v>
      </c>
      <c r="C17" s="4467">
        <f>SUM(C18:C22)</f>
        <v>300000</v>
      </c>
      <c r="D17" s="4467">
        <f t="shared" ref="D17:G17" si="20">SUM(D18:D22)</f>
        <v>0</v>
      </c>
      <c r="E17" s="4467">
        <f t="shared" si="20"/>
        <v>300000</v>
      </c>
      <c r="F17" s="4467">
        <f t="shared" si="20"/>
        <v>300000</v>
      </c>
      <c r="G17" s="4467">
        <f t="shared" si="20"/>
        <v>0</v>
      </c>
      <c r="H17" s="4468">
        <f>SUM(H18:H22)</f>
        <v>245568</v>
      </c>
      <c r="I17" s="4468">
        <f>H17/C17*100</f>
        <v>81.855999999999995</v>
      </c>
      <c r="J17" s="4468">
        <v>0</v>
      </c>
      <c r="K17" s="4468">
        <f>L17</f>
        <v>245568</v>
      </c>
      <c r="L17" s="4468">
        <f>H17</f>
        <v>245568</v>
      </c>
      <c r="M17" s="4468">
        <v>0</v>
      </c>
      <c r="N17" s="4468">
        <f>SUM(N18:N22)</f>
        <v>42432</v>
      </c>
      <c r="O17" s="4468">
        <f>N17/C17*100</f>
        <v>14.144000000000002</v>
      </c>
      <c r="P17" s="4468">
        <v>0</v>
      </c>
      <c r="Q17" s="4468">
        <f>N17</f>
        <v>42432</v>
      </c>
      <c r="R17" s="4468">
        <f>Q17</f>
        <v>42432</v>
      </c>
      <c r="S17" s="4468">
        <v>0</v>
      </c>
      <c r="T17" s="4468">
        <f t="shared" si="14"/>
        <v>288000</v>
      </c>
      <c r="U17" s="4468">
        <f t="shared" si="6"/>
        <v>96</v>
      </c>
      <c r="V17" s="4468">
        <f t="shared" si="10"/>
        <v>0</v>
      </c>
      <c r="W17" s="4468">
        <f t="shared" si="10"/>
        <v>288000</v>
      </c>
      <c r="X17" s="4468">
        <f t="shared" si="10"/>
        <v>288000</v>
      </c>
      <c r="Y17" s="4468">
        <f t="shared" si="10"/>
        <v>0</v>
      </c>
      <c r="Z17" s="4468">
        <f t="shared" si="11"/>
        <v>-12000</v>
      </c>
      <c r="AA17" s="4468">
        <f t="shared" si="12"/>
        <v>0</v>
      </c>
      <c r="AB17" s="4468">
        <f t="shared" si="12"/>
        <v>-12000</v>
      </c>
      <c r="AC17" s="4468">
        <f t="shared" si="12"/>
        <v>-12000</v>
      </c>
      <c r="AD17" s="4469">
        <f t="shared" si="12"/>
        <v>0</v>
      </c>
    </row>
    <row r="18" spans="1:30" ht="18">
      <c r="A18" s="4465"/>
      <c r="B18" s="4132" t="s">
        <v>7</v>
      </c>
      <c r="C18" s="4470">
        <f>'[2]Phụ lục số 1'!AE18</f>
        <v>110000</v>
      </c>
      <c r="D18" s="4470">
        <f>'[2]Phụ lục số 1'!AG18</f>
        <v>0</v>
      </c>
      <c r="E18" s="4470">
        <f>SUM(F18:G18)</f>
        <v>110000</v>
      </c>
      <c r="F18" s="4470">
        <f>'[2]Phụ lục số 1'!AI18</f>
        <v>110000</v>
      </c>
      <c r="G18" s="4470"/>
      <c r="H18" s="2277">
        <v>140464</v>
      </c>
      <c r="I18" s="723"/>
      <c r="J18" s="723">
        <f>0</f>
        <v>0</v>
      </c>
      <c r="K18" s="723">
        <f t="shared" ref="K18:K22" si="21">H18-J18</f>
        <v>140464</v>
      </c>
      <c r="L18" s="723">
        <f t="shared" ref="L18:L22" si="22">K18-M18</f>
        <v>140464</v>
      </c>
      <c r="M18" s="723">
        <v>0</v>
      </c>
      <c r="N18" s="2277">
        <v>10000</v>
      </c>
      <c r="O18" s="723"/>
      <c r="P18" s="723">
        <f>0</f>
        <v>0</v>
      </c>
      <c r="Q18" s="723">
        <f t="shared" ref="Q18:Q22" si="23">N18-P18</f>
        <v>10000</v>
      </c>
      <c r="R18" s="723">
        <f t="shared" ref="R18:R22" si="24">Q18-S18</f>
        <v>10000</v>
      </c>
      <c r="S18" s="723">
        <v>0</v>
      </c>
      <c r="T18" s="723">
        <f t="shared" si="14"/>
        <v>150464</v>
      </c>
      <c r="U18" s="723">
        <f t="shared" si="6"/>
        <v>136.78545454545454</v>
      </c>
      <c r="V18" s="723">
        <f t="shared" si="10"/>
        <v>0</v>
      </c>
      <c r="W18" s="723">
        <f t="shared" si="10"/>
        <v>150464</v>
      </c>
      <c r="X18" s="723">
        <f t="shared" si="10"/>
        <v>150464</v>
      </c>
      <c r="Y18" s="723">
        <f t="shared" si="10"/>
        <v>0</v>
      </c>
      <c r="Z18" s="723">
        <f t="shared" si="11"/>
        <v>40464</v>
      </c>
      <c r="AA18" s="723">
        <f t="shared" si="12"/>
        <v>0</v>
      </c>
      <c r="AB18" s="723">
        <f t="shared" si="12"/>
        <v>40464</v>
      </c>
      <c r="AC18" s="723">
        <f t="shared" si="12"/>
        <v>40464</v>
      </c>
      <c r="AD18" s="4471">
        <f t="shared" si="12"/>
        <v>0</v>
      </c>
    </row>
    <row r="19" spans="1:30" ht="18">
      <c r="A19" s="4465"/>
      <c r="B19" s="4132" t="s">
        <v>8</v>
      </c>
      <c r="C19" s="4470">
        <f>'[2]Phụ lục số 1'!AE19</f>
        <v>106000</v>
      </c>
      <c r="D19" s="4470">
        <f>'[2]Phụ lục số 1'!AG19</f>
        <v>0</v>
      </c>
      <c r="E19" s="4470">
        <f t="shared" ref="E19:E22" si="25">SUM(F19:G19)</f>
        <v>106000</v>
      </c>
      <c r="F19" s="4470">
        <f>'[2]Phụ lục số 1'!AI19</f>
        <v>106000</v>
      </c>
      <c r="G19" s="4470"/>
      <c r="H19" s="2277">
        <v>50947</v>
      </c>
      <c r="I19" s="723"/>
      <c r="J19" s="723">
        <f>0</f>
        <v>0</v>
      </c>
      <c r="K19" s="723">
        <f t="shared" si="21"/>
        <v>50947</v>
      </c>
      <c r="L19" s="723">
        <f t="shared" si="22"/>
        <v>50947</v>
      </c>
      <c r="M19" s="723">
        <v>0</v>
      </c>
      <c r="N19" s="2277">
        <v>11000</v>
      </c>
      <c r="O19" s="723"/>
      <c r="P19" s="723">
        <f>0</f>
        <v>0</v>
      </c>
      <c r="Q19" s="723">
        <f t="shared" si="23"/>
        <v>11000</v>
      </c>
      <c r="R19" s="723">
        <f t="shared" si="24"/>
        <v>11000</v>
      </c>
      <c r="S19" s="723">
        <v>0</v>
      </c>
      <c r="T19" s="723">
        <f t="shared" si="14"/>
        <v>61947</v>
      </c>
      <c r="U19" s="723">
        <f t="shared" si="6"/>
        <v>58.440566037735856</v>
      </c>
      <c r="V19" s="723">
        <f t="shared" si="10"/>
        <v>0</v>
      </c>
      <c r="W19" s="723">
        <f t="shared" si="10"/>
        <v>61947</v>
      </c>
      <c r="X19" s="723">
        <f t="shared" si="10"/>
        <v>61947</v>
      </c>
      <c r="Y19" s="723">
        <f t="shared" si="10"/>
        <v>0</v>
      </c>
      <c r="Z19" s="723">
        <f t="shared" si="11"/>
        <v>-44053</v>
      </c>
      <c r="AA19" s="723">
        <f t="shared" si="12"/>
        <v>0</v>
      </c>
      <c r="AB19" s="723">
        <f t="shared" si="12"/>
        <v>-44053</v>
      </c>
      <c r="AC19" s="723">
        <f t="shared" si="12"/>
        <v>-44053</v>
      </c>
      <c r="AD19" s="4471">
        <f t="shared" si="12"/>
        <v>0</v>
      </c>
    </row>
    <row r="20" spans="1:30" ht="18">
      <c r="A20" s="4465"/>
      <c r="B20" s="4132" t="s">
        <v>9</v>
      </c>
      <c r="C20" s="4470">
        <f>'[2]Phụ lục số 1'!AE20</f>
        <v>0</v>
      </c>
      <c r="D20" s="4470">
        <f>'[2]Phụ lục số 1'!AG20</f>
        <v>0</v>
      </c>
      <c r="E20" s="4470">
        <f t="shared" si="25"/>
        <v>0</v>
      </c>
      <c r="F20" s="4470">
        <f>'[2]Phụ lục số 1'!AI20</f>
        <v>0</v>
      </c>
      <c r="G20" s="4470"/>
      <c r="H20" s="2277"/>
      <c r="I20" s="723"/>
      <c r="J20" s="723">
        <f>0</f>
        <v>0</v>
      </c>
      <c r="K20" s="723">
        <f t="shared" si="21"/>
        <v>0</v>
      </c>
      <c r="L20" s="723">
        <f t="shared" si="22"/>
        <v>0</v>
      </c>
      <c r="M20" s="723">
        <v>0</v>
      </c>
      <c r="N20" s="2277"/>
      <c r="O20" s="723"/>
      <c r="P20" s="723">
        <f>0</f>
        <v>0</v>
      </c>
      <c r="Q20" s="723">
        <f t="shared" si="23"/>
        <v>0</v>
      </c>
      <c r="R20" s="723">
        <f t="shared" si="24"/>
        <v>0</v>
      </c>
      <c r="S20" s="723">
        <v>0</v>
      </c>
      <c r="T20" s="723">
        <f t="shared" si="14"/>
        <v>0</v>
      </c>
      <c r="U20" s="723"/>
      <c r="V20" s="723">
        <f t="shared" si="10"/>
        <v>0</v>
      </c>
      <c r="W20" s="723">
        <f t="shared" si="10"/>
        <v>0</v>
      </c>
      <c r="X20" s="723">
        <f t="shared" si="10"/>
        <v>0</v>
      </c>
      <c r="Y20" s="723">
        <f t="shared" si="10"/>
        <v>0</v>
      </c>
      <c r="Z20" s="723">
        <f t="shared" si="11"/>
        <v>0</v>
      </c>
      <c r="AA20" s="723">
        <f t="shared" si="12"/>
        <v>0</v>
      </c>
      <c r="AB20" s="723">
        <f t="shared" si="12"/>
        <v>0</v>
      </c>
      <c r="AC20" s="723">
        <f t="shared" si="12"/>
        <v>0</v>
      </c>
      <c r="AD20" s="4471">
        <f t="shared" si="12"/>
        <v>0</v>
      </c>
    </row>
    <row r="21" spans="1:30" ht="18">
      <c r="A21" s="4465"/>
      <c r="B21" s="4132" t="s">
        <v>10</v>
      </c>
      <c r="C21" s="4470">
        <f>'[2]Phụ lục số 1'!AE21</f>
        <v>84000</v>
      </c>
      <c r="D21" s="4470">
        <f>'[2]Phụ lục số 1'!AG21</f>
        <v>0</v>
      </c>
      <c r="E21" s="4470">
        <f t="shared" si="25"/>
        <v>84000</v>
      </c>
      <c r="F21" s="4470">
        <f>'[2]Phụ lục số 1'!AI21</f>
        <v>84000</v>
      </c>
      <c r="G21" s="4470"/>
      <c r="H21" s="2277">
        <v>54157</v>
      </c>
      <c r="I21" s="723"/>
      <c r="J21" s="723">
        <f>0</f>
        <v>0</v>
      </c>
      <c r="K21" s="723">
        <f t="shared" si="21"/>
        <v>54157</v>
      </c>
      <c r="L21" s="723">
        <f t="shared" si="22"/>
        <v>54157</v>
      </c>
      <c r="M21" s="723">
        <v>0</v>
      </c>
      <c r="N21" s="2277">
        <v>21432</v>
      </c>
      <c r="O21" s="723"/>
      <c r="P21" s="723">
        <f>0</f>
        <v>0</v>
      </c>
      <c r="Q21" s="723">
        <f t="shared" si="23"/>
        <v>21432</v>
      </c>
      <c r="R21" s="723">
        <f t="shared" si="24"/>
        <v>21432</v>
      </c>
      <c r="S21" s="723">
        <v>0</v>
      </c>
      <c r="T21" s="723">
        <f t="shared" si="14"/>
        <v>75589</v>
      </c>
      <c r="U21" s="723">
        <f t="shared" si="6"/>
        <v>89.986904761904768</v>
      </c>
      <c r="V21" s="723">
        <f t="shared" si="10"/>
        <v>0</v>
      </c>
      <c r="W21" s="723">
        <f t="shared" si="10"/>
        <v>75589</v>
      </c>
      <c r="X21" s="723">
        <f t="shared" si="10"/>
        <v>75589</v>
      </c>
      <c r="Y21" s="723">
        <f t="shared" si="10"/>
        <v>0</v>
      </c>
      <c r="Z21" s="723">
        <f t="shared" si="11"/>
        <v>-8411</v>
      </c>
      <c r="AA21" s="723">
        <f t="shared" si="12"/>
        <v>0</v>
      </c>
      <c r="AB21" s="723">
        <f t="shared" si="12"/>
        <v>-8411</v>
      </c>
      <c r="AC21" s="723">
        <f t="shared" si="12"/>
        <v>-8411</v>
      </c>
      <c r="AD21" s="4471">
        <f t="shared" si="12"/>
        <v>0</v>
      </c>
    </row>
    <row r="22" spans="1:30" ht="18">
      <c r="A22" s="4465"/>
      <c r="B22" s="4132" t="s">
        <v>11</v>
      </c>
      <c r="C22" s="4470">
        <f>'[2]Phụ lục số 1'!AE22</f>
        <v>0</v>
      </c>
      <c r="D22" s="4470">
        <f>'[2]Phụ lục số 1'!AG22</f>
        <v>0</v>
      </c>
      <c r="E22" s="4470">
        <f t="shared" si="25"/>
        <v>0</v>
      </c>
      <c r="F22" s="4470">
        <f>'[2]Phụ lục số 1'!AI22</f>
        <v>0</v>
      </c>
      <c r="G22" s="4470"/>
      <c r="H22" s="2277"/>
      <c r="I22" s="723"/>
      <c r="J22" s="723">
        <f>0</f>
        <v>0</v>
      </c>
      <c r="K22" s="723">
        <f t="shared" si="21"/>
        <v>0</v>
      </c>
      <c r="L22" s="723">
        <f t="shared" si="22"/>
        <v>0</v>
      </c>
      <c r="M22" s="723">
        <v>0</v>
      </c>
      <c r="N22" s="2277"/>
      <c r="O22" s="723"/>
      <c r="P22" s="723">
        <f>0</f>
        <v>0</v>
      </c>
      <c r="Q22" s="723">
        <f t="shared" si="23"/>
        <v>0</v>
      </c>
      <c r="R22" s="723">
        <f t="shared" si="24"/>
        <v>0</v>
      </c>
      <c r="S22" s="723">
        <v>0</v>
      </c>
      <c r="T22" s="723">
        <f t="shared" si="14"/>
        <v>0</v>
      </c>
      <c r="U22" s="723"/>
      <c r="V22" s="723">
        <f t="shared" si="10"/>
        <v>0</v>
      </c>
      <c r="W22" s="723">
        <f t="shared" si="10"/>
        <v>0</v>
      </c>
      <c r="X22" s="723">
        <f t="shared" si="10"/>
        <v>0</v>
      </c>
      <c r="Y22" s="723">
        <f t="shared" si="10"/>
        <v>0</v>
      </c>
      <c r="Z22" s="723">
        <f t="shared" si="11"/>
        <v>0</v>
      </c>
      <c r="AA22" s="723">
        <f t="shared" si="12"/>
        <v>0</v>
      </c>
      <c r="AB22" s="723">
        <f t="shared" si="12"/>
        <v>0</v>
      </c>
      <c r="AC22" s="723">
        <f t="shared" si="12"/>
        <v>0</v>
      </c>
      <c r="AD22" s="4471">
        <f t="shared" si="12"/>
        <v>0</v>
      </c>
    </row>
    <row r="23" spans="1:30" s="4475" customFormat="1" ht="17.399999999999999">
      <c r="A23" s="4472">
        <v>3</v>
      </c>
      <c r="B23" s="4473" t="s">
        <v>13</v>
      </c>
      <c r="C23" s="4467">
        <f>SUM(C24:C27)</f>
        <v>75000</v>
      </c>
      <c r="D23" s="4467">
        <f t="shared" ref="D23:G23" si="26">SUM(D24:D27)</f>
        <v>0</v>
      </c>
      <c r="E23" s="4467">
        <f t="shared" si="26"/>
        <v>75000</v>
      </c>
      <c r="F23" s="4467">
        <f t="shared" si="26"/>
        <v>75000</v>
      </c>
      <c r="G23" s="4467">
        <f t="shared" si="26"/>
        <v>0</v>
      </c>
      <c r="H23" s="3884">
        <f>SUM(H24:H27)</f>
        <v>34885.4</v>
      </c>
      <c r="I23" s="3884">
        <f>H23/C23*100</f>
        <v>46.513866666666672</v>
      </c>
      <c r="J23" s="3884">
        <v>0</v>
      </c>
      <c r="K23" s="3884">
        <f>L23</f>
        <v>34885.4</v>
      </c>
      <c r="L23" s="3884">
        <f>H23</f>
        <v>34885.4</v>
      </c>
      <c r="M23" s="3884">
        <v>0</v>
      </c>
      <c r="N23" s="3884">
        <f>SUM(N24:N27)</f>
        <v>36114.400000000001</v>
      </c>
      <c r="O23" s="3884">
        <f>N23/C23*100</f>
        <v>48.152533333333338</v>
      </c>
      <c r="P23" s="3884">
        <v>0</v>
      </c>
      <c r="Q23" s="3884">
        <f>N23</f>
        <v>36114.400000000001</v>
      </c>
      <c r="R23" s="3884">
        <f>Q23</f>
        <v>36114.400000000001</v>
      </c>
      <c r="S23" s="3884">
        <v>0</v>
      </c>
      <c r="T23" s="3884">
        <f t="shared" si="14"/>
        <v>70999.8</v>
      </c>
      <c r="U23" s="3884">
        <f t="shared" si="6"/>
        <v>94.66640000000001</v>
      </c>
      <c r="V23" s="3884">
        <f t="shared" si="10"/>
        <v>0</v>
      </c>
      <c r="W23" s="3884">
        <f t="shared" si="10"/>
        <v>70999.8</v>
      </c>
      <c r="X23" s="3884">
        <f t="shared" si="10"/>
        <v>70999.8</v>
      </c>
      <c r="Y23" s="3884">
        <f t="shared" si="10"/>
        <v>0</v>
      </c>
      <c r="Z23" s="3884">
        <f t="shared" si="11"/>
        <v>-4000.1999999999971</v>
      </c>
      <c r="AA23" s="3884">
        <f t="shared" si="12"/>
        <v>0</v>
      </c>
      <c r="AB23" s="3884">
        <f>W23-E23</f>
        <v>-4000.1999999999971</v>
      </c>
      <c r="AC23" s="3884">
        <f t="shared" si="12"/>
        <v>-4000.1999999999971</v>
      </c>
      <c r="AD23" s="4474">
        <f t="shared" si="12"/>
        <v>0</v>
      </c>
    </row>
    <row r="24" spans="1:30" ht="18">
      <c r="A24" s="4465"/>
      <c r="B24" s="4132" t="s">
        <v>7</v>
      </c>
      <c r="C24" s="4470">
        <f>'[2]Phụ lục số 1'!AE24</f>
        <v>16000</v>
      </c>
      <c r="D24" s="4470">
        <f>'[2]Phụ lục số 1'!AG24</f>
        <v>0</v>
      </c>
      <c r="E24" s="4470">
        <f>SUM(F24:G24)</f>
        <v>16000</v>
      </c>
      <c r="F24" s="4470">
        <f>'[2]Phụ lục số 1'!AI24</f>
        <v>16000</v>
      </c>
      <c r="G24" s="4470">
        <f>'[2]Phụ lục số 1'!AJ24</f>
        <v>0</v>
      </c>
      <c r="H24" s="2277">
        <v>9822.4</v>
      </c>
      <c r="I24" s="723"/>
      <c r="J24" s="723">
        <f>0</f>
        <v>0</v>
      </c>
      <c r="K24" s="723">
        <f>H24-J24</f>
        <v>9822.4</v>
      </c>
      <c r="L24" s="723">
        <f>K24-M24</f>
        <v>9822.4</v>
      </c>
      <c r="M24" s="723">
        <v>0</v>
      </c>
      <c r="N24" s="2277">
        <v>5114.3999999999996</v>
      </c>
      <c r="O24" s="723"/>
      <c r="P24" s="723">
        <f>0</f>
        <v>0</v>
      </c>
      <c r="Q24" s="723">
        <f>N24-P24</f>
        <v>5114.3999999999996</v>
      </c>
      <c r="R24" s="723">
        <f>Q24-S24</f>
        <v>5114.3999999999996</v>
      </c>
      <c r="S24" s="723">
        <v>0</v>
      </c>
      <c r="T24" s="723">
        <f t="shared" si="14"/>
        <v>14936.8</v>
      </c>
      <c r="U24" s="723">
        <f t="shared" si="6"/>
        <v>93.355000000000004</v>
      </c>
      <c r="V24" s="723">
        <f t="shared" si="10"/>
        <v>0</v>
      </c>
      <c r="W24" s="723">
        <f t="shared" si="10"/>
        <v>14936.8</v>
      </c>
      <c r="X24" s="723">
        <f t="shared" si="10"/>
        <v>14936.8</v>
      </c>
      <c r="Y24" s="723">
        <f t="shared" si="10"/>
        <v>0</v>
      </c>
      <c r="Z24" s="723">
        <f t="shared" si="11"/>
        <v>-1063.2000000000007</v>
      </c>
      <c r="AA24" s="723">
        <f t="shared" si="12"/>
        <v>0</v>
      </c>
      <c r="AB24" s="723">
        <f t="shared" si="12"/>
        <v>-1063.2000000000007</v>
      </c>
      <c r="AC24" s="723">
        <f t="shared" si="12"/>
        <v>-1063.2000000000007</v>
      </c>
      <c r="AD24" s="4471">
        <f t="shared" si="12"/>
        <v>0</v>
      </c>
    </row>
    <row r="25" spans="1:30" ht="18">
      <c r="A25" s="4465"/>
      <c r="B25" s="4132" t="s">
        <v>8</v>
      </c>
      <c r="C25" s="4470">
        <f>'[2]Phụ lục số 1'!AE25</f>
        <v>59000</v>
      </c>
      <c r="D25" s="4470">
        <f>'[2]Phụ lục số 1'!AG25</f>
        <v>0</v>
      </c>
      <c r="E25" s="4470">
        <f t="shared" ref="E25:E27" si="27">SUM(F25:G25)</f>
        <v>59000</v>
      </c>
      <c r="F25" s="4470">
        <f>'[2]Phụ lục số 1'!AI25</f>
        <v>59000</v>
      </c>
      <c r="G25" s="4470">
        <f>'[2]Phụ lục số 1'!AJ25</f>
        <v>0</v>
      </c>
      <c r="H25" s="2277">
        <v>25057</v>
      </c>
      <c r="I25" s="723"/>
      <c r="J25" s="723">
        <f>0</f>
        <v>0</v>
      </c>
      <c r="K25" s="723">
        <f>H25-J25</f>
        <v>25057</v>
      </c>
      <c r="L25" s="723">
        <f>K25-M25</f>
        <v>25057</v>
      </c>
      <c r="M25" s="723">
        <v>0</v>
      </c>
      <c r="N25" s="2277">
        <v>31000</v>
      </c>
      <c r="O25" s="723"/>
      <c r="P25" s="723">
        <f>0</f>
        <v>0</v>
      </c>
      <c r="Q25" s="723">
        <f>N25-P25</f>
        <v>31000</v>
      </c>
      <c r="R25" s="723">
        <f>Q25-S25</f>
        <v>31000</v>
      </c>
      <c r="S25" s="723">
        <v>0</v>
      </c>
      <c r="T25" s="723">
        <f t="shared" si="14"/>
        <v>56057</v>
      </c>
      <c r="U25" s="723">
        <f t="shared" si="6"/>
        <v>95.011864406779651</v>
      </c>
      <c r="V25" s="723">
        <f t="shared" si="10"/>
        <v>0</v>
      </c>
      <c r="W25" s="723">
        <f t="shared" si="10"/>
        <v>56057</v>
      </c>
      <c r="X25" s="723">
        <f t="shared" si="10"/>
        <v>56057</v>
      </c>
      <c r="Y25" s="723">
        <f t="shared" si="10"/>
        <v>0</v>
      </c>
      <c r="Z25" s="723">
        <f t="shared" si="11"/>
        <v>-2943</v>
      </c>
      <c r="AA25" s="723">
        <f t="shared" si="12"/>
        <v>0</v>
      </c>
      <c r="AB25" s="723">
        <f t="shared" si="12"/>
        <v>-2943</v>
      </c>
      <c r="AC25" s="723">
        <f t="shared" si="12"/>
        <v>-2943</v>
      </c>
      <c r="AD25" s="4471">
        <f t="shared" si="12"/>
        <v>0</v>
      </c>
    </row>
    <row r="26" spans="1:30" ht="18">
      <c r="A26" s="4465"/>
      <c r="B26" s="4132" t="s">
        <v>10</v>
      </c>
      <c r="C26" s="4470">
        <f>'[2]Phụ lục số 1'!AE26</f>
        <v>0</v>
      </c>
      <c r="D26" s="4470">
        <f>'[2]Phụ lục số 1'!AG26</f>
        <v>0</v>
      </c>
      <c r="E26" s="4470">
        <f t="shared" si="27"/>
        <v>0</v>
      </c>
      <c r="F26" s="4470">
        <f>'[2]Phụ lục số 1'!AI26</f>
        <v>0</v>
      </c>
      <c r="G26" s="4470">
        <f>'[2]Phụ lục số 1'!AJ26</f>
        <v>0</v>
      </c>
      <c r="H26" s="2277"/>
      <c r="I26" s="723"/>
      <c r="J26" s="723">
        <f>0</f>
        <v>0</v>
      </c>
      <c r="K26" s="723">
        <f>H26-J26</f>
        <v>0</v>
      </c>
      <c r="L26" s="723">
        <f>K26-M26</f>
        <v>0</v>
      </c>
      <c r="M26" s="723">
        <v>0</v>
      </c>
      <c r="N26" s="2277"/>
      <c r="O26" s="723"/>
      <c r="P26" s="723">
        <f>0</f>
        <v>0</v>
      </c>
      <c r="Q26" s="723">
        <f>N26-P26</f>
        <v>0</v>
      </c>
      <c r="R26" s="723">
        <f>Q26-S26</f>
        <v>0</v>
      </c>
      <c r="S26" s="723">
        <v>0</v>
      </c>
      <c r="T26" s="723">
        <f t="shared" si="14"/>
        <v>0</v>
      </c>
      <c r="U26" s="723"/>
      <c r="V26" s="723">
        <f t="shared" si="10"/>
        <v>0</v>
      </c>
      <c r="W26" s="723">
        <f t="shared" si="10"/>
        <v>0</v>
      </c>
      <c r="X26" s="723">
        <f t="shared" si="10"/>
        <v>0</v>
      </c>
      <c r="Y26" s="723">
        <f t="shared" si="10"/>
        <v>0</v>
      </c>
      <c r="Z26" s="723">
        <f t="shared" si="11"/>
        <v>0</v>
      </c>
      <c r="AA26" s="723">
        <f t="shared" si="12"/>
        <v>0</v>
      </c>
      <c r="AB26" s="723">
        <f t="shared" si="12"/>
        <v>0</v>
      </c>
      <c r="AC26" s="723">
        <f t="shared" si="12"/>
        <v>0</v>
      </c>
      <c r="AD26" s="4471">
        <f t="shared" si="12"/>
        <v>0</v>
      </c>
    </row>
    <row r="27" spans="1:30" ht="18">
      <c r="A27" s="4465"/>
      <c r="B27" s="4132" t="s">
        <v>14</v>
      </c>
      <c r="C27" s="4470">
        <f>'[2]Phụ lục số 1'!AE27</f>
        <v>0</v>
      </c>
      <c r="D27" s="4470">
        <f>'[2]Phụ lục số 1'!AG27</f>
        <v>0</v>
      </c>
      <c r="E27" s="4470">
        <f t="shared" si="27"/>
        <v>0</v>
      </c>
      <c r="F27" s="4470">
        <f>'[2]Phụ lục số 1'!AI27</f>
        <v>0</v>
      </c>
      <c r="G27" s="4470">
        <f>'[2]Phụ lục số 1'!AJ27</f>
        <v>0</v>
      </c>
      <c r="H27" s="2277">
        <v>6</v>
      </c>
      <c r="I27" s="723"/>
      <c r="J27" s="723"/>
      <c r="K27" s="723"/>
      <c r="L27" s="723"/>
      <c r="M27" s="723"/>
      <c r="N27" s="2277"/>
      <c r="O27" s="723"/>
      <c r="P27" s="723"/>
      <c r="Q27" s="723"/>
      <c r="R27" s="723"/>
      <c r="S27" s="723"/>
      <c r="T27" s="723">
        <f t="shared" si="14"/>
        <v>6</v>
      </c>
      <c r="U27" s="723"/>
      <c r="V27" s="723">
        <f t="shared" si="10"/>
        <v>0</v>
      </c>
      <c r="W27" s="723">
        <f t="shared" si="10"/>
        <v>0</v>
      </c>
      <c r="X27" s="723">
        <f t="shared" si="10"/>
        <v>0</v>
      </c>
      <c r="Y27" s="723">
        <f t="shared" si="10"/>
        <v>0</v>
      </c>
      <c r="Z27" s="723">
        <f t="shared" si="11"/>
        <v>6</v>
      </c>
      <c r="AA27" s="723">
        <f t="shared" si="12"/>
        <v>0</v>
      </c>
      <c r="AB27" s="723">
        <f t="shared" si="12"/>
        <v>0</v>
      </c>
      <c r="AC27" s="723">
        <f t="shared" si="12"/>
        <v>0</v>
      </c>
      <c r="AD27" s="4471">
        <f t="shared" si="12"/>
        <v>0</v>
      </c>
    </row>
    <row r="28" spans="1:30" s="2423" customFormat="1" ht="17.399999999999999">
      <c r="A28" s="4465">
        <v>4</v>
      </c>
      <c r="B28" s="4466" t="s">
        <v>15</v>
      </c>
      <c r="C28" s="4467">
        <f>SUM(C29:C33)</f>
        <v>1701000</v>
      </c>
      <c r="D28" s="4467">
        <f t="shared" ref="D28:H28" si="28">SUM(D29:D33)</f>
        <v>0</v>
      </c>
      <c r="E28" s="4467">
        <f t="shared" si="28"/>
        <v>1701000</v>
      </c>
      <c r="F28" s="4467">
        <f t="shared" si="28"/>
        <v>70920</v>
      </c>
      <c r="G28" s="4467">
        <f t="shared" si="28"/>
        <v>1630080</v>
      </c>
      <c r="H28" s="4468">
        <f t="shared" si="28"/>
        <v>613892</v>
      </c>
      <c r="I28" s="4468">
        <f>H28/C28*100</f>
        <v>36.090064667842448</v>
      </c>
      <c r="J28" s="4468">
        <f>SUM(J29:J33)</f>
        <v>0</v>
      </c>
      <c r="K28" s="4468">
        <f>SUM(K29:K33)</f>
        <v>613892</v>
      </c>
      <c r="L28" s="4468">
        <f>SUM(L29:L33)</f>
        <v>58076</v>
      </c>
      <c r="M28" s="4468">
        <f>SUM(M29:M33)</f>
        <v>555816</v>
      </c>
      <c r="N28" s="4468">
        <f>SUM(N29:N33)</f>
        <v>486108</v>
      </c>
      <c r="O28" s="4468">
        <f>N28/C28*100</f>
        <v>28.577777777777779</v>
      </c>
      <c r="P28" s="4468">
        <v>0</v>
      </c>
      <c r="Q28" s="4468">
        <f>SUM(Q29:Q33)</f>
        <v>486108</v>
      </c>
      <c r="R28" s="4468">
        <f>SUM(R29:R33)</f>
        <v>30800</v>
      </c>
      <c r="S28" s="4468">
        <f>SUM(S29:S33)</f>
        <v>455308</v>
      </c>
      <c r="T28" s="4468">
        <f t="shared" si="14"/>
        <v>1100000</v>
      </c>
      <c r="U28" s="4468">
        <f t="shared" si="6"/>
        <v>64.667842445620224</v>
      </c>
      <c r="V28" s="4468">
        <f t="shared" si="10"/>
        <v>0</v>
      </c>
      <c r="W28" s="4468">
        <f t="shared" si="10"/>
        <v>1100000</v>
      </c>
      <c r="X28" s="4468">
        <f t="shared" si="10"/>
        <v>88876</v>
      </c>
      <c r="Y28" s="4468">
        <f t="shared" si="10"/>
        <v>1011124</v>
      </c>
      <c r="Z28" s="4468">
        <f t="shared" si="11"/>
        <v>-601000</v>
      </c>
      <c r="AA28" s="4468">
        <f t="shared" si="12"/>
        <v>0</v>
      </c>
      <c r="AB28" s="4468">
        <f t="shared" si="12"/>
        <v>-601000</v>
      </c>
      <c r="AC28" s="4468">
        <f t="shared" si="12"/>
        <v>17956</v>
      </c>
      <c r="AD28" s="4469">
        <f t="shared" si="12"/>
        <v>-618956</v>
      </c>
    </row>
    <row r="29" spans="1:30" ht="18">
      <c r="A29" s="4465"/>
      <c r="B29" s="4132" t="s">
        <v>7</v>
      </c>
      <c r="C29" s="4470">
        <f>'[2]Phụ lục số 1'!AE29</f>
        <v>724290</v>
      </c>
      <c r="D29" s="4470"/>
      <c r="E29" s="4470">
        <f>SUM(F29:G29)</f>
        <v>724290</v>
      </c>
      <c r="F29" s="4470">
        <f>'[2]Phụ lục số 1'!AI29</f>
        <v>0</v>
      </c>
      <c r="G29" s="4470">
        <f>'[2]Phụ lục số 1'!AJ29</f>
        <v>724290</v>
      </c>
      <c r="H29" s="2277">
        <v>322266</v>
      </c>
      <c r="I29" s="723"/>
      <c r="J29" s="723">
        <f>0</f>
        <v>0</v>
      </c>
      <c r="K29" s="723">
        <f t="shared" ref="K29:K33" si="29">H29-J29</f>
        <v>322266</v>
      </c>
      <c r="L29" s="723">
        <f>K29-M29</f>
        <v>0</v>
      </c>
      <c r="M29" s="723">
        <f>H29</f>
        <v>322266</v>
      </c>
      <c r="N29" s="2277">
        <v>240308</v>
      </c>
      <c r="O29" s="723"/>
      <c r="P29" s="723">
        <f>0</f>
        <v>0</v>
      </c>
      <c r="Q29" s="723">
        <f t="shared" ref="Q29:Q33" si="30">N29-P29</f>
        <v>240308</v>
      </c>
      <c r="R29" s="723">
        <f>Q29-S29</f>
        <v>0</v>
      </c>
      <c r="S29" s="723">
        <f>N29</f>
        <v>240308</v>
      </c>
      <c r="T29" s="723">
        <f t="shared" si="14"/>
        <v>562574</v>
      </c>
      <c r="U29" s="723">
        <f t="shared" si="6"/>
        <v>77.672479255546818</v>
      </c>
      <c r="V29" s="723">
        <f t="shared" si="10"/>
        <v>0</v>
      </c>
      <c r="W29" s="723">
        <f t="shared" si="10"/>
        <v>562574</v>
      </c>
      <c r="X29" s="723">
        <f t="shared" si="10"/>
        <v>0</v>
      </c>
      <c r="Y29" s="723">
        <f t="shared" si="10"/>
        <v>562574</v>
      </c>
      <c r="Z29" s="723">
        <f t="shared" si="11"/>
        <v>-161716</v>
      </c>
      <c r="AA29" s="723">
        <f t="shared" si="12"/>
        <v>0</v>
      </c>
      <c r="AB29" s="723">
        <f t="shared" si="12"/>
        <v>-161716</v>
      </c>
      <c r="AC29" s="723">
        <f t="shared" si="12"/>
        <v>0</v>
      </c>
      <c r="AD29" s="4471">
        <f t="shared" si="12"/>
        <v>-161716</v>
      </c>
    </row>
    <row r="30" spans="1:30" ht="18">
      <c r="A30" s="4465"/>
      <c r="B30" s="4132" t="s">
        <v>8</v>
      </c>
      <c r="C30" s="4470">
        <f>'[2]Phụ lục số 1'!AE30</f>
        <v>905790</v>
      </c>
      <c r="D30" s="4470"/>
      <c r="E30" s="4470">
        <f t="shared" ref="E30:E33" si="31">SUM(F30:G30)</f>
        <v>905790</v>
      </c>
      <c r="F30" s="4470">
        <f>'[2]Phụ lục số 1'!AI30</f>
        <v>0</v>
      </c>
      <c r="G30" s="4470">
        <f>'[2]Phụ lục số 1'!AJ30</f>
        <v>905790</v>
      </c>
      <c r="H30" s="2277">
        <v>233355</v>
      </c>
      <c r="I30" s="723"/>
      <c r="J30" s="723">
        <f>0</f>
        <v>0</v>
      </c>
      <c r="K30" s="723">
        <f t="shared" si="29"/>
        <v>233355</v>
      </c>
      <c r="L30" s="723">
        <f t="shared" ref="L30:L45" si="32">K30-M30</f>
        <v>0</v>
      </c>
      <c r="M30" s="723">
        <f>H30</f>
        <v>233355</v>
      </c>
      <c r="N30" s="2277">
        <v>215000</v>
      </c>
      <c r="O30" s="723"/>
      <c r="P30" s="723">
        <f>0</f>
        <v>0</v>
      </c>
      <c r="Q30" s="723">
        <f t="shared" si="30"/>
        <v>215000</v>
      </c>
      <c r="R30" s="723">
        <f t="shared" ref="R30:R47" si="33">Q30-S30</f>
        <v>0</v>
      </c>
      <c r="S30" s="723">
        <f t="shared" ref="S30" si="34">N30</f>
        <v>215000</v>
      </c>
      <c r="T30" s="723">
        <f t="shared" si="14"/>
        <v>448355</v>
      </c>
      <c r="U30" s="723">
        <f t="shared" si="6"/>
        <v>49.49878007043575</v>
      </c>
      <c r="V30" s="723">
        <f t="shared" si="10"/>
        <v>0</v>
      </c>
      <c r="W30" s="723">
        <f t="shared" si="10"/>
        <v>448355</v>
      </c>
      <c r="X30" s="723">
        <f t="shared" si="10"/>
        <v>0</v>
      </c>
      <c r="Y30" s="723">
        <f t="shared" si="10"/>
        <v>448355</v>
      </c>
      <c r="Z30" s="723">
        <f t="shared" si="11"/>
        <v>-457435</v>
      </c>
      <c r="AA30" s="723">
        <f t="shared" si="12"/>
        <v>0</v>
      </c>
      <c r="AB30" s="723">
        <f t="shared" si="12"/>
        <v>-457435</v>
      </c>
      <c r="AC30" s="723">
        <f t="shared" si="12"/>
        <v>0</v>
      </c>
      <c r="AD30" s="4471">
        <f t="shared" si="12"/>
        <v>-457435</v>
      </c>
    </row>
    <row r="31" spans="1:30" ht="18">
      <c r="A31" s="4465"/>
      <c r="B31" s="4132" t="s">
        <v>9</v>
      </c>
      <c r="C31" s="4470">
        <f>'[2]Phụ lục số 1'!AE31</f>
        <v>63450</v>
      </c>
      <c r="D31" s="4470"/>
      <c r="E31" s="4470">
        <f t="shared" si="31"/>
        <v>63450</v>
      </c>
      <c r="F31" s="4470">
        <f>'[2]Phụ lục số 1'!AI31</f>
        <v>63450</v>
      </c>
      <c r="G31" s="4470">
        <f>'[2]Phụ lục số 1'!AJ31</f>
        <v>0</v>
      </c>
      <c r="H31" s="2277">
        <v>55239</v>
      </c>
      <c r="I31" s="723"/>
      <c r="J31" s="723">
        <f>0</f>
        <v>0</v>
      </c>
      <c r="K31" s="723">
        <f t="shared" si="29"/>
        <v>55239</v>
      </c>
      <c r="L31" s="723">
        <f t="shared" si="32"/>
        <v>55239</v>
      </c>
      <c r="M31" s="723">
        <v>0</v>
      </c>
      <c r="N31" s="2277">
        <v>27500</v>
      </c>
      <c r="O31" s="723"/>
      <c r="P31" s="723">
        <f>0</f>
        <v>0</v>
      </c>
      <c r="Q31" s="723">
        <f t="shared" si="30"/>
        <v>27500</v>
      </c>
      <c r="R31" s="723">
        <f t="shared" si="33"/>
        <v>27500</v>
      </c>
      <c r="S31" s="723">
        <v>0</v>
      </c>
      <c r="T31" s="723">
        <f t="shared" si="14"/>
        <v>82739</v>
      </c>
      <c r="U31" s="723">
        <f t="shared" si="6"/>
        <v>130.40031520882584</v>
      </c>
      <c r="V31" s="723">
        <f t="shared" si="10"/>
        <v>0</v>
      </c>
      <c r="W31" s="723">
        <f t="shared" si="10"/>
        <v>82739</v>
      </c>
      <c r="X31" s="723">
        <f t="shared" si="10"/>
        <v>82739</v>
      </c>
      <c r="Y31" s="723">
        <f t="shared" si="10"/>
        <v>0</v>
      </c>
      <c r="Z31" s="723">
        <f t="shared" si="11"/>
        <v>19289</v>
      </c>
      <c r="AA31" s="723">
        <f t="shared" si="12"/>
        <v>0</v>
      </c>
      <c r="AB31" s="723">
        <f t="shared" si="12"/>
        <v>19289</v>
      </c>
      <c r="AC31" s="723">
        <f t="shared" si="12"/>
        <v>19289</v>
      </c>
      <c r="AD31" s="4471">
        <f t="shared" si="12"/>
        <v>0</v>
      </c>
    </row>
    <row r="32" spans="1:30" ht="18">
      <c r="A32" s="4465"/>
      <c r="B32" s="4132" t="s">
        <v>10</v>
      </c>
      <c r="C32" s="4470">
        <f>'[2]Phụ lục số 1'!AE32</f>
        <v>5970</v>
      </c>
      <c r="D32" s="4470"/>
      <c r="E32" s="4470">
        <f t="shared" si="31"/>
        <v>5970</v>
      </c>
      <c r="F32" s="4470">
        <f>'[2]Phụ lục số 1'!AI32</f>
        <v>5970</v>
      </c>
      <c r="G32" s="4470">
        <f>'[2]Phụ lục số 1'!AJ32</f>
        <v>0</v>
      </c>
      <c r="H32" s="2277">
        <v>2837</v>
      </c>
      <c r="I32" s="723"/>
      <c r="J32" s="723">
        <f>0</f>
        <v>0</v>
      </c>
      <c r="K32" s="723">
        <f t="shared" si="29"/>
        <v>2837</v>
      </c>
      <c r="L32" s="723">
        <f t="shared" si="32"/>
        <v>2837</v>
      </c>
      <c r="M32" s="723">
        <v>0</v>
      </c>
      <c r="N32" s="2277">
        <v>3300</v>
      </c>
      <c r="O32" s="723"/>
      <c r="P32" s="723">
        <f>0</f>
        <v>0</v>
      </c>
      <c r="Q32" s="723">
        <f t="shared" si="30"/>
        <v>3300</v>
      </c>
      <c r="R32" s="723">
        <f t="shared" si="33"/>
        <v>3300</v>
      </c>
      <c r="S32" s="723">
        <v>0</v>
      </c>
      <c r="T32" s="723">
        <f t="shared" si="14"/>
        <v>6137</v>
      </c>
      <c r="U32" s="723">
        <f t="shared" si="6"/>
        <v>102.79731993299832</v>
      </c>
      <c r="V32" s="723">
        <f t="shared" si="10"/>
        <v>0</v>
      </c>
      <c r="W32" s="723">
        <f t="shared" si="10"/>
        <v>6137</v>
      </c>
      <c r="X32" s="723">
        <f t="shared" si="10"/>
        <v>6137</v>
      </c>
      <c r="Y32" s="723">
        <f t="shared" si="10"/>
        <v>0</v>
      </c>
      <c r="Z32" s="723">
        <f t="shared" si="11"/>
        <v>167</v>
      </c>
      <c r="AA32" s="723">
        <f t="shared" si="12"/>
        <v>0</v>
      </c>
      <c r="AB32" s="723">
        <f t="shared" si="12"/>
        <v>167</v>
      </c>
      <c r="AC32" s="723">
        <f t="shared" si="12"/>
        <v>167</v>
      </c>
      <c r="AD32" s="4471">
        <f t="shared" si="12"/>
        <v>0</v>
      </c>
    </row>
    <row r="33" spans="1:30" ht="18">
      <c r="A33" s="4465"/>
      <c r="B33" s="4132" t="s">
        <v>16</v>
      </c>
      <c r="C33" s="4470">
        <f>'[2]Phụ lục số 1'!AE33</f>
        <v>1500</v>
      </c>
      <c r="D33" s="4470"/>
      <c r="E33" s="4470">
        <f t="shared" si="31"/>
        <v>1500</v>
      </c>
      <c r="F33" s="4470">
        <f>'[2]Phụ lục số 1'!AI33</f>
        <v>1500</v>
      </c>
      <c r="G33" s="4470">
        <f>'[2]Phụ lục số 1'!AJ33</f>
        <v>0</v>
      </c>
      <c r="H33" s="2277">
        <v>195</v>
      </c>
      <c r="I33" s="723"/>
      <c r="J33" s="723">
        <f>0</f>
        <v>0</v>
      </c>
      <c r="K33" s="723">
        <f t="shared" si="29"/>
        <v>195</v>
      </c>
      <c r="L33" s="723">
        <f t="shared" si="32"/>
        <v>0</v>
      </c>
      <c r="M33" s="723">
        <f>H33</f>
        <v>195</v>
      </c>
      <c r="N33" s="2277"/>
      <c r="O33" s="723"/>
      <c r="P33" s="723">
        <f>0</f>
        <v>0</v>
      </c>
      <c r="Q33" s="723">
        <f t="shared" si="30"/>
        <v>0</v>
      </c>
      <c r="R33" s="723">
        <f t="shared" si="33"/>
        <v>0</v>
      </c>
      <c r="S33" s="723">
        <f>N33</f>
        <v>0</v>
      </c>
      <c r="T33" s="723">
        <f t="shared" si="14"/>
        <v>195</v>
      </c>
      <c r="U33" s="723"/>
      <c r="V33" s="723">
        <f t="shared" si="10"/>
        <v>0</v>
      </c>
      <c r="W33" s="723">
        <f t="shared" si="10"/>
        <v>195</v>
      </c>
      <c r="X33" s="723">
        <f t="shared" si="10"/>
        <v>0</v>
      </c>
      <c r="Y33" s="723">
        <f t="shared" si="10"/>
        <v>195</v>
      </c>
      <c r="Z33" s="723">
        <f t="shared" si="11"/>
        <v>-1305</v>
      </c>
      <c r="AA33" s="723">
        <f t="shared" si="12"/>
        <v>0</v>
      </c>
      <c r="AB33" s="723">
        <f t="shared" si="12"/>
        <v>-1305</v>
      </c>
      <c r="AC33" s="723">
        <f t="shared" si="12"/>
        <v>-1500</v>
      </c>
      <c r="AD33" s="4471">
        <f t="shared" si="12"/>
        <v>195</v>
      </c>
    </row>
    <row r="34" spans="1:30" s="2508" customFormat="1" ht="17.399999999999999">
      <c r="A34" s="4472">
        <v>5</v>
      </c>
      <c r="B34" s="4473" t="s">
        <v>17</v>
      </c>
      <c r="C34" s="4467">
        <f>'[2]Phụ lục số 1'!AE34</f>
        <v>350000</v>
      </c>
      <c r="D34" s="4467"/>
      <c r="E34" s="4467">
        <f>SUM(F34:G34)</f>
        <v>350000</v>
      </c>
      <c r="F34" s="4467">
        <f>'[2]Phụ lục số 1'!AI34</f>
        <v>0</v>
      </c>
      <c r="G34" s="4467">
        <f>'[2]Phụ lục số 1'!AJ34</f>
        <v>350000</v>
      </c>
      <c r="H34" s="4476">
        <v>190668</v>
      </c>
      <c r="I34" s="3884">
        <f>H34/C34*100</f>
        <v>54.476571428571432</v>
      </c>
      <c r="J34" s="3884">
        <f>0</f>
        <v>0</v>
      </c>
      <c r="K34" s="3884">
        <f>H34-J34</f>
        <v>190668</v>
      </c>
      <c r="L34" s="3884">
        <f t="shared" si="32"/>
        <v>0</v>
      </c>
      <c r="M34" s="3884">
        <f>H34</f>
        <v>190668</v>
      </c>
      <c r="N34" s="4476">
        <v>52332</v>
      </c>
      <c r="O34" s="3884">
        <f t="shared" ref="O34:O49" si="35">N34/C34*100</f>
        <v>14.951999999999998</v>
      </c>
      <c r="P34" s="3884">
        <f>0</f>
        <v>0</v>
      </c>
      <c r="Q34" s="3884">
        <f>N34-P34</f>
        <v>52332</v>
      </c>
      <c r="R34" s="3884">
        <f t="shared" si="33"/>
        <v>0</v>
      </c>
      <c r="S34" s="3884">
        <f>N34</f>
        <v>52332</v>
      </c>
      <c r="T34" s="3884">
        <f t="shared" si="14"/>
        <v>243000</v>
      </c>
      <c r="U34" s="3884">
        <f t="shared" si="6"/>
        <v>69.428571428571431</v>
      </c>
      <c r="V34" s="3884">
        <f t="shared" si="10"/>
        <v>0</v>
      </c>
      <c r="W34" s="3884">
        <f t="shared" si="10"/>
        <v>243000</v>
      </c>
      <c r="X34" s="3884">
        <f t="shared" si="10"/>
        <v>0</v>
      </c>
      <c r="Y34" s="3884">
        <f>S34+M34</f>
        <v>243000</v>
      </c>
      <c r="Z34" s="3884">
        <f t="shared" si="11"/>
        <v>-107000</v>
      </c>
      <c r="AA34" s="3884">
        <f t="shared" si="12"/>
        <v>0</v>
      </c>
      <c r="AB34" s="3884">
        <f t="shared" si="12"/>
        <v>-107000</v>
      </c>
      <c r="AC34" s="3884">
        <f t="shared" si="12"/>
        <v>0</v>
      </c>
      <c r="AD34" s="4474">
        <f t="shared" si="12"/>
        <v>-107000</v>
      </c>
    </row>
    <row r="35" spans="1:30" s="2508" customFormat="1" ht="17.399999999999999">
      <c r="A35" s="4472">
        <v>6</v>
      </c>
      <c r="B35" s="4473" t="s">
        <v>18</v>
      </c>
      <c r="C35" s="4467">
        <f>'[2]Phụ lục số 1'!AE35</f>
        <v>0</v>
      </c>
      <c r="D35" s="4467"/>
      <c r="E35" s="4467">
        <f t="shared" ref="E35:E36" si="36">SUM(F35:G35)</f>
        <v>0</v>
      </c>
      <c r="F35" s="4467"/>
      <c r="G35" s="4467"/>
      <c r="H35" s="4476">
        <v>201</v>
      </c>
      <c r="I35" s="3884"/>
      <c r="J35" s="3884">
        <f>0</f>
        <v>0</v>
      </c>
      <c r="K35" s="3884">
        <f t="shared" ref="K35:K48" si="37">H35-J35</f>
        <v>201</v>
      </c>
      <c r="L35" s="3884">
        <f t="shared" si="32"/>
        <v>0</v>
      </c>
      <c r="M35" s="3884">
        <f>H35</f>
        <v>201</v>
      </c>
      <c r="N35" s="4476">
        <v>2</v>
      </c>
      <c r="O35" s="3884"/>
      <c r="P35" s="3884">
        <f>0</f>
        <v>0</v>
      </c>
      <c r="Q35" s="3884">
        <f t="shared" ref="Q35:Q48" si="38">N35-P35</f>
        <v>2</v>
      </c>
      <c r="R35" s="3884">
        <f t="shared" si="33"/>
        <v>0</v>
      </c>
      <c r="S35" s="3884">
        <f>N35</f>
        <v>2</v>
      </c>
      <c r="T35" s="3884">
        <f t="shared" si="14"/>
        <v>203</v>
      </c>
      <c r="U35" s="3884"/>
      <c r="V35" s="3884">
        <f t="shared" si="10"/>
        <v>0</v>
      </c>
      <c r="W35" s="3884">
        <f t="shared" si="10"/>
        <v>203</v>
      </c>
      <c r="X35" s="3884">
        <f t="shared" si="10"/>
        <v>0</v>
      </c>
      <c r="Y35" s="3884">
        <f t="shared" si="10"/>
        <v>203</v>
      </c>
      <c r="Z35" s="3884">
        <f t="shared" si="11"/>
        <v>203</v>
      </c>
      <c r="AA35" s="3884">
        <f t="shared" si="12"/>
        <v>0</v>
      </c>
      <c r="AB35" s="3884">
        <f t="shared" si="12"/>
        <v>203</v>
      </c>
      <c r="AC35" s="3884">
        <f t="shared" si="12"/>
        <v>0</v>
      </c>
      <c r="AD35" s="4474">
        <f t="shared" si="12"/>
        <v>203</v>
      </c>
    </row>
    <row r="36" spans="1:30" s="2508" customFormat="1" ht="17.399999999999999">
      <c r="A36" s="4472">
        <v>7</v>
      </c>
      <c r="B36" s="4473" t="s">
        <v>19</v>
      </c>
      <c r="C36" s="4467">
        <f>'[2]Phụ lục số 1'!AE36</f>
        <v>15000</v>
      </c>
      <c r="D36" s="4467"/>
      <c r="E36" s="4467">
        <f t="shared" si="36"/>
        <v>15000</v>
      </c>
      <c r="F36" s="4467">
        <f>'[2]Phụ lục số 1'!AI36</f>
        <v>0</v>
      </c>
      <c r="G36" s="4467">
        <f>'[2]Phụ lục số 1'!AJ36</f>
        <v>15000</v>
      </c>
      <c r="H36" s="3865">
        <v>5124</v>
      </c>
      <c r="I36" s="3884">
        <f t="shared" ref="I36:I55" si="39">H36/C36*100</f>
        <v>34.160000000000004</v>
      </c>
      <c r="J36" s="3884">
        <f>0</f>
        <v>0</v>
      </c>
      <c r="K36" s="3884">
        <f t="shared" si="37"/>
        <v>5124</v>
      </c>
      <c r="L36" s="3884">
        <f t="shared" si="32"/>
        <v>0</v>
      </c>
      <c r="M36" s="3884">
        <f>H36</f>
        <v>5124</v>
      </c>
      <c r="N36" s="3865">
        <v>3876</v>
      </c>
      <c r="O36" s="3884">
        <f t="shared" si="35"/>
        <v>25.840000000000003</v>
      </c>
      <c r="P36" s="3884">
        <f>0</f>
        <v>0</v>
      </c>
      <c r="Q36" s="3884">
        <f t="shared" si="38"/>
        <v>3876</v>
      </c>
      <c r="R36" s="3884">
        <f t="shared" si="33"/>
        <v>0</v>
      </c>
      <c r="S36" s="3884">
        <f>N36</f>
        <v>3876</v>
      </c>
      <c r="T36" s="3884">
        <f t="shared" si="14"/>
        <v>9000</v>
      </c>
      <c r="U36" s="3884">
        <f t="shared" si="6"/>
        <v>60</v>
      </c>
      <c r="V36" s="3884">
        <f t="shared" si="10"/>
        <v>0</v>
      </c>
      <c r="W36" s="3884">
        <f t="shared" si="10"/>
        <v>9000</v>
      </c>
      <c r="X36" s="3884">
        <f t="shared" si="10"/>
        <v>0</v>
      </c>
      <c r="Y36" s="3884">
        <f t="shared" si="10"/>
        <v>9000</v>
      </c>
      <c r="Z36" s="3884">
        <f t="shared" si="11"/>
        <v>-6000</v>
      </c>
      <c r="AA36" s="3884">
        <f t="shared" si="12"/>
        <v>0</v>
      </c>
      <c r="AB36" s="3884">
        <f t="shared" si="12"/>
        <v>-6000</v>
      </c>
      <c r="AC36" s="3884">
        <f t="shared" si="12"/>
        <v>0</v>
      </c>
      <c r="AD36" s="4474">
        <f t="shared" si="12"/>
        <v>-6000</v>
      </c>
    </row>
    <row r="37" spans="1:30" s="2508" customFormat="1" ht="17.399999999999999">
      <c r="A37" s="4477">
        <v>8</v>
      </c>
      <c r="B37" s="4478" t="s">
        <v>20</v>
      </c>
      <c r="C37" s="4467">
        <f>'[2]Phụ lục số 1'!AE37</f>
        <v>730000</v>
      </c>
      <c r="D37" s="4467"/>
      <c r="E37" s="4467">
        <f>SUM(F37:G37)</f>
        <v>730000</v>
      </c>
      <c r="F37" s="4467">
        <f>'[2]Phụ lục số 1'!AI37</f>
        <v>408000</v>
      </c>
      <c r="G37" s="4467">
        <f>'[2]Phụ lục số 1'!AJ37</f>
        <v>322000</v>
      </c>
      <c r="H37" s="3865">
        <v>362140</v>
      </c>
      <c r="I37" s="3884">
        <f t="shared" si="39"/>
        <v>49.608219178082194</v>
      </c>
      <c r="J37" s="3884">
        <f>0</f>
        <v>0</v>
      </c>
      <c r="K37" s="3884">
        <f t="shared" si="37"/>
        <v>362140</v>
      </c>
      <c r="L37" s="3884">
        <f>K37-M37</f>
        <v>202140</v>
      </c>
      <c r="M37" s="4479">
        <f>ROUND(I37*G37/100,-3)</f>
        <v>160000</v>
      </c>
      <c r="N37" s="3865">
        <v>92860</v>
      </c>
      <c r="O37" s="3884">
        <f t="shared" si="35"/>
        <v>12.72054794520548</v>
      </c>
      <c r="P37" s="3884">
        <f>0</f>
        <v>0</v>
      </c>
      <c r="Q37" s="3884">
        <f t="shared" si="38"/>
        <v>92860</v>
      </c>
      <c r="R37" s="3884">
        <f t="shared" si="33"/>
        <v>51860</v>
      </c>
      <c r="S37" s="4479">
        <f>ROUND(O37*G37/100,-3)</f>
        <v>41000</v>
      </c>
      <c r="T37" s="3884">
        <f t="shared" si="14"/>
        <v>455000</v>
      </c>
      <c r="U37" s="3884">
        <f t="shared" si="6"/>
        <v>62.328767123287676</v>
      </c>
      <c r="V37" s="3884">
        <f t="shared" si="10"/>
        <v>0</v>
      </c>
      <c r="W37" s="3884">
        <f t="shared" si="10"/>
        <v>455000</v>
      </c>
      <c r="X37" s="3884">
        <f t="shared" si="10"/>
        <v>254000</v>
      </c>
      <c r="Y37" s="3884">
        <f t="shared" si="10"/>
        <v>201000</v>
      </c>
      <c r="Z37" s="3884">
        <f t="shared" si="11"/>
        <v>-275000</v>
      </c>
      <c r="AA37" s="3884">
        <f t="shared" si="12"/>
        <v>0</v>
      </c>
      <c r="AB37" s="3884">
        <f t="shared" si="12"/>
        <v>-275000</v>
      </c>
      <c r="AC37" s="3884">
        <f t="shared" si="12"/>
        <v>-154000</v>
      </c>
      <c r="AD37" s="4474">
        <f t="shared" si="12"/>
        <v>-121000</v>
      </c>
    </row>
    <row r="38" spans="1:30" s="2508" customFormat="1" ht="17.399999999999999">
      <c r="A38" s="4472">
        <v>9</v>
      </c>
      <c r="B38" s="4473" t="s">
        <v>21</v>
      </c>
      <c r="C38" s="4467">
        <f>'[2]Phụ lục số 1'!AE38</f>
        <v>1065000</v>
      </c>
      <c r="D38" s="4467">
        <f>'[2]Phụ lục số 1'!AG38</f>
        <v>426000</v>
      </c>
      <c r="E38" s="4467">
        <f t="shared" ref="E38:E48" si="40">SUM(F38:G38)</f>
        <v>639000</v>
      </c>
      <c r="F38" s="4467">
        <f>'[2]Phụ lục số 1'!AI38</f>
        <v>639000</v>
      </c>
      <c r="G38" s="4467">
        <f>'[2]Phụ lục số 1'!AJ38</f>
        <v>0</v>
      </c>
      <c r="H38" s="3865">
        <v>621429</v>
      </c>
      <c r="I38" s="3884">
        <f t="shared" si="39"/>
        <v>58.35014084507042</v>
      </c>
      <c r="J38" s="4479">
        <f>ROUND(H38*40%,-3)</f>
        <v>249000</v>
      </c>
      <c r="K38" s="3884">
        <f t="shared" si="37"/>
        <v>372429</v>
      </c>
      <c r="L38" s="3884">
        <f>K38-M38</f>
        <v>372429</v>
      </c>
      <c r="M38" s="3884">
        <v>0</v>
      </c>
      <c r="N38" s="3865">
        <v>396571</v>
      </c>
      <c r="O38" s="3884">
        <f t="shared" si="35"/>
        <v>37.236713615023476</v>
      </c>
      <c r="P38" s="4479">
        <f>ROUND(N38*40%,-3)</f>
        <v>159000</v>
      </c>
      <c r="Q38" s="4479">
        <f t="shared" si="38"/>
        <v>237571</v>
      </c>
      <c r="R38" s="3884">
        <f t="shared" si="33"/>
        <v>237571</v>
      </c>
      <c r="S38" s="3884">
        <v>0</v>
      </c>
      <c r="T38" s="3884">
        <f t="shared" si="14"/>
        <v>1018000</v>
      </c>
      <c r="U38" s="3884">
        <f t="shared" si="6"/>
        <v>95.586854460093889</v>
      </c>
      <c r="V38" s="3884">
        <f t="shared" si="10"/>
        <v>408000</v>
      </c>
      <c r="W38" s="3884">
        <f t="shared" si="10"/>
        <v>610000</v>
      </c>
      <c r="X38" s="3884">
        <f t="shared" si="10"/>
        <v>610000</v>
      </c>
      <c r="Y38" s="3884">
        <f t="shared" si="10"/>
        <v>0</v>
      </c>
      <c r="Z38" s="3884">
        <f t="shared" si="11"/>
        <v>-47000</v>
      </c>
      <c r="AA38" s="3884">
        <f t="shared" si="12"/>
        <v>-18000</v>
      </c>
      <c r="AB38" s="3884">
        <f t="shared" si="12"/>
        <v>-29000</v>
      </c>
      <c r="AC38" s="3884">
        <f t="shared" si="12"/>
        <v>-29000</v>
      </c>
      <c r="AD38" s="4474">
        <f t="shared" si="12"/>
        <v>0</v>
      </c>
    </row>
    <row r="39" spans="1:30" s="2508" customFormat="1" ht="17.399999999999999">
      <c r="A39" s="4477">
        <v>10</v>
      </c>
      <c r="B39" s="4478" t="s">
        <v>22</v>
      </c>
      <c r="C39" s="4467">
        <f>'[2]Phụ lục số 1'!AE39</f>
        <v>170000</v>
      </c>
      <c r="D39" s="4467">
        <f>'[2]Phụ lục số 1'!AG39</f>
        <v>60000</v>
      </c>
      <c r="E39" s="4467">
        <f t="shared" si="40"/>
        <v>110000</v>
      </c>
      <c r="F39" s="4467">
        <f>'[2]Phụ lục số 1'!AI39</f>
        <v>47600</v>
      </c>
      <c r="G39" s="4467">
        <f>'[2]Phụ lục số 1'!AJ39</f>
        <v>62400</v>
      </c>
      <c r="H39" s="3865">
        <v>106821</v>
      </c>
      <c r="I39" s="3884">
        <f t="shared" si="39"/>
        <v>62.835882352941177</v>
      </c>
      <c r="J39" s="4479">
        <f>ROUND(I39*D39/100,-3)</f>
        <v>38000</v>
      </c>
      <c r="K39" s="3884">
        <f>H39-J39</f>
        <v>68821</v>
      </c>
      <c r="L39" s="3884">
        <f>K39-M39</f>
        <v>29821</v>
      </c>
      <c r="M39" s="4479">
        <f>ROUND(I39*G39/100,-3)</f>
        <v>39000</v>
      </c>
      <c r="N39" s="3865">
        <v>51179</v>
      </c>
      <c r="O39" s="3884">
        <f t="shared" si="35"/>
        <v>30.105294117647059</v>
      </c>
      <c r="P39" s="4479">
        <f>ROUND(O39*D39/100,-3)</f>
        <v>18000</v>
      </c>
      <c r="Q39" s="4479">
        <f>N39-P39</f>
        <v>33179</v>
      </c>
      <c r="R39" s="3884">
        <f>Q39-S39</f>
        <v>14179</v>
      </c>
      <c r="S39" s="4479">
        <f>ROUND(O39*G39/100,-3)</f>
        <v>19000</v>
      </c>
      <c r="T39" s="3884">
        <f t="shared" si="14"/>
        <v>158000</v>
      </c>
      <c r="U39" s="3884">
        <f t="shared" si="6"/>
        <v>92.941176470588232</v>
      </c>
      <c r="V39" s="3884">
        <f t="shared" si="10"/>
        <v>56000</v>
      </c>
      <c r="W39" s="3884">
        <f t="shared" si="10"/>
        <v>102000</v>
      </c>
      <c r="X39" s="3884">
        <f t="shared" si="10"/>
        <v>44000</v>
      </c>
      <c r="Y39" s="3884">
        <f t="shared" si="10"/>
        <v>58000</v>
      </c>
      <c r="Z39" s="3884">
        <f t="shared" si="11"/>
        <v>-12000</v>
      </c>
      <c r="AA39" s="3884">
        <f t="shared" si="12"/>
        <v>-4000</v>
      </c>
      <c r="AB39" s="3884">
        <f t="shared" si="12"/>
        <v>-8000</v>
      </c>
      <c r="AC39" s="3884">
        <f t="shared" si="12"/>
        <v>-3600</v>
      </c>
      <c r="AD39" s="4474">
        <f t="shared" si="12"/>
        <v>-4400</v>
      </c>
    </row>
    <row r="40" spans="1:30" s="2508" customFormat="1" ht="17.399999999999999">
      <c r="A40" s="4472">
        <v>11</v>
      </c>
      <c r="B40" s="4473" t="s">
        <v>23</v>
      </c>
      <c r="C40" s="4467">
        <f>'[2]Phụ lục số 1'!AE40</f>
        <v>1770000</v>
      </c>
      <c r="D40" s="4467"/>
      <c r="E40" s="4467">
        <f t="shared" si="40"/>
        <v>1770000</v>
      </c>
      <c r="F40" s="4467">
        <f>'[2]Phụ lục số 1'!AI40</f>
        <v>627000</v>
      </c>
      <c r="G40" s="4467">
        <f>'[2]Phụ lục số 1'!AJ40</f>
        <v>1143000</v>
      </c>
      <c r="H40" s="3865">
        <v>559711</v>
      </c>
      <c r="I40" s="3884">
        <f>H40/C40*100</f>
        <v>31.622090395480225</v>
      </c>
      <c r="J40" s="3884">
        <f>0</f>
        <v>0</v>
      </c>
      <c r="K40" s="3884">
        <f t="shared" si="37"/>
        <v>559711</v>
      </c>
      <c r="L40" s="3884">
        <v>11000</v>
      </c>
      <c r="M40" s="3884">
        <f>H40-L40</f>
        <v>548711</v>
      </c>
      <c r="N40" s="3865">
        <v>391289</v>
      </c>
      <c r="O40" s="3884">
        <f t="shared" si="35"/>
        <v>22.106723163841806</v>
      </c>
      <c r="P40" s="3884">
        <f>0</f>
        <v>0</v>
      </c>
      <c r="Q40" s="3884">
        <f t="shared" si="38"/>
        <v>391289</v>
      </c>
      <c r="R40" s="3884">
        <f>F40-L40</f>
        <v>616000</v>
      </c>
      <c r="S40" s="3884">
        <f>Q40-R40</f>
        <v>-224711</v>
      </c>
      <c r="T40" s="3884">
        <f t="shared" si="14"/>
        <v>951000</v>
      </c>
      <c r="U40" s="3884">
        <f t="shared" si="6"/>
        <v>53.728813559322028</v>
      </c>
      <c r="V40" s="3884">
        <f t="shared" si="10"/>
        <v>0</v>
      </c>
      <c r="W40" s="3884">
        <f t="shared" si="10"/>
        <v>951000</v>
      </c>
      <c r="X40" s="3884">
        <f t="shared" si="10"/>
        <v>627000</v>
      </c>
      <c r="Y40" s="3884">
        <f t="shared" si="10"/>
        <v>324000</v>
      </c>
      <c r="Z40" s="3884">
        <f t="shared" si="11"/>
        <v>-819000</v>
      </c>
      <c r="AA40" s="3884">
        <f t="shared" si="12"/>
        <v>0</v>
      </c>
      <c r="AB40" s="3884">
        <f t="shared" si="12"/>
        <v>-819000</v>
      </c>
      <c r="AC40" s="3884">
        <f t="shared" si="12"/>
        <v>0</v>
      </c>
      <c r="AD40" s="4474">
        <f t="shared" si="12"/>
        <v>-819000</v>
      </c>
    </row>
    <row r="41" spans="1:30" s="2508" customFormat="1" ht="17.399999999999999">
      <c r="A41" s="4472">
        <v>12</v>
      </c>
      <c r="B41" s="4473" t="s">
        <v>24</v>
      </c>
      <c r="C41" s="4467">
        <f>'[2]Phụ lục số 1'!AE41</f>
        <v>315000</v>
      </c>
      <c r="D41" s="4467"/>
      <c r="E41" s="4467">
        <f t="shared" si="40"/>
        <v>315000</v>
      </c>
      <c r="F41" s="4467">
        <f>'[2]Phụ lục số 1'!AI41</f>
        <v>45900</v>
      </c>
      <c r="G41" s="4467">
        <f>'[2]Phụ lục số 1'!AJ41</f>
        <v>269100</v>
      </c>
      <c r="H41" s="3865">
        <v>163678</v>
      </c>
      <c r="I41" s="3884">
        <f t="shared" si="39"/>
        <v>51.961269841269839</v>
      </c>
      <c r="J41" s="3884">
        <f>0</f>
        <v>0</v>
      </c>
      <c r="K41" s="3884">
        <f t="shared" si="37"/>
        <v>163678</v>
      </c>
      <c r="L41" s="3884">
        <f t="shared" si="32"/>
        <v>0</v>
      </c>
      <c r="M41" s="3884">
        <f>H41</f>
        <v>163678</v>
      </c>
      <c r="N41" s="3865">
        <v>90322</v>
      </c>
      <c r="O41" s="3884">
        <f t="shared" si="35"/>
        <v>28.673650793650797</v>
      </c>
      <c r="P41" s="3884">
        <f>0</f>
        <v>0</v>
      </c>
      <c r="Q41" s="3884">
        <f t="shared" si="38"/>
        <v>90322</v>
      </c>
      <c r="R41" s="3884">
        <f>F41-L41</f>
        <v>45900</v>
      </c>
      <c r="S41" s="3884">
        <f>Q41-R41</f>
        <v>44422</v>
      </c>
      <c r="T41" s="3884">
        <f t="shared" si="14"/>
        <v>254000</v>
      </c>
      <c r="U41" s="3884">
        <f t="shared" si="6"/>
        <v>80.634920634920633</v>
      </c>
      <c r="V41" s="3884">
        <f t="shared" si="10"/>
        <v>0</v>
      </c>
      <c r="W41" s="3884">
        <f t="shared" si="10"/>
        <v>254000</v>
      </c>
      <c r="X41" s="3884">
        <f t="shared" si="10"/>
        <v>45900</v>
      </c>
      <c r="Y41" s="3884">
        <f t="shared" si="10"/>
        <v>208100</v>
      </c>
      <c r="Z41" s="3884">
        <f t="shared" si="11"/>
        <v>-61000</v>
      </c>
      <c r="AA41" s="3884">
        <f t="shared" si="12"/>
        <v>0</v>
      </c>
      <c r="AB41" s="3884">
        <f t="shared" si="12"/>
        <v>-61000</v>
      </c>
      <c r="AC41" s="3884">
        <f t="shared" si="12"/>
        <v>0</v>
      </c>
      <c r="AD41" s="4474">
        <f t="shared" si="12"/>
        <v>-61000</v>
      </c>
    </row>
    <row r="42" spans="1:30" s="2508" customFormat="1" ht="17.399999999999999">
      <c r="A42" s="4472">
        <v>13</v>
      </c>
      <c r="B42" s="4473" t="s">
        <v>25</v>
      </c>
      <c r="C42" s="4467">
        <f>'[2]Phụ lục số 1'!AE42</f>
        <v>0</v>
      </c>
      <c r="D42" s="4467"/>
      <c r="E42" s="4467">
        <f t="shared" si="40"/>
        <v>0</v>
      </c>
      <c r="F42" s="4467">
        <f>'[2]Phụ lục số 1'!AI42</f>
        <v>0</v>
      </c>
      <c r="G42" s="4467">
        <f>'[2]Phụ lục số 1'!AJ42</f>
        <v>0</v>
      </c>
      <c r="H42" s="3884">
        <f>9</f>
        <v>9</v>
      </c>
      <c r="I42" s="3884"/>
      <c r="J42" s="3884"/>
      <c r="K42" s="3884">
        <f t="shared" si="37"/>
        <v>9</v>
      </c>
      <c r="L42" s="3884">
        <f t="shared" si="32"/>
        <v>9</v>
      </c>
      <c r="M42" s="3884"/>
      <c r="N42" s="3884">
        <v>11</v>
      </c>
      <c r="O42" s="3884"/>
      <c r="P42" s="3884"/>
      <c r="Q42" s="3884">
        <f t="shared" si="38"/>
        <v>11</v>
      </c>
      <c r="R42" s="3884">
        <f>Q42</f>
        <v>11</v>
      </c>
      <c r="S42" s="3884">
        <v>0</v>
      </c>
      <c r="T42" s="3884">
        <f t="shared" si="14"/>
        <v>20</v>
      </c>
      <c r="U42" s="3884"/>
      <c r="V42" s="3884">
        <f t="shared" si="10"/>
        <v>0</v>
      </c>
      <c r="W42" s="3884">
        <f t="shared" si="10"/>
        <v>20</v>
      </c>
      <c r="X42" s="3884">
        <f t="shared" si="10"/>
        <v>20</v>
      </c>
      <c r="Y42" s="3884">
        <f t="shared" si="10"/>
        <v>0</v>
      </c>
      <c r="Z42" s="3884">
        <f t="shared" si="11"/>
        <v>20</v>
      </c>
      <c r="AA42" s="3884">
        <f t="shared" si="12"/>
        <v>0</v>
      </c>
      <c r="AB42" s="3884">
        <f t="shared" si="12"/>
        <v>20</v>
      </c>
      <c r="AC42" s="3884">
        <f t="shared" si="12"/>
        <v>20</v>
      </c>
      <c r="AD42" s="4474">
        <f t="shared" si="12"/>
        <v>0</v>
      </c>
    </row>
    <row r="43" spans="1:30" ht="17.399999999999999">
      <c r="A43" s="4480">
        <v>14</v>
      </c>
      <c r="B43" s="4481" t="s">
        <v>26</v>
      </c>
      <c r="C43" s="4467">
        <f>'[2]Phụ lục số 1'!AE43</f>
        <v>326000</v>
      </c>
      <c r="D43" s="4467">
        <f>'[2]Phụ lục số 1'!AG43</f>
        <v>95000</v>
      </c>
      <c r="E43" s="4467">
        <f t="shared" si="40"/>
        <v>231030</v>
      </c>
      <c r="F43" s="4467">
        <f>'[2]Phụ lục số 1'!AI43</f>
        <v>85530</v>
      </c>
      <c r="G43" s="4467">
        <f>'[2]Phụ lục số 1'!AJ43</f>
        <v>145500</v>
      </c>
      <c r="H43" s="2281">
        <v>146346</v>
      </c>
      <c r="I43" s="4468">
        <f t="shared" si="39"/>
        <v>44.891411042944782</v>
      </c>
      <c r="J43" s="4479">
        <f>ROUND(I43*D43/100,-3)</f>
        <v>43000</v>
      </c>
      <c r="K43" s="4468">
        <f>H43-J43</f>
        <v>103346</v>
      </c>
      <c r="L43" s="4468">
        <f t="shared" si="32"/>
        <v>38346</v>
      </c>
      <c r="M43" s="4479">
        <f>ROUND(I43*G43/100,-3)</f>
        <v>65000</v>
      </c>
      <c r="N43" s="2281">
        <v>107654</v>
      </c>
      <c r="O43" s="4468">
        <f t="shared" si="35"/>
        <v>33.022699386503071</v>
      </c>
      <c r="P43" s="4479">
        <f>ROUND(O43*D43/100,-3)</f>
        <v>31000</v>
      </c>
      <c r="Q43" s="4468">
        <f t="shared" si="38"/>
        <v>76654</v>
      </c>
      <c r="R43" s="4482">
        <f>Q43-S43</f>
        <v>28654</v>
      </c>
      <c r="S43" s="4479">
        <f>ROUND(O43*G43/100,-3)</f>
        <v>48000</v>
      </c>
      <c r="T43" s="4468">
        <f>N43+H43</f>
        <v>254000</v>
      </c>
      <c r="U43" s="4468">
        <f t="shared" si="6"/>
        <v>77.914110429447859</v>
      </c>
      <c r="V43" s="4468">
        <f t="shared" si="10"/>
        <v>74000</v>
      </c>
      <c r="W43" s="4468">
        <f t="shared" si="10"/>
        <v>180000</v>
      </c>
      <c r="X43" s="4468">
        <f t="shared" si="10"/>
        <v>67000</v>
      </c>
      <c r="Y43" s="4468">
        <f>S43+M43</f>
        <v>113000</v>
      </c>
      <c r="Z43" s="4468">
        <f t="shared" si="11"/>
        <v>-72000</v>
      </c>
      <c r="AA43" s="4468">
        <f t="shared" si="12"/>
        <v>-21000</v>
      </c>
      <c r="AB43" s="4468">
        <f t="shared" si="12"/>
        <v>-51030</v>
      </c>
      <c r="AC43" s="4468">
        <f t="shared" si="12"/>
        <v>-18530</v>
      </c>
      <c r="AD43" s="4469">
        <f t="shared" si="12"/>
        <v>-32500</v>
      </c>
    </row>
    <row r="44" spans="1:30" ht="17.399999999999999">
      <c r="A44" s="4465">
        <v>15</v>
      </c>
      <c r="B44" s="4466" t="s">
        <v>27</v>
      </c>
      <c r="C44" s="4467">
        <f>'[2]Phụ lục số 1'!AE44</f>
        <v>30000</v>
      </c>
      <c r="D44" s="4467">
        <f>'[2]Phụ lục số 1'!AG44</f>
        <v>100</v>
      </c>
      <c r="E44" s="4467">
        <f t="shared" si="40"/>
        <v>29900</v>
      </c>
      <c r="F44" s="4467">
        <f>'[2]Phụ lục số 1'!AI44</f>
        <v>29900</v>
      </c>
      <c r="G44" s="4467"/>
      <c r="H44" s="2281">
        <v>1197</v>
      </c>
      <c r="I44" s="4468">
        <f t="shared" si="39"/>
        <v>3.9899999999999998</v>
      </c>
      <c r="J44" s="4479">
        <f>ROUND(I44*D44/100,-3)</f>
        <v>0</v>
      </c>
      <c r="K44" s="4468">
        <f t="shared" si="37"/>
        <v>1197</v>
      </c>
      <c r="L44" s="4468">
        <f t="shared" si="32"/>
        <v>1197</v>
      </c>
      <c r="M44" s="4479">
        <f>ROUND(I44*G44/100,-3)</f>
        <v>0</v>
      </c>
      <c r="N44" s="2281">
        <v>19803</v>
      </c>
      <c r="O44" s="4468">
        <f t="shared" si="35"/>
        <v>66.010000000000005</v>
      </c>
      <c r="P44" s="4479">
        <f>ROUND(O44*D44/100,-3)</f>
        <v>0</v>
      </c>
      <c r="Q44" s="4468">
        <f t="shared" si="38"/>
        <v>19803</v>
      </c>
      <c r="R44" s="4482">
        <f>Q44-S44</f>
        <v>19803</v>
      </c>
      <c r="S44" s="4479">
        <f>ROUND(O44*G44/100,-3)</f>
        <v>0</v>
      </c>
      <c r="T44" s="4468">
        <f t="shared" si="14"/>
        <v>21000</v>
      </c>
      <c r="U44" s="4468">
        <f t="shared" si="6"/>
        <v>70</v>
      </c>
      <c r="V44" s="4468">
        <f t="shared" si="10"/>
        <v>0</v>
      </c>
      <c r="W44" s="4468">
        <f t="shared" si="10"/>
        <v>21000</v>
      </c>
      <c r="X44" s="4468">
        <f>R44+L44</f>
        <v>21000</v>
      </c>
      <c r="Y44" s="4468">
        <f t="shared" si="10"/>
        <v>0</v>
      </c>
      <c r="Z44" s="4468">
        <f t="shared" si="11"/>
        <v>-9000</v>
      </c>
      <c r="AA44" s="4468">
        <f t="shared" si="12"/>
        <v>-100</v>
      </c>
      <c r="AB44" s="4468">
        <f t="shared" si="12"/>
        <v>-8900</v>
      </c>
      <c r="AC44" s="4468">
        <f t="shared" si="12"/>
        <v>-8900</v>
      </c>
      <c r="AD44" s="4469">
        <f t="shared" si="12"/>
        <v>0</v>
      </c>
    </row>
    <row r="45" spans="1:30" s="2508" customFormat="1" ht="17.399999999999999">
      <c r="A45" s="4472">
        <v>16</v>
      </c>
      <c r="B45" s="4473" t="s">
        <v>28</v>
      </c>
      <c r="C45" s="4467">
        <f>'[2]Phụ lục số 1'!AE45</f>
        <v>37000</v>
      </c>
      <c r="D45" s="4467"/>
      <c r="E45" s="4467">
        <f t="shared" si="40"/>
        <v>37000</v>
      </c>
      <c r="F45" s="4467">
        <f>'[2]Phụ lục số 1'!AI45</f>
        <v>37000</v>
      </c>
      <c r="G45" s="4467">
        <f>'[2]Phụ lục số 1'!AJ45</f>
        <v>0</v>
      </c>
      <c r="H45" s="3884">
        <f>1365+38777</f>
        <v>40142</v>
      </c>
      <c r="I45" s="3884">
        <f t="shared" si="39"/>
        <v>108.4918918918919</v>
      </c>
      <c r="J45" s="3884">
        <f>0</f>
        <v>0</v>
      </c>
      <c r="K45" s="3884">
        <f t="shared" si="37"/>
        <v>40142</v>
      </c>
      <c r="L45" s="3884">
        <f t="shared" si="32"/>
        <v>40142</v>
      </c>
      <c r="M45" s="3884">
        <v>0</v>
      </c>
      <c r="N45" s="3884">
        <f>C45-H45</f>
        <v>-3142</v>
      </c>
      <c r="O45" s="3884">
        <f t="shared" si="35"/>
        <v>-8.4918918918918926</v>
      </c>
      <c r="P45" s="3884">
        <f>0</f>
        <v>0</v>
      </c>
      <c r="Q45" s="3884">
        <f t="shared" si="38"/>
        <v>-3142</v>
      </c>
      <c r="R45" s="3884">
        <f t="shared" ref="R45:R46" si="41">Q45-S45</f>
        <v>-3142</v>
      </c>
      <c r="S45" s="3884">
        <v>0</v>
      </c>
      <c r="T45" s="3884">
        <f t="shared" si="14"/>
        <v>37000</v>
      </c>
      <c r="U45" s="3884">
        <f t="shared" si="6"/>
        <v>100</v>
      </c>
      <c r="V45" s="3884">
        <f t="shared" si="10"/>
        <v>0</v>
      </c>
      <c r="W45" s="3884">
        <f t="shared" si="10"/>
        <v>37000</v>
      </c>
      <c r="X45" s="3884">
        <f t="shared" si="10"/>
        <v>37000</v>
      </c>
      <c r="Y45" s="3884">
        <f t="shared" si="10"/>
        <v>0</v>
      </c>
      <c r="Z45" s="3884">
        <f t="shared" si="11"/>
        <v>0</v>
      </c>
      <c r="AA45" s="3884">
        <f t="shared" si="12"/>
        <v>0</v>
      </c>
      <c r="AB45" s="3884">
        <f t="shared" si="12"/>
        <v>0</v>
      </c>
      <c r="AC45" s="3884">
        <f t="shared" si="12"/>
        <v>0</v>
      </c>
      <c r="AD45" s="4474">
        <f t="shared" si="12"/>
        <v>0</v>
      </c>
    </row>
    <row r="46" spans="1:30" s="2509" customFormat="1" ht="18">
      <c r="A46" s="4483" t="s">
        <v>29</v>
      </c>
      <c r="B46" s="4484" t="s">
        <v>30</v>
      </c>
      <c r="C46" s="4485"/>
      <c r="D46" s="4485"/>
      <c r="E46" s="4485">
        <f>SUM(F46:G46)</f>
        <v>0</v>
      </c>
      <c r="F46" s="4485">
        <f>C46-D46-G46</f>
        <v>0</v>
      </c>
      <c r="G46" s="4485"/>
      <c r="H46" s="4486"/>
      <c r="I46" s="4486"/>
      <c r="J46" s="4486"/>
      <c r="K46" s="4486">
        <f t="shared" si="37"/>
        <v>0</v>
      </c>
      <c r="L46" s="4486"/>
      <c r="M46" s="4486">
        <v>0</v>
      </c>
      <c r="N46" s="4486">
        <f>C46-H46</f>
        <v>0</v>
      </c>
      <c r="O46" s="4486" t="e">
        <f t="shared" si="35"/>
        <v>#DIV/0!</v>
      </c>
      <c r="P46" s="4486"/>
      <c r="Q46" s="4486">
        <f t="shared" si="38"/>
        <v>0</v>
      </c>
      <c r="R46" s="4486">
        <f t="shared" si="41"/>
        <v>0</v>
      </c>
      <c r="S46" s="4486">
        <v>0</v>
      </c>
      <c r="T46" s="4486">
        <f t="shared" si="14"/>
        <v>0</v>
      </c>
      <c r="U46" s="4486" t="e">
        <f t="shared" si="6"/>
        <v>#DIV/0!</v>
      </c>
      <c r="V46" s="4486">
        <f t="shared" si="10"/>
        <v>0</v>
      </c>
      <c r="W46" s="4486">
        <f t="shared" si="10"/>
        <v>0</v>
      </c>
      <c r="X46" s="4486">
        <f t="shared" si="10"/>
        <v>0</v>
      </c>
      <c r="Y46" s="4486"/>
      <c r="Z46" s="4486"/>
      <c r="AA46" s="4486"/>
      <c r="AB46" s="4486"/>
      <c r="AC46" s="4486"/>
      <c r="AD46" s="4487"/>
    </row>
    <row r="47" spans="1:30" s="2508" customFormat="1" ht="17.399999999999999">
      <c r="A47" s="4472">
        <v>17</v>
      </c>
      <c r="B47" s="4473" t="s">
        <v>31</v>
      </c>
      <c r="C47" s="4467">
        <f>'[2]Phụ lục số 1'!AE47</f>
        <v>2000</v>
      </c>
      <c r="D47" s="4467"/>
      <c r="E47" s="4467">
        <f t="shared" si="40"/>
        <v>2000</v>
      </c>
      <c r="F47" s="4467">
        <f>'[2]Phụ lục số 1'!AI47</f>
        <v>0</v>
      </c>
      <c r="G47" s="4467">
        <f>'[2]Phụ lục số 1'!AJ47</f>
        <v>2000</v>
      </c>
      <c r="H47" s="3884">
        <v>1832</v>
      </c>
      <c r="I47" s="3884">
        <f t="shared" si="39"/>
        <v>91.600000000000009</v>
      </c>
      <c r="J47" s="3884">
        <f>0</f>
        <v>0</v>
      </c>
      <c r="K47" s="3884">
        <f t="shared" si="37"/>
        <v>1832</v>
      </c>
      <c r="L47" s="3884">
        <f>K47-M47</f>
        <v>0</v>
      </c>
      <c r="M47" s="3884">
        <f>H47</f>
        <v>1832</v>
      </c>
      <c r="N47" s="3865">
        <v>1168</v>
      </c>
      <c r="O47" s="3884">
        <f t="shared" si="35"/>
        <v>58.4</v>
      </c>
      <c r="P47" s="3884">
        <f>0</f>
        <v>0</v>
      </c>
      <c r="Q47" s="3884">
        <f t="shared" si="38"/>
        <v>1168</v>
      </c>
      <c r="R47" s="3884">
        <f t="shared" si="33"/>
        <v>0</v>
      </c>
      <c r="S47" s="3884">
        <f>N47</f>
        <v>1168</v>
      </c>
      <c r="T47" s="3884">
        <f t="shared" si="14"/>
        <v>3000</v>
      </c>
      <c r="U47" s="3884">
        <f t="shared" si="6"/>
        <v>150</v>
      </c>
      <c r="V47" s="3884">
        <f t="shared" si="10"/>
        <v>0</v>
      </c>
      <c r="W47" s="3884">
        <f t="shared" si="10"/>
        <v>3000</v>
      </c>
      <c r="X47" s="3884">
        <f t="shared" si="10"/>
        <v>0</v>
      </c>
      <c r="Y47" s="3884">
        <f t="shared" si="10"/>
        <v>3000</v>
      </c>
      <c r="Z47" s="3884">
        <f t="shared" si="11"/>
        <v>1000</v>
      </c>
      <c r="AA47" s="3884">
        <f t="shared" si="12"/>
        <v>0</v>
      </c>
      <c r="AB47" s="3884">
        <f t="shared" si="12"/>
        <v>1000</v>
      </c>
      <c r="AC47" s="3884">
        <f t="shared" si="12"/>
        <v>0</v>
      </c>
      <c r="AD47" s="4474">
        <f t="shared" si="12"/>
        <v>1000</v>
      </c>
    </row>
    <row r="48" spans="1:30" s="2508" customFormat="1" ht="17.399999999999999">
      <c r="A48" s="4472">
        <v>18</v>
      </c>
      <c r="B48" s="4473" t="s">
        <v>32</v>
      </c>
      <c r="C48" s="4467">
        <f>'[2]Phụ lục số 1'!AE48</f>
        <v>1950000</v>
      </c>
      <c r="D48" s="4467"/>
      <c r="E48" s="4467">
        <f t="shared" si="40"/>
        <v>1950000</v>
      </c>
      <c r="F48" s="4467">
        <f>'[2]Phụ lục số 1'!AI48</f>
        <v>1950000</v>
      </c>
      <c r="G48" s="4467">
        <f>'[2]Phụ lục số 1'!AJ48</f>
        <v>0</v>
      </c>
      <c r="H48" s="3884">
        <v>800515</v>
      </c>
      <c r="I48" s="3884">
        <f t="shared" si="39"/>
        <v>41.052051282051281</v>
      </c>
      <c r="J48" s="3884">
        <v>0</v>
      </c>
      <c r="K48" s="3884">
        <f t="shared" si="37"/>
        <v>800515</v>
      </c>
      <c r="L48" s="3884">
        <f>H48</f>
        <v>800515</v>
      </c>
      <c r="M48" s="3884">
        <v>0</v>
      </c>
      <c r="N48" s="3865">
        <v>699485</v>
      </c>
      <c r="O48" s="3884"/>
      <c r="P48" s="3884">
        <v>0</v>
      </c>
      <c r="Q48" s="3884">
        <f t="shared" si="38"/>
        <v>699485</v>
      </c>
      <c r="R48" s="3884">
        <f>N48</f>
        <v>699485</v>
      </c>
      <c r="S48" s="3884">
        <v>0</v>
      </c>
      <c r="T48" s="4488">
        <f t="shared" si="14"/>
        <v>1500000</v>
      </c>
      <c r="U48" s="3884">
        <f t="shared" si="6"/>
        <v>76.923076923076934</v>
      </c>
      <c r="V48" s="3884">
        <f t="shared" si="10"/>
        <v>0</v>
      </c>
      <c r="W48" s="3884">
        <f t="shared" si="10"/>
        <v>1500000</v>
      </c>
      <c r="X48" s="3884">
        <f t="shared" si="10"/>
        <v>1500000</v>
      </c>
      <c r="Y48" s="3884">
        <f t="shared" si="10"/>
        <v>0</v>
      </c>
      <c r="Z48" s="4488">
        <f t="shared" si="11"/>
        <v>-450000</v>
      </c>
      <c r="AA48" s="4488">
        <f t="shared" si="12"/>
        <v>0</v>
      </c>
      <c r="AB48" s="4488">
        <f t="shared" si="12"/>
        <v>-450000</v>
      </c>
      <c r="AC48" s="4488">
        <f t="shared" si="12"/>
        <v>-450000</v>
      </c>
      <c r="AD48" s="4489">
        <f t="shared" si="12"/>
        <v>0</v>
      </c>
    </row>
    <row r="49" spans="1:30" s="2423" customFormat="1" ht="17.399999999999999">
      <c r="A49" s="4458" t="s">
        <v>33</v>
      </c>
      <c r="B49" s="4118" t="s">
        <v>34</v>
      </c>
      <c r="C49" s="4467">
        <f>SUM(C50:C52)</f>
        <v>200000</v>
      </c>
      <c r="D49" s="4467">
        <f t="shared" ref="D49:G49" si="42">SUM(D50:D52)</f>
        <v>200000</v>
      </c>
      <c r="E49" s="4467">
        <f t="shared" si="42"/>
        <v>0</v>
      </c>
      <c r="F49" s="4467">
        <f t="shared" si="42"/>
        <v>0</v>
      </c>
      <c r="G49" s="4467">
        <f t="shared" si="42"/>
        <v>0</v>
      </c>
      <c r="H49" s="719">
        <f>SUM(H50:H52)</f>
        <v>259000</v>
      </c>
      <c r="I49" s="4468">
        <f>H49/C49*100</f>
        <v>129.5</v>
      </c>
      <c r="J49" s="719">
        <f>SUM(J50:J52)</f>
        <v>259000</v>
      </c>
      <c r="K49" s="719">
        <f t="shared" ref="K49:M49" si="43">SUM(K50:K52)</f>
        <v>0</v>
      </c>
      <c r="L49" s="719">
        <f t="shared" si="43"/>
        <v>0</v>
      </c>
      <c r="M49" s="719">
        <f t="shared" si="43"/>
        <v>0</v>
      </c>
      <c r="N49" s="719">
        <f t="shared" ref="N49" si="44">SUM(N50:N51)</f>
        <v>104500</v>
      </c>
      <c r="O49" s="4468">
        <f t="shared" si="35"/>
        <v>52.25</v>
      </c>
      <c r="P49" s="719">
        <f t="shared" ref="P49:S49" si="45">SUM(P50:P51)</f>
        <v>104500</v>
      </c>
      <c r="Q49" s="719">
        <f t="shared" si="45"/>
        <v>0</v>
      </c>
      <c r="R49" s="719">
        <f t="shared" si="45"/>
        <v>0</v>
      </c>
      <c r="S49" s="719">
        <f t="shared" si="45"/>
        <v>0</v>
      </c>
      <c r="T49" s="719">
        <f t="shared" si="14"/>
        <v>363500</v>
      </c>
      <c r="U49" s="4468">
        <f t="shared" si="6"/>
        <v>181.75</v>
      </c>
      <c r="V49" s="719">
        <f t="shared" si="10"/>
        <v>363500</v>
      </c>
      <c r="W49" s="719">
        <f t="shared" si="10"/>
        <v>0</v>
      </c>
      <c r="X49" s="719">
        <f t="shared" si="10"/>
        <v>0</v>
      </c>
      <c r="Y49" s="719">
        <f t="shared" si="10"/>
        <v>0</v>
      </c>
      <c r="Z49" s="719">
        <f t="shared" si="11"/>
        <v>163500</v>
      </c>
      <c r="AA49" s="719">
        <f t="shared" si="12"/>
        <v>163500</v>
      </c>
      <c r="AB49" s="719">
        <f t="shared" si="12"/>
        <v>0</v>
      </c>
      <c r="AC49" s="719">
        <f t="shared" si="12"/>
        <v>0</v>
      </c>
      <c r="AD49" s="4460">
        <f t="shared" si="12"/>
        <v>0</v>
      </c>
    </row>
    <row r="50" spans="1:30" ht="18">
      <c r="A50" s="4465"/>
      <c r="B50" s="4132" t="s">
        <v>35</v>
      </c>
      <c r="C50" s="4470">
        <v>45000</v>
      </c>
      <c r="D50" s="4470">
        <f>C50</f>
        <v>45000</v>
      </c>
      <c r="E50" s="4470">
        <f>SUM(F50:G50)</f>
        <v>0</v>
      </c>
      <c r="F50" s="4470"/>
      <c r="G50" s="4470"/>
      <c r="H50" s="723">
        <f>C50+20000</f>
        <v>65000</v>
      </c>
      <c r="I50" s="723"/>
      <c r="J50" s="723">
        <f>H50</f>
        <v>65000</v>
      </c>
      <c r="K50" s="723">
        <f>L50+M50</f>
        <v>0</v>
      </c>
      <c r="L50" s="723"/>
      <c r="M50" s="723"/>
      <c r="N50" s="723">
        <f>C50/2</f>
        <v>22500</v>
      </c>
      <c r="O50" s="723"/>
      <c r="P50" s="723">
        <f>N50</f>
        <v>22500</v>
      </c>
      <c r="Q50" s="723">
        <f>R50+S50</f>
        <v>0</v>
      </c>
      <c r="R50" s="723"/>
      <c r="S50" s="723"/>
      <c r="T50" s="723">
        <f t="shared" si="14"/>
        <v>87500</v>
      </c>
      <c r="U50" s="723">
        <f t="shared" si="6"/>
        <v>194.44444444444443</v>
      </c>
      <c r="V50" s="723">
        <f t="shared" si="10"/>
        <v>87500</v>
      </c>
      <c r="W50" s="723">
        <f t="shared" si="10"/>
        <v>0</v>
      </c>
      <c r="X50" s="723">
        <f t="shared" si="10"/>
        <v>0</v>
      </c>
      <c r="Y50" s="723">
        <f t="shared" si="10"/>
        <v>0</v>
      </c>
      <c r="Z50" s="723">
        <f t="shared" si="11"/>
        <v>42500</v>
      </c>
      <c r="AA50" s="723">
        <f t="shared" si="12"/>
        <v>42500</v>
      </c>
      <c r="AB50" s="723">
        <f t="shared" si="12"/>
        <v>0</v>
      </c>
      <c r="AC50" s="723">
        <f t="shared" si="12"/>
        <v>0</v>
      </c>
      <c r="AD50" s="4471">
        <f t="shared" si="12"/>
        <v>0</v>
      </c>
    </row>
    <row r="51" spans="1:30" ht="18">
      <c r="A51" s="4465"/>
      <c r="B51" s="4132" t="s">
        <v>36</v>
      </c>
      <c r="C51" s="4470">
        <v>154000</v>
      </c>
      <c r="D51" s="4470">
        <f>C51</f>
        <v>154000</v>
      </c>
      <c r="E51" s="4470">
        <f t="shared" ref="E51:E52" si="46">SUM(F51:G51)</f>
        <v>0</v>
      </c>
      <c r="F51" s="4470"/>
      <c r="G51" s="4470"/>
      <c r="H51" s="723">
        <f>C51+40000</f>
        <v>194000</v>
      </c>
      <c r="I51" s="723"/>
      <c r="J51" s="723">
        <f>H51</f>
        <v>194000</v>
      </c>
      <c r="K51" s="723">
        <f>L51+M51</f>
        <v>0</v>
      </c>
      <c r="L51" s="723"/>
      <c r="M51" s="723"/>
      <c r="N51" s="723">
        <f>C51/2+5000</f>
        <v>82000</v>
      </c>
      <c r="O51" s="723"/>
      <c r="P51" s="723">
        <f>N51</f>
        <v>82000</v>
      </c>
      <c r="Q51" s="723">
        <f>R51+S51</f>
        <v>0</v>
      </c>
      <c r="R51" s="723"/>
      <c r="S51" s="723"/>
      <c r="T51" s="723">
        <f t="shared" si="14"/>
        <v>276000</v>
      </c>
      <c r="U51" s="723">
        <f t="shared" si="6"/>
        <v>179.22077922077921</v>
      </c>
      <c r="V51" s="723">
        <f t="shared" si="10"/>
        <v>276000</v>
      </c>
      <c r="W51" s="723">
        <f t="shared" si="10"/>
        <v>0</v>
      </c>
      <c r="X51" s="723">
        <f t="shared" si="10"/>
        <v>0</v>
      </c>
      <c r="Y51" s="723">
        <f t="shared" si="10"/>
        <v>0</v>
      </c>
      <c r="Z51" s="723">
        <f t="shared" si="11"/>
        <v>122000</v>
      </c>
      <c r="AA51" s="723">
        <f t="shared" si="12"/>
        <v>122000</v>
      </c>
      <c r="AB51" s="723">
        <f t="shared" si="12"/>
        <v>0</v>
      </c>
      <c r="AC51" s="723">
        <f t="shared" si="12"/>
        <v>0</v>
      </c>
      <c r="AD51" s="4471">
        <f t="shared" si="12"/>
        <v>0</v>
      </c>
    </row>
    <row r="52" spans="1:30" ht="18">
      <c r="A52" s="4465"/>
      <c r="B52" s="4132" t="s">
        <v>135</v>
      </c>
      <c r="C52" s="4470">
        <v>1000</v>
      </c>
      <c r="D52" s="4470">
        <f>C52</f>
        <v>1000</v>
      </c>
      <c r="E52" s="4470">
        <f t="shared" si="46"/>
        <v>0</v>
      </c>
      <c r="F52" s="4470"/>
      <c r="G52" s="4470"/>
      <c r="H52" s="723"/>
      <c r="I52" s="723"/>
      <c r="J52" s="723">
        <f>H52</f>
        <v>0</v>
      </c>
      <c r="K52" s="723"/>
      <c r="L52" s="723"/>
      <c r="M52" s="723"/>
      <c r="N52" s="723"/>
      <c r="O52" s="723"/>
      <c r="P52" s="723"/>
      <c r="Q52" s="723"/>
      <c r="R52" s="723"/>
      <c r="S52" s="723"/>
      <c r="T52" s="723"/>
      <c r="U52" s="723"/>
      <c r="V52" s="723"/>
      <c r="W52" s="723"/>
      <c r="X52" s="723"/>
      <c r="Y52" s="723"/>
      <c r="Z52" s="723"/>
      <c r="AA52" s="723"/>
      <c r="AB52" s="723"/>
      <c r="AC52" s="723"/>
      <c r="AD52" s="4471"/>
    </row>
    <row r="53" spans="1:30" s="2508" customFormat="1" ht="17.399999999999999">
      <c r="A53" s="4490" t="s">
        <v>37</v>
      </c>
      <c r="B53" s="4491" t="s">
        <v>38</v>
      </c>
      <c r="C53" s="4467">
        <f>C54+C56</f>
        <v>9256479</v>
      </c>
      <c r="D53" s="4467">
        <f t="shared" ref="D53:G53" si="47">D54+D56</f>
        <v>0</v>
      </c>
      <c r="E53" s="4467">
        <f t="shared" si="47"/>
        <v>9256479</v>
      </c>
      <c r="F53" s="4467">
        <f t="shared" si="47"/>
        <v>9256479</v>
      </c>
      <c r="G53" s="4467">
        <f t="shared" si="47"/>
        <v>0</v>
      </c>
      <c r="H53" s="4492">
        <f t="shared" ref="H53:S53" si="48">SUM(H54:H55)</f>
        <v>5623219.5</v>
      </c>
      <c r="I53" s="4493">
        <f t="shared" si="39"/>
        <v>60.749011584210365</v>
      </c>
      <c r="J53" s="4493">
        <f t="shared" si="48"/>
        <v>0</v>
      </c>
      <c r="K53" s="4493">
        <f t="shared" si="48"/>
        <v>5623219.5</v>
      </c>
      <c r="L53" s="4493">
        <f t="shared" si="48"/>
        <v>5623219.5</v>
      </c>
      <c r="M53" s="4493">
        <f t="shared" si="48"/>
        <v>0</v>
      </c>
      <c r="N53" s="4492">
        <f>SUM(N54:N55)</f>
        <v>5622235.5</v>
      </c>
      <c r="O53" s="4493">
        <f>N53/C53*100</f>
        <v>60.738381192243828</v>
      </c>
      <c r="P53" s="4493">
        <f t="shared" si="48"/>
        <v>0</v>
      </c>
      <c r="Q53" s="4493">
        <f t="shared" si="48"/>
        <v>5622235.5</v>
      </c>
      <c r="R53" s="4493">
        <f t="shared" si="48"/>
        <v>5622235.5</v>
      </c>
      <c r="S53" s="4493">
        <f t="shared" si="48"/>
        <v>0</v>
      </c>
      <c r="T53" s="4492">
        <f t="shared" si="14"/>
        <v>11245455</v>
      </c>
      <c r="U53" s="4493">
        <f t="shared" si="6"/>
        <v>121.4873927764542</v>
      </c>
      <c r="V53" s="4493">
        <f t="shared" si="10"/>
        <v>0</v>
      </c>
      <c r="W53" s="4493">
        <f t="shared" si="10"/>
        <v>11245455</v>
      </c>
      <c r="X53" s="4493">
        <f t="shared" si="10"/>
        <v>11245455</v>
      </c>
      <c r="Y53" s="4493">
        <f t="shared" si="10"/>
        <v>0</v>
      </c>
      <c r="Z53" s="4492">
        <f t="shared" si="11"/>
        <v>1988976</v>
      </c>
      <c r="AA53" s="4492">
        <f t="shared" si="12"/>
        <v>0</v>
      </c>
      <c r="AB53" s="4492">
        <f t="shared" si="12"/>
        <v>1988976</v>
      </c>
      <c r="AC53" s="4492">
        <f t="shared" si="12"/>
        <v>1988976</v>
      </c>
      <c r="AD53" s="4494">
        <f t="shared" si="12"/>
        <v>0</v>
      </c>
    </row>
    <row r="54" spans="1:30" s="2508" customFormat="1" ht="17.399999999999999">
      <c r="A54" s="4490" t="s">
        <v>3</v>
      </c>
      <c r="B54" s="4491" t="s">
        <v>39</v>
      </c>
      <c r="C54" s="4467">
        <f>'[2]Phụ lục số 1'!AE53</f>
        <v>6617188</v>
      </c>
      <c r="D54" s="4467"/>
      <c r="E54" s="4467">
        <f>SUM(F54:G54)</f>
        <v>6617188</v>
      </c>
      <c r="F54" s="4467">
        <f>'[2]Phụ lục số 1'!AI53</f>
        <v>6617188</v>
      </c>
      <c r="G54" s="4467"/>
      <c r="H54" s="4492">
        <f>C54*50%-244</f>
        <v>3308350</v>
      </c>
      <c r="I54" s="4493">
        <f t="shared" si="39"/>
        <v>49.996312633100345</v>
      </c>
      <c r="J54" s="4493"/>
      <c r="K54" s="4493">
        <f>H54</f>
        <v>3308350</v>
      </c>
      <c r="L54" s="4493">
        <f>K54</f>
        <v>3308350</v>
      </c>
      <c r="M54" s="4493"/>
      <c r="N54" s="4495">
        <f>C54-H54</f>
        <v>3308838</v>
      </c>
      <c r="O54" s="4493">
        <f>N54/C54*100</f>
        <v>50.003687366899655</v>
      </c>
      <c r="P54" s="4493"/>
      <c r="Q54" s="4493">
        <f>N54</f>
        <v>3308838</v>
      </c>
      <c r="R54" s="4493">
        <f>Q54</f>
        <v>3308838</v>
      </c>
      <c r="S54" s="4493"/>
      <c r="T54" s="4495">
        <f t="shared" si="14"/>
        <v>6617188</v>
      </c>
      <c r="U54" s="4493">
        <f t="shared" si="6"/>
        <v>100</v>
      </c>
      <c r="V54" s="4493">
        <f t="shared" si="10"/>
        <v>0</v>
      </c>
      <c r="W54" s="4493">
        <f t="shared" si="10"/>
        <v>6617188</v>
      </c>
      <c r="X54" s="4493">
        <f t="shared" si="10"/>
        <v>6617188</v>
      </c>
      <c r="Y54" s="4493">
        <f t="shared" si="10"/>
        <v>0</v>
      </c>
      <c r="Z54" s="4495">
        <f t="shared" si="11"/>
        <v>0</v>
      </c>
      <c r="AA54" s="4495">
        <f t="shared" si="12"/>
        <v>0</v>
      </c>
      <c r="AB54" s="4495">
        <f t="shared" si="12"/>
        <v>0</v>
      </c>
      <c r="AC54" s="4495">
        <f t="shared" si="12"/>
        <v>0</v>
      </c>
      <c r="AD54" s="4496">
        <f t="shared" si="12"/>
        <v>0</v>
      </c>
    </row>
    <row r="55" spans="1:30" s="2509" customFormat="1" ht="18" hidden="1">
      <c r="A55" s="4497"/>
      <c r="B55" s="4498" t="s">
        <v>40</v>
      </c>
      <c r="C55" s="4485">
        <f>'[2]Phụ lục số 1'!AE54</f>
        <v>129700</v>
      </c>
      <c r="D55" s="4485"/>
      <c r="E55" s="4485">
        <f>SUM(F55:G55)</f>
        <v>129700</v>
      </c>
      <c r="F55" s="4485">
        <f>C55</f>
        <v>129700</v>
      </c>
      <c r="G55" s="4485"/>
      <c r="H55" s="4499">
        <f>SUM(H56:H58)</f>
        <v>2314869.5</v>
      </c>
      <c r="I55" s="3892">
        <f t="shared" si="39"/>
        <v>1784.7875867386274</v>
      </c>
      <c r="J55" s="3892"/>
      <c r="K55" s="3892">
        <f>SUM(K56:K58)</f>
        <v>2314869.5</v>
      </c>
      <c r="L55" s="3892">
        <f>SUM(L56:L58)</f>
        <v>2314869.5</v>
      </c>
      <c r="M55" s="3892"/>
      <c r="N55" s="4499">
        <f>SUM(N56:N58)</f>
        <v>2313397.5</v>
      </c>
      <c r="O55" s="3892"/>
      <c r="P55" s="3892"/>
      <c r="Q55" s="3892">
        <f>SUM(Q56:Q58)</f>
        <v>2313397.5</v>
      </c>
      <c r="R55" s="3892">
        <f>SUM(R56:R58)</f>
        <v>2313397.5</v>
      </c>
      <c r="S55" s="3892"/>
      <c r="T55" s="4499">
        <f t="shared" si="14"/>
        <v>4628267</v>
      </c>
      <c r="U55" s="3892">
        <f t="shared" si="6"/>
        <v>3568.4402467232076</v>
      </c>
      <c r="V55" s="3892">
        <f t="shared" si="10"/>
        <v>0</v>
      </c>
      <c r="W55" s="3892">
        <f t="shared" si="10"/>
        <v>4628267</v>
      </c>
      <c r="X55" s="3892">
        <f t="shared" si="10"/>
        <v>4628267</v>
      </c>
      <c r="Y55" s="3892">
        <f t="shared" si="10"/>
        <v>0</v>
      </c>
      <c r="Z55" s="4499">
        <f t="shared" si="11"/>
        <v>4498567</v>
      </c>
      <c r="AA55" s="4499">
        <f t="shared" si="12"/>
        <v>0</v>
      </c>
      <c r="AB55" s="4499">
        <f t="shared" si="12"/>
        <v>4498567</v>
      </c>
      <c r="AC55" s="4499">
        <f t="shared" si="12"/>
        <v>4498567</v>
      </c>
      <c r="AD55" s="4500">
        <f t="shared" si="12"/>
        <v>0</v>
      </c>
    </row>
    <row r="56" spans="1:30" s="2508" customFormat="1" ht="17.399999999999999">
      <c r="A56" s="4490" t="s">
        <v>33</v>
      </c>
      <c r="B56" s="4491" t="s">
        <v>41</v>
      </c>
      <c r="C56" s="4467">
        <f>SUM(C57:C59)</f>
        <v>2639291</v>
      </c>
      <c r="D56" s="4467">
        <f t="shared" ref="D56:G56" si="49">SUM(D57:D59)</f>
        <v>0</v>
      </c>
      <c r="E56" s="4467">
        <f t="shared" si="49"/>
        <v>2639291</v>
      </c>
      <c r="F56" s="4467">
        <f t="shared" si="49"/>
        <v>2639291</v>
      </c>
      <c r="G56" s="4467">
        <f t="shared" si="49"/>
        <v>0</v>
      </c>
      <c r="H56" s="2937">
        <f>INT(C56/2)+500</f>
        <v>1320145</v>
      </c>
      <c r="I56" s="3884"/>
      <c r="J56" s="3884"/>
      <c r="K56" s="3865">
        <f>H56</f>
        <v>1320145</v>
      </c>
      <c r="L56" s="3865">
        <f>H56</f>
        <v>1320145</v>
      </c>
      <c r="M56" s="3884"/>
      <c r="N56" s="2937">
        <f>C56-H56</f>
        <v>1319146</v>
      </c>
      <c r="O56" s="3884"/>
      <c r="P56" s="3865"/>
      <c r="Q56" s="3865">
        <f>N56-P56</f>
        <v>1319146</v>
      </c>
      <c r="R56" s="3865">
        <f>Q56-S56</f>
        <v>1319146</v>
      </c>
      <c r="S56" s="3865"/>
      <c r="T56" s="2937">
        <f t="shared" si="14"/>
        <v>2639291</v>
      </c>
      <c r="U56" s="3884">
        <f t="shared" si="6"/>
        <v>100</v>
      </c>
      <c r="V56" s="3865">
        <f t="shared" si="10"/>
        <v>0</v>
      </c>
      <c r="W56" s="3865">
        <f t="shared" si="10"/>
        <v>2639291</v>
      </c>
      <c r="X56" s="3865">
        <f t="shared" si="10"/>
        <v>2639291</v>
      </c>
      <c r="Y56" s="3865">
        <f t="shared" si="10"/>
        <v>0</v>
      </c>
      <c r="Z56" s="2937">
        <f t="shared" si="11"/>
        <v>0</v>
      </c>
      <c r="AA56" s="2937">
        <f t="shared" si="12"/>
        <v>0</v>
      </c>
      <c r="AB56" s="2937">
        <f t="shared" si="12"/>
        <v>0</v>
      </c>
      <c r="AC56" s="2937">
        <f t="shared" si="12"/>
        <v>0</v>
      </c>
      <c r="AD56" s="4501">
        <f t="shared" si="12"/>
        <v>0</v>
      </c>
    </row>
    <row r="57" spans="1:30" s="4505" customFormat="1" ht="36">
      <c r="A57" s="4472">
        <v>1</v>
      </c>
      <c r="B57" s="4498" t="s">
        <v>42</v>
      </c>
      <c r="C57" s="4502">
        <f>'[2]Phụ lục số 1'!AE56</f>
        <v>1814491</v>
      </c>
      <c r="D57" s="4502"/>
      <c r="E57" s="4502">
        <f>SUM(F57:G57)</f>
        <v>1814491</v>
      </c>
      <c r="F57" s="4502">
        <f>'[2]Phụ lục số 1'!AI56</f>
        <v>1814491</v>
      </c>
      <c r="G57" s="4502">
        <f>'[2]Phụ lục số 1'!AJ56</f>
        <v>0</v>
      </c>
      <c r="H57" s="4503">
        <f>INT(C57/2)+237</f>
        <v>907482</v>
      </c>
      <c r="I57" s="3889"/>
      <c r="J57" s="3889"/>
      <c r="K57" s="3889">
        <f t="shared" ref="K57" si="50">H57-J57</f>
        <v>907482</v>
      </c>
      <c r="L57" s="3889">
        <f>H57</f>
        <v>907482</v>
      </c>
      <c r="M57" s="3889"/>
      <c r="N57" s="4503">
        <f>C57-H57</f>
        <v>907009</v>
      </c>
      <c r="O57" s="3889"/>
      <c r="P57" s="3889"/>
      <c r="Q57" s="3889">
        <f>N57-P57</f>
        <v>907009</v>
      </c>
      <c r="R57" s="3889">
        <f>Q57-S57</f>
        <v>907009</v>
      </c>
      <c r="S57" s="3889"/>
      <c r="T57" s="4503">
        <f t="shared" si="14"/>
        <v>1814491</v>
      </c>
      <c r="U57" s="3889">
        <f t="shared" si="6"/>
        <v>100</v>
      </c>
      <c r="V57" s="3889">
        <f t="shared" si="10"/>
        <v>0</v>
      </c>
      <c r="W57" s="3889">
        <f t="shared" si="10"/>
        <v>1814491</v>
      </c>
      <c r="X57" s="3889">
        <f t="shared" si="10"/>
        <v>1814491</v>
      </c>
      <c r="Y57" s="3889">
        <f t="shared" si="10"/>
        <v>0</v>
      </c>
      <c r="Z57" s="4503">
        <f t="shared" si="11"/>
        <v>0</v>
      </c>
      <c r="AA57" s="4503">
        <f t="shared" si="12"/>
        <v>0</v>
      </c>
      <c r="AB57" s="4503">
        <f t="shared" si="12"/>
        <v>0</v>
      </c>
      <c r="AC57" s="4503">
        <f t="shared" si="12"/>
        <v>0</v>
      </c>
      <c r="AD57" s="4504">
        <f t="shared" si="12"/>
        <v>0</v>
      </c>
    </row>
    <row r="58" spans="1:30" s="4505" customFormat="1" ht="36">
      <c r="A58" s="4472">
        <v>2</v>
      </c>
      <c r="B58" s="4498" t="s">
        <v>43</v>
      </c>
      <c r="C58" s="4502">
        <f>'[2]Phụ lục số 1'!AE57</f>
        <v>174485</v>
      </c>
      <c r="D58" s="4502"/>
      <c r="E58" s="4502">
        <f t="shared" ref="E58:E61" si="51">SUM(F58:G58)</f>
        <v>174485</v>
      </c>
      <c r="F58" s="4502">
        <f>'[2]Phụ lục số 1'!AI57</f>
        <v>174485</v>
      </c>
      <c r="G58" s="4502">
        <f>'[2]Phụ lục số 1'!AJ57</f>
        <v>0</v>
      </c>
      <c r="H58" s="4503">
        <f>C58/2</f>
        <v>87242.5</v>
      </c>
      <c r="I58" s="3889"/>
      <c r="J58" s="3889"/>
      <c r="K58" s="3889">
        <f>H58-J58</f>
        <v>87242.5</v>
      </c>
      <c r="L58" s="3889">
        <f>H58</f>
        <v>87242.5</v>
      </c>
      <c r="M58" s="3889"/>
      <c r="N58" s="4503">
        <f>C58-H58</f>
        <v>87242.5</v>
      </c>
      <c r="O58" s="3889"/>
      <c r="P58" s="3889"/>
      <c r="Q58" s="3889">
        <f>N58-P58</f>
        <v>87242.5</v>
      </c>
      <c r="R58" s="3889">
        <f>N58</f>
        <v>87242.5</v>
      </c>
      <c r="S58" s="3889"/>
      <c r="T58" s="4503">
        <f t="shared" si="14"/>
        <v>174485</v>
      </c>
      <c r="U58" s="3889"/>
      <c r="V58" s="3889">
        <f t="shared" si="10"/>
        <v>0</v>
      </c>
      <c r="W58" s="3889">
        <f t="shared" si="10"/>
        <v>174485</v>
      </c>
      <c r="X58" s="3889">
        <f t="shared" si="10"/>
        <v>174485</v>
      </c>
      <c r="Y58" s="3889">
        <f t="shared" si="10"/>
        <v>0</v>
      </c>
      <c r="Z58" s="4503">
        <f t="shared" si="11"/>
        <v>0</v>
      </c>
      <c r="AA58" s="4503">
        <f t="shared" si="12"/>
        <v>0</v>
      </c>
      <c r="AB58" s="4503">
        <f t="shared" si="12"/>
        <v>0</v>
      </c>
      <c r="AC58" s="4503">
        <f t="shared" si="12"/>
        <v>0</v>
      </c>
      <c r="AD58" s="4504">
        <f t="shared" si="12"/>
        <v>0</v>
      </c>
    </row>
    <row r="59" spans="1:30" s="4505" customFormat="1" ht="18">
      <c r="A59" s="4472">
        <v>3</v>
      </c>
      <c r="B59" s="4498" t="s">
        <v>2400</v>
      </c>
      <c r="C59" s="4502">
        <f>'[2]Phụ lục số 1'!AE58</f>
        <v>650315</v>
      </c>
      <c r="D59" s="4502"/>
      <c r="E59" s="4502">
        <f t="shared" si="51"/>
        <v>650315</v>
      </c>
      <c r="F59" s="4502">
        <f>'[2]Phụ lục số 1'!AI58</f>
        <v>650315</v>
      </c>
      <c r="G59" s="4502">
        <f>'[2]Phụ lục số 1'!AJ58</f>
        <v>0</v>
      </c>
      <c r="H59" s="4495">
        <f>L59+M59</f>
        <v>0</v>
      </c>
      <c r="I59" s="4506"/>
      <c r="J59" s="4506">
        <v>0</v>
      </c>
      <c r="K59" s="4506">
        <f>H59-J59</f>
        <v>0</v>
      </c>
      <c r="L59" s="4506"/>
      <c r="M59" s="4506"/>
      <c r="N59" s="4495">
        <f>R59+S59</f>
        <v>179391</v>
      </c>
      <c r="O59" s="4506"/>
      <c r="P59" s="4506"/>
      <c r="Q59" s="4506">
        <f>N59</f>
        <v>179391</v>
      </c>
      <c r="R59" s="4506">
        <v>179391</v>
      </c>
      <c r="S59" s="4506">
        <f>ROUND(0,-1)</f>
        <v>0</v>
      </c>
      <c r="T59" s="4495">
        <f t="shared" si="14"/>
        <v>179391</v>
      </c>
      <c r="U59" s="4506">
        <f t="shared" si="6"/>
        <v>27.585247149458343</v>
      </c>
      <c r="V59" s="4506">
        <f t="shared" si="10"/>
        <v>0</v>
      </c>
      <c r="W59" s="4506">
        <f t="shared" si="10"/>
        <v>179391</v>
      </c>
      <c r="X59" s="4506">
        <f t="shared" si="10"/>
        <v>179391</v>
      </c>
      <c r="Y59" s="4506">
        <f t="shared" si="10"/>
        <v>0</v>
      </c>
      <c r="Z59" s="4495">
        <f t="shared" si="11"/>
        <v>-470924</v>
      </c>
      <c r="AA59" s="4495">
        <f t="shared" si="12"/>
        <v>0</v>
      </c>
      <c r="AB59" s="4495">
        <f t="shared" si="12"/>
        <v>-470924</v>
      </c>
      <c r="AC59" s="4495">
        <f t="shared" si="12"/>
        <v>-470924</v>
      </c>
      <c r="AD59" s="4496">
        <f t="shared" si="12"/>
        <v>0</v>
      </c>
    </row>
    <row r="60" spans="1:30" s="4507" customFormat="1" ht="17.399999999999999">
      <c r="A60" s="4490" t="s">
        <v>44</v>
      </c>
      <c r="B60" s="4491" t="s">
        <v>45</v>
      </c>
      <c r="C60" s="1464">
        <f>'[2]Phụ lục số 1'!AE59</f>
        <v>886000</v>
      </c>
      <c r="D60" s="1464"/>
      <c r="E60" s="1464">
        <f t="shared" si="51"/>
        <v>886000</v>
      </c>
      <c r="F60" s="1464">
        <f>'[2]Phụ lục số 1'!AI59</f>
        <v>0</v>
      </c>
      <c r="G60" s="1464">
        <f>'[2]Phụ lục số 1'!AJ59</f>
        <v>886000</v>
      </c>
      <c r="H60" s="4495">
        <f>L60+M60</f>
        <v>443000</v>
      </c>
      <c r="I60" s="4506"/>
      <c r="J60" s="4506">
        <v>0</v>
      </c>
      <c r="K60" s="4506">
        <f>H60-J60</f>
        <v>443000</v>
      </c>
      <c r="L60" s="4506">
        <f>INT(F60/2)</f>
        <v>0</v>
      </c>
      <c r="M60" s="4506">
        <f>INT(G60/2)</f>
        <v>443000</v>
      </c>
      <c r="N60" s="4495">
        <f>C60-H60</f>
        <v>443000</v>
      </c>
      <c r="O60" s="4506"/>
      <c r="P60" s="4506"/>
      <c r="Q60" s="4506">
        <f>R60+S60</f>
        <v>443000</v>
      </c>
      <c r="R60" s="4506">
        <f>F60-L60</f>
        <v>0</v>
      </c>
      <c r="S60" s="4506">
        <f>G60-M60</f>
        <v>443000</v>
      </c>
      <c r="T60" s="4495">
        <f t="shared" si="14"/>
        <v>886000</v>
      </c>
      <c r="U60" s="4506">
        <f t="shared" si="6"/>
        <v>100</v>
      </c>
      <c r="V60" s="4506">
        <f t="shared" si="10"/>
        <v>0</v>
      </c>
      <c r="W60" s="4506">
        <f t="shared" si="10"/>
        <v>886000</v>
      </c>
      <c r="X60" s="4506">
        <f t="shared" si="10"/>
        <v>0</v>
      </c>
      <c r="Y60" s="4506">
        <f t="shared" si="10"/>
        <v>886000</v>
      </c>
      <c r="Z60" s="4495">
        <f t="shared" si="11"/>
        <v>0</v>
      </c>
      <c r="AA60" s="4495">
        <f t="shared" si="12"/>
        <v>0</v>
      </c>
      <c r="AB60" s="4495">
        <f t="shared" si="12"/>
        <v>0</v>
      </c>
      <c r="AC60" s="4495">
        <f t="shared" si="12"/>
        <v>0</v>
      </c>
      <c r="AD60" s="4496">
        <f t="shared" si="12"/>
        <v>0</v>
      </c>
    </row>
    <row r="61" spans="1:30" s="4507" customFormat="1" ht="17.399999999999999">
      <c r="A61" s="4490" t="s">
        <v>46</v>
      </c>
      <c r="B61" s="4491" t="s">
        <v>47</v>
      </c>
      <c r="C61" s="1464">
        <f>'[2]Phụ lục số 1'!AE60</f>
        <v>0</v>
      </c>
      <c r="D61" s="1464"/>
      <c r="E61" s="1464">
        <f t="shared" si="51"/>
        <v>0</v>
      </c>
      <c r="F61" s="1464">
        <f>'[2]Phụ lục số 1'!AI60</f>
        <v>0</v>
      </c>
      <c r="G61" s="1464">
        <f>'[2]Phụ lục số 1'!AJ60</f>
        <v>0</v>
      </c>
      <c r="H61" s="4506"/>
      <c r="I61" s="4506"/>
      <c r="J61" s="4506"/>
      <c r="K61" s="4506">
        <f>H61-J61</f>
        <v>0</v>
      </c>
      <c r="L61" s="4506"/>
      <c r="M61" s="4506"/>
      <c r="N61" s="4506">
        <f>SUM(N8,N53,N59,N60)</f>
        <v>8929608.9000000004</v>
      </c>
      <c r="O61" s="4506"/>
      <c r="P61" s="4506">
        <f>SUM(P8,P53,P59,P60)</f>
        <v>312500</v>
      </c>
      <c r="Q61" s="4506">
        <f>SUM(Q8,Q53,Q59,Q60)</f>
        <v>8617108.9000000004</v>
      </c>
      <c r="R61" s="4506">
        <f>SUM(R8,R53,R59,R60)</f>
        <v>7733711.9000000004</v>
      </c>
      <c r="S61" s="4506">
        <f>SUM(S8,S53,S59,S60)</f>
        <v>883397</v>
      </c>
      <c r="T61" s="4506">
        <f t="shared" si="14"/>
        <v>8929608.9000000004</v>
      </c>
      <c r="U61" s="4506" t="e">
        <f t="shared" si="6"/>
        <v>#DIV/0!</v>
      </c>
      <c r="V61" s="4506">
        <f t="shared" si="10"/>
        <v>312500</v>
      </c>
      <c r="W61" s="4506">
        <f t="shared" si="10"/>
        <v>8617108.9000000004</v>
      </c>
      <c r="X61" s="4506">
        <f t="shared" si="10"/>
        <v>7733711.9000000004</v>
      </c>
      <c r="Y61" s="4506">
        <f t="shared" si="10"/>
        <v>883397</v>
      </c>
      <c r="Z61" s="4506">
        <f t="shared" si="11"/>
        <v>8929608.9000000004</v>
      </c>
      <c r="AA61" s="4506">
        <f t="shared" si="12"/>
        <v>312500</v>
      </c>
      <c r="AB61" s="4506">
        <f t="shared" si="12"/>
        <v>8617108.9000000004</v>
      </c>
      <c r="AC61" s="4506">
        <f t="shared" si="12"/>
        <v>7733711.9000000004</v>
      </c>
      <c r="AD61" s="4508">
        <f t="shared" si="12"/>
        <v>883397</v>
      </c>
    </row>
    <row r="62" spans="1:30" s="2423" customFormat="1" ht="18" thickBot="1">
      <c r="A62" s="4509"/>
      <c r="B62" s="4510" t="s">
        <v>48</v>
      </c>
      <c r="C62" s="4511">
        <f>C8+C53+C60+C61</f>
        <v>19408479</v>
      </c>
      <c r="D62" s="4511">
        <f t="shared" ref="D62:N62" si="52">D8+D53+D60+D61</f>
        <v>781100</v>
      </c>
      <c r="E62" s="4511">
        <f t="shared" si="52"/>
        <v>18627409</v>
      </c>
      <c r="F62" s="4511">
        <f t="shared" si="52"/>
        <v>13802329</v>
      </c>
      <c r="G62" s="4511">
        <f t="shared" si="52"/>
        <v>4825080</v>
      </c>
      <c r="H62" s="4512">
        <f t="shared" si="52"/>
        <v>10352960.9</v>
      </c>
      <c r="I62" s="4513"/>
      <c r="J62" s="4512">
        <f t="shared" si="52"/>
        <v>589000</v>
      </c>
      <c r="K62" s="4512">
        <f t="shared" si="52"/>
        <v>9763960.9000000004</v>
      </c>
      <c r="L62" s="4512">
        <f t="shared" si="52"/>
        <v>7590930.9000000004</v>
      </c>
      <c r="M62" s="4512">
        <f t="shared" si="52"/>
        <v>2173030</v>
      </c>
      <c r="N62" s="4512">
        <f t="shared" si="52"/>
        <v>17679826.800000001</v>
      </c>
      <c r="O62" s="4513"/>
      <c r="P62" s="4512">
        <f t="shared" ref="P62:T62" si="53">P8+P53+P60+P61</f>
        <v>625000</v>
      </c>
      <c r="Q62" s="4512">
        <f t="shared" si="53"/>
        <v>17054826.800000001</v>
      </c>
      <c r="R62" s="4512">
        <f t="shared" si="53"/>
        <v>15288032.800000001</v>
      </c>
      <c r="S62" s="4512">
        <f t="shared" si="53"/>
        <v>1766794</v>
      </c>
      <c r="T62" s="4512">
        <f t="shared" si="53"/>
        <v>28032787.700000003</v>
      </c>
      <c r="U62" s="4513"/>
      <c r="V62" s="4512">
        <f t="shared" ref="V62:AD62" si="54">V8+V53+V60+V61</f>
        <v>1214000</v>
      </c>
      <c r="W62" s="4512">
        <f t="shared" si="54"/>
        <v>26818787.700000003</v>
      </c>
      <c r="X62" s="4512">
        <f t="shared" si="54"/>
        <v>22878963.700000003</v>
      </c>
      <c r="Y62" s="4512">
        <f t="shared" si="54"/>
        <v>3939824</v>
      </c>
      <c r="Z62" s="4512">
        <f t="shared" si="54"/>
        <v>8624308.7000000011</v>
      </c>
      <c r="AA62" s="4512">
        <f t="shared" si="54"/>
        <v>432900</v>
      </c>
      <c r="AB62" s="4512">
        <f t="shared" si="54"/>
        <v>8191378.7000000002</v>
      </c>
      <c r="AC62" s="4512">
        <f t="shared" si="54"/>
        <v>9076634.6999999993</v>
      </c>
      <c r="AD62" s="4514">
        <f t="shared" si="54"/>
        <v>-885256</v>
      </c>
    </row>
    <row r="63" spans="1:30" ht="15" thickTop="1"/>
    <row r="65" spans="26:26" ht="15.6">
      <c r="Z65" s="1192" t="s">
        <v>117</v>
      </c>
    </row>
  </sheetData>
  <mergeCells count="20">
    <mergeCell ref="U5:U6"/>
    <mergeCell ref="V5:V6"/>
    <mergeCell ref="Z5:Z6"/>
    <mergeCell ref="AA5:AA6"/>
    <mergeCell ref="T4:Y4"/>
    <mergeCell ref="Z4:AD4"/>
    <mergeCell ref="O5:O6"/>
    <mergeCell ref="P5:P6"/>
    <mergeCell ref="T5:T6"/>
    <mergeCell ref="A4:A6"/>
    <mergeCell ref="B4:B6"/>
    <mergeCell ref="C4:C6"/>
    <mergeCell ref="D4:G4"/>
    <mergeCell ref="H4:M4"/>
    <mergeCell ref="N4:S4"/>
    <mergeCell ref="D5:D6"/>
    <mergeCell ref="H5:H6"/>
    <mergeCell ref="I5:I6"/>
    <mergeCell ref="J5:J6"/>
    <mergeCell ref="N5:N6"/>
  </mergeCells>
  <hyperlinks>
    <hyperlink ref="A4:A6" location="'Danh mục file'!A1" display="Số TT"/>
    <hyperlink ref="A7" location="'List danh mục'!A1" display="'List danh mục'!A1"/>
  </hyperlinks>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0"/>
  <sheetViews>
    <sheetView workbookViewId="0">
      <selection activeCell="A4" sqref="A4:A5"/>
    </sheetView>
  </sheetViews>
  <sheetFormatPr defaultColWidth="10" defaultRowHeight="18"/>
  <cols>
    <col min="1" max="1" width="7.88671875" style="381" customWidth="1"/>
    <col min="2" max="2" width="56.44140625" style="381" customWidth="1"/>
    <col min="3" max="4" width="16.33203125" style="381" bestFit="1" customWidth="1"/>
    <col min="5" max="5" width="14.6640625" style="381" bestFit="1" customWidth="1"/>
    <col min="6" max="6" width="11.33203125" style="381" customWidth="1"/>
    <col min="7" max="8" width="10" style="381"/>
    <col min="9" max="9" width="11.109375" style="381" bestFit="1" customWidth="1"/>
    <col min="10" max="13" width="10" style="381"/>
    <col min="14" max="14" width="11.109375" style="381" bestFit="1" customWidth="1"/>
    <col min="15" max="20" width="10" style="381"/>
    <col min="21" max="21" width="13.44140625" style="381" bestFit="1" customWidth="1"/>
    <col min="22" max="22" width="12" style="381" bestFit="1" customWidth="1"/>
    <col min="23" max="23" width="13.44140625" style="381" bestFit="1" customWidth="1"/>
    <col min="24" max="16384" width="10" style="381"/>
  </cols>
  <sheetData>
    <row r="3" spans="1:23" ht="18.600000000000001" thickBot="1"/>
    <row r="4" spans="1:23" ht="18.600000000000001" thickTop="1">
      <c r="A4" s="6539" t="s">
        <v>136</v>
      </c>
      <c r="B4" s="6720" t="s">
        <v>1893</v>
      </c>
      <c r="C4" s="6720" t="s">
        <v>50</v>
      </c>
      <c r="D4" s="6720"/>
      <c r="E4" s="6720"/>
      <c r="F4" s="6720" t="s">
        <v>2842</v>
      </c>
      <c r="G4" s="6720"/>
      <c r="H4" s="6720"/>
      <c r="I4" s="6720"/>
      <c r="J4" s="6720"/>
      <c r="K4" s="6720" t="s">
        <v>2843</v>
      </c>
      <c r="L4" s="6720"/>
      <c r="M4" s="6720"/>
      <c r="N4" s="6720"/>
      <c r="O4" s="6720"/>
      <c r="P4" s="6720" t="s">
        <v>2839</v>
      </c>
      <c r="Q4" s="6720"/>
      <c r="R4" s="6720"/>
      <c r="S4" s="6720"/>
      <c r="T4" s="6720"/>
      <c r="U4" s="6720" t="s">
        <v>2844</v>
      </c>
      <c r="V4" s="6720"/>
      <c r="W4" s="6728"/>
    </row>
    <row r="5" spans="1:23" ht="52.2">
      <c r="A5" s="6540"/>
      <c r="B5" s="6044"/>
      <c r="C5" s="584" t="s">
        <v>1903</v>
      </c>
      <c r="D5" s="430" t="s">
        <v>1904</v>
      </c>
      <c r="E5" s="430" t="s">
        <v>1905</v>
      </c>
      <c r="F5" s="584" t="s">
        <v>1903</v>
      </c>
      <c r="G5" s="584" t="s">
        <v>69</v>
      </c>
      <c r="H5" s="584" t="s">
        <v>1908</v>
      </c>
      <c r="I5" s="430" t="s">
        <v>1904</v>
      </c>
      <c r="J5" s="430" t="s">
        <v>1905</v>
      </c>
      <c r="K5" s="584" t="s">
        <v>1903</v>
      </c>
      <c r="L5" s="584" t="s">
        <v>69</v>
      </c>
      <c r="M5" s="584" t="str">
        <f>H5</f>
        <v>% so với DT 2024</v>
      </c>
      <c r="N5" s="430" t="s">
        <v>1904</v>
      </c>
      <c r="O5" s="430" t="s">
        <v>1905</v>
      </c>
      <c r="P5" s="584" t="s">
        <v>1903</v>
      </c>
      <c r="Q5" s="584" t="s">
        <v>69</v>
      </c>
      <c r="R5" s="584" t="str">
        <f>M5</f>
        <v>% so với DT 2024</v>
      </c>
      <c r="S5" s="430" t="s">
        <v>1904</v>
      </c>
      <c r="T5" s="430" t="s">
        <v>1905</v>
      </c>
      <c r="U5" s="584" t="s">
        <v>1903</v>
      </c>
      <c r="V5" s="430" t="s">
        <v>1904</v>
      </c>
      <c r="W5" s="585" t="s">
        <v>1905</v>
      </c>
    </row>
    <row r="6" spans="1:23">
      <c r="A6" s="4515">
        <v>1</v>
      </c>
      <c r="B6" s="4204">
        <v>2</v>
      </c>
      <c r="C6" s="2239">
        <v>3</v>
      </c>
      <c r="D6" s="2239">
        <v>4</v>
      </c>
      <c r="E6" s="2239">
        <v>5</v>
      </c>
      <c r="F6" s="4205" t="s">
        <v>1909</v>
      </c>
      <c r="G6" s="4204">
        <v>7</v>
      </c>
      <c r="H6" s="4205" t="s">
        <v>1910</v>
      </c>
      <c r="I6" s="4204">
        <v>9</v>
      </c>
      <c r="J6" s="4205">
        <v>10</v>
      </c>
      <c r="K6" s="4205" t="s">
        <v>1911</v>
      </c>
      <c r="L6" s="4204">
        <v>12</v>
      </c>
      <c r="M6" s="4205" t="s">
        <v>1912</v>
      </c>
      <c r="N6" s="4204">
        <v>14</v>
      </c>
      <c r="O6" s="4205">
        <v>15</v>
      </c>
      <c r="P6" s="4205"/>
      <c r="Q6" s="4204"/>
      <c r="R6" s="4205"/>
      <c r="S6" s="4204"/>
      <c r="T6" s="4205"/>
      <c r="U6" s="4205"/>
      <c r="V6" s="4204"/>
      <c r="W6" s="4516"/>
    </row>
    <row r="7" spans="1:23" s="588" customFormat="1" ht="17.399999999999999">
      <c r="A7" s="4517"/>
      <c r="B7" s="4518" t="s">
        <v>2845</v>
      </c>
      <c r="C7" s="2905">
        <f>C8+C35+C39</f>
        <v>18627408.915999997</v>
      </c>
      <c r="D7" s="2905">
        <f t="shared" ref="D7:E7" si="0">D8+D35+D39</f>
        <v>8719005.568</v>
      </c>
      <c r="E7" s="2905">
        <f t="shared" si="0"/>
        <v>9908403.3479999993</v>
      </c>
      <c r="F7" s="694">
        <f>F8+F35+F39</f>
        <v>8948500.2044849377</v>
      </c>
      <c r="G7" s="718">
        <f>F7/$F$7*100</f>
        <v>100</v>
      </c>
      <c r="H7" s="4519">
        <f t="shared" ref="H7:H12" si="1">F7/C7%</f>
        <v>48.039425369561897</v>
      </c>
      <c r="I7" s="694">
        <f>I8+I35+I39</f>
        <v>4313601</v>
      </c>
      <c r="J7" s="694">
        <f>J8+J35+J39</f>
        <v>4634899.2044849377</v>
      </c>
      <c r="K7" s="718">
        <f>SUM(K8,K32,K35)</f>
        <v>4079141.7488039802</v>
      </c>
      <c r="L7" s="718">
        <f t="shared" ref="L7:L16" si="2">K7/$K$7*100</f>
        <v>100</v>
      </c>
      <c r="M7" s="4520">
        <f>K7/C7%</f>
        <v>21.898599892227654</v>
      </c>
      <c r="N7" s="718">
        <f>SUM(N8,N32,N35)</f>
        <v>2464066</v>
      </c>
      <c r="O7" s="718">
        <f>SUM(O8,O32,O35)</f>
        <v>1050575.7488039802</v>
      </c>
      <c r="P7" s="718">
        <f>K7+F7</f>
        <v>13027641.953288918</v>
      </c>
      <c r="Q7" s="718">
        <f>P7/$P$7*100</f>
        <v>100</v>
      </c>
      <c r="R7" s="4519">
        <f>P7/C7*100</f>
        <v>69.938025261789562</v>
      </c>
      <c r="S7" s="718">
        <f t="shared" ref="S7:T22" si="3">N7+I7</f>
        <v>6777667</v>
      </c>
      <c r="T7" s="718">
        <f t="shared" si="3"/>
        <v>5685474.9532889184</v>
      </c>
      <c r="U7" s="718">
        <f>P7-C7</f>
        <v>-5599766.962711079</v>
      </c>
      <c r="V7" s="718">
        <f>S7-D7</f>
        <v>-1941338.568</v>
      </c>
      <c r="W7" s="4457">
        <f>T7-E7</f>
        <v>-4222928.3947110809</v>
      </c>
    </row>
    <row r="8" spans="1:23" s="588" customFormat="1" ht="17.399999999999999">
      <c r="A8" s="4521" t="s">
        <v>1</v>
      </c>
      <c r="B8" s="4522" t="s">
        <v>142</v>
      </c>
      <c r="C8" s="2906">
        <f>C9+C15+C29+C30+C31+C32+C33+C34</f>
        <v>16638432.915999997</v>
      </c>
      <c r="D8" s="2906">
        <f t="shared" ref="D8:E8" si="4">D9+D15+D29+D30+D31+D32+D33+D34</f>
        <v>6730029.568</v>
      </c>
      <c r="E8" s="2906">
        <f t="shared" si="4"/>
        <v>9908403.3479999993</v>
      </c>
      <c r="F8" s="701">
        <f>F9+F15+F29+F30+F31+F32+F33+F34</f>
        <v>7954012.2044849377</v>
      </c>
      <c r="G8" s="719">
        <f>F8/$F$7*100</f>
        <v>88.886539897472787</v>
      </c>
      <c r="H8" s="4523">
        <f t="shared" si="1"/>
        <v>47.805056189132635</v>
      </c>
      <c r="I8" s="701">
        <f>I9+I15+I29+I30+I31+I32+I33+I34</f>
        <v>3319113</v>
      </c>
      <c r="J8" s="701">
        <f>J9+J15+J29+J30+J31+J32+J33+J34</f>
        <v>4634899.2044849377</v>
      </c>
      <c r="K8" s="719">
        <f>SUM(K9,K14,K28:K31)</f>
        <v>2520153.7488039802</v>
      </c>
      <c r="L8" s="719">
        <f t="shared" si="2"/>
        <v>61.781470318919382</v>
      </c>
      <c r="M8" s="4523">
        <f>K8/C8%</f>
        <v>15.146581180614238</v>
      </c>
      <c r="N8" s="719">
        <f>SUM(N9,N14,N28:N31)</f>
        <v>1469578</v>
      </c>
      <c r="O8" s="719">
        <f>SUM(O9,O14,O28:O31)</f>
        <v>1050575.7488039802</v>
      </c>
      <c r="P8" s="719">
        <f t="shared" ref="P8:P32" si="5">K8+F8</f>
        <v>10474165.953288918</v>
      </c>
      <c r="Q8" s="719">
        <f t="shared" ref="Q8:Q35" si="6">P8/$P$7*100</f>
        <v>80.399553432957546</v>
      </c>
      <c r="R8" s="4524">
        <f t="shared" ref="R8:R35" si="7">P8/C8*100</f>
        <v>62.951637369746869</v>
      </c>
      <c r="S8" s="719">
        <f t="shared" si="3"/>
        <v>4788691</v>
      </c>
      <c r="T8" s="719">
        <f t="shared" si="3"/>
        <v>5685474.9532889184</v>
      </c>
      <c r="U8" s="719">
        <f t="shared" ref="U8:U34" si="8">P8-C8</f>
        <v>-6164266.962711079</v>
      </c>
      <c r="V8" s="719">
        <f t="shared" ref="V8:W36" si="9">S8-D8</f>
        <v>-1941338.568</v>
      </c>
      <c r="W8" s="4460">
        <f t="shared" si="9"/>
        <v>-4222928.3947110809</v>
      </c>
    </row>
    <row r="9" spans="1:23" s="380" customFormat="1" ht="17.399999999999999">
      <c r="A9" s="4525" t="s">
        <v>3</v>
      </c>
      <c r="B9" s="4466" t="s">
        <v>1680</v>
      </c>
      <c r="C9" s="2904">
        <f>SUM(C10:C14)</f>
        <v>4923186.4089698764</v>
      </c>
      <c r="D9" s="2904">
        <f t="shared" ref="D9:E9" si="10">SUM(D10:D14)</f>
        <v>3199186</v>
      </c>
      <c r="E9" s="2904">
        <f t="shared" si="10"/>
        <v>1724000.4089698761</v>
      </c>
      <c r="F9" s="3865">
        <f>SUM(F10:F14)</f>
        <v>2491593.2044849382</v>
      </c>
      <c r="G9" s="2281">
        <f t="shared" ref="G9:G16" si="11">F9/$F$7*100</f>
        <v>27.843696122800171</v>
      </c>
      <c r="H9" s="4526">
        <f t="shared" si="1"/>
        <v>50.609361448214536</v>
      </c>
      <c r="I9" s="3865">
        <f>SUM(I10:I14)</f>
        <v>1629593</v>
      </c>
      <c r="J9" s="3865">
        <f>SUM(J10:J14)</f>
        <v>862000.20448493806</v>
      </c>
      <c r="K9" s="2281">
        <f t="shared" ref="K9" si="12">SUM(K10:K13)</f>
        <v>2262367.2044849382</v>
      </c>
      <c r="L9" s="2281">
        <f t="shared" si="2"/>
        <v>55.461843294567359</v>
      </c>
      <c r="M9" s="4527">
        <f>K9/C9%</f>
        <v>45.953311870600366</v>
      </c>
      <c r="N9" s="2281">
        <f>SUM(N10:N13)</f>
        <v>1469578</v>
      </c>
      <c r="O9" s="2281">
        <f t="shared" ref="O9:P9" si="13">SUM(O10:O13)</f>
        <v>792789.20448493806</v>
      </c>
      <c r="P9" s="2281">
        <f t="shared" si="13"/>
        <v>4693960.4089698764</v>
      </c>
      <c r="Q9" s="2281">
        <f t="shared" si="6"/>
        <v>36.030775375929437</v>
      </c>
      <c r="R9" s="4526">
        <f t="shared" si="7"/>
        <v>95.343950422385831</v>
      </c>
      <c r="S9" s="2281">
        <f t="shared" ref="S9:W9" si="14">SUM(S10:S13)</f>
        <v>3039171</v>
      </c>
      <c r="T9" s="2281">
        <f t="shared" si="14"/>
        <v>1654789.4089698761</v>
      </c>
      <c r="U9" s="2281">
        <f t="shared" si="14"/>
        <v>-169226</v>
      </c>
      <c r="V9" s="2281">
        <f t="shared" si="14"/>
        <v>-100015</v>
      </c>
      <c r="W9" s="4361">
        <f t="shared" si="14"/>
        <v>-69211</v>
      </c>
    </row>
    <row r="10" spans="1:23" s="596" customFormat="1">
      <c r="A10" s="4528">
        <v>1</v>
      </c>
      <c r="B10" s="4132" t="s">
        <v>143</v>
      </c>
      <c r="C10" s="4436">
        <f>SUM(D10:E10)</f>
        <v>1143186.4089698761</v>
      </c>
      <c r="D10" s="4436">
        <f>'[2]Phụ lục số 2'!AA10</f>
        <v>562186</v>
      </c>
      <c r="E10" s="4436">
        <f>'[2]Phụ lục số 2'!AB10</f>
        <v>581000.40896987612</v>
      </c>
      <c r="F10" s="2275">
        <f>SUM(I10,J10)</f>
        <v>571593.20448493806</v>
      </c>
      <c r="G10" s="2275">
        <f>F10/$F$7*100</f>
        <v>6.3875866505367984</v>
      </c>
      <c r="H10" s="4529">
        <f t="shared" si="1"/>
        <v>50</v>
      </c>
      <c r="I10" s="2275">
        <f>D10*50%</f>
        <v>281093</v>
      </c>
      <c r="J10" s="2275">
        <f>E10*50%</f>
        <v>290500.20448493806</v>
      </c>
      <c r="K10" s="2275">
        <f>SUM(N10,O10)</f>
        <v>571593.20448493806</v>
      </c>
      <c r="L10" s="2275">
        <f t="shared" si="2"/>
        <v>14.01258499174566</v>
      </c>
      <c r="M10" s="4529">
        <f>K10/C10%</f>
        <v>50</v>
      </c>
      <c r="N10" s="2275">
        <f>(D10)-I10</f>
        <v>281093</v>
      </c>
      <c r="O10" s="2275">
        <f>(E10)-J10</f>
        <v>290500.20448493806</v>
      </c>
      <c r="P10" s="2275">
        <f t="shared" si="5"/>
        <v>1143186.4089698761</v>
      </c>
      <c r="Q10" s="2275">
        <f t="shared" si="6"/>
        <v>8.775083112268609</v>
      </c>
      <c r="R10" s="4529">
        <f t="shared" si="7"/>
        <v>100</v>
      </c>
      <c r="S10" s="2275">
        <f t="shared" si="3"/>
        <v>562186</v>
      </c>
      <c r="T10" s="2275">
        <f t="shared" si="3"/>
        <v>581000.40896987612</v>
      </c>
      <c r="U10" s="2275">
        <f t="shared" si="8"/>
        <v>0</v>
      </c>
      <c r="V10" s="2275">
        <f t="shared" si="9"/>
        <v>0</v>
      </c>
      <c r="W10" s="4360">
        <f t="shared" si="9"/>
        <v>0</v>
      </c>
    </row>
    <row r="11" spans="1:23" s="596" customFormat="1">
      <c r="A11" s="4528">
        <v>2</v>
      </c>
      <c r="B11" s="4132" t="s">
        <v>144</v>
      </c>
      <c r="C11" s="4436">
        <f t="shared" ref="C11:C14" si="15">SUM(D11:E11)</f>
        <v>1770000</v>
      </c>
      <c r="D11" s="4436">
        <f>'[2]Phụ lục số 2'!AA11</f>
        <v>627000</v>
      </c>
      <c r="E11" s="4436">
        <f>'[2]Phụ lục số 2'!AB11</f>
        <v>1143000</v>
      </c>
      <c r="F11" s="2275">
        <f>SUM(I11,J11)</f>
        <v>885000</v>
      </c>
      <c r="G11" s="2275">
        <f>F11/$F$7*100</f>
        <v>9.8899254598713995</v>
      </c>
      <c r="H11" s="4529">
        <f t="shared" si="1"/>
        <v>50</v>
      </c>
      <c r="I11" s="2275">
        <f t="shared" ref="I11:J14" si="16">D11*50%</f>
        <v>313500</v>
      </c>
      <c r="J11" s="2275">
        <f t="shared" si="16"/>
        <v>571500</v>
      </c>
      <c r="K11" s="2275">
        <f>SUM(N11,O11)</f>
        <v>591289</v>
      </c>
      <c r="L11" s="2275">
        <f t="shared" si="2"/>
        <v>14.495426646386294</v>
      </c>
      <c r="M11" s="4529">
        <f>K11/C11%</f>
        <v>33.406158192090395</v>
      </c>
      <c r="N11" s="2276">
        <f>'[38]Thu NSNN'!R40</f>
        <v>89000</v>
      </c>
      <c r="O11" s="2276">
        <f>'[38]Thu NSNN'!S40+200000</f>
        <v>502289</v>
      </c>
      <c r="P11" s="2275">
        <f t="shared" si="5"/>
        <v>1476289</v>
      </c>
      <c r="Q11" s="2275">
        <f t="shared" si="6"/>
        <v>11.331974007984618</v>
      </c>
      <c r="R11" s="4529">
        <f t="shared" si="7"/>
        <v>83.406158192090402</v>
      </c>
      <c r="S11" s="2275">
        <f t="shared" si="3"/>
        <v>402500</v>
      </c>
      <c r="T11" s="2275">
        <f t="shared" si="3"/>
        <v>1073789</v>
      </c>
      <c r="U11" s="2275">
        <f t="shared" si="8"/>
        <v>-293711</v>
      </c>
      <c r="V11" s="2275">
        <f t="shared" si="9"/>
        <v>-224500</v>
      </c>
      <c r="W11" s="4360">
        <f t="shared" si="9"/>
        <v>-69211</v>
      </c>
    </row>
    <row r="12" spans="1:23" s="596" customFormat="1">
      <c r="A12" s="4528">
        <v>3</v>
      </c>
      <c r="B12" s="4132" t="s">
        <v>145</v>
      </c>
      <c r="C12" s="4436">
        <f t="shared" si="15"/>
        <v>1950000</v>
      </c>
      <c r="D12" s="4436">
        <f>'[2]Phụ lục số 2'!AA12</f>
        <v>1950000</v>
      </c>
      <c r="E12" s="4436">
        <f>'[2]Phụ lục số 2'!AB12</f>
        <v>0</v>
      </c>
      <c r="F12" s="2275">
        <f t="shared" ref="F12:F14" si="17">SUM(I12,J12)</f>
        <v>975000</v>
      </c>
      <c r="G12" s="2275">
        <f>F12/$F$7*100</f>
        <v>10.895680591383744</v>
      </c>
      <c r="H12" s="4529">
        <f t="shared" si="1"/>
        <v>50</v>
      </c>
      <c r="I12" s="2275">
        <f t="shared" si="16"/>
        <v>975000</v>
      </c>
      <c r="J12" s="2275">
        <f t="shared" si="16"/>
        <v>0</v>
      </c>
      <c r="K12" s="2275">
        <f>SUM(N12,O12)</f>
        <v>1099485</v>
      </c>
      <c r="L12" s="2275"/>
      <c r="M12" s="4529"/>
      <c r="N12" s="2276">
        <f>'[38]Thu NSNN'!R48+400000</f>
        <v>1099485</v>
      </c>
      <c r="O12" s="2276">
        <f>'[38]Thu NSNN'!S48</f>
        <v>0</v>
      </c>
      <c r="P12" s="2275">
        <f t="shared" si="5"/>
        <v>2074485</v>
      </c>
      <c r="Q12" s="2275">
        <f t="shared" si="6"/>
        <v>15.923718255676208</v>
      </c>
      <c r="R12" s="4529">
        <f t="shared" si="7"/>
        <v>106.38384615384615</v>
      </c>
      <c r="S12" s="2275">
        <f t="shared" si="3"/>
        <v>2074485</v>
      </c>
      <c r="T12" s="2275">
        <f t="shared" si="3"/>
        <v>0</v>
      </c>
      <c r="U12" s="2275">
        <f t="shared" si="8"/>
        <v>124485</v>
      </c>
      <c r="V12" s="2275">
        <f t="shared" si="9"/>
        <v>124485</v>
      </c>
      <c r="W12" s="4360">
        <f t="shared" si="9"/>
        <v>0</v>
      </c>
    </row>
    <row r="13" spans="1:23" s="596" customFormat="1" ht="36">
      <c r="A13" s="4528">
        <v>4</v>
      </c>
      <c r="B13" s="4132" t="s">
        <v>146</v>
      </c>
      <c r="C13" s="4436">
        <f t="shared" si="15"/>
        <v>0</v>
      </c>
      <c r="D13" s="4436">
        <f>'[2]Phụ lục số 2'!AA13</f>
        <v>0</v>
      </c>
      <c r="E13" s="4436">
        <f>'[2]Phụ lục số 2'!AB13</f>
        <v>0</v>
      </c>
      <c r="F13" s="2275">
        <f t="shared" si="17"/>
        <v>0</v>
      </c>
      <c r="G13" s="2275"/>
      <c r="H13" s="4529"/>
      <c r="I13" s="2275">
        <f t="shared" si="16"/>
        <v>0</v>
      </c>
      <c r="J13" s="2275">
        <f t="shared" si="16"/>
        <v>0</v>
      </c>
      <c r="K13" s="2275">
        <f>SUM(N13,O13)</f>
        <v>0</v>
      </c>
      <c r="L13" s="2275"/>
      <c r="M13" s="4529"/>
      <c r="N13" s="2276">
        <f>'[38]Thu NSNN'!R46</f>
        <v>0</v>
      </c>
      <c r="O13" s="2276">
        <f>'[38]Thu NSNN'!S46</f>
        <v>0</v>
      </c>
      <c r="P13" s="2275">
        <f t="shared" si="5"/>
        <v>0</v>
      </c>
      <c r="Q13" s="2275"/>
      <c r="R13" s="4529"/>
      <c r="S13" s="2275">
        <f t="shared" si="3"/>
        <v>0</v>
      </c>
      <c r="T13" s="2275">
        <f t="shared" si="3"/>
        <v>0</v>
      </c>
      <c r="U13" s="2275"/>
      <c r="V13" s="2275">
        <f t="shared" si="9"/>
        <v>0</v>
      </c>
      <c r="W13" s="4360">
        <f t="shared" si="9"/>
        <v>0</v>
      </c>
    </row>
    <row r="14" spans="1:23" s="596" customFormat="1" ht="36">
      <c r="A14" s="4528">
        <v>5</v>
      </c>
      <c r="B14" s="4132" t="s">
        <v>2846</v>
      </c>
      <c r="C14" s="4436">
        <f t="shared" si="15"/>
        <v>60000</v>
      </c>
      <c r="D14" s="4436">
        <f>'[2]Phụ lục số 2'!AA14</f>
        <v>60000</v>
      </c>
      <c r="E14" s="4436">
        <f>'[2]Phụ lục số 2'!AB14</f>
        <v>0</v>
      </c>
      <c r="F14" s="2275">
        <f t="shared" si="17"/>
        <v>60000</v>
      </c>
      <c r="G14" s="2281">
        <f t="shared" si="11"/>
        <v>0.67050342100823046</v>
      </c>
      <c r="H14" s="4526">
        <v>100</v>
      </c>
      <c r="I14" s="2275">
        <f>D14*100%</f>
        <v>60000</v>
      </c>
      <c r="J14" s="2275">
        <f t="shared" si="16"/>
        <v>0</v>
      </c>
      <c r="K14" s="2275">
        <f>SUM(N14,O14)</f>
        <v>0</v>
      </c>
      <c r="L14" s="2281">
        <f t="shared" si="2"/>
        <v>0</v>
      </c>
      <c r="M14" s="4526">
        <f t="shared" ref="M14:M20" si="18">K14/C14%</f>
        <v>0</v>
      </c>
      <c r="N14" s="2287">
        <f>D14-I14</f>
        <v>0</v>
      </c>
      <c r="O14" s="2287">
        <f>E14-J14</f>
        <v>0</v>
      </c>
      <c r="P14" s="2281">
        <f t="shared" si="5"/>
        <v>60000</v>
      </c>
      <c r="Q14" s="2281">
        <f t="shared" si="6"/>
        <v>0.46055917268168844</v>
      </c>
      <c r="R14" s="4526">
        <f t="shared" si="7"/>
        <v>100</v>
      </c>
      <c r="S14" s="2281">
        <f>N14+I14</f>
        <v>60000</v>
      </c>
      <c r="T14" s="2281">
        <f t="shared" si="3"/>
        <v>0</v>
      </c>
      <c r="U14" s="2281">
        <f t="shared" si="8"/>
        <v>0</v>
      </c>
      <c r="V14" s="2281">
        <f t="shared" si="9"/>
        <v>0</v>
      </c>
      <c r="W14" s="4361">
        <f t="shared" si="9"/>
        <v>0</v>
      </c>
    </row>
    <row r="15" spans="1:23" s="2257" customFormat="1" ht="17.399999999999999">
      <c r="A15" s="4530" t="s">
        <v>33</v>
      </c>
      <c r="B15" s="4531" t="s">
        <v>151</v>
      </c>
      <c r="C15" s="4532">
        <f>SUM(C16,C17,C18,C26,C27,C2,C28)</f>
        <v>10664978.394711081</v>
      </c>
      <c r="D15" s="4532">
        <f t="shared" ref="D15:E15" si="19">SUM(D16,D17,D18,D26,D27,D2,D28)</f>
        <v>3294440</v>
      </c>
      <c r="E15" s="4532">
        <f t="shared" si="19"/>
        <v>7370538.3947110809</v>
      </c>
      <c r="F15" s="2261">
        <f>(I15+J15)</f>
        <v>5332117</v>
      </c>
      <c r="G15" s="2261">
        <f t="shared" si="11"/>
        <v>59.586711495269043</v>
      </c>
      <c r="H15" s="4533">
        <f t="shared" ref="H15" si="20">F15/C15%</f>
        <v>49.996510097425741</v>
      </c>
      <c r="I15" s="2261">
        <f>INT(D15/2)-200</f>
        <v>1647020</v>
      </c>
      <c r="J15" s="2261">
        <f>INT(E15/2)-172</f>
        <v>3685097</v>
      </c>
      <c r="K15" s="2261">
        <f>N15+O15</f>
        <v>5361226.3947110809</v>
      </c>
      <c r="L15" s="2261">
        <f t="shared" si="2"/>
        <v>131.43025481482749</v>
      </c>
      <c r="M15" s="4533">
        <f t="shared" si="18"/>
        <v>50.269453873153566</v>
      </c>
      <c r="N15" s="2261">
        <f>D15-I15</f>
        <v>1647420</v>
      </c>
      <c r="O15" s="2261">
        <f>(E15-J15)+28365</f>
        <v>3713806.3947110809</v>
      </c>
      <c r="P15" s="2261">
        <f t="shared" si="5"/>
        <v>10693343.394711081</v>
      </c>
      <c r="Q15" s="2261">
        <f t="shared" si="6"/>
        <v>82.081956451155563</v>
      </c>
      <c r="R15" s="4534">
        <f t="shared" si="7"/>
        <v>100.26596397057932</v>
      </c>
      <c r="S15" s="2261">
        <f>N15+I15</f>
        <v>3294440</v>
      </c>
      <c r="T15" s="2261">
        <f t="shared" si="3"/>
        <v>7398903.3947110809</v>
      </c>
      <c r="U15" s="2261">
        <f t="shared" si="8"/>
        <v>28365</v>
      </c>
      <c r="V15" s="2261">
        <f t="shared" si="9"/>
        <v>0</v>
      </c>
      <c r="W15" s="4464">
        <f t="shared" si="9"/>
        <v>28365</v>
      </c>
    </row>
    <row r="16" spans="1:23" s="380" customFormat="1" ht="17.399999999999999">
      <c r="A16" s="4535">
        <v>1</v>
      </c>
      <c r="B16" s="4481" t="s">
        <v>2847</v>
      </c>
      <c r="C16" s="2904">
        <f>SUM(D16:E16)</f>
        <v>2068978.6115313373</v>
      </c>
      <c r="D16" s="2904">
        <f>'[2]Phụ lục số 2'!AA16</f>
        <v>545710</v>
      </c>
      <c r="E16" s="2904">
        <f>'[2]Phụ lục số 2'!AB16</f>
        <v>1523268.6115313373</v>
      </c>
      <c r="F16" s="2281">
        <f>I16+J16</f>
        <v>1034489.3057656686</v>
      </c>
      <c r="G16" s="2281">
        <f t="shared" si="11"/>
        <v>11.560476975205168</v>
      </c>
      <c r="H16" s="4526">
        <f>F16/C16%</f>
        <v>50.000000000000007</v>
      </c>
      <c r="I16" s="2281">
        <f>D16*50%</f>
        <v>272855</v>
      </c>
      <c r="J16" s="2281">
        <f>E16*50%</f>
        <v>761634.30576566863</v>
      </c>
      <c r="K16" s="2281">
        <f>N16+O16</f>
        <v>1034489.3057656686</v>
      </c>
      <c r="L16" s="2281">
        <f t="shared" si="2"/>
        <v>25.360464761220541</v>
      </c>
      <c r="M16" s="4526">
        <f t="shared" si="18"/>
        <v>50.000000000000007</v>
      </c>
      <c r="N16" s="2281">
        <f>D16-I16</f>
        <v>272855</v>
      </c>
      <c r="O16" s="2281">
        <f>E16-J16</f>
        <v>761634.30576566863</v>
      </c>
      <c r="P16" s="2281">
        <f t="shared" si="5"/>
        <v>2068978.6115313373</v>
      </c>
      <c r="Q16" s="2281">
        <f t="shared" si="6"/>
        <v>15.881451293716353</v>
      </c>
      <c r="R16" s="4526">
        <f t="shared" si="7"/>
        <v>100</v>
      </c>
      <c r="S16" s="2281">
        <f t="shared" si="3"/>
        <v>545710</v>
      </c>
      <c r="T16" s="2281">
        <f t="shared" si="3"/>
        <v>1523268.6115313373</v>
      </c>
      <c r="U16" s="2281">
        <f t="shared" si="8"/>
        <v>0</v>
      </c>
      <c r="V16" s="2281">
        <f t="shared" si="9"/>
        <v>0</v>
      </c>
      <c r="W16" s="4361">
        <f t="shared" si="9"/>
        <v>0</v>
      </c>
    </row>
    <row r="17" spans="1:23" s="380" customFormat="1" ht="17.399999999999999">
      <c r="A17" s="4535">
        <v>2</v>
      </c>
      <c r="B17" s="4481" t="s">
        <v>1681</v>
      </c>
      <c r="C17" s="2904">
        <f>SUM(D17:E17)</f>
        <v>151965</v>
      </c>
      <c r="D17" s="2904">
        <f>'[2]Phụ lục số 2'!AA17</f>
        <v>67965</v>
      </c>
      <c r="E17" s="2904">
        <f>'[2]Phụ lục số 2'!AB17</f>
        <v>84000</v>
      </c>
      <c r="F17" s="2281">
        <f>I17+J17</f>
        <v>75982.5</v>
      </c>
      <c r="G17" s="2281"/>
      <c r="H17" s="4526">
        <f>F17/C17%</f>
        <v>50</v>
      </c>
      <c r="I17" s="2281">
        <f t="shared" ref="I17:J17" si="21">D17*50%</f>
        <v>33982.5</v>
      </c>
      <c r="J17" s="2281">
        <f t="shared" si="21"/>
        <v>42000</v>
      </c>
      <c r="K17" s="2281">
        <f>SUM(K18:K24)</f>
        <v>6153557.2831797441</v>
      </c>
      <c r="L17" s="2281"/>
      <c r="M17" s="4526">
        <f t="shared" si="18"/>
        <v>4049.3253599050727</v>
      </c>
      <c r="N17" s="2281">
        <f>SUM(N18:N24)</f>
        <v>1958287.5</v>
      </c>
      <c r="O17" s="2281">
        <f>SUM(O18:O24)</f>
        <v>4195269.7831797441</v>
      </c>
      <c r="P17" s="2281">
        <f t="shared" si="5"/>
        <v>6229539.7831797441</v>
      </c>
      <c r="Q17" s="2281">
        <f t="shared" si="6"/>
        <v>47.817861478815466</v>
      </c>
      <c r="R17" s="4526">
        <f t="shared" si="7"/>
        <v>4099.3253599050731</v>
      </c>
      <c r="S17" s="2281">
        <f t="shared" si="3"/>
        <v>1992270</v>
      </c>
      <c r="T17" s="2281">
        <f t="shared" si="3"/>
        <v>4237269.7831797441</v>
      </c>
      <c r="U17" s="2281">
        <f t="shared" si="8"/>
        <v>6077574.7831797441</v>
      </c>
      <c r="V17" s="2281">
        <f t="shared" si="9"/>
        <v>1924305</v>
      </c>
      <c r="W17" s="4361">
        <f t="shared" si="9"/>
        <v>4153269.7831797441</v>
      </c>
    </row>
    <row r="18" spans="1:23" s="380" customFormat="1" ht="17.399999999999999">
      <c r="A18" s="4535">
        <v>3</v>
      </c>
      <c r="B18" s="4481" t="s">
        <v>1682</v>
      </c>
      <c r="C18" s="2904">
        <f>SUM(D18:E18)</f>
        <v>6454249.7831797441</v>
      </c>
      <c r="D18" s="2904">
        <f>SUM(D19:D25)</f>
        <v>1996980</v>
      </c>
      <c r="E18" s="2904">
        <f>SUM(E19:E25)</f>
        <v>4457269.7831797441</v>
      </c>
      <c r="F18" s="3865">
        <f>SUM(F19:F25)</f>
        <v>3227124.8915898721</v>
      </c>
      <c r="G18" s="2281"/>
      <c r="H18" s="4526">
        <f t="shared" ref="H18:H27" si="22">F18/C18%</f>
        <v>50</v>
      </c>
      <c r="I18" s="3865">
        <f>SUM(I19:I25)</f>
        <v>998490</v>
      </c>
      <c r="J18" s="3865">
        <f>SUM(J19:J25)</f>
        <v>2228634.8915898721</v>
      </c>
      <c r="K18" s="2281">
        <f t="shared" ref="K18:K24" si="23">N18+O18</f>
        <v>3227124.8915898721</v>
      </c>
      <c r="L18" s="2281"/>
      <c r="M18" s="4526">
        <f t="shared" si="18"/>
        <v>50</v>
      </c>
      <c r="N18" s="2281">
        <f t="shared" ref="N18:O28" si="24">D18-I18</f>
        <v>998490</v>
      </c>
      <c r="O18" s="2281">
        <f t="shared" si="24"/>
        <v>2228634.8915898721</v>
      </c>
      <c r="P18" s="2281">
        <f t="shared" si="5"/>
        <v>6454249.7831797441</v>
      </c>
      <c r="Q18" s="2281">
        <f t="shared" si="6"/>
        <v>49.542732340370499</v>
      </c>
      <c r="R18" s="4526">
        <f t="shared" si="7"/>
        <v>100</v>
      </c>
      <c r="S18" s="2281">
        <f t="shared" si="3"/>
        <v>1996980</v>
      </c>
      <c r="T18" s="2281">
        <f t="shared" si="3"/>
        <v>4457269.7831797441</v>
      </c>
      <c r="U18" s="2281">
        <f t="shared" si="8"/>
        <v>0</v>
      </c>
      <c r="V18" s="2281">
        <f t="shared" si="9"/>
        <v>0</v>
      </c>
      <c r="W18" s="4361">
        <f t="shared" si="9"/>
        <v>0</v>
      </c>
    </row>
    <row r="19" spans="1:23" s="596" customFormat="1">
      <c r="A19" s="2747" t="s">
        <v>99</v>
      </c>
      <c r="B19" s="1927" t="s">
        <v>739</v>
      </c>
      <c r="C19" s="4436">
        <f t="shared" ref="C19:C34" si="25">SUM(D19:E19)</f>
        <v>31218</v>
      </c>
      <c r="D19" s="4436">
        <f>'[2]Phụ lục số 2'!AA19</f>
        <v>31218</v>
      </c>
      <c r="E19" s="4436">
        <f>'[2]Phụ lục số 2'!AB19</f>
        <v>0</v>
      </c>
      <c r="F19" s="2275">
        <f t="shared" ref="F19:F24" si="26">I19+J19</f>
        <v>15609</v>
      </c>
      <c r="G19" s="2275">
        <f>F19/$F$7*100</f>
        <v>0.17443146497529116</v>
      </c>
      <c r="H19" s="4526">
        <f t="shared" si="22"/>
        <v>50</v>
      </c>
      <c r="I19" s="2275">
        <f t="shared" ref="I19:J25" si="27">D19*50%</f>
        <v>15609</v>
      </c>
      <c r="J19" s="2275">
        <f t="shared" si="27"/>
        <v>0</v>
      </c>
      <c r="K19" s="2275">
        <f t="shared" si="23"/>
        <v>15609</v>
      </c>
      <c r="L19" s="2275">
        <f>K19/$K$7*100</f>
        <v>0.38265402286097605</v>
      </c>
      <c r="M19" s="4529">
        <f t="shared" si="18"/>
        <v>50</v>
      </c>
      <c r="N19" s="2275">
        <f t="shared" si="24"/>
        <v>15609</v>
      </c>
      <c r="O19" s="2275">
        <f t="shared" si="24"/>
        <v>0</v>
      </c>
      <c r="P19" s="2275">
        <f t="shared" si="5"/>
        <v>31218</v>
      </c>
      <c r="Q19" s="2275">
        <f t="shared" si="6"/>
        <v>0.23962893754628251</v>
      </c>
      <c r="R19" s="4529">
        <f t="shared" si="7"/>
        <v>100</v>
      </c>
      <c r="S19" s="2275">
        <f t="shared" si="3"/>
        <v>31218</v>
      </c>
      <c r="T19" s="2275">
        <f t="shared" si="3"/>
        <v>0</v>
      </c>
      <c r="U19" s="2275">
        <f t="shared" si="8"/>
        <v>0</v>
      </c>
      <c r="V19" s="2275">
        <f t="shared" si="9"/>
        <v>0</v>
      </c>
      <c r="W19" s="4360">
        <f t="shared" si="9"/>
        <v>0</v>
      </c>
    </row>
    <row r="20" spans="1:23" s="596" customFormat="1">
      <c r="A20" s="2747" t="s">
        <v>101</v>
      </c>
      <c r="B20" s="1927" t="s">
        <v>1684</v>
      </c>
      <c r="C20" s="4436">
        <f t="shared" si="25"/>
        <v>4797945.7831797441</v>
      </c>
      <c r="D20" s="4436">
        <f>'[2]Phụ lục số 2'!AA20</f>
        <v>956676</v>
      </c>
      <c r="E20" s="4436">
        <f>'[2]Phụ lục số 2'!AB20</f>
        <v>3841269.7831797441</v>
      </c>
      <c r="F20" s="2275">
        <f t="shared" si="26"/>
        <v>2398972.8915898721</v>
      </c>
      <c r="G20" s="2275"/>
      <c r="H20" s="4526">
        <f t="shared" si="22"/>
        <v>50</v>
      </c>
      <c r="I20" s="2275">
        <f t="shared" si="27"/>
        <v>478338</v>
      </c>
      <c r="J20" s="2275">
        <f t="shared" si="27"/>
        <v>1920634.8915898721</v>
      </c>
      <c r="K20" s="2275">
        <f t="shared" si="23"/>
        <v>2398972.8915898721</v>
      </c>
      <c r="L20" s="2275"/>
      <c r="M20" s="4529">
        <f t="shared" si="18"/>
        <v>50</v>
      </c>
      <c r="N20" s="2275">
        <f>D20-I20</f>
        <v>478338</v>
      </c>
      <c r="O20" s="2275">
        <f t="shared" si="24"/>
        <v>1920634.8915898721</v>
      </c>
      <c r="P20" s="2275">
        <f t="shared" si="5"/>
        <v>4797945.7831797441</v>
      </c>
      <c r="Q20" s="2275">
        <f t="shared" si="6"/>
        <v>36.828965674547646</v>
      </c>
      <c r="R20" s="4529">
        <f t="shared" si="7"/>
        <v>100</v>
      </c>
      <c r="S20" s="2275">
        <f t="shared" si="3"/>
        <v>956676</v>
      </c>
      <c r="T20" s="2275">
        <f t="shared" si="3"/>
        <v>3841269.7831797441</v>
      </c>
      <c r="U20" s="2275">
        <f t="shared" si="8"/>
        <v>0</v>
      </c>
      <c r="V20" s="2275">
        <f t="shared" si="9"/>
        <v>0</v>
      </c>
      <c r="W20" s="4360">
        <f t="shared" si="9"/>
        <v>0</v>
      </c>
    </row>
    <row r="21" spans="1:23" s="596" customFormat="1">
      <c r="A21" s="2747" t="s">
        <v>147</v>
      </c>
      <c r="B21" s="1927" t="s">
        <v>1685</v>
      </c>
      <c r="C21" s="4436">
        <f t="shared" si="25"/>
        <v>828538</v>
      </c>
      <c r="D21" s="4436">
        <f>'[2]Phụ lục số 2'!AA21</f>
        <v>828538</v>
      </c>
      <c r="E21" s="4436">
        <f>'[2]Phụ lục số 2'!AB21</f>
        <v>0</v>
      </c>
      <c r="F21" s="2275">
        <f t="shared" si="26"/>
        <v>414269</v>
      </c>
      <c r="G21" s="2275"/>
      <c r="H21" s="4526">
        <f t="shared" si="22"/>
        <v>50.000000000000007</v>
      </c>
      <c r="I21" s="2275">
        <f t="shared" si="27"/>
        <v>414269</v>
      </c>
      <c r="J21" s="2275">
        <f t="shared" si="27"/>
        <v>0</v>
      </c>
      <c r="K21" s="2275">
        <f t="shared" si="23"/>
        <v>414269</v>
      </c>
      <c r="L21" s="2275"/>
      <c r="M21" s="4529"/>
      <c r="N21" s="2275">
        <f t="shared" si="24"/>
        <v>414269</v>
      </c>
      <c r="O21" s="2275">
        <f t="shared" si="24"/>
        <v>0</v>
      </c>
      <c r="P21" s="2275">
        <f t="shared" si="5"/>
        <v>828538</v>
      </c>
      <c r="Q21" s="2275">
        <f t="shared" si="6"/>
        <v>6.3598462635890129</v>
      </c>
      <c r="R21" s="4529">
        <f t="shared" si="7"/>
        <v>100</v>
      </c>
      <c r="S21" s="2275">
        <f t="shared" si="3"/>
        <v>828538</v>
      </c>
      <c r="T21" s="2275">
        <f t="shared" si="3"/>
        <v>0</v>
      </c>
      <c r="U21" s="2275">
        <f t="shared" si="8"/>
        <v>0</v>
      </c>
      <c r="V21" s="2275">
        <f t="shared" si="9"/>
        <v>0</v>
      </c>
      <c r="W21" s="4360">
        <f t="shared" si="9"/>
        <v>0</v>
      </c>
    </row>
    <row r="22" spans="1:23" s="596" customFormat="1">
      <c r="A22" s="2747" t="s">
        <v>148</v>
      </c>
      <c r="B22" s="1927" t="s">
        <v>1686</v>
      </c>
      <c r="C22" s="4436">
        <f t="shared" si="25"/>
        <v>91888</v>
      </c>
      <c r="D22" s="4436">
        <f>'[2]Phụ lục số 2'!AA22</f>
        <v>47888</v>
      </c>
      <c r="E22" s="4436">
        <f>'[2]Phụ lục số 2'!AB22</f>
        <v>44000</v>
      </c>
      <c r="F22" s="2275">
        <f t="shared" si="26"/>
        <v>45944</v>
      </c>
      <c r="G22" s="2275"/>
      <c r="H22" s="4526">
        <f t="shared" si="22"/>
        <v>50</v>
      </c>
      <c r="I22" s="2275">
        <f t="shared" si="27"/>
        <v>23944</v>
      </c>
      <c r="J22" s="2275">
        <f t="shared" si="27"/>
        <v>22000</v>
      </c>
      <c r="K22" s="2275">
        <f t="shared" si="23"/>
        <v>45944</v>
      </c>
      <c r="L22" s="2275"/>
      <c r="M22" s="4529"/>
      <c r="N22" s="2275">
        <f t="shared" si="24"/>
        <v>23944</v>
      </c>
      <c r="O22" s="2275">
        <f t="shared" si="24"/>
        <v>22000</v>
      </c>
      <c r="P22" s="2275">
        <f t="shared" si="5"/>
        <v>91888</v>
      </c>
      <c r="Q22" s="2275">
        <f t="shared" si="6"/>
        <v>0.70533102098958322</v>
      </c>
      <c r="R22" s="4529">
        <f t="shared" si="7"/>
        <v>100</v>
      </c>
      <c r="S22" s="2275">
        <f t="shared" si="3"/>
        <v>47888</v>
      </c>
      <c r="T22" s="2275">
        <f t="shared" si="3"/>
        <v>44000</v>
      </c>
      <c r="U22" s="2275">
        <f t="shared" si="8"/>
        <v>0</v>
      </c>
      <c r="V22" s="2275">
        <f t="shared" si="9"/>
        <v>0</v>
      </c>
      <c r="W22" s="4360">
        <f t="shared" si="9"/>
        <v>0</v>
      </c>
    </row>
    <row r="23" spans="1:23" s="596" customFormat="1">
      <c r="A23" s="2747" t="s">
        <v>157</v>
      </c>
      <c r="B23" s="1927" t="s">
        <v>1687</v>
      </c>
      <c r="C23" s="4436">
        <f t="shared" si="25"/>
        <v>50073</v>
      </c>
      <c r="D23" s="4436">
        <f>'[2]Phụ lục số 2'!AA23</f>
        <v>18073</v>
      </c>
      <c r="E23" s="4436">
        <f>'[2]Phụ lục số 2'!AB23</f>
        <v>32000</v>
      </c>
      <c r="F23" s="2275">
        <f t="shared" si="26"/>
        <v>25036.5</v>
      </c>
      <c r="G23" s="2275"/>
      <c r="H23" s="4526">
        <f t="shared" si="22"/>
        <v>50</v>
      </c>
      <c r="I23" s="2275">
        <f t="shared" si="27"/>
        <v>9036.5</v>
      </c>
      <c r="J23" s="2275">
        <f t="shared" si="27"/>
        <v>16000</v>
      </c>
      <c r="K23" s="2275">
        <f t="shared" si="23"/>
        <v>25036.5</v>
      </c>
      <c r="L23" s="2275"/>
      <c r="M23" s="4529"/>
      <c r="N23" s="2275">
        <f t="shared" si="24"/>
        <v>9036.5</v>
      </c>
      <c r="O23" s="2275">
        <f t="shared" si="24"/>
        <v>16000</v>
      </c>
      <c r="P23" s="2275">
        <f t="shared" si="5"/>
        <v>50073</v>
      </c>
      <c r="Q23" s="2275">
        <f t="shared" si="6"/>
        <v>0.38435965756150309</v>
      </c>
      <c r="R23" s="4529">
        <f t="shared" si="7"/>
        <v>100</v>
      </c>
      <c r="S23" s="2275">
        <f t="shared" ref="S23:T36" si="28">N23+I23</f>
        <v>18073</v>
      </c>
      <c r="T23" s="2275">
        <f t="shared" si="28"/>
        <v>32000</v>
      </c>
      <c r="U23" s="2275">
        <f t="shared" si="8"/>
        <v>0</v>
      </c>
      <c r="V23" s="2275">
        <f t="shared" si="9"/>
        <v>0</v>
      </c>
      <c r="W23" s="4360">
        <f t="shared" si="9"/>
        <v>0</v>
      </c>
    </row>
    <row r="24" spans="1:23" s="596" customFormat="1">
      <c r="A24" s="2747" t="s">
        <v>1688</v>
      </c>
      <c r="B24" s="1927" t="s">
        <v>1689</v>
      </c>
      <c r="C24" s="4436">
        <f t="shared" si="25"/>
        <v>53202</v>
      </c>
      <c r="D24" s="4436">
        <f>'[2]Phụ lục số 2'!AA24</f>
        <v>37202</v>
      </c>
      <c r="E24" s="4436">
        <f>'[2]Phụ lục số 2'!AB24</f>
        <v>16000</v>
      </c>
      <c r="F24" s="2275">
        <f t="shared" si="26"/>
        <v>26601</v>
      </c>
      <c r="G24" s="2275"/>
      <c r="H24" s="4526">
        <f t="shared" si="22"/>
        <v>50</v>
      </c>
      <c r="I24" s="2275">
        <f t="shared" si="27"/>
        <v>18601</v>
      </c>
      <c r="J24" s="2275">
        <f t="shared" si="27"/>
        <v>8000</v>
      </c>
      <c r="K24" s="2275">
        <f t="shared" si="23"/>
        <v>26601</v>
      </c>
      <c r="L24" s="2275"/>
      <c r="M24" s="4529"/>
      <c r="N24" s="2275">
        <f>D24-I24</f>
        <v>18601</v>
      </c>
      <c r="O24" s="2275">
        <f>E24-J24</f>
        <v>8000</v>
      </c>
      <c r="P24" s="2275">
        <f t="shared" si="5"/>
        <v>53202</v>
      </c>
      <c r="Q24" s="2275">
        <f t="shared" si="6"/>
        <v>0.40837781841685317</v>
      </c>
      <c r="R24" s="4529">
        <f t="shared" si="7"/>
        <v>100</v>
      </c>
      <c r="S24" s="2275">
        <f t="shared" si="28"/>
        <v>37202</v>
      </c>
      <c r="T24" s="2275">
        <f t="shared" si="28"/>
        <v>16000</v>
      </c>
      <c r="U24" s="2275">
        <f t="shared" si="8"/>
        <v>0</v>
      </c>
      <c r="V24" s="2275">
        <f t="shared" si="9"/>
        <v>0</v>
      </c>
      <c r="W24" s="4360">
        <f t="shared" si="9"/>
        <v>0</v>
      </c>
    </row>
    <row r="25" spans="1:23" s="596" customFormat="1">
      <c r="A25" s="2747" t="s">
        <v>159</v>
      </c>
      <c r="B25" s="1927" t="s">
        <v>1730</v>
      </c>
      <c r="C25" s="4436">
        <f t="shared" si="25"/>
        <v>601385</v>
      </c>
      <c r="D25" s="4436">
        <f>'[2]Phụ lục số 2'!AA25</f>
        <v>77385</v>
      </c>
      <c r="E25" s="4436">
        <f>'[2]Phụ lục số 2'!AB25</f>
        <v>524000</v>
      </c>
      <c r="F25" s="2275">
        <f t="shared" ref="F25:F30" si="29">SUM(I25,J25)</f>
        <v>300692.5</v>
      </c>
      <c r="G25" s="2281">
        <f>F25/$F$7*100</f>
        <v>3.3602558320252882</v>
      </c>
      <c r="H25" s="4526">
        <f t="shared" si="22"/>
        <v>50</v>
      </c>
      <c r="I25" s="2275">
        <f t="shared" si="27"/>
        <v>38692.5</v>
      </c>
      <c r="J25" s="2275">
        <f t="shared" si="27"/>
        <v>262000</v>
      </c>
      <c r="K25" s="2281">
        <f t="shared" ref="K25:K31" si="30">SUM(N25,O25)</f>
        <v>300692.5</v>
      </c>
      <c r="L25" s="2281">
        <f>K25/$K$7*100</f>
        <v>7.3714648452254492</v>
      </c>
      <c r="M25" s="4526">
        <f>K25/C25%</f>
        <v>50</v>
      </c>
      <c r="N25" s="2281">
        <f t="shared" si="24"/>
        <v>38692.5</v>
      </c>
      <c r="O25" s="2281">
        <f>(E25-J25)</f>
        <v>262000</v>
      </c>
      <c r="P25" s="2281">
        <f t="shared" si="5"/>
        <v>601385</v>
      </c>
      <c r="Q25" s="2281">
        <f t="shared" si="6"/>
        <v>4.6162229677196205</v>
      </c>
      <c r="R25" s="4526">
        <f t="shared" si="7"/>
        <v>100</v>
      </c>
      <c r="S25" s="2281">
        <f t="shared" si="28"/>
        <v>77385</v>
      </c>
      <c r="T25" s="2281">
        <f t="shared" si="28"/>
        <v>524000</v>
      </c>
      <c r="U25" s="2281">
        <f t="shared" si="8"/>
        <v>0</v>
      </c>
      <c r="V25" s="2281">
        <f t="shared" si="9"/>
        <v>0</v>
      </c>
      <c r="W25" s="4361">
        <f t="shared" si="9"/>
        <v>0</v>
      </c>
    </row>
    <row r="26" spans="1:23" s="596" customFormat="1">
      <c r="A26" s="4535">
        <v>4</v>
      </c>
      <c r="B26" s="4481" t="s">
        <v>1690</v>
      </c>
      <c r="C26" s="4436">
        <f t="shared" si="25"/>
        <v>1570458</v>
      </c>
      <c r="D26" s="4436">
        <f>'[2]Phụ lục số 2'!AA26</f>
        <v>515458</v>
      </c>
      <c r="E26" s="4436">
        <f>'[2]Phụ lục số 2'!AB26</f>
        <v>1055000</v>
      </c>
      <c r="F26" s="2281">
        <f>SUM(I26,J26)</f>
        <v>785229</v>
      </c>
      <c r="G26" s="2281"/>
      <c r="H26" s="4526">
        <f t="shared" si="22"/>
        <v>50</v>
      </c>
      <c r="I26" s="2281">
        <f>INT(D26/2)</f>
        <v>257729</v>
      </c>
      <c r="J26" s="2281">
        <f>INT(E26/2)</f>
        <v>527500</v>
      </c>
      <c r="K26" s="2281">
        <f t="shared" si="30"/>
        <v>785229</v>
      </c>
      <c r="L26" s="2281"/>
      <c r="M26" s="4526">
        <f>K26/C26%</f>
        <v>50</v>
      </c>
      <c r="N26" s="2281">
        <f t="shared" si="24"/>
        <v>257729</v>
      </c>
      <c r="O26" s="2281">
        <f t="shared" si="24"/>
        <v>527500</v>
      </c>
      <c r="P26" s="2281">
        <f t="shared" si="5"/>
        <v>1570458</v>
      </c>
      <c r="Q26" s="2281">
        <f t="shared" si="6"/>
        <v>12.054813953522318</v>
      </c>
      <c r="R26" s="4526">
        <f t="shared" si="7"/>
        <v>100</v>
      </c>
      <c r="S26" s="2281">
        <f t="shared" si="28"/>
        <v>515458</v>
      </c>
      <c r="T26" s="2281">
        <f t="shared" si="28"/>
        <v>1055000</v>
      </c>
      <c r="U26" s="2281">
        <f t="shared" si="8"/>
        <v>0</v>
      </c>
      <c r="V26" s="2281">
        <f t="shared" si="9"/>
        <v>0</v>
      </c>
      <c r="W26" s="4361">
        <f t="shared" si="9"/>
        <v>0</v>
      </c>
    </row>
    <row r="27" spans="1:23" s="596" customFormat="1">
      <c r="A27" s="4535">
        <v>5</v>
      </c>
      <c r="B27" s="4481" t="s">
        <v>1691</v>
      </c>
      <c r="C27" s="4436">
        <f t="shared" si="25"/>
        <v>367327</v>
      </c>
      <c r="D27" s="4436">
        <f>'[2]Phụ lục số 2'!AA27</f>
        <v>148327</v>
      </c>
      <c r="E27" s="4436">
        <f>'[2]Phụ lục số 2'!AB27</f>
        <v>219000</v>
      </c>
      <c r="F27" s="2281">
        <f t="shared" si="29"/>
        <v>183663</v>
      </c>
      <c r="G27" s="2281"/>
      <c r="H27" s="4526">
        <f t="shared" si="22"/>
        <v>49.99986388150068</v>
      </c>
      <c r="I27" s="2281">
        <f>INT(D27/2)</f>
        <v>74163</v>
      </c>
      <c r="J27" s="2281">
        <f>INT(E27/2)</f>
        <v>109500</v>
      </c>
      <c r="K27" s="2281">
        <f t="shared" si="30"/>
        <v>183664</v>
      </c>
      <c r="L27" s="2281"/>
      <c r="M27" s="4526">
        <f>K27/C27%</f>
        <v>50.00013611849932</v>
      </c>
      <c r="N27" s="2281">
        <f t="shared" si="24"/>
        <v>74164</v>
      </c>
      <c r="O27" s="2281">
        <f t="shared" si="24"/>
        <v>109500</v>
      </c>
      <c r="P27" s="2281">
        <f t="shared" si="5"/>
        <v>367327</v>
      </c>
      <c r="Q27" s="2281">
        <f t="shared" si="6"/>
        <v>2.819596987060776</v>
      </c>
      <c r="R27" s="4526">
        <f t="shared" si="7"/>
        <v>100</v>
      </c>
      <c r="S27" s="2281">
        <f t="shared" si="28"/>
        <v>148327</v>
      </c>
      <c r="T27" s="2281">
        <f t="shared" si="28"/>
        <v>219000</v>
      </c>
      <c r="U27" s="2281">
        <f t="shared" si="8"/>
        <v>0</v>
      </c>
      <c r="V27" s="2281">
        <f t="shared" si="9"/>
        <v>0</v>
      </c>
      <c r="W27" s="4361">
        <f t="shared" si="9"/>
        <v>0</v>
      </c>
    </row>
    <row r="28" spans="1:23" s="596" customFormat="1">
      <c r="A28" s="4535">
        <v>6</v>
      </c>
      <c r="B28" s="4481" t="s">
        <v>721</v>
      </c>
      <c r="C28" s="4436">
        <f t="shared" si="25"/>
        <v>52000</v>
      </c>
      <c r="D28" s="4436">
        <f>'[2]Phụ lục số 2'!AA28</f>
        <v>20000</v>
      </c>
      <c r="E28" s="4436">
        <f>'[2]Phụ lục số 2'!AB28</f>
        <v>32000</v>
      </c>
      <c r="F28" s="2281">
        <f t="shared" si="29"/>
        <v>36000</v>
      </c>
      <c r="G28" s="2281"/>
      <c r="H28" s="4526"/>
      <c r="I28" s="2281">
        <f>D28</f>
        <v>20000</v>
      </c>
      <c r="J28" s="2281">
        <f>INT(E28/2)</f>
        <v>16000</v>
      </c>
      <c r="K28" s="2281">
        <f t="shared" si="30"/>
        <v>16000</v>
      </c>
      <c r="L28" s="2281"/>
      <c r="M28" s="4526"/>
      <c r="N28" s="2281">
        <f t="shared" si="24"/>
        <v>0</v>
      </c>
      <c r="O28" s="2281">
        <f t="shared" si="24"/>
        <v>16000</v>
      </c>
      <c r="P28" s="2281">
        <f t="shared" si="5"/>
        <v>52000</v>
      </c>
      <c r="Q28" s="2281">
        <f t="shared" si="6"/>
        <v>0.39915128299079672</v>
      </c>
      <c r="R28" s="4526">
        <f t="shared" si="7"/>
        <v>100</v>
      </c>
      <c r="S28" s="2281">
        <f t="shared" si="28"/>
        <v>20000</v>
      </c>
      <c r="T28" s="2281">
        <f t="shared" si="28"/>
        <v>32000</v>
      </c>
      <c r="U28" s="2281">
        <f t="shared" si="8"/>
        <v>0</v>
      </c>
      <c r="V28" s="2281">
        <f t="shared" si="9"/>
        <v>0</v>
      </c>
      <c r="W28" s="4361">
        <f t="shared" si="9"/>
        <v>0</v>
      </c>
    </row>
    <row r="29" spans="1:23" s="380" customFormat="1" ht="17.399999999999999">
      <c r="A29" s="4535" t="s">
        <v>182</v>
      </c>
      <c r="B29" s="4481" t="s">
        <v>742</v>
      </c>
      <c r="C29" s="2904">
        <f t="shared" si="25"/>
        <v>2000</v>
      </c>
      <c r="D29" s="2904">
        <f>'[2]Phụ lục số 2'!AA29</f>
        <v>2000</v>
      </c>
      <c r="E29" s="2904">
        <f>'[2]Phụ lục số 2'!AB29</f>
        <v>0</v>
      </c>
      <c r="F29" s="2281">
        <f t="shared" si="29"/>
        <v>2000</v>
      </c>
      <c r="G29" s="2281"/>
      <c r="H29" s="4526"/>
      <c r="I29" s="2281">
        <f>2000</f>
        <v>2000</v>
      </c>
      <c r="J29" s="2281"/>
      <c r="K29" s="2281">
        <f t="shared" si="30"/>
        <v>0</v>
      </c>
      <c r="L29" s="2281"/>
      <c r="M29" s="4526"/>
      <c r="N29" s="2281">
        <f>D29-I29</f>
        <v>0</v>
      </c>
      <c r="O29" s="2281">
        <f>E29-J29</f>
        <v>0</v>
      </c>
      <c r="P29" s="2281">
        <f t="shared" si="5"/>
        <v>2000</v>
      </c>
      <c r="Q29" s="2281">
        <f t="shared" si="6"/>
        <v>1.5351972422722947E-2</v>
      </c>
      <c r="R29" s="4526">
        <f t="shared" si="7"/>
        <v>100</v>
      </c>
      <c r="S29" s="2281">
        <f t="shared" si="28"/>
        <v>2000</v>
      </c>
      <c r="T29" s="2281">
        <f t="shared" si="28"/>
        <v>0</v>
      </c>
      <c r="U29" s="2281">
        <f t="shared" si="8"/>
        <v>0</v>
      </c>
      <c r="V29" s="2281">
        <f t="shared" si="9"/>
        <v>0</v>
      </c>
      <c r="W29" s="4361">
        <f t="shared" si="9"/>
        <v>0</v>
      </c>
    </row>
    <row r="30" spans="1:23" s="380" customFormat="1" ht="17.399999999999999">
      <c r="A30" s="4535" t="s">
        <v>215</v>
      </c>
      <c r="B30" s="4481" t="s">
        <v>175</v>
      </c>
      <c r="C30" s="2904">
        <f t="shared" si="25"/>
        <v>327868.91231904214</v>
      </c>
      <c r="D30" s="2904">
        <f>'[2]Phụ lục số 2'!AA30</f>
        <v>152264.36799999999</v>
      </c>
      <c r="E30" s="2904">
        <f>'[2]Phụ lục số 2'!AB30</f>
        <v>175604.54431904212</v>
      </c>
      <c r="F30" s="2281">
        <f t="shared" si="29"/>
        <v>126802</v>
      </c>
      <c r="G30" s="2281">
        <f>F30/$F$7*100</f>
        <v>1.4170195798447605</v>
      </c>
      <c r="H30" s="4526"/>
      <c r="I30" s="2281">
        <f>ROUNDUP(D30/4,-3)</f>
        <v>39000</v>
      </c>
      <c r="J30" s="2281">
        <f>INT(E30/2)</f>
        <v>87802</v>
      </c>
      <c r="K30" s="2281">
        <f t="shared" si="30"/>
        <v>241786.54431904212</v>
      </c>
      <c r="L30" s="2281">
        <f>K30/$K$7*100</f>
        <v>5.927387651824918</v>
      </c>
      <c r="M30" s="4526"/>
      <c r="N30" s="2281">
        <f>IF(('[38]Thu NSNN'!X10-'[38]Thu NSNN'!F10)/2,0,('[38]Thu NSNN'!X10-'[38]Thu NSNN'!F10)/2)</f>
        <v>0</v>
      </c>
      <c r="O30" s="2281">
        <f>E30+INT(('[38]Thu NSNN'!AD10*70%))</f>
        <v>241786.54431904212</v>
      </c>
      <c r="P30" s="2281">
        <f t="shared" si="5"/>
        <v>368588.54431904212</v>
      </c>
      <c r="Q30" s="2281">
        <f t="shared" si="6"/>
        <v>2.8292805838587647</v>
      </c>
      <c r="R30" s="4526"/>
      <c r="S30" s="2281">
        <f t="shared" si="28"/>
        <v>39000</v>
      </c>
      <c r="T30" s="2281">
        <f t="shared" si="28"/>
        <v>329588.54431904212</v>
      </c>
      <c r="U30" s="2281">
        <f t="shared" si="8"/>
        <v>40719.631999999983</v>
      </c>
      <c r="V30" s="2281">
        <f t="shared" si="9"/>
        <v>-113264.36799999999</v>
      </c>
      <c r="W30" s="4361">
        <f t="shared" si="9"/>
        <v>153984</v>
      </c>
    </row>
    <row r="31" spans="1:23" s="380" customFormat="1" ht="17.399999999999999">
      <c r="A31" s="4535" t="s">
        <v>718</v>
      </c>
      <c r="B31" s="4481" t="s">
        <v>2415</v>
      </c>
      <c r="C31" s="2904">
        <f t="shared" si="25"/>
        <v>0</v>
      </c>
      <c r="D31" s="2904">
        <f>'[2]Phụ lục số 2'!AA31</f>
        <v>0</v>
      </c>
      <c r="E31" s="2904">
        <f>'[2]Phụ lục số 2'!AB31</f>
        <v>0</v>
      </c>
      <c r="F31" s="2281">
        <f>SUM(I31,J31)</f>
        <v>0</v>
      </c>
      <c r="G31" s="2281"/>
      <c r="H31" s="4526"/>
      <c r="I31" s="2281">
        <v>0</v>
      </c>
      <c r="J31" s="2281">
        <f>INT(E31/2)</f>
        <v>0</v>
      </c>
      <c r="K31" s="2281">
        <f t="shared" si="30"/>
        <v>0</v>
      </c>
      <c r="L31" s="2281"/>
      <c r="M31" s="4526"/>
      <c r="N31" s="2281">
        <f>D31-I31</f>
        <v>0</v>
      </c>
      <c r="O31" s="2281">
        <f>E31-J31</f>
        <v>0</v>
      </c>
      <c r="P31" s="2281">
        <f t="shared" si="5"/>
        <v>0</v>
      </c>
      <c r="Q31" s="2281">
        <f t="shared" si="6"/>
        <v>0</v>
      </c>
      <c r="R31" s="4526" t="e">
        <f t="shared" si="7"/>
        <v>#DIV/0!</v>
      </c>
      <c r="S31" s="2281">
        <f t="shared" si="28"/>
        <v>0</v>
      </c>
      <c r="T31" s="2281">
        <f t="shared" si="28"/>
        <v>0</v>
      </c>
      <c r="U31" s="2281">
        <f t="shared" si="8"/>
        <v>0</v>
      </c>
      <c r="V31" s="2281">
        <f t="shared" si="9"/>
        <v>0</v>
      </c>
      <c r="W31" s="4361">
        <f t="shared" si="9"/>
        <v>0</v>
      </c>
    </row>
    <row r="32" spans="1:23" s="380" customFormat="1" ht="34.799999999999997">
      <c r="A32" s="4535" t="s">
        <v>744</v>
      </c>
      <c r="B32" s="4481" t="s">
        <v>2848</v>
      </c>
      <c r="C32" s="2904">
        <f t="shared" si="25"/>
        <v>717399.2</v>
      </c>
      <c r="D32" s="2904">
        <f>'[2]Phụ lục số 2'!AA32</f>
        <v>79139.200000000012</v>
      </c>
      <c r="E32" s="2904">
        <f>'[2]Phụ lục số 2'!AB32</f>
        <v>638260</v>
      </c>
      <c r="F32" s="2261">
        <f>SUM(I32:J32)</f>
        <v>0</v>
      </c>
      <c r="G32" s="2261"/>
      <c r="H32" s="4533">
        <f>F32/C32%</f>
        <v>0</v>
      </c>
      <c r="I32" s="2261"/>
      <c r="J32" s="2261">
        <f>SUM(J33:J34)</f>
        <v>0</v>
      </c>
      <c r="K32" s="2261">
        <f>SUM(K33:K34)</f>
        <v>564500</v>
      </c>
      <c r="L32" s="2261"/>
      <c r="M32" s="4533">
        <f>K32/C32%</f>
        <v>78.687012753847512</v>
      </c>
      <c r="N32" s="2261"/>
      <c r="O32" s="2261">
        <f>SUM(O33:O34)</f>
        <v>0</v>
      </c>
      <c r="P32" s="2261">
        <f t="shared" si="5"/>
        <v>564500</v>
      </c>
      <c r="Q32" s="2261">
        <f t="shared" si="6"/>
        <v>4.333094216313552</v>
      </c>
      <c r="R32" s="4533">
        <f t="shared" si="7"/>
        <v>78.687012753847512</v>
      </c>
      <c r="S32" s="2261">
        <f>N32+I32</f>
        <v>0</v>
      </c>
      <c r="T32" s="2261">
        <f t="shared" si="28"/>
        <v>0</v>
      </c>
      <c r="U32" s="2261">
        <f t="shared" si="8"/>
        <v>-152899.19999999995</v>
      </c>
      <c r="V32" s="2261">
        <f>S32-D32</f>
        <v>-79139.200000000012</v>
      </c>
      <c r="W32" s="4464">
        <f t="shared" si="9"/>
        <v>-638260</v>
      </c>
    </row>
    <row r="33" spans="1:23" s="380" customFormat="1" ht="34.799999999999997">
      <c r="A33" s="4535" t="s">
        <v>745</v>
      </c>
      <c r="B33" s="4481" t="s">
        <v>212</v>
      </c>
      <c r="C33" s="2904">
        <f t="shared" si="25"/>
        <v>0</v>
      </c>
      <c r="D33" s="2904">
        <f>'[2]Phụ lục số 2'!AA33</f>
        <v>0</v>
      </c>
      <c r="E33" s="2904">
        <f>'[2]Phụ lục số 2'!AB33</f>
        <v>0</v>
      </c>
      <c r="F33" s="2261">
        <f>SUM(I33:J33)</f>
        <v>0</v>
      </c>
      <c r="G33" s="2281"/>
      <c r="H33" s="4526"/>
      <c r="I33" s="2281"/>
      <c r="J33" s="2281"/>
      <c r="K33" s="2281">
        <f>'[38]Thu NSNN'!N55</f>
        <v>563000</v>
      </c>
      <c r="L33" s="2281"/>
      <c r="M33" s="4526"/>
      <c r="N33" s="2281">
        <f>D33-I33</f>
        <v>0</v>
      </c>
      <c r="O33" s="2281">
        <v>0</v>
      </c>
      <c r="P33" s="2281">
        <f>K33+F33</f>
        <v>563000</v>
      </c>
      <c r="Q33" s="2281">
        <f t="shared" si="6"/>
        <v>4.3215802369965095</v>
      </c>
      <c r="R33" s="4526" t="e">
        <f t="shared" si="7"/>
        <v>#DIV/0!</v>
      </c>
      <c r="S33" s="2281">
        <f t="shared" si="28"/>
        <v>0</v>
      </c>
      <c r="T33" s="2281">
        <f t="shared" si="28"/>
        <v>0</v>
      </c>
      <c r="U33" s="2281">
        <f t="shared" si="8"/>
        <v>563000</v>
      </c>
      <c r="V33" s="2281">
        <f t="shared" si="9"/>
        <v>0</v>
      </c>
      <c r="W33" s="4361">
        <f t="shared" si="9"/>
        <v>0</v>
      </c>
    </row>
    <row r="34" spans="1:23" s="380" customFormat="1" ht="17.399999999999999">
      <c r="A34" s="4535" t="s">
        <v>1716</v>
      </c>
      <c r="B34" s="4481" t="s">
        <v>213</v>
      </c>
      <c r="C34" s="2904">
        <f t="shared" si="25"/>
        <v>3000</v>
      </c>
      <c r="D34" s="2904">
        <f>'[2]Phụ lục số 2'!AA34</f>
        <v>3000</v>
      </c>
      <c r="E34" s="2904">
        <f>'[2]Phụ lục số 2'!AB34</f>
        <v>0</v>
      </c>
      <c r="F34" s="2261">
        <f>SUM(I34:J34)</f>
        <v>1500</v>
      </c>
      <c r="G34" s="2281"/>
      <c r="H34" s="4526"/>
      <c r="I34" s="2281">
        <v>1500</v>
      </c>
      <c r="J34" s="2281"/>
      <c r="K34" s="2281">
        <f>N34+O34</f>
        <v>1500</v>
      </c>
      <c r="L34" s="2281"/>
      <c r="M34" s="4526"/>
      <c r="N34" s="2281">
        <f>D34-I34</f>
        <v>1500</v>
      </c>
      <c r="O34" s="2281">
        <v>0</v>
      </c>
      <c r="P34" s="2281">
        <f>K34+F34</f>
        <v>3000</v>
      </c>
      <c r="Q34" s="2281">
        <f t="shared" si="6"/>
        <v>2.3027958634084422E-2</v>
      </c>
      <c r="R34" s="4526">
        <f t="shared" si="7"/>
        <v>100</v>
      </c>
      <c r="S34" s="2281">
        <f t="shared" si="28"/>
        <v>3000</v>
      </c>
      <c r="T34" s="2281">
        <f t="shared" si="28"/>
        <v>0</v>
      </c>
      <c r="U34" s="2281">
        <f t="shared" si="8"/>
        <v>0</v>
      </c>
      <c r="V34" s="2281">
        <f t="shared" si="9"/>
        <v>0</v>
      </c>
      <c r="W34" s="4361">
        <f t="shared" si="9"/>
        <v>0</v>
      </c>
    </row>
    <row r="35" spans="1:23" s="380" customFormat="1" ht="34.799999999999997">
      <c r="A35" s="4530" t="s">
        <v>37</v>
      </c>
      <c r="B35" s="4531" t="s">
        <v>177</v>
      </c>
      <c r="C35" s="2904">
        <f>SUM(C36:C38)</f>
        <v>1988976</v>
      </c>
      <c r="D35" s="2904">
        <f t="shared" ref="D35:E35" si="31">SUM(D36:D38)</f>
        <v>1988976</v>
      </c>
      <c r="E35" s="2904">
        <f t="shared" si="31"/>
        <v>0</v>
      </c>
      <c r="F35" s="2261">
        <f>SUM(I35:J35)</f>
        <v>994488</v>
      </c>
      <c r="G35" s="2261"/>
      <c r="H35" s="4533"/>
      <c r="I35" s="2261">
        <f>SUM(I36:I38)</f>
        <v>994488</v>
      </c>
      <c r="J35" s="2261">
        <f t="shared" ref="J35" si="32">SUM(J36:J38)</f>
        <v>0</v>
      </c>
      <c r="K35" s="2261">
        <f>SUM(N35:O35)</f>
        <v>994488</v>
      </c>
      <c r="L35" s="2261"/>
      <c r="M35" s="4533"/>
      <c r="N35" s="2261">
        <f>SUM(N36:N38)</f>
        <v>994488</v>
      </c>
      <c r="O35" s="2261">
        <f t="shared" ref="O35" si="33">SUM(O36:O38)</f>
        <v>0</v>
      </c>
      <c r="P35" s="2261">
        <f>K35+F35</f>
        <v>1988976</v>
      </c>
      <c r="Q35" s="2261">
        <f t="shared" si="6"/>
        <v>15.267352350728899</v>
      </c>
      <c r="R35" s="4533">
        <f t="shared" si="7"/>
        <v>100</v>
      </c>
      <c r="S35" s="2261">
        <f t="shared" si="28"/>
        <v>1988976</v>
      </c>
      <c r="T35" s="2261">
        <f t="shared" si="28"/>
        <v>0</v>
      </c>
      <c r="U35" s="2261">
        <f>P35-C35</f>
        <v>0</v>
      </c>
      <c r="V35" s="2261">
        <f t="shared" si="9"/>
        <v>0</v>
      </c>
      <c r="W35" s="4464">
        <f t="shared" si="9"/>
        <v>0</v>
      </c>
    </row>
    <row r="36" spans="1:23" s="2812" customFormat="1" ht="36">
      <c r="A36" s="4536">
        <v>1</v>
      </c>
      <c r="B36" s="4537" t="s">
        <v>178</v>
      </c>
      <c r="C36" s="4436">
        <f>SUM(D36:E36)</f>
        <v>1814491</v>
      </c>
      <c r="D36" s="4436">
        <f>'[2]Phụ lục số 2'!AA36</f>
        <v>1814491</v>
      </c>
      <c r="E36" s="4436"/>
      <c r="F36" s="4436">
        <f>SUM(I36:J36)</f>
        <v>907245.5</v>
      </c>
      <c r="G36" s="4436"/>
      <c r="H36" s="4436"/>
      <c r="I36" s="4436">
        <f>D36*50%</f>
        <v>907245.5</v>
      </c>
      <c r="J36" s="4436"/>
      <c r="K36" s="4436"/>
      <c r="L36" s="4436"/>
      <c r="M36" s="4436"/>
      <c r="N36" s="4436">
        <f>D36-I36</f>
        <v>907245.5</v>
      </c>
      <c r="O36" s="4436"/>
      <c r="P36" s="4436"/>
      <c r="Q36" s="4436"/>
      <c r="R36" s="4436"/>
      <c r="S36" s="4436">
        <f t="shared" si="28"/>
        <v>1814491</v>
      </c>
      <c r="T36" s="4436"/>
      <c r="U36" s="4436"/>
      <c r="V36" s="4436">
        <f t="shared" si="9"/>
        <v>0</v>
      </c>
      <c r="W36" s="4538"/>
    </row>
    <row r="37" spans="1:23" s="2812" customFormat="1" ht="36">
      <c r="A37" s="4536">
        <v>2</v>
      </c>
      <c r="B37" s="4537" t="s">
        <v>179</v>
      </c>
      <c r="C37" s="4436">
        <f t="shared" ref="C37:C39" si="34">SUM(D37:E37)</f>
        <v>174485</v>
      </c>
      <c r="D37" s="4436">
        <f>'[2]Phụ lục số 2'!AA37</f>
        <v>174485</v>
      </c>
      <c r="E37" s="4436"/>
      <c r="F37" s="4436">
        <f t="shared" ref="F37:F38" si="35">SUM(I37:J37)</f>
        <v>87242.5</v>
      </c>
      <c r="G37" s="4436"/>
      <c r="H37" s="4436"/>
      <c r="I37" s="4436">
        <f>D37*50%</f>
        <v>87242.5</v>
      </c>
      <c r="J37" s="4436"/>
      <c r="K37" s="4436"/>
      <c r="L37" s="4436"/>
      <c r="M37" s="4436"/>
      <c r="N37" s="4436">
        <f t="shared" ref="N37:N38" si="36">D37-I37</f>
        <v>87242.5</v>
      </c>
      <c r="O37" s="4436"/>
      <c r="P37" s="4436"/>
      <c r="Q37" s="4436"/>
      <c r="R37" s="4436"/>
      <c r="S37" s="4436"/>
      <c r="T37" s="4436"/>
      <c r="U37" s="4436"/>
      <c r="V37" s="4436"/>
      <c r="W37" s="4538"/>
    </row>
    <row r="38" spans="1:23" s="2812" customFormat="1" ht="36">
      <c r="A38" s="4536">
        <v>3</v>
      </c>
      <c r="B38" s="4537" t="s">
        <v>180</v>
      </c>
      <c r="C38" s="4436">
        <f t="shared" si="34"/>
        <v>0</v>
      </c>
      <c r="D38" s="4436">
        <f>'[2]Phụ lục số 2'!AA38</f>
        <v>0</v>
      </c>
      <c r="E38" s="4436"/>
      <c r="F38" s="4436">
        <f t="shared" si="35"/>
        <v>0</v>
      </c>
      <c r="G38" s="4436"/>
      <c r="H38" s="4436"/>
      <c r="I38" s="4436">
        <f>D38*50%</f>
        <v>0</v>
      </c>
      <c r="J38" s="4436"/>
      <c r="K38" s="4436"/>
      <c r="L38" s="4436"/>
      <c r="M38" s="4436"/>
      <c r="N38" s="4436">
        <f t="shared" si="36"/>
        <v>0</v>
      </c>
      <c r="O38" s="4436"/>
      <c r="P38" s="4436"/>
      <c r="Q38" s="4436"/>
      <c r="R38" s="4436"/>
      <c r="S38" s="4436"/>
      <c r="T38" s="4436"/>
      <c r="U38" s="4436"/>
      <c r="V38" s="4436"/>
      <c r="W38" s="4538"/>
    </row>
    <row r="39" spans="1:23" s="380" customFormat="1" ht="35.4" thickBot="1">
      <c r="A39" s="4539" t="s">
        <v>44</v>
      </c>
      <c r="B39" s="4540" t="s">
        <v>181</v>
      </c>
      <c r="C39" s="4541">
        <f t="shared" si="34"/>
        <v>0</v>
      </c>
      <c r="D39" s="4541">
        <f>'[2]Phụ lục số 2'!AA39</f>
        <v>0</v>
      </c>
      <c r="E39" s="4541"/>
      <c r="F39" s="2693"/>
      <c r="G39" s="2693"/>
      <c r="H39" s="2693"/>
      <c r="I39" s="2693"/>
      <c r="J39" s="2693"/>
      <c r="K39" s="2693"/>
      <c r="L39" s="2693"/>
      <c r="M39" s="2693"/>
      <c r="N39" s="2693"/>
      <c r="O39" s="2693"/>
      <c r="P39" s="2693"/>
      <c r="Q39" s="2693"/>
      <c r="R39" s="2693"/>
      <c r="S39" s="2693"/>
      <c r="T39" s="2693"/>
      <c r="U39" s="2693"/>
      <c r="V39" s="2693"/>
      <c r="W39" s="4542"/>
    </row>
    <row r="40" spans="1:23" ht="18.600000000000001" thickTop="1"/>
  </sheetData>
  <mergeCells count="7">
    <mergeCell ref="U4:W4"/>
    <mergeCell ref="A4:A5"/>
    <mergeCell ref="B4:B5"/>
    <mergeCell ref="C4:E4"/>
    <mergeCell ref="F4:J4"/>
    <mergeCell ref="K4:O4"/>
    <mergeCell ref="P4:T4"/>
  </mergeCells>
  <hyperlinks>
    <hyperlink ref="A6" location="'List danh mục'!A1" display="'List danh mục'!A1"/>
    <hyperlink ref="A4:A5" location="'Danh mục file'!A1" display="Số TT"/>
  </hyperlink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7.5546875"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c r="A1" s="6109" t="s">
        <v>2859</v>
      </c>
      <c r="B1" s="6109"/>
      <c r="C1" s="6109"/>
      <c r="D1" s="6109"/>
      <c r="E1" s="6109"/>
    </row>
    <row r="2" spans="1:7">
      <c r="A2" s="6510" t="str">
        <f>'[2]Phụ lục số 2'!A2:O2</f>
        <v>(Kèm theo Báo cáo số         /BC-UBND ngày      tháng 10 năm 2023 của Ủy ban nhân dân tỉnh Đồng Tháp)</v>
      </c>
      <c r="B2" s="6497"/>
      <c r="C2" s="6497"/>
      <c r="D2" s="6497"/>
      <c r="E2" s="6497"/>
    </row>
    <row r="3" spans="1:7" ht="18.600000000000001" thickBot="1">
      <c r="A3" s="641"/>
      <c r="B3" s="641"/>
      <c r="C3" s="641"/>
      <c r="D3" s="641"/>
      <c r="E3" s="2565" t="s">
        <v>638</v>
      </c>
    </row>
    <row r="4" spans="1:7" s="641" customFormat="1" thickTop="1">
      <c r="A4" s="4258" t="s">
        <v>0</v>
      </c>
      <c r="B4" s="3051" t="s">
        <v>201</v>
      </c>
      <c r="C4" s="3051" t="s">
        <v>220</v>
      </c>
      <c r="D4" s="3051" t="s">
        <v>1839</v>
      </c>
      <c r="E4" s="4543" t="s">
        <v>1840</v>
      </c>
    </row>
    <row r="5" spans="1:7" s="2576" customFormat="1">
      <c r="A5" s="586" t="s">
        <v>1</v>
      </c>
      <c r="B5" s="4544" t="s">
        <v>2850</v>
      </c>
      <c r="C5" s="4545">
        <f>SUM(C6,C14)</f>
        <v>24259328.488000002</v>
      </c>
      <c r="D5" s="4545">
        <f>SUM(D6,D14)</f>
        <v>15052469.220000001</v>
      </c>
      <c r="E5" s="4546">
        <f>SUM(E6,E14)</f>
        <v>9206859.2680000011</v>
      </c>
      <c r="G5" s="2577">
        <f>C5-C22</f>
        <v>1609423.3363190442</v>
      </c>
    </row>
    <row r="6" spans="1:7" s="2576" customFormat="1">
      <c r="A6" s="586" t="s">
        <v>3</v>
      </c>
      <c r="B6" s="4544" t="s">
        <v>2851</v>
      </c>
      <c r="C6" s="4545">
        <f>SUM(C7,C11,C12,C13)</f>
        <v>12305622.574000001</v>
      </c>
      <c r="D6" s="4545">
        <f>SUM(D7,D11,D12,D13)</f>
        <v>7590930.9000000004</v>
      </c>
      <c r="E6" s="4546">
        <f>SUM(E7,E11,E12,E13)</f>
        <v>4714691.6740000006</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8164881.1740000006</v>
      </c>
      <c r="D11" s="4549">
        <f>'[2]PL1-Thu6T'!L53</f>
        <v>5623219.5</v>
      </c>
      <c r="E11" s="4554">
        <f>'[2]TỔNG CỘNG'!G39/1000000</f>
        <v>2541661.6740000001</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11953705.914000001</v>
      </c>
      <c r="D14" s="4545">
        <f>SUM(D15,D19,D20,D21)</f>
        <v>7461538.3200000003</v>
      </c>
      <c r="E14" s="4546">
        <f>SUM(E15,E19,E20,E21)</f>
        <v>4492167.5940000005</v>
      </c>
    </row>
    <row r="15" spans="1:7" s="2576" customFormat="1">
      <c r="A15" s="4547">
        <v>1</v>
      </c>
      <c r="B15" s="4548" t="str">
        <f t="shared" ref="B15:B21" si="0">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0"/>
        <v>Trong đó:</v>
      </c>
      <c r="C16" s="4549"/>
      <c r="D16" s="4549"/>
      <c r="E16" s="4550"/>
    </row>
    <row r="17" spans="1:5" s="873" customFormat="1">
      <c r="A17" s="4552" t="s">
        <v>99</v>
      </c>
      <c r="B17" s="4551" t="str">
        <f t="shared" si="0"/>
        <v>Thu tiền sử dụng đất</v>
      </c>
      <c r="C17" s="724">
        <f>SUM(D17:E17)</f>
        <v>623794</v>
      </c>
      <c r="D17" s="724">
        <f>'[2]Phụ lục số 1'!R40</f>
        <v>70000</v>
      </c>
      <c r="E17" s="4553">
        <f>'[2]Phụ lục số 1'!S40</f>
        <v>553794</v>
      </c>
    </row>
    <row r="18" spans="1:5" s="873" customFormat="1">
      <c r="A18" s="4552" t="s">
        <v>101</v>
      </c>
      <c r="B18" s="4551" t="str">
        <f t="shared" si="0"/>
        <v>Thu xổ số kiến thiết</v>
      </c>
      <c r="C18" s="724">
        <f>SUM(D18:E18)</f>
        <v>960524</v>
      </c>
      <c r="D18" s="724">
        <f>'[2]Phụ lục số 1'!R48</f>
        <v>960524</v>
      </c>
      <c r="E18" s="4553">
        <f>'[2]Phụ lục số 1'!S48</f>
        <v>0</v>
      </c>
    </row>
    <row r="19" spans="1:5">
      <c r="A19" s="4547">
        <v>2</v>
      </c>
      <c r="B19" s="4548" t="str">
        <f t="shared" si="0"/>
        <v>Thu bổ sung từ ngân sách cấp trên</v>
      </c>
      <c r="C19" s="4549">
        <f>SUM(D19:E19)</f>
        <v>7861524.6740000006</v>
      </c>
      <c r="D19" s="4549">
        <f>'[2]Phụ lục số 1'!R52</f>
        <v>5319863</v>
      </c>
      <c r="E19" s="4554">
        <f>'[2]TỔNG CỘNG'!H39/1000000</f>
        <v>2541661.6740000001</v>
      </c>
    </row>
    <row r="20" spans="1:5">
      <c r="A20" s="4547">
        <v>3</v>
      </c>
      <c r="B20" s="4548" t="str">
        <f t="shared" si="0"/>
        <v>Thu chuyển nguồn làm lương năm trước chuyển sang</v>
      </c>
      <c r="C20" s="4549">
        <f>SUM(D20:E20)</f>
        <v>341300</v>
      </c>
      <c r="D20" s="4549"/>
      <c r="E20" s="4550">
        <f>'[2]Phụ lục số 1'!S59</f>
        <v>341300</v>
      </c>
    </row>
    <row r="21" spans="1:5">
      <c r="A21" s="4547">
        <v>4</v>
      </c>
      <c r="B21" s="4548" t="str">
        <f t="shared" si="0"/>
        <v>Thu vay từ nguồn Chính phủ vay về cho vay lại</v>
      </c>
      <c r="C21" s="4549">
        <f>SUM(D21:E21)</f>
        <v>0</v>
      </c>
      <c r="D21" s="4549">
        <f>'[2]PL1-Thu6T'!L61</f>
        <v>0</v>
      </c>
      <c r="E21" s="4550">
        <f>'[2]Phụ lục số 1'!S60</f>
        <v>0</v>
      </c>
    </row>
    <row r="22" spans="1:5">
      <c r="A22" s="586" t="s">
        <v>37</v>
      </c>
      <c r="B22" s="4544" t="s">
        <v>2853</v>
      </c>
      <c r="C22" s="4545">
        <f>SUM(C23,C45)</f>
        <v>22649905.151680958</v>
      </c>
      <c r="D22" s="4545">
        <f t="shared" ref="D22:E22" si="1">SUM(D23,D45)</f>
        <v>13508410.348000001</v>
      </c>
      <c r="E22" s="4546">
        <f t="shared" si="1"/>
        <v>9141494.8036809564</v>
      </c>
    </row>
    <row r="23" spans="1:5" s="2576" customFormat="1">
      <c r="A23" s="586" t="s">
        <v>3</v>
      </c>
      <c r="B23" s="4544" t="s">
        <v>2854</v>
      </c>
      <c r="C23" s="4545">
        <f>SUM(C24,C31,C32,C33,C34,C35,C36,C37,C38,C42,C43)</f>
        <v>11490161.878484938</v>
      </c>
      <c r="D23" s="4545">
        <f>SUM(D24,D31,D32,D33,D34,D35,D36,D37,D38,D42,D43)</f>
        <v>6855262.6740000006</v>
      </c>
      <c r="E23" s="4546">
        <f t="shared" ref="E23" si="2">SUM(E24,E31,E32,E33,E34,E35,E36,E37,E38,E42,E43)</f>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 si="3">D26+E26</f>
        <v>885000</v>
      </c>
      <c r="D26" s="723">
        <f>'[2]PL2-Chi6T'!I11</f>
        <v>313500</v>
      </c>
      <c r="E26" s="4471">
        <f>'[2]PL2-Chi6T'!J11</f>
        <v>571500</v>
      </c>
    </row>
    <row r="27" spans="1:5" s="2576" customFormat="1">
      <c r="A27" s="2822" t="s">
        <v>147</v>
      </c>
      <c r="B27" s="704" t="str">
        <f>'[2]PL2-Chi6T'!B12</f>
        <v>Chi đầu tư từ nguồn thu xổ số kiến thiết</v>
      </c>
      <c r="C27" s="723">
        <f>D27+E27</f>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ref="C28:C30" si="4">D28+E28</f>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4"/>
        <v>60000</v>
      </c>
      <c r="D29" s="723">
        <f>'[2]PL2-Chi6T'!I14</f>
        <v>60000</v>
      </c>
      <c r="E29" s="4471">
        <f>'[2]PL2-Chi6T'!J14</f>
        <v>0</v>
      </c>
    </row>
    <row r="30" spans="1:5" s="873" customFormat="1">
      <c r="A30" s="2822" t="s">
        <v>148</v>
      </c>
      <c r="B30" s="704"/>
      <c r="C30" s="723">
        <f t="shared" si="4"/>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5">SUM(D32:E32)</f>
        <v>2000</v>
      </c>
      <c r="D32" s="719">
        <f>'[2]PL2-Chi6T'!I29</f>
        <v>2000</v>
      </c>
      <c r="E32" s="4460">
        <f>'[2]PL2-Chi6T'!J29</f>
        <v>0</v>
      </c>
    </row>
    <row r="33" spans="1:5" s="588" customFormat="1" ht="17.399999999999999">
      <c r="A33" s="4555">
        <v>4</v>
      </c>
      <c r="B33" s="701" t="str">
        <f>'[2]PL2-Chi6T'!B30</f>
        <v>Dự phòng ngân sách</v>
      </c>
      <c r="C33" s="719">
        <f t="shared" si="5"/>
        <v>126802</v>
      </c>
      <c r="D33" s="719">
        <f>'[2]PL2-Chi6T'!I30</f>
        <v>39000</v>
      </c>
      <c r="E33" s="4460">
        <f>'[2]PL2-Chi6T'!J30</f>
        <v>87802</v>
      </c>
    </row>
    <row r="34" spans="1:5" s="588" customFormat="1" ht="17.399999999999999">
      <c r="A34" s="4555">
        <v>5</v>
      </c>
      <c r="B34" s="701" t="str">
        <f>'[2]PL2-Chi6T'!B31</f>
        <v>Chi điều chỉnh tiền lương cơ sở</v>
      </c>
      <c r="C34" s="719">
        <f t="shared" si="5"/>
        <v>0</v>
      </c>
      <c r="D34" s="719">
        <f>'[2]PL2-Chi6T'!I31</f>
        <v>0</v>
      </c>
      <c r="E34" s="4460">
        <f>'[2]PL2-Chi6T'!J31</f>
        <v>0</v>
      </c>
    </row>
    <row r="35" spans="1:5" s="588" customFormat="1" ht="17.399999999999999">
      <c r="A35" s="4555">
        <v>6</v>
      </c>
      <c r="B35" s="701" t="str">
        <f>'[2]PL2-Chi6T'!B32</f>
        <v>Chi chuyển nguồn cải cách tiền lương sang kỳ sau thực hiện</v>
      </c>
      <c r="C35" s="719">
        <f t="shared" si="5"/>
        <v>0</v>
      </c>
      <c r="D35" s="719">
        <f>'[2]PL2-Chi6T'!I32</f>
        <v>0</v>
      </c>
      <c r="E35" s="4460">
        <f>'[2]PL2-Chi6T'!J32</f>
        <v>0</v>
      </c>
    </row>
    <row r="36" spans="1:5" s="588" customFormat="1" ht="17.399999999999999">
      <c r="A36" s="4555">
        <v>7</v>
      </c>
      <c r="B36" s="701" t="str">
        <f>'[2]PL2-Chi6T'!B33</f>
        <v>Chi từ nguồn dự kiến tăng thu (sau khi dành CCTL theo quy định)</v>
      </c>
      <c r="C36" s="719">
        <f t="shared" si="5"/>
        <v>0</v>
      </c>
      <c r="D36" s="719">
        <f>'[2]PL2-Chi6T'!I33</f>
        <v>0</v>
      </c>
      <c r="E36" s="4460">
        <f>'[2]PL2-Chi6T'!J33</f>
        <v>0</v>
      </c>
    </row>
    <row r="37" spans="1:5" s="588" customFormat="1" ht="17.399999999999999">
      <c r="A37" s="4555">
        <v>8</v>
      </c>
      <c r="B37" s="701" t="str">
        <f>'[2]PL2-Chi6T'!B34</f>
        <v>Chi trả lãi tiền vay</v>
      </c>
      <c r="C37" s="719">
        <f t="shared" si="5"/>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SUM(D39:D41)</f>
        <v>994488</v>
      </c>
      <c r="E38" s="4460">
        <f t="shared" ref="E38" si="6">SUM(E39:E41)</f>
        <v>0</v>
      </c>
    </row>
    <row r="39" spans="1:5" s="873" customFormat="1">
      <c r="A39" s="4552" t="s">
        <v>99</v>
      </c>
      <c r="B39" s="4551" t="str">
        <f>'[2]PL2-Chi6T'!B36</f>
        <v>Chi thực hiện mục tiêu, nhiệm vụ quan trọng (vốn đầu tư phát triển)</v>
      </c>
      <c r="C39" s="724">
        <f>SUM(D39:E39)</f>
        <v>907245.5</v>
      </c>
      <c r="D39" s="724">
        <f>'[2]PL2-Chi6T'!I36</f>
        <v>907245.5</v>
      </c>
      <c r="E39" s="4553">
        <f>'[2]PL2-Chi6T'!J36</f>
        <v>0</v>
      </c>
    </row>
    <row r="40" spans="1:5" s="873" customFormat="1">
      <c r="A40" s="4552" t="s">
        <v>101</v>
      </c>
      <c r="B40" s="4551" t="str">
        <f>'[2]PL2-Chi6T'!B37</f>
        <v>Chi thực hiện mục tiêu, nhiệm vụ quan trọng (kinh phí sự nghiệp)</v>
      </c>
      <c r="C40" s="724">
        <f t="shared" ref="C40:C41" si="7">SUM(D40:E40)</f>
        <v>87242.5</v>
      </c>
      <c r="D40" s="724">
        <f>'[2]PL2-Chi6T'!I37</f>
        <v>87242.5</v>
      </c>
      <c r="E40" s="4553">
        <f>'[2]PL2-Chi6T'!J37</f>
        <v>0</v>
      </c>
    </row>
    <row r="41" spans="1:5" s="873" customFormat="1">
      <c r="A41" s="4552" t="s">
        <v>147</v>
      </c>
      <c r="B41" s="4551" t="str">
        <f>'[2]PL2-Chi6T'!B38</f>
        <v>Chi bổ sung có mục tiêu nhiệm vụ quan trọng khác (nếu có)</v>
      </c>
      <c r="C41" s="724">
        <f t="shared" si="7"/>
        <v>0</v>
      </c>
      <c r="D41" s="724">
        <f>'[2]PL2-Chi6T'!I38</f>
        <v>0</v>
      </c>
      <c r="E41" s="4553">
        <f>'[2]PL2-Chi6T'!J38</f>
        <v>0</v>
      </c>
    </row>
    <row r="42" spans="1:5" s="588" customFormat="1" ht="17.399999999999999">
      <c r="A42" s="4555">
        <v>10</v>
      </c>
      <c r="B42" s="701" t="str">
        <f>'[2]PL2-Chi6T'!B39</f>
        <v>Chi đầu tư từ nguồn vốn Chính phủ vay về cho vay lại</v>
      </c>
      <c r="C42" s="719">
        <f>SUM(D42:E42)</f>
        <v>0</v>
      </c>
      <c r="D42" s="719">
        <f>'[2]PL2-Chi6T'!I39</f>
        <v>0</v>
      </c>
      <c r="E42" s="4460">
        <f>'[2]PL2-Chi6T'!J39</f>
        <v>0</v>
      </c>
    </row>
    <row r="43" spans="1:5" s="386" customFormat="1" ht="17.399999999999999">
      <c r="A43" s="4555">
        <v>11</v>
      </c>
      <c r="B43" s="4556" t="s">
        <v>2855</v>
      </c>
      <c r="C43" s="719">
        <f>SUM(D43:E43)</f>
        <v>2541661.6740000001</v>
      </c>
      <c r="D43" s="719">
        <f>E11</f>
        <v>2541661.6740000001</v>
      </c>
      <c r="E43" s="4460">
        <v>0</v>
      </c>
    </row>
    <row r="44" spans="1:5">
      <c r="A44" s="586"/>
      <c r="B44" s="587" t="s">
        <v>2856</v>
      </c>
      <c r="C44" s="4545">
        <f>D44+E44</f>
        <v>815460.69551506266</v>
      </c>
      <c r="D44" s="4545">
        <f>D6-D23</f>
        <v>735668.22599999979</v>
      </c>
      <c r="E44" s="4546">
        <f>E6-E23</f>
        <v>79792.469515062869</v>
      </c>
    </row>
    <row r="45" spans="1:5">
      <c r="A45" s="586" t="s">
        <v>33</v>
      </c>
      <c r="B45" s="4544" t="s">
        <v>2857</v>
      </c>
      <c r="C45" s="4545">
        <f>SUM(C46,C53,C54,C55,C56,C57,C58,C59,C60,C64,C65)</f>
        <v>11159743.273196019</v>
      </c>
      <c r="D45" s="4545">
        <f t="shared" ref="D45:E45" si="8">SUM(D46,D53,D54,D55,D56,D57,D58,D59,D60,D64,D65)</f>
        <v>6653147.6740000006</v>
      </c>
      <c r="E45" s="4546">
        <f t="shared" si="8"/>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9">A25</f>
        <v>a</v>
      </c>
      <c r="B47" s="704" t="str">
        <f>B25</f>
        <v>Chi đầu tư xây dựng cơ bản</v>
      </c>
      <c r="C47" s="723">
        <f>SUM(D47:E47)</f>
        <v>571593.20448493806</v>
      </c>
      <c r="D47" s="723">
        <f>'[2]PL2-Chi6T'!N10</f>
        <v>281093</v>
      </c>
      <c r="E47" s="4471">
        <f>'[2]PL2-Chi6T'!O10</f>
        <v>290500.20448493806</v>
      </c>
    </row>
    <row r="48" spans="1:5">
      <c r="A48" s="4547" t="str">
        <f t="shared" si="9"/>
        <v>b</v>
      </c>
      <c r="B48" s="704" t="str">
        <f t="shared" si="9"/>
        <v>Chi đầu tư từ nguồn thu tiền sử dụng đất</v>
      </c>
      <c r="C48" s="723">
        <f t="shared" ref="C48:C51" si="10">SUM(D48:E48)</f>
        <v>591289</v>
      </c>
      <c r="D48" s="723">
        <f>'[2]PL2-Chi6T'!N11</f>
        <v>89000</v>
      </c>
      <c r="E48" s="4471">
        <f>'[2]PL2-Chi6T'!O11</f>
        <v>502289</v>
      </c>
    </row>
    <row r="49" spans="1:5">
      <c r="A49" s="4547" t="str">
        <f t="shared" si="9"/>
        <v>c</v>
      </c>
      <c r="B49" s="704" t="str">
        <f t="shared" si="9"/>
        <v>Chi đầu tư từ nguồn thu xổ số kiến thiết</v>
      </c>
      <c r="C49" s="723">
        <f t="shared" si="10"/>
        <v>1099485</v>
      </c>
      <c r="D49" s="723">
        <f>'[2]PL2-Chi6T'!N12</f>
        <v>1099485</v>
      </c>
      <c r="E49" s="4471">
        <f>'[2]PL2-Chi6T'!O12</f>
        <v>0</v>
      </c>
    </row>
    <row r="50" spans="1:5">
      <c r="A50" s="4547" t="str">
        <f t="shared" si="9"/>
        <v>d</v>
      </c>
      <c r="B50" s="704" t="str">
        <f t="shared" si="9"/>
        <v>Chi đầu tư từ nguồn thu thoái vốn doanh nghiệp nhà nước địa phương quản lý;…</v>
      </c>
      <c r="C50" s="723">
        <f t="shared" si="10"/>
        <v>0</v>
      </c>
      <c r="D50" s="723">
        <f>'[2]PL2-Chi6T'!N13</f>
        <v>0</v>
      </c>
      <c r="E50" s="4471">
        <f>'[2]PL2-Chi6T'!O13</f>
        <v>0</v>
      </c>
    </row>
    <row r="51" spans="1:5">
      <c r="A51" s="4547" t="str">
        <f t="shared" si="9"/>
        <v>e</v>
      </c>
      <c r="B51" s="704" t="str">
        <f t="shared" si="9"/>
        <v>Chi đầu tư phát triển khác (Ủy thác qua NH Chính sách chi nhánh tỉnh Đồng Tháp)</v>
      </c>
      <c r="C51" s="723">
        <f t="shared" si="10"/>
        <v>0</v>
      </c>
      <c r="D51" s="723">
        <f>'[2]PL2-Chi6T'!N14</f>
        <v>0</v>
      </c>
      <c r="E51" s="4471">
        <f>'[2]PL2-Chi6T'!O14</f>
        <v>0</v>
      </c>
    </row>
    <row r="52" spans="1:5">
      <c r="A52" s="4547" t="str">
        <f t="shared" si="9"/>
        <v>d</v>
      </c>
      <c r="B52" s="704"/>
      <c r="C52" s="723">
        <f t="shared" ref="C52" si="11">D52+E52</f>
        <v>0</v>
      </c>
      <c r="D52" s="723">
        <f>'[2]Phụ lục số 2'!N13</f>
        <v>0</v>
      </c>
      <c r="E52" s="4471"/>
    </row>
    <row r="53" spans="1:5" s="386" customFormat="1" ht="17.399999999999999">
      <c r="A53" s="4555">
        <f t="shared" si="9"/>
        <v>2</v>
      </c>
      <c r="B53" s="4556" t="str">
        <f>B31</f>
        <v>Chi thường xuyên</v>
      </c>
      <c r="C53" s="719">
        <f t="shared" ref="C53:C59" si="12">SUM(D53:E53)</f>
        <v>5361226.3947110809</v>
      </c>
      <c r="D53" s="719">
        <f>'[2]PL2-Chi6T'!N15</f>
        <v>1647420</v>
      </c>
      <c r="E53" s="4460">
        <f>'[2]PL2-Chi6T'!O15</f>
        <v>3713806.3947110809</v>
      </c>
    </row>
    <row r="54" spans="1:5" s="386" customFormat="1" ht="17.399999999999999">
      <c r="A54" s="4555">
        <f t="shared" si="9"/>
        <v>3</v>
      </c>
      <c r="B54" s="4556" t="str">
        <f t="shared" si="9"/>
        <v xml:space="preserve">Chi bổ sung quỹ dự trữ tài chính </v>
      </c>
      <c r="C54" s="719">
        <f t="shared" si="12"/>
        <v>0</v>
      </c>
      <c r="D54" s="719">
        <f>'[2]PL2-Chi6T'!N29</f>
        <v>0</v>
      </c>
      <c r="E54" s="4460">
        <f>'[2]PL2-Chi6T'!O29</f>
        <v>0</v>
      </c>
    </row>
    <row r="55" spans="1:5" s="386" customFormat="1">
      <c r="A55" s="4555">
        <f t="shared" si="9"/>
        <v>4</v>
      </c>
      <c r="B55" s="4556" t="str">
        <f t="shared" si="9"/>
        <v>Dự phòng ngân sách</v>
      </c>
      <c r="C55" s="719">
        <f t="shared" si="12"/>
        <v>0</v>
      </c>
      <c r="D55" s="4558">
        <f>'[2]PL2-Chi6T'!N30</f>
        <v>0</v>
      </c>
      <c r="E55" s="4559"/>
    </row>
    <row r="56" spans="1:5" s="386" customFormat="1">
      <c r="A56" s="4555">
        <f t="shared" si="9"/>
        <v>5</v>
      </c>
      <c r="B56" s="4556" t="str">
        <f t="shared" si="9"/>
        <v>Chi điều chỉnh tiền lương cơ sở</v>
      </c>
      <c r="C56" s="719">
        <f t="shared" si="12"/>
        <v>0</v>
      </c>
      <c r="D56" s="4558">
        <f>'[2]PL2-Chi6T'!N31</f>
        <v>0</v>
      </c>
      <c r="E56" s="4559">
        <f>'[2]PL2-Chi6T'!O31</f>
        <v>0</v>
      </c>
    </row>
    <row r="57" spans="1:5" s="386" customFormat="1">
      <c r="A57" s="4555">
        <f t="shared" si="9"/>
        <v>6</v>
      </c>
      <c r="B57" s="4556" t="str">
        <f t="shared" si="9"/>
        <v>Chi chuyển nguồn cải cách tiền lương sang kỳ sau thực hiện</v>
      </c>
      <c r="C57" s="719">
        <f t="shared" si="12"/>
        <v>0</v>
      </c>
      <c r="D57" s="4558">
        <f>'[2]PL2-Chi6T'!N32</f>
        <v>0</v>
      </c>
      <c r="E57" s="4469">
        <f>'[2]PL2-Chi6T'!O32</f>
        <v>0</v>
      </c>
    </row>
    <row r="58" spans="1:5" s="386" customFormat="1" ht="17.399999999999999">
      <c r="A58" s="4555">
        <f t="shared" si="9"/>
        <v>7</v>
      </c>
      <c r="B58" s="4556" t="str">
        <f t="shared" si="9"/>
        <v>Chi từ nguồn dự kiến tăng thu (sau khi dành CCTL theo quy định)</v>
      </c>
      <c r="C58" s="719">
        <f t="shared" si="12"/>
        <v>0</v>
      </c>
      <c r="D58" s="4468">
        <f>'[2]PL2-Chi6T'!N33</f>
        <v>0</v>
      </c>
      <c r="E58" s="4469">
        <f>'[2]PL2-Chi6T'!O33</f>
        <v>0</v>
      </c>
    </row>
    <row r="59" spans="1:5" s="386" customFormat="1" ht="17.399999999999999">
      <c r="A59" s="4555">
        <f t="shared" si="9"/>
        <v>8</v>
      </c>
      <c r="B59" s="4556" t="str">
        <f t="shared" si="9"/>
        <v>Chi trả lãi tiền vay</v>
      </c>
      <c r="C59" s="719">
        <f t="shared" si="12"/>
        <v>0</v>
      </c>
      <c r="D59" s="4468"/>
      <c r="E59" s="4469">
        <f>'[2]PL2-Chi6T'!O34</f>
        <v>0</v>
      </c>
    </row>
    <row r="60" spans="1:5" s="386" customFormat="1" ht="17.399999999999999">
      <c r="A60" s="4555">
        <f t="shared" si="9"/>
        <v>9</v>
      </c>
      <c r="B60" s="4556" t="str">
        <f t="shared" si="9"/>
        <v>Chi từ nguồn ngân sách trung ương bổ sung có mục tiêu</v>
      </c>
      <c r="C60" s="719">
        <f>SUM(C61:C63)</f>
        <v>994488</v>
      </c>
      <c r="D60" s="719">
        <f>SUM(D61:D63)</f>
        <v>994488</v>
      </c>
      <c r="E60" s="4460">
        <f t="shared" ref="E60" si="13">SUM(E61:E63)</f>
        <v>0</v>
      </c>
    </row>
    <row r="61" spans="1:5" s="873" customFormat="1">
      <c r="A61" s="4552" t="str">
        <f t="shared" si="9"/>
        <v>a</v>
      </c>
      <c r="B61" s="4551" t="str">
        <f t="shared" si="9"/>
        <v>Chi thực hiện mục tiêu, nhiệm vụ quan trọng (vốn đầu tư phát triển)</v>
      </c>
      <c r="C61" s="724">
        <f>SUM(D61:E61)</f>
        <v>907245.5</v>
      </c>
      <c r="D61" s="724">
        <f>'[2]PL2-Chi6T'!N36</f>
        <v>907245.5</v>
      </c>
      <c r="E61" s="4553">
        <f>'[2]PL2-Chi6T'!O36</f>
        <v>0</v>
      </c>
    </row>
    <row r="62" spans="1:5" s="873" customFormat="1">
      <c r="A62" s="4552" t="str">
        <f t="shared" si="9"/>
        <v>b</v>
      </c>
      <c r="B62" s="4551" t="str">
        <f t="shared" si="9"/>
        <v>Chi thực hiện mục tiêu, nhiệm vụ quan trọng (kinh phí sự nghiệp)</v>
      </c>
      <c r="C62" s="724">
        <f t="shared" ref="C62:C64" si="14">SUM(D62:E62)</f>
        <v>87242.5</v>
      </c>
      <c r="D62" s="724">
        <f>'[2]PL2-Chi6T'!N37</f>
        <v>87242.5</v>
      </c>
      <c r="E62" s="4553">
        <f>'[2]PL2-Chi6T'!O37</f>
        <v>0</v>
      </c>
    </row>
    <row r="63" spans="1:5" s="873" customFormat="1">
      <c r="A63" s="4552" t="str">
        <f t="shared" ref="A63:B65" si="15">A41</f>
        <v>c</v>
      </c>
      <c r="B63" s="4551" t="str">
        <f t="shared" si="15"/>
        <v>Chi bổ sung có mục tiêu nhiệm vụ quan trọng khác (nếu có)</v>
      </c>
      <c r="C63" s="724">
        <f t="shared" si="14"/>
        <v>0</v>
      </c>
      <c r="D63" s="724">
        <f>'[2]PL2-Chi6T'!N38</f>
        <v>0</v>
      </c>
      <c r="E63" s="4553">
        <f>'[2]PL2-Chi6T'!O38</f>
        <v>0</v>
      </c>
    </row>
    <row r="64" spans="1:5" s="386" customFormat="1">
      <c r="A64" s="4555">
        <f t="shared" si="15"/>
        <v>10</v>
      </c>
      <c r="B64" s="4556" t="str">
        <f t="shared" si="15"/>
        <v>Chi đầu tư từ nguồn vốn Chính phủ vay về cho vay lại</v>
      </c>
      <c r="C64" s="724">
        <f t="shared" si="14"/>
        <v>0</v>
      </c>
      <c r="D64" s="719">
        <v>0</v>
      </c>
      <c r="E64" s="4460">
        <v>0</v>
      </c>
    </row>
    <row r="65" spans="1:5" s="386" customFormat="1" ht="17.399999999999999">
      <c r="A65" s="4555">
        <f t="shared" si="15"/>
        <v>11</v>
      </c>
      <c r="B65" s="4556" t="str">
        <f t="shared" si="15"/>
        <v>Chi bổ sung cho ngân sách huyện, thành phố</v>
      </c>
      <c r="C65" s="4560">
        <f>SUM(D65:E65)</f>
        <v>2541661.6740000001</v>
      </c>
      <c r="D65" s="4560">
        <f>E19</f>
        <v>2541661.6740000001</v>
      </c>
      <c r="E65" s="4561"/>
    </row>
    <row r="66" spans="1:5" s="588" customFormat="1" thickBot="1">
      <c r="A66" s="4562"/>
      <c r="B66" s="4563" t="s">
        <v>2858</v>
      </c>
      <c r="C66" s="4564">
        <f>D66+E66</f>
        <v>1609423.3363190442</v>
      </c>
      <c r="D66" s="4564">
        <f>D5-D22</f>
        <v>1544058.8719999995</v>
      </c>
      <c r="E66" s="4565">
        <f>E5-E22</f>
        <v>65364.464319044724</v>
      </c>
    </row>
    <row r="67" spans="1:5" ht="18.600000000000001" thickTop="1"/>
    <row r="72" spans="1:5">
      <c r="C72" s="2805"/>
      <c r="E72" s="2805"/>
    </row>
    <row r="73" spans="1:5">
      <c r="C73" s="2805"/>
      <c r="E73" s="426"/>
    </row>
    <row r="74" spans="1:5">
      <c r="C74" s="2805"/>
      <c r="D74" s="2307"/>
      <c r="E74" s="2805"/>
    </row>
    <row r="75" spans="1:5">
      <c r="C75" s="2805"/>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6"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ht="45.75" customHeight="1">
      <c r="A1" s="6109" t="s">
        <v>2849</v>
      </c>
      <c r="B1" s="6109"/>
      <c r="C1" s="6109"/>
      <c r="D1" s="6109"/>
      <c r="E1" s="6109"/>
    </row>
    <row r="2" spans="1:7">
      <c r="A2" s="6510" t="str">
        <f>'[2]Phụ lục số 2'!A2:O2</f>
        <v>(Kèm theo Báo cáo số         /BC-UBND ngày      tháng 10 năm 2023 của Ủy ban nhân dân tỉnh Đồng Tháp)</v>
      </c>
      <c r="B2" s="6497"/>
      <c r="C2" s="6497"/>
      <c r="D2" s="6497"/>
      <c r="E2" s="6497"/>
    </row>
    <row r="3" spans="1:7" ht="18.600000000000001" thickBot="1">
      <c r="A3" s="641"/>
      <c r="B3" s="641"/>
      <c r="C3" s="641"/>
      <c r="D3" s="641"/>
      <c r="E3" s="2565" t="s">
        <v>638</v>
      </c>
    </row>
    <row r="4" spans="1:7" s="641" customFormat="1" ht="31.8" thickTop="1">
      <c r="A4" s="4258" t="s">
        <v>0</v>
      </c>
      <c r="B4" s="3051" t="s">
        <v>201</v>
      </c>
      <c r="C4" s="3051" t="s">
        <v>220</v>
      </c>
      <c r="D4" s="3051" t="s">
        <v>1839</v>
      </c>
      <c r="E4" s="4543" t="s">
        <v>1840</v>
      </c>
    </row>
    <row r="5" spans="1:7" s="2576" customFormat="1">
      <c r="A5" s="586" t="s">
        <v>1</v>
      </c>
      <c r="B5" s="4544" t="s">
        <v>2850</v>
      </c>
      <c r="C5" s="4545">
        <f>+C6+C14</f>
        <v>19281205.140000001</v>
      </c>
      <c r="D5" s="4545">
        <f>+D6+D14</f>
        <v>15157669.220000001</v>
      </c>
      <c r="E5" s="4546">
        <f>+E6+E14</f>
        <v>4123535.92</v>
      </c>
      <c r="G5" s="2577"/>
    </row>
    <row r="6" spans="1:7" s="2576" customFormat="1">
      <c r="A6" s="586" t="s">
        <v>3</v>
      </c>
      <c r="B6" s="4544" t="s">
        <v>2851</v>
      </c>
      <c r="C6" s="4545">
        <f>SUM(C7,C11,C12,C13)</f>
        <v>9763960.9000000004</v>
      </c>
      <c r="D6" s="4545">
        <f t="shared" ref="D6:E6" si="0">SUM(D7,D11,D12,D13)</f>
        <v>7590930.9000000004</v>
      </c>
      <c r="E6" s="4546">
        <f t="shared" si="0"/>
        <v>2173030</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5623219.5</v>
      </c>
      <c r="D11" s="4549">
        <f>'[2]PL1-Thu6T'!L53</f>
        <v>5623219.5</v>
      </c>
      <c r="E11" s="4554">
        <f>'[2]PL1-Thu6T'!M53</f>
        <v>0</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9517244.2400000002</v>
      </c>
      <c r="D14" s="4545">
        <f t="shared" ref="D14:E14" si="1">SUM(D15,D19,D20,D21)</f>
        <v>7566738.3200000003</v>
      </c>
      <c r="E14" s="4546">
        <f t="shared" si="1"/>
        <v>1950505.9200000002</v>
      </c>
    </row>
    <row r="15" spans="1:7" s="2576" customFormat="1">
      <c r="A15" s="4547">
        <v>1</v>
      </c>
      <c r="B15" s="4548" t="str">
        <f t="shared" ref="B15:B21" si="2">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2"/>
        <v>Trong đó:</v>
      </c>
      <c r="C16" s="4549"/>
      <c r="D16" s="4549"/>
      <c r="E16" s="4550"/>
    </row>
    <row r="17" spans="1:5" s="873" customFormat="1">
      <c r="A17" s="4552" t="s">
        <v>99</v>
      </c>
      <c r="B17" s="4551" t="str">
        <f t="shared" si="2"/>
        <v>Thu tiền sử dụng đất</v>
      </c>
      <c r="C17" s="724">
        <f>SUM(D17:E17)</f>
        <v>623794</v>
      </c>
      <c r="D17" s="724">
        <f>'[2]Phụ lục số 1'!R40</f>
        <v>70000</v>
      </c>
      <c r="E17" s="4553">
        <f>'[2]Phụ lục số 1'!S40</f>
        <v>553794</v>
      </c>
    </row>
    <row r="18" spans="1:5" s="873" customFormat="1">
      <c r="A18" s="4552" t="s">
        <v>101</v>
      </c>
      <c r="B18" s="4551" t="str">
        <f t="shared" si="2"/>
        <v>Thu xổ số kiến thiết</v>
      </c>
      <c r="C18" s="724">
        <f>SUM(D18:E18)</f>
        <v>960524</v>
      </c>
      <c r="D18" s="724">
        <f>'[2]Phụ lục số 1'!R48</f>
        <v>960524</v>
      </c>
      <c r="E18" s="4553">
        <f>'[2]Phụ lục số 1'!S48</f>
        <v>0</v>
      </c>
    </row>
    <row r="19" spans="1:5">
      <c r="A19" s="4547">
        <v>2</v>
      </c>
      <c r="B19" s="4548" t="str">
        <f t="shared" si="2"/>
        <v>Thu bổ sung từ ngân sách cấp trên</v>
      </c>
      <c r="C19" s="4549">
        <f>SUM(D19:E19)</f>
        <v>5319863</v>
      </c>
      <c r="D19" s="4549">
        <f>'[2]Phụ lục số 1'!R52</f>
        <v>5319863</v>
      </c>
      <c r="E19" s="4550"/>
    </row>
    <row r="20" spans="1:5">
      <c r="A20" s="4547">
        <v>3</v>
      </c>
      <c r="B20" s="4548" t="str">
        <f t="shared" si="2"/>
        <v>Thu chuyển nguồn làm lương năm trước chuyển sang</v>
      </c>
      <c r="C20" s="4549">
        <f>SUM(D20:E20)</f>
        <v>431000</v>
      </c>
      <c r="D20" s="4549">
        <f>'[2]Phụ lục số 1'!R59</f>
        <v>89700</v>
      </c>
      <c r="E20" s="4550">
        <f>'[2]Phụ lục số 1'!S59</f>
        <v>341300</v>
      </c>
    </row>
    <row r="21" spans="1:5">
      <c r="A21" s="4547">
        <v>4</v>
      </c>
      <c r="B21" s="4548" t="str">
        <f t="shared" si="2"/>
        <v>Thu vay từ nguồn Chính phủ vay về cho vay lại</v>
      </c>
      <c r="C21" s="4549">
        <f>SUM(D21:E21)</f>
        <v>15500</v>
      </c>
      <c r="D21" s="4549">
        <f>'[2]Phụ lục số 1'!R60</f>
        <v>15500</v>
      </c>
      <c r="E21" s="4550">
        <f>'[2]Phụ lục số 1'!S60</f>
        <v>0</v>
      </c>
    </row>
    <row r="22" spans="1:5">
      <c r="A22" s="586" t="s">
        <v>37</v>
      </c>
      <c r="B22" s="4544" t="s">
        <v>2853</v>
      </c>
      <c r="C22" s="4545">
        <f>SUM(C23,C45)</f>
        <v>17568081.803680956</v>
      </c>
      <c r="D22" s="4545">
        <f t="shared" ref="D22:E22" si="3">SUM(D23,D45)</f>
        <v>8426587</v>
      </c>
      <c r="E22" s="4546">
        <f t="shared" si="3"/>
        <v>9141494.8036809564</v>
      </c>
    </row>
    <row r="23" spans="1:5" s="2576" customFormat="1">
      <c r="A23" s="586" t="s">
        <v>3</v>
      </c>
      <c r="B23" s="4544" t="s">
        <v>2854</v>
      </c>
      <c r="C23" s="4545">
        <f>SUM(C24,C31,C32,C33,C34,C35,C36,C37,C38,C42,C43)</f>
        <v>8948500.2044849377</v>
      </c>
      <c r="D23" s="4545">
        <f t="shared" ref="D23:E23" si="4">SUM(D24,D31,D32,D33,D34,D35,D36,D37,D38,D42,D43)</f>
        <v>4313601</v>
      </c>
      <c r="E23" s="4546">
        <f t="shared" si="4"/>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SUM(D25:E25)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C29" si="5">SUM(D26:E26)</f>
        <v>885000</v>
      </c>
      <c r="D26" s="723">
        <f>'[2]PL2-Chi6T'!I11</f>
        <v>313500</v>
      </c>
      <c r="E26" s="4471">
        <f>'[2]PL2-Chi6T'!J11</f>
        <v>571500</v>
      </c>
    </row>
    <row r="27" spans="1:5" s="2576" customFormat="1">
      <c r="A27" s="2822" t="s">
        <v>147</v>
      </c>
      <c r="B27" s="704" t="str">
        <f>'[2]PL2-Chi6T'!B12</f>
        <v>Chi đầu tư từ nguồn thu xổ số kiến thiết</v>
      </c>
      <c r="C27" s="723">
        <f t="shared" si="5"/>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si="5"/>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5"/>
        <v>60000</v>
      </c>
      <c r="D29" s="723">
        <f>'[2]PL2-Chi6T'!I14</f>
        <v>60000</v>
      </c>
      <c r="E29" s="4471">
        <f>'[2]PL2-Chi6T'!J14</f>
        <v>0</v>
      </c>
    </row>
    <row r="30" spans="1:5" s="873" customFormat="1">
      <c r="A30" s="2822" t="s">
        <v>148</v>
      </c>
      <c r="B30" s="704"/>
      <c r="C30" s="723">
        <f t="shared" ref="C30" si="6">D30+E30</f>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7">SUM(D32:E32)</f>
        <v>2000</v>
      </c>
      <c r="D32" s="719">
        <f>'[2]PL2-Chi6T'!I29</f>
        <v>2000</v>
      </c>
      <c r="E32" s="4460">
        <f>'[2]PL2-Chi6T'!J29</f>
        <v>0</v>
      </c>
    </row>
    <row r="33" spans="1:5" s="588" customFormat="1" ht="17.399999999999999">
      <c r="A33" s="4555">
        <v>4</v>
      </c>
      <c r="B33" s="701" t="str">
        <f>'[2]PL2-Chi6T'!B30</f>
        <v>Dự phòng ngân sách</v>
      </c>
      <c r="C33" s="719">
        <f t="shared" si="7"/>
        <v>126802</v>
      </c>
      <c r="D33" s="719">
        <f>'[2]PL2-Chi6T'!I30</f>
        <v>39000</v>
      </c>
      <c r="E33" s="4460">
        <f>'[2]PL2-Chi6T'!J30</f>
        <v>87802</v>
      </c>
    </row>
    <row r="34" spans="1:5" s="588" customFormat="1">
      <c r="A34" s="4555">
        <v>5</v>
      </c>
      <c r="B34" s="701" t="str">
        <f>'[2]PL2-Chi6T'!B31</f>
        <v>Chi điều chỉnh tiền lương cơ sở</v>
      </c>
      <c r="C34" s="719">
        <f t="shared" si="7"/>
        <v>0</v>
      </c>
      <c r="D34" s="4566">
        <f>'[2]PL2-Chi6T'!I31</f>
        <v>0</v>
      </c>
      <c r="E34" s="4567">
        <f>'[2]PL2-Chi6T'!J31</f>
        <v>0</v>
      </c>
    </row>
    <row r="35" spans="1:5" s="588" customFormat="1">
      <c r="A35" s="4555">
        <v>6</v>
      </c>
      <c r="B35" s="701" t="str">
        <f>'[2]PL2-Chi6T'!B32</f>
        <v>Chi chuyển nguồn cải cách tiền lương sang kỳ sau thực hiện</v>
      </c>
      <c r="C35" s="719">
        <f t="shared" si="7"/>
        <v>0</v>
      </c>
      <c r="D35" s="4566">
        <f>'[2]PL2-Chi6T'!I32</f>
        <v>0</v>
      </c>
      <c r="E35" s="4567">
        <f>'[2]PL2-Chi6T'!J32</f>
        <v>0</v>
      </c>
    </row>
    <row r="36" spans="1:5" s="588" customFormat="1" ht="17.399999999999999">
      <c r="A36" s="4555">
        <v>7</v>
      </c>
      <c r="B36" s="701" t="str">
        <f>'[2]PL2-Chi6T'!B33</f>
        <v>Chi từ nguồn dự kiến tăng thu (sau khi dành CCTL theo quy định)</v>
      </c>
      <c r="C36" s="719">
        <f t="shared" si="7"/>
        <v>0</v>
      </c>
      <c r="D36" s="719">
        <f>'[2]PL2-Chi6T'!I33</f>
        <v>0</v>
      </c>
      <c r="E36" s="4460">
        <f>'[2]PL2-Chi6T'!J33</f>
        <v>0</v>
      </c>
    </row>
    <row r="37" spans="1:5" s="588" customFormat="1" ht="17.399999999999999">
      <c r="A37" s="4555">
        <v>8</v>
      </c>
      <c r="B37" s="701" t="str">
        <f>'[2]PL2-Chi6T'!B34</f>
        <v>Chi trả lãi tiền vay</v>
      </c>
      <c r="C37" s="719">
        <f t="shared" si="7"/>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 t="shared" ref="D38:E38" si="8">SUM(D39:D41)</f>
        <v>994488</v>
      </c>
      <c r="E38" s="4460">
        <f t="shared" si="8"/>
        <v>0</v>
      </c>
    </row>
    <row r="39" spans="1:5" s="873" customFormat="1">
      <c r="A39" s="4552" t="s">
        <v>99</v>
      </c>
      <c r="B39" s="4551" t="str">
        <f>'[2]PL2-Chi6T'!B36</f>
        <v>Chi thực hiện mục tiêu, nhiệm vụ quan trọng (vốn đầu tư phát triển)</v>
      </c>
      <c r="C39" s="4568">
        <f>SUM(D39:E39)</f>
        <v>907245.5</v>
      </c>
      <c r="D39" s="4568">
        <f>'[2]PL2-Chi6T'!I36</f>
        <v>907245.5</v>
      </c>
      <c r="E39" s="4569">
        <f>'[2]PL2-Chi6T'!J36</f>
        <v>0</v>
      </c>
    </row>
    <row r="40" spans="1:5" s="873" customFormat="1">
      <c r="A40" s="4552" t="s">
        <v>101</v>
      </c>
      <c r="B40" s="4551" t="str">
        <f>'[2]PL2-Chi6T'!B37</f>
        <v>Chi thực hiện mục tiêu, nhiệm vụ quan trọng (kinh phí sự nghiệp)</v>
      </c>
      <c r="C40" s="4568">
        <f t="shared" ref="C40:C43" si="9">SUM(D40:E40)</f>
        <v>87242.5</v>
      </c>
      <c r="D40" s="4568">
        <f>'[2]PL2-Chi6T'!I37</f>
        <v>87242.5</v>
      </c>
      <c r="E40" s="4569">
        <f>'[2]PL2-Chi6T'!J37</f>
        <v>0</v>
      </c>
    </row>
    <row r="41" spans="1:5" s="873" customFormat="1">
      <c r="A41" s="4552" t="s">
        <v>147</v>
      </c>
      <c r="B41" s="4551" t="str">
        <f>'[2]PL2-Chi6T'!B38</f>
        <v>Chi bổ sung có mục tiêu nhiệm vụ quan trọng khác (nếu có)</v>
      </c>
      <c r="C41" s="4568">
        <f t="shared" si="9"/>
        <v>0</v>
      </c>
      <c r="D41" s="4568">
        <f>'[2]PL2-Chi6T'!I38</f>
        <v>0</v>
      </c>
      <c r="E41" s="4569">
        <f>'[2]PL2-Chi6T'!J38</f>
        <v>0</v>
      </c>
    </row>
    <row r="42" spans="1:5" s="588" customFormat="1" ht="17.399999999999999">
      <c r="A42" s="4555">
        <v>10</v>
      </c>
      <c r="B42" s="701" t="str">
        <f>'[2]PL2-Chi6T'!B39</f>
        <v>Chi đầu tư từ nguồn vốn Chính phủ vay về cho vay lại</v>
      </c>
      <c r="C42" s="719">
        <f t="shared" si="9"/>
        <v>0</v>
      </c>
      <c r="D42" s="719">
        <f>'[2]PL2-Chi6T'!I39</f>
        <v>0</v>
      </c>
      <c r="E42" s="4460">
        <f>'[2]PL2-Chi6T'!J39</f>
        <v>0</v>
      </c>
    </row>
    <row r="43" spans="1:5" s="386" customFormat="1" ht="17.399999999999999">
      <c r="A43" s="4555">
        <v>11</v>
      </c>
      <c r="B43" s="4556" t="s">
        <v>2855</v>
      </c>
      <c r="C43" s="719">
        <f t="shared" si="9"/>
        <v>0</v>
      </c>
      <c r="D43" s="719">
        <f>E11</f>
        <v>0</v>
      </c>
      <c r="E43" s="4460">
        <v>0</v>
      </c>
    </row>
    <row r="44" spans="1:5">
      <c r="A44" s="586"/>
      <c r="B44" s="587" t="s">
        <v>2856</v>
      </c>
      <c r="C44" s="4545">
        <f>SUM(D44:E44)</f>
        <v>815460.69551506266</v>
      </c>
      <c r="D44" s="4545">
        <f>D6-D23</f>
        <v>3277329.9000000004</v>
      </c>
      <c r="E44" s="4546">
        <f>E6-E23</f>
        <v>-2461869.2044849377</v>
      </c>
    </row>
    <row r="45" spans="1:5">
      <c r="A45" s="586" t="s">
        <v>33</v>
      </c>
      <c r="B45" s="4544" t="s">
        <v>2857</v>
      </c>
      <c r="C45" s="4545">
        <f>SUM(C46,C53,C54,C55,C56,C57,C58,C59,C60,C64,C65)</f>
        <v>8619581.5991960187</v>
      </c>
      <c r="D45" s="4545">
        <f t="shared" ref="D45:E45" si="10">SUM(D46,D53,D54,D55,D56,D57,D58,D59,D60,D64,D65)</f>
        <v>4112986</v>
      </c>
      <c r="E45" s="4546">
        <f t="shared" si="10"/>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11">A25</f>
        <v>a</v>
      </c>
      <c r="B47" s="704" t="str">
        <f>B25</f>
        <v>Chi đầu tư xây dựng cơ bản</v>
      </c>
      <c r="C47" s="723">
        <f>SUM(D47:E47)</f>
        <v>571593.20448493806</v>
      </c>
      <c r="D47" s="723">
        <f>'[2]PL2-Chi6T'!N10</f>
        <v>281093</v>
      </c>
      <c r="E47" s="4471">
        <f>'[2]PL2-Chi6T'!O10</f>
        <v>290500.20448493806</v>
      </c>
    </row>
    <row r="48" spans="1:5">
      <c r="A48" s="4547" t="str">
        <f t="shared" si="11"/>
        <v>b</v>
      </c>
      <c r="B48" s="704" t="str">
        <f t="shared" si="11"/>
        <v>Chi đầu tư từ nguồn thu tiền sử dụng đất</v>
      </c>
      <c r="C48" s="723">
        <f t="shared" ref="C48:C52" si="12">SUM(D48:E48)</f>
        <v>591289</v>
      </c>
      <c r="D48" s="723">
        <f>'[2]PL2-Chi6T'!N11</f>
        <v>89000</v>
      </c>
      <c r="E48" s="4471">
        <f>'[2]PL2-Chi6T'!O11</f>
        <v>502289</v>
      </c>
    </row>
    <row r="49" spans="1:5">
      <c r="A49" s="4547" t="str">
        <f t="shared" si="11"/>
        <v>c</v>
      </c>
      <c r="B49" s="704" t="str">
        <f t="shared" si="11"/>
        <v>Chi đầu tư từ nguồn thu xổ số kiến thiết</v>
      </c>
      <c r="C49" s="723">
        <f t="shared" si="12"/>
        <v>1099485</v>
      </c>
      <c r="D49" s="723">
        <f>'[2]PL2-Chi6T'!N12</f>
        <v>1099485</v>
      </c>
      <c r="E49" s="4471">
        <f>'[2]PL2-Chi6T'!O12</f>
        <v>0</v>
      </c>
    </row>
    <row r="50" spans="1:5">
      <c r="A50" s="4547" t="str">
        <f t="shared" si="11"/>
        <v>d</v>
      </c>
      <c r="B50" s="704" t="str">
        <f t="shared" si="11"/>
        <v>Chi đầu tư từ nguồn thu thoái vốn doanh nghiệp nhà nước địa phương quản lý;…</v>
      </c>
      <c r="C50" s="723">
        <f t="shared" si="12"/>
        <v>0</v>
      </c>
      <c r="D50" s="723">
        <f>'[2]PL2-Chi6T'!N13</f>
        <v>0</v>
      </c>
      <c r="E50" s="4471">
        <f>'[2]PL2-Chi6T'!O13</f>
        <v>0</v>
      </c>
    </row>
    <row r="51" spans="1:5">
      <c r="A51" s="4547" t="str">
        <f t="shared" si="11"/>
        <v>e</v>
      </c>
      <c r="B51" s="704" t="str">
        <f t="shared" si="11"/>
        <v>Chi đầu tư phát triển khác (Ủy thác qua NH Chính sách chi nhánh tỉnh Đồng Tháp)</v>
      </c>
      <c r="C51" s="723">
        <f t="shared" si="12"/>
        <v>0</v>
      </c>
      <c r="D51" s="723">
        <f>'[2]PL2-Chi6T'!N14</f>
        <v>0</v>
      </c>
      <c r="E51" s="4471">
        <f>'[2]PL2-Chi6T'!O14</f>
        <v>0</v>
      </c>
    </row>
    <row r="52" spans="1:5">
      <c r="A52" s="4547" t="str">
        <f t="shared" si="11"/>
        <v>d</v>
      </c>
      <c r="B52" s="704"/>
      <c r="C52" s="723">
        <f t="shared" si="12"/>
        <v>0</v>
      </c>
      <c r="D52" s="723">
        <f>'[2]Phụ lục số 2'!N13</f>
        <v>0</v>
      </c>
      <c r="E52" s="4471"/>
    </row>
    <row r="53" spans="1:5" s="386" customFormat="1" ht="17.399999999999999">
      <c r="A53" s="4555">
        <f t="shared" si="11"/>
        <v>2</v>
      </c>
      <c r="B53" s="4556" t="str">
        <f>B31</f>
        <v>Chi thường xuyên</v>
      </c>
      <c r="C53" s="719">
        <f>SUM(D53:E53)</f>
        <v>5361226.3947110809</v>
      </c>
      <c r="D53" s="719">
        <f>'[2]PL2-Chi6T'!N15</f>
        <v>1647420</v>
      </c>
      <c r="E53" s="4460">
        <f>'[2]PL2-Chi6T'!O15</f>
        <v>3713806.3947110809</v>
      </c>
    </row>
    <row r="54" spans="1:5" s="386" customFormat="1" ht="17.399999999999999">
      <c r="A54" s="4555">
        <f t="shared" si="11"/>
        <v>3</v>
      </c>
      <c r="B54" s="4556" t="str">
        <f t="shared" si="11"/>
        <v xml:space="preserve">Chi bổ sung quỹ dự trữ tài chính </v>
      </c>
      <c r="C54" s="719">
        <f t="shared" ref="C54:C60" si="13">SUM(D54:E54)</f>
        <v>0</v>
      </c>
      <c r="D54" s="719">
        <f>'[2]PL2-Chi6T'!N29</f>
        <v>0</v>
      </c>
      <c r="E54" s="4460">
        <f>'[2]PL2-Chi6T'!O29</f>
        <v>0</v>
      </c>
    </row>
    <row r="55" spans="1:5" s="386" customFormat="1" ht="17.399999999999999">
      <c r="A55" s="4555">
        <f t="shared" si="11"/>
        <v>4</v>
      </c>
      <c r="B55" s="4556" t="str">
        <f t="shared" si="11"/>
        <v>Dự phòng ngân sách</v>
      </c>
      <c r="C55" s="719">
        <f t="shared" si="13"/>
        <v>0</v>
      </c>
      <c r="D55" s="4468">
        <f>'[2]PL2-Chi6T'!N30</f>
        <v>0</v>
      </c>
      <c r="E55" s="4469"/>
    </row>
    <row r="56" spans="1:5" s="386" customFormat="1" ht="17.399999999999999">
      <c r="A56" s="4555">
        <f t="shared" si="11"/>
        <v>5</v>
      </c>
      <c r="B56" s="4556" t="str">
        <f t="shared" si="11"/>
        <v>Chi điều chỉnh tiền lương cơ sở</v>
      </c>
      <c r="C56" s="719">
        <f t="shared" si="13"/>
        <v>0</v>
      </c>
      <c r="D56" s="4468">
        <f>'[2]PL2-Chi6T'!N31</f>
        <v>0</v>
      </c>
      <c r="E56" s="4469">
        <f>'[2]PL2-Chi6T'!O31</f>
        <v>0</v>
      </c>
    </row>
    <row r="57" spans="1:5" s="386" customFormat="1">
      <c r="A57" s="4555">
        <f t="shared" si="11"/>
        <v>6</v>
      </c>
      <c r="B57" s="4556" t="str">
        <f t="shared" si="11"/>
        <v>Chi chuyển nguồn cải cách tiền lương sang kỳ sau thực hiện</v>
      </c>
      <c r="C57" s="719">
        <f t="shared" si="13"/>
        <v>0</v>
      </c>
      <c r="D57" s="4558">
        <f>'[2]PL2-Chi6T'!N32</f>
        <v>0</v>
      </c>
      <c r="E57" s="4559">
        <f>'[2]PL2-Chi6T'!O32</f>
        <v>0</v>
      </c>
    </row>
    <row r="58" spans="1:5" s="386" customFormat="1" ht="17.399999999999999">
      <c r="A58" s="4555">
        <f t="shared" si="11"/>
        <v>7</v>
      </c>
      <c r="B58" s="4556" t="str">
        <f t="shared" si="11"/>
        <v>Chi từ nguồn dự kiến tăng thu (sau khi dành CCTL theo quy định)</v>
      </c>
      <c r="C58" s="719">
        <f t="shared" si="13"/>
        <v>0</v>
      </c>
      <c r="D58" s="719">
        <f>'[2]PL2-Chi6T'!N33</f>
        <v>0</v>
      </c>
      <c r="E58" s="4460">
        <f>'[2]PL2-Chi6T'!O33</f>
        <v>0</v>
      </c>
    </row>
    <row r="59" spans="1:5" s="386" customFormat="1" ht="17.399999999999999">
      <c r="A59" s="4555">
        <f t="shared" si="11"/>
        <v>8</v>
      </c>
      <c r="B59" s="4556" t="str">
        <f t="shared" si="11"/>
        <v>Chi trả lãi tiền vay</v>
      </c>
      <c r="C59" s="719">
        <f t="shared" si="13"/>
        <v>1500</v>
      </c>
      <c r="D59" s="719">
        <f>'[2]PL2-Chi6T'!N34</f>
        <v>1500</v>
      </c>
      <c r="E59" s="4460">
        <f>'[2]PL2-Chi6T'!O34</f>
        <v>0</v>
      </c>
    </row>
    <row r="60" spans="1:5" s="386" customFormat="1" ht="17.399999999999999">
      <c r="A60" s="4555">
        <f t="shared" si="11"/>
        <v>9</v>
      </c>
      <c r="B60" s="4556" t="str">
        <f t="shared" si="11"/>
        <v>Chi từ nguồn ngân sách trung ương bổ sung có mục tiêu</v>
      </c>
      <c r="C60" s="719">
        <f t="shared" si="13"/>
        <v>994488</v>
      </c>
      <c r="D60" s="719">
        <f t="shared" ref="D60" si="14">SUM(D61:D63)</f>
        <v>994488</v>
      </c>
      <c r="E60" s="4460"/>
    </row>
    <row r="61" spans="1:5" s="873" customFormat="1">
      <c r="A61" s="4552" t="str">
        <f t="shared" si="11"/>
        <v>a</v>
      </c>
      <c r="B61" s="4551" t="str">
        <f t="shared" si="11"/>
        <v>Chi thực hiện mục tiêu, nhiệm vụ quan trọng (vốn đầu tư phát triển)</v>
      </c>
      <c r="C61" s="724">
        <f>SUM(D61:E61)</f>
        <v>907245.5</v>
      </c>
      <c r="D61" s="724">
        <f>'[2]PL2-Chi6T'!N36</f>
        <v>907245.5</v>
      </c>
      <c r="E61" s="4553">
        <f>'[2]PL2-Chi6T'!O36</f>
        <v>0</v>
      </c>
    </row>
    <row r="62" spans="1:5" s="873" customFormat="1">
      <c r="A62" s="4552" t="str">
        <f t="shared" si="11"/>
        <v>b</v>
      </c>
      <c r="B62" s="4551" t="str">
        <f t="shared" si="11"/>
        <v>Chi thực hiện mục tiêu, nhiệm vụ quan trọng (kinh phí sự nghiệp)</v>
      </c>
      <c r="C62" s="724">
        <f t="shared" ref="C62:C65" si="15">SUM(D62:E62)</f>
        <v>87242.5</v>
      </c>
      <c r="D62" s="724">
        <f>'[2]PL2-Chi6T'!N37</f>
        <v>87242.5</v>
      </c>
      <c r="E62" s="4553">
        <f>'[2]PL2-Chi6T'!O37</f>
        <v>0</v>
      </c>
    </row>
    <row r="63" spans="1:5" s="873" customFormat="1">
      <c r="A63" s="4552" t="str">
        <f t="shared" ref="A63:B65" si="16">A41</f>
        <v>c</v>
      </c>
      <c r="B63" s="4551" t="str">
        <f t="shared" si="16"/>
        <v>Chi bổ sung có mục tiêu nhiệm vụ quan trọng khác (nếu có)</v>
      </c>
      <c r="C63" s="724">
        <f t="shared" si="15"/>
        <v>0</v>
      </c>
      <c r="D63" s="724">
        <f>'[2]PL2-Chi6T'!N38</f>
        <v>0</v>
      </c>
      <c r="E63" s="4553">
        <f>'[2]PL2-Chi6T'!O38</f>
        <v>0</v>
      </c>
    </row>
    <row r="64" spans="1:5" s="386" customFormat="1">
      <c r="A64" s="4555">
        <f t="shared" si="16"/>
        <v>10</v>
      </c>
      <c r="B64" s="4556" t="str">
        <f t="shared" si="16"/>
        <v>Chi đầu tư từ nguồn vốn Chính phủ vay về cho vay lại</v>
      </c>
      <c r="C64" s="724">
        <f t="shared" si="15"/>
        <v>0</v>
      </c>
      <c r="D64" s="719"/>
      <c r="E64" s="4460"/>
    </row>
    <row r="65" spans="1:5" s="386" customFormat="1">
      <c r="A65" s="4555">
        <f t="shared" si="16"/>
        <v>11</v>
      </c>
      <c r="B65" s="4556" t="str">
        <f t="shared" si="16"/>
        <v>Chi bổ sung cho ngân sách huyện, thành phố</v>
      </c>
      <c r="C65" s="724">
        <f t="shared" si="15"/>
        <v>0</v>
      </c>
      <c r="D65" s="4560"/>
      <c r="E65" s="4561"/>
    </row>
    <row r="66" spans="1:5" s="588" customFormat="1" thickBot="1">
      <c r="A66" s="4562"/>
      <c r="B66" s="4563" t="s">
        <v>2858</v>
      </c>
      <c r="C66" s="4564">
        <f t="shared" ref="C66" si="17">D66+E66</f>
        <v>1713123.3363190442</v>
      </c>
      <c r="D66" s="4564">
        <f>D5-D22</f>
        <v>6731082.2200000007</v>
      </c>
      <c r="E66" s="4565">
        <f>E5-E22</f>
        <v>-5017958.8836809564</v>
      </c>
    </row>
    <row r="67" spans="1:5" ht="18.600000000000001" thickTop="1"/>
    <row r="72" spans="1:5">
      <c r="C72" s="2805">
        <f>-'[2]Phụ lục số 1'!AC10</f>
        <v>294299.2666666666</v>
      </c>
      <c r="E72" s="2805">
        <f>'[2]TỔNG CỘNG'!F39/1000000</f>
        <v>5083323.3480000002</v>
      </c>
    </row>
    <row r="73" spans="1:5">
      <c r="C73" s="2805">
        <f>-C66</f>
        <v>-1713123.3363190442</v>
      </c>
      <c r="E73" s="426">
        <f>-E66-E72</f>
        <v>-65364.464319043793</v>
      </c>
    </row>
    <row r="74" spans="1:5">
      <c r="C74" s="2805">
        <f>C72-C73</f>
        <v>2007422.6029857108</v>
      </c>
      <c r="D74" s="2307"/>
      <c r="E74" s="2805"/>
    </row>
    <row r="75" spans="1:5">
      <c r="C75" s="2805">
        <f>-C74</f>
        <v>-2007422.6029857108</v>
      </c>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129</vt:i4>
      </vt:variant>
      <vt:variant>
        <vt:lpstr>Named Ranges</vt:lpstr>
      </vt:variant>
      <vt:variant>
        <vt:i4>106</vt:i4>
      </vt:variant>
    </vt:vector>
  </HeadingPairs>
  <TitlesOfParts>
    <vt:vector size="235" baseType="lpstr">
      <vt:lpstr>KT-XH GĐ</vt:lpstr>
      <vt:lpstr>KT-XH NAM</vt:lpstr>
      <vt:lpstr>Phụ lục số I</vt:lpstr>
      <vt:lpstr>Phụ lục số II</vt:lpstr>
      <vt:lpstr>Phụ lục số III-CĐC</vt:lpstr>
      <vt:lpstr>Phụ lục số III-CĐC(-BS)</vt:lpstr>
      <vt:lpstr>Phụ lục số IV</vt:lpstr>
      <vt:lpstr>Phụ lục số IVa</vt:lpstr>
      <vt:lpstr>Phụ lục số IVb</vt:lpstr>
      <vt:lpstr>Phụ lục số IVd</vt:lpstr>
      <vt:lpstr>Phụ lục số IVk</vt:lpstr>
      <vt:lpstr>Phụ lục số IVL</vt:lpstr>
      <vt:lpstr>Phụ lục số IVm</vt:lpstr>
      <vt:lpstr>Phụ lục số IVn</vt:lpstr>
      <vt:lpstr>Phụ lục số V-CCTL</vt:lpstr>
      <vt:lpstr>Phụ lục số VI-DPDTr</vt:lpstr>
      <vt:lpstr>Phụ lục số VII-Vaytrano</vt:lpstr>
      <vt:lpstr>Phụ lục VIII-QUYTC</vt:lpstr>
      <vt:lpstr>Phụ lục số IX</vt:lpstr>
      <vt:lpstr>Phụ lục số X</vt:lpstr>
      <vt:lpstr>Phụ lục số XI năm -CĐC</vt:lpstr>
      <vt:lpstr>Phụ lục số XI-CĐC(-BS)</vt:lpstr>
      <vt:lpstr>Phụ lục số XII</vt:lpstr>
      <vt:lpstr>Phụ lục số XIII</vt:lpstr>
      <vt:lpstr>BIỂU MẪU SỐ 03-RUT VON</vt:lpstr>
      <vt:lpstr>Biểu Nợ vay</vt:lpstr>
      <vt:lpstr>PL-Chithuongxuyen</vt:lpstr>
      <vt:lpstr>Biểu mẫu số 04</vt:lpstr>
      <vt:lpstr>Biểu mẫu số 05</vt:lpstr>
      <vt:lpstr>SosanhThuTW-ĐP</vt:lpstr>
      <vt:lpstr>SosanhTW-ĐP</vt:lpstr>
      <vt:lpstr>Thu 3n</vt:lpstr>
      <vt:lpstr>Chi 3n</vt:lpstr>
      <vt:lpstr>CĐ3n</vt:lpstr>
      <vt:lpstr>CĐDP3nBS</vt:lpstr>
      <vt:lpstr>CĐĐP3n-BS</vt:lpstr>
      <vt:lpstr>PL-BSMTTW</vt:lpstr>
      <vt:lpstr>Phụ luc 1.1</vt:lpstr>
      <vt:lpstr>Phụ lục 2.1</vt:lpstr>
      <vt:lpstr>PLThu 21-25</vt:lpstr>
      <vt:lpstr>PLChi 21-25</vt:lpstr>
      <vt:lpstr>PLCĐ 21-25</vt:lpstr>
      <vt:lpstr>Biểu số 1</vt:lpstr>
      <vt:lpstr>Biểu số 2</vt:lpstr>
      <vt:lpstr>Biểu số 3</vt:lpstr>
      <vt:lpstr>Biểu số 1 (2)</vt:lpstr>
      <vt:lpstr>Biểu số 4-ĐTC 21-25</vt:lpstr>
      <vt:lpstr>Biểu số 4.1-ĐTC 2026-2030</vt:lpstr>
      <vt:lpstr>PL so sanh ĐM</vt:lpstr>
      <vt:lpstr>PL xác định lại ĐM</vt:lpstr>
      <vt:lpstr>PL xác định lại ĐM-TW</vt:lpstr>
      <vt:lpstr>Biểu KH05 năm</vt:lpstr>
      <vt:lpstr>Danh mục file</vt:lpstr>
      <vt:lpstr>Biểu 39-CK-NSNN</vt:lpstr>
      <vt:lpstr>Phụ lục thu 3 nam</vt:lpstr>
      <vt:lpstr>Phụ lục chi 3 nam</vt:lpstr>
      <vt:lpstr>Phụ lục CĐ 3 nam</vt:lpstr>
      <vt:lpstr>Phụ lục-CĐC-3 nam</vt:lpstr>
      <vt:lpstr>Phụ lục -CĐC(-BS)-3 nam</vt:lpstr>
      <vt:lpstr>Biểu 45-CK-NSNN</vt:lpstr>
      <vt:lpstr>Biểu 46-CK-NSNN</vt:lpstr>
      <vt:lpstr>Biểu 52-CK-NSNN</vt:lpstr>
      <vt:lpstr>Phụ lục số 1</vt:lpstr>
      <vt:lpstr>Phụ lục số 2</vt:lpstr>
      <vt:lpstr>Phụ lục số 3-CĐC</vt:lpstr>
      <vt:lpstr>Phụ lục số 3-CĐC(-BS)</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Phụ lục số 3.1-Phân bổ</vt:lpstr>
      <vt:lpstr>Phụ lục số 4</vt:lpstr>
      <vt:lpstr>Phụ lục số 5</vt:lpstr>
      <vt:lpstr>Phụ lục số 6</vt:lpstr>
      <vt:lpstr>Phụ lục số 7</vt:lpstr>
      <vt:lpstr>Phụ lục số 7.1</vt:lpstr>
      <vt:lpstr>Phụ lục số 7.2 - đất - thuê đất</vt:lpstr>
      <vt:lpstr>Phụ lục số 8</vt:lpstr>
      <vt:lpstr>Phụ lục số 8.1</vt:lpstr>
      <vt:lpstr>Phụ lục số 8.2-CCTL</vt:lpstr>
      <vt:lpstr>Phụ lục số 8.3-CĐCS</vt:lpstr>
      <vt:lpstr>Phụ lục số 8.4-10%TK</vt:lpstr>
      <vt:lpstr>Phụ lục số 9</vt:lpstr>
      <vt:lpstr>Phụ lục số 10</vt:lpstr>
      <vt:lpstr>Phụ lục số 9.1</vt:lpstr>
      <vt:lpstr>PHỤ LỤC 1 TRÌNH </vt:lpstr>
      <vt:lpstr>PHỤ LỤC 2 TRÌNH</vt:lpstr>
      <vt:lpstr>PHỤ LỤC 3 - CĐC TRINH</vt:lpstr>
      <vt:lpstr>PHỤ LỤC 3-CĐC(-BS) TRINH</vt:lpstr>
      <vt:lpstr>Phụ lục thu-6T</vt:lpstr>
      <vt:lpstr>Phụ lục chi-6T</vt:lpstr>
      <vt:lpstr>Phụ lục CĐC-6T</vt:lpstr>
      <vt:lpstr>Phụ lục CĐC-6T-BS</vt:lpstr>
      <vt:lpstr>Phụ lục 1-HĐND</vt:lpstr>
      <vt:lpstr>Sheet1</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10-HĐND</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Đề án ĐP</vt:lpstr>
      <vt:lpstr>'Biểu 46-CK-NSNN'!Print_Area</vt:lpstr>
      <vt:lpstr>'BIỂU MẪU SỐ 03-RUT VON'!Print_Area</vt:lpstr>
      <vt:lpstr>'Biểu số 1'!Print_Area</vt:lpstr>
      <vt:lpstr>'Biểu số 1 (2)'!Print_Area</vt:lpstr>
      <vt:lpstr>'Biểu số 2'!Print_Area</vt:lpstr>
      <vt:lpstr>'Biểu số 3'!Print_Area</vt:lpstr>
      <vt:lpstr>'Biểu số 4-ĐTC 21-25'!Print_Area</vt:lpstr>
      <vt:lpstr>'KT-XH GĐ'!Print_Area</vt:lpstr>
      <vt:lpstr>'PHỤ LỤC 1 TRÌNH '!Print_Area</vt:lpstr>
      <vt:lpstr>'Phụ lục 10-HĐND'!Print_Area</vt:lpstr>
      <vt:lpstr>'Phụ lục 1-CKNS'!Print_Area</vt:lpstr>
      <vt:lpstr>'Phụ lục 1-HĐND'!Print_Area</vt:lpstr>
      <vt:lpstr>'Phụ lục 2-CKNS'!Print_Area</vt:lpstr>
      <vt:lpstr>'Phụ lục 2-HĐND'!Print_Area</vt:lpstr>
      <vt:lpstr>'PHỤ LỤC 3-CĐC(-BS) TRINH'!Print_Area</vt:lpstr>
      <vt:lpstr>'Phụ lục 3-CKNS'!Print_Area</vt:lpstr>
      <vt:lpstr>'Phụ lục 3-HĐND'!Print_Area</vt:lpstr>
      <vt:lpstr>'Phụ lục 4-CKNS'!Print_Area</vt:lpstr>
      <vt:lpstr>'Phụ lục 4-HĐND'!Print_Area</vt:lpstr>
      <vt:lpstr>'Phụ lục 5-CKNS'!Print_Area</vt:lpstr>
      <vt:lpstr>'Phụ lục 5-HĐND'!Print_Area</vt:lpstr>
      <vt:lpstr>'Phụ lục 6-CKNS'!Print_Area</vt:lpstr>
      <vt:lpstr>'Phụ lục 6-HĐND'!Print_Area</vt:lpstr>
      <vt:lpstr>'Phụ lục 7-CKNS'!Print_Area</vt:lpstr>
      <vt:lpstr>'Phụ lục 7-HĐND'!Print_Area</vt:lpstr>
      <vt:lpstr>'Phụ lục 8-HĐND'!Print_Area</vt:lpstr>
      <vt:lpstr>'Phụ lục 9-HĐND'!Print_Area</vt:lpstr>
      <vt:lpstr>'Phụ lục CĐ 3 nam'!Print_Area</vt:lpstr>
      <vt:lpstr>'Phụ lục -CĐC(-BS)-3 nam'!Print_Area</vt:lpstr>
      <vt:lpstr>'Phụ lục chi 3 nam'!Print_Area</vt:lpstr>
      <vt:lpstr>'Phụ lục số 1'!Print_Area</vt:lpstr>
      <vt:lpstr>'Phụ lục số 10'!Print_Area</vt:lpstr>
      <vt:lpstr>'Phụ lục số 2'!Print_Area</vt:lpstr>
      <vt:lpstr>'Phụ lục số 3-CĐC'!Print_Area</vt:lpstr>
      <vt:lpstr>'Phụ lục số 3-CĐC(-BS)'!Print_Area</vt:lpstr>
      <vt:lpstr>'Phụ lục số 4'!Print_Area</vt:lpstr>
      <vt:lpstr>'Phụ lục số 5'!Print_Area</vt:lpstr>
      <vt:lpstr>'Phụ lục số 6'!Print_Area</vt:lpstr>
      <vt:lpstr>'Phụ lục số 7'!Print_Area</vt:lpstr>
      <vt:lpstr>'Phụ lục số 7.1'!Print_Area</vt:lpstr>
      <vt:lpstr>'Phụ lục số 8'!Print_Area</vt:lpstr>
      <vt:lpstr>'Phụ lục số 8.1'!Print_Area</vt:lpstr>
      <vt:lpstr>'Phụ lục số 8.2-CCTL'!Print_Area</vt:lpstr>
      <vt:lpstr>'Phụ lục số 8.3-CĐCS'!Print_Area</vt:lpstr>
      <vt:lpstr>'Phụ lục số 9'!Print_Area</vt:lpstr>
      <vt:lpstr>'Phụ lục số I'!Print_Area</vt:lpstr>
      <vt:lpstr>'Phụ lục số II'!Print_Area</vt:lpstr>
      <vt:lpstr>'Phụ lục số III-CĐC'!Print_Area</vt:lpstr>
      <vt:lpstr>'Phụ lục số III-CĐC(-BS)'!Print_Area</vt:lpstr>
      <vt:lpstr>'Phụ lục số IV'!Print_Area</vt:lpstr>
      <vt:lpstr>'Phụ lục số IVa'!Print_Area</vt:lpstr>
      <vt:lpstr>'Phụ lục số IVb'!Print_Area</vt:lpstr>
      <vt:lpstr>'Phụ lục số IVk'!Print_Area</vt:lpstr>
      <vt:lpstr>'Phụ lục số IVL'!Print_Area</vt:lpstr>
      <vt:lpstr>'Phụ lục số IVm'!Print_Area</vt:lpstr>
      <vt:lpstr>'Phụ lục số IVn'!Print_Area</vt:lpstr>
      <vt:lpstr>'Phụ lục số IX'!Print_Area</vt:lpstr>
      <vt:lpstr>'Phụ lục số V-CCTL'!Print_Area</vt:lpstr>
      <vt:lpstr>'Phụ lục số X'!Print_Area</vt:lpstr>
      <vt:lpstr>'Phụ lục số XI năm -CĐC'!Print_Area</vt:lpstr>
      <vt:lpstr>'Phụ lục số XI-CĐC(-BS)'!Print_Area</vt:lpstr>
      <vt:lpstr>'Phụ lục số XIII'!Print_Area</vt:lpstr>
      <vt:lpstr>'Phụ lục thu 3 nam'!Print_Area</vt:lpstr>
      <vt:lpstr>'Phụ lục-CĐC-3 nam'!Print_Area</vt:lpstr>
      <vt:lpstr>'TỔNG CỘNG'!Print_Area</vt:lpstr>
      <vt:lpstr>'Biểu 46-CK-NSNN'!Print_Titles</vt:lpstr>
      <vt:lpstr>'Biểu Nợ vay'!Print_Titles</vt:lpstr>
      <vt:lpstr>'Biểu số 1'!Print_Titles</vt:lpstr>
      <vt:lpstr>'Biểu số 1 (2)'!Print_Titles</vt:lpstr>
      <vt:lpstr>'Biểu số 2'!Print_Titles</vt:lpstr>
      <vt:lpstr>'Biểu số 3'!Print_Titles</vt:lpstr>
      <vt:lpstr>'KT-XH GĐ'!Print_Titles</vt:lpstr>
      <vt:lpstr>'Phụ lục 1-CKNS'!Print_Titles</vt:lpstr>
      <vt:lpstr>'Phụ lục 1-HĐND'!Print_Titles</vt:lpstr>
      <vt:lpstr>'Phụ lục 3-CKNS'!Print_Titles</vt:lpstr>
      <vt:lpstr>'Phụ lục 3-HĐND'!Print_Titles</vt:lpstr>
      <vt:lpstr>'Phụ lục 3-KQPB'!Print_Titles</vt:lpstr>
      <vt:lpstr>'Phụ lục 5-CKNS'!Print_Titles</vt:lpstr>
      <vt:lpstr>'Phụ lục 5-HĐND'!Print_Titles</vt:lpstr>
      <vt:lpstr>'Phụ lục 7-HĐND'!Print_Titles</vt:lpstr>
      <vt:lpstr>'Phụ lục -CĐC(-BS)-3 nam'!Print_Titles</vt:lpstr>
      <vt:lpstr>'Phụ lục chi 3 nam'!Print_Titles</vt:lpstr>
      <vt:lpstr>'Phụ lục số 1'!Print_Titles</vt:lpstr>
      <vt:lpstr>'Phụ lục số 3-CĐC'!Print_Titles</vt:lpstr>
      <vt:lpstr>'Phụ lục số 3-CĐC(-BS)'!Print_Titles</vt:lpstr>
      <vt:lpstr>'Phụ lục số 5'!Print_Titles</vt:lpstr>
      <vt:lpstr>'Phụ lục số 7'!Print_Titles</vt:lpstr>
      <vt:lpstr>'Phụ lục số 7.1'!Print_Titles</vt:lpstr>
      <vt:lpstr>'Phụ lục số 8.1'!Print_Titles</vt:lpstr>
      <vt:lpstr>'Phụ lục số 8.3-CĐCS'!Print_Titles</vt:lpstr>
      <vt:lpstr>'Phụ lục số I'!Print_Titles</vt:lpstr>
      <vt:lpstr>'Phụ lục số III-CĐC'!Print_Titles</vt:lpstr>
      <vt:lpstr>'Phụ lục số III-CĐC(-BS)'!Print_Titles</vt:lpstr>
      <vt:lpstr>'Phụ lục số IV'!Print_Titles</vt:lpstr>
      <vt:lpstr>'Phụ lục số IVa'!Print_Titles</vt:lpstr>
      <vt:lpstr>'Phụ lục số IVb'!Print_Titles</vt:lpstr>
      <vt:lpstr>'Phụ lục số IVL'!Print_Titles</vt:lpstr>
      <vt:lpstr>'Phụ lục số IX'!Print_Titles</vt:lpstr>
      <vt:lpstr>'Phụ lục số VI-DPDTr'!Print_Titles</vt:lpstr>
      <vt:lpstr>'Phụ lục số VII-Vaytrano'!Print_Titles</vt:lpstr>
      <vt:lpstr>'Phụ lục số X'!Print_Titles</vt:lpstr>
      <vt:lpstr>'Phụ lục số XI năm -CĐC'!Print_Titles</vt:lpstr>
      <vt:lpstr>'Phụ lục số XI-CĐC(-BS)'!Print_Titles</vt:lpstr>
      <vt:lpstr>'Phụ lục số XIII'!Print_Titles</vt:lpstr>
      <vt:lpstr>'Phụ lục thu 3 nam'!Print_Titles</vt:lpstr>
      <vt:lpstr>'Phụ lục-CĐC-3 nam'!Print_Titles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nghiabh</cp:lastModifiedBy>
  <cp:lastPrinted>2024-12-18T02:31:18Z</cp:lastPrinted>
  <dcterms:created xsi:type="dcterms:W3CDTF">2024-05-31T09:05:18Z</dcterms:created>
  <dcterms:modified xsi:type="dcterms:W3CDTF">2025-01-16T08:57:13Z</dcterms:modified>
</cp:coreProperties>
</file>